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drawings/drawing1.xml" ContentType="application/vnd.openxmlformats-officedocument.drawing+xml"/>
  <Override PartName="/xl/tables/table3.xml" ContentType="application/vnd.openxmlformats-officedocument.spreadsheetml.table+xml"/>
  <Override PartName="/xl/slicers/slicer1.xml" ContentType="application/vnd.ms-excel.slicer+xml"/>
  <Override PartName="/xl/comments3.xml" ContentType="application/vnd.openxmlformats-officedocument.spreadsheetml.comments+xml"/>
  <Override PartName="/xl/drawings/drawing2.xml" ContentType="application/vnd.openxmlformats-officedocument.drawing+xml"/>
  <Override PartName="/xl/tables/table4.xml" ContentType="application/vnd.openxmlformats-officedocument.spreadsheetml.table+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My Drive\Coaching\Basketball\2022-2023 Season\"/>
    </mc:Choice>
  </mc:AlternateContent>
  <bookViews>
    <workbookView xWindow="-105" yWindow="-105" windowWidth="19425" windowHeight="10425" firstSheet="2" activeTab="3"/>
  </bookViews>
  <sheets>
    <sheet name="TeamHistory" sheetId="82" state="hidden" r:id="rId1"/>
    <sheet name="PlayerHistory" sheetId="84" state="hidden" r:id="rId2"/>
    <sheet name="Player_Report" sheetId="87" r:id="rId3"/>
    <sheet name="Team_Report" sheetId="86" r:id="rId4"/>
    <sheet name="Roster" sheetId="2" r:id="rId5"/>
    <sheet name="game1 (1)" sheetId="5" r:id="rId6"/>
    <sheet name="game1 (2)" sheetId="43" r:id="rId7"/>
    <sheet name="game1 (3)" sheetId="44" r:id="rId8"/>
    <sheet name="game1 (4)" sheetId="45" r:id="rId9"/>
    <sheet name="game1 (5)" sheetId="46" r:id="rId10"/>
    <sheet name="game1 (6)" sheetId="47" r:id="rId11"/>
    <sheet name="game1 (7)" sheetId="48" r:id="rId12"/>
    <sheet name="game1 (8)" sheetId="49" r:id="rId13"/>
    <sheet name="game1 (9)" sheetId="50" r:id="rId14"/>
    <sheet name="game1 (10)" sheetId="51" r:id="rId15"/>
    <sheet name="game1 (11)" sheetId="52" r:id="rId16"/>
    <sheet name="game1 (12)" sheetId="53" r:id="rId17"/>
    <sheet name="game1 (13)" sheetId="54" r:id="rId18"/>
    <sheet name="game1 (14)" sheetId="55" r:id="rId19"/>
    <sheet name="game1 (15)" sheetId="56" r:id="rId20"/>
    <sheet name="game1 (16)" sheetId="57" r:id="rId21"/>
    <sheet name="game1 (17)" sheetId="58" r:id="rId22"/>
    <sheet name="game1 (18)" sheetId="59" r:id="rId23"/>
    <sheet name="game1 (19)" sheetId="60" r:id="rId24"/>
    <sheet name="game1 (20)" sheetId="61" r:id="rId25"/>
    <sheet name="game1 (21)" sheetId="62" r:id="rId26"/>
    <sheet name="game1 (22)" sheetId="63" r:id="rId27"/>
    <sheet name="game1 (23)" sheetId="64" r:id="rId28"/>
    <sheet name="game1 (24)" sheetId="65" r:id="rId29"/>
    <sheet name="game1 (25)" sheetId="66" r:id="rId30"/>
    <sheet name="game1 (26)" sheetId="67" r:id="rId31"/>
    <sheet name="game1 (27)" sheetId="68" r:id="rId32"/>
    <sheet name="game1 (28)" sheetId="69" r:id="rId33"/>
    <sheet name="game1 (29)" sheetId="70" r:id="rId34"/>
    <sheet name="game1 (30)" sheetId="71" r:id="rId35"/>
    <sheet name="game1 (31)" sheetId="72" r:id="rId36"/>
    <sheet name="game1 (32)" sheetId="73" r:id="rId37"/>
    <sheet name="game1 (33)" sheetId="74" r:id="rId38"/>
    <sheet name="game1 (34)" sheetId="75" r:id="rId39"/>
    <sheet name="game1 (35)" sheetId="76" r:id="rId40"/>
    <sheet name="game1 (36)" sheetId="77" r:id="rId41"/>
    <sheet name="game1 (37)" sheetId="78" r:id="rId42"/>
    <sheet name="game1 (38)" sheetId="79" r:id="rId43"/>
    <sheet name="game1 (39)" sheetId="80" r:id="rId44"/>
    <sheet name="game1 (40)" sheetId="81" r:id="rId45"/>
  </sheets>
  <definedNames>
    <definedName name="_xlnm._FilterDatabase" localSheetId="5" hidden="1">'game1 (1)'!$A$34:$C$37</definedName>
    <definedName name="_xlnm._FilterDatabase" localSheetId="14" hidden="1">'game1 (10)'!$A$34:$C$37</definedName>
    <definedName name="_xlnm._FilterDatabase" localSheetId="15" hidden="1">'game1 (11)'!$A$34:$C$37</definedName>
    <definedName name="_xlnm._FilterDatabase" localSheetId="16" hidden="1">'game1 (12)'!$A$34:$C$37</definedName>
    <definedName name="_xlnm._FilterDatabase" localSheetId="17" hidden="1">'game1 (13)'!$A$34:$C$37</definedName>
    <definedName name="_xlnm._FilterDatabase" localSheetId="18" hidden="1">'game1 (14)'!$A$34:$C$37</definedName>
    <definedName name="_xlnm._FilterDatabase" localSheetId="19" hidden="1">'game1 (15)'!$A$34:$C$37</definedName>
    <definedName name="_xlnm._FilterDatabase" localSheetId="20" hidden="1">'game1 (16)'!$A$34:$C$37</definedName>
    <definedName name="_xlnm._FilterDatabase" localSheetId="21" hidden="1">'game1 (17)'!$A$34:$C$37</definedName>
    <definedName name="_xlnm._FilterDatabase" localSheetId="22" hidden="1">'game1 (18)'!$A$34:$C$37</definedName>
    <definedName name="_xlnm._FilterDatabase" localSheetId="23" hidden="1">'game1 (19)'!$A$34:$C$37</definedName>
    <definedName name="_xlnm._FilterDatabase" localSheetId="6" hidden="1">'game1 (2)'!$A$34:$C$37</definedName>
    <definedName name="_xlnm._FilterDatabase" localSheetId="24" hidden="1">'game1 (20)'!$A$34:$C$37</definedName>
    <definedName name="_xlnm._FilterDatabase" localSheetId="25" hidden="1">'game1 (21)'!$A$34:$C$37</definedName>
    <definedName name="_xlnm._FilterDatabase" localSheetId="26" hidden="1">'game1 (22)'!$A$34:$C$37</definedName>
    <definedName name="_xlnm._FilterDatabase" localSheetId="27" hidden="1">'game1 (23)'!$A$34:$C$37</definedName>
    <definedName name="_xlnm._FilterDatabase" localSheetId="28" hidden="1">'game1 (24)'!$A$34:$C$37</definedName>
    <definedName name="_xlnm._FilterDatabase" localSheetId="29" hidden="1">'game1 (25)'!$A$34:$C$37</definedName>
    <definedName name="_xlnm._FilterDatabase" localSheetId="30" hidden="1">'game1 (26)'!$A$34:$C$37</definedName>
    <definedName name="_xlnm._FilterDatabase" localSheetId="31" hidden="1">'game1 (27)'!$A$34:$C$37</definedName>
    <definedName name="_xlnm._FilterDatabase" localSheetId="32" hidden="1">'game1 (28)'!$A$34:$C$37</definedName>
    <definedName name="_xlnm._FilterDatabase" localSheetId="33" hidden="1">'game1 (29)'!$A$34:$C$37</definedName>
    <definedName name="_xlnm._FilterDatabase" localSheetId="7" hidden="1">'game1 (3)'!$A$34:$C$37</definedName>
    <definedName name="_xlnm._FilterDatabase" localSheetId="34" hidden="1">'game1 (30)'!$A$34:$C$37</definedName>
    <definedName name="_xlnm._FilterDatabase" localSheetId="35" hidden="1">'game1 (31)'!$A$34:$C$37</definedName>
    <definedName name="_xlnm._FilterDatabase" localSheetId="36" hidden="1">'game1 (32)'!$A$34:$C$37</definedName>
    <definedName name="_xlnm._FilterDatabase" localSheetId="37" hidden="1">'game1 (33)'!$A$34:$C$37</definedName>
    <definedName name="_xlnm._FilterDatabase" localSheetId="38" hidden="1">'game1 (34)'!$A$34:$C$37</definedName>
    <definedName name="_xlnm._FilterDatabase" localSheetId="39" hidden="1">'game1 (35)'!$A$34:$C$37</definedName>
    <definedName name="_xlnm._FilterDatabase" localSheetId="40" hidden="1">'game1 (36)'!$A$34:$C$37</definedName>
    <definedName name="_xlnm._FilterDatabase" localSheetId="41" hidden="1">'game1 (37)'!$A$34:$C$37</definedName>
    <definedName name="_xlnm._FilterDatabase" localSheetId="42" hidden="1">'game1 (38)'!$A$34:$C$37</definedName>
    <definedName name="_xlnm._FilterDatabase" localSheetId="43" hidden="1">'game1 (39)'!$A$34:$C$37</definedName>
    <definedName name="_xlnm._FilterDatabase" localSheetId="8" hidden="1">'game1 (4)'!$A$34:$C$37</definedName>
    <definedName name="_xlnm._FilterDatabase" localSheetId="44" hidden="1">'game1 (40)'!$A$34:$C$37</definedName>
    <definedName name="_xlnm._FilterDatabase" localSheetId="9" hidden="1">'game1 (5)'!$A$34:$C$37</definedName>
    <definedName name="_xlnm._FilterDatabase" localSheetId="10" hidden="1">'game1 (6)'!$A$34:$C$37</definedName>
    <definedName name="_xlnm._FilterDatabase" localSheetId="11" hidden="1">'game1 (7)'!$A$34:$C$37</definedName>
    <definedName name="_xlnm._FilterDatabase" localSheetId="12" hidden="1">'game1 (8)'!$A$34:$C$37</definedName>
    <definedName name="_xlnm._FilterDatabase" localSheetId="13" hidden="1">'game1 (9)'!$A$34:$C$37</definedName>
    <definedName name="_xlnm._FilterDatabase" localSheetId="2" hidden="1">Player_Report!#REF!</definedName>
    <definedName name="_xlnm._FilterDatabase" localSheetId="4" hidden="1">Roster!$L$2:$R$72</definedName>
    <definedName name="_xlnm._FilterDatabase" localSheetId="3" hidden="1">Team_Report!$A$57:$B$81</definedName>
    <definedName name="gamesheets">Roster!$U$5:$U$44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Player_Report!$A$1:$Y$50</definedName>
    <definedName name="_xlnm.Print_Area" localSheetId="3">Team_Report!$A$1:$Y$80,Team_Report!$AJ$1:$BH$54</definedName>
    <definedName name="_xlnm.Print_Titles" localSheetId="2">Player_Report!$1:$2</definedName>
    <definedName name="_xlnm.Print_Titles" localSheetId="3">Team_Report!$1:$2</definedName>
    <definedName name="Slicer_Games">#N/A</definedName>
    <definedName name="Slicer_Games1">#N/A</definedName>
    <definedName name="Slicer_Region">#N/A</definedName>
    <definedName name="Slicer_Region1">#N/A</definedName>
    <definedName name="Slicer_SubRegion">#N/A</definedName>
    <definedName name="Slicer_SubRegion1">#N/A</definedName>
    <definedName name="Slicer_W_L">#N/A</definedName>
    <definedName name="Slicer_W_L1">#N/A</definedName>
    <definedName name="WYTeamInfo">Roster!$L$2:$R$72</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6"/>
        <x14:slicerCache r:id="rId47"/>
        <x14:slicerCache r:id="rId48"/>
        <x14:slicerCache r:id="rId49"/>
        <x14:slicerCache r:id="rId50"/>
        <x14:slicerCache r:id="rId51"/>
        <x14:slicerCache r:id="rId52"/>
        <x14:slicerCache r:id="rId53"/>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12" i="67" l="1"/>
  <c r="AC14" i="67" s="1"/>
  <c r="AC22" i="67" s="1"/>
  <c r="AA11" i="67"/>
  <c r="AD14" i="67" s="1"/>
  <c r="AD22" i="67" s="1"/>
  <c r="AC22" i="66"/>
  <c r="AD20" i="66"/>
  <c r="AC19" i="66"/>
  <c r="AD15" i="66"/>
  <c r="AD23" i="66" s="1"/>
  <c r="AC14" i="66"/>
  <c r="AE12" i="66"/>
  <c r="AC12" i="66"/>
  <c r="AB20" i="66" s="1"/>
  <c r="AB12" i="66"/>
  <c r="AA20" i="66" s="1"/>
  <c r="AA12" i="66"/>
  <c r="AB15" i="66" s="1"/>
  <c r="AB23" i="66" s="1"/>
  <c r="AD11" i="66"/>
  <c r="AA11" i="66"/>
  <c r="AE11" i="66" s="1"/>
  <c r="AD19" i="66" s="1"/>
  <c r="AA12" i="65"/>
  <c r="AC14" i="65" s="1"/>
  <c r="AC22" i="65" s="1"/>
  <c r="AA11" i="65"/>
  <c r="AD12" i="65" s="1"/>
  <c r="AC20" i="65" s="1"/>
  <c r="AD12" i="67" l="1"/>
  <c r="AC20" i="67" s="1"/>
  <c r="AC15" i="67"/>
  <c r="AC23" i="67" s="1"/>
  <c r="AD15" i="67"/>
  <c r="AD23" i="67" s="1"/>
  <c r="AC11" i="67"/>
  <c r="AB19" i="67" s="1"/>
  <c r="AB14" i="67"/>
  <c r="AB22" i="67" s="1"/>
  <c r="AB15" i="67"/>
  <c r="AB23" i="67" s="1"/>
  <c r="AB12" i="67"/>
  <c r="AA20" i="67" s="1"/>
  <c r="AC12" i="67"/>
  <c r="AB20" i="67" s="1"/>
  <c r="AE12" i="67"/>
  <c r="AD20" i="67" s="1"/>
  <c r="AD11" i="67"/>
  <c r="AC19" i="67" s="1"/>
  <c r="AB11" i="67"/>
  <c r="AA19" i="67" s="1"/>
  <c r="AE11" i="67"/>
  <c r="AD19" i="67" s="1"/>
  <c r="AC15" i="66"/>
  <c r="AC23" i="66" s="1"/>
  <c r="AB14" i="66"/>
  <c r="AB22" i="66" s="1"/>
  <c r="AB11" i="66"/>
  <c r="AA19" i="66" s="1"/>
  <c r="AC11" i="66"/>
  <c r="AB19" i="66" s="1"/>
  <c r="AD14" i="66"/>
  <c r="AD22" i="66" s="1"/>
  <c r="AD12" i="66"/>
  <c r="AC20" i="66" s="1"/>
  <c r="AC15" i="65"/>
  <c r="AC23" i="65" s="1"/>
  <c r="AB11" i="65"/>
  <c r="AA19" i="65" s="1"/>
  <c r="AC11" i="65"/>
  <c r="AB19" i="65" s="1"/>
  <c r="AB14" i="65"/>
  <c r="AB22" i="65" s="1"/>
  <c r="AE11" i="65"/>
  <c r="AD19" i="65" s="1"/>
  <c r="AD14" i="65"/>
  <c r="AD22" i="65" s="1"/>
  <c r="AB15" i="65"/>
  <c r="AB23" i="65" s="1"/>
  <c r="AB12" i="65"/>
  <c r="AA20" i="65" s="1"/>
  <c r="AC12" i="65"/>
  <c r="AB20" i="65" s="1"/>
  <c r="AD15" i="65"/>
  <c r="AD23" i="65" s="1"/>
  <c r="AE12" i="65"/>
  <c r="AD20" i="65" s="1"/>
  <c r="AD11" i="65"/>
  <c r="AC19" i="65" s="1"/>
  <c r="AA12" i="64"/>
  <c r="AC12" i="64" s="1"/>
  <c r="AB20" i="64" s="1"/>
  <c r="AA11" i="64"/>
  <c r="AD14" i="64" s="1"/>
  <c r="AD22" i="64" s="1"/>
  <c r="AC22" i="63"/>
  <c r="AC19" i="63"/>
  <c r="AD15" i="63"/>
  <c r="AD23" i="63" s="1"/>
  <c r="AC14" i="63"/>
  <c r="AE12" i="63"/>
  <c r="AD20" i="63" s="1"/>
  <c r="AC12" i="63"/>
  <c r="AB20" i="63" s="1"/>
  <c r="AA12" i="63"/>
  <c r="AB12" i="63" s="1"/>
  <c r="AA20" i="63" s="1"/>
  <c r="AD11" i="63"/>
  <c r="AA11" i="63"/>
  <c r="AB11" i="63" s="1"/>
  <c r="AA19" i="63" s="1"/>
  <c r="AC22" i="62"/>
  <c r="AD20" i="62"/>
  <c r="AC19" i="62"/>
  <c r="AD15" i="62"/>
  <c r="AD23" i="62" s="1"/>
  <c r="AC14" i="62"/>
  <c r="AE12" i="62"/>
  <c r="AC12" i="62"/>
  <c r="AB20" i="62" s="1"/>
  <c r="AB12" i="62"/>
  <c r="AA20" i="62" s="1"/>
  <c r="AA12" i="62"/>
  <c r="AB15" i="62" s="1"/>
  <c r="AB23" i="62" s="1"/>
  <c r="AD11" i="62"/>
  <c r="AA11" i="62"/>
  <c r="AD14" i="62" s="1"/>
  <c r="AD22" i="62" s="1"/>
  <c r="AA12" i="61"/>
  <c r="AB15" i="61" s="1"/>
  <c r="AB23" i="61" s="1"/>
  <c r="AA12" i="60"/>
  <c r="AD12" i="64" l="1"/>
  <c r="AC20" i="64" s="1"/>
  <c r="AB11" i="64"/>
  <c r="AA19" i="64" s="1"/>
  <c r="AE12" i="64"/>
  <c r="AD20" i="64" s="1"/>
  <c r="AB15" i="64"/>
  <c r="AB23" i="64" s="1"/>
  <c r="AC15" i="64"/>
  <c r="AC23" i="64" s="1"/>
  <c r="AD15" i="64"/>
  <c r="AD23" i="64" s="1"/>
  <c r="AB14" i="64"/>
  <c r="AB22" i="64" s="1"/>
  <c r="AD11" i="64"/>
  <c r="AC19" i="64" s="1"/>
  <c r="AC14" i="64"/>
  <c r="AC22" i="64" s="1"/>
  <c r="AB12" i="64"/>
  <c r="AA20" i="64" s="1"/>
  <c r="AC11" i="64"/>
  <c r="AB19" i="64" s="1"/>
  <c r="AE11" i="64"/>
  <c r="AD19" i="64" s="1"/>
  <c r="AC11" i="63"/>
  <c r="AB19" i="63" s="1"/>
  <c r="AB14" i="63"/>
  <c r="AB22" i="63" s="1"/>
  <c r="AE11" i="63"/>
  <c r="AD19" i="63" s="1"/>
  <c r="AD14" i="63"/>
  <c r="AD22" i="63" s="1"/>
  <c r="AB15" i="63"/>
  <c r="AB23" i="63" s="1"/>
  <c r="AC15" i="63"/>
  <c r="AC23" i="63" s="1"/>
  <c r="AD12" i="63"/>
  <c r="AC20" i="63" s="1"/>
  <c r="AD12" i="62"/>
  <c r="AC20" i="62" s="1"/>
  <c r="AB11" i="62"/>
  <c r="AA19" i="62" s="1"/>
  <c r="AC15" i="62"/>
  <c r="AC23" i="62" s="1"/>
  <c r="AC11" i="62"/>
  <c r="AB19" i="62" s="1"/>
  <c r="AB14" i="62"/>
  <c r="AB22" i="62" s="1"/>
  <c r="AE11" i="62"/>
  <c r="AD19" i="62" s="1"/>
  <c r="AC12" i="61"/>
  <c r="AB20" i="61" s="1"/>
  <c r="AE12" i="61"/>
  <c r="AD20" i="61" s="1"/>
  <c r="AD15" i="61"/>
  <c r="AD23" i="61" s="1"/>
  <c r="AB15" i="60"/>
  <c r="AB23" i="60" s="1"/>
  <c r="AC12" i="60"/>
  <c r="AB20" i="60" s="1"/>
  <c r="AD15" i="60"/>
  <c r="AD23" i="60" s="1"/>
  <c r="AE12" i="60"/>
  <c r="AD20" i="60" s="1"/>
  <c r="AD20" i="59"/>
  <c r="AD15" i="59"/>
  <c r="AD23" i="59" s="1"/>
  <c r="AC15" i="59"/>
  <c r="AC23" i="59" s="1"/>
  <c r="AE12" i="59"/>
  <c r="AC12" i="59"/>
  <c r="AB20" i="59" s="1"/>
  <c r="AB12" i="59"/>
  <c r="AA20" i="59" s="1"/>
  <c r="AA12" i="59"/>
  <c r="AB15" i="59" s="1"/>
  <c r="AB23" i="59" s="1"/>
  <c r="AD11" i="59"/>
  <c r="AC19" i="59" s="1"/>
  <c r="AA11" i="59"/>
  <c r="AB11" i="59" s="1"/>
  <c r="AA19" i="59" s="1"/>
  <c r="AD12" i="59" l="1"/>
  <c r="AC20" i="59" s="1"/>
  <c r="AC11" i="59"/>
  <c r="AB19" i="59" s="1"/>
  <c r="AB14" i="59"/>
  <c r="AB22" i="59" s="1"/>
  <c r="AC14" i="59"/>
  <c r="AC22" i="59" s="1"/>
  <c r="AE11" i="59"/>
  <c r="AD19" i="59" s="1"/>
  <c r="AD14" i="59"/>
  <c r="AD22" i="59" s="1"/>
  <c r="AA12" i="58"/>
  <c r="AA12" i="57"/>
  <c r="AE12" i="57" s="1"/>
  <c r="AD20" i="57" s="1"/>
  <c r="AA12" i="56"/>
  <c r="AC14" i="56" s="1"/>
  <c r="AC22" i="56" s="1"/>
  <c r="AA11" i="56"/>
  <c r="AD14" i="56" s="1"/>
  <c r="AD22" i="56" s="1"/>
  <c r="AD15" i="55"/>
  <c r="AD23" i="55" s="1"/>
  <c r="AE12" i="55"/>
  <c r="AD20" i="55" s="1"/>
  <c r="AC12" i="55"/>
  <c r="AB20" i="55" s="1"/>
  <c r="AB12" i="55"/>
  <c r="AA20" i="55" s="1"/>
  <c r="AA12" i="55"/>
  <c r="AB15" i="55" s="1"/>
  <c r="AB23" i="55" s="1"/>
  <c r="AA11" i="55"/>
  <c r="AB11" i="55" s="1"/>
  <c r="AA19" i="55" s="1"/>
  <c r="AC22" i="54"/>
  <c r="AD20" i="54"/>
  <c r="AD15" i="54"/>
  <c r="AD23" i="54" s="1"/>
  <c r="AC15" i="54"/>
  <c r="AC23" i="54" s="1"/>
  <c r="AC14" i="54"/>
  <c r="AE12" i="54"/>
  <c r="AC12" i="54"/>
  <c r="AB20" i="54" s="1"/>
  <c r="AB12" i="54"/>
  <c r="AA20" i="54" s="1"/>
  <c r="AA12" i="54"/>
  <c r="AB15" i="54" s="1"/>
  <c r="AB23" i="54" s="1"/>
  <c r="AD11" i="54"/>
  <c r="AC19" i="54" s="1"/>
  <c r="AA11" i="54"/>
  <c r="AE11" i="54" s="1"/>
  <c r="AD19" i="54" s="1"/>
  <c r="AC22" i="53"/>
  <c r="AD20" i="53"/>
  <c r="AD15" i="53"/>
  <c r="AD23" i="53" s="1"/>
  <c r="AC15" i="53"/>
  <c r="AC23" i="53" s="1"/>
  <c r="AC14" i="53"/>
  <c r="AE12" i="53"/>
  <c r="AC12" i="53"/>
  <c r="AB20" i="53" s="1"/>
  <c r="AB12" i="53"/>
  <c r="AA20" i="53" s="1"/>
  <c r="AA12" i="53"/>
  <c r="AB15" i="53" s="1"/>
  <c r="AB23" i="53" s="1"/>
  <c r="AD11" i="53"/>
  <c r="AC19" i="53" s="1"/>
  <c r="AA11" i="53"/>
  <c r="AB14" i="53" s="1"/>
  <c r="AB22" i="53" s="1"/>
  <c r="AC22" i="52"/>
  <c r="AD20" i="52"/>
  <c r="AC19" i="52"/>
  <c r="AD15" i="52"/>
  <c r="AD23" i="52" s="1"/>
  <c r="AC15" i="52"/>
  <c r="AC23" i="52" s="1"/>
  <c r="AC14" i="52"/>
  <c r="AE12" i="52"/>
  <c r="AC12" i="52"/>
  <c r="AB20" i="52" s="1"/>
  <c r="AB12" i="52"/>
  <c r="AA20" i="52" s="1"/>
  <c r="AA12" i="52"/>
  <c r="AB15" i="52" s="1"/>
  <c r="AB23" i="52" s="1"/>
  <c r="AD11" i="52"/>
  <c r="AA11" i="52"/>
  <c r="AB11" i="52" s="1"/>
  <c r="AA19" i="52" s="1"/>
  <c r="AB15" i="58" l="1"/>
  <c r="AB23" i="58" s="1"/>
  <c r="AC12" i="58"/>
  <c r="AB20" i="58" s="1"/>
  <c r="AD15" i="58"/>
  <c r="AD23" i="58" s="1"/>
  <c r="AE12" i="58"/>
  <c r="AD20" i="58" s="1"/>
  <c r="AD15" i="57"/>
  <c r="AD23" i="57" s="1"/>
  <c r="AB15" i="57"/>
  <c r="AB23" i="57" s="1"/>
  <c r="AC12" i="57"/>
  <c r="AB20" i="57" s="1"/>
  <c r="AB12" i="56"/>
  <c r="AA20" i="56" s="1"/>
  <c r="AC15" i="56"/>
  <c r="AC23" i="56" s="1"/>
  <c r="AC12" i="56"/>
  <c r="AB20" i="56" s="1"/>
  <c r="AB11" i="56"/>
  <c r="AA19" i="56" s="1"/>
  <c r="AE12" i="56"/>
  <c r="AD20" i="56" s="1"/>
  <c r="AD15" i="56"/>
  <c r="AD23" i="56" s="1"/>
  <c r="AB15" i="56"/>
  <c r="AB23" i="56" s="1"/>
  <c r="AD12" i="56"/>
  <c r="AC20" i="56" s="1"/>
  <c r="AC11" i="56"/>
  <c r="AB19" i="56" s="1"/>
  <c r="AB14" i="56"/>
  <c r="AB22" i="56" s="1"/>
  <c r="AD11" i="56"/>
  <c r="AC19" i="56" s="1"/>
  <c r="AE11" i="56"/>
  <c r="AD19" i="56" s="1"/>
  <c r="AB14" i="55"/>
  <c r="AB22" i="55" s="1"/>
  <c r="AD11" i="55"/>
  <c r="AC19" i="55" s="1"/>
  <c r="AC14" i="55"/>
  <c r="AC22" i="55" s="1"/>
  <c r="AC15" i="55"/>
  <c r="AC23" i="55" s="1"/>
  <c r="AD12" i="55"/>
  <c r="AC20" i="55" s="1"/>
  <c r="AC11" i="55"/>
  <c r="AB19" i="55" s="1"/>
  <c r="AE11" i="55"/>
  <c r="AD19" i="55" s="1"/>
  <c r="AD14" i="55"/>
  <c r="AD22" i="55" s="1"/>
  <c r="AD14" i="54"/>
  <c r="AD22" i="54" s="1"/>
  <c r="AD12" i="54"/>
  <c r="AC20" i="54" s="1"/>
  <c r="AB11" i="54"/>
  <c r="AA19" i="54" s="1"/>
  <c r="AC11" i="54"/>
  <c r="AB19" i="54" s="1"/>
  <c r="AB14" i="54"/>
  <c r="AB22" i="54" s="1"/>
  <c r="AC11" i="53"/>
  <c r="AB19" i="53" s="1"/>
  <c r="AE11" i="53"/>
  <c r="AD19" i="53" s="1"/>
  <c r="AD14" i="53"/>
  <c r="AD22" i="53" s="1"/>
  <c r="AD12" i="53"/>
  <c r="AC20" i="53" s="1"/>
  <c r="AB11" i="53"/>
  <c r="AA19" i="53" s="1"/>
  <c r="AB14" i="52"/>
  <c r="AB22" i="52" s="1"/>
  <c r="AC11" i="52"/>
  <c r="AB19" i="52" s="1"/>
  <c r="AE11" i="52"/>
  <c r="AD19" i="52" s="1"/>
  <c r="AD14" i="52"/>
  <c r="AD22" i="52" s="1"/>
  <c r="AD12" i="52"/>
  <c r="AC20" i="52" s="1"/>
  <c r="AA12" i="51"/>
  <c r="AC14" i="51" s="1"/>
  <c r="AC22" i="51" s="1"/>
  <c r="AA11" i="51"/>
  <c r="AD14" i="51" s="1"/>
  <c r="AD22" i="51" s="1"/>
  <c r="AD19" i="50"/>
  <c r="AD14" i="50"/>
  <c r="AD22" i="50" s="1"/>
  <c r="AC14" i="50"/>
  <c r="AC22" i="50" s="1"/>
  <c r="AA12" i="50"/>
  <c r="AE12" i="50" s="1"/>
  <c r="AD20" i="50" s="1"/>
  <c r="AE11" i="50"/>
  <c r="AD11" i="50"/>
  <c r="AC19" i="50" s="1"/>
  <c r="AA11" i="50"/>
  <c r="AB14" i="50" s="1"/>
  <c r="AB22" i="50" s="1"/>
  <c r="AC14" i="49"/>
  <c r="AC22" i="49" s="1"/>
  <c r="AA12" i="49"/>
  <c r="AE12" i="49" s="1"/>
  <c r="AD20" i="49" s="1"/>
  <c r="AD11" i="49"/>
  <c r="AC19" i="49" s="1"/>
  <c r="AA11" i="49"/>
  <c r="AB14" i="49" s="1"/>
  <c r="AB22" i="49" s="1"/>
  <c r="AD12" i="51" l="1"/>
  <c r="AC20" i="51" s="1"/>
  <c r="AB11" i="51"/>
  <c r="AA19" i="51" s="1"/>
  <c r="AD11" i="51"/>
  <c r="AC19" i="51" s="1"/>
  <c r="AB15" i="51"/>
  <c r="AB23" i="51" s="1"/>
  <c r="AB12" i="51"/>
  <c r="AA20" i="51" s="1"/>
  <c r="AC15" i="51"/>
  <c r="AC23" i="51" s="1"/>
  <c r="AC12" i="51"/>
  <c r="AB20" i="51" s="1"/>
  <c r="AD15" i="51"/>
  <c r="AD23" i="51" s="1"/>
  <c r="AE12" i="51"/>
  <c r="AD20" i="51" s="1"/>
  <c r="AC11" i="51"/>
  <c r="AB19" i="51" s="1"/>
  <c r="AB14" i="51"/>
  <c r="AB22" i="51" s="1"/>
  <c r="AE11" i="51"/>
  <c r="AD19" i="51" s="1"/>
  <c r="AB15" i="50"/>
  <c r="AB23" i="50" s="1"/>
  <c r="AB12" i="50"/>
  <c r="AA20" i="50" s="1"/>
  <c r="AC15" i="50"/>
  <c r="AC23" i="50" s="1"/>
  <c r="AC12" i="50"/>
  <c r="AB20" i="50" s="1"/>
  <c r="AD15" i="50"/>
  <c r="AD23" i="50" s="1"/>
  <c r="AD12" i="50"/>
  <c r="AC20" i="50" s="1"/>
  <c r="AB11" i="50"/>
  <c r="AA19" i="50" s="1"/>
  <c r="AC11" i="50"/>
  <c r="AB19" i="50" s="1"/>
  <c r="AE11" i="49"/>
  <c r="AD19" i="49" s="1"/>
  <c r="AD14" i="49"/>
  <c r="AD22" i="49" s="1"/>
  <c r="AB15" i="49"/>
  <c r="AB23" i="49" s="1"/>
  <c r="AB12" i="49"/>
  <c r="AA20" i="49" s="1"/>
  <c r="AC12" i="49"/>
  <c r="AB20" i="49" s="1"/>
  <c r="AD15" i="49"/>
  <c r="AD23" i="49" s="1"/>
  <c r="AC15" i="49"/>
  <c r="AC23" i="49" s="1"/>
  <c r="AD12" i="49"/>
  <c r="AC20" i="49" s="1"/>
  <c r="AB11" i="49"/>
  <c r="AA19" i="49" s="1"/>
  <c r="AC11" i="49"/>
  <c r="AB19" i="49" s="1"/>
  <c r="AA12" i="48"/>
  <c r="AB15" i="48" l="1"/>
  <c r="AB23" i="48" s="1"/>
  <c r="AC12" i="48"/>
  <c r="AB20" i="48" s="1"/>
  <c r="AD15" i="48"/>
  <c r="AD23" i="48" s="1"/>
  <c r="AE12" i="48"/>
  <c r="AD20" i="48" s="1"/>
  <c r="AD14" i="47"/>
  <c r="AD22" i="47" s="1"/>
  <c r="AA12" i="47"/>
  <c r="AC14" i="47" s="1"/>
  <c r="AC22" i="47" s="1"/>
  <c r="AE11" i="47"/>
  <c r="AD19" i="47" s="1"/>
  <c r="AA11" i="47"/>
  <c r="AB14" i="47" s="1"/>
  <c r="AB22" i="47" s="1"/>
  <c r="AD15" i="46"/>
  <c r="AD23" i="46" s="1"/>
  <c r="AC12" i="46"/>
  <c r="AB20" i="46" s="1"/>
  <c r="AB12" i="46"/>
  <c r="AA20" i="46" s="1"/>
  <c r="AA12" i="46"/>
  <c r="AB15" i="46" s="1"/>
  <c r="AB23" i="46" s="1"/>
  <c r="AA11" i="46"/>
  <c r="AC15" i="46" s="1"/>
  <c r="AC23" i="46" s="1"/>
  <c r="AA12" i="45"/>
  <c r="AC14" i="45" s="1"/>
  <c r="AC22" i="45" s="1"/>
  <c r="AA11" i="45"/>
  <c r="AD14" i="45" s="1"/>
  <c r="AD22" i="45" s="1"/>
  <c r="AB15" i="47" l="1"/>
  <c r="AB23" i="47" s="1"/>
  <c r="AB12" i="47"/>
  <c r="AA20" i="47" s="1"/>
  <c r="AC15" i="47"/>
  <c r="AC23" i="47" s="1"/>
  <c r="AC12" i="47"/>
  <c r="AB20" i="47" s="1"/>
  <c r="AD15" i="47"/>
  <c r="AD23" i="47" s="1"/>
  <c r="AD12" i="47"/>
  <c r="AC20" i="47" s="1"/>
  <c r="AB11" i="47"/>
  <c r="AA19" i="47" s="1"/>
  <c r="AE12" i="47"/>
  <c r="AD20" i="47" s="1"/>
  <c r="AC11" i="47"/>
  <c r="AB19" i="47" s="1"/>
  <c r="AD11" i="47"/>
  <c r="AC19" i="47" s="1"/>
  <c r="AB14" i="46"/>
  <c r="AB22" i="46" s="1"/>
  <c r="AD12" i="46"/>
  <c r="AC20" i="46" s="1"/>
  <c r="AB11" i="46"/>
  <c r="AA19" i="46" s="1"/>
  <c r="AE12" i="46"/>
  <c r="AD20" i="46" s="1"/>
  <c r="AC11" i="46"/>
  <c r="AB19" i="46" s="1"/>
  <c r="AD11" i="46"/>
  <c r="AC19" i="46" s="1"/>
  <c r="AC14" i="46"/>
  <c r="AC22" i="46" s="1"/>
  <c r="AE11" i="46"/>
  <c r="AD19" i="46" s="1"/>
  <c r="AD14" i="46"/>
  <c r="AD22" i="46" s="1"/>
  <c r="AB12" i="45"/>
  <c r="AA20" i="45" s="1"/>
  <c r="AC12" i="45"/>
  <c r="AB20" i="45" s="1"/>
  <c r="AE12" i="45"/>
  <c r="AD20" i="45" s="1"/>
  <c r="AB15" i="45"/>
  <c r="AB23" i="45" s="1"/>
  <c r="AC15" i="45"/>
  <c r="AC23" i="45" s="1"/>
  <c r="AD15" i="45"/>
  <c r="AD23" i="45" s="1"/>
  <c r="AD12" i="45"/>
  <c r="AC20" i="45" s="1"/>
  <c r="AB11" i="45"/>
  <c r="AA19" i="45" s="1"/>
  <c r="AC11" i="45"/>
  <c r="AB19" i="45" s="1"/>
  <c r="AB14" i="45"/>
  <c r="AB22" i="45" s="1"/>
  <c r="AD11" i="45"/>
  <c r="AC19" i="45" s="1"/>
  <c r="AE11" i="45"/>
  <c r="AD19" i="45" s="1"/>
  <c r="AC19" i="44"/>
  <c r="AB12" i="44"/>
  <c r="AA20" i="44" s="1"/>
  <c r="AA12" i="44"/>
  <c r="AD15" i="44" s="1"/>
  <c r="AD23" i="44" s="1"/>
  <c r="AD11" i="44"/>
  <c r="AA11" i="44"/>
  <c r="AB11" i="44" s="1"/>
  <c r="AA19" i="44" s="1"/>
  <c r="AC11" i="44" l="1"/>
  <c r="AB19" i="44" s="1"/>
  <c r="AE11" i="44"/>
  <c r="AD19" i="44" s="1"/>
  <c r="AD12" i="44"/>
  <c r="AC20" i="44" s="1"/>
  <c r="AB14" i="44"/>
  <c r="AB22" i="44" s="1"/>
  <c r="AD14" i="44"/>
  <c r="AD22" i="44" s="1"/>
  <c r="AC15" i="44"/>
  <c r="AC23" i="44" s="1"/>
  <c r="AC12" i="44"/>
  <c r="AB20" i="44" s="1"/>
  <c r="AE12" i="44"/>
  <c r="AD20" i="44" s="1"/>
  <c r="AC14" i="44"/>
  <c r="AC22" i="44" s="1"/>
  <c r="AB15" i="44"/>
  <c r="AB23" i="44" s="1"/>
  <c r="AC19" i="43"/>
  <c r="AB12" i="43"/>
  <c r="AA20" i="43" s="1"/>
  <c r="AA12" i="43"/>
  <c r="AD15" i="43" s="1"/>
  <c r="AD23" i="43" s="1"/>
  <c r="AD11" i="43"/>
  <c r="AA11" i="43"/>
  <c r="AB11" i="43" s="1"/>
  <c r="AA19" i="43" s="1"/>
  <c r="AC11" i="43" l="1"/>
  <c r="AB19" i="43" s="1"/>
  <c r="AE11" i="43"/>
  <c r="AD19" i="43" s="1"/>
  <c r="AD12" i="43"/>
  <c r="AC20" i="43" s="1"/>
  <c r="AB14" i="43"/>
  <c r="AB22" i="43" s="1"/>
  <c r="AD14" i="43"/>
  <c r="AD22" i="43" s="1"/>
  <c r="AC15" i="43"/>
  <c r="AC23" i="43" s="1"/>
  <c r="AC12" i="43"/>
  <c r="AB20" i="43" s="1"/>
  <c r="AE12" i="43"/>
  <c r="AD20" i="43" s="1"/>
  <c r="AC14" i="43"/>
  <c r="AC22" i="43" s="1"/>
  <c r="AB15" i="43"/>
  <c r="AB23" i="43" s="1"/>
  <c r="AA12" i="5"/>
  <c r="AD15" i="5" s="1"/>
  <c r="AD23" i="5" s="1"/>
  <c r="AC12" i="5" l="1"/>
  <c r="AB20" i="5" s="1"/>
  <c r="AE12" i="5"/>
  <c r="AD20" i="5" s="1"/>
  <c r="AB15" i="5"/>
  <c r="AB23" i="5" s="1"/>
  <c r="A5" i="86"/>
  <c r="A6" i="86" s="1"/>
  <c r="A7" i="86"/>
  <c r="A8" i="86" s="1"/>
  <c r="A9" i="86"/>
  <c r="A10" i="86" s="1"/>
  <c r="A11" i="86"/>
  <c r="A12" i="86" s="1"/>
  <c r="A13" i="86"/>
  <c r="A14" i="86" s="1"/>
  <c r="A15" i="86"/>
  <c r="A16" i="86"/>
  <c r="A17" i="86"/>
  <c r="A18" i="86" s="1"/>
  <c r="A19" i="86"/>
  <c r="A20" i="86" s="1"/>
  <c r="A21" i="86"/>
  <c r="A22" i="86" s="1"/>
  <c r="A23" i="86"/>
  <c r="A24" i="86" s="1"/>
  <c r="A25" i="86"/>
  <c r="A26" i="86" s="1"/>
  <c r="A27" i="86"/>
  <c r="A28" i="86" s="1"/>
  <c r="A29" i="86"/>
  <c r="A30" i="86" s="1"/>
  <c r="A31" i="86"/>
  <c r="A32" i="86" s="1"/>
  <c r="A33" i="86"/>
  <c r="A34" i="86" s="1"/>
  <c r="A35" i="86"/>
  <c r="A36" i="86" s="1"/>
  <c r="A37" i="86"/>
  <c r="A38" i="86" s="1"/>
  <c r="A39" i="86"/>
  <c r="A40" i="86" s="1"/>
  <c r="A41" i="86"/>
  <c r="A42" i="86" s="1"/>
  <c r="A43" i="86"/>
  <c r="A44" i="86" s="1"/>
  <c r="A45" i="86"/>
  <c r="A46" i="86" s="1"/>
  <c r="A47" i="86"/>
  <c r="A48" i="86" s="1"/>
  <c r="A49" i="86"/>
  <c r="A50" i="86" s="1"/>
  <c r="D4" i="2"/>
  <c r="BG896" i="84" s="1"/>
  <c r="D3" i="2"/>
  <c r="B2" i="2"/>
  <c r="H1" i="87" s="1"/>
  <c r="A7" i="82"/>
  <c r="H4" i="5"/>
  <c r="H3" i="5"/>
  <c r="A8" i="82"/>
  <c r="H4" i="43"/>
  <c r="H3" i="43"/>
  <c r="A9" i="82"/>
  <c r="A10" i="82"/>
  <c r="A11" i="82"/>
  <c r="A12" i="82"/>
  <c r="A13" i="82"/>
  <c r="A14" i="82"/>
  <c r="A15" i="82"/>
  <c r="A16" i="82"/>
  <c r="A17" i="82"/>
  <c r="A18" i="82"/>
  <c r="A19" i="82"/>
  <c r="A20" i="82"/>
  <c r="A21" i="82"/>
  <c r="A22" i="82"/>
  <c r="A23" i="82"/>
  <c r="A24" i="82"/>
  <c r="A25" i="82"/>
  <c r="A26" i="82"/>
  <c r="A27" i="82"/>
  <c r="A28" i="82"/>
  <c r="H4" i="44"/>
  <c r="H3" i="44"/>
  <c r="H4" i="45"/>
  <c r="H3" i="45"/>
  <c r="H4" i="46"/>
  <c r="H3" i="46"/>
  <c r="T32" i="46" s="1"/>
  <c r="H4" i="47"/>
  <c r="H3" i="47"/>
  <c r="T32" i="47" s="1"/>
  <c r="H4" i="48"/>
  <c r="H3" i="48"/>
  <c r="H4" i="49"/>
  <c r="H3" i="49"/>
  <c r="H4" i="50"/>
  <c r="H3" i="50"/>
  <c r="T32" i="50" s="1"/>
  <c r="H4" i="51"/>
  <c r="H3" i="51"/>
  <c r="T32" i="51" s="1"/>
  <c r="H4" i="52"/>
  <c r="H3" i="52"/>
  <c r="T32" i="52" s="1"/>
  <c r="H4" i="53"/>
  <c r="H3" i="53"/>
  <c r="H4" i="54"/>
  <c r="H3" i="54"/>
  <c r="T32" i="54" s="1"/>
  <c r="H4" i="55"/>
  <c r="H3" i="55"/>
  <c r="T32" i="55" s="1"/>
  <c r="H4" i="56"/>
  <c r="H3" i="56"/>
  <c r="H4" i="57"/>
  <c r="H3" i="57"/>
  <c r="H4" i="58"/>
  <c r="H3" i="58"/>
  <c r="H4" i="59"/>
  <c r="H3" i="59"/>
  <c r="T32" i="59" s="1"/>
  <c r="H4" i="60"/>
  <c r="H3" i="60"/>
  <c r="T32" i="60" s="1"/>
  <c r="AB12" i="60" s="1"/>
  <c r="AA20" i="60" s="1"/>
  <c r="H4" i="61"/>
  <c r="H3" i="61"/>
  <c r="H4" i="62"/>
  <c r="H3" i="62"/>
  <c r="T32" i="62" s="1"/>
  <c r="H4" i="63"/>
  <c r="H3" i="63"/>
  <c r="H4" i="64"/>
  <c r="H3" i="64"/>
  <c r="T32" i="64" s="1"/>
  <c r="H4" i="65"/>
  <c r="H3" i="65"/>
  <c r="H4" i="66"/>
  <c r="H3" i="66"/>
  <c r="T32" i="66" s="1"/>
  <c r="H4" i="67"/>
  <c r="H3" i="67"/>
  <c r="H4" i="68"/>
  <c r="H3" i="68"/>
  <c r="H4" i="69"/>
  <c r="W4" i="69" s="1"/>
  <c r="H3" i="69"/>
  <c r="H4" i="70"/>
  <c r="H3" i="70"/>
  <c r="W4" i="70"/>
  <c r="H4" i="71"/>
  <c r="X4" i="71" s="1"/>
  <c r="H3" i="71"/>
  <c r="W4" i="71" s="1"/>
  <c r="H4" i="72"/>
  <c r="H3" i="72"/>
  <c r="T32" i="72" s="1"/>
  <c r="H4" i="73"/>
  <c r="H3" i="73"/>
  <c r="H4" i="74"/>
  <c r="H3" i="74"/>
  <c r="H4" i="75"/>
  <c r="H3" i="75"/>
  <c r="W4" i="75" s="1"/>
  <c r="H4" i="76"/>
  <c r="H3" i="76"/>
  <c r="H4" i="77"/>
  <c r="W4" i="77" s="1"/>
  <c r="H3" i="77"/>
  <c r="H4" i="78"/>
  <c r="W4" i="78" s="1"/>
  <c r="H3" i="78"/>
  <c r="X4" i="78" s="1"/>
  <c r="H4" i="79"/>
  <c r="H3" i="79"/>
  <c r="W4" i="79" s="1"/>
  <c r="H4" i="80"/>
  <c r="X4" i="80" s="1"/>
  <c r="H3" i="80"/>
  <c r="X4" i="70"/>
  <c r="X4" i="75"/>
  <c r="X4" i="77"/>
  <c r="AD7" i="84"/>
  <c r="D1" i="2"/>
  <c r="D2" i="2"/>
  <c r="BF328" i="84" s="1"/>
  <c r="AD8" i="84"/>
  <c r="AD9" i="84"/>
  <c r="AD10" i="84"/>
  <c r="AD11" i="84"/>
  <c r="AD12" i="84"/>
  <c r="AD13" i="84"/>
  <c r="AD14" i="84"/>
  <c r="AD15" i="84"/>
  <c r="AD16" i="84"/>
  <c r="AD17" i="84"/>
  <c r="AD18" i="84"/>
  <c r="AD19" i="84"/>
  <c r="AD20" i="84"/>
  <c r="AD21" i="84"/>
  <c r="AD22" i="84"/>
  <c r="AD23" i="84"/>
  <c r="AD24" i="84"/>
  <c r="AD25" i="84"/>
  <c r="AD26" i="84"/>
  <c r="AD27" i="84"/>
  <c r="AD28" i="84"/>
  <c r="AD29" i="84"/>
  <c r="AD30" i="84"/>
  <c r="AD31" i="84"/>
  <c r="AD32" i="84"/>
  <c r="AD33" i="84"/>
  <c r="AD34" i="84"/>
  <c r="AD35" i="84"/>
  <c r="AD36" i="84"/>
  <c r="AD37" i="84"/>
  <c r="AD38" i="84"/>
  <c r="AD39" i="84"/>
  <c r="AD40" i="84"/>
  <c r="AD41" i="84"/>
  <c r="AD42" i="84"/>
  <c r="AD43" i="84"/>
  <c r="AD44" i="84"/>
  <c r="AD45" i="84"/>
  <c r="AD46" i="84"/>
  <c r="AD47" i="84"/>
  <c r="AD48" i="84"/>
  <c r="AD49" i="84"/>
  <c r="AD50" i="84"/>
  <c r="AD51" i="84"/>
  <c r="AD52" i="84"/>
  <c r="AD53" i="84"/>
  <c r="AD54" i="84"/>
  <c r="AD55" i="84"/>
  <c r="AD56" i="84"/>
  <c r="AD57" i="84"/>
  <c r="AD58" i="84"/>
  <c r="AD59" i="84"/>
  <c r="AD60" i="84"/>
  <c r="AD61" i="84"/>
  <c r="AD62" i="84"/>
  <c r="AD63" i="84"/>
  <c r="AD64" i="84"/>
  <c r="AD65" i="84"/>
  <c r="AD66" i="84"/>
  <c r="AD67" i="84"/>
  <c r="AD68" i="84"/>
  <c r="AD69" i="84"/>
  <c r="AD70" i="84"/>
  <c r="AD71" i="84"/>
  <c r="AD72" i="84"/>
  <c r="AD73" i="84"/>
  <c r="AD74" i="84"/>
  <c r="AD75" i="84"/>
  <c r="AD76" i="84"/>
  <c r="AD77" i="84"/>
  <c r="AD78" i="84"/>
  <c r="AD79" i="84"/>
  <c r="AD80" i="84"/>
  <c r="AD81" i="84"/>
  <c r="AD82" i="84"/>
  <c r="AD83" i="84"/>
  <c r="AD84" i="84"/>
  <c r="AD85" i="84"/>
  <c r="AD86" i="84"/>
  <c r="AD87" i="84"/>
  <c r="AD88" i="84"/>
  <c r="AD89" i="84"/>
  <c r="AD90" i="84"/>
  <c r="AD91" i="84"/>
  <c r="AD92" i="84"/>
  <c r="AD93" i="84"/>
  <c r="AD94" i="84"/>
  <c r="AD95" i="84"/>
  <c r="AD96" i="84"/>
  <c r="AD97" i="84"/>
  <c r="AD98" i="84"/>
  <c r="AD99" i="84"/>
  <c r="AD100" i="84"/>
  <c r="AD101" i="84"/>
  <c r="AD102" i="84"/>
  <c r="AD103" i="84"/>
  <c r="AD104" i="84"/>
  <c r="AD105" i="84"/>
  <c r="AD106" i="84"/>
  <c r="AD107" i="84"/>
  <c r="AD108" i="84"/>
  <c r="AD109" i="84"/>
  <c r="AD110" i="84"/>
  <c r="AD111" i="84"/>
  <c r="AD112" i="84"/>
  <c r="AD113" i="84"/>
  <c r="AD114" i="84"/>
  <c r="AD115" i="84"/>
  <c r="AD116" i="84"/>
  <c r="AD117" i="84"/>
  <c r="AD118" i="84"/>
  <c r="AD119" i="84"/>
  <c r="AD120" i="84"/>
  <c r="AD121" i="84"/>
  <c r="AD122" i="84"/>
  <c r="AD123" i="84"/>
  <c r="AD124" i="84"/>
  <c r="AD125" i="84"/>
  <c r="AD126" i="84"/>
  <c r="AD127" i="84"/>
  <c r="AD128" i="84"/>
  <c r="AD129" i="84"/>
  <c r="AD130" i="84"/>
  <c r="AD131" i="84"/>
  <c r="AD132" i="84"/>
  <c r="AD133" i="84"/>
  <c r="AD134" i="84"/>
  <c r="AD135" i="84"/>
  <c r="AD136" i="84"/>
  <c r="AD137" i="84"/>
  <c r="AD138" i="84"/>
  <c r="AD139" i="84"/>
  <c r="AD140" i="84"/>
  <c r="AD141" i="84"/>
  <c r="AD142" i="84"/>
  <c r="AD143" i="84"/>
  <c r="AD144" i="84"/>
  <c r="AD145" i="84"/>
  <c r="AD146" i="84"/>
  <c r="AD147" i="84"/>
  <c r="AD148" i="84"/>
  <c r="AD149" i="84"/>
  <c r="AD150" i="84"/>
  <c r="AD151" i="84"/>
  <c r="AD152" i="84"/>
  <c r="AD153" i="84"/>
  <c r="AD154" i="84"/>
  <c r="AD155" i="84"/>
  <c r="AD156" i="84"/>
  <c r="AD157" i="84"/>
  <c r="AD158" i="84"/>
  <c r="AD159" i="84"/>
  <c r="AD160" i="84"/>
  <c r="AD161" i="84"/>
  <c r="AD162" i="84"/>
  <c r="AD163" i="84"/>
  <c r="AD164" i="84"/>
  <c r="AD165" i="84"/>
  <c r="AD166" i="84"/>
  <c r="AD167" i="84"/>
  <c r="AD168" i="84"/>
  <c r="AD169" i="84"/>
  <c r="AD170" i="84"/>
  <c r="AD171" i="84"/>
  <c r="AD172" i="84"/>
  <c r="AD173" i="84"/>
  <c r="AD174" i="84"/>
  <c r="AD175" i="84"/>
  <c r="AD176" i="84"/>
  <c r="AD177" i="84"/>
  <c r="AD178" i="84"/>
  <c r="AD179" i="84"/>
  <c r="AD180" i="84"/>
  <c r="AD181" i="84"/>
  <c r="AD182" i="84"/>
  <c r="AD183" i="84"/>
  <c r="AD184" i="84"/>
  <c r="AD185" i="84"/>
  <c r="AD186" i="84"/>
  <c r="AD187" i="84"/>
  <c r="AD188" i="84"/>
  <c r="AD189" i="84"/>
  <c r="AD190" i="84"/>
  <c r="AD191" i="84"/>
  <c r="AD192" i="84"/>
  <c r="AD193" i="84"/>
  <c r="AD194" i="84"/>
  <c r="AD195" i="84"/>
  <c r="AD196" i="84"/>
  <c r="AD197" i="84"/>
  <c r="AD198" i="84"/>
  <c r="AD199" i="84"/>
  <c r="AD200" i="84"/>
  <c r="AD201" i="84"/>
  <c r="AD202" i="84"/>
  <c r="AD203" i="84"/>
  <c r="AD204" i="84"/>
  <c r="AD205" i="84"/>
  <c r="AD206" i="84"/>
  <c r="AD207" i="84"/>
  <c r="AD208" i="84"/>
  <c r="AD209" i="84"/>
  <c r="AD210" i="84"/>
  <c r="AD211" i="84"/>
  <c r="AD212" i="84"/>
  <c r="AD213" i="84"/>
  <c r="AD214" i="84"/>
  <c r="AD215" i="84"/>
  <c r="AD216" i="84"/>
  <c r="AD217" i="84"/>
  <c r="AD218" i="84"/>
  <c r="AD219" i="84"/>
  <c r="AD220" i="84"/>
  <c r="AD221" i="84"/>
  <c r="AD222" i="84"/>
  <c r="AD223" i="84"/>
  <c r="AD224" i="84"/>
  <c r="AD225" i="84"/>
  <c r="AD226" i="84"/>
  <c r="AD227" i="84"/>
  <c r="AD228" i="84"/>
  <c r="AD229" i="84"/>
  <c r="AD230" i="84"/>
  <c r="AD231" i="84"/>
  <c r="AD232" i="84"/>
  <c r="AD233" i="84"/>
  <c r="AD234" i="84"/>
  <c r="AD235" i="84"/>
  <c r="AD236" i="84"/>
  <c r="AD237" i="84"/>
  <c r="AD238" i="84"/>
  <c r="AD239" i="84"/>
  <c r="AD240" i="84"/>
  <c r="AD241" i="84"/>
  <c r="AD242" i="84"/>
  <c r="AD243" i="84"/>
  <c r="AD244" i="84"/>
  <c r="AD245" i="84"/>
  <c r="AD246" i="84"/>
  <c r="AD247" i="84"/>
  <c r="AD248" i="84"/>
  <c r="AD249" i="84"/>
  <c r="AD250" i="84"/>
  <c r="AD251" i="84"/>
  <c r="AD252" i="84"/>
  <c r="AD253" i="84"/>
  <c r="AD254" i="84"/>
  <c r="AD255" i="84"/>
  <c r="AD256" i="84"/>
  <c r="AD257" i="84"/>
  <c r="AD258" i="84"/>
  <c r="AD259" i="84"/>
  <c r="AD260" i="84"/>
  <c r="AD261" i="84"/>
  <c r="AD262" i="84"/>
  <c r="AD263" i="84"/>
  <c r="AD264" i="84"/>
  <c r="AD265" i="84"/>
  <c r="AD266" i="84"/>
  <c r="AD267" i="84"/>
  <c r="AD268" i="84"/>
  <c r="AD269" i="84"/>
  <c r="AD270" i="84"/>
  <c r="AD271" i="84"/>
  <c r="AD272" i="84"/>
  <c r="AD273" i="84"/>
  <c r="AD274" i="84"/>
  <c r="AD275" i="84"/>
  <c r="AD276" i="84"/>
  <c r="AD277" i="84"/>
  <c r="AD278" i="84"/>
  <c r="AD279" i="84"/>
  <c r="AD280" i="84"/>
  <c r="AD281" i="84"/>
  <c r="AD282" i="84"/>
  <c r="AD283" i="84"/>
  <c r="AD284" i="84"/>
  <c r="AD285" i="84"/>
  <c r="AD286" i="84"/>
  <c r="AD287" i="84"/>
  <c r="AD288" i="84"/>
  <c r="AD289" i="84"/>
  <c r="AD290" i="84"/>
  <c r="AD291" i="84"/>
  <c r="AD292" i="84"/>
  <c r="AD293" i="84"/>
  <c r="AD294" i="84"/>
  <c r="AD295" i="84"/>
  <c r="AD296" i="84"/>
  <c r="AD297" i="84"/>
  <c r="AD298" i="84"/>
  <c r="AD299" i="84"/>
  <c r="AD300" i="84"/>
  <c r="AD301" i="84"/>
  <c r="AD302" i="84"/>
  <c r="AD303" i="84"/>
  <c r="AD304" i="84"/>
  <c r="AD305" i="84"/>
  <c r="AD306" i="84"/>
  <c r="AD307" i="84"/>
  <c r="AD308" i="84"/>
  <c r="AD309" i="84"/>
  <c r="AD310" i="84"/>
  <c r="AD311" i="84"/>
  <c r="AD312" i="84"/>
  <c r="AD313" i="84"/>
  <c r="AD314" i="84"/>
  <c r="AD315" i="84"/>
  <c r="AD316" i="84"/>
  <c r="AD317" i="84"/>
  <c r="AD318" i="84"/>
  <c r="AD319" i="84"/>
  <c r="AD320" i="84"/>
  <c r="AD321" i="84"/>
  <c r="AD322" i="84"/>
  <c r="AD323" i="84"/>
  <c r="AD324" i="84"/>
  <c r="AD325" i="84"/>
  <c r="AD326" i="84"/>
  <c r="AD327" i="84"/>
  <c r="AD328" i="84"/>
  <c r="AD329" i="84"/>
  <c r="AD330" i="84"/>
  <c r="AD331" i="84"/>
  <c r="AD332" i="84"/>
  <c r="AD333" i="84"/>
  <c r="AD334" i="84"/>
  <c r="AD335" i="84"/>
  <c r="AD336" i="84"/>
  <c r="AD337" i="84"/>
  <c r="AD338" i="84"/>
  <c r="AD339" i="84"/>
  <c r="AD340" i="84"/>
  <c r="AD341" i="84"/>
  <c r="AD342" i="84"/>
  <c r="AD343" i="84"/>
  <c r="AD344" i="84"/>
  <c r="AD345" i="84"/>
  <c r="AD346" i="84"/>
  <c r="AD347" i="84"/>
  <c r="AD348" i="84"/>
  <c r="AD349" i="84"/>
  <c r="AD350" i="84"/>
  <c r="AD351" i="84"/>
  <c r="AD352" i="84"/>
  <c r="AD353" i="84"/>
  <c r="AD354" i="84"/>
  <c r="AD355" i="84"/>
  <c r="AD356" i="84"/>
  <c r="AD357" i="84"/>
  <c r="AD358" i="84"/>
  <c r="AD359" i="84"/>
  <c r="AD360" i="84"/>
  <c r="AD361" i="84"/>
  <c r="AD362" i="84"/>
  <c r="AD363" i="84"/>
  <c r="AD364" i="84"/>
  <c r="AD365" i="84"/>
  <c r="AD366" i="84"/>
  <c r="AD367" i="84"/>
  <c r="AD368" i="84"/>
  <c r="AD369" i="84"/>
  <c r="AD370" i="84"/>
  <c r="AD371" i="84"/>
  <c r="AD372" i="84"/>
  <c r="AD373" i="84"/>
  <c r="AD374" i="84"/>
  <c r="AD375" i="84"/>
  <c r="AD376" i="84"/>
  <c r="AD377" i="84"/>
  <c r="AD378" i="84"/>
  <c r="AD379" i="84"/>
  <c r="AD380" i="84"/>
  <c r="AD381" i="84"/>
  <c r="AD382" i="84"/>
  <c r="AD383" i="84"/>
  <c r="AD384" i="84"/>
  <c r="AD385" i="84"/>
  <c r="AD386" i="84"/>
  <c r="AD387" i="84"/>
  <c r="AD388" i="84"/>
  <c r="AD389" i="84"/>
  <c r="AD390" i="84"/>
  <c r="AD391" i="84"/>
  <c r="AD392" i="84"/>
  <c r="AD393" i="84"/>
  <c r="AD394" i="84"/>
  <c r="AD395" i="84"/>
  <c r="AD396" i="84"/>
  <c r="AD397" i="84"/>
  <c r="AD398" i="84"/>
  <c r="AD399" i="84"/>
  <c r="AD400" i="84"/>
  <c r="AD401" i="84"/>
  <c r="AD402" i="84"/>
  <c r="AD403" i="84"/>
  <c r="AD404" i="84"/>
  <c r="AD405" i="84"/>
  <c r="AD406" i="84"/>
  <c r="AD407" i="84"/>
  <c r="AD408" i="84"/>
  <c r="AD409" i="84"/>
  <c r="AD410" i="84"/>
  <c r="AD411" i="84"/>
  <c r="AD412" i="84"/>
  <c r="AD413" i="84"/>
  <c r="AD414" i="84"/>
  <c r="AD415" i="84"/>
  <c r="AD416" i="84"/>
  <c r="AD417" i="84"/>
  <c r="AD418" i="84"/>
  <c r="AD419" i="84"/>
  <c r="AD420" i="84"/>
  <c r="AD421" i="84"/>
  <c r="AD422" i="84"/>
  <c r="AD423" i="84"/>
  <c r="AD424" i="84"/>
  <c r="AD425" i="84"/>
  <c r="AD426" i="84"/>
  <c r="AD427" i="84"/>
  <c r="AD428" i="84"/>
  <c r="AD429" i="84"/>
  <c r="AD430" i="84"/>
  <c r="AD431" i="84"/>
  <c r="AD432" i="84"/>
  <c r="AD433" i="84"/>
  <c r="AD434" i="84"/>
  <c r="AD435" i="84"/>
  <c r="AD436" i="84"/>
  <c r="AD437" i="84"/>
  <c r="AD438" i="84"/>
  <c r="AD439" i="84"/>
  <c r="AD440" i="84"/>
  <c r="AD441" i="84"/>
  <c r="AD442" i="84"/>
  <c r="AD443" i="84"/>
  <c r="AD444" i="84"/>
  <c r="AD445" i="84"/>
  <c r="AD446" i="84"/>
  <c r="AD447" i="84"/>
  <c r="AD448" i="84"/>
  <c r="AD449" i="84"/>
  <c r="AD450" i="84"/>
  <c r="AD451" i="84"/>
  <c r="AD452" i="84"/>
  <c r="AD453" i="84"/>
  <c r="AD454" i="84"/>
  <c r="AD455" i="84"/>
  <c r="AD456" i="84"/>
  <c r="AD457" i="84"/>
  <c r="AD458" i="84"/>
  <c r="AD459" i="84"/>
  <c r="AD460" i="84"/>
  <c r="AD461" i="84"/>
  <c r="AD462" i="84"/>
  <c r="AD463" i="84"/>
  <c r="AD464" i="84"/>
  <c r="AD465" i="84"/>
  <c r="AD466" i="84"/>
  <c r="AD467" i="84"/>
  <c r="AD468" i="84"/>
  <c r="AD469" i="84"/>
  <c r="AD470" i="84"/>
  <c r="AD471" i="84"/>
  <c r="AD472" i="84"/>
  <c r="AD473" i="84"/>
  <c r="AD474" i="84"/>
  <c r="AD475" i="84"/>
  <c r="AD476" i="84"/>
  <c r="AD477" i="84"/>
  <c r="AD478" i="84"/>
  <c r="AD479" i="84"/>
  <c r="AD480" i="84"/>
  <c r="AD481" i="84"/>
  <c r="AD482" i="84"/>
  <c r="AD483" i="84"/>
  <c r="AD484" i="84"/>
  <c r="AD485" i="84"/>
  <c r="AD486" i="84"/>
  <c r="AD487" i="84"/>
  <c r="AD488" i="84"/>
  <c r="AD489" i="84"/>
  <c r="AD490" i="84"/>
  <c r="AD491" i="84"/>
  <c r="AD492" i="84"/>
  <c r="AD493" i="84"/>
  <c r="AD494" i="84"/>
  <c r="AD495" i="84"/>
  <c r="AD496" i="84"/>
  <c r="AD497" i="84"/>
  <c r="AD498" i="84"/>
  <c r="AD499" i="84"/>
  <c r="AD500" i="84"/>
  <c r="AD501" i="84"/>
  <c r="AD502" i="84"/>
  <c r="AD503" i="84"/>
  <c r="AD504" i="84"/>
  <c r="AD505" i="84"/>
  <c r="AD506" i="84"/>
  <c r="AD507" i="84"/>
  <c r="AD508" i="84"/>
  <c r="AD509" i="84"/>
  <c r="AD510" i="84"/>
  <c r="AD511" i="84"/>
  <c r="AD512" i="84"/>
  <c r="AD513" i="84"/>
  <c r="AD514" i="84"/>
  <c r="AD515" i="84"/>
  <c r="AD516" i="84"/>
  <c r="AD517" i="84"/>
  <c r="AD518" i="84"/>
  <c r="AD519" i="84"/>
  <c r="AD520" i="84"/>
  <c r="AD521" i="84"/>
  <c r="AD522" i="84"/>
  <c r="AD523" i="84"/>
  <c r="AD524" i="84"/>
  <c r="AD525" i="84"/>
  <c r="AD526" i="84"/>
  <c r="AD527" i="84"/>
  <c r="AD528" i="84"/>
  <c r="AD529" i="84"/>
  <c r="AD530" i="84"/>
  <c r="AD531" i="84"/>
  <c r="AD532" i="84"/>
  <c r="AD533" i="84"/>
  <c r="AD534" i="84"/>
  <c r="AD535" i="84"/>
  <c r="AD536" i="84"/>
  <c r="AD537" i="84"/>
  <c r="AD538" i="84"/>
  <c r="AD539" i="84"/>
  <c r="AD540" i="84"/>
  <c r="AD541" i="84"/>
  <c r="AD542" i="84"/>
  <c r="AD543" i="84"/>
  <c r="AD544" i="84"/>
  <c r="AD545" i="84"/>
  <c r="AD546" i="84"/>
  <c r="AD547" i="84"/>
  <c r="AD548" i="84"/>
  <c r="AD549" i="84"/>
  <c r="AD550" i="84"/>
  <c r="AD551" i="84"/>
  <c r="AD552" i="84"/>
  <c r="AD553" i="84"/>
  <c r="AD554" i="84"/>
  <c r="AD555" i="84"/>
  <c r="AD556" i="84"/>
  <c r="AD557" i="84"/>
  <c r="AD558" i="84"/>
  <c r="AD559" i="84"/>
  <c r="AD560" i="84"/>
  <c r="AD561" i="84"/>
  <c r="AD562" i="84"/>
  <c r="AD563" i="84"/>
  <c r="AD564" i="84"/>
  <c r="AD565" i="84"/>
  <c r="AD566" i="84"/>
  <c r="AD567" i="84"/>
  <c r="AD568" i="84"/>
  <c r="AD569" i="84"/>
  <c r="AD570" i="84"/>
  <c r="AD571" i="84"/>
  <c r="AD572" i="84"/>
  <c r="AD573" i="84"/>
  <c r="AD574" i="84"/>
  <c r="AD575" i="84"/>
  <c r="AD576" i="84"/>
  <c r="AD577" i="84"/>
  <c r="AD578" i="84"/>
  <c r="AD579" i="84"/>
  <c r="AD580" i="84"/>
  <c r="AD581" i="84"/>
  <c r="AD582" i="84"/>
  <c r="AD583" i="84"/>
  <c r="AD584" i="84"/>
  <c r="AD585" i="84"/>
  <c r="AD586" i="84"/>
  <c r="AD587" i="84"/>
  <c r="AD588" i="84"/>
  <c r="AD589" i="84"/>
  <c r="AD590" i="84"/>
  <c r="AD591" i="84"/>
  <c r="AD592" i="84"/>
  <c r="AD593" i="84"/>
  <c r="AD594" i="84"/>
  <c r="AD595" i="84"/>
  <c r="AD596" i="84"/>
  <c r="AD597" i="84"/>
  <c r="AD598" i="84"/>
  <c r="AD599" i="84"/>
  <c r="AD600" i="84"/>
  <c r="AD601" i="84"/>
  <c r="AD602" i="84"/>
  <c r="AD603" i="84"/>
  <c r="AD604" i="84"/>
  <c r="AD605" i="84"/>
  <c r="AD606" i="84"/>
  <c r="AD607" i="84"/>
  <c r="AD608" i="84"/>
  <c r="AD609" i="84"/>
  <c r="AD610" i="84"/>
  <c r="AD611" i="84"/>
  <c r="AD612" i="84"/>
  <c r="AD613" i="84"/>
  <c r="AD614" i="84"/>
  <c r="AD615" i="84"/>
  <c r="AD616" i="84"/>
  <c r="AD617" i="84"/>
  <c r="AD618" i="84"/>
  <c r="AD619" i="84"/>
  <c r="AD620" i="84"/>
  <c r="AD621" i="84"/>
  <c r="AD622" i="84"/>
  <c r="AD623" i="84"/>
  <c r="AD624" i="84"/>
  <c r="AD625" i="84"/>
  <c r="AD626" i="84"/>
  <c r="AD627" i="84"/>
  <c r="AD628" i="84"/>
  <c r="AD629" i="84"/>
  <c r="AD630" i="84"/>
  <c r="AD631" i="84"/>
  <c r="AD632" i="84"/>
  <c r="AD633" i="84"/>
  <c r="AD634" i="84"/>
  <c r="AD635" i="84"/>
  <c r="AD636" i="84"/>
  <c r="AD637" i="84"/>
  <c r="AD638" i="84"/>
  <c r="AD639" i="84"/>
  <c r="AD640" i="84"/>
  <c r="AD641" i="84"/>
  <c r="AD642" i="84"/>
  <c r="AD643" i="84"/>
  <c r="AD644" i="84"/>
  <c r="AD645" i="84"/>
  <c r="AD646" i="84"/>
  <c r="AD647" i="84"/>
  <c r="AD648" i="84"/>
  <c r="AD649" i="84"/>
  <c r="AD650" i="84"/>
  <c r="AD651" i="84"/>
  <c r="AD652" i="84"/>
  <c r="AD653" i="84"/>
  <c r="AD654" i="84"/>
  <c r="AD655" i="84"/>
  <c r="AD656" i="84"/>
  <c r="AD657" i="84"/>
  <c r="AD658" i="84"/>
  <c r="AD659" i="84"/>
  <c r="AD660" i="84"/>
  <c r="AD661" i="84"/>
  <c r="AD662" i="84"/>
  <c r="AD663" i="84"/>
  <c r="AD664" i="84"/>
  <c r="AD665" i="84"/>
  <c r="AD666" i="84"/>
  <c r="AD667" i="84"/>
  <c r="AD668" i="84"/>
  <c r="AD669" i="84"/>
  <c r="AD670" i="84"/>
  <c r="AD671" i="84"/>
  <c r="AD672" i="84"/>
  <c r="AD673" i="84"/>
  <c r="AD674" i="84"/>
  <c r="AD675" i="84"/>
  <c r="AD676" i="84"/>
  <c r="AD677" i="84"/>
  <c r="AD678" i="84"/>
  <c r="AD679" i="84"/>
  <c r="AD680" i="84"/>
  <c r="AD681" i="84"/>
  <c r="AD682" i="84"/>
  <c r="AD683" i="84"/>
  <c r="AD684" i="84"/>
  <c r="AD685" i="84"/>
  <c r="AD686" i="84"/>
  <c r="AD687" i="84"/>
  <c r="AD688" i="84"/>
  <c r="AD689" i="84"/>
  <c r="AD690" i="84"/>
  <c r="AD691" i="84"/>
  <c r="AD692" i="84"/>
  <c r="AD693" i="84"/>
  <c r="AD694" i="84"/>
  <c r="AD695" i="84"/>
  <c r="AD696" i="84"/>
  <c r="AD697" i="84"/>
  <c r="AD698" i="84"/>
  <c r="AD699" i="84"/>
  <c r="AD700" i="84"/>
  <c r="AD701" i="84"/>
  <c r="AD702" i="84"/>
  <c r="AD703" i="84"/>
  <c r="AD704" i="84"/>
  <c r="AD705" i="84"/>
  <c r="AD706" i="84"/>
  <c r="AD707" i="84"/>
  <c r="AD708" i="84"/>
  <c r="AD709" i="84"/>
  <c r="AD710" i="84"/>
  <c r="AD711" i="84"/>
  <c r="AD712" i="84"/>
  <c r="AD713" i="84"/>
  <c r="AD714" i="84"/>
  <c r="AD715" i="84"/>
  <c r="AD716" i="84"/>
  <c r="AD717" i="84"/>
  <c r="AD718" i="84"/>
  <c r="AD719" i="84"/>
  <c r="AD720" i="84"/>
  <c r="AD721" i="84"/>
  <c r="AD722" i="84"/>
  <c r="AD723" i="84"/>
  <c r="AD724" i="84"/>
  <c r="AD725" i="84"/>
  <c r="AD726" i="84"/>
  <c r="AD727" i="84"/>
  <c r="AD728" i="84"/>
  <c r="AD729" i="84"/>
  <c r="AD730" i="84"/>
  <c r="AD731" i="84"/>
  <c r="AD732" i="84"/>
  <c r="AD733" i="84"/>
  <c r="AD734" i="84"/>
  <c r="AD735" i="84"/>
  <c r="AD736" i="84"/>
  <c r="AD737" i="84"/>
  <c r="AD738" i="84"/>
  <c r="AD739" i="84"/>
  <c r="AD740" i="84"/>
  <c r="AD741" i="84"/>
  <c r="AD742" i="84"/>
  <c r="AD743" i="84"/>
  <c r="AD744" i="84"/>
  <c r="AD745" i="84"/>
  <c r="AD746" i="84"/>
  <c r="AD747" i="84"/>
  <c r="AD748" i="84"/>
  <c r="AD749" i="84"/>
  <c r="AD750" i="84"/>
  <c r="AD751" i="84"/>
  <c r="AD752" i="84"/>
  <c r="AD753" i="84"/>
  <c r="AD754" i="84"/>
  <c r="AD755" i="84"/>
  <c r="AD756" i="84"/>
  <c r="AD757" i="84"/>
  <c r="AD758" i="84"/>
  <c r="AD759" i="84"/>
  <c r="AD760" i="84"/>
  <c r="AD761" i="84"/>
  <c r="AD762" i="84"/>
  <c r="AD763" i="84"/>
  <c r="AD764" i="84"/>
  <c r="AD765" i="84"/>
  <c r="AD766" i="84"/>
  <c r="AD767" i="84"/>
  <c r="AD768" i="84"/>
  <c r="AD769" i="84"/>
  <c r="AD770" i="84"/>
  <c r="AD771" i="84"/>
  <c r="AD772" i="84"/>
  <c r="AD773" i="84"/>
  <c r="AD774" i="84"/>
  <c r="AD775" i="84"/>
  <c r="AD776" i="84"/>
  <c r="AD777" i="84"/>
  <c r="AD778" i="84"/>
  <c r="AD779" i="84"/>
  <c r="AD780" i="84"/>
  <c r="AD781" i="84"/>
  <c r="AD782" i="84"/>
  <c r="AD783" i="84"/>
  <c r="AD784" i="84"/>
  <c r="AD785" i="84"/>
  <c r="AD786" i="84"/>
  <c r="AD787" i="84"/>
  <c r="AD788" i="84"/>
  <c r="AD789" i="84"/>
  <c r="AD790" i="84"/>
  <c r="AD791" i="84"/>
  <c r="AD792" i="84"/>
  <c r="AD793" i="84"/>
  <c r="AD794" i="84"/>
  <c r="AD795" i="84"/>
  <c r="AD796" i="84"/>
  <c r="AD797" i="84"/>
  <c r="AD798" i="84"/>
  <c r="AD799" i="84"/>
  <c r="AD800" i="84"/>
  <c r="AD801" i="84"/>
  <c r="AD802" i="84"/>
  <c r="AD803" i="84"/>
  <c r="AD804" i="84"/>
  <c r="AD805" i="84"/>
  <c r="AD806" i="84"/>
  <c r="AD807" i="84"/>
  <c r="AD808" i="84"/>
  <c r="AD809" i="84"/>
  <c r="AD810" i="84"/>
  <c r="AD811" i="84"/>
  <c r="AD812" i="84"/>
  <c r="AD813" i="84"/>
  <c r="AD814" i="84"/>
  <c r="AD815" i="84"/>
  <c r="AD816" i="84"/>
  <c r="AD817" i="84"/>
  <c r="AD818" i="84"/>
  <c r="AD819" i="84"/>
  <c r="AD820" i="84"/>
  <c r="AD821" i="84"/>
  <c r="AD822" i="84"/>
  <c r="AD823" i="84"/>
  <c r="AD824" i="84"/>
  <c r="AD825" i="84"/>
  <c r="AD826" i="84"/>
  <c r="AD827" i="84"/>
  <c r="AD828" i="84"/>
  <c r="AD829" i="84"/>
  <c r="AD830" i="84"/>
  <c r="AD831" i="84"/>
  <c r="AD832" i="84"/>
  <c r="AD833" i="84"/>
  <c r="AD834" i="84"/>
  <c r="AD835" i="84"/>
  <c r="AD836" i="84"/>
  <c r="AD837" i="84"/>
  <c r="AD838" i="84"/>
  <c r="AD839" i="84"/>
  <c r="AD840" i="84"/>
  <c r="AD841" i="84"/>
  <c r="AD842" i="84"/>
  <c r="AD843" i="84"/>
  <c r="AD844" i="84"/>
  <c r="AD845" i="84"/>
  <c r="AD846" i="84"/>
  <c r="AD847" i="84"/>
  <c r="AD848" i="84"/>
  <c r="AD849" i="84"/>
  <c r="AD850" i="84"/>
  <c r="AD851" i="84"/>
  <c r="AD852" i="84"/>
  <c r="AD853" i="84"/>
  <c r="AD854" i="84"/>
  <c r="AD855" i="84"/>
  <c r="AD856" i="84"/>
  <c r="AD857" i="84"/>
  <c r="AD858" i="84"/>
  <c r="AD859" i="84"/>
  <c r="AD860" i="84"/>
  <c r="AD861" i="84"/>
  <c r="AD862" i="84"/>
  <c r="AD863" i="84"/>
  <c r="AD864" i="84"/>
  <c r="AD865" i="84"/>
  <c r="AD866" i="84"/>
  <c r="AD867" i="84"/>
  <c r="AD868" i="84"/>
  <c r="AD869" i="84"/>
  <c r="AD870" i="84"/>
  <c r="AD871" i="84"/>
  <c r="AD872" i="84"/>
  <c r="AD873" i="84"/>
  <c r="AD874" i="84"/>
  <c r="AD875" i="84"/>
  <c r="AD876" i="84"/>
  <c r="AD877" i="84"/>
  <c r="AD878" i="84"/>
  <c r="AD879" i="84"/>
  <c r="AD880" i="84"/>
  <c r="AD881" i="84"/>
  <c r="AD882" i="84"/>
  <c r="AD883" i="84"/>
  <c r="AD884" i="84"/>
  <c r="AD885" i="84"/>
  <c r="AD886" i="84"/>
  <c r="AD887" i="84"/>
  <c r="AD888" i="84"/>
  <c r="AD889" i="84"/>
  <c r="AD890" i="84"/>
  <c r="AD891" i="84"/>
  <c r="AD892" i="84"/>
  <c r="AD893" i="84"/>
  <c r="AD894" i="84"/>
  <c r="AD895" i="84"/>
  <c r="AD896" i="84"/>
  <c r="AD897" i="84"/>
  <c r="AD898" i="84"/>
  <c r="AD899" i="84"/>
  <c r="AD900" i="84"/>
  <c r="AD901" i="84"/>
  <c r="AD902" i="84"/>
  <c r="AD903" i="84"/>
  <c r="AD904" i="84"/>
  <c r="AD905" i="84"/>
  <c r="AD906" i="84"/>
  <c r="AD907" i="84"/>
  <c r="AD908" i="84"/>
  <c r="AD909" i="84"/>
  <c r="AD910" i="84"/>
  <c r="AD911" i="84"/>
  <c r="AD912" i="84"/>
  <c r="AD913" i="84"/>
  <c r="AD914" i="84"/>
  <c r="AD915" i="84"/>
  <c r="AD916" i="84"/>
  <c r="AD917" i="84"/>
  <c r="AD918" i="84"/>
  <c r="AD919" i="84"/>
  <c r="AD920" i="84"/>
  <c r="AD921" i="84"/>
  <c r="AD922" i="84"/>
  <c r="AD923" i="84"/>
  <c r="AD924" i="84"/>
  <c r="AD925" i="84"/>
  <c r="AD926" i="84"/>
  <c r="AD927" i="84"/>
  <c r="AD928" i="84"/>
  <c r="AD929" i="84"/>
  <c r="AD930" i="84"/>
  <c r="AD931" i="84"/>
  <c r="AD932" i="84"/>
  <c r="AD933" i="84"/>
  <c r="AD934" i="84"/>
  <c r="AD935" i="84"/>
  <c r="AD936" i="84"/>
  <c r="AD937" i="84"/>
  <c r="AD938" i="84"/>
  <c r="AD939" i="84"/>
  <c r="AD940" i="84"/>
  <c r="AD941" i="84"/>
  <c r="AD942" i="84"/>
  <c r="AD943" i="84"/>
  <c r="AD944" i="84"/>
  <c r="AD945" i="84"/>
  <c r="AD946" i="84"/>
  <c r="AD947" i="84"/>
  <c r="AD948" i="84"/>
  <c r="AD949" i="84"/>
  <c r="AD950" i="84"/>
  <c r="AD951" i="84"/>
  <c r="AD952" i="84"/>
  <c r="AD953" i="84"/>
  <c r="AD954" i="84"/>
  <c r="AD955" i="84"/>
  <c r="AD956" i="84"/>
  <c r="AD957" i="84"/>
  <c r="AD958" i="84"/>
  <c r="AD959" i="84"/>
  <c r="AD960" i="84"/>
  <c r="AD961" i="84"/>
  <c r="AD962" i="84"/>
  <c r="AD963" i="84"/>
  <c r="AD964" i="84"/>
  <c r="AD965" i="84"/>
  <c r="AD96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479" i="84"/>
  <c r="B480" i="84"/>
  <c r="B481" i="84"/>
  <c r="B482" i="84"/>
  <c r="B483" i="84"/>
  <c r="B484" i="84"/>
  <c r="B485" i="84"/>
  <c r="B486" i="84"/>
  <c r="B487" i="84"/>
  <c r="B488" i="84"/>
  <c r="B489" i="84"/>
  <c r="B490" i="84"/>
  <c r="B491" i="84"/>
  <c r="B492" i="84"/>
  <c r="B493" i="84"/>
  <c r="B494" i="84"/>
  <c r="B495" i="84"/>
  <c r="B496" i="84"/>
  <c r="B497" i="84"/>
  <c r="B498" i="84"/>
  <c r="B499" i="84"/>
  <c r="B500" i="84"/>
  <c r="B501" i="84"/>
  <c r="B502" i="84"/>
  <c r="B503" i="84"/>
  <c r="B504" i="84"/>
  <c r="B505" i="84"/>
  <c r="B506" i="84"/>
  <c r="B507" i="84"/>
  <c r="B508" i="84"/>
  <c r="B509" i="84"/>
  <c r="B510" i="84"/>
  <c r="B511" i="84"/>
  <c r="B512" i="84"/>
  <c r="B513" i="84"/>
  <c r="B514" i="84"/>
  <c r="B515" i="84"/>
  <c r="B516" i="84"/>
  <c r="B517" i="84"/>
  <c r="B518" i="84"/>
  <c r="B519" i="84"/>
  <c r="B520" i="84"/>
  <c r="B521" i="84"/>
  <c r="B522" i="84"/>
  <c r="B523" i="84"/>
  <c r="B524" i="84"/>
  <c r="B525" i="84"/>
  <c r="B526" i="84"/>
  <c r="B527" i="84"/>
  <c r="B528" i="84"/>
  <c r="B529" i="84"/>
  <c r="B530" i="84"/>
  <c r="B531" i="84"/>
  <c r="B532" i="84"/>
  <c r="B533" i="84"/>
  <c r="B534" i="84"/>
  <c r="D32" i="5"/>
  <c r="E32" i="5" s="1"/>
  <c r="D32" i="43"/>
  <c r="D32" i="44"/>
  <c r="D32" i="45"/>
  <c r="E32" i="45" s="1"/>
  <c r="D32" i="46"/>
  <c r="D32" i="47"/>
  <c r="D32" i="48"/>
  <c r="E32" i="48" s="1"/>
  <c r="D32" i="49"/>
  <c r="D32" i="50"/>
  <c r="D32" i="51"/>
  <c r="E32" i="51" s="1"/>
  <c r="D32" i="52"/>
  <c r="D32" i="53"/>
  <c r="D32" i="54"/>
  <c r="D32" i="55"/>
  <c r="D32" i="56"/>
  <c r="D31" i="56"/>
  <c r="E31" i="56" s="1"/>
  <c r="D32" i="57"/>
  <c r="D32" i="58"/>
  <c r="E32" i="58" s="1"/>
  <c r="D32" i="59"/>
  <c r="D32" i="60"/>
  <c r="D32" i="61"/>
  <c r="E32" i="61" s="1"/>
  <c r="D32" i="62"/>
  <c r="E32" i="62" s="1"/>
  <c r="D32" i="63"/>
  <c r="D32" i="64"/>
  <c r="D32" i="65"/>
  <c r="D32" i="66"/>
  <c r="E32" i="66" s="1"/>
  <c r="D32" i="67"/>
  <c r="D32" i="68"/>
  <c r="E32" i="68" s="1"/>
  <c r="D32" i="69"/>
  <c r="D32" i="70"/>
  <c r="D32" i="71"/>
  <c r="D32" i="72"/>
  <c r="E32" i="72" s="1"/>
  <c r="D32" i="73"/>
  <c r="E32" i="73" s="1"/>
  <c r="D32" i="74"/>
  <c r="D32" i="75"/>
  <c r="E32" i="75" s="1"/>
  <c r="D32" i="76"/>
  <c r="E32" i="76" s="1"/>
  <c r="D32" i="77"/>
  <c r="D32" i="78"/>
  <c r="D32" i="79"/>
  <c r="D32" i="80"/>
  <c r="X7" i="5"/>
  <c r="X8" i="5"/>
  <c r="X9" i="5"/>
  <c r="X10" i="5"/>
  <c r="X11" i="5"/>
  <c r="X12" i="5"/>
  <c r="X13" i="5"/>
  <c r="X14" i="5"/>
  <c r="X15" i="5"/>
  <c r="X16" i="5"/>
  <c r="X17" i="5"/>
  <c r="X18" i="5"/>
  <c r="X19" i="5"/>
  <c r="X20" i="5"/>
  <c r="X21" i="5"/>
  <c r="X22" i="5"/>
  <c r="X23" i="5"/>
  <c r="X24" i="5"/>
  <c r="X25" i="5"/>
  <c r="X26" i="5"/>
  <c r="X27" i="5"/>
  <c r="X28" i="5"/>
  <c r="X29" i="5"/>
  <c r="X30" i="5"/>
  <c r="X7" i="43"/>
  <c r="X8" i="43"/>
  <c r="X9" i="43"/>
  <c r="X10" i="43"/>
  <c r="X11" i="43"/>
  <c r="X12" i="43"/>
  <c r="X13" i="43"/>
  <c r="X14" i="43"/>
  <c r="X15" i="43"/>
  <c r="X16" i="43"/>
  <c r="X17" i="43"/>
  <c r="X18" i="43"/>
  <c r="X19" i="43"/>
  <c r="X20" i="43"/>
  <c r="X21" i="43"/>
  <c r="X22" i="43"/>
  <c r="X23" i="43"/>
  <c r="X24" i="43"/>
  <c r="X25" i="43"/>
  <c r="X26" i="43"/>
  <c r="X27" i="43"/>
  <c r="X28" i="43"/>
  <c r="X29" i="43"/>
  <c r="X30" i="43"/>
  <c r="X7" i="44"/>
  <c r="X8" i="44"/>
  <c r="X9" i="44"/>
  <c r="X10" i="44"/>
  <c r="X11" i="44"/>
  <c r="X12" i="44"/>
  <c r="X13" i="44"/>
  <c r="X14" i="44"/>
  <c r="X15" i="44"/>
  <c r="X16" i="44"/>
  <c r="X17" i="44"/>
  <c r="X18" i="44"/>
  <c r="X19" i="44"/>
  <c r="X20" i="44"/>
  <c r="X21" i="44"/>
  <c r="X22" i="44"/>
  <c r="X23" i="44"/>
  <c r="X24" i="44"/>
  <c r="X25" i="44"/>
  <c r="X26" i="44"/>
  <c r="X27" i="44"/>
  <c r="X28" i="44"/>
  <c r="X29" i="44"/>
  <c r="X30" i="44"/>
  <c r="X7" i="45"/>
  <c r="X8" i="45"/>
  <c r="X9" i="45"/>
  <c r="X10" i="45"/>
  <c r="X11" i="45"/>
  <c r="X12" i="45"/>
  <c r="X13" i="45"/>
  <c r="X14" i="45"/>
  <c r="X15" i="45"/>
  <c r="X16" i="45"/>
  <c r="X17" i="45"/>
  <c r="X18" i="45"/>
  <c r="X19" i="45"/>
  <c r="X20" i="45"/>
  <c r="X21" i="45"/>
  <c r="X22" i="45"/>
  <c r="X23" i="45"/>
  <c r="X24" i="45"/>
  <c r="X25" i="45"/>
  <c r="X26" i="45"/>
  <c r="X27" i="45"/>
  <c r="X28" i="45"/>
  <c r="X29" i="45"/>
  <c r="X30" i="45"/>
  <c r="X7" i="46"/>
  <c r="X8" i="46"/>
  <c r="X9" i="46"/>
  <c r="X10" i="46"/>
  <c r="X11" i="46"/>
  <c r="X12" i="46"/>
  <c r="X13" i="46"/>
  <c r="X14" i="46"/>
  <c r="X15" i="46"/>
  <c r="X16" i="46"/>
  <c r="X17" i="46"/>
  <c r="X18" i="46"/>
  <c r="X19" i="46"/>
  <c r="X20" i="46"/>
  <c r="X21" i="46"/>
  <c r="X22" i="46"/>
  <c r="X23" i="46"/>
  <c r="X24" i="46"/>
  <c r="X25" i="46"/>
  <c r="X26" i="46"/>
  <c r="X27" i="46"/>
  <c r="X28" i="46"/>
  <c r="X29" i="46"/>
  <c r="X30" i="46"/>
  <c r="X7" i="47"/>
  <c r="X8" i="47"/>
  <c r="X9" i="47"/>
  <c r="X10" i="47"/>
  <c r="X11" i="47"/>
  <c r="X12" i="47"/>
  <c r="X13" i="47"/>
  <c r="X14" i="47"/>
  <c r="X15" i="47"/>
  <c r="X16" i="47"/>
  <c r="X17" i="47"/>
  <c r="X18" i="47"/>
  <c r="X19" i="47"/>
  <c r="X20" i="47"/>
  <c r="X21" i="47"/>
  <c r="X22" i="47"/>
  <c r="X23" i="47"/>
  <c r="X24" i="47"/>
  <c r="X25" i="47"/>
  <c r="X26" i="47"/>
  <c r="X27" i="47"/>
  <c r="X28" i="47"/>
  <c r="X29" i="47"/>
  <c r="X30" i="47"/>
  <c r="X7" i="48"/>
  <c r="X8" i="48"/>
  <c r="X9" i="48"/>
  <c r="X10" i="48"/>
  <c r="X11" i="48"/>
  <c r="X12" i="48"/>
  <c r="X13" i="48"/>
  <c r="X14" i="48"/>
  <c r="X15" i="48"/>
  <c r="X16" i="48"/>
  <c r="X17" i="48"/>
  <c r="X18" i="48"/>
  <c r="X19" i="48"/>
  <c r="X20" i="48"/>
  <c r="X21" i="48"/>
  <c r="X22" i="48"/>
  <c r="X23" i="48"/>
  <c r="X24" i="48"/>
  <c r="X25" i="48"/>
  <c r="X26" i="48"/>
  <c r="X27" i="48"/>
  <c r="X28" i="48"/>
  <c r="X29" i="48"/>
  <c r="X30" i="48"/>
  <c r="X7" i="49"/>
  <c r="X8" i="49"/>
  <c r="X9" i="49"/>
  <c r="X10" i="49"/>
  <c r="X11" i="49"/>
  <c r="X12" i="49"/>
  <c r="X13" i="49"/>
  <c r="X14" i="49"/>
  <c r="X15" i="49"/>
  <c r="X16" i="49"/>
  <c r="X17" i="49"/>
  <c r="X18" i="49"/>
  <c r="X19" i="49"/>
  <c r="X20" i="49"/>
  <c r="X21" i="49"/>
  <c r="X22" i="49"/>
  <c r="X23" i="49"/>
  <c r="X24" i="49"/>
  <c r="X25" i="49"/>
  <c r="X26" i="49"/>
  <c r="X27" i="49"/>
  <c r="X28" i="49"/>
  <c r="X29" i="49"/>
  <c r="X30" i="49"/>
  <c r="X7" i="50"/>
  <c r="X8" i="50"/>
  <c r="X9" i="50"/>
  <c r="X10" i="50"/>
  <c r="X11" i="50"/>
  <c r="X12" i="50"/>
  <c r="X13" i="50"/>
  <c r="X14" i="50"/>
  <c r="X15" i="50"/>
  <c r="X16" i="50"/>
  <c r="X17" i="50"/>
  <c r="X18" i="50"/>
  <c r="X19" i="50"/>
  <c r="X20" i="50"/>
  <c r="X21" i="50"/>
  <c r="X22" i="50"/>
  <c r="X23" i="50"/>
  <c r="X24" i="50"/>
  <c r="X25" i="50"/>
  <c r="X26" i="50"/>
  <c r="X27" i="50"/>
  <c r="X28" i="50"/>
  <c r="X29" i="50"/>
  <c r="X30" i="50"/>
  <c r="X7" i="51"/>
  <c r="X8" i="51"/>
  <c r="X9" i="51"/>
  <c r="X10" i="51"/>
  <c r="X11" i="51"/>
  <c r="X12" i="51"/>
  <c r="X13" i="51"/>
  <c r="X14" i="51"/>
  <c r="X15" i="51"/>
  <c r="X16" i="51"/>
  <c r="X17" i="51"/>
  <c r="X18" i="51"/>
  <c r="X19" i="51"/>
  <c r="X20" i="51"/>
  <c r="X21" i="51"/>
  <c r="X22" i="51"/>
  <c r="X23" i="51"/>
  <c r="X24" i="51"/>
  <c r="X25" i="51"/>
  <c r="X26" i="51"/>
  <c r="X27" i="51"/>
  <c r="X28" i="51"/>
  <c r="X29" i="51"/>
  <c r="X30" i="51"/>
  <c r="X7" i="52"/>
  <c r="X8" i="52"/>
  <c r="X9" i="52"/>
  <c r="X10" i="52"/>
  <c r="X11" i="52"/>
  <c r="X12" i="52"/>
  <c r="X13" i="52"/>
  <c r="X14" i="52"/>
  <c r="X15" i="52"/>
  <c r="X16" i="52"/>
  <c r="X17" i="52"/>
  <c r="X18" i="52"/>
  <c r="X19" i="52"/>
  <c r="X20" i="52"/>
  <c r="X21" i="52"/>
  <c r="X22" i="52"/>
  <c r="X23" i="52"/>
  <c r="X24" i="52"/>
  <c r="X25" i="52"/>
  <c r="X26" i="52"/>
  <c r="X27" i="52"/>
  <c r="X28" i="52"/>
  <c r="X29" i="52"/>
  <c r="X30" i="52"/>
  <c r="X7" i="53"/>
  <c r="X8" i="53"/>
  <c r="X9" i="53"/>
  <c r="X10" i="53"/>
  <c r="X11" i="53"/>
  <c r="X12" i="53"/>
  <c r="X13" i="53"/>
  <c r="X14" i="53"/>
  <c r="X15" i="53"/>
  <c r="X16" i="53"/>
  <c r="X17" i="53"/>
  <c r="X18" i="53"/>
  <c r="X19" i="53"/>
  <c r="X20" i="53"/>
  <c r="X21" i="53"/>
  <c r="X22" i="53"/>
  <c r="X23" i="53"/>
  <c r="X24" i="53"/>
  <c r="X25" i="53"/>
  <c r="X26" i="53"/>
  <c r="X27" i="53"/>
  <c r="X28" i="53"/>
  <c r="X29" i="53"/>
  <c r="X30" i="53"/>
  <c r="X7" i="54"/>
  <c r="X8" i="54"/>
  <c r="X9" i="54"/>
  <c r="X10" i="54"/>
  <c r="X11" i="54"/>
  <c r="X12" i="54"/>
  <c r="X13" i="54"/>
  <c r="X14" i="54"/>
  <c r="X15" i="54"/>
  <c r="X16" i="54"/>
  <c r="X17" i="54"/>
  <c r="X18" i="54"/>
  <c r="X19" i="54"/>
  <c r="X20" i="54"/>
  <c r="X21" i="54"/>
  <c r="X22" i="54"/>
  <c r="X23" i="54"/>
  <c r="X24" i="54"/>
  <c r="X25" i="54"/>
  <c r="X26" i="54"/>
  <c r="X27" i="54"/>
  <c r="X28" i="54"/>
  <c r="X29" i="54"/>
  <c r="X30" i="54"/>
  <c r="X7" i="55"/>
  <c r="X8" i="55"/>
  <c r="X9" i="55"/>
  <c r="X10" i="55"/>
  <c r="X11" i="55"/>
  <c r="X12" i="55"/>
  <c r="X13" i="55"/>
  <c r="X14" i="55"/>
  <c r="X15" i="55"/>
  <c r="X16" i="55"/>
  <c r="X17" i="55"/>
  <c r="X18" i="55"/>
  <c r="X19" i="55"/>
  <c r="X20" i="55"/>
  <c r="X21" i="55"/>
  <c r="X22" i="55"/>
  <c r="X23" i="55"/>
  <c r="X24" i="55"/>
  <c r="X25" i="55"/>
  <c r="X26" i="55"/>
  <c r="X27" i="55"/>
  <c r="X28" i="55"/>
  <c r="X29" i="55"/>
  <c r="X30" i="55"/>
  <c r="X7" i="56"/>
  <c r="X8" i="56"/>
  <c r="X9" i="56"/>
  <c r="X10" i="56"/>
  <c r="X11" i="56"/>
  <c r="X12" i="56"/>
  <c r="X13" i="56"/>
  <c r="X14" i="56"/>
  <c r="X15" i="56"/>
  <c r="X16" i="56"/>
  <c r="X17" i="56"/>
  <c r="X18" i="56"/>
  <c r="X19" i="56"/>
  <c r="X20" i="56"/>
  <c r="X21" i="56"/>
  <c r="X22" i="56"/>
  <c r="X23" i="56"/>
  <c r="X24" i="56"/>
  <c r="X25" i="56"/>
  <c r="X26" i="56"/>
  <c r="X27" i="56"/>
  <c r="X28" i="56"/>
  <c r="X29" i="56"/>
  <c r="X30" i="56"/>
  <c r="X7" i="57"/>
  <c r="X8" i="57"/>
  <c r="X9" i="57"/>
  <c r="X10" i="57"/>
  <c r="X11" i="57"/>
  <c r="X12" i="57"/>
  <c r="X13" i="57"/>
  <c r="X14" i="57"/>
  <c r="X15" i="57"/>
  <c r="X16" i="57"/>
  <c r="X17" i="57"/>
  <c r="X18" i="57"/>
  <c r="X19" i="57"/>
  <c r="X20" i="57"/>
  <c r="X21" i="57"/>
  <c r="X22" i="57"/>
  <c r="X23" i="57"/>
  <c r="X24" i="57"/>
  <c r="X25" i="57"/>
  <c r="X26" i="57"/>
  <c r="X27" i="57"/>
  <c r="X28" i="57"/>
  <c r="X29" i="57"/>
  <c r="X30" i="57"/>
  <c r="X7" i="58"/>
  <c r="X8" i="58"/>
  <c r="X9" i="58"/>
  <c r="X10" i="58"/>
  <c r="X11" i="58"/>
  <c r="X12" i="58"/>
  <c r="X13" i="58"/>
  <c r="X14" i="58"/>
  <c r="X15" i="58"/>
  <c r="X16" i="58"/>
  <c r="X17" i="58"/>
  <c r="X18" i="58"/>
  <c r="X19" i="58"/>
  <c r="X20" i="58"/>
  <c r="X21" i="58"/>
  <c r="X22" i="58"/>
  <c r="X23" i="58"/>
  <c r="X24" i="58"/>
  <c r="X25" i="58"/>
  <c r="X26" i="58"/>
  <c r="X27" i="58"/>
  <c r="X28" i="58"/>
  <c r="X29" i="58"/>
  <c r="X30" i="58"/>
  <c r="X7" i="59"/>
  <c r="X8" i="59"/>
  <c r="X9" i="59"/>
  <c r="X10" i="59"/>
  <c r="X11" i="59"/>
  <c r="X12" i="59"/>
  <c r="X13" i="59"/>
  <c r="X14" i="59"/>
  <c r="X15" i="59"/>
  <c r="X16" i="59"/>
  <c r="X17" i="59"/>
  <c r="X18" i="59"/>
  <c r="X19" i="59"/>
  <c r="X20" i="59"/>
  <c r="X21" i="59"/>
  <c r="X22" i="59"/>
  <c r="X23" i="59"/>
  <c r="X24" i="59"/>
  <c r="X25" i="59"/>
  <c r="X26" i="59"/>
  <c r="X27" i="59"/>
  <c r="X28" i="59"/>
  <c r="X29" i="59"/>
  <c r="X30" i="59"/>
  <c r="X7" i="60"/>
  <c r="X8" i="60"/>
  <c r="X9" i="60"/>
  <c r="X10" i="60"/>
  <c r="X11" i="60"/>
  <c r="X12" i="60"/>
  <c r="X13" i="60"/>
  <c r="X14" i="60"/>
  <c r="X15" i="60"/>
  <c r="X16" i="60"/>
  <c r="X17" i="60"/>
  <c r="X18" i="60"/>
  <c r="X19" i="60"/>
  <c r="X20" i="60"/>
  <c r="X21" i="60"/>
  <c r="X22" i="60"/>
  <c r="X23" i="60"/>
  <c r="X24" i="60"/>
  <c r="X25" i="60"/>
  <c r="X26" i="60"/>
  <c r="X27" i="60"/>
  <c r="X28" i="60"/>
  <c r="X29" i="60"/>
  <c r="X30" i="60"/>
  <c r="X7" i="61"/>
  <c r="X8" i="61"/>
  <c r="X9" i="61"/>
  <c r="X10" i="61"/>
  <c r="X11" i="61"/>
  <c r="X12" i="61"/>
  <c r="X13" i="61"/>
  <c r="X14" i="61"/>
  <c r="X15" i="61"/>
  <c r="X16" i="61"/>
  <c r="X17" i="61"/>
  <c r="X18" i="61"/>
  <c r="X19" i="61"/>
  <c r="X20" i="61"/>
  <c r="X21" i="61"/>
  <c r="X22" i="61"/>
  <c r="X23" i="61"/>
  <c r="X24" i="61"/>
  <c r="X25" i="61"/>
  <c r="X26" i="61"/>
  <c r="X27" i="61"/>
  <c r="X28" i="61"/>
  <c r="X29" i="61"/>
  <c r="X30" i="61"/>
  <c r="X7" i="62"/>
  <c r="X8" i="62"/>
  <c r="X9" i="62"/>
  <c r="X10" i="62"/>
  <c r="X11" i="62"/>
  <c r="X12" i="62"/>
  <c r="X13" i="62"/>
  <c r="X14" i="62"/>
  <c r="X15" i="62"/>
  <c r="X16" i="62"/>
  <c r="X17" i="62"/>
  <c r="X18" i="62"/>
  <c r="X19" i="62"/>
  <c r="X20" i="62"/>
  <c r="X21" i="62"/>
  <c r="X22" i="62"/>
  <c r="X23" i="62"/>
  <c r="X24" i="62"/>
  <c r="X25" i="62"/>
  <c r="X26" i="62"/>
  <c r="X27" i="62"/>
  <c r="X28" i="62"/>
  <c r="X29" i="62"/>
  <c r="X30" i="62"/>
  <c r="X7" i="63"/>
  <c r="X8" i="63"/>
  <c r="X9" i="63"/>
  <c r="X10" i="63"/>
  <c r="X11" i="63"/>
  <c r="X12" i="63"/>
  <c r="X13" i="63"/>
  <c r="X14" i="63"/>
  <c r="X15" i="63"/>
  <c r="X16" i="63"/>
  <c r="X17" i="63"/>
  <c r="X18" i="63"/>
  <c r="X19" i="63"/>
  <c r="X20" i="63"/>
  <c r="X21" i="63"/>
  <c r="X22" i="63"/>
  <c r="X23" i="63"/>
  <c r="X24" i="63"/>
  <c r="X25" i="63"/>
  <c r="X26" i="63"/>
  <c r="X27" i="63"/>
  <c r="X28" i="63"/>
  <c r="X29" i="63"/>
  <c r="X30" i="63"/>
  <c r="X7" i="64"/>
  <c r="X8" i="64"/>
  <c r="X9" i="64"/>
  <c r="X10" i="64"/>
  <c r="X11" i="64"/>
  <c r="X12" i="64"/>
  <c r="X13" i="64"/>
  <c r="X14" i="64"/>
  <c r="X15" i="64"/>
  <c r="X16" i="64"/>
  <c r="X17" i="64"/>
  <c r="X18" i="64"/>
  <c r="X19" i="64"/>
  <c r="X20" i="64"/>
  <c r="X21" i="64"/>
  <c r="X22" i="64"/>
  <c r="X23" i="64"/>
  <c r="X24" i="64"/>
  <c r="X25" i="64"/>
  <c r="X26" i="64"/>
  <c r="X27" i="64"/>
  <c r="X28" i="64"/>
  <c r="X29" i="64"/>
  <c r="X30" i="64"/>
  <c r="X7" i="65"/>
  <c r="X8" i="65"/>
  <c r="X9" i="65"/>
  <c r="X10" i="65"/>
  <c r="X11" i="65"/>
  <c r="X12" i="65"/>
  <c r="X13" i="65"/>
  <c r="X14" i="65"/>
  <c r="X15" i="65"/>
  <c r="X16" i="65"/>
  <c r="X17" i="65"/>
  <c r="X18" i="65"/>
  <c r="X19" i="65"/>
  <c r="X20" i="65"/>
  <c r="X21" i="65"/>
  <c r="X22" i="65"/>
  <c r="X23" i="65"/>
  <c r="X24" i="65"/>
  <c r="X25" i="65"/>
  <c r="X26" i="65"/>
  <c r="X27" i="65"/>
  <c r="X28" i="65"/>
  <c r="X29" i="65"/>
  <c r="X30" i="65"/>
  <c r="X7" i="66"/>
  <c r="X8" i="66"/>
  <c r="X9" i="66"/>
  <c r="X10" i="66"/>
  <c r="X11" i="66"/>
  <c r="X12" i="66"/>
  <c r="X13" i="66"/>
  <c r="X14" i="66"/>
  <c r="X15" i="66"/>
  <c r="X16" i="66"/>
  <c r="X17" i="66"/>
  <c r="X18" i="66"/>
  <c r="X19" i="66"/>
  <c r="X20" i="66"/>
  <c r="X21" i="66"/>
  <c r="X22" i="66"/>
  <c r="X23" i="66"/>
  <c r="X24" i="66"/>
  <c r="X25" i="66"/>
  <c r="X26" i="66"/>
  <c r="X27" i="66"/>
  <c r="X28" i="66"/>
  <c r="X29" i="66"/>
  <c r="X30" i="66"/>
  <c r="X7" i="67"/>
  <c r="X8" i="67"/>
  <c r="X9" i="67"/>
  <c r="X10" i="67"/>
  <c r="X11" i="67"/>
  <c r="X12" i="67"/>
  <c r="X13" i="67"/>
  <c r="X14" i="67"/>
  <c r="X15" i="67"/>
  <c r="X16" i="67"/>
  <c r="X17" i="67"/>
  <c r="X18" i="67"/>
  <c r="X19" i="67"/>
  <c r="X20" i="67"/>
  <c r="X21" i="67"/>
  <c r="X22" i="67"/>
  <c r="X23" i="67"/>
  <c r="X24" i="67"/>
  <c r="X25" i="67"/>
  <c r="X26" i="67"/>
  <c r="X27" i="67"/>
  <c r="X28" i="67"/>
  <c r="X29" i="67"/>
  <c r="X30" i="67"/>
  <c r="X7" i="68"/>
  <c r="X8" i="68"/>
  <c r="X9" i="68"/>
  <c r="X10" i="68"/>
  <c r="X11" i="68"/>
  <c r="X12" i="68"/>
  <c r="X13" i="68"/>
  <c r="X14" i="68"/>
  <c r="X15" i="68"/>
  <c r="X16" i="68"/>
  <c r="X17" i="68"/>
  <c r="X18" i="68"/>
  <c r="X19" i="68"/>
  <c r="X20" i="68"/>
  <c r="X21" i="68"/>
  <c r="X22" i="68"/>
  <c r="X23" i="68"/>
  <c r="X24" i="68"/>
  <c r="X25" i="68"/>
  <c r="X26" i="68"/>
  <c r="X27" i="68"/>
  <c r="X28" i="68"/>
  <c r="X29" i="68"/>
  <c r="X30" i="68"/>
  <c r="X7" i="69"/>
  <c r="X8" i="69"/>
  <c r="X9" i="69"/>
  <c r="X10" i="69"/>
  <c r="X11" i="69"/>
  <c r="X12" i="69"/>
  <c r="X13" i="69"/>
  <c r="X14" i="69"/>
  <c r="X15" i="69"/>
  <c r="X16" i="69"/>
  <c r="X17" i="69"/>
  <c r="X18" i="69"/>
  <c r="X19" i="69"/>
  <c r="X20" i="69"/>
  <c r="X21" i="69"/>
  <c r="X22" i="69"/>
  <c r="X23" i="69"/>
  <c r="X24" i="69"/>
  <c r="X25" i="69"/>
  <c r="X26" i="69"/>
  <c r="X27" i="69"/>
  <c r="X28" i="69"/>
  <c r="X29" i="69"/>
  <c r="X30" i="69"/>
  <c r="X7" i="70"/>
  <c r="X8" i="70"/>
  <c r="X9" i="70"/>
  <c r="X10" i="70"/>
  <c r="X11" i="70"/>
  <c r="X12" i="70"/>
  <c r="X13" i="70"/>
  <c r="X14" i="70"/>
  <c r="X15" i="70"/>
  <c r="X16" i="70"/>
  <c r="X17" i="70"/>
  <c r="X18" i="70"/>
  <c r="X19" i="70"/>
  <c r="X20" i="70"/>
  <c r="X21" i="70"/>
  <c r="X22" i="70"/>
  <c r="X23" i="70"/>
  <c r="X24" i="70"/>
  <c r="X25" i="70"/>
  <c r="X26" i="70"/>
  <c r="X27" i="70"/>
  <c r="X28" i="70"/>
  <c r="X29" i="70"/>
  <c r="X30" i="70"/>
  <c r="X7" i="71"/>
  <c r="X8" i="71"/>
  <c r="X9" i="71"/>
  <c r="X10" i="71"/>
  <c r="X11" i="71"/>
  <c r="X12" i="71"/>
  <c r="X13" i="71"/>
  <c r="X14" i="71"/>
  <c r="X15" i="71"/>
  <c r="X16" i="71"/>
  <c r="X17" i="71"/>
  <c r="X18" i="71"/>
  <c r="X19" i="71"/>
  <c r="X20" i="71"/>
  <c r="X21" i="71"/>
  <c r="X22" i="71"/>
  <c r="X23" i="71"/>
  <c r="X24" i="71"/>
  <c r="X25" i="71"/>
  <c r="X26" i="71"/>
  <c r="X27" i="71"/>
  <c r="X28" i="71"/>
  <c r="X29" i="71"/>
  <c r="X30" i="71"/>
  <c r="X7" i="72"/>
  <c r="X8" i="72"/>
  <c r="X9" i="72"/>
  <c r="X10" i="72"/>
  <c r="X11" i="72"/>
  <c r="X12" i="72"/>
  <c r="X13" i="72"/>
  <c r="X14" i="72"/>
  <c r="X15" i="72"/>
  <c r="X16" i="72"/>
  <c r="X17" i="72"/>
  <c r="X18" i="72"/>
  <c r="X19" i="72"/>
  <c r="X20" i="72"/>
  <c r="X21" i="72"/>
  <c r="X22" i="72"/>
  <c r="X23" i="72"/>
  <c r="X24" i="72"/>
  <c r="X25" i="72"/>
  <c r="X26" i="72"/>
  <c r="X27" i="72"/>
  <c r="X28" i="72"/>
  <c r="X29" i="72"/>
  <c r="X30" i="72"/>
  <c r="X7" i="73"/>
  <c r="X8" i="73"/>
  <c r="X9" i="73"/>
  <c r="X10" i="73"/>
  <c r="X11" i="73"/>
  <c r="X12" i="73"/>
  <c r="X13" i="73"/>
  <c r="X14" i="73"/>
  <c r="X15" i="73"/>
  <c r="X16" i="73"/>
  <c r="X17" i="73"/>
  <c r="X18" i="73"/>
  <c r="X19" i="73"/>
  <c r="X20" i="73"/>
  <c r="X21" i="73"/>
  <c r="X22" i="73"/>
  <c r="X23" i="73"/>
  <c r="X24" i="73"/>
  <c r="X25" i="73"/>
  <c r="X26" i="73"/>
  <c r="X27" i="73"/>
  <c r="X28" i="73"/>
  <c r="X29" i="73"/>
  <c r="X30" i="73"/>
  <c r="X7" i="74"/>
  <c r="X8" i="74"/>
  <c r="X9" i="74"/>
  <c r="X10" i="74"/>
  <c r="X11" i="74"/>
  <c r="X12" i="74"/>
  <c r="X13" i="74"/>
  <c r="X14" i="74"/>
  <c r="X15" i="74"/>
  <c r="X16" i="74"/>
  <c r="X17" i="74"/>
  <c r="X18" i="74"/>
  <c r="X19" i="74"/>
  <c r="X20" i="74"/>
  <c r="X21" i="74"/>
  <c r="X22" i="74"/>
  <c r="X23" i="74"/>
  <c r="X24" i="74"/>
  <c r="X25" i="74"/>
  <c r="X26" i="74"/>
  <c r="X27" i="74"/>
  <c r="X28" i="74"/>
  <c r="X29" i="74"/>
  <c r="X30" i="74"/>
  <c r="X7" i="75"/>
  <c r="X8" i="75"/>
  <c r="X9" i="75"/>
  <c r="X10" i="75"/>
  <c r="X11" i="75"/>
  <c r="X12" i="75"/>
  <c r="X13" i="75"/>
  <c r="X14" i="75"/>
  <c r="X15" i="75"/>
  <c r="X16" i="75"/>
  <c r="X17" i="75"/>
  <c r="X18" i="75"/>
  <c r="X19" i="75"/>
  <c r="X20" i="75"/>
  <c r="X21" i="75"/>
  <c r="X22" i="75"/>
  <c r="X23" i="75"/>
  <c r="X24" i="75"/>
  <c r="X25" i="75"/>
  <c r="X26" i="75"/>
  <c r="X27" i="75"/>
  <c r="X28" i="75"/>
  <c r="X29" i="75"/>
  <c r="X30" i="75"/>
  <c r="X7" i="76"/>
  <c r="X8" i="76"/>
  <c r="X9" i="76"/>
  <c r="X10" i="76"/>
  <c r="X11" i="76"/>
  <c r="X12" i="76"/>
  <c r="X13" i="76"/>
  <c r="X14" i="76"/>
  <c r="X15" i="76"/>
  <c r="X16" i="76"/>
  <c r="X17" i="76"/>
  <c r="X18" i="76"/>
  <c r="X19" i="76"/>
  <c r="X20" i="76"/>
  <c r="X21" i="76"/>
  <c r="X22" i="76"/>
  <c r="X23" i="76"/>
  <c r="X24" i="76"/>
  <c r="X25" i="76"/>
  <c r="X26" i="76"/>
  <c r="X27" i="76"/>
  <c r="X28" i="76"/>
  <c r="X29" i="76"/>
  <c r="X30" i="76"/>
  <c r="X7" i="77"/>
  <c r="X8" i="77"/>
  <c r="X9" i="77"/>
  <c r="X10" i="77"/>
  <c r="X11" i="77"/>
  <c r="X12" i="77"/>
  <c r="X13" i="77"/>
  <c r="X14" i="77"/>
  <c r="X15" i="77"/>
  <c r="X16" i="77"/>
  <c r="X17" i="77"/>
  <c r="X18" i="77"/>
  <c r="X19" i="77"/>
  <c r="X20" i="77"/>
  <c r="X21" i="77"/>
  <c r="X22" i="77"/>
  <c r="X23" i="77"/>
  <c r="X24" i="77"/>
  <c r="X25" i="77"/>
  <c r="X26" i="77"/>
  <c r="X27" i="77"/>
  <c r="X28" i="77"/>
  <c r="X29" i="77"/>
  <c r="X30" i="77"/>
  <c r="X7" i="78"/>
  <c r="X8" i="78"/>
  <c r="X9" i="78"/>
  <c r="X10" i="78"/>
  <c r="X11" i="78"/>
  <c r="X12" i="78"/>
  <c r="X13" i="78"/>
  <c r="X14" i="78"/>
  <c r="X15" i="78"/>
  <c r="X16" i="78"/>
  <c r="X17" i="78"/>
  <c r="X18" i="78"/>
  <c r="X19" i="78"/>
  <c r="X20" i="78"/>
  <c r="X21" i="78"/>
  <c r="X22" i="78"/>
  <c r="X23" i="78"/>
  <c r="X24" i="78"/>
  <c r="X25" i="78"/>
  <c r="X26" i="78"/>
  <c r="X27" i="78"/>
  <c r="X28" i="78"/>
  <c r="X29" i="78"/>
  <c r="X30" i="78"/>
  <c r="X7" i="79"/>
  <c r="X8" i="79"/>
  <c r="X9" i="79"/>
  <c r="X10" i="79"/>
  <c r="X11" i="79"/>
  <c r="X12" i="79"/>
  <c r="X13" i="79"/>
  <c r="X14" i="79"/>
  <c r="X15" i="79"/>
  <c r="X16" i="79"/>
  <c r="X17" i="79"/>
  <c r="X18" i="79"/>
  <c r="X19" i="79"/>
  <c r="X20" i="79"/>
  <c r="X21" i="79"/>
  <c r="X22" i="79"/>
  <c r="X23" i="79"/>
  <c r="X24" i="79"/>
  <c r="X25" i="79"/>
  <c r="X26" i="79"/>
  <c r="X27" i="79"/>
  <c r="X28" i="79"/>
  <c r="X29" i="79"/>
  <c r="X30" i="79"/>
  <c r="X7" i="80"/>
  <c r="X8" i="80"/>
  <c r="X9" i="80"/>
  <c r="X10" i="80"/>
  <c r="X11" i="80"/>
  <c r="X12" i="80"/>
  <c r="X13" i="80"/>
  <c r="X14" i="80"/>
  <c r="X15" i="80"/>
  <c r="X16" i="80"/>
  <c r="X17" i="80"/>
  <c r="X18" i="80"/>
  <c r="X19" i="80"/>
  <c r="X20" i="80"/>
  <c r="X21" i="80"/>
  <c r="X22" i="80"/>
  <c r="X23" i="80"/>
  <c r="X24" i="80"/>
  <c r="X25" i="80"/>
  <c r="X26" i="80"/>
  <c r="X27" i="80"/>
  <c r="X28" i="80"/>
  <c r="X29" i="80"/>
  <c r="X30" i="80"/>
  <c r="T7" i="5"/>
  <c r="T8" i="5"/>
  <c r="T9" i="5"/>
  <c r="T10" i="5"/>
  <c r="T11" i="5"/>
  <c r="T12" i="5"/>
  <c r="T13" i="5"/>
  <c r="T14" i="5"/>
  <c r="T15" i="5"/>
  <c r="T16" i="5"/>
  <c r="T17" i="5"/>
  <c r="T18" i="5"/>
  <c r="T19" i="5"/>
  <c r="T20" i="5"/>
  <c r="T21" i="5"/>
  <c r="T22" i="5"/>
  <c r="T23" i="5"/>
  <c r="T24" i="5"/>
  <c r="T25" i="5"/>
  <c r="T26" i="5"/>
  <c r="T27" i="5"/>
  <c r="T28" i="5"/>
  <c r="T29" i="5"/>
  <c r="T30" i="5"/>
  <c r="T7" i="43"/>
  <c r="T8" i="43"/>
  <c r="T9" i="43"/>
  <c r="T10" i="43"/>
  <c r="T11" i="43"/>
  <c r="T12" i="43"/>
  <c r="T13" i="43"/>
  <c r="T14" i="43"/>
  <c r="T15" i="43"/>
  <c r="T16" i="43"/>
  <c r="T17" i="43"/>
  <c r="T18" i="43"/>
  <c r="T19" i="43"/>
  <c r="T20" i="43"/>
  <c r="T21" i="43"/>
  <c r="T22" i="43"/>
  <c r="T23" i="43"/>
  <c r="T24" i="43"/>
  <c r="T25" i="43"/>
  <c r="T26" i="43"/>
  <c r="T27" i="43"/>
  <c r="T28" i="43"/>
  <c r="T29" i="43"/>
  <c r="T30" i="43"/>
  <c r="T7" i="44"/>
  <c r="T8" i="44"/>
  <c r="T9" i="44"/>
  <c r="T10" i="44"/>
  <c r="T11" i="44"/>
  <c r="T12" i="44"/>
  <c r="T13" i="44"/>
  <c r="T14" i="44"/>
  <c r="T15" i="44"/>
  <c r="T16" i="44"/>
  <c r="T17" i="44"/>
  <c r="T18" i="44"/>
  <c r="T19" i="44"/>
  <c r="T20" i="44"/>
  <c r="T21" i="44"/>
  <c r="T22" i="44"/>
  <c r="T23" i="44"/>
  <c r="T24" i="44"/>
  <c r="T25" i="44"/>
  <c r="T26" i="44"/>
  <c r="T27" i="44"/>
  <c r="T28" i="44"/>
  <c r="T29" i="44"/>
  <c r="T30" i="44"/>
  <c r="T7" i="45"/>
  <c r="T8" i="45"/>
  <c r="T9" i="45"/>
  <c r="T10" i="45"/>
  <c r="T11" i="45"/>
  <c r="T12" i="45"/>
  <c r="T13" i="45"/>
  <c r="T14" i="45"/>
  <c r="T15" i="45"/>
  <c r="T16" i="45"/>
  <c r="T17" i="45"/>
  <c r="T18" i="45"/>
  <c r="T19" i="45"/>
  <c r="T20" i="45"/>
  <c r="T21" i="45"/>
  <c r="T22" i="45"/>
  <c r="T23" i="45"/>
  <c r="T24" i="45"/>
  <c r="T25" i="45"/>
  <c r="T26" i="45"/>
  <c r="T27" i="45"/>
  <c r="T28" i="45"/>
  <c r="T29" i="45"/>
  <c r="T30" i="45"/>
  <c r="T7" i="46"/>
  <c r="T8" i="46"/>
  <c r="T9" i="46"/>
  <c r="T10" i="46"/>
  <c r="T11" i="46"/>
  <c r="T12" i="46"/>
  <c r="T13" i="46"/>
  <c r="T14" i="46"/>
  <c r="T15" i="46"/>
  <c r="T16" i="46"/>
  <c r="T17" i="46"/>
  <c r="T18" i="46"/>
  <c r="T19" i="46"/>
  <c r="T20" i="46"/>
  <c r="T21" i="46"/>
  <c r="T22" i="46"/>
  <c r="T23" i="46"/>
  <c r="T24" i="46"/>
  <c r="T25" i="46"/>
  <c r="T26" i="46"/>
  <c r="T27" i="46"/>
  <c r="T28" i="46"/>
  <c r="T29" i="46"/>
  <c r="T30" i="46"/>
  <c r="T7" i="47"/>
  <c r="T8" i="47"/>
  <c r="T9" i="47"/>
  <c r="T10" i="47"/>
  <c r="T11" i="47"/>
  <c r="T12" i="47"/>
  <c r="T13" i="47"/>
  <c r="T14" i="47"/>
  <c r="T15" i="47"/>
  <c r="T16" i="47"/>
  <c r="T17" i="47"/>
  <c r="T18" i="47"/>
  <c r="T19" i="47"/>
  <c r="T20" i="47"/>
  <c r="T21" i="47"/>
  <c r="T22" i="47"/>
  <c r="T23" i="47"/>
  <c r="T24" i="47"/>
  <c r="T25" i="47"/>
  <c r="T26" i="47"/>
  <c r="T27" i="47"/>
  <c r="T28" i="47"/>
  <c r="T29" i="47"/>
  <c r="T30" i="47"/>
  <c r="T7" i="48"/>
  <c r="T8" i="48"/>
  <c r="T9" i="48"/>
  <c r="T10" i="48"/>
  <c r="T11" i="48"/>
  <c r="T12" i="48"/>
  <c r="T13" i="48"/>
  <c r="T14" i="48"/>
  <c r="T15" i="48"/>
  <c r="T16" i="48"/>
  <c r="T17" i="48"/>
  <c r="T18" i="48"/>
  <c r="T19" i="48"/>
  <c r="T20" i="48"/>
  <c r="T21" i="48"/>
  <c r="T22" i="48"/>
  <c r="T23" i="48"/>
  <c r="T24" i="48"/>
  <c r="T25" i="48"/>
  <c r="T26" i="48"/>
  <c r="T27" i="48"/>
  <c r="T28" i="48"/>
  <c r="T29" i="48"/>
  <c r="T30" i="48"/>
  <c r="T7" i="49"/>
  <c r="T8" i="49"/>
  <c r="T9" i="49"/>
  <c r="T10" i="49"/>
  <c r="T11" i="49"/>
  <c r="T12" i="49"/>
  <c r="T13" i="49"/>
  <c r="T14" i="49"/>
  <c r="T15" i="49"/>
  <c r="T16" i="49"/>
  <c r="T17" i="49"/>
  <c r="T18" i="49"/>
  <c r="T19" i="49"/>
  <c r="T20" i="49"/>
  <c r="T21" i="49"/>
  <c r="T22" i="49"/>
  <c r="T23" i="49"/>
  <c r="T24" i="49"/>
  <c r="T25" i="49"/>
  <c r="T26" i="49"/>
  <c r="T27" i="49"/>
  <c r="T28" i="49"/>
  <c r="T29" i="49"/>
  <c r="T30" i="49"/>
  <c r="T7" i="50"/>
  <c r="T8" i="50"/>
  <c r="T9" i="50"/>
  <c r="T10" i="50"/>
  <c r="T11" i="50"/>
  <c r="T12" i="50"/>
  <c r="T13" i="50"/>
  <c r="T14" i="50"/>
  <c r="T15" i="50"/>
  <c r="T16" i="50"/>
  <c r="T17" i="50"/>
  <c r="T18" i="50"/>
  <c r="T19" i="50"/>
  <c r="T20" i="50"/>
  <c r="T21" i="50"/>
  <c r="T22" i="50"/>
  <c r="T23" i="50"/>
  <c r="T24" i="50"/>
  <c r="T25" i="50"/>
  <c r="T26" i="50"/>
  <c r="T27" i="50"/>
  <c r="T28" i="50"/>
  <c r="T29" i="50"/>
  <c r="T30" i="50"/>
  <c r="T7" i="51"/>
  <c r="T8" i="51"/>
  <c r="T9" i="51"/>
  <c r="T10" i="51"/>
  <c r="T11" i="51"/>
  <c r="T12" i="51"/>
  <c r="T13" i="51"/>
  <c r="T14" i="51"/>
  <c r="T15" i="51"/>
  <c r="T16" i="51"/>
  <c r="T17" i="51"/>
  <c r="T18" i="51"/>
  <c r="T19" i="51"/>
  <c r="T20" i="51"/>
  <c r="T21" i="51"/>
  <c r="T22" i="51"/>
  <c r="T23" i="51"/>
  <c r="T24" i="51"/>
  <c r="T25" i="51"/>
  <c r="T26" i="51"/>
  <c r="T27" i="51"/>
  <c r="T28" i="51"/>
  <c r="T29" i="51"/>
  <c r="T30" i="51"/>
  <c r="T7" i="52"/>
  <c r="T8" i="52"/>
  <c r="T9" i="52"/>
  <c r="T10" i="52"/>
  <c r="T11" i="52"/>
  <c r="T12" i="52"/>
  <c r="T13" i="52"/>
  <c r="T14" i="52"/>
  <c r="T15" i="52"/>
  <c r="T16" i="52"/>
  <c r="T17" i="52"/>
  <c r="T18" i="52"/>
  <c r="T19" i="52"/>
  <c r="T20" i="52"/>
  <c r="T21" i="52"/>
  <c r="T22" i="52"/>
  <c r="T23" i="52"/>
  <c r="T24" i="52"/>
  <c r="T25" i="52"/>
  <c r="T26" i="52"/>
  <c r="T27" i="52"/>
  <c r="T28" i="52"/>
  <c r="T29" i="52"/>
  <c r="T30" i="52"/>
  <c r="T7" i="53"/>
  <c r="T8" i="53"/>
  <c r="T9" i="53"/>
  <c r="T10" i="53"/>
  <c r="T11" i="53"/>
  <c r="T12" i="53"/>
  <c r="T13" i="53"/>
  <c r="T14" i="53"/>
  <c r="T15" i="53"/>
  <c r="T16" i="53"/>
  <c r="T17" i="53"/>
  <c r="T18" i="53"/>
  <c r="T19" i="53"/>
  <c r="T20" i="53"/>
  <c r="T21" i="53"/>
  <c r="T22" i="53"/>
  <c r="T23" i="53"/>
  <c r="T24" i="53"/>
  <c r="T25" i="53"/>
  <c r="T26" i="53"/>
  <c r="T27" i="53"/>
  <c r="T28" i="53"/>
  <c r="T29" i="53"/>
  <c r="T30" i="53"/>
  <c r="T7" i="54"/>
  <c r="T8" i="54"/>
  <c r="T9" i="54"/>
  <c r="T10" i="54"/>
  <c r="T11" i="54"/>
  <c r="T12" i="54"/>
  <c r="T13" i="54"/>
  <c r="T14" i="54"/>
  <c r="T15" i="54"/>
  <c r="T16" i="54"/>
  <c r="T17" i="54"/>
  <c r="T18" i="54"/>
  <c r="T19" i="54"/>
  <c r="T20" i="54"/>
  <c r="T21" i="54"/>
  <c r="T22" i="54"/>
  <c r="T23" i="54"/>
  <c r="T24" i="54"/>
  <c r="T25" i="54"/>
  <c r="T26" i="54"/>
  <c r="T27" i="54"/>
  <c r="T28" i="54"/>
  <c r="T29" i="54"/>
  <c r="T30" i="54"/>
  <c r="T7" i="55"/>
  <c r="T8" i="55"/>
  <c r="T9" i="55"/>
  <c r="T10" i="55"/>
  <c r="T11" i="55"/>
  <c r="T12" i="55"/>
  <c r="T13" i="55"/>
  <c r="T14" i="55"/>
  <c r="T15" i="55"/>
  <c r="T16" i="55"/>
  <c r="T17" i="55"/>
  <c r="T18" i="55"/>
  <c r="T19" i="55"/>
  <c r="T20" i="55"/>
  <c r="T21" i="55"/>
  <c r="T22" i="55"/>
  <c r="T23" i="55"/>
  <c r="T24" i="55"/>
  <c r="T25" i="55"/>
  <c r="T26" i="55"/>
  <c r="T27" i="55"/>
  <c r="T28" i="55"/>
  <c r="T29" i="55"/>
  <c r="T30" i="55"/>
  <c r="T7" i="56"/>
  <c r="T8" i="56"/>
  <c r="T9" i="56"/>
  <c r="T10" i="56"/>
  <c r="T11" i="56"/>
  <c r="T12" i="56"/>
  <c r="T13" i="56"/>
  <c r="T14" i="56"/>
  <c r="T15" i="56"/>
  <c r="T16" i="56"/>
  <c r="T17" i="56"/>
  <c r="T18" i="56"/>
  <c r="T19" i="56"/>
  <c r="T20" i="56"/>
  <c r="T21" i="56"/>
  <c r="T22" i="56"/>
  <c r="T23" i="56"/>
  <c r="T24" i="56"/>
  <c r="T25" i="56"/>
  <c r="T26" i="56"/>
  <c r="T27" i="56"/>
  <c r="T28" i="56"/>
  <c r="T29" i="56"/>
  <c r="T30" i="56"/>
  <c r="T7" i="57"/>
  <c r="T8" i="57"/>
  <c r="T9" i="57"/>
  <c r="T10" i="57"/>
  <c r="T11" i="57"/>
  <c r="T12" i="57"/>
  <c r="T13" i="57"/>
  <c r="T14" i="57"/>
  <c r="T15" i="57"/>
  <c r="T16" i="57"/>
  <c r="T17" i="57"/>
  <c r="T18" i="57"/>
  <c r="T19" i="57"/>
  <c r="T20" i="57"/>
  <c r="T21" i="57"/>
  <c r="T22" i="57"/>
  <c r="T23" i="57"/>
  <c r="T24" i="57"/>
  <c r="T25" i="57"/>
  <c r="T26" i="57"/>
  <c r="T27" i="57"/>
  <c r="T28" i="57"/>
  <c r="T29" i="57"/>
  <c r="T30" i="57"/>
  <c r="T7" i="58"/>
  <c r="T8" i="58"/>
  <c r="T9" i="58"/>
  <c r="T10" i="58"/>
  <c r="T11" i="58"/>
  <c r="T12" i="58"/>
  <c r="T13" i="58"/>
  <c r="T14" i="58"/>
  <c r="T15" i="58"/>
  <c r="T16" i="58"/>
  <c r="T17" i="58"/>
  <c r="T18" i="58"/>
  <c r="T19" i="58"/>
  <c r="T20" i="58"/>
  <c r="T21" i="58"/>
  <c r="T22" i="58"/>
  <c r="T23" i="58"/>
  <c r="T24" i="58"/>
  <c r="T25" i="58"/>
  <c r="T26" i="58"/>
  <c r="T27" i="58"/>
  <c r="T28" i="58"/>
  <c r="T29" i="58"/>
  <c r="T30" i="58"/>
  <c r="T7" i="59"/>
  <c r="T8" i="59"/>
  <c r="T9" i="59"/>
  <c r="T10" i="59"/>
  <c r="T11" i="59"/>
  <c r="T12" i="59"/>
  <c r="T13" i="59"/>
  <c r="T14" i="59"/>
  <c r="T15" i="59"/>
  <c r="T16" i="59"/>
  <c r="T17" i="59"/>
  <c r="T18" i="59"/>
  <c r="T19" i="59"/>
  <c r="T20" i="59"/>
  <c r="T21" i="59"/>
  <c r="T22" i="59"/>
  <c r="T23" i="59"/>
  <c r="T24" i="59"/>
  <c r="T25" i="59"/>
  <c r="T26" i="59"/>
  <c r="T27" i="59"/>
  <c r="T28" i="59"/>
  <c r="T29" i="59"/>
  <c r="T30" i="59"/>
  <c r="T7" i="60"/>
  <c r="T8" i="60"/>
  <c r="T9" i="60"/>
  <c r="T10" i="60"/>
  <c r="T11" i="60"/>
  <c r="T12" i="60"/>
  <c r="T13" i="60"/>
  <c r="T14" i="60"/>
  <c r="T15" i="60"/>
  <c r="T16" i="60"/>
  <c r="T17" i="60"/>
  <c r="T18" i="60"/>
  <c r="T19" i="60"/>
  <c r="T20" i="60"/>
  <c r="T21" i="60"/>
  <c r="T22" i="60"/>
  <c r="T23" i="60"/>
  <c r="T24" i="60"/>
  <c r="T25" i="60"/>
  <c r="T26" i="60"/>
  <c r="T27" i="60"/>
  <c r="T28" i="60"/>
  <c r="T29" i="60"/>
  <c r="T30" i="60"/>
  <c r="T7" i="61"/>
  <c r="T8" i="61"/>
  <c r="T9" i="61"/>
  <c r="T10" i="61"/>
  <c r="T11" i="61"/>
  <c r="T12" i="61"/>
  <c r="T13" i="61"/>
  <c r="T14" i="61"/>
  <c r="T15" i="61"/>
  <c r="T16" i="61"/>
  <c r="T17" i="61"/>
  <c r="T18" i="61"/>
  <c r="T19" i="61"/>
  <c r="T20" i="61"/>
  <c r="T21" i="61"/>
  <c r="T22" i="61"/>
  <c r="T23" i="61"/>
  <c r="T24" i="61"/>
  <c r="T25" i="61"/>
  <c r="T26" i="61"/>
  <c r="T27" i="61"/>
  <c r="T28" i="61"/>
  <c r="T29" i="61"/>
  <c r="T30" i="61"/>
  <c r="T7" i="62"/>
  <c r="T8" i="62"/>
  <c r="T9" i="62"/>
  <c r="T10" i="62"/>
  <c r="T11" i="62"/>
  <c r="T12" i="62"/>
  <c r="T13" i="62"/>
  <c r="T14" i="62"/>
  <c r="T15" i="62"/>
  <c r="T16" i="62"/>
  <c r="T17" i="62"/>
  <c r="T18" i="62"/>
  <c r="T19" i="62"/>
  <c r="T20" i="62"/>
  <c r="T21" i="62"/>
  <c r="T22" i="62"/>
  <c r="T23" i="62"/>
  <c r="T24" i="62"/>
  <c r="T25" i="62"/>
  <c r="T26" i="62"/>
  <c r="T27" i="62"/>
  <c r="T28" i="62"/>
  <c r="T29" i="62"/>
  <c r="T30" i="62"/>
  <c r="T7" i="63"/>
  <c r="T8" i="63"/>
  <c r="T9" i="63"/>
  <c r="T10" i="63"/>
  <c r="T11" i="63"/>
  <c r="T12" i="63"/>
  <c r="T13" i="63"/>
  <c r="T14" i="63"/>
  <c r="T15" i="63"/>
  <c r="T16" i="63"/>
  <c r="T17" i="63"/>
  <c r="T18" i="63"/>
  <c r="T19" i="63"/>
  <c r="T20" i="63"/>
  <c r="T21" i="63"/>
  <c r="T22" i="63"/>
  <c r="T23" i="63"/>
  <c r="T24" i="63"/>
  <c r="T25" i="63"/>
  <c r="T26" i="63"/>
  <c r="T27" i="63"/>
  <c r="T28" i="63"/>
  <c r="T29" i="63"/>
  <c r="T30" i="63"/>
  <c r="T7" i="64"/>
  <c r="T8" i="64"/>
  <c r="T9" i="64"/>
  <c r="T10" i="64"/>
  <c r="T11" i="64"/>
  <c r="T12" i="64"/>
  <c r="T13" i="64"/>
  <c r="T14" i="64"/>
  <c r="T15" i="64"/>
  <c r="T16" i="64"/>
  <c r="T17" i="64"/>
  <c r="T18" i="64"/>
  <c r="T19" i="64"/>
  <c r="T20" i="64"/>
  <c r="T21" i="64"/>
  <c r="T22" i="64"/>
  <c r="T23" i="64"/>
  <c r="T24" i="64"/>
  <c r="T25" i="64"/>
  <c r="T26" i="64"/>
  <c r="T27" i="64"/>
  <c r="T28" i="64"/>
  <c r="T29" i="64"/>
  <c r="T30" i="64"/>
  <c r="T7" i="65"/>
  <c r="T8" i="65"/>
  <c r="T9" i="65"/>
  <c r="T10" i="65"/>
  <c r="T11" i="65"/>
  <c r="T12" i="65"/>
  <c r="T13" i="65"/>
  <c r="T14" i="65"/>
  <c r="T15" i="65"/>
  <c r="T16" i="65"/>
  <c r="T17" i="65"/>
  <c r="T18" i="65"/>
  <c r="T19" i="65"/>
  <c r="T20" i="65"/>
  <c r="T21" i="65"/>
  <c r="T22" i="65"/>
  <c r="T23" i="65"/>
  <c r="T24" i="65"/>
  <c r="T25" i="65"/>
  <c r="T26" i="65"/>
  <c r="T27" i="65"/>
  <c r="T28" i="65"/>
  <c r="T29" i="65"/>
  <c r="T30" i="65"/>
  <c r="T7" i="66"/>
  <c r="T8" i="66"/>
  <c r="T9" i="66"/>
  <c r="T10" i="66"/>
  <c r="T11" i="66"/>
  <c r="T12" i="66"/>
  <c r="T13" i="66"/>
  <c r="T14" i="66"/>
  <c r="T15" i="66"/>
  <c r="T16" i="66"/>
  <c r="T17" i="66"/>
  <c r="T18" i="66"/>
  <c r="T19" i="66"/>
  <c r="T20" i="66"/>
  <c r="T21" i="66"/>
  <c r="T22" i="66"/>
  <c r="T23" i="66"/>
  <c r="T24" i="66"/>
  <c r="T25" i="66"/>
  <c r="T26" i="66"/>
  <c r="T27" i="66"/>
  <c r="T28" i="66"/>
  <c r="T29" i="66"/>
  <c r="T30" i="66"/>
  <c r="T7" i="67"/>
  <c r="T8" i="67"/>
  <c r="T9" i="67"/>
  <c r="T10" i="67"/>
  <c r="T11" i="67"/>
  <c r="T12" i="67"/>
  <c r="T13" i="67"/>
  <c r="T14" i="67"/>
  <c r="T15" i="67"/>
  <c r="T16" i="67"/>
  <c r="T17" i="67"/>
  <c r="T18" i="67"/>
  <c r="T19" i="67"/>
  <c r="T20" i="67"/>
  <c r="T21" i="67"/>
  <c r="T22" i="67"/>
  <c r="T23" i="67"/>
  <c r="T24" i="67"/>
  <c r="T25" i="67"/>
  <c r="T26" i="67"/>
  <c r="T27" i="67"/>
  <c r="T28" i="67"/>
  <c r="T29" i="67"/>
  <c r="T30" i="67"/>
  <c r="T7" i="68"/>
  <c r="T8" i="68"/>
  <c r="T9" i="68"/>
  <c r="T10" i="68"/>
  <c r="T11" i="68"/>
  <c r="T12" i="68"/>
  <c r="T13" i="68"/>
  <c r="T14" i="68"/>
  <c r="T15" i="68"/>
  <c r="T16" i="68"/>
  <c r="T17" i="68"/>
  <c r="T18" i="68"/>
  <c r="T19" i="68"/>
  <c r="T20" i="68"/>
  <c r="T21" i="68"/>
  <c r="T22" i="68"/>
  <c r="T23" i="68"/>
  <c r="T24" i="68"/>
  <c r="T25" i="68"/>
  <c r="T26" i="68"/>
  <c r="T27" i="68"/>
  <c r="T28" i="68"/>
  <c r="T29" i="68"/>
  <c r="T30" i="68"/>
  <c r="T7" i="69"/>
  <c r="T8" i="69"/>
  <c r="T9" i="69"/>
  <c r="T10" i="69"/>
  <c r="T11" i="69"/>
  <c r="T12" i="69"/>
  <c r="T13" i="69"/>
  <c r="T14" i="69"/>
  <c r="T15" i="69"/>
  <c r="T16" i="69"/>
  <c r="T17" i="69"/>
  <c r="T18" i="69"/>
  <c r="T19" i="69"/>
  <c r="T20" i="69"/>
  <c r="T21" i="69"/>
  <c r="T22" i="69"/>
  <c r="T23" i="69"/>
  <c r="T24" i="69"/>
  <c r="T25" i="69"/>
  <c r="T26" i="69"/>
  <c r="T27" i="69"/>
  <c r="T28" i="69"/>
  <c r="T29" i="69"/>
  <c r="T30" i="69"/>
  <c r="T7" i="70"/>
  <c r="T8" i="70"/>
  <c r="T9" i="70"/>
  <c r="T10" i="70"/>
  <c r="T11" i="70"/>
  <c r="T12" i="70"/>
  <c r="T13" i="70"/>
  <c r="T14" i="70"/>
  <c r="T15" i="70"/>
  <c r="T16" i="70"/>
  <c r="T17" i="70"/>
  <c r="T18" i="70"/>
  <c r="T19" i="70"/>
  <c r="T20" i="70"/>
  <c r="T21" i="70"/>
  <c r="T22" i="70"/>
  <c r="T23" i="70"/>
  <c r="T24" i="70"/>
  <c r="T25" i="70"/>
  <c r="T26" i="70"/>
  <c r="T27" i="70"/>
  <c r="T28" i="70"/>
  <c r="T29" i="70"/>
  <c r="T30" i="70"/>
  <c r="T7" i="71"/>
  <c r="T8" i="71"/>
  <c r="T9" i="71"/>
  <c r="T10" i="71"/>
  <c r="T11" i="71"/>
  <c r="T12" i="71"/>
  <c r="T13" i="71"/>
  <c r="T14" i="71"/>
  <c r="T15" i="71"/>
  <c r="T16" i="71"/>
  <c r="T17" i="71"/>
  <c r="T18" i="71"/>
  <c r="T19" i="71"/>
  <c r="T20" i="71"/>
  <c r="T21" i="71"/>
  <c r="T22" i="71"/>
  <c r="T23" i="71"/>
  <c r="T24" i="71"/>
  <c r="T25" i="71"/>
  <c r="T26" i="71"/>
  <c r="T27" i="71"/>
  <c r="T28" i="71"/>
  <c r="T29" i="71"/>
  <c r="T30" i="71"/>
  <c r="T7" i="72"/>
  <c r="T8" i="72"/>
  <c r="T9" i="72"/>
  <c r="T10" i="72"/>
  <c r="T11" i="72"/>
  <c r="T12" i="72"/>
  <c r="T13" i="72"/>
  <c r="T14" i="72"/>
  <c r="T15" i="72"/>
  <c r="T16" i="72"/>
  <c r="T17" i="72"/>
  <c r="T18" i="72"/>
  <c r="T19" i="72"/>
  <c r="T20" i="72"/>
  <c r="T21" i="72"/>
  <c r="T22" i="72"/>
  <c r="T23" i="72"/>
  <c r="T24" i="72"/>
  <c r="T25" i="72"/>
  <c r="T26" i="72"/>
  <c r="T27" i="72"/>
  <c r="T28" i="72"/>
  <c r="T29" i="72"/>
  <c r="T30" i="72"/>
  <c r="T7" i="73"/>
  <c r="T8" i="73"/>
  <c r="T9" i="73"/>
  <c r="T10" i="73"/>
  <c r="T11" i="73"/>
  <c r="T12" i="73"/>
  <c r="T13" i="73"/>
  <c r="T14" i="73"/>
  <c r="T15" i="73"/>
  <c r="T16" i="73"/>
  <c r="T17" i="73"/>
  <c r="T18" i="73"/>
  <c r="T19" i="73"/>
  <c r="T20" i="73"/>
  <c r="T21" i="73"/>
  <c r="T22" i="73"/>
  <c r="T23" i="73"/>
  <c r="T24" i="73"/>
  <c r="T25" i="73"/>
  <c r="T26" i="73"/>
  <c r="T27" i="73"/>
  <c r="T28" i="73"/>
  <c r="T29" i="73"/>
  <c r="T30" i="73"/>
  <c r="T7" i="74"/>
  <c r="T8" i="74"/>
  <c r="T9" i="74"/>
  <c r="T10" i="74"/>
  <c r="T11" i="74"/>
  <c r="T12" i="74"/>
  <c r="T13" i="74"/>
  <c r="T14" i="74"/>
  <c r="T15" i="74"/>
  <c r="T16" i="74"/>
  <c r="T17" i="74"/>
  <c r="T18" i="74"/>
  <c r="T19" i="74"/>
  <c r="T20" i="74"/>
  <c r="T21" i="74"/>
  <c r="T22" i="74"/>
  <c r="T23" i="74"/>
  <c r="T24" i="74"/>
  <c r="T25" i="74"/>
  <c r="T26" i="74"/>
  <c r="T27" i="74"/>
  <c r="T28" i="74"/>
  <c r="T29" i="74"/>
  <c r="T30" i="74"/>
  <c r="T7" i="75"/>
  <c r="T8" i="75"/>
  <c r="T9" i="75"/>
  <c r="T10" i="75"/>
  <c r="T11" i="75"/>
  <c r="T12" i="75"/>
  <c r="T13" i="75"/>
  <c r="T14" i="75"/>
  <c r="T15" i="75"/>
  <c r="T16" i="75"/>
  <c r="T17" i="75"/>
  <c r="T18" i="75"/>
  <c r="T19" i="75"/>
  <c r="T20" i="75"/>
  <c r="T21" i="75"/>
  <c r="T22" i="75"/>
  <c r="T23" i="75"/>
  <c r="T24" i="75"/>
  <c r="T25" i="75"/>
  <c r="T26" i="75"/>
  <c r="T27" i="75"/>
  <c r="T28" i="75"/>
  <c r="T29" i="75"/>
  <c r="T30" i="75"/>
  <c r="T7" i="76"/>
  <c r="T8" i="76"/>
  <c r="T9" i="76"/>
  <c r="T10" i="76"/>
  <c r="T11" i="76"/>
  <c r="T12" i="76"/>
  <c r="T13" i="76"/>
  <c r="T14" i="76"/>
  <c r="T15" i="76"/>
  <c r="T16" i="76"/>
  <c r="T17" i="76"/>
  <c r="T18" i="76"/>
  <c r="T19" i="76"/>
  <c r="T20" i="76"/>
  <c r="T21" i="76"/>
  <c r="T22" i="76"/>
  <c r="T23" i="76"/>
  <c r="T24" i="76"/>
  <c r="T25" i="76"/>
  <c r="T26" i="76"/>
  <c r="T27" i="76"/>
  <c r="T28" i="76"/>
  <c r="T29" i="76"/>
  <c r="T30" i="76"/>
  <c r="T7" i="77"/>
  <c r="T8" i="77"/>
  <c r="T9" i="77"/>
  <c r="T10" i="77"/>
  <c r="T11" i="77"/>
  <c r="T12" i="77"/>
  <c r="T13" i="77"/>
  <c r="T14" i="77"/>
  <c r="T15" i="77"/>
  <c r="T16" i="77"/>
  <c r="T17" i="77"/>
  <c r="T18" i="77"/>
  <c r="T19" i="77"/>
  <c r="T20" i="77"/>
  <c r="T21" i="77"/>
  <c r="T22" i="77"/>
  <c r="T23" i="77"/>
  <c r="T24" i="77"/>
  <c r="T25" i="77"/>
  <c r="T26" i="77"/>
  <c r="T27" i="77"/>
  <c r="T28" i="77"/>
  <c r="T29" i="77"/>
  <c r="T30" i="77"/>
  <c r="T7" i="78"/>
  <c r="T8" i="78"/>
  <c r="T9" i="78"/>
  <c r="T10" i="78"/>
  <c r="T11" i="78"/>
  <c r="T12" i="78"/>
  <c r="T13" i="78"/>
  <c r="T14" i="78"/>
  <c r="T15" i="78"/>
  <c r="T16" i="78"/>
  <c r="T17" i="78"/>
  <c r="T18" i="78"/>
  <c r="T19" i="78"/>
  <c r="T20" i="78"/>
  <c r="T21" i="78"/>
  <c r="T22" i="78"/>
  <c r="T23" i="78"/>
  <c r="T24" i="78"/>
  <c r="T25" i="78"/>
  <c r="T26" i="78"/>
  <c r="T27" i="78"/>
  <c r="T28" i="78"/>
  <c r="T29" i="78"/>
  <c r="T30" i="78"/>
  <c r="T7" i="79"/>
  <c r="T8" i="79"/>
  <c r="T9" i="79"/>
  <c r="T10" i="79"/>
  <c r="T11" i="79"/>
  <c r="T12" i="79"/>
  <c r="T13" i="79"/>
  <c r="T14" i="79"/>
  <c r="T15" i="79"/>
  <c r="T16" i="79"/>
  <c r="T17" i="79"/>
  <c r="T18" i="79"/>
  <c r="T19" i="79"/>
  <c r="T20" i="79"/>
  <c r="T21" i="79"/>
  <c r="T22" i="79"/>
  <c r="T23" i="79"/>
  <c r="T24" i="79"/>
  <c r="T25" i="79"/>
  <c r="T26" i="79"/>
  <c r="T27" i="79"/>
  <c r="T28" i="79"/>
  <c r="T29" i="79"/>
  <c r="T30" i="79"/>
  <c r="T7" i="80"/>
  <c r="T8" i="80"/>
  <c r="T9" i="80"/>
  <c r="T10" i="80"/>
  <c r="T11" i="80"/>
  <c r="T12" i="80"/>
  <c r="T13" i="80"/>
  <c r="T14" i="80"/>
  <c r="T15" i="80"/>
  <c r="T16" i="80"/>
  <c r="T17" i="80"/>
  <c r="T18" i="80"/>
  <c r="T19" i="80"/>
  <c r="T20" i="80"/>
  <c r="T21" i="80"/>
  <c r="T22" i="80"/>
  <c r="T23" i="80"/>
  <c r="T24" i="80"/>
  <c r="T25" i="80"/>
  <c r="T26" i="80"/>
  <c r="T27" i="80"/>
  <c r="T28" i="80"/>
  <c r="T29" i="80"/>
  <c r="T30" i="80"/>
  <c r="D31" i="5"/>
  <c r="D31" i="43"/>
  <c r="E31" i="43" s="1"/>
  <c r="E32" i="43" s="1"/>
  <c r="D31" i="44"/>
  <c r="E31" i="44" s="1"/>
  <c r="D31" i="45"/>
  <c r="E31" i="45" s="1"/>
  <c r="D31" i="46"/>
  <c r="E31" i="46" s="1"/>
  <c r="D31" i="47"/>
  <c r="E31" i="47" s="1"/>
  <c r="E32" i="47" s="1"/>
  <c r="D31" i="48"/>
  <c r="E31" i="48" s="1"/>
  <c r="D31" i="49"/>
  <c r="E31" i="49" s="1"/>
  <c r="E32" i="49" s="1"/>
  <c r="D31" i="50"/>
  <c r="E31" i="50" s="1"/>
  <c r="E32" i="50" s="1"/>
  <c r="D31" i="51"/>
  <c r="D31" i="52"/>
  <c r="E31" i="52" s="1"/>
  <c r="D31" i="53"/>
  <c r="E31" i="53" s="1"/>
  <c r="D31" i="54"/>
  <c r="E31" i="54" s="1"/>
  <c r="E32" i="54" s="1"/>
  <c r="D31" i="55"/>
  <c r="E31" i="55" s="1"/>
  <c r="E32" i="55" s="1"/>
  <c r="D31" i="57"/>
  <c r="E31" i="57" s="1"/>
  <c r="D31" i="58"/>
  <c r="E31" i="58" s="1"/>
  <c r="D31" i="59"/>
  <c r="E31" i="59" s="1"/>
  <c r="D31" i="60"/>
  <c r="E31" i="60" s="1"/>
  <c r="D31" i="61"/>
  <c r="E31" i="61" s="1"/>
  <c r="D31" i="62"/>
  <c r="E31" i="62" s="1"/>
  <c r="D31" i="63"/>
  <c r="E31" i="63" s="1"/>
  <c r="D31" i="64"/>
  <c r="E31" i="64" s="1"/>
  <c r="D31" i="65"/>
  <c r="E31" i="65" s="1"/>
  <c r="D31" i="66"/>
  <c r="E31" i="66" s="1"/>
  <c r="D31" i="67"/>
  <c r="E31" i="67" s="1"/>
  <c r="D31" i="68"/>
  <c r="D31" i="69"/>
  <c r="D31" i="70"/>
  <c r="D31" i="71"/>
  <c r="E31" i="71" s="1"/>
  <c r="D31" i="72"/>
  <c r="E31" i="72" s="1"/>
  <c r="D31" i="73"/>
  <c r="D31" i="74"/>
  <c r="D31" i="75"/>
  <c r="E31" i="75" s="1"/>
  <c r="D31" i="76"/>
  <c r="D31" i="77"/>
  <c r="E31" i="77" s="1"/>
  <c r="D31" i="78"/>
  <c r="E31" i="78" s="1"/>
  <c r="D31" i="79"/>
  <c r="D31" i="80"/>
  <c r="L31" i="5"/>
  <c r="L31" i="43"/>
  <c r="L31" i="44"/>
  <c r="L31" i="45"/>
  <c r="L31" i="46"/>
  <c r="L31" i="47"/>
  <c r="L31" i="48"/>
  <c r="L31" i="49"/>
  <c r="L31" i="50"/>
  <c r="L31" i="51"/>
  <c r="L31" i="52"/>
  <c r="L31" i="53"/>
  <c r="L31" i="54"/>
  <c r="L31" i="55"/>
  <c r="L31" i="56"/>
  <c r="L31" i="57"/>
  <c r="L31" i="58"/>
  <c r="L31" i="59"/>
  <c r="L31" i="60"/>
  <c r="L31" i="61"/>
  <c r="L31" i="62"/>
  <c r="L31" i="63"/>
  <c r="L31" i="64"/>
  <c r="L31" i="65"/>
  <c r="L31" i="66"/>
  <c r="L31" i="67"/>
  <c r="L31" i="68"/>
  <c r="L31" i="69"/>
  <c r="L31" i="70"/>
  <c r="L31" i="71"/>
  <c r="L31" i="72"/>
  <c r="L31" i="73"/>
  <c r="L31" i="74"/>
  <c r="L31" i="75"/>
  <c r="L31" i="76"/>
  <c r="L31" i="77"/>
  <c r="L31" i="78"/>
  <c r="L31" i="79"/>
  <c r="L31" i="80"/>
  <c r="M31" i="5"/>
  <c r="AD11" i="5" s="1"/>
  <c r="AC19" i="5" s="1"/>
  <c r="M31" i="43"/>
  <c r="M31" i="44"/>
  <c r="M31" i="45"/>
  <c r="M31" i="46"/>
  <c r="M31" i="47"/>
  <c r="M31" i="48"/>
  <c r="AD11" i="48" s="1"/>
  <c r="AC19" i="48" s="1"/>
  <c r="M31" i="49"/>
  <c r="M31" i="50"/>
  <c r="M31" i="51"/>
  <c r="M31" i="52"/>
  <c r="M31" i="53"/>
  <c r="M31" i="54"/>
  <c r="M31" i="55"/>
  <c r="M31" i="56"/>
  <c r="M31" i="57"/>
  <c r="AD11" i="57" s="1"/>
  <c r="AC19" i="57" s="1"/>
  <c r="M31" i="58"/>
  <c r="AD11" i="58" s="1"/>
  <c r="AC19" i="58" s="1"/>
  <c r="M31" i="59"/>
  <c r="M31" i="60"/>
  <c r="AD11" i="60" s="1"/>
  <c r="AC19" i="60" s="1"/>
  <c r="M31" i="61"/>
  <c r="AD11" i="61" s="1"/>
  <c r="AC19" i="61" s="1"/>
  <c r="M31" i="62"/>
  <c r="M31" i="63"/>
  <c r="M31" i="64"/>
  <c r="M31" i="65"/>
  <c r="M31" i="66"/>
  <c r="M31" i="67"/>
  <c r="M31" i="68"/>
  <c r="M31" i="69"/>
  <c r="M31" i="70"/>
  <c r="M31" i="71"/>
  <c r="M31" i="72"/>
  <c r="M31" i="73"/>
  <c r="M31" i="74"/>
  <c r="M31" i="75"/>
  <c r="M31" i="76"/>
  <c r="M31" i="77"/>
  <c r="M31" i="78"/>
  <c r="M31" i="79"/>
  <c r="M31" i="80"/>
  <c r="G31" i="5"/>
  <c r="G31" i="43"/>
  <c r="G31" i="44"/>
  <c r="G31" i="45"/>
  <c r="G31" i="46"/>
  <c r="G31" i="47"/>
  <c r="G31" i="48"/>
  <c r="G31" i="49"/>
  <c r="U31" i="49" s="1"/>
  <c r="G31" i="50"/>
  <c r="G31" i="51"/>
  <c r="G31" i="52"/>
  <c r="G31" i="53"/>
  <c r="G31" i="54"/>
  <c r="G31" i="55"/>
  <c r="G31" i="56"/>
  <c r="G31" i="57"/>
  <c r="G31" i="58"/>
  <c r="G31" i="59"/>
  <c r="G31" i="60"/>
  <c r="G31" i="61"/>
  <c r="G31" i="62"/>
  <c r="G31" i="63"/>
  <c r="G31" i="64"/>
  <c r="G31" i="65"/>
  <c r="G31" i="66"/>
  <c r="G31" i="67"/>
  <c r="G31" i="68"/>
  <c r="G31" i="69"/>
  <c r="G31" i="70"/>
  <c r="G31" i="71"/>
  <c r="G31" i="72"/>
  <c r="G31" i="73"/>
  <c r="X31" i="73" s="1"/>
  <c r="G31" i="74"/>
  <c r="G31" i="75"/>
  <c r="G31" i="76"/>
  <c r="G31" i="77"/>
  <c r="G31" i="78"/>
  <c r="G31" i="79"/>
  <c r="G31" i="80"/>
  <c r="I31" i="5"/>
  <c r="X31" i="5" s="1"/>
  <c r="I31" i="43"/>
  <c r="I31" i="44"/>
  <c r="I31" i="45"/>
  <c r="I31" i="46"/>
  <c r="V31" i="46" s="1"/>
  <c r="I31" i="47"/>
  <c r="I31" i="48"/>
  <c r="I31" i="49"/>
  <c r="I31" i="50"/>
  <c r="I31" i="51"/>
  <c r="I31" i="52"/>
  <c r="I31" i="53"/>
  <c r="I31" i="54"/>
  <c r="X31" i="54" s="1"/>
  <c r="I31" i="55"/>
  <c r="I31" i="56"/>
  <c r="I31" i="57"/>
  <c r="I31" i="58"/>
  <c r="I31" i="59"/>
  <c r="I31" i="60"/>
  <c r="I31" i="61"/>
  <c r="V31" i="61" s="1"/>
  <c r="I31" i="62"/>
  <c r="I31" i="63"/>
  <c r="I31" i="64"/>
  <c r="I31" i="65"/>
  <c r="I31" i="66"/>
  <c r="I31" i="67"/>
  <c r="I31" i="68"/>
  <c r="I31" i="69"/>
  <c r="I31" i="70"/>
  <c r="I31" i="71"/>
  <c r="I31" i="72"/>
  <c r="I31" i="73"/>
  <c r="I31" i="74"/>
  <c r="I31" i="75"/>
  <c r="I31" i="76"/>
  <c r="I31" i="77"/>
  <c r="I31" i="78"/>
  <c r="I31" i="79"/>
  <c r="I31" i="80"/>
  <c r="K31" i="5"/>
  <c r="W31" i="5" s="1"/>
  <c r="K31" i="43"/>
  <c r="K31" i="44"/>
  <c r="K31" i="45"/>
  <c r="K31" i="46"/>
  <c r="K31" i="47"/>
  <c r="K31" i="48"/>
  <c r="K31" i="49"/>
  <c r="K31" i="50"/>
  <c r="K31" i="51"/>
  <c r="K31" i="52"/>
  <c r="K31" i="53"/>
  <c r="K31" i="54"/>
  <c r="K31" i="55"/>
  <c r="W31" i="55" s="1"/>
  <c r="K31" i="56"/>
  <c r="K31" i="57"/>
  <c r="K31" i="58"/>
  <c r="K31" i="59"/>
  <c r="K31" i="60"/>
  <c r="K31" i="61"/>
  <c r="K31" i="62"/>
  <c r="K31" i="63"/>
  <c r="K31" i="64"/>
  <c r="K31" i="65"/>
  <c r="K31" i="66"/>
  <c r="K31" i="67"/>
  <c r="K31" i="68"/>
  <c r="K31" i="69"/>
  <c r="A31" i="69" s="1"/>
  <c r="K31" i="70"/>
  <c r="K31" i="71"/>
  <c r="K31" i="72"/>
  <c r="K31" i="73"/>
  <c r="K31" i="74"/>
  <c r="K31" i="75"/>
  <c r="W31" i="75" s="1"/>
  <c r="K31" i="76"/>
  <c r="K31" i="77"/>
  <c r="W31" i="77" s="1"/>
  <c r="K31" i="78"/>
  <c r="K31" i="79"/>
  <c r="W31" i="79" s="1"/>
  <c r="K31" i="80"/>
  <c r="Q31" i="5"/>
  <c r="Q31" i="43"/>
  <c r="Q31" i="44"/>
  <c r="Q31" i="45"/>
  <c r="Q31" i="46"/>
  <c r="Q31" i="47"/>
  <c r="Q31" i="48"/>
  <c r="Q31" i="49"/>
  <c r="Q31" i="50"/>
  <c r="Q31" i="51"/>
  <c r="Q31" i="52"/>
  <c r="Q31" i="53"/>
  <c r="Q31" i="54"/>
  <c r="Q31" i="55"/>
  <c r="Q31" i="56"/>
  <c r="Q31" i="57"/>
  <c r="Q31" i="58"/>
  <c r="Q31" i="59"/>
  <c r="Q31" i="60"/>
  <c r="Q31" i="61"/>
  <c r="Q31" i="62"/>
  <c r="Q31" i="63"/>
  <c r="Q31" i="64"/>
  <c r="Q31" i="65"/>
  <c r="Q31" i="66"/>
  <c r="Q31" i="67"/>
  <c r="Q31" i="68"/>
  <c r="Q31" i="69"/>
  <c r="Q31" i="70"/>
  <c r="Q31" i="71"/>
  <c r="Q31" i="72"/>
  <c r="Q31" i="73"/>
  <c r="Q31" i="74"/>
  <c r="Q31" i="75"/>
  <c r="Q31" i="76"/>
  <c r="Q31" i="77"/>
  <c r="Q31" i="78"/>
  <c r="Q31" i="79"/>
  <c r="Q31" i="80"/>
  <c r="N31" i="5"/>
  <c r="N31" i="43"/>
  <c r="N31" i="44"/>
  <c r="N31" i="45"/>
  <c r="N31" i="46"/>
  <c r="N31" i="47"/>
  <c r="N31" i="48"/>
  <c r="N31" i="49"/>
  <c r="N31" i="50"/>
  <c r="N31" i="51"/>
  <c r="N31" i="52"/>
  <c r="N31" i="53"/>
  <c r="N31" i="54"/>
  <c r="N31" i="55"/>
  <c r="N31" i="56"/>
  <c r="N31" i="57"/>
  <c r="N31" i="58"/>
  <c r="N31" i="59"/>
  <c r="N31" i="60"/>
  <c r="N31" i="61"/>
  <c r="N31" i="62"/>
  <c r="N31" i="63"/>
  <c r="N31" i="64"/>
  <c r="N31" i="65"/>
  <c r="N31" i="66"/>
  <c r="N31" i="67"/>
  <c r="N31" i="68"/>
  <c r="N31" i="69"/>
  <c r="N31" i="70"/>
  <c r="N31" i="71"/>
  <c r="N31" i="72"/>
  <c r="N31" i="73"/>
  <c r="N31" i="74"/>
  <c r="N31" i="75"/>
  <c r="N31" i="76"/>
  <c r="N31" i="77"/>
  <c r="N31" i="78"/>
  <c r="N31" i="79"/>
  <c r="N31" i="80"/>
  <c r="F31" i="5"/>
  <c r="F31" i="43"/>
  <c r="F31" i="44"/>
  <c r="F31" i="45"/>
  <c r="F31" i="46"/>
  <c r="F31" i="47"/>
  <c r="F31" i="48"/>
  <c r="F31" i="49"/>
  <c r="F31" i="50"/>
  <c r="F31" i="51"/>
  <c r="U31" i="51" s="1"/>
  <c r="F31" i="52"/>
  <c r="F31" i="53"/>
  <c r="F31" i="54"/>
  <c r="F31" i="55"/>
  <c r="U31" i="55" s="1"/>
  <c r="F31" i="56"/>
  <c r="F31" i="57"/>
  <c r="F31" i="58"/>
  <c r="U31" i="58" s="1"/>
  <c r="F31" i="59"/>
  <c r="F31" i="60"/>
  <c r="F31" i="61"/>
  <c r="F31" i="62"/>
  <c r="F31" i="63"/>
  <c r="F31" i="64"/>
  <c r="F31" i="65"/>
  <c r="F31" i="66"/>
  <c r="F31" i="67"/>
  <c r="F31" i="68"/>
  <c r="F31" i="69"/>
  <c r="F31" i="70"/>
  <c r="F31" i="71"/>
  <c r="T31" i="71" s="1"/>
  <c r="F31" i="72"/>
  <c r="F31" i="73"/>
  <c r="F31" i="74"/>
  <c r="F31" i="75"/>
  <c r="F31" i="76"/>
  <c r="F31" i="77"/>
  <c r="F31" i="78"/>
  <c r="T31" i="78" s="1"/>
  <c r="F31" i="79"/>
  <c r="F31" i="80"/>
  <c r="H31" i="5"/>
  <c r="H31" i="43"/>
  <c r="H31" i="44"/>
  <c r="H31" i="45"/>
  <c r="H31" i="46"/>
  <c r="H31" i="47"/>
  <c r="H31" i="48"/>
  <c r="H31" i="49"/>
  <c r="V31" i="49" s="1"/>
  <c r="H31" i="50"/>
  <c r="H31" i="51"/>
  <c r="H31" i="52"/>
  <c r="H31" i="53"/>
  <c r="H31" i="54"/>
  <c r="H31" i="55"/>
  <c r="H31" i="56"/>
  <c r="H31" i="57"/>
  <c r="H31" i="58"/>
  <c r="H31" i="59"/>
  <c r="H31" i="60"/>
  <c r="H31" i="61"/>
  <c r="H31" i="62"/>
  <c r="H31" i="63"/>
  <c r="H31" i="64"/>
  <c r="H31" i="65"/>
  <c r="H31" i="66"/>
  <c r="H31" i="67"/>
  <c r="H31" i="68"/>
  <c r="H31" i="69"/>
  <c r="H31" i="70"/>
  <c r="H31" i="71"/>
  <c r="H31" i="72"/>
  <c r="H31" i="73"/>
  <c r="H31" i="74"/>
  <c r="H31" i="75"/>
  <c r="H31" i="76"/>
  <c r="H31" i="77"/>
  <c r="H31" i="78"/>
  <c r="H31" i="79"/>
  <c r="H31" i="80"/>
  <c r="J31" i="5"/>
  <c r="J31" i="43"/>
  <c r="J31" i="44"/>
  <c r="J31" i="45"/>
  <c r="W31" i="45" s="1"/>
  <c r="J31" i="46"/>
  <c r="J31" i="47"/>
  <c r="J31" i="48"/>
  <c r="J31" i="49"/>
  <c r="J31" i="50"/>
  <c r="J31" i="51"/>
  <c r="J31" i="52"/>
  <c r="J31" i="53"/>
  <c r="W31" i="53" s="1"/>
  <c r="J31" i="54"/>
  <c r="J31" i="55"/>
  <c r="J31" i="56"/>
  <c r="J31" i="57"/>
  <c r="J31" i="58"/>
  <c r="J31" i="59"/>
  <c r="J31" i="60"/>
  <c r="J31" i="61"/>
  <c r="J31" i="62"/>
  <c r="J31" i="63"/>
  <c r="J31" i="64"/>
  <c r="J31" i="65"/>
  <c r="J31" i="66"/>
  <c r="J31" i="67"/>
  <c r="J31" i="68"/>
  <c r="J31" i="69"/>
  <c r="T31" i="69" s="1"/>
  <c r="J31" i="70"/>
  <c r="J31" i="71"/>
  <c r="J31" i="72"/>
  <c r="J31" i="73"/>
  <c r="J31" i="74"/>
  <c r="T31" i="74" s="1"/>
  <c r="J31" i="75"/>
  <c r="J31" i="76"/>
  <c r="J31" i="77"/>
  <c r="J31" i="78"/>
  <c r="J31" i="79"/>
  <c r="J31" i="80"/>
  <c r="S31" i="5"/>
  <c r="S31" i="43"/>
  <c r="S31" i="44"/>
  <c r="S31" i="45"/>
  <c r="S31" i="46"/>
  <c r="S31" i="47"/>
  <c r="S31" i="48"/>
  <c r="S31" i="49"/>
  <c r="S31" i="50"/>
  <c r="S31" i="51"/>
  <c r="S31" i="52"/>
  <c r="S31" i="53"/>
  <c r="S31" i="54"/>
  <c r="S31" i="55"/>
  <c r="S31" i="56"/>
  <c r="S31" i="57"/>
  <c r="S31" i="58"/>
  <c r="S31" i="59"/>
  <c r="S31" i="60"/>
  <c r="S31" i="61"/>
  <c r="S31" i="62"/>
  <c r="S31" i="63"/>
  <c r="S31" i="64"/>
  <c r="S31" i="65"/>
  <c r="S31" i="66"/>
  <c r="S31" i="67"/>
  <c r="S31" i="68"/>
  <c r="S31" i="69"/>
  <c r="S31" i="70"/>
  <c r="S31" i="71"/>
  <c r="S31" i="72"/>
  <c r="S31" i="73"/>
  <c r="S31" i="74"/>
  <c r="S31" i="75"/>
  <c r="S31" i="76"/>
  <c r="S31" i="77"/>
  <c r="S31" i="78"/>
  <c r="S31" i="79"/>
  <c r="S31" i="80"/>
  <c r="R31" i="5"/>
  <c r="R31" i="43"/>
  <c r="R31" i="44"/>
  <c r="R31" i="45"/>
  <c r="R31" i="46"/>
  <c r="R31" i="47"/>
  <c r="R31" i="48"/>
  <c r="R31" i="49"/>
  <c r="R31" i="50"/>
  <c r="R31" i="51"/>
  <c r="R31" i="52"/>
  <c r="R31" i="53"/>
  <c r="R31" i="54"/>
  <c r="R31" i="55"/>
  <c r="R31" i="56"/>
  <c r="R31" i="57"/>
  <c r="R31" i="58"/>
  <c r="R31" i="59"/>
  <c r="R31" i="60"/>
  <c r="R31" i="61"/>
  <c r="R31" i="62"/>
  <c r="R31" i="63"/>
  <c r="R31" i="64"/>
  <c r="R31" i="65"/>
  <c r="R31" i="66"/>
  <c r="R31" i="67"/>
  <c r="R31" i="68"/>
  <c r="R31" i="69"/>
  <c r="R31" i="70"/>
  <c r="R31" i="71"/>
  <c r="R31" i="72"/>
  <c r="R31" i="73"/>
  <c r="R31" i="74"/>
  <c r="R31" i="75"/>
  <c r="R31" i="76"/>
  <c r="R31" i="77"/>
  <c r="R31" i="78"/>
  <c r="R31" i="79"/>
  <c r="R31" i="80"/>
  <c r="P31" i="5"/>
  <c r="P31" i="43"/>
  <c r="P31" i="44"/>
  <c r="P31" i="45"/>
  <c r="P31" i="46"/>
  <c r="P31" i="47"/>
  <c r="P31" i="48"/>
  <c r="P31" i="49"/>
  <c r="P31" i="50"/>
  <c r="P31" i="51"/>
  <c r="P31" i="52"/>
  <c r="P31" i="53"/>
  <c r="P31" i="54"/>
  <c r="P31" i="55"/>
  <c r="P31" i="56"/>
  <c r="P31" i="57"/>
  <c r="P31" i="58"/>
  <c r="P31" i="59"/>
  <c r="P31" i="60"/>
  <c r="P31" i="61"/>
  <c r="P31" i="62"/>
  <c r="P31" i="63"/>
  <c r="P31" i="64"/>
  <c r="P31" i="65"/>
  <c r="P31" i="66"/>
  <c r="P31" i="67"/>
  <c r="P31" i="68"/>
  <c r="P31" i="69"/>
  <c r="P31" i="70"/>
  <c r="P31" i="71"/>
  <c r="P31" i="72"/>
  <c r="P31" i="73"/>
  <c r="P31" i="74"/>
  <c r="P31" i="75"/>
  <c r="P31" i="76"/>
  <c r="P31" i="77"/>
  <c r="P31" i="78"/>
  <c r="P31" i="79"/>
  <c r="P31" i="80"/>
  <c r="O31" i="5"/>
  <c r="AC14" i="5" s="1"/>
  <c r="AC22" i="5" s="1"/>
  <c r="O31" i="43"/>
  <c r="O31" i="44"/>
  <c r="O31" i="45"/>
  <c r="O31" i="46"/>
  <c r="O31" i="47"/>
  <c r="O31" i="48"/>
  <c r="AC14" i="48" s="1"/>
  <c r="AC22" i="48" s="1"/>
  <c r="O31" i="49"/>
  <c r="O31" i="50"/>
  <c r="O31" i="51"/>
  <c r="O31" i="52"/>
  <c r="O31" i="53"/>
  <c r="O31" i="54"/>
  <c r="O31" i="55"/>
  <c r="O31" i="56"/>
  <c r="O31" i="57"/>
  <c r="AC14" i="57" s="1"/>
  <c r="AC22" i="57" s="1"/>
  <c r="O31" i="58"/>
  <c r="AC14" i="58" s="1"/>
  <c r="AC22" i="58" s="1"/>
  <c r="O31" i="59"/>
  <c r="O31" i="60"/>
  <c r="AC14" i="60" s="1"/>
  <c r="AC22" i="60" s="1"/>
  <c r="O31" i="61"/>
  <c r="AC14" i="61" s="1"/>
  <c r="AC22" i="61" s="1"/>
  <c r="O31" i="62"/>
  <c r="O31" i="63"/>
  <c r="O31" i="64"/>
  <c r="O31" i="65"/>
  <c r="O31" i="66"/>
  <c r="O31" i="67"/>
  <c r="O31" i="68"/>
  <c r="O31" i="69"/>
  <c r="O31" i="70"/>
  <c r="O31" i="71"/>
  <c r="O31" i="72"/>
  <c r="O31" i="73"/>
  <c r="O31" i="74"/>
  <c r="O31" i="75"/>
  <c r="O31" i="76"/>
  <c r="O31" i="77"/>
  <c r="O31" i="78"/>
  <c r="O31" i="79"/>
  <c r="O31" i="80"/>
  <c r="E31" i="5"/>
  <c r="E31" i="51"/>
  <c r="AJ49" i="86"/>
  <c r="AJ50" i="86" s="1"/>
  <c r="AJ47" i="86"/>
  <c r="AJ48" i="86" s="1"/>
  <c r="AJ45" i="86"/>
  <c r="AJ46" i="86" s="1"/>
  <c r="AJ43" i="86"/>
  <c r="AJ44" i="86" s="1"/>
  <c r="AJ41" i="86"/>
  <c r="AJ42" i="86" s="1"/>
  <c r="AJ39" i="86"/>
  <c r="AJ40" i="86" s="1"/>
  <c r="AJ37" i="86"/>
  <c r="AJ38" i="86" s="1"/>
  <c r="AJ35" i="86"/>
  <c r="AJ36" i="86" s="1"/>
  <c r="AJ33" i="86"/>
  <c r="AJ34" i="86" s="1"/>
  <c r="AJ31" i="86"/>
  <c r="AJ32" i="86" s="1"/>
  <c r="AJ29" i="86"/>
  <c r="AJ30" i="86" s="1"/>
  <c r="AJ27" i="86"/>
  <c r="AJ28" i="86" s="1"/>
  <c r="AJ25" i="86"/>
  <c r="AJ26" i="86" s="1"/>
  <c r="AJ23" i="86"/>
  <c r="AJ24" i="86" s="1"/>
  <c r="AJ21" i="86"/>
  <c r="AJ22" i="86" s="1"/>
  <c r="AJ19" i="86"/>
  <c r="AJ20" i="86" s="1"/>
  <c r="AJ17" i="86"/>
  <c r="AJ18" i="86" s="1"/>
  <c r="AJ15" i="86"/>
  <c r="AJ16" i="86" s="1"/>
  <c r="AJ13" i="86"/>
  <c r="AJ14" i="86" s="1"/>
  <c r="AJ11" i="86"/>
  <c r="AJ12" i="86" s="1"/>
  <c r="AJ9" i="86"/>
  <c r="AJ10" i="86" s="1"/>
  <c r="AJ7" i="86"/>
  <c r="AJ8" i="86" s="1"/>
  <c r="AJ5" i="86"/>
  <c r="AJ6" i="86" s="1"/>
  <c r="AJ3" i="86"/>
  <c r="AJ4" i="86" s="1"/>
  <c r="A3" i="86"/>
  <c r="A4" i="86" s="1"/>
  <c r="AM54" i="86"/>
  <c r="AM53" i="86"/>
  <c r="AJ1" i="86"/>
  <c r="D32" i="81"/>
  <c r="E32" i="81" s="1"/>
  <c r="D31" i="81"/>
  <c r="E31" i="81" s="1"/>
  <c r="E32" i="80"/>
  <c r="E31" i="80"/>
  <c r="E32" i="79"/>
  <c r="E31" i="79"/>
  <c r="E32" i="78"/>
  <c r="E32" i="77"/>
  <c r="E31" i="76"/>
  <c r="E32" i="74"/>
  <c r="E31" i="74"/>
  <c r="E31" i="73"/>
  <c r="E32" i="71"/>
  <c r="E31" i="70"/>
  <c r="E32" i="70"/>
  <c r="E32" i="69"/>
  <c r="E31" i="69"/>
  <c r="E31" i="68"/>
  <c r="E32" i="67"/>
  <c r="E32" i="52"/>
  <c r="E32" i="46"/>
  <c r="CA7" i="82"/>
  <c r="CA8" i="82"/>
  <c r="CA9" i="82"/>
  <c r="CA10" i="82"/>
  <c r="CA11" i="82"/>
  <c r="CA12" i="82"/>
  <c r="CA13" i="82"/>
  <c r="CA14" i="82"/>
  <c r="CA15" i="82"/>
  <c r="CA16" i="82"/>
  <c r="CA17" i="82"/>
  <c r="CA18" i="82"/>
  <c r="CA19" i="82"/>
  <c r="CA20" i="82"/>
  <c r="CA21" i="82"/>
  <c r="CA22" i="82"/>
  <c r="CA23" i="82"/>
  <c r="CA24" i="82"/>
  <c r="CA25" i="82"/>
  <c r="CA26" i="82"/>
  <c r="CA27" i="82"/>
  <c r="CA28" i="82"/>
  <c r="CA29" i="82"/>
  <c r="CA30" i="82"/>
  <c r="CA31" i="82"/>
  <c r="CA32" i="82"/>
  <c r="CA33" i="82"/>
  <c r="CA34" i="82"/>
  <c r="CA35" i="82"/>
  <c r="CA36" i="82"/>
  <c r="CA37" i="82"/>
  <c r="CA38" i="82"/>
  <c r="CA39" i="82"/>
  <c r="CA40" i="82"/>
  <c r="CA41" i="82"/>
  <c r="CA42" i="82"/>
  <c r="CA43" i="82"/>
  <c r="CA44" i="82"/>
  <c r="CA45" i="82"/>
  <c r="CA46" i="82"/>
  <c r="Y32" i="81"/>
  <c r="X32" i="81"/>
  <c r="W32" i="81"/>
  <c r="V32" i="81"/>
  <c r="U32" i="81"/>
  <c r="A32" i="81"/>
  <c r="S31" i="81"/>
  <c r="R31" i="81"/>
  <c r="Q31" i="81"/>
  <c r="P31" i="81"/>
  <c r="O31" i="81"/>
  <c r="N31" i="81"/>
  <c r="M31" i="81"/>
  <c r="L31" i="81"/>
  <c r="K31" i="81"/>
  <c r="W31" i="81" s="1"/>
  <c r="J31" i="81"/>
  <c r="I31" i="81"/>
  <c r="H31" i="81"/>
  <c r="G31" i="81"/>
  <c r="U31" i="81" s="1"/>
  <c r="F31" i="81"/>
  <c r="Y30" i="81"/>
  <c r="X30" i="81"/>
  <c r="W30" i="81"/>
  <c r="V30" i="81"/>
  <c r="U30" i="81"/>
  <c r="T30" i="81"/>
  <c r="B30" i="81"/>
  <c r="A30" i="81"/>
  <c r="Y29" i="81"/>
  <c r="X29" i="81"/>
  <c r="W29" i="81"/>
  <c r="V29" i="81"/>
  <c r="U29" i="81"/>
  <c r="T29" i="81"/>
  <c r="B29" i="81"/>
  <c r="A29" i="81"/>
  <c r="Y28" i="81"/>
  <c r="X28" i="81"/>
  <c r="W28" i="81"/>
  <c r="V28" i="81"/>
  <c r="U28" i="81"/>
  <c r="T28" i="81"/>
  <c r="B28" i="81"/>
  <c r="A28" i="81"/>
  <c r="Y27" i="81"/>
  <c r="X27" i="81"/>
  <c r="W27" i="81"/>
  <c r="V27" i="81"/>
  <c r="U27" i="81"/>
  <c r="T27" i="81"/>
  <c r="B27" i="81"/>
  <c r="A27" i="81"/>
  <c r="Y26" i="81"/>
  <c r="X26" i="81"/>
  <c r="W26" i="81"/>
  <c r="V26" i="81"/>
  <c r="U26" i="81"/>
  <c r="T26" i="81"/>
  <c r="B26" i="81"/>
  <c r="A26" i="81"/>
  <c r="Y25" i="81"/>
  <c r="X25" i="81"/>
  <c r="W25" i="81"/>
  <c r="V25" i="81"/>
  <c r="U25" i="81"/>
  <c r="T25" i="81"/>
  <c r="B25" i="81"/>
  <c r="A25" i="81"/>
  <c r="Y24" i="81"/>
  <c r="X24" i="81"/>
  <c r="W24" i="81"/>
  <c r="V24" i="81"/>
  <c r="U24" i="81"/>
  <c r="T24" i="81"/>
  <c r="B24" i="81"/>
  <c r="A24" i="81"/>
  <c r="Y23" i="81"/>
  <c r="X23" i="81"/>
  <c r="W23" i="81"/>
  <c r="V23" i="81"/>
  <c r="U23" i="81"/>
  <c r="T23" i="81"/>
  <c r="B23" i="81"/>
  <c r="A23" i="81"/>
  <c r="Y22" i="81"/>
  <c r="X22" i="81"/>
  <c r="W22" i="81"/>
  <c r="V22" i="81"/>
  <c r="U22" i="81"/>
  <c r="T22" i="81"/>
  <c r="B22" i="81"/>
  <c r="A22" i="81"/>
  <c r="Y21" i="81"/>
  <c r="X21" i="81"/>
  <c r="W21" i="81"/>
  <c r="V21" i="81"/>
  <c r="U21" i="81"/>
  <c r="T21" i="81"/>
  <c r="B21" i="81"/>
  <c r="A21" i="81"/>
  <c r="Y20" i="81"/>
  <c r="X20" i="81"/>
  <c r="W20" i="81"/>
  <c r="V20" i="81"/>
  <c r="U20" i="81"/>
  <c r="T20" i="81"/>
  <c r="B20" i="81"/>
  <c r="A20" i="81"/>
  <c r="Y19" i="81"/>
  <c r="X19" i="81"/>
  <c r="W19" i="81"/>
  <c r="V19" i="81"/>
  <c r="U19" i="81"/>
  <c r="T19" i="81"/>
  <c r="B19" i="81"/>
  <c r="A19" i="81"/>
  <c r="Y18" i="81"/>
  <c r="X18" i="81"/>
  <c r="W18" i="81"/>
  <c r="V18" i="81"/>
  <c r="U18" i="81"/>
  <c r="T18" i="81"/>
  <c r="B18" i="81"/>
  <c r="A18" i="81"/>
  <c r="Y17" i="81"/>
  <c r="X17" i="81"/>
  <c r="W17" i="81"/>
  <c r="V17" i="81"/>
  <c r="U17" i="81"/>
  <c r="T17" i="81"/>
  <c r="B17" i="81"/>
  <c r="A17" i="81"/>
  <c r="Y16" i="81"/>
  <c r="X16" i="81"/>
  <c r="W16" i="81"/>
  <c r="V16" i="81"/>
  <c r="U16" i="81"/>
  <c r="T16" i="81"/>
  <c r="B16" i="81"/>
  <c r="A16" i="81"/>
  <c r="Y15" i="81"/>
  <c r="X15" i="81"/>
  <c r="W15" i="81"/>
  <c r="V15" i="81"/>
  <c r="U15" i="81"/>
  <c r="T15" i="81"/>
  <c r="B15" i="81"/>
  <c r="A15" i="81"/>
  <c r="Y14" i="81"/>
  <c r="X14" i="81"/>
  <c r="W14" i="81"/>
  <c r="V14" i="81"/>
  <c r="U14" i="81"/>
  <c r="T14" i="81"/>
  <c r="B14" i="81"/>
  <c r="A14" i="81"/>
  <c r="Y13" i="81"/>
  <c r="X13" i="81"/>
  <c r="W13" i="81"/>
  <c r="V13" i="81"/>
  <c r="U13" i="81"/>
  <c r="T13" i="81"/>
  <c r="B13" i="81"/>
  <c r="A13" i="81"/>
  <c r="Y12" i="81"/>
  <c r="X12" i="81"/>
  <c r="W12" i="81"/>
  <c r="V12" i="81"/>
  <c r="U12" i="81"/>
  <c r="T12" i="81"/>
  <c r="B12" i="81"/>
  <c r="A12" i="81"/>
  <c r="Y11" i="81"/>
  <c r="X11" i="81"/>
  <c r="W11" i="81"/>
  <c r="V11" i="81"/>
  <c r="U11" i="81"/>
  <c r="T11" i="81"/>
  <c r="B11" i="81"/>
  <c r="A11" i="81"/>
  <c r="Y10" i="81"/>
  <c r="X10" i="81"/>
  <c r="W10" i="81"/>
  <c r="V10" i="81"/>
  <c r="U10" i="81"/>
  <c r="T10" i="81"/>
  <c r="B10" i="81"/>
  <c r="A10" i="81"/>
  <c r="Y9" i="81"/>
  <c r="X9" i="81"/>
  <c r="W9" i="81"/>
  <c r="V9" i="81"/>
  <c r="U9" i="81"/>
  <c r="T9" i="81"/>
  <c r="B9" i="81"/>
  <c r="A9" i="81"/>
  <c r="Y8" i="81"/>
  <c r="X8" i="81"/>
  <c r="W8" i="81"/>
  <c r="V8" i="81"/>
  <c r="U8" i="81"/>
  <c r="T8" i="81"/>
  <c r="B8" i="81"/>
  <c r="A8" i="81"/>
  <c r="Y7" i="81"/>
  <c r="X7" i="81"/>
  <c r="W7" i="81"/>
  <c r="V7" i="81"/>
  <c r="U7" i="81"/>
  <c r="T7" i="81"/>
  <c r="B7" i="81"/>
  <c r="A7" i="81"/>
  <c r="AH4" i="81"/>
  <c r="AG4" i="81"/>
  <c r="AF4" i="81"/>
  <c r="AE4" i="81"/>
  <c r="AD4" i="81"/>
  <c r="AA4" i="81"/>
  <c r="W4" i="81"/>
  <c r="H4" i="81"/>
  <c r="X4" i="81"/>
  <c r="B4" i="81"/>
  <c r="AA3" i="81" s="1"/>
  <c r="AH3" i="81"/>
  <c r="AG3" i="81"/>
  <c r="AF3" i="81"/>
  <c r="AE3" i="81"/>
  <c r="AD3" i="81"/>
  <c r="H3" i="81"/>
  <c r="T32" i="81"/>
  <c r="AI2" i="81"/>
  <c r="AH2" i="81"/>
  <c r="W2" i="81"/>
  <c r="Y32" i="80"/>
  <c r="X32" i="80"/>
  <c r="W32" i="80"/>
  <c r="V32" i="80"/>
  <c r="U32" i="80"/>
  <c r="T32" i="80"/>
  <c r="A32" i="80"/>
  <c r="U31" i="80"/>
  <c r="T31" i="80"/>
  <c r="V31" i="80"/>
  <c r="Y31" i="80"/>
  <c r="Y30" i="80"/>
  <c r="W30" i="80"/>
  <c r="V30" i="80"/>
  <c r="U30" i="80"/>
  <c r="B30" i="80"/>
  <c r="A30" i="80"/>
  <c r="Y29" i="80"/>
  <c r="W29" i="80"/>
  <c r="V29" i="80"/>
  <c r="U29" i="80"/>
  <c r="B29" i="80"/>
  <c r="A29" i="80"/>
  <c r="Y28" i="80"/>
  <c r="W28" i="80"/>
  <c r="V28" i="80"/>
  <c r="U28" i="80"/>
  <c r="B28" i="80"/>
  <c r="A28" i="80"/>
  <c r="Y27" i="80"/>
  <c r="W27" i="80"/>
  <c r="V27" i="80"/>
  <c r="U27" i="80"/>
  <c r="B27" i="80"/>
  <c r="A27" i="80"/>
  <c r="Y26" i="80"/>
  <c r="W26" i="80"/>
  <c r="V26" i="80"/>
  <c r="U26" i="80"/>
  <c r="B26" i="80"/>
  <c r="A26" i="80"/>
  <c r="Y25" i="80"/>
  <c r="W25" i="80"/>
  <c r="V25" i="80"/>
  <c r="U25" i="80"/>
  <c r="B25" i="80"/>
  <c r="A25" i="80"/>
  <c r="Y24" i="80"/>
  <c r="W24" i="80"/>
  <c r="V24" i="80"/>
  <c r="U24" i="80"/>
  <c r="B24" i="80"/>
  <c r="A24" i="80"/>
  <c r="Y23" i="80"/>
  <c r="W23" i="80"/>
  <c r="V23" i="80"/>
  <c r="U23" i="80"/>
  <c r="B23" i="80"/>
  <c r="A23" i="80"/>
  <c r="Y22" i="80"/>
  <c r="W22" i="80"/>
  <c r="V22" i="80"/>
  <c r="U22" i="80"/>
  <c r="B22" i="80"/>
  <c r="A22" i="80"/>
  <c r="Y21" i="80"/>
  <c r="W21" i="80"/>
  <c r="V21" i="80"/>
  <c r="U21" i="80"/>
  <c r="B21" i="80"/>
  <c r="A21" i="80"/>
  <c r="Y20" i="80"/>
  <c r="W20" i="80"/>
  <c r="V20" i="80"/>
  <c r="U20" i="80"/>
  <c r="B20" i="80"/>
  <c r="A20" i="80"/>
  <c r="Y19" i="80"/>
  <c r="W19" i="80"/>
  <c r="V19" i="80"/>
  <c r="U19" i="80"/>
  <c r="B19" i="80"/>
  <c r="A19" i="80"/>
  <c r="Y18" i="80"/>
  <c r="W18" i="80"/>
  <c r="V18" i="80"/>
  <c r="U18" i="80"/>
  <c r="B18" i="80"/>
  <c r="A18" i="80"/>
  <c r="Y17" i="80"/>
  <c r="W17" i="80"/>
  <c r="V17" i="80"/>
  <c r="U17" i="80"/>
  <c r="B17" i="80"/>
  <c r="A17" i="80"/>
  <c r="Y16" i="80"/>
  <c r="W16" i="80"/>
  <c r="V16" i="80"/>
  <c r="U16" i="80"/>
  <c r="B16" i="80"/>
  <c r="A16" i="80"/>
  <c r="Y15" i="80"/>
  <c r="W15" i="80"/>
  <c r="V15" i="80"/>
  <c r="U15" i="80"/>
  <c r="B15" i="80"/>
  <c r="A15" i="80"/>
  <c r="Y14" i="80"/>
  <c r="W14" i="80"/>
  <c r="V14" i="80"/>
  <c r="U14" i="80"/>
  <c r="B14" i="80"/>
  <c r="A14" i="80"/>
  <c r="Y13" i="80"/>
  <c r="W13" i="80"/>
  <c r="V13" i="80"/>
  <c r="U13" i="80"/>
  <c r="B13" i="80"/>
  <c r="A13" i="80"/>
  <c r="Y12" i="80"/>
  <c r="W12" i="80"/>
  <c r="V12" i="80"/>
  <c r="U12" i="80"/>
  <c r="B12" i="80"/>
  <c r="A12" i="80"/>
  <c r="Y11" i="80"/>
  <c r="W11" i="80"/>
  <c r="V11" i="80"/>
  <c r="U11" i="80"/>
  <c r="B11" i="80"/>
  <c r="A11" i="80"/>
  <c r="Y10" i="80"/>
  <c r="W10" i="80"/>
  <c r="V10" i="80"/>
  <c r="U10" i="80"/>
  <c r="B10" i="80"/>
  <c r="A10" i="80"/>
  <c r="Y9" i="80"/>
  <c r="W9" i="80"/>
  <c r="V9" i="80"/>
  <c r="U9" i="80"/>
  <c r="B9" i="80"/>
  <c r="A9" i="80"/>
  <c r="Y8" i="80"/>
  <c r="W8" i="80"/>
  <c r="V8" i="80"/>
  <c r="U8" i="80"/>
  <c r="B8" i="80"/>
  <c r="A8" i="80"/>
  <c r="Y7" i="80"/>
  <c r="W7" i="80"/>
  <c r="V7" i="80"/>
  <c r="U7" i="80"/>
  <c r="B7" i="80"/>
  <c r="A7" i="80"/>
  <c r="AH4" i="80"/>
  <c r="AG4" i="80"/>
  <c r="AF4" i="80"/>
  <c r="AE4" i="80"/>
  <c r="AD4" i="80"/>
  <c r="AA4" i="80"/>
  <c r="B4" i="80"/>
  <c r="AA3" i="80" s="1"/>
  <c r="AH3" i="80"/>
  <c r="AG3" i="80"/>
  <c r="AF3" i="80"/>
  <c r="AE3" i="80"/>
  <c r="AD3" i="80"/>
  <c r="AI2" i="80"/>
  <c r="AH2" i="80"/>
  <c r="W2" i="80"/>
  <c r="Y32" i="79"/>
  <c r="X32" i="79"/>
  <c r="W32" i="79"/>
  <c r="V32" i="79"/>
  <c r="U32" i="79"/>
  <c r="A32" i="79"/>
  <c r="T31" i="79"/>
  <c r="U31" i="79"/>
  <c r="Y30" i="79"/>
  <c r="W30" i="79"/>
  <c r="V30" i="79"/>
  <c r="U30" i="79"/>
  <c r="B30" i="79"/>
  <c r="A30" i="79"/>
  <c r="Y29" i="79"/>
  <c r="W29" i="79"/>
  <c r="V29" i="79"/>
  <c r="U29" i="79"/>
  <c r="B29" i="79"/>
  <c r="A29" i="79"/>
  <c r="Y28" i="79"/>
  <c r="W28" i="79"/>
  <c r="V28" i="79"/>
  <c r="U28" i="79"/>
  <c r="B28" i="79"/>
  <c r="A28" i="79"/>
  <c r="Y27" i="79"/>
  <c r="W27" i="79"/>
  <c r="V27" i="79"/>
  <c r="U27" i="79"/>
  <c r="B27" i="79"/>
  <c r="A27" i="79"/>
  <c r="Y26" i="79"/>
  <c r="W26" i="79"/>
  <c r="V26" i="79"/>
  <c r="U26" i="79"/>
  <c r="B26" i="79"/>
  <c r="A26" i="79"/>
  <c r="Y25" i="79"/>
  <c r="W25" i="79"/>
  <c r="V25" i="79"/>
  <c r="U25" i="79"/>
  <c r="B25" i="79"/>
  <c r="A25" i="79"/>
  <c r="Y24" i="79"/>
  <c r="W24" i="79"/>
  <c r="V24" i="79"/>
  <c r="U24" i="79"/>
  <c r="B24" i="79"/>
  <c r="A24" i="79"/>
  <c r="Y23" i="79"/>
  <c r="W23" i="79"/>
  <c r="V23" i="79"/>
  <c r="U23" i="79"/>
  <c r="B23" i="79"/>
  <c r="A23" i="79"/>
  <c r="Y22" i="79"/>
  <c r="W22" i="79"/>
  <c r="V22" i="79"/>
  <c r="U22" i="79"/>
  <c r="B22" i="79"/>
  <c r="A22" i="79"/>
  <c r="Y21" i="79"/>
  <c r="W21" i="79"/>
  <c r="V21" i="79"/>
  <c r="U21" i="79"/>
  <c r="B21" i="79"/>
  <c r="A21" i="79"/>
  <c r="Y20" i="79"/>
  <c r="W20" i="79"/>
  <c r="V20" i="79"/>
  <c r="U20" i="79"/>
  <c r="B20" i="79"/>
  <c r="A20" i="79"/>
  <c r="Y19" i="79"/>
  <c r="W19" i="79"/>
  <c r="V19" i="79"/>
  <c r="U19" i="79"/>
  <c r="B19" i="79"/>
  <c r="A19" i="79"/>
  <c r="Y18" i="79"/>
  <c r="W18" i="79"/>
  <c r="V18" i="79"/>
  <c r="U18" i="79"/>
  <c r="B18" i="79"/>
  <c r="A18" i="79"/>
  <c r="Y17" i="79"/>
  <c r="W17" i="79"/>
  <c r="V17" i="79"/>
  <c r="U17" i="79"/>
  <c r="B17" i="79"/>
  <c r="A17" i="79"/>
  <c r="Y16" i="79"/>
  <c r="W16" i="79"/>
  <c r="V16" i="79"/>
  <c r="U16" i="79"/>
  <c r="B16" i="79"/>
  <c r="A16" i="79"/>
  <c r="Y15" i="79"/>
  <c r="W15" i="79"/>
  <c r="V15" i="79"/>
  <c r="U15" i="79"/>
  <c r="B15" i="79"/>
  <c r="A15" i="79"/>
  <c r="Y14" i="79"/>
  <c r="W14" i="79"/>
  <c r="V14" i="79"/>
  <c r="U14" i="79"/>
  <c r="B14" i="79"/>
  <c r="A14" i="79"/>
  <c r="Y13" i="79"/>
  <c r="W13" i="79"/>
  <c r="V13" i="79"/>
  <c r="U13" i="79"/>
  <c r="B13" i="79"/>
  <c r="A13" i="79"/>
  <c r="Y12" i="79"/>
  <c r="W12" i="79"/>
  <c r="V12" i="79"/>
  <c r="U12" i="79"/>
  <c r="B12" i="79"/>
  <c r="A12" i="79"/>
  <c r="Y11" i="79"/>
  <c r="W11" i="79"/>
  <c r="V11" i="79"/>
  <c r="U11" i="79"/>
  <c r="B11" i="79"/>
  <c r="A11" i="79"/>
  <c r="Y10" i="79"/>
  <c r="W10" i="79"/>
  <c r="V10" i="79"/>
  <c r="U10" i="79"/>
  <c r="B10" i="79"/>
  <c r="A10" i="79"/>
  <c r="Y9" i="79"/>
  <c r="W9" i="79"/>
  <c r="V9" i="79"/>
  <c r="U9" i="79"/>
  <c r="B9" i="79"/>
  <c r="A9" i="79"/>
  <c r="Y8" i="79"/>
  <c r="W8" i="79"/>
  <c r="V8" i="79"/>
  <c r="U8" i="79"/>
  <c r="B8" i="79"/>
  <c r="A8" i="79"/>
  <c r="Y7" i="79"/>
  <c r="W7" i="79"/>
  <c r="V7" i="79"/>
  <c r="U7" i="79"/>
  <c r="B7" i="79"/>
  <c r="A7" i="79"/>
  <c r="AH4" i="79"/>
  <c r="AG4" i="79"/>
  <c r="AF4" i="79"/>
  <c r="AE4" i="79"/>
  <c r="AD4" i="79"/>
  <c r="AA4" i="79"/>
  <c r="B4" i="79"/>
  <c r="AA3" i="79" s="1"/>
  <c r="AH3" i="79"/>
  <c r="AG3" i="79"/>
  <c r="AF3" i="79"/>
  <c r="AE3" i="79"/>
  <c r="AD3" i="79"/>
  <c r="AI2" i="79"/>
  <c r="AH2" i="79"/>
  <c r="W2" i="79"/>
  <c r="Y32" i="78"/>
  <c r="X32" i="78"/>
  <c r="W32" i="78"/>
  <c r="V32" i="78"/>
  <c r="U32" i="78"/>
  <c r="A32" i="78"/>
  <c r="W31" i="78"/>
  <c r="V31" i="78"/>
  <c r="Y30" i="78"/>
  <c r="W30" i="78"/>
  <c r="V30" i="78"/>
  <c r="U30" i="78"/>
  <c r="B30" i="78"/>
  <c r="A30" i="78"/>
  <c r="Y29" i="78"/>
  <c r="W29" i="78"/>
  <c r="V29" i="78"/>
  <c r="U29" i="78"/>
  <c r="B29" i="78"/>
  <c r="A29" i="78"/>
  <c r="Y28" i="78"/>
  <c r="W28" i="78"/>
  <c r="V28" i="78"/>
  <c r="U28" i="78"/>
  <c r="B28" i="78"/>
  <c r="A28" i="78"/>
  <c r="Y27" i="78"/>
  <c r="W27" i="78"/>
  <c r="V27" i="78"/>
  <c r="U27" i="78"/>
  <c r="B27" i="78"/>
  <c r="A27" i="78"/>
  <c r="Y26" i="78"/>
  <c r="W26" i="78"/>
  <c r="V26" i="78"/>
  <c r="U26" i="78"/>
  <c r="B26" i="78"/>
  <c r="A26" i="78"/>
  <c r="Y25" i="78"/>
  <c r="W25" i="78"/>
  <c r="V25" i="78"/>
  <c r="U25" i="78"/>
  <c r="B25" i="78"/>
  <c r="A25" i="78"/>
  <c r="Y24" i="78"/>
  <c r="W24" i="78"/>
  <c r="V24" i="78"/>
  <c r="U24" i="78"/>
  <c r="B24" i="78"/>
  <c r="A24" i="78"/>
  <c r="Y23" i="78"/>
  <c r="W23" i="78"/>
  <c r="V23" i="78"/>
  <c r="U23" i="78"/>
  <c r="B23" i="78"/>
  <c r="A23" i="78"/>
  <c r="Y22" i="78"/>
  <c r="W22" i="78"/>
  <c r="V22" i="78"/>
  <c r="U22" i="78"/>
  <c r="B22" i="78"/>
  <c r="A22" i="78"/>
  <c r="Y21" i="78"/>
  <c r="W21" i="78"/>
  <c r="V21" i="78"/>
  <c r="U21" i="78"/>
  <c r="B21" i="78"/>
  <c r="A21" i="78"/>
  <c r="Y20" i="78"/>
  <c r="W20" i="78"/>
  <c r="V20" i="78"/>
  <c r="U20" i="78"/>
  <c r="B20" i="78"/>
  <c r="A20" i="78"/>
  <c r="Y19" i="78"/>
  <c r="W19" i="78"/>
  <c r="V19" i="78"/>
  <c r="U19" i="78"/>
  <c r="B19" i="78"/>
  <c r="A19" i="78"/>
  <c r="Y18" i="78"/>
  <c r="W18" i="78"/>
  <c r="V18" i="78"/>
  <c r="U18" i="78"/>
  <c r="B18" i="78"/>
  <c r="A18" i="78"/>
  <c r="Y17" i="78"/>
  <c r="W17" i="78"/>
  <c r="V17" i="78"/>
  <c r="U17" i="78"/>
  <c r="B17" i="78"/>
  <c r="A17" i="78"/>
  <c r="Y16" i="78"/>
  <c r="W16" i="78"/>
  <c r="V16" i="78"/>
  <c r="U16" i="78"/>
  <c r="B16" i="78"/>
  <c r="A16" i="78"/>
  <c r="Y15" i="78"/>
  <c r="W15" i="78"/>
  <c r="V15" i="78"/>
  <c r="U15" i="78"/>
  <c r="B15" i="78"/>
  <c r="A15" i="78"/>
  <c r="Y14" i="78"/>
  <c r="W14" i="78"/>
  <c r="V14" i="78"/>
  <c r="U14" i="78"/>
  <c r="B14" i="78"/>
  <c r="A14" i="78"/>
  <c r="Y13" i="78"/>
  <c r="W13" i="78"/>
  <c r="V13" i="78"/>
  <c r="U13" i="78"/>
  <c r="B13" i="78"/>
  <c r="A13" i="78"/>
  <c r="Y12" i="78"/>
  <c r="W12" i="78"/>
  <c r="V12" i="78"/>
  <c r="U12" i="78"/>
  <c r="B12" i="78"/>
  <c r="A12" i="78"/>
  <c r="Y11" i="78"/>
  <c r="W11" i="78"/>
  <c r="V11" i="78"/>
  <c r="U11" i="78"/>
  <c r="B11" i="78"/>
  <c r="A11" i="78"/>
  <c r="Y10" i="78"/>
  <c r="W10" i="78"/>
  <c r="V10" i="78"/>
  <c r="U10" i="78"/>
  <c r="B10" i="78"/>
  <c r="A10" i="78"/>
  <c r="Y9" i="78"/>
  <c r="W9" i="78"/>
  <c r="V9" i="78"/>
  <c r="U9" i="78"/>
  <c r="B9" i="78"/>
  <c r="A9" i="78"/>
  <c r="Y8" i="78"/>
  <c r="W8" i="78"/>
  <c r="V8" i="78"/>
  <c r="U8" i="78"/>
  <c r="B8" i="78"/>
  <c r="A8" i="78"/>
  <c r="Y7" i="78"/>
  <c r="W7" i="78"/>
  <c r="V7" i="78"/>
  <c r="U7" i="78"/>
  <c r="B7" i="78"/>
  <c r="A7" i="78"/>
  <c r="AH4" i="78"/>
  <c r="AG4" i="78"/>
  <c r="AF4" i="78"/>
  <c r="AE4" i="78"/>
  <c r="AD4" i="78"/>
  <c r="AA4" i="78"/>
  <c r="B4" i="78"/>
  <c r="AA3" i="78" s="1"/>
  <c r="AH3" i="78"/>
  <c r="AG3" i="78"/>
  <c r="AF3" i="78"/>
  <c r="AE3" i="78"/>
  <c r="AD3" i="78"/>
  <c r="AI2" i="78"/>
  <c r="AH2" i="78"/>
  <c r="W2" i="78"/>
  <c r="Y32" i="77"/>
  <c r="X32" i="77"/>
  <c r="W32" i="77"/>
  <c r="V32" i="77"/>
  <c r="U32" i="77"/>
  <c r="T32" i="77"/>
  <c r="A32" i="77"/>
  <c r="U31" i="77"/>
  <c r="V31" i="77"/>
  <c r="Y31" i="77"/>
  <c r="Y30" i="77"/>
  <c r="W30" i="77"/>
  <c r="V30" i="77"/>
  <c r="U30" i="77"/>
  <c r="B30" i="77"/>
  <c r="A30" i="77"/>
  <c r="Y29" i="77"/>
  <c r="W29" i="77"/>
  <c r="V29" i="77"/>
  <c r="U29" i="77"/>
  <c r="B29" i="77"/>
  <c r="A29" i="77"/>
  <c r="Y28" i="77"/>
  <c r="W28" i="77"/>
  <c r="V28" i="77"/>
  <c r="U28" i="77"/>
  <c r="B28" i="77"/>
  <c r="A28" i="77"/>
  <c r="Y27" i="77"/>
  <c r="W27" i="77"/>
  <c r="V27" i="77"/>
  <c r="U27" i="77"/>
  <c r="B27" i="77"/>
  <c r="A27" i="77"/>
  <c r="Y26" i="77"/>
  <c r="W26" i="77"/>
  <c r="V26" i="77"/>
  <c r="U26" i="77"/>
  <c r="B26" i="77"/>
  <c r="A26" i="77"/>
  <c r="Y25" i="77"/>
  <c r="W25" i="77"/>
  <c r="V25" i="77"/>
  <c r="U25" i="77"/>
  <c r="B25" i="77"/>
  <c r="A25" i="77"/>
  <c r="Y24" i="77"/>
  <c r="W24" i="77"/>
  <c r="V24" i="77"/>
  <c r="U24" i="77"/>
  <c r="B24" i="77"/>
  <c r="A24" i="77"/>
  <c r="Y23" i="77"/>
  <c r="W23" i="77"/>
  <c r="V23" i="77"/>
  <c r="U23" i="77"/>
  <c r="B23" i="77"/>
  <c r="A23" i="77"/>
  <c r="Y22" i="77"/>
  <c r="W22" i="77"/>
  <c r="V22" i="77"/>
  <c r="U22" i="77"/>
  <c r="B22" i="77"/>
  <c r="A22" i="77"/>
  <c r="Y21" i="77"/>
  <c r="W21" i="77"/>
  <c r="V21" i="77"/>
  <c r="U21" i="77"/>
  <c r="B21" i="77"/>
  <c r="A21" i="77"/>
  <c r="Y20" i="77"/>
  <c r="W20" i="77"/>
  <c r="V20" i="77"/>
  <c r="U20" i="77"/>
  <c r="B20" i="77"/>
  <c r="A20" i="77"/>
  <c r="Y19" i="77"/>
  <c r="W19" i="77"/>
  <c r="V19" i="77"/>
  <c r="U19" i="77"/>
  <c r="B19" i="77"/>
  <c r="A19" i="77"/>
  <c r="Y18" i="77"/>
  <c r="W18" i="77"/>
  <c r="V18" i="77"/>
  <c r="U18" i="77"/>
  <c r="B18" i="77"/>
  <c r="A18" i="77"/>
  <c r="Y17" i="77"/>
  <c r="W17" i="77"/>
  <c r="V17" i="77"/>
  <c r="U17" i="77"/>
  <c r="B17" i="77"/>
  <c r="A17" i="77"/>
  <c r="Y16" i="77"/>
  <c r="W16" i="77"/>
  <c r="V16" i="77"/>
  <c r="U16" i="77"/>
  <c r="B16" i="77"/>
  <c r="A16" i="77"/>
  <c r="Y15" i="77"/>
  <c r="W15" i="77"/>
  <c r="V15" i="77"/>
  <c r="U15" i="77"/>
  <c r="B15" i="77"/>
  <c r="A15" i="77"/>
  <c r="Y14" i="77"/>
  <c r="W14" i="77"/>
  <c r="V14" i="77"/>
  <c r="U14" i="77"/>
  <c r="B14" i="77"/>
  <c r="A14" i="77"/>
  <c r="Y13" i="77"/>
  <c r="W13" i="77"/>
  <c r="V13" i="77"/>
  <c r="U13" i="77"/>
  <c r="B13" i="77"/>
  <c r="A13" i="77"/>
  <c r="Y12" i="77"/>
  <c r="W12" i="77"/>
  <c r="V12" i="77"/>
  <c r="U12" i="77"/>
  <c r="B12" i="77"/>
  <c r="A12" i="77"/>
  <c r="Y11" i="77"/>
  <c r="W11" i="77"/>
  <c r="V11" i="77"/>
  <c r="U11" i="77"/>
  <c r="B11" i="77"/>
  <c r="A11" i="77"/>
  <c r="Y10" i="77"/>
  <c r="W10" i="77"/>
  <c r="V10" i="77"/>
  <c r="U10" i="77"/>
  <c r="B10" i="77"/>
  <c r="A10" i="77"/>
  <c r="Y9" i="77"/>
  <c r="W9" i="77"/>
  <c r="V9" i="77"/>
  <c r="U9" i="77"/>
  <c r="B9" i="77"/>
  <c r="A9" i="77"/>
  <c r="Y8" i="77"/>
  <c r="W8" i="77"/>
  <c r="V8" i="77"/>
  <c r="U8" i="77"/>
  <c r="B8" i="77"/>
  <c r="A8" i="77"/>
  <c r="Y7" i="77"/>
  <c r="W7" i="77"/>
  <c r="V7" i="77"/>
  <c r="U7" i="77"/>
  <c r="B7" i="77"/>
  <c r="A7" i="77"/>
  <c r="AH4" i="77"/>
  <c r="AG4" i="77"/>
  <c r="AF4" i="77"/>
  <c r="AE4" i="77"/>
  <c r="AD4" i="77"/>
  <c r="AA4" i="77"/>
  <c r="B4" i="77"/>
  <c r="AA3" i="77" s="1"/>
  <c r="AH3" i="77"/>
  <c r="AG3" i="77"/>
  <c r="AF3" i="77"/>
  <c r="AE3" i="77"/>
  <c r="AD3" i="77"/>
  <c r="AI2" i="77"/>
  <c r="AH2" i="77"/>
  <c r="W2" i="77"/>
  <c r="Y32" i="76"/>
  <c r="X32" i="76"/>
  <c r="W32" i="76"/>
  <c r="V32" i="76"/>
  <c r="U32" i="76"/>
  <c r="A32" i="76"/>
  <c r="W31" i="76"/>
  <c r="V31" i="76"/>
  <c r="Y31" i="76"/>
  <c r="Y30" i="76"/>
  <c r="W30" i="76"/>
  <c r="V30" i="76"/>
  <c r="U30" i="76"/>
  <c r="B30" i="76"/>
  <c r="A30" i="76"/>
  <c r="Y29" i="76"/>
  <c r="W29" i="76"/>
  <c r="V29" i="76"/>
  <c r="U29" i="76"/>
  <c r="B29" i="76"/>
  <c r="A29" i="76"/>
  <c r="Y28" i="76"/>
  <c r="W28" i="76"/>
  <c r="V28" i="76"/>
  <c r="U28" i="76"/>
  <c r="B28" i="76"/>
  <c r="A28" i="76"/>
  <c r="Y27" i="76"/>
  <c r="W27" i="76"/>
  <c r="V27" i="76"/>
  <c r="U27" i="76"/>
  <c r="B27" i="76"/>
  <c r="A27" i="76"/>
  <c r="Y26" i="76"/>
  <c r="W26" i="76"/>
  <c r="V26" i="76"/>
  <c r="U26" i="76"/>
  <c r="B26" i="76"/>
  <c r="A26" i="76"/>
  <c r="Y25" i="76"/>
  <c r="W25" i="76"/>
  <c r="V25" i="76"/>
  <c r="U25" i="76"/>
  <c r="B25" i="76"/>
  <c r="A25" i="76"/>
  <c r="Y24" i="76"/>
  <c r="W24" i="76"/>
  <c r="V24" i="76"/>
  <c r="U24" i="76"/>
  <c r="B24" i="76"/>
  <c r="A24" i="76"/>
  <c r="Y23" i="76"/>
  <c r="W23" i="76"/>
  <c r="V23" i="76"/>
  <c r="U23" i="76"/>
  <c r="B23" i="76"/>
  <c r="A23" i="76"/>
  <c r="Y22" i="76"/>
  <c r="W22" i="76"/>
  <c r="V22" i="76"/>
  <c r="U22" i="76"/>
  <c r="B22" i="76"/>
  <c r="A22" i="76"/>
  <c r="Y21" i="76"/>
  <c r="W21" i="76"/>
  <c r="V21" i="76"/>
  <c r="U21" i="76"/>
  <c r="B21" i="76"/>
  <c r="A21" i="76"/>
  <c r="Y20" i="76"/>
  <c r="W20" i="76"/>
  <c r="V20" i="76"/>
  <c r="U20" i="76"/>
  <c r="B20" i="76"/>
  <c r="A20" i="76"/>
  <c r="Y19" i="76"/>
  <c r="W19" i="76"/>
  <c r="V19" i="76"/>
  <c r="U19" i="76"/>
  <c r="B19" i="76"/>
  <c r="A19" i="76"/>
  <c r="Y18" i="76"/>
  <c r="W18" i="76"/>
  <c r="V18" i="76"/>
  <c r="U18" i="76"/>
  <c r="B18" i="76"/>
  <c r="A18" i="76"/>
  <c r="Y17" i="76"/>
  <c r="W17" i="76"/>
  <c r="V17" i="76"/>
  <c r="U17" i="76"/>
  <c r="B17" i="76"/>
  <c r="A17" i="76"/>
  <c r="Y16" i="76"/>
  <c r="W16" i="76"/>
  <c r="V16" i="76"/>
  <c r="U16" i="76"/>
  <c r="B16" i="76"/>
  <c r="A16" i="76"/>
  <c r="Y15" i="76"/>
  <c r="W15" i="76"/>
  <c r="V15" i="76"/>
  <c r="U15" i="76"/>
  <c r="B15" i="76"/>
  <c r="A15" i="76"/>
  <c r="Y14" i="76"/>
  <c r="W14" i="76"/>
  <c r="V14" i="76"/>
  <c r="U14" i="76"/>
  <c r="B14" i="76"/>
  <c r="A14" i="76"/>
  <c r="Y13" i="76"/>
  <c r="W13" i="76"/>
  <c r="V13" i="76"/>
  <c r="U13" i="76"/>
  <c r="B13" i="76"/>
  <c r="A13" i="76"/>
  <c r="Y12" i="76"/>
  <c r="W12" i="76"/>
  <c r="V12" i="76"/>
  <c r="U12" i="76"/>
  <c r="B12" i="76"/>
  <c r="A12" i="76"/>
  <c r="Y11" i="76"/>
  <c r="W11" i="76"/>
  <c r="V11" i="76"/>
  <c r="U11" i="76"/>
  <c r="B11" i="76"/>
  <c r="A11" i="76"/>
  <c r="Y10" i="76"/>
  <c r="W10" i="76"/>
  <c r="V10" i="76"/>
  <c r="U10" i="76"/>
  <c r="B10" i="76"/>
  <c r="A10" i="76"/>
  <c r="Y9" i="76"/>
  <c r="W9" i="76"/>
  <c r="V9" i="76"/>
  <c r="U9" i="76"/>
  <c r="B9" i="76"/>
  <c r="A9" i="76"/>
  <c r="Y8" i="76"/>
  <c r="W8" i="76"/>
  <c r="V8" i="76"/>
  <c r="U8" i="76"/>
  <c r="B8" i="76"/>
  <c r="A8" i="76"/>
  <c r="Y7" i="76"/>
  <c r="W7" i="76"/>
  <c r="V7" i="76"/>
  <c r="U7" i="76"/>
  <c r="B7" i="76"/>
  <c r="A7" i="76"/>
  <c r="AH4" i="76"/>
  <c r="AG4" i="76"/>
  <c r="AF4" i="76"/>
  <c r="AE4" i="76"/>
  <c r="AD4" i="76"/>
  <c r="AA4" i="76"/>
  <c r="B4" i="76"/>
  <c r="AA3" i="76" s="1"/>
  <c r="AH3" i="76"/>
  <c r="AG3" i="76"/>
  <c r="AF3" i="76"/>
  <c r="AE3" i="76"/>
  <c r="AD3" i="76"/>
  <c r="T32" i="76"/>
  <c r="AI2" i="76"/>
  <c r="AH2" i="76"/>
  <c r="W2" i="76"/>
  <c r="Y32" i="75"/>
  <c r="X32" i="75"/>
  <c r="W32" i="75"/>
  <c r="V32" i="75"/>
  <c r="U32" i="75"/>
  <c r="A32" i="75"/>
  <c r="Y31" i="75"/>
  <c r="U31" i="75"/>
  <c r="Y30" i="75"/>
  <c r="W30" i="75"/>
  <c r="V30" i="75"/>
  <c r="U30" i="75"/>
  <c r="B30" i="75"/>
  <c r="A30" i="75"/>
  <c r="Y29" i="75"/>
  <c r="W29" i="75"/>
  <c r="V29" i="75"/>
  <c r="U29" i="75"/>
  <c r="B29" i="75"/>
  <c r="A29" i="75"/>
  <c r="Y28" i="75"/>
  <c r="W28" i="75"/>
  <c r="V28" i="75"/>
  <c r="U28" i="75"/>
  <c r="B28" i="75"/>
  <c r="A28" i="75"/>
  <c r="Y27" i="75"/>
  <c r="W27" i="75"/>
  <c r="V27" i="75"/>
  <c r="U27" i="75"/>
  <c r="B27" i="75"/>
  <c r="A27" i="75"/>
  <c r="Y26" i="75"/>
  <c r="W26" i="75"/>
  <c r="V26" i="75"/>
  <c r="U26" i="75"/>
  <c r="B26" i="75"/>
  <c r="A26" i="75"/>
  <c r="Y25" i="75"/>
  <c r="W25" i="75"/>
  <c r="V25" i="75"/>
  <c r="U25" i="75"/>
  <c r="B25" i="75"/>
  <c r="A25" i="75"/>
  <c r="Y24" i="75"/>
  <c r="W24" i="75"/>
  <c r="V24" i="75"/>
  <c r="U24" i="75"/>
  <c r="B24" i="75"/>
  <c r="A24" i="75"/>
  <c r="Y23" i="75"/>
  <c r="W23" i="75"/>
  <c r="V23" i="75"/>
  <c r="U23" i="75"/>
  <c r="B23" i="75"/>
  <c r="A23" i="75"/>
  <c r="Y22" i="75"/>
  <c r="W22" i="75"/>
  <c r="V22" i="75"/>
  <c r="U22" i="75"/>
  <c r="B22" i="75"/>
  <c r="A22" i="75"/>
  <c r="Y21" i="75"/>
  <c r="W21" i="75"/>
  <c r="V21" i="75"/>
  <c r="U21" i="75"/>
  <c r="B21" i="75"/>
  <c r="A21" i="75"/>
  <c r="Y20" i="75"/>
  <c r="W20" i="75"/>
  <c r="V20" i="75"/>
  <c r="U20" i="75"/>
  <c r="B20" i="75"/>
  <c r="A20" i="75"/>
  <c r="Y19" i="75"/>
  <c r="W19" i="75"/>
  <c r="V19" i="75"/>
  <c r="U19" i="75"/>
  <c r="B19" i="75"/>
  <c r="A19" i="75"/>
  <c r="Y18" i="75"/>
  <c r="W18" i="75"/>
  <c r="V18" i="75"/>
  <c r="U18" i="75"/>
  <c r="B18" i="75"/>
  <c r="A18" i="75"/>
  <c r="Y17" i="75"/>
  <c r="W17" i="75"/>
  <c r="V17" i="75"/>
  <c r="U17" i="75"/>
  <c r="B17" i="75"/>
  <c r="A17" i="75"/>
  <c r="Y16" i="75"/>
  <c r="W16" i="75"/>
  <c r="V16" i="75"/>
  <c r="U16" i="75"/>
  <c r="B16" i="75"/>
  <c r="A16" i="75"/>
  <c r="Y15" i="75"/>
  <c r="W15" i="75"/>
  <c r="V15" i="75"/>
  <c r="U15" i="75"/>
  <c r="B15" i="75"/>
  <c r="A15" i="75"/>
  <c r="Y14" i="75"/>
  <c r="W14" i="75"/>
  <c r="V14" i="75"/>
  <c r="U14" i="75"/>
  <c r="B14" i="75"/>
  <c r="A14" i="75"/>
  <c r="Y13" i="75"/>
  <c r="W13" i="75"/>
  <c r="V13" i="75"/>
  <c r="U13" i="75"/>
  <c r="B13" i="75"/>
  <c r="A13" i="75"/>
  <c r="Y12" i="75"/>
  <c r="W12" i="75"/>
  <c r="V12" i="75"/>
  <c r="U12" i="75"/>
  <c r="B12" i="75"/>
  <c r="A12" i="75"/>
  <c r="Y11" i="75"/>
  <c r="W11" i="75"/>
  <c r="V11" i="75"/>
  <c r="U11" i="75"/>
  <c r="B11" i="75"/>
  <c r="A11" i="75"/>
  <c r="Y10" i="75"/>
  <c r="W10" i="75"/>
  <c r="V10" i="75"/>
  <c r="U10" i="75"/>
  <c r="B10" i="75"/>
  <c r="A10" i="75"/>
  <c r="Y9" i="75"/>
  <c r="W9" i="75"/>
  <c r="V9" i="75"/>
  <c r="U9" i="75"/>
  <c r="B9" i="75"/>
  <c r="A9" i="75"/>
  <c r="Y8" i="75"/>
  <c r="W8" i="75"/>
  <c r="V8" i="75"/>
  <c r="U8" i="75"/>
  <c r="B8" i="75"/>
  <c r="A8" i="75"/>
  <c r="Y7" i="75"/>
  <c r="W7" i="75"/>
  <c r="V7" i="75"/>
  <c r="U7" i="75"/>
  <c r="B7" i="75"/>
  <c r="A7" i="75"/>
  <c r="AH4" i="75"/>
  <c r="AG4" i="75"/>
  <c r="AF4" i="75"/>
  <c r="AE4" i="75"/>
  <c r="AD4" i="75"/>
  <c r="AA4" i="75"/>
  <c r="B4" i="75"/>
  <c r="AA3" i="75" s="1"/>
  <c r="AH3" i="75"/>
  <c r="AG3" i="75"/>
  <c r="AF3" i="75"/>
  <c r="AE3" i="75"/>
  <c r="AD3" i="75"/>
  <c r="T32" i="75"/>
  <c r="AI2" i="75"/>
  <c r="AH2" i="75"/>
  <c r="W2" i="75"/>
  <c r="Y32" i="74"/>
  <c r="X32" i="74"/>
  <c r="W32" i="74"/>
  <c r="V32" i="74"/>
  <c r="U32" i="74"/>
  <c r="A32" i="74"/>
  <c r="U31" i="74"/>
  <c r="W31" i="74"/>
  <c r="Y31" i="74"/>
  <c r="A31" i="74"/>
  <c r="Y30" i="74"/>
  <c r="W30" i="74"/>
  <c r="V30" i="74"/>
  <c r="U30" i="74"/>
  <c r="B30" i="74"/>
  <c r="A30" i="74"/>
  <c r="Y29" i="74"/>
  <c r="W29" i="74"/>
  <c r="V29" i="74"/>
  <c r="U29" i="74"/>
  <c r="B29" i="74"/>
  <c r="A29" i="74"/>
  <c r="Y28" i="74"/>
  <c r="W28" i="74"/>
  <c r="V28" i="74"/>
  <c r="U28" i="74"/>
  <c r="B28" i="74"/>
  <c r="A28" i="74"/>
  <c r="Y27" i="74"/>
  <c r="W27" i="74"/>
  <c r="V27" i="74"/>
  <c r="U27" i="74"/>
  <c r="B27" i="74"/>
  <c r="A27" i="74"/>
  <c r="Y26" i="74"/>
  <c r="W26" i="74"/>
  <c r="V26" i="74"/>
  <c r="U26" i="74"/>
  <c r="B26" i="74"/>
  <c r="A26" i="74"/>
  <c r="Y25" i="74"/>
  <c r="W25" i="74"/>
  <c r="V25" i="74"/>
  <c r="U25" i="74"/>
  <c r="B25" i="74"/>
  <c r="A25" i="74"/>
  <c r="Y24" i="74"/>
  <c r="W24" i="74"/>
  <c r="V24" i="74"/>
  <c r="U24" i="74"/>
  <c r="B24" i="74"/>
  <c r="A24" i="74"/>
  <c r="Y23" i="74"/>
  <c r="W23" i="74"/>
  <c r="V23" i="74"/>
  <c r="U23" i="74"/>
  <c r="B23" i="74"/>
  <c r="A23" i="74"/>
  <c r="Y22" i="74"/>
  <c r="W22" i="74"/>
  <c r="V22" i="74"/>
  <c r="U22" i="74"/>
  <c r="B22" i="74"/>
  <c r="A22" i="74"/>
  <c r="Y21" i="74"/>
  <c r="W21" i="74"/>
  <c r="V21" i="74"/>
  <c r="U21" i="74"/>
  <c r="B21" i="74"/>
  <c r="A21" i="74"/>
  <c r="Y20" i="74"/>
  <c r="W20" i="74"/>
  <c r="V20" i="74"/>
  <c r="U20" i="74"/>
  <c r="B20" i="74"/>
  <c r="A20" i="74"/>
  <c r="Y19" i="74"/>
  <c r="W19" i="74"/>
  <c r="V19" i="74"/>
  <c r="U19" i="74"/>
  <c r="B19" i="74"/>
  <c r="A19" i="74"/>
  <c r="Y18" i="74"/>
  <c r="W18" i="74"/>
  <c r="V18" i="74"/>
  <c r="U18" i="74"/>
  <c r="B18" i="74"/>
  <c r="A18" i="74"/>
  <c r="Y17" i="74"/>
  <c r="W17" i="74"/>
  <c r="V17" i="74"/>
  <c r="U17" i="74"/>
  <c r="B17" i="74"/>
  <c r="A17" i="74"/>
  <c r="Y16" i="74"/>
  <c r="W16" i="74"/>
  <c r="V16" i="74"/>
  <c r="U16" i="74"/>
  <c r="B16" i="74"/>
  <c r="A16" i="74"/>
  <c r="Y15" i="74"/>
  <c r="W15" i="74"/>
  <c r="V15" i="74"/>
  <c r="U15" i="74"/>
  <c r="B15" i="74"/>
  <c r="A15" i="74"/>
  <c r="Y14" i="74"/>
  <c r="W14" i="74"/>
  <c r="V14" i="74"/>
  <c r="U14" i="74"/>
  <c r="B14" i="74"/>
  <c r="A14" i="74"/>
  <c r="Y13" i="74"/>
  <c r="W13" i="74"/>
  <c r="V13" i="74"/>
  <c r="U13" i="74"/>
  <c r="B13" i="74"/>
  <c r="A13" i="74"/>
  <c r="Y12" i="74"/>
  <c r="W12" i="74"/>
  <c r="V12" i="74"/>
  <c r="U12" i="74"/>
  <c r="B12" i="74"/>
  <c r="A12" i="74"/>
  <c r="Y11" i="74"/>
  <c r="W11" i="74"/>
  <c r="V11" i="74"/>
  <c r="U11" i="74"/>
  <c r="B11" i="74"/>
  <c r="A11" i="74"/>
  <c r="Y10" i="74"/>
  <c r="W10" i="74"/>
  <c r="V10" i="74"/>
  <c r="U10" i="74"/>
  <c r="B10" i="74"/>
  <c r="A10" i="74"/>
  <c r="Y9" i="74"/>
  <c r="W9" i="74"/>
  <c r="V9" i="74"/>
  <c r="U9" i="74"/>
  <c r="B9" i="74"/>
  <c r="A9" i="74"/>
  <c r="Y8" i="74"/>
  <c r="W8" i="74"/>
  <c r="V8" i="74"/>
  <c r="U8" i="74"/>
  <c r="B8" i="74"/>
  <c r="A8" i="74"/>
  <c r="Y7" i="74"/>
  <c r="W7" i="74"/>
  <c r="V7" i="74"/>
  <c r="U7" i="74"/>
  <c r="B7" i="74"/>
  <c r="A7" i="74"/>
  <c r="AH4" i="74"/>
  <c r="AG4" i="74"/>
  <c r="AF4" i="74"/>
  <c r="AE4" i="74"/>
  <c r="AD4" i="74"/>
  <c r="AA4" i="74"/>
  <c r="B4" i="74"/>
  <c r="AA3" i="74" s="1"/>
  <c r="AH3" i="74"/>
  <c r="AG3" i="74"/>
  <c r="AF3" i="74"/>
  <c r="AE3" i="74"/>
  <c r="AD3" i="74"/>
  <c r="T32" i="74"/>
  <c r="AI2" i="74"/>
  <c r="AH2" i="74"/>
  <c r="W2" i="74"/>
  <c r="Y32" i="73"/>
  <c r="X32" i="73"/>
  <c r="W32" i="73"/>
  <c r="V32" i="73"/>
  <c r="U32" i="73"/>
  <c r="A32" i="73"/>
  <c r="W31" i="73"/>
  <c r="T31" i="73"/>
  <c r="Y31" i="73"/>
  <c r="Y30" i="73"/>
  <c r="W30" i="73"/>
  <c r="V30" i="73"/>
  <c r="U30" i="73"/>
  <c r="B30" i="73"/>
  <c r="A30" i="73"/>
  <c r="Y29" i="73"/>
  <c r="W29" i="73"/>
  <c r="V29" i="73"/>
  <c r="U29" i="73"/>
  <c r="B29" i="73"/>
  <c r="A29" i="73"/>
  <c r="Y28" i="73"/>
  <c r="W28" i="73"/>
  <c r="V28" i="73"/>
  <c r="U28" i="73"/>
  <c r="B28" i="73"/>
  <c r="A28" i="73"/>
  <c r="Y27" i="73"/>
  <c r="W27" i="73"/>
  <c r="V27" i="73"/>
  <c r="U27" i="73"/>
  <c r="B27" i="73"/>
  <c r="A27" i="73"/>
  <c r="Y26" i="73"/>
  <c r="W26" i="73"/>
  <c r="V26" i="73"/>
  <c r="U26" i="73"/>
  <c r="B26" i="73"/>
  <c r="A26" i="73"/>
  <c r="Y25" i="73"/>
  <c r="W25" i="73"/>
  <c r="V25" i="73"/>
  <c r="U25" i="73"/>
  <c r="B25" i="73"/>
  <c r="A25" i="73"/>
  <c r="Y24" i="73"/>
  <c r="W24" i="73"/>
  <c r="V24" i="73"/>
  <c r="U24" i="73"/>
  <c r="B24" i="73"/>
  <c r="A24" i="73"/>
  <c r="Y23" i="73"/>
  <c r="W23" i="73"/>
  <c r="V23" i="73"/>
  <c r="U23" i="73"/>
  <c r="B23" i="73"/>
  <c r="A23" i="73"/>
  <c r="Y22" i="73"/>
  <c r="W22" i="73"/>
  <c r="V22" i="73"/>
  <c r="U22" i="73"/>
  <c r="B22" i="73"/>
  <c r="A22" i="73"/>
  <c r="Y21" i="73"/>
  <c r="W21" i="73"/>
  <c r="V21" i="73"/>
  <c r="U21" i="73"/>
  <c r="B21" i="73"/>
  <c r="A21" i="73"/>
  <c r="Y20" i="73"/>
  <c r="W20" i="73"/>
  <c r="V20" i="73"/>
  <c r="U20" i="73"/>
  <c r="B20" i="73"/>
  <c r="A20" i="73"/>
  <c r="Y19" i="73"/>
  <c r="W19" i="73"/>
  <c r="V19" i="73"/>
  <c r="U19" i="73"/>
  <c r="B19" i="73"/>
  <c r="A19" i="73"/>
  <c r="Y18" i="73"/>
  <c r="W18" i="73"/>
  <c r="V18" i="73"/>
  <c r="U18" i="73"/>
  <c r="B18" i="73"/>
  <c r="A18" i="73"/>
  <c r="Y17" i="73"/>
  <c r="W17" i="73"/>
  <c r="V17" i="73"/>
  <c r="U17" i="73"/>
  <c r="B17" i="73"/>
  <c r="A17" i="73"/>
  <c r="Y16" i="73"/>
  <c r="W16" i="73"/>
  <c r="V16" i="73"/>
  <c r="U16" i="73"/>
  <c r="B16" i="73"/>
  <c r="A16" i="73"/>
  <c r="Y15" i="73"/>
  <c r="W15" i="73"/>
  <c r="V15" i="73"/>
  <c r="U15" i="73"/>
  <c r="B15" i="73"/>
  <c r="A15" i="73"/>
  <c r="Y14" i="73"/>
  <c r="W14" i="73"/>
  <c r="V14" i="73"/>
  <c r="U14" i="73"/>
  <c r="B14" i="73"/>
  <c r="A14" i="73"/>
  <c r="Y13" i="73"/>
  <c r="W13" i="73"/>
  <c r="V13" i="73"/>
  <c r="U13" i="73"/>
  <c r="B13" i="73"/>
  <c r="A13" i="73"/>
  <c r="Y12" i="73"/>
  <c r="W12" i="73"/>
  <c r="V12" i="73"/>
  <c r="U12" i="73"/>
  <c r="B12" i="73"/>
  <c r="A12" i="73"/>
  <c r="Y11" i="73"/>
  <c r="W11" i="73"/>
  <c r="V11" i="73"/>
  <c r="U11" i="73"/>
  <c r="B11" i="73"/>
  <c r="A11" i="73"/>
  <c r="Y10" i="73"/>
  <c r="W10" i="73"/>
  <c r="V10" i="73"/>
  <c r="U10" i="73"/>
  <c r="B10" i="73"/>
  <c r="A10" i="73"/>
  <c r="Y9" i="73"/>
  <c r="W9" i="73"/>
  <c r="V9" i="73"/>
  <c r="U9" i="73"/>
  <c r="B9" i="73"/>
  <c r="A9" i="73"/>
  <c r="Y8" i="73"/>
  <c r="W8" i="73"/>
  <c r="V8" i="73"/>
  <c r="U8" i="73"/>
  <c r="B8" i="73"/>
  <c r="A8" i="73"/>
  <c r="Y7" i="73"/>
  <c r="W7" i="73"/>
  <c r="V7" i="73"/>
  <c r="U7" i="73"/>
  <c r="B7" i="73"/>
  <c r="A7" i="73"/>
  <c r="AH4" i="73"/>
  <c r="AG4" i="73"/>
  <c r="AF4" i="73"/>
  <c r="AE4" i="73"/>
  <c r="AD4" i="73"/>
  <c r="AA4" i="73"/>
  <c r="B4" i="73"/>
  <c r="AA3" i="73" s="1"/>
  <c r="AH3" i="73"/>
  <c r="AG3" i="73"/>
  <c r="AF3" i="73"/>
  <c r="AE3" i="73"/>
  <c r="AD3" i="73"/>
  <c r="AI2" i="73"/>
  <c r="AH2" i="73"/>
  <c r="W2" i="73"/>
  <c r="Y32" i="72"/>
  <c r="X32" i="72"/>
  <c r="W32" i="72"/>
  <c r="V32" i="72"/>
  <c r="U32" i="72"/>
  <c r="A32" i="72"/>
  <c r="U31" i="72"/>
  <c r="W31" i="72"/>
  <c r="T31" i="72"/>
  <c r="V31" i="72"/>
  <c r="Y31" i="72"/>
  <c r="Y30" i="72"/>
  <c r="W30" i="72"/>
  <c r="V30" i="72"/>
  <c r="U30" i="72"/>
  <c r="B30" i="72"/>
  <c r="A30" i="72"/>
  <c r="Y29" i="72"/>
  <c r="W29" i="72"/>
  <c r="V29" i="72"/>
  <c r="U29" i="72"/>
  <c r="B29" i="72"/>
  <c r="A29" i="72"/>
  <c r="Y28" i="72"/>
  <c r="W28" i="72"/>
  <c r="V28" i="72"/>
  <c r="U28" i="72"/>
  <c r="B28" i="72"/>
  <c r="A28" i="72"/>
  <c r="Y27" i="72"/>
  <c r="W27" i="72"/>
  <c r="V27" i="72"/>
  <c r="U27" i="72"/>
  <c r="B27" i="72"/>
  <c r="A27" i="72"/>
  <c r="Y26" i="72"/>
  <c r="W26" i="72"/>
  <c r="V26" i="72"/>
  <c r="U26" i="72"/>
  <c r="B26" i="72"/>
  <c r="A26" i="72"/>
  <c r="Y25" i="72"/>
  <c r="W25" i="72"/>
  <c r="V25" i="72"/>
  <c r="U25" i="72"/>
  <c r="B25" i="72"/>
  <c r="A25" i="72"/>
  <c r="Y24" i="72"/>
  <c r="W24" i="72"/>
  <c r="V24" i="72"/>
  <c r="U24" i="72"/>
  <c r="B24" i="72"/>
  <c r="A24" i="72"/>
  <c r="Y23" i="72"/>
  <c r="W23" i="72"/>
  <c r="V23" i="72"/>
  <c r="U23" i="72"/>
  <c r="B23" i="72"/>
  <c r="A23" i="72"/>
  <c r="Y22" i="72"/>
  <c r="W22" i="72"/>
  <c r="V22" i="72"/>
  <c r="U22" i="72"/>
  <c r="B22" i="72"/>
  <c r="A22" i="72"/>
  <c r="Y21" i="72"/>
  <c r="W21" i="72"/>
  <c r="V21" i="72"/>
  <c r="U21" i="72"/>
  <c r="B21" i="72"/>
  <c r="A21" i="72"/>
  <c r="Y20" i="72"/>
  <c r="W20" i="72"/>
  <c r="V20" i="72"/>
  <c r="U20" i="72"/>
  <c r="B20" i="72"/>
  <c r="A20" i="72"/>
  <c r="Y19" i="72"/>
  <c r="W19" i="72"/>
  <c r="V19" i="72"/>
  <c r="U19" i="72"/>
  <c r="B19" i="72"/>
  <c r="A19" i="72"/>
  <c r="Y18" i="72"/>
  <c r="W18" i="72"/>
  <c r="V18" i="72"/>
  <c r="U18" i="72"/>
  <c r="B18" i="72"/>
  <c r="A18" i="72"/>
  <c r="Y17" i="72"/>
  <c r="W17" i="72"/>
  <c r="V17" i="72"/>
  <c r="U17" i="72"/>
  <c r="B17" i="72"/>
  <c r="A17" i="72"/>
  <c r="Y16" i="72"/>
  <c r="W16" i="72"/>
  <c r="V16" i="72"/>
  <c r="U16" i="72"/>
  <c r="B16" i="72"/>
  <c r="A16" i="72"/>
  <c r="Y15" i="72"/>
  <c r="W15" i="72"/>
  <c r="V15" i="72"/>
  <c r="U15" i="72"/>
  <c r="B15" i="72"/>
  <c r="A15" i="72"/>
  <c r="Y14" i="72"/>
  <c r="W14" i="72"/>
  <c r="V14" i="72"/>
  <c r="U14" i="72"/>
  <c r="B14" i="72"/>
  <c r="A14" i="72"/>
  <c r="Y13" i="72"/>
  <c r="W13" i="72"/>
  <c r="V13" i="72"/>
  <c r="U13" i="72"/>
  <c r="B13" i="72"/>
  <c r="A13" i="72"/>
  <c r="Y12" i="72"/>
  <c r="W12" i="72"/>
  <c r="V12" i="72"/>
  <c r="U12" i="72"/>
  <c r="B12" i="72"/>
  <c r="A12" i="72"/>
  <c r="Y11" i="72"/>
  <c r="W11" i="72"/>
  <c r="V11" i="72"/>
  <c r="U11" i="72"/>
  <c r="B11" i="72"/>
  <c r="A11" i="72"/>
  <c r="Y10" i="72"/>
  <c r="W10" i="72"/>
  <c r="V10" i="72"/>
  <c r="U10" i="72"/>
  <c r="B10" i="72"/>
  <c r="A10" i="72"/>
  <c r="Y9" i="72"/>
  <c r="W9" i="72"/>
  <c r="V9" i="72"/>
  <c r="U9" i="72"/>
  <c r="B9" i="72"/>
  <c r="A9" i="72"/>
  <c r="Y8" i="72"/>
  <c r="W8" i="72"/>
  <c r="V8" i="72"/>
  <c r="U8" i="72"/>
  <c r="B8" i="72"/>
  <c r="A8" i="72"/>
  <c r="Y7" i="72"/>
  <c r="W7" i="72"/>
  <c r="V7" i="72"/>
  <c r="U7" i="72"/>
  <c r="B7" i="72"/>
  <c r="A7" i="72"/>
  <c r="AH4" i="72"/>
  <c r="AG4" i="72"/>
  <c r="AF4" i="72"/>
  <c r="AE4" i="72"/>
  <c r="AD4" i="72"/>
  <c r="AA4" i="72"/>
  <c r="B4" i="72"/>
  <c r="AA3" i="72" s="1"/>
  <c r="AH3" i="72"/>
  <c r="AG3" i="72"/>
  <c r="AF3" i="72"/>
  <c r="AE3" i="72"/>
  <c r="AD3" i="72"/>
  <c r="AI2" i="72"/>
  <c r="AH2" i="72"/>
  <c r="W2" i="72"/>
  <c r="Y32" i="71"/>
  <c r="X32" i="71"/>
  <c r="W32" i="71"/>
  <c r="V32" i="71"/>
  <c r="U32" i="71"/>
  <c r="A32" i="71"/>
  <c r="W31" i="71"/>
  <c r="U31" i="71"/>
  <c r="Y30" i="71"/>
  <c r="W30" i="71"/>
  <c r="V30" i="71"/>
  <c r="U30" i="71"/>
  <c r="B30" i="71"/>
  <c r="A30" i="71"/>
  <c r="Y29" i="71"/>
  <c r="W29" i="71"/>
  <c r="V29" i="71"/>
  <c r="U29" i="71"/>
  <c r="B29" i="71"/>
  <c r="A29" i="71"/>
  <c r="Y28" i="71"/>
  <c r="W28" i="71"/>
  <c r="V28" i="71"/>
  <c r="U28" i="71"/>
  <c r="B28" i="71"/>
  <c r="A28" i="71"/>
  <c r="Y27" i="71"/>
  <c r="W27" i="71"/>
  <c r="V27" i="71"/>
  <c r="U27" i="71"/>
  <c r="B27" i="71"/>
  <c r="A27" i="71"/>
  <c r="Y26" i="71"/>
  <c r="W26" i="71"/>
  <c r="V26" i="71"/>
  <c r="U26" i="71"/>
  <c r="B26" i="71"/>
  <c r="A26" i="71"/>
  <c r="Y25" i="71"/>
  <c r="W25" i="71"/>
  <c r="V25" i="71"/>
  <c r="U25" i="71"/>
  <c r="B25" i="71"/>
  <c r="A25" i="71"/>
  <c r="Y24" i="71"/>
  <c r="W24" i="71"/>
  <c r="V24" i="71"/>
  <c r="U24" i="71"/>
  <c r="B24" i="71"/>
  <c r="A24" i="71"/>
  <c r="Y23" i="71"/>
  <c r="W23" i="71"/>
  <c r="V23" i="71"/>
  <c r="U23" i="71"/>
  <c r="B23" i="71"/>
  <c r="A23" i="71"/>
  <c r="Y22" i="71"/>
  <c r="W22" i="71"/>
  <c r="V22" i="71"/>
  <c r="U22" i="71"/>
  <c r="B22" i="71"/>
  <c r="A22" i="71"/>
  <c r="Y21" i="71"/>
  <c r="W21" i="71"/>
  <c r="V21" i="71"/>
  <c r="U21" i="71"/>
  <c r="B21" i="71"/>
  <c r="A21" i="71"/>
  <c r="Y20" i="71"/>
  <c r="W20" i="71"/>
  <c r="V20" i="71"/>
  <c r="U20" i="71"/>
  <c r="B20" i="71"/>
  <c r="A20" i="71"/>
  <c r="Y19" i="71"/>
  <c r="W19" i="71"/>
  <c r="V19" i="71"/>
  <c r="U19" i="71"/>
  <c r="B19" i="71"/>
  <c r="A19" i="71"/>
  <c r="Y18" i="71"/>
  <c r="W18" i="71"/>
  <c r="V18" i="71"/>
  <c r="U18" i="71"/>
  <c r="B18" i="71"/>
  <c r="A18" i="71"/>
  <c r="Y17" i="71"/>
  <c r="W17" i="71"/>
  <c r="V17" i="71"/>
  <c r="U17" i="71"/>
  <c r="B17" i="71"/>
  <c r="A17" i="71"/>
  <c r="Y16" i="71"/>
  <c r="W16" i="71"/>
  <c r="V16" i="71"/>
  <c r="U16" i="71"/>
  <c r="B16" i="71"/>
  <c r="A16" i="71"/>
  <c r="Y15" i="71"/>
  <c r="W15" i="71"/>
  <c r="V15" i="71"/>
  <c r="U15" i="71"/>
  <c r="B15" i="71"/>
  <c r="A15" i="71"/>
  <c r="Y14" i="71"/>
  <c r="W14" i="71"/>
  <c r="V14" i="71"/>
  <c r="U14" i="71"/>
  <c r="B14" i="71"/>
  <c r="A14" i="71"/>
  <c r="Y13" i="71"/>
  <c r="W13" i="71"/>
  <c r="V13" i="71"/>
  <c r="U13" i="71"/>
  <c r="B13" i="71"/>
  <c r="A13" i="71"/>
  <c r="Y12" i="71"/>
  <c r="W12" i="71"/>
  <c r="V12" i="71"/>
  <c r="U12" i="71"/>
  <c r="B12" i="71"/>
  <c r="A12" i="71"/>
  <c r="Y11" i="71"/>
  <c r="W11" i="71"/>
  <c r="V11" i="71"/>
  <c r="U11" i="71"/>
  <c r="B11" i="71"/>
  <c r="A11" i="71"/>
  <c r="Y10" i="71"/>
  <c r="W10" i="71"/>
  <c r="V10" i="71"/>
  <c r="U10" i="71"/>
  <c r="B10" i="71"/>
  <c r="A10" i="71"/>
  <c r="Y9" i="71"/>
  <c r="W9" i="71"/>
  <c r="V9" i="71"/>
  <c r="U9" i="71"/>
  <c r="B9" i="71"/>
  <c r="A9" i="71"/>
  <c r="Y8" i="71"/>
  <c r="W8" i="71"/>
  <c r="V8" i="71"/>
  <c r="U8" i="71"/>
  <c r="B8" i="71"/>
  <c r="A8" i="71"/>
  <c r="Y7" i="71"/>
  <c r="W7" i="71"/>
  <c r="V7" i="71"/>
  <c r="U7" i="71"/>
  <c r="B7" i="71"/>
  <c r="A7" i="71"/>
  <c r="AH4" i="71"/>
  <c r="AG4" i="71"/>
  <c r="AF4" i="71"/>
  <c r="AE4" i="71"/>
  <c r="AD4" i="71"/>
  <c r="AA4" i="71"/>
  <c r="B4" i="71"/>
  <c r="AA3" i="71" s="1"/>
  <c r="AH3" i="71"/>
  <c r="AG3" i="71"/>
  <c r="AF3" i="71"/>
  <c r="AE3" i="71"/>
  <c r="AD3" i="71"/>
  <c r="AI2" i="71"/>
  <c r="AH2" i="71"/>
  <c r="W2" i="71"/>
  <c r="Y32" i="70"/>
  <c r="X32" i="70"/>
  <c r="W32" i="70"/>
  <c r="V32" i="70"/>
  <c r="U32" i="70"/>
  <c r="A32" i="70"/>
  <c r="W31" i="70"/>
  <c r="T31" i="70"/>
  <c r="Y30" i="70"/>
  <c r="W30" i="70"/>
  <c r="V30" i="70"/>
  <c r="U30" i="70"/>
  <c r="B30" i="70"/>
  <c r="A30" i="70"/>
  <c r="Y29" i="70"/>
  <c r="W29" i="70"/>
  <c r="V29" i="70"/>
  <c r="U29" i="70"/>
  <c r="B29" i="70"/>
  <c r="A29" i="70"/>
  <c r="Y28" i="70"/>
  <c r="W28" i="70"/>
  <c r="V28" i="70"/>
  <c r="U28" i="70"/>
  <c r="B28" i="70"/>
  <c r="A28" i="70"/>
  <c r="Y27" i="70"/>
  <c r="W27" i="70"/>
  <c r="V27" i="70"/>
  <c r="U27" i="70"/>
  <c r="B27" i="70"/>
  <c r="A27" i="70"/>
  <c r="Y26" i="70"/>
  <c r="W26" i="70"/>
  <c r="V26" i="70"/>
  <c r="U26" i="70"/>
  <c r="B26" i="70"/>
  <c r="A26" i="70"/>
  <c r="Y25" i="70"/>
  <c r="W25" i="70"/>
  <c r="V25" i="70"/>
  <c r="U25" i="70"/>
  <c r="B25" i="70"/>
  <c r="A25" i="70"/>
  <c r="Y24" i="70"/>
  <c r="W24" i="70"/>
  <c r="V24" i="70"/>
  <c r="U24" i="70"/>
  <c r="B24" i="70"/>
  <c r="A24" i="70"/>
  <c r="Y23" i="70"/>
  <c r="W23" i="70"/>
  <c r="V23" i="70"/>
  <c r="U23" i="70"/>
  <c r="B23" i="70"/>
  <c r="A23" i="70"/>
  <c r="Y22" i="70"/>
  <c r="W22" i="70"/>
  <c r="V22" i="70"/>
  <c r="U22" i="70"/>
  <c r="B22" i="70"/>
  <c r="A22" i="70"/>
  <c r="Y21" i="70"/>
  <c r="W21" i="70"/>
  <c r="V21" i="70"/>
  <c r="U21" i="70"/>
  <c r="B21" i="70"/>
  <c r="A21" i="70"/>
  <c r="Y20" i="70"/>
  <c r="W20" i="70"/>
  <c r="V20" i="70"/>
  <c r="U20" i="70"/>
  <c r="B20" i="70"/>
  <c r="A20" i="70"/>
  <c r="Y19" i="70"/>
  <c r="W19" i="70"/>
  <c r="V19" i="70"/>
  <c r="U19" i="70"/>
  <c r="B19" i="70"/>
  <c r="A19" i="70"/>
  <c r="Y18" i="70"/>
  <c r="W18" i="70"/>
  <c r="V18" i="70"/>
  <c r="U18" i="70"/>
  <c r="B18" i="70"/>
  <c r="A18" i="70"/>
  <c r="Y17" i="70"/>
  <c r="W17" i="70"/>
  <c r="V17" i="70"/>
  <c r="U17" i="70"/>
  <c r="B17" i="70"/>
  <c r="A17" i="70"/>
  <c r="Y16" i="70"/>
  <c r="W16" i="70"/>
  <c r="V16" i="70"/>
  <c r="U16" i="70"/>
  <c r="B16" i="70"/>
  <c r="A16" i="70"/>
  <c r="Y15" i="70"/>
  <c r="W15" i="70"/>
  <c r="V15" i="70"/>
  <c r="U15" i="70"/>
  <c r="B15" i="70"/>
  <c r="A15" i="70"/>
  <c r="Y14" i="70"/>
  <c r="W14" i="70"/>
  <c r="V14" i="70"/>
  <c r="U14" i="70"/>
  <c r="B14" i="70"/>
  <c r="A14" i="70"/>
  <c r="Y13" i="70"/>
  <c r="W13" i="70"/>
  <c r="V13" i="70"/>
  <c r="U13" i="70"/>
  <c r="B13" i="70"/>
  <c r="A13" i="70"/>
  <c r="Y12" i="70"/>
  <c r="W12" i="70"/>
  <c r="V12" i="70"/>
  <c r="U12" i="70"/>
  <c r="B12" i="70"/>
  <c r="A12" i="70"/>
  <c r="Y11" i="70"/>
  <c r="W11" i="70"/>
  <c r="V11" i="70"/>
  <c r="U11" i="70"/>
  <c r="B11" i="70"/>
  <c r="A11" i="70"/>
  <c r="Y10" i="70"/>
  <c r="W10" i="70"/>
  <c r="V10" i="70"/>
  <c r="U10" i="70"/>
  <c r="B10" i="70"/>
  <c r="A10" i="70"/>
  <c r="Y9" i="70"/>
  <c r="W9" i="70"/>
  <c r="V9" i="70"/>
  <c r="U9" i="70"/>
  <c r="B9" i="70"/>
  <c r="A9" i="70"/>
  <c r="Y8" i="70"/>
  <c r="W8" i="70"/>
  <c r="V8" i="70"/>
  <c r="U8" i="70"/>
  <c r="B8" i="70"/>
  <c r="A8" i="70"/>
  <c r="Y7" i="70"/>
  <c r="W7" i="70"/>
  <c r="V7" i="70"/>
  <c r="U7" i="70"/>
  <c r="B7" i="70"/>
  <c r="A7" i="70"/>
  <c r="AH4" i="70"/>
  <c r="AG4" i="70"/>
  <c r="AF4" i="70"/>
  <c r="AE4" i="70"/>
  <c r="AD4" i="70"/>
  <c r="AA4" i="70"/>
  <c r="B4" i="70"/>
  <c r="AA3" i="70" s="1"/>
  <c r="AH3" i="70"/>
  <c r="AG3" i="70"/>
  <c r="AF3" i="70"/>
  <c r="AE3" i="70"/>
  <c r="AD3" i="70"/>
  <c r="T32" i="70"/>
  <c r="AI2" i="70"/>
  <c r="AH2" i="70"/>
  <c r="W2" i="70"/>
  <c r="Y32" i="69"/>
  <c r="X32" i="69"/>
  <c r="W32" i="69"/>
  <c r="V32" i="69"/>
  <c r="U32" i="69"/>
  <c r="A32" i="69"/>
  <c r="Y31" i="69"/>
  <c r="U31" i="69"/>
  <c r="Y30" i="69"/>
  <c r="W30" i="69"/>
  <c r="V30" i="69"/>
  <c r="U30" i="69"/>
  <c r="B30" i="69"/>
  <c r="A30" i="69"/>
  <c r="Y29" i="69"/>
  <c r="W29" i="69"/>
  <c r="V29" i="69"/>
  <c r="U29" i="69"/>
  <c r="B29" i="69"/>
  <c r="A29" i="69"/>
  <c r="Y28" i="69"/>
  <c r="W28" i="69"/>
  <c r="V28" i="69"/>
  <c r="U28" i="69"/>
  <c r="B28" i="69"/>
  <c r="A28" i="69"/>
  <c r="Y27" i="69"/>
  <c r="W27" i="69"/>
  <c r="V27" i="69"/>
  <c r="U27" i="69"/>
  <c r="B27" i="69"/>
  <c r="A27" i="69"/>
  <c r="Y26" i="69"/>
  <c r="W26" i="69"/>
  <c r="V26" i="69"/>
  <c r="U26" i="69"/>
  <c r="B26" i="69"/>
  <c r="A26" i="69"/>
  <c r="Y25" i="69"/>
  <c r="W25" i="69"/>
  <c r="V25" i="69"/>
  <c r="U25" i="69"/>
  <c r="B25" i="69"/>
  <c r="A25" i="69"/>
  <c r="Y24" i="69"/>
  <c r="W24" i="69"/>
  <c r="V24" i="69"/>
  <c r="U24" i="69"/>
  <c r="B24" i="69"/>
  <c r="A24" i="69"/>
  <c r="Y23" i="69"/>
  <c r="W23" i="69"/>
  <c r="V23" i="69"/>
  <c r="U23" i="69"/>
  <c r="B23" i="69"/>
  <c r="A23" i="69"/>
  <c r="Y22" i="69"/>
  <c r="W22" i="69"/>
  <c r="V22" i="69"/>
  <c r="U22" i="69"/>
  <c r="B22" i="69"/>
  <c r="A22" i="69"/>
  <c r="Y21" i="69"/>
  <c r="W21" i="69"/>
  <c r="V21" i="69"/>
  <c r="U21" i="69"/>
  <c r="B21" i="69"/>
  <c r="A21" i="69"/>
  <c r="Y20" i="69"/>
  <c r="W20" i="69"/>
  <c r="V20" i="69"/>
  <c r="U20" i="69"/>
  <c r="B20" i="69"/>
  <c r="A20" i="69"/>
  <c r="Y19" i="69"/>
  <c r="W19" i="69"/>
  <c r="V19" i="69"/>
  <c r="U19" i="69"/>
  <c r="B19" i="69"/>
  <c r="A19" i="69"/>
  <c r="Y18" i="69"/>
  <c r="W18" i="69"/>
  <c r="V18" i="69"/>
  <c r="U18" i="69"/>
  <c r="B18" i="69"/>
  <c r="A18" i="69"/>
  <c r="Y17" i="69"/>
  <c r="W17" i="69"/>
  <c r="V17" i="69"/>
  <c r="U17" i="69"/>
  <c r="B17" i="69"/>
  <c r="A17" i="69"/>
  <c r="Y16" i="69"/>
  <c r="W16" i="69"/>
  <c r="V16" i="69"/>
  <c r="U16" i="69"/>
  <c r="B16" i="69"/>
  <c r="A16" i="69"/>
  <c r="Y15" i="69"/>
  <c r="W15" i="69"/>
  <c r="V15" i="69"/>
  <c r="U15" i="69"/>
  <c r="B15" i="69"/>
  <c r="A15" i="69"/>
  <c r="Y14" i="69"/>
  <c r="W14" i="69"/>
  <c r="V14" i="69"/>
  <c r="U14" i="69"/>
  <c r="B14" i="69"/>
  <c r="A14" i="69"/>
  <c r="Y13" i="69"/>
  <c r="W13" i="69"/>
  <c r="V13" i="69"/>
  <c r="U13" i="69"/>
  <c r="B13" i="69"/>
  <c r="A13" i="69"/>
  <c r="Y12" i="69"/>
  <c r="W12" i="69"/>
  <c r="V12" i="69"/>
  <c r="U12" i="69"/>
  <c r="B12" i="69"/>
  <c r="A12" i="69"/>
  <c r="Y11" i="69"/>
  <c r="W11" i="69"/>
  <c r="V11" i="69"/>
  <c r="U11" i="69"/>
  <c r="B11" i="69"/>
  <c r="A11" i="69"/>
  <c r="Y10" i="69"/>
  <c r="W10" i="69"/>
  <c r="V10" i="69"/>
  <c r="U10" i="69"/>
  <c r="B10" i="69"/>
  <c r="A10" i="69"/>
  <c r="Y9" i="69"/>
  <c r="W9" i="69"/>
  <c r="V9" i="69"/>
  <c r="U9" i="69"/>
  <c r="B9" i="69"/>
  <c r="A9" i="69"/>
  <c r="Y8" i="69"/>
  <c r="W8" i="69"/>
  <c r="V8" i="69"/>
  <c r="U8" i="69"/>
  <c r="B8" i="69"/>
  <c r="A8" i="69"/>
  <c r="Y7" i="69"/>
  <c r="W7" i="69"/>
  <c r="V7" i="69"/>
  <c r="U7" i="69"/>
  <c r="B7" i="69"/>
  <c r="A7" i="69"/>
  <c r="AH4" i="69"/>
  <c r="AG4" i="69"/>
  <c r="AF4" i="69"/>
  <c r="AE4" i="69"/>
  <c r="AD4" i="69"/>
  <c r="AA4" i="69"/>
  <c r="B4" i="69"/>
  <c r="AA3" i="69" s="1"/>
  <c r="AH3" i="69"/>
  <c r="AG3" i="69"/>
  <c r="AF3" i="69"/>
  <c r="AE3" i="69"/>
  <c r="AD3" i="69"/>
  <c r="T32" i="69"/>
  <c r="AI2" i="69"/>
  <c r="AH2" i="69"/>
  <c r="W2" i="69"/>
  <c r="Y32" i="68"/>
  <c r="X32" i="68"/>
  <c r="W32" i="68"/>
  <c r="V32" i="68"/>
  <c r="U32" i="68"/>
  <c r="T32" i="68"/>
  <c r="A32" i="68"/>
  <c r="U31" i="68"/>
  <c r="W31" i="68"/>
  <c r="V31" i="68"/>
  <c r="Y31" i="68"/>
  <c r="Y30" i="68"/>
  <c r="W30" i="68"/>
  <c r="V30" i="68"/>
  <c r="U30" i="68"/>
  <c r="B30" i="68"/>
  <c r="A30" i="68"/>
  <c r="Y29" i="68"/>
  <c r="W29" i="68"/>
  <c r="V29" i="68"/>
  <c r="U29" i="68"/>
  <c r="B29" i="68"/>
  <c r="A29" i="68"/>
  <c r="Y28" i="68"/>
  <c r="W28" i="68"/>
  <c r="V28" i="68"/>
  <c r="U28" i="68"/>
  <c r="B28" i="68"/>
  <c r="A28" i="68"/>
  <c r="Y27" i="68"/>
  <c r="W27" i="68"/>
  <c r="V27" i="68"/>
  <c r="U27" i="68"/>
  <c r="B27" i="68"/>
  <c r="A27" i="68"/>
  <c r="Y26" i="68"/>
  <c r="W26" i="68"/>
  <c r="V26" i="68"/>
  <c r="U26" i="68"/>
  <c r="B26" i="68"/>
  <c r="A26" i="68"/>
  <c r="Y25" i="68"/>
  <c r="W25" i="68"/>
  <c r="V25" i="68"/>
  <c r="U25" i="68"/>
  <c r="B25" i="68"/>
  <c r="A25" i="68"/>
  <c r="Y24" i="68"/>
  <c r="W24" i="68"/>
  <c r="V24" i="68"/>
  <c r="U24" i="68"/>
  <c r="B24" i="68"/>
  <c r="A24" i="68"/>
  <c r="Y23" i="68"/>
  <c r="W23" i="68"/>
  <c r="V23" i="68"/>
  <c r="U23" i="68"/>
  <c r="B23" i="68"/>
  <c r="A23" i="68"/>
  <c r="Y22" i="68"/>
  <c r="W22" i="68"/>
  <c r="V22" i="68"/>
  <c r="U22" i="68"/>
  <c r="B22" i="68"/>
  <c r="A22" i="68"/>
  <c r="Y21" i="68"/>
  <c r="W21" i="68"/>
  <c r="V21" i="68"/>
  <c r="U21" i="68"/>
  <c r="B21" i="68"/>
  <c r="A21" i="68"/>
  <c r="Y20" i="68"/>
  <c r="W20" i="68"/>
  <c r="V20" i="68"/>
  <c r="U20" i="68"/>
  <c r="B20" i="68"/>
  <c r="A20" i="68"/>
  <c r="Y19" i="68"/>
  <c r="W19" i="68"/>
  <c r="V19" i="68"/>
  <c r="U19" i="68"/>
  <c r="B19" i="68"/>
  <c r="A19" i="68"/>
  <c r="Y18" i="68"/>
  <c r="W18" i="68"/>
  <c r="V18" i="68"/>
  <c r="U18" i="68"/>
  <c r="B18" i="68"/>
  <c r="A18" i="68"/>
  <c r="Y17" i="68"/>
  <c r="W17" i="68"/>
  <c r="V17" i="68"/>
  <c r="U17" i="68"/>
  <c r="B17" i="68"/>
  <c r="A17" i="68"/>
  <c r="Y16" i="68"/>
  <c r="W16" i="68"/>
  <c r="V16" i="68"/>
  <c r="U16" i="68"/>
  <c r="B16" i="68"/>
  <c r="A16" i="68"/>
  <c r="Y15" i="68"/>
  <c r="W15" i="68"/>
  <c r="V15" i="68"/>
  <c r="U15" i="68"/>
  <c r="B15" i="68"/>
  <c r="A15" i="68"/>
  <c r="Y14" i="68"/>
  <c r="W14" i="68"/>
  <c r="V14" i="68"/>
  <c r="U14" i="68"/>
  <c r="B14" i="68"/>
  <c r="A14" i="68"/>
  <c r="Y13" i="68"/>
  <c r="W13" i="68"/>
  <c r="V13" i="68"/>
  <c r="U13" i="68"/>
  <c r="B13" i="68"/>
  <c r="A13" i="68"/>
  <c r="Y12" i="68"/>
  <c r="W12" i="68"/>
  <c r="V12" i="68"/>
  <c r="U12" i="68"/>
  <c r="B12" i="68"/>
  <c r="A12" i="68"/>
  <c r="Y11" i="68"/>
  <c r="W11" i="68"/>
  <c r="V11" i="68"/>
  <c r="U11" i="68"/>
  <c r="B11" i="68"/>
  <c r="A11" i="68"/>
  <c r="Y10" i="68"/>
  <c r="W10" i="68"/>
  <c r="V10" i="68"/>
  <c r="U10" i="68"/>
  <c r="B10" i="68"/>
  <c r="A10" i="68"/>
  <c r="Y9" i="68"/>
  <c r="W9" i="68"/>
  <c r="V9" i="68"/>
  <c r="U9" i="68"/>
  <c r="B9" i="68"/>
  <c r="A9" i="68"/>
  <c r="Y8" i="68"/>
  <c r="W8" i="68"/>
  <c r="V8" i="68"/>
  <c r="U8" i="68"/>
  <c r="B8" i="68"/>
  <c r="A8" i="68"/>
  <c r="Y7" i="68"/>
  <c r="W7" i="68"/>
  <c r="V7" i="68"/>
  <c r="U7" i="68"/>
  <c r="B7" i="68"/>
  <c r="A7" i="68"/>
  <c r="AH4" i="68"/>
  <c r="AG4" i="68"/>
  <c r="AF4" i="68"/>
  <c r="AE4" i="68"/>
  <c r="AD4" i="68"/>
  <c r="AA4" i="68"/>
  <c r="B4" i="68"/>
  <c r="AA3" i="68" s="1"/>
  <c r="AH3" i="68"/>
  <c r="AG3" i="68"/>
  <c r="AF3" i="68"/>
  <c r="AE3" i="68"/>
  <c r="AD3" i="68"/>
  <c r="AI2" i="68"/>
  <c r="AH2" i="68"/>
  <c r="W2" i="68"/>
  <c r="Y32" i="67"/>
  <c r="X32" i="67"/>
  <c r="W32" i="67"/>
  <c r="V32" i="67"/>
  <c r="U32" i="67"/>
  <c r="T32" i="67"/>
  <c r="A32" i="67"/>
  <c r="Y30" i="67"/>
  <c r="W30" i="67"/>
  <c r="V30" i="67"/>
  <c r="U30" i="67"/>
  <c r="B30" i="67"/>
  <c r="A30" i="67"/>
  <c r="Y29" i="67"/>
  <c r="W29" i="67"/>
  <c r="V29" i="67"/>
  <c r="U29" i="67"/>
  <c r="B29" i="67"/>
  <c r="A29" i="67"/>
  <c r="Y28" i="67"/>
  <c r="W28" i="67"/>
  <c r="V28" i="67"/>
  <c r="U28" i="67"/>
  <c r="B28" i="67"/>
  <c r="A28" i="67"/>
  <c r="Y27" i="67"/>
  <c r="W27" i="67"/>
  <c r="V27" i="67"/>
  <c r="U27" i="67"/>
  <c r="B27" i="67"/>
  <c r="A27" i="67"/>
  <c r="Y26" i="67"/>
  <c r="W26" i="67"/>
  <c r="V26" i="67"/>
  <c r="U26" i="67"/>
  <c r="B26" i="67"/>
  <c r="A26" i="67"/>
  <c r="Y25" i="67"/>
  <c r="W25" i="67"/>
  <c r="V25" i="67"/>
  <c r="U25" i="67"/>
  <c r="B25" i="67"/>
  <c r="A25" i="67"/>
  <c r="Y24" i="67"/>
  <c r="W24" i="67"/>
  <c r="V24" i="67"/>
  <c r="U24" i="67"/>
  <c r="B24" i="67"/>
  <c r="A24" i="67"/>
  <c r="Y23" i="67"/>
  <c r="W23" i="67"/>
  <c r="V23" i="67"/>
  <c r="U23" i="67"/>
  <c r="B23" i="67"/>
  <c r="A23" i="67"/>
  <c r="Y22" i="67"/>
  <c r="W22" i="67"/>
  <c r="V22" i="67"/>
  <c r="U22" i="67"/>
  <c r="B22" i="67"/>
  <c r="A22" i="67"/>
  <c r="Y21" i="67"/>
  <c r="W21" i="67"/>
  <c r="V21" i="67"/>
  <c r="U21" i="67"/>
  <c r="B21" i="67"/>
  <c r="A21" i="67"/>
  <c r="Y20" i="67"/>
  <c r="W20" i="67"/>
  <c r="V20" i="67"/>
  <c r="U20" i="67"/>
  <c r="B20" i="67"/>
  <c r="A20" i="67"/>
  <c r="Y19" i="67"/>
  <c r="W19" i="67"/>
  <c r="V19" i="67"/>
  <c r="U19" i="67"/>
  <c r="B19" i="67"/>
  <c r="A19" i="67"/>
  <c r="Y18" i="67"/>
  <c r="W18" i="67"/>
  <c r="V18" i="67"/>
  <c r="U18" i="67"/>
  <c r="B18" i="67"/>
  <c r="A18" i="67"/>
  <c r="Y17" i="67"/>
  <c r="W17" i="67"/>
  <c r="V17" i="67"/>
  <c r="U17" i="67"/>
  <c r="B17" i="67"/>
  <c r="A17" i="67"/>
  <c r="Y16" i="67"/>
  <c r="W16" i="67"/>
  <c r="V16" i="67"/>
  <c r="U16" i="67"/>
  <c r="B16" i="67"/>
  <c r="A16" i="67"/>
  <c r="Y15" i="67"/>
  <c r="W15" i="67"/>
  <c r="V15" i="67"/>
  <c r="U15" i="67"/>
  <c r="B15" i="67"/>
  <c r="A15" i="67"/>
  <c r="Y14" i="67"/>
  <c r="W14" i="67"/>
  <c r="V14" i="67"/>
  <c r="U14" i="67"/>
  <c r="B14" i="67"/>
  <c r="A14" i="67"/>
  <c r="Y13" i="67"/>
  <c r="W13" i="67"/>
  <c r="V13" i="67"/>
  <c r="U13" i="67"/>
  <c r="B13" i="67"/>
  <c r="A13" i="67"/>
  <c r="Y12" i="67"/>
  <c r="W12" i="67"/>
  <c r="V12" i="67"/>
  <c r="U12" i="67"/>
  <c r="B12" i="67"/>
  <c r="A12" i="67"/>
  <c r="Y11" i="67"/>
  <c r="W11" i="67"/>
  <c r="V11" i="67"/>
  <c r="U11" i="67"/>
  <c r="B11" i="67"/>
  <c r="A11" i="67"/>
  <c r="Y10" i="67"/>
  <c r="W10" i="67"/>
  <c r="V10" i="67"/>
  <c r="U10" i="67"/>
  <c r="B10" i="67"/>
  <c r="A10" i="67"/>
  <c r="Y9" i="67"/>
  <c r="W9" i="67"/>
  <c r="V9" i="67"/>
  <c r="U9" i="67"/>
  <c r="B9" i="67"/>
  <c r="A9" i="67"/>
  <c r="Y8" i="67"/>
  <c r="W8" i="67"/>
  <c r="V8" i="67"/>
  <c r="U8" i="67"/>
  <c r="B8" i="67"/>
  <c r="A8" i="67"/>
  <c r="Y7" i="67"/>
  <c r="W7" i="67"/>
  <c r="V7" i="67"/>
  <c r="U7" i="67"/>
  <c r="B7" i="67"/>
  <c r="A7" i="67"/>
  <c r="AH4" i="67"/>
  <c r="AG4" i="67"/>
  <c r="AF4" i="67"/>
  <c r="AE4" i="67"/>
  <c r="AD4" i="67"/>
  <c r="AA4" i="67"/>
  <c r="B4" i="67"/>
  <c r="AA3" i="67" s="1"/>
  <c r="AH3" i="67"/>
  <c r="AG3" i="67"/>
  <c r="AF3" i="67"/>
  <c r="AE3" i="67"/>
  <c r="AD3" i="67"/>
  <c r="AI2" i="67"/>
  <c r="AH2" i="67"/>
  <c r="W2" i="67"/>
  <c r="Y32" i="66"/>
  <c r="X32" i="66"/>
  <c r="W32" i="66"/>
  <c r="V32" i="66"/>
  <c r="U32" i="66"/>
  <c r="A32" i="66"/>
  <c r="Y30" i="66"/>
  <c r="W30" i="66"/>
  <c r="V30" i="66"/>
  <c r="U30" i="66"/>
  <c r="B30" i="66"/>
  <c r="A30" i="66"/>
  <c r="Y29" i="66"/>
  <c r="W29" i="66"/>
  <c r="V29" i="66"/>
  <c r="U29" i="66"/>
  <c r="B29" i="66"/>
  <c r="A29" i="66"/>
  <c r="Y28" i="66"/>
  <c r="W28" i="66"/>
  <c r="V28" i="66"/>
  <c r="U28" i="66"/>
  <c r="B28" i="66"/>
  <c r="A28" i="66"/>
  <c r="Y27" i="66"/>
  <c r="W27" i="66"/>
  <c r="V27" i="66"/>
  <c r="U27" i="66"/>
  <c r="B27" i="66"/>
  <c r="A27" i="66"/>
  <c r="Y26" i="66"/>
  <c r="W26" i="66"/>
  <c r="V26" i="66"/>
  <c r="U26" i="66"/>
  <c r="B26" i="66"/>
  <c r="A26" i="66"/>
  <c r="Y25" i="66"/>
  <c r="W25" i="66"/>
  <c r="V25" i="66"/>
  <c r="U25" i="66"/>
  <c r="B25" i="66"/>
  <c r="A25" i="66"/>
  <c r="Y24" i="66"/>
  <c r="W24" i="66"/>
  <c r="V24" i="66"/>
  <c r="U24" i="66"/>
  <c r="B24" i="66"/>
  <c r="A24" i="66"/>
  <c r="Y23" i="66"/>
  <c r="W23" i="66"/>
  <c r="V23" i="66"/>
  <c r="U23" i="66"/>
  <c r="B23" i="66"/>
  <c r="A23" i="66"/>
  <c r="Y22" i="66"/>
  <c r="W22" i="66"/>
  <c r="V22" i="66"/>
  <c r="U22" i="66"/>
  <c r="B22" i="66"/>
  <c r="A22" i="66"/>
  <c r="Y21" i="66"/>
  <c r="W21" i="66"/>
  <c r="V21" i="66"/>
  <c r="U21" i="66"/>
  <c r="B21" i="66"/>
  <c r="A21" i="66"/>
  <c r="Y20" i="66"/>
  <c r="W20" i="66"/>
  <c r="V20" i="66"/>
  <c r="U20" i="66"/>
  <c r="B20" i="66"/>
  <c r="A20" i="66"/>
  <c r="Y19" i="66"/>
  <c r="W19" i="66"/>
  <c r="V19" i="66"/>
  <c r="U19" i="66"/>
  <c r="B19" i="66"/>
  <c r="A19" i="66"/>
  <c r="Y18" i="66"/>
  <c r="W18" i="66"/>
  <c r="V18" i="66"/>
  <c r="U18" i="66"/>
  <c r="B18" i="66"/>
  <c r="A18" i="66"/>
  <c r="Y17" i="66"/>
  <c r="W17" i="66"/>
  <c r="V17" i="66"/>
  <c r="U17" i="66"/>
  <c r="B17" i="66"/>
  <c r="A17" i="66"/>
  <c r="Y16" i="66"/>
  <c r="W16" i="66"/>
  <c r="V16" i="66"/>
  <c r="U16" i="66"/>
  <c r="B16" i="66"/>
  <c r="A16" i="66"/>
  <c r="Y15" i="66"/>
  <c r="W15" i="66"/>
  <c r="V15" i="66"/>
  <c r="U15" i="66"/>
  <c r="B15" i="66"/>
  <c r="A15" i="66"/>
  <c r="Y14" i="66"/>
  <c r="W14" i="66"/>
  <c r="V14" i="66"/>
  <c r="U14" i="66"/>
  <c r="B14" i="66"/>
  <c r="A14" i="66"/>
  <c r="Y13" i="66"/>
  <c r="W13" i="66"/>
  <c r="V13" i="66"/>
  <c r="U13" i="66"/>
  <c r="B13" i="66"/>
  <c r="A13" i="66"/>
  <c r="Y12" i="66"/>
  <c r="W12" i="66"/>
  <c r="V12" i="66"/>
  <c r="U12" i="66"/>
  <c r="B12" i="66"/>
  <c r="A12" i="66"/>
  <c r="Y11" i="66"/>
  <c r="W11" i="66"/>
  <c r="V11" i="66"/>
  <c r="U11" i="66"/>
  <c r="B11" i="66"/>
  <c r="A11" i="66"/>
  <c r="Y10" i="66"/>
  <c r="W10" i="66"/>
  <c r="V10" i="66"/>
  <c r="U10" i="66"/>
  <c r="B10" i="66"/>
  <c r="A10" i="66"/>
  <c r="Y9" i="66"/>
  <c r="W9" i="66"/>
  <c r="V9" i="66"/>
  <c r="U9" i="66"/>
  <c r="B9" i="66"/>
  <c r="A9" i="66"/>
  <c r="Y8" i="66"/>
  <c r="W8" i="66"/>
  <c r="V8" i="66"/>
  <c r="U8" i="66"/>
  <c r="B8" i="66"/>
  <c r="A8" i="66"/>
  <c r="Y7" i="66"/>
  <c r="W7" i="66"/>
  <c r="V7" i="66"/>
  <c r="U7" i="66"/>
  <c r="B7" i="66"/>
  <c r="A7" i="66"/>
  <c r="AH4" i="66"/>
  <c r="AG4" i="66"/>
  <c r="AF4" i="66"/>
  <c r="AE4" i="66"/>
  <c r="AD4" i="66"/>
  <c r="AA4" i="66"/>
  <c r="B4" i="66"/>
  <c r="AA3" i="66" s="1"/>
  <c r="AH3" i="66"/>
  <c r="AG3" i="66"/>
  <c r="AF3" i="66"/>
  <c r="AE3" i="66"/>
  <c r="AD3" i="66"/>
  <c r="AI2" i="66"/>
  <c r="AH2" i="66"/>
  <c r="W2" i="66"/>
  <c r="Y32" i="65"/>
  <c r="X32" i="65"/>
  <c r="W32" i="65"/>
  <c r="V32" i="65"/>
  <c r="U32" i="65"/>
  <c r="T32" i="65"/>
  <c r="A32" i="65"/>
  <c r="W31" i="65"/>
  <c r="Y30" i="65"/>
  <c r="W30" i="65"/>
  <c r="V30" i="65"/>
  <c r="U30" i="65"/>
  <c r="B30" i="65"/>
  <c r="A30" i="65"/>
  <c r="Y29" i="65"/>
  <c r="W29" i="65"/>
  <c r="V29" i="65"/>
  <c r="U29" i="65"/>
  <c r="B29" i="65"/>
  <c r="A29" i="65"/>
  <c r="Y28" i="65"/>
  <c r="W28" i="65"/>
  <c r="V28" i="65"/>
  <c r="U28" i="65"/>
  <c r="B28" i="65"/>
  <c r="A28" i="65"/>
  <c r="Y27" i="65"/>
  <c r="W27" i="65"/>
  <c r="V27" i="65"/>
  <c r="U27" i="65"/>
  <c r="B27" i="65"/>
  <c r="A27" i="65"/>
  <c r="Y26" i="65"/>
  <c r="W26" i="65"/>
  <c r="V26" i="65"/>
  <c r="U26" i="65"/>
  <c r="B26" i="65"/>
  <c r="A26" i="65"/>
  <c r="Y25" i="65"/>
  <c r="W25" i="65"/>
  <c r="V25" i="65"/>
  <c r="U25" i="65"/>
  <c r="B25" i="65"/>
  <c r="A25" i="65"/>
  <c r="Y24" i="65"/>
  <c r="W24" i="65"/>
  <c r="V24" i="65"/>
  <c r="U24" i="65"/>
  <c r="B24" i="65"/>
  <c r="A24" i="65"/>
  <c r="Y23" i="65"/>
  <c r="W23" i="65"/>
  <c r="V23" i="65"/>
  <c r="U23" i="65"/>
  <c r="B23" i="65"/>
  <c r="A23" i="65"/>
  <c r="Y22" i="65"/>
  <c r="W22" i="65"/>
  <c r="V22" i="65"/>
  <c r="U22" i="65"/>
  <c r="B22" i="65"/>
  <c r="A22" i="65"/>
  <c r="Y21" i="65"/>
  <c r="W21" i="65"/>
  <c r="V21" i="65"/>
  <c r="U21" i="65"/>
  <c r="B21" i="65"/>
  <c r="A21" i="65"/>
  <c r="Y20" i="65"/>
  <c r="W20" i="65"/>
  <c r="V20" i="65"/>
  <c r="U20" i="65"/>
  <c r="B20" i="65"/>
  <c r="A20" i="65"/>
  <c r="Y19" i="65"/>
  <c r="W19" i="65"/>
  <c r="V19" i="65"/>
  <c r="U19" i="65"/>
  <c r="B19" i="65"/>
  <c r="A19" i="65"/>
  <c r="Y18" i="65"/>
  <c r="W18" i="65"/>
  <c r="V18" i="65"/>
  <c r="U18" i="65"/>
  <c r="B18" i="65"/>
  <c r="A18" i="65"/>
  <c r="Y17" i="65"/>
  <c r="W17" i="65"/>
  <c r="V17" i="65"/>
  <c r="U17" i="65"/>
  <c r="B17" i="65"/>
  <c r="A17" i="65"/>
  <c r="Y16" i="65"/>
  <c r="W16" i="65"/>
  <c r="V16" i="65"/>
  <c r="U16" i="65"/>
  <c r="B16" i="65"/>
  <c r="A16" i="65"/>
  <c r="Y15" i="65"/>
  <c r="W15" i="65"/>
  <c r="V15" i="65"/>
  <c r="U15" i="65"/>
  <c r="B15" i="65"/>
  <c r="A15" i="65"/>
  <c r="Y14" i="65"/>
  <c r="W14" i="65"/>
  <c r="V14" i="65"/>
  <c r="U14" i="65"/>
  <c r="B14" i="65"/>
  <c r="A14" i="65"/>
  <c r="Y13" i="65"/>
  <c r="W13" i="65"/>
  <c r="V13" i="65"/>
  <c r="U13" i="65"/>
  <c r="B13" i="65"/>
  <c r="A13" i="65"/>
  <c r="Y12" i="65"/>
  <c r="W12" i="65"/>
  <c r="V12" i="65"/>
  <c r="U12" i="65"/>
  <c r="B12" i="65"/>
  <c r="A12" i="65"/>
  <c r="Y11" i="65"/>
  <c r="W11" i="65"/>
  <c r="V11" i="65"/>
  <c r="U11" i="65"/>
  <c r="B11" i="65"/>
  <c r="A11" i="65"/>
  <c r="Y10" i="65"/>
  <c r="W10" i="65"/>
  <c r="V10" i="65"/>
  <c r="U10" i="65"/>
  <c r="B10" i="65"/>
  <c r="A10" i="65"/>
  <c r="Y9" i="65"/>
  <c r="W9" i="65"/>
  <c r="V9" i="65"/>
  <c r="U9" i="65"/>
  <c r="B9" i="65"/>
  <c r="A9" i="65"/>
  <c r="Y8" i="65"/>
  <c r="W8" i="65"/>
  <c r="V8" i="65"/>
  <c r="U8" i="65"/>
  <c r="B8" i="65"/>
  <c r="A8" i="65"/>
  <c r="Y7" i="65"/>
  <c r="W7" i="65"/>
  <c r="V7" i="65"/>
  <c r="U7" i="65"/>
  <c r="B7" i="65"/>
  <c r="A7" i="65"/>
  <c r="AH4" i="65"/>
  <c r="AG4" i="65"/>
  <c r="AF4" i="65"/>
  <c r="AE4" i="65"/>
  <c r="AD4" i="65"/>
  <c r="AA4" i="65"/>
  <c r="B4" i="65"/>
  <c r="AA3" i="65" s="1"/>
  <c r="AH3" i="65"/>
  <c r="AG3" i="65"/>
  <c r="AF3" i="65"/>
  <c r="AE3" i="65"/>
  <c r="AD3" i="65"/>
  <c r="AI2" i="65"/>
  <c r="AH2" i="65"/>
  <c r="W2" i="65"/>
  <c r="Y32" i="64"/>
  <c r="X32" i="64"/>
  <c r="W32" i="64"/>
  <c r="V32" i="64"/>
  <c r="U32" i="64"/>
  <c r="A32" i="64"/>
  <c r="Y30" i="64"/>
  <c r="W30" i="64"/>
  <c r="V30" i="64"/>
  <c r="U30" i="64"/>
  <c r="B30" i="64"/>
  <c r="A30" i="64"/>
  <c r="Y29" i="64"/>
  <c r="W29" i="64"/>
  <c r="V29" i="64"/>
  <c r="U29" i="64"/>
  <c r="B29" i="64"/>
  <c r="A29" i="64"/>
  <c r="Y28" i="64"/>
  <c r="W28" i="64"/>
  <c r="V28" i="64"/>
  <c r="U28" i="64"/>
  <c r="B28" i="64"/>
  <c r="A28" i="64"/>
  <c r="Y27" i="64"/>
  <c r="W27" i="64"/>
  <c r="V27" i="64"/>
  <c r="U27" i="64"/>
  <c r="B27" i="64"/>
  <c r="A27" i="64"/>
  <c r="Y26" i="64"/>
  <c r="W26" i="64"/>
  <c r="V26" i="64"/>
  <c r="U26" i="64"/>
  <c r="B26" i="64"/>
  <c r="A26" i="64"/>
  <c r="Y25" i="64"/>
  <c r="W25" i="64"/>
  <c r="V25" i="64"/>
  <c r="U25" i="64"/>
  <c r="B25" i="64"/>
  <c r="A25" i="64"/>
  <c r="Y24" i="64"/>
  <c r="W24" i="64"/>
  <c r="V24" i="64"/>
  <c r="U24" i="64"/>
  <c r="B24" i="64"/>
  <c r="A24" i="64"/>
  <c r="Y23" i="64"/>
  <c r="W23" i="64"/>
  <c r="V23" i="64"/>
  <c r="U23" i="64"/>
  <c r="B23" i="64"/>
  <c r="A23" i="64"/>
  <c r="Y22" i="64"/>
  <c r="W22" i="64"/>
  <c r="V22" i="64"/>
  <c r="U22" i="64"/>
  <c r="B22" i="64"/>
  <c r="A22" i="64"/>
  <c r="Y21" i="64"/>
  <c r="W21" i="64"/>
  <c r="V21" i="64"/>
  <c r="U21" i="64"/>
  <c r="B21" i="64"/>
  <c r="A21" i="64"/>
  <c r="Y20" i="64"/>
  <c r="W20" i="64"/>
  <c r="V20" i="64"/>
  <c r="U20" i="64"/>
  <c r="B20" i="64"/>
  <c r="A20" i="64"/>
  <c r="Y19" i="64"/>
  <c r="W19" i="64"/>
  <c r="V19" i="64"/>
  <c r="U19" i="64"/>
  <c r="B19" i="64"/>
  <c r="A19" i="64"/>
  <c r="Y18" i="64"/>
  <c r="W18" i="64"/>
  <c r="V18" i="64"/>
  <c r="U18" i="64"/>
  <c r="B18" i="64"/>
  <c r="A18" i="64"/>
  <c r="Y17" i="64"/>
  <c r="W17" i="64"/>
  <c r="V17" i="64"/>
  <c r="U17" i="64"/>
  <c r="B17" i="64"/>
  <c r="A17" i="64"/>
  <c r="Y16" i="64"/>
  <c r="W16" i="64"/>
  <c r="V16" i="64"/>
  <c r="U16" i="64"/>
  <c r="B16" i="64"/>
  <c r="A16" i="64"/>
  <c r="Y15" i="64"/>
  <c r="W15" i="64"/>
  <c r="V15" i="64"/>
  <c r="U15" i="64"/>
  <c r="B15" i="64"/>
  <c r="A15" i="64"/>
  <c r="Y14" i="64"/>
  <c r="W14" i="64"/>
  <c r="V14" i="64"/>
  <c r="U14" i="64"/>
  <c r="B14" i="64"/>
  <c r="A14" i="64"/>
  <c r="Y13" i="64"/>
  <c r="W13" i="64"/>
  <c r="V13" i="64"/>
  <c r="U13" i="64"/>
  <c r="B13" i="64"/>
  <c r="A13" i="64"/>
  <c r="Y12" i="64"/>
  <c r="W12" i="64"/>
  <c r="V12" i="64"/>
  <c r="U12" i="64"/>
  <c r="B12" i="64"/>
  <c r="A12" i="64"/>
  <c r="Y11" i="64"/>
  <c r="W11" i="64"/>
  <c r="V11" i="64"/>
  <c r="U11" i="64"/>
  <c r="B11" i="64"/>
  <c r="A11" i="64"/>
  <c r="Y10" i="64"/>
  <c r="W10" i="64"/>
  <c r="V10" i="64"/>
  <c r="U10" i="64"/>
  <c r="B10" i="64"/>
  <c r="A10" i="64"/>
  <c r="Y9" i="64"/>
  <c r="W9" i="64"/>
  <c r="V9" i="64"/>
  <c r="U9" i="64"/>
  <c r="B9" i="64"/>
  <c r="A9" i="64"/>
  <c r="Y8" i="64"/>
  <c r="W8" i="64"/>
  <c r="V8" i="64"/>
  <c r="U8" i="64"/>
  <c r="B8" i="64"/>
  <c r="A8" i="64"/>
  <c r="Y7" i="64"/>
  <c r="W7" i="64"/>
  <c r="V7" i="64"/>
  <c r="U7" i="64"/>
  <c r="B7" i="64"/>
  <c r="A7" i="64"/>
  <c r="AH4" i="64"/>
  <c r="AG4" i="64"/>
  <c r="AF4" i="64"/>
  <c r="AE4" i="64"/>
  <c r="AD4" i="64"/>
  <c r="AA4" i="64"/>
  <c r="B4" i="64"/>
  <c r="AA3" i="64" s="1"/>
  <c r="AH3" i="64"/>
  <c r="AG3" i="64"/>
  <c r="AF3" i="64"/>
  <c r="AE3" i="64"/>
  <c r="AD3" i="64"/>
  <c r="AI2" i="64"/>
  <c r="AH2" i="64"/>
  <c r="W2" i="64"/>
  <c r="Y32" i="63"/>
  <c r="X32" i="63"/>
  <c r="W32" i="63"/>
  <c r="V32" i="63"/>
  <c r="U32" i="63"/>
  <c r="A32" i="63"/>
  <c r="Y30" i="63"/>
  <c r="W30" i="63"/>
  <c r="V30" i="63"/>
  <c r="U30" i="63"/>
  <c r="B30" i="63"/>
  <c r="A30" i="63"/>
  <c r="Y29" i="63"/>
  <c r="W29" i="63"/>
  <c r="V29" i="63"/>
  <c r="U29" i="63"/>
  <c r="B29" i="63"/>
  <c r="A29" i="63"/>
  <c r="Y28" i="63"/>
  <c r="W28" i="63"/>
  <c r="V28" i="63"/>
  <c r="U28" i="63"/>
  <c r="B28" i="63"/>
  <c r="A28" i="63"/>
  <c r="Y27" i="63"/>
  <c r="W27" i="63"/>
  <c r="V27" i="63"/>
  <c r="U27" i="63"/>
  <c r="B27" i="63"/>
  <c r="A27" i="63"/>
  <c r="Y26" i="63"/>
  <c r="W26" i="63"/>
  <c r="V26" i="63"/>
  <c r="U26" i="63"/>
  <c r="B26" i="63"/>
  <c r="A26" i="63"/>
  <c r="Y25" i="63"/>
  <c r="W25" i="63"/>
  <c r="V25" i="63"/>
  <c r="U25" i="63"/>
  <c r="B25" i="63"/>
  <c r="A25" i="63"/>
  <c r="Y24" i="63"/>
  <c r="W24" i="63"/>
  <c r="V24" i="63"/>
  <c r="U24" i="63"/>
  <c r="B24" i="63"/>
  <c r="A24" i="63"/>
  <c r="Y23" i="63"/>
  <c r="W23" i="63"/>
  <c r="V23" i="63"/>
  <c r="U23" i="63"/>
  <c r="B23" i="63"/>
  <c r="A23" i="63"/>
  <c r="Y22" i="63"/>
  <c r="W22" i="63"/>
  <c r="V22" i="63"/>
  <c r="U22" i="63"/>
  <c r="B22" i="63"/>
  <c r="A22" i="63"/>
  <c r="Y21" i="63"/>
  <c r="W21" i="63"/>
  <c r="V21" i="63"/>
  <c r="U21" i="63"/>
  <c r="B21" i="63"/>
  <c r="A21" i="63"/>
  <c r="Y20" i="63"/>
  <c r="W20" i="63"/>
  <c r="V20" i="63"/>
  <c r="U20" i="63"/>
  <c r="B20" i="63"/>
  <c r="A20" i="63"/>
  <c r="Y19" i="63"/>
  <c r="W19" i="63"/>
  <c r="V19" i="63"/>
  <c r="U19" i="63"/>
  <c r="B19" i="63"/>
  <c r="A19" i="63"/>
  <c r="Y18" i="63"/>
  <c r="W18" i="63"/>
  <c r="V18" i="63"/>
  <c r="U18" i="63"/>
  <c r="B18" i="63"/>
  <c r="A18" i="63"/>
  <c r="Y17" i="63"/>
  <c r="W17" i="63"/>
  <c r="V17" i="63"/>
  <c r="U17" i="63"/>
  <c r="B17" i="63"/>
  <c r="A17" i="63"/>
  <c r="Y16" i="63"/>
  <c r="W16" i="63"/>
  <c r="V16" i="63"/>
  <c r="U16" i="63"/>
  <c r="B16" i="63"/>
  <c r="A16" i="63"/>
  <c r="Y15" i="63"/>
  <c r="W15" i="63"/>
  <c r="V15" i="63"/>
  <c r="U15" i="63"/>
  <c r="B15" i="63"/>
  <c r="A15" i="63"/>
  <c r="Y14" i="63"/>
  <c r="W14" i="63"/>
  <c r="V14" i="63"/>
  <c r="U14" i="63"/>
  <c r="B14" i="63"/>
  <c r="A14" i="63"/>
  <c r="Y13" i="63"/>
  <c r="W13" i="63"/>
  <c r="V13" i="63"/>
  <c r="U13" i="63"/>
  <c r="B13" i="63"/>
  <c r="A13" i="63"/>
  <c r="Y12" i="63"/>
  <c r="W12" i="63"/>
  <c r="V12" i="63"/>
  <c r="U12" i="63"/>
  <c r="B12" i="63"/>
  <c r="A12" i="63"/>
  <c r="Y11" i="63"/>
  <c r="W11" i="63"/>
  <c r="V11" i="63"/>
  <c r="U11" i="63"/>
  <c r="B11" i="63"/>
  <c r="A11" i="63"/>
  <c r="Y10" i="63"/>
  <c r="W10" i="63"/>
  <c r="V10" i="63"/>
  <c r="U10" i="63"/>
  <c r="B10" i="63"/>
  <c r="A10" i="63"/>
  <c r="Y9" i="63"/>
  <c r="W9" i="63"/>
  <c r="V9" i="63"/>
  <c r="U9" i="63"/>
  <c r="B9" i="63"/>
  <c r="A9" i="63"/>
  <c r="Y8" i="63"/>
  <c r="W8" i="63"/>
  <c r="V8" i="63"/>
  <c r="U8" i="63"/>
  <c r="B8" i="63"/>
  <c r="A8" i="63"/>
  <c r="Y7" i="63"/>
  <c r="W7" i="63"/>
  <c r="V7" i="63"/>
  <c r="U7" i="63"/>
  <c r="B7" i="63"/>
  <c r="A7" i="63"/>
  <c r="AH4" i="63"/>
  <c r="AG4" i="63"/>
  <c r="AF4" i="63"/>
  <c r="AE4" i="63"/>
  <c r="AD4" i="63"/>
  <c r="AA4" i="63"/>
  <c r="B4" i="63"/>
  <c r="AA3" i="63" s="1"/>
  <c r="AH3" i="63"/>
  <c r="AG3" i="63"/>
  <c r="AF3" i="63"/>
  <c r="AE3" i="63"/>
  <c r="AD3" i="63"/>
  <c r="T32" i="63"/>
  <c r="AI2" i="63"/>
  <c r="AH2" i="63"/>
  <c r="W2" i="63"/>
  <c r="Y32" i="62"/>
  <c r="X32" i="62"/>
  <c r="W32" i="62"/>
  <c r="V32" i="62"/>
  <c r="U32" i="62"/>
  <c r="A32" i="62"/>
  <c r="Y30" i="62"/>
  <c r="W30" i="62"/>
  <c r="V30" i="62"/>
  <c r="U30" i="62"/>
  <c r="B30" i="62"/>
  <c r="A30" i="62"/>
  <c r="Y29" i="62"/>
  <c r="W29" i="62"/>
  <c r="V29" i="62"/>
  <c r="U29" i="62"/>
  <c r="B29" i="62"/>
  <c r="A29" i="62"/>
  <c r="Y28" i="62"/>
  <c r="W28" i="62"/>
  <c r="V28" i="62"/>
  <c r="U28" i="62"/>
  <c r="B28" i="62"/>
  <c r="A28" i="62"/>
  <c r="Y27" i="62"/>
  <c r="W27" i="62"/>
  <c r="V27" i="62"/>
  <c r="U27" i="62"/>
  <c r="B27" i="62"/>
  <c r="A27" i="62"/>
  <c r="Y26" i="62"/>
  <c r="W26" i="62"/>
  <c r="V26" i="62"/>
  <c r="U26" i="62"/>
  <c r="B26" i="62"/>
  <c r="A26" i="62"/>
  <c r="Y25" i="62"/>
  <c r="W25" i="62"/>
  <c r="V25" i="62"/>
  <c r="U25" i="62"/>
  <c r="B25" i="62"/>
  <c r="A25" i="62"/>
  <c r="Y24" i="62"/>
  <c r="W24" i="62"/>
  <c r="V24" i="62"/>
  <c r="U24" i="62"/>
  <c r="B24" i="62"/>
  <c r="A24" i="62"/>
  <c r="Y23" i="62"/>
  <c r="W23" i="62"/>
  <c r="V23" i="62"/>
  <c r="U23" i="62"/>
  <c r="B23" i="62"/>
  <c r="A23" i="62"/>
  <c r="Y22" i="62"/>
  <c r="W22" i="62"/>
  <c r="V22" i="62"/>
  <c r="U22" i="62"/>
  <c r="B22" i="62"/>
  <c r="A22" i="62"/>
  <c r="Y21" i="62"/>
  <c r="W21" i="62"/>
  <c r="V21" i="62"/>
  <c r="U21" i="62"/>
  <c r="B21" i="62"/>
  <c r="A21" i="62"/>
  <c r="Y20" i="62"/>
  <c r="W20" i="62"/>
  <c r="V20" i="62"/>
  <c r="U20" i="62"/>
  <c r="B20" i="62"/>
  <c r="A20" i="62"/>
  <c r="Y19" i="62"/>
  <c r="W19" i="62"/>
  <c r="V19" i="62"/>
  <c r="U19" i="62"/>
  <c r="B19" i="62"/>
  <c r="A19" i="62"/>
  <c r="Y18" i="62"/>
  <c r="W18" i="62"/>
  <c r="V18" i="62"/>
  <c r="U18" i="62"/>
  <c r="B18" i="62"/>
  <c r="A18" i="62"/>
  <c r="Y17" i="62"/>
  <c r="W17" i="62"/>
  <c r="V17" i="62"/>
  <c r="U17" i="62"/>
  <c r="B17" i="62"/>
  <c r="A17" i="62"/>
  <c r="Y16" i="62"/>
  <c r="W16" i="62"/>
  <c r="V16" i="62"/>
  <c r="U16" i="62"/>
  <c r="B16" i="62"/>
  <c r="A16" i="62"/>
  <c r="Y15" i="62"/>
  <c r="W15" i="62"/>
  <c r="V15" i="62"/>
  <c r="U15" i="62"/>
  <c r="B15" i="62"/>
  <c r="A15" i="62"/>
  <c r="Y14" i="62"/>
  <c r="W14" i="62"/>
  <c r="V14" i="62"/>
  <c r="U14" i="62"/>
  <c r="B14" i="62"/>
  <c r="A14" i="62"/>
  <c r="Y13" i="62"/>
  <c r="W13" i="62"/>
  <c r="V13" i="62"/>
  <c r="U13" i="62"/>
  <c r="B13" i="62"/>
  <c r="A13" i="62"/>
  <c r="Y12" i="62"/>
  <c r="W12" i="62"/>
  <c r="V12" i="62"/>
  <c r="U12" i="62"/>
  <c r="B12" i="62"/>
  <c r="A12" i="62"/>
  <c r="Y11" i="62"/>
  <c r="W11" i="62"/>
  <c r="V11" i="62"/>
  <c r="U11" i="62"/>
  <c r="B11" i="62"/>
  <c r="A11" i="62"/>
  <c r="Y10" i="62"/>
  <c r="W10" i="62"/>
  <c r="V10" i="62"/>
  <c r="U10" i="62"/>
  <c r="B10" i="62"/>
  <c r="A10" i="62"/>
  <c r="Y9" i="62"/>
  <c r="W9" i="62"/>
  <c r="V9" i="62"/>
  <c r="U9" i="62"/>
  <c r="B9" i="62"/>
  <c r="A9" i="62"/>
  <c r="Y8" i="62"/>
  <c r="W8" i="62"/>
  <c r="V8" i="62"/>
  <c r="U8" i="62"/>
  <c r="B8" i="62"/>
  <c r="A8" i="62"/>
  <c r="Y7" i="62"/>
  <c r="W7" i="62"/>
  <c r="V7" i="62"/>
  <c r="U7" i="62"/>
  <c r="B7" i="62"/>
  <c r="A7" i="62"/>
  <c r="AH4" i="62"/>
  <c r="AG4" i="62"/>
  <c r="AF4" i="62"/>
  <c r="AE4" i="62"/>
  <c r="AD4" i="62"/>
  <c r="AA4" i="62"/>
  <c r="B4" i="62"/>
  <c r="AA3" i="62" s="1"/>
  <c r="AH3" i="62"/>
  <c r="AG3" i="62"/>
  <c r="AF3" i="62"/>
  <c r="AE3" i="62"/>
  <c r="AD3" i="62"/>
  <c r="AI2" i="62"/>
  <c r="AH2" i="62"/>
  <c r="W2" i="62"/>
  <c r="Y32" i="61"/>
  <c r="X32" i="61"/>
  <c r="W32" i="61"/>
  <c r="V32" i="61"/>
  <c r="U32" i="61"/>
  <c r="A32" i="61"/>
  <c r="Y30" i="61"/>
  <c r="W30" i="61"/>
  <c r="V30" i="61"/>
  <c r="U30" i="61"/>
  <c r="B30" i="61"/>
  <c r="A30" i="61"/>
  <c r="Y29" i="61"/>
  <c r="W29" i="61"/>
  <c r="V29" i="61"/>
  <c r="U29" i="61"/>
  <c r="B29" i="61"/>
  <c r="A29" i="61"/>
  <c r="Y28" i="61"/>
  <c r="W28" i="61"/>
  <c r="V28" i="61"/>
  <c r="U28" i="61"/>
  <c r="B28" i="61"/>
  <c r="A28" i="61"/>
  <c r="Y27" i="61"/>
  <c r="W27" i="61"/>
  <c r="V27" i="61"/>
  <c r="U27" i="61"/>
  <c r="B27" i="61"/>
  <c r="A27" i="61"/>
  <c r="Y26" i="61"/>
  <c r="W26" i="61"/>
  <c r="V26" i="61"/>
  <c r="U26" i="61"/>
  <c r="B26" i="61"/>
  <c r="A26" i="61"/>
  <c r="Y25" i="61"/>
  <c r="W25" i="61"/>
  <c r="V25" i="61"/>
  <c r="U25" i="61"/>
  <c r="B25" i="61"/>
  <c r="A25" i="61"/>
  <c r="Y24" i="61"/>
  <c r="W24" i="61"/>
  <c r="V24" i="61"/>
  <c r="U24" i="61"/>
  <c r="B24" i="61"/>
  <c r="A24" i="61"/>
  <c r="Y23" i="61"/>
  <c r="W23" i="61"/>
  <c r="V23" i="61"/>
  <c r="U23" i="61"/>
  <c r="B23" i="61"/>
  <c r="A23" i="61"/>
  <c r="Y22" i="61"/>
  <c r="W22" i="61"/>
  <c r="V22" i="61"/>
  <c r="U22" i="61"/>
  <c r="B22" i="61"/>
  <c r="A22" i="61"/>
  <c r="Y21" i="61"/>
  <c r="W21" i="61"/>
  <c r="V21" i="61"/>
  <c r="U21" i="61"/>
  <c r="B21" i="61"/>
  <c r="A21" i="61"/>
  <c r="Y20" i="61"/>
  <c r="W20" i="61"/>
  <c r="V20" i="61"/>
  <c r="U20" i="61"/>
  <c r="B20" i="61"/>
  <c r="A20" i="61"/>
  <c r="Y19" i="61"/>
  <c r="W19" i="61"/>
  <c r="V19" i="61"/>
  <c r="U19" i="61"/>
  <c r="B19" i="61"/>
  <c r="A19" i="61"/>
  <c r="Y18" i="61"/>
  <c r="W18" i="61"/>
  <c r="V18" i="61"/>
  <c r="U18" i="61"/>
  <c r="B18" i="61"/>
  <c r="A18" i="61"/>
  <c r="Y17" i="61"/>
  <c r="W17" i="61"/>
  <c r="V17" i="61"/>
  <c r="U17" i="61"/>
  <c r="B17" i="61"/>
  <c r="A17" i="61"/>
  <c r="Y16" i="61"/>
  <c r="W16" i="61"/>
  <c r="V16" i="61"/>
  <c r="U16" i="61"/>
  <c r="B16" i="61"/>
  <c r="A16" i="61"/>
  <c r="Y15" i="61"/>
  <c r="W15" i="61"/>
  <c r="V15" i="61"/>
  <c r="U15" i="61"/>
  <c r="B15" i="61"/>
  <c r="A15" i="61"/>
  <c r="Y14" i="61"/>
  <c r="W14" i="61"/>
  <c r="V14" i="61"/>
  <c r="U14" i="61"/>
  <c r="B14" i="61"/>
  <c r="A14" i="61"/>
  <c r="Y13" i="61"/>
  <c r="W13" i="61"/>
  <c r="V13" i="61"/>
  <c r="U13" i="61"/>
  <c r="B13" i="61"/>
  <c r="A13" i="61"/>
  <c r="Y12" i="61"/>
  <c r="W12" i="61"/>
  <c r="V12" i="61"/>
  <c r="U12" i="61"/>
  <c r="B12" i="61"/>
  <c r="A12" i="61"/>
  <c r="Y11" i="61"/>
  <c r="W11" i="61"/>
  <c r="V11" i="61"/>
  <c r="U11" i="61"/>
  <c r="B11" i="61"/>
  <c r="A11" i="61"/>
  <c r="Y10" i="61"/>
  <c r="W10" i="61"/>
  <c r="V10" i="61"/>
  <c r="U10" i="61"/>
  <c r="B10" i="61"/>
  <c r="A10" i="61"/>
  <c r="Y9" i="61"/>
  <c r="W9" i="61"/>
  <c r="V9" i="61"/>
  <c r="U9" i="61"/>
  <c r="B9" i="61"/>
  <c r="A9" i="61"/>
  <c r="Y8" i="61"/>
  <c r="W8" i="61"/>
  <c r="V8" i="61"/>
  <c r="U8" i="61"/>
  <c r="B8" i="61"/>
  <c r="A8" i="61"/>
  <c r="Y7" i="61"/>
  <c r="W7" i="61"/>
  <c r="V7" i="61"/>
  <c r="U7" i="61"/>
  <c r="B7" i="61"/>
  <c r="A7" i="61"/>
  <c r="AH4" i="61"/>
  <c r="AG4" i="61"/>
  <c r="AF4" i="61"/>
  <c r="AE4" i="61"/>
  <c r="AD4" i="61"/>
  <c r="AA4" i="61"/>
  <c r="B4" i="61"/>
  <c r="AA3" i="61" s="1"/>
  <c r="AH3" i="61"/>
  <c r="AG3" i="61"/>
  <c r="AF3" i="61"/>
  <c r="AE3" i="61"/>
  <c r="AD3" i="61"/>
  <c r="T32" i="61"/>
  <c r="AB12" i="61" s="1"/>
  <c r="AA20" i="61" s="1"/>
  <c r="AI2" i="61"/>
  <c r="AH2" i="61"/>
  <c r="W2" i="61"/>
  <c r="Y32" i="60"/>
  <c r="X32" i="60"/>
  <c r="W32" i="60"/>
  <c r="V32" i="60"/>
  <c r="U32" i="60"/>
  <c r="A32" i="60"/>
  <c r="Y30" i="60"/>
  <c r="W30" i="60"/>
  <c r="V30" i="60"/>
  <c r="U30" i="60"/>
  <c r="B30" i="60"/>
  <c r="A30" i="60"/>
  <c r="Y29" i="60"/>
  <c r="W29" i="60"/>
  <c r="V29" i="60"/>
  <c r="U29" i="60"/>
  <c r="B29" i="60"/>
  <c r="A29" i="60"/>
  <c r="Y28" i="60"/>
  <c r="W28" i="60"/>
  <c r="V28" i="60"/>
  <c r="U28" i="60"/>
  <c r="B28" i="60"/>
  <c r="A28" i="60"/>
  <c r="Y27" i="60"/>
  <c r="W27" i="60"/>
  <c r="V27" i="60"/>
  <c r="U27" i="60"/>
  <c r="B27" i="60"/>
  <c r="A27" i="60"/>
  <c r="Y26" i="60"/>
  <c r="W26" i="60"/>
  <c r="V26" i="60"/>
  <c r="U26" i="60"/>
  <c r="B26" i="60"/>
  <c r="A26" i="60"/>
  <c r="Y25" i="60"/>
  <c r="W25" i="60"/>
  <c r="V25" i="60"/>
  <c r="U25" i="60"/>
  <c r="B25" i="60"/>
  <c r="A25" i="60"/>
  <c r="Y24" i="60"/>
  <c r="W24" i="60"/>
  <c r="V24" i="60"/>
  <c r="U24" i="60"/>
  <c r="B24" i="60"/>
  <c r="A24" i="60"/>
  <c r="Y23" i="60"/>
  <c r="W23" i="60"/>
  <c r="V23" i="60"/>
  <c r="U23" i="60"/>
  <c r="B23" i="60"/>
  <c r="A23" i="60"/>
  <c r="Y22" i="60"/>
  <c r="W22" i="60"/>
  <c r="V22" i="60"/>
  <c r="U22" i="60"/>
  <c r="B22" i="60"/>
  <c r="A22" i="60"/>
  <c r="Y21" i="60"/>
  <c r="W21" i="60"/>
  <c r="V21" i="60"/>
  <c r="U21" i="60"/>
  <c r="B21" i="60"/>
  <c r="A21" i="60"/>
  <c r="Y20" i="60"/>
  <c r="W20" i="60"/>
  <c r="V20" i="60"/>
  <c r="U20" i="60"/>
  <c r="B20" i="60"/>
  <c r="A20" i="60"/>
  <c r="Y19" i="60"/>
  <c r="W19" i="60"/>
  <c r="V19" i="60"/>
  <c r="U19" i="60"/>
  <c r="B19" i="60"/>
  <c r="A19" i="60"/>
  <c r="Y18" i="60"/>
  <c r="W18" i="60"/>
  <c r="V18" i="60"/>
  <c r="U18" i="60"/>
  <c r="B18" i="60"/>
  <c r="A18" i="60"/>
  <c r="Y17" i="60"/>
  <c r="W17" i="60"/>
  <c r="V17" i="60"/>
  <c r="U17" i="60"/>
  <c r="B17" i="60"/>
  <c r="A17" i="60"/>
  <c r="Y16" i="60"/>
  <c r="W16" i="60"/>
  <c r="V16" i="60"/>
  <c r="U16" i="60"/>
  <c r="B16" i="60"/>
  <c r="A16" i="60"/>
  <c r="Y15" i="60"/>
  <c r="W15" i="60"/>
  <c r="V15" i="60"/>
  <c r="U15" i="60"/>
  <c r="B15" i="60"/>
  <c r="A15" i="60"/>
  <c r="Y14" i="60"/>
  <c r="W14" i="60"/>
  <c r="V14" i="60"/>
  <c r="U14" i="60"/>
  <c r="B14" i="60"/>
  <c r="A14" i="60"/>
  <c r="Y13" i="60"/>
  <c r="W13" i="60"/>
  <c r="V13" i="60"/>
  <c r="U13" i="60"/>
  <c r="B13" i="60"/>
  <c r="A13" i="60"/>
  <c r="Y12" i="60"/>
  <c r="W12" i="60"/>
  <c r="V12" i="60"/>
  <c r="U12" i="60"/>
  <c r="B12" i="60"/>
  <c r="A12" i="60"/>
  <c r="Y11" i="60"/>
  <c r="W11" i="60"/>
  <c r="V11" i="60"/>
  <c r="U11" i="60"/>
  <c r="B11" i="60"/>
  <c r="A11" i="60"/>
  <c r="Y10" i="60"/>
  <c r="W10" i="60"/>
  <c r="V10" i="60"/>
  <c r="U10" i="60"/>
  <c r="B10" i="60"/>
  <c r="A10" i="60"/>
  <c r="Y9" i="60"/>
  <c r="W9" i="60"/>
  <c r="V9" i="60"/>
  <c r="U9" i="60"/>
  <c r="B9" i="60"/>
  <c r="A9" i="60"/>
  <c r="Y8" i="60"/>
  <c r="W8" i="60"/>
  <c r="V8" i="60"/>
  <c r="U8" i="60"/>
  <c r="B8" i="60"/>
  <c r="A8" i="60"/>
  <c r="Y7" i="60"/>
  <c r="W7" i="60"/>
  <c r="V7" i="60"/>
  <c r="U7" i="60"/>
  <c r="B7" i="60"/>
  <c r="A7" i="60"/>
  <c r="AH4" i="60"/>
  <c r="AG4" i="60"/>
  <c r="AF4" i="60"/>
  <c r="AE4" i="60"/>
  <c r="AD4" i="60"/>
  <c r="AA4" i="60"/>
  <c r="B4" i="60"/>
  <c r="AA3" i="60" s="1"/>
  <c r="AH3" i="60"/>
  <c r="AG3" i="60"/>
  <c r="AF3" i="60"/>
  <c r="AE3" i="60"/>
  <c r="AD3" i="60"/>
  <c r="AI2" i="60"/>
  <c r="AH2" i="60"/>
  <c r="W2" i="60"/>
  <c r="Y32" i="59"/>
  <c r="X32" i="59"/>
  <c r="W32" i="59"/>
  <c r="V32" i="59"/>
  <c r="U32" i="59"/>
  <c r="A32" i="59"/>
  <c r="Y30" i="59"/>
  <c r="W30" i="59"/>
  <c r="V30" i="59"/>
  <c r="U30" i="59"/>
  <c r="B30" i="59"/>
  <c r="A30" i="59"/>
  <c r="Y29" i="59"/>
  <c r="W29" i="59"/>
  <c r="V29" i="59"/>
  <c r="U29" i="59"/>
  <c r="B29" i="59"/>
  <c r="A29" i="59"/>
  <c r="Y28" i="59"/>
  <c r="W28" i="59"/>
  <c r="V28" i="59"/>
  <c r="U28" i="59"/>
  <c r="B28" i="59"/>
  <c r="A28" i="59"/>
  <c r="Y27" i="59"/>
  <c r="W27" i="59"/>
  <c r="V27" i="59"/>
  <c r="U27" i="59"/>
  <c r="B27" i="59"/>
  <c r="A27" i="59"/>
  <c r="Y26" i="59"/>
  <c r="W26" i="59"/>
  <c r="V26" i="59"/>
  <c r="U26" i="59"/>
  <c r="B26" i="59"/>
  <c r="A26" i="59"/>
  <c r="Y25" i="59"/>
  <c r="W25" i="59"/>
  <c r="V25" i="59"/>
  <c r="U25" i="59"/>
  <c r="B25" i="59"/>
  <c r="A25" i="59"/>
  <c r="Y24" i="59"/>
  <c r="W24" i="59"/>
  <c r="V24" i="59"/>
  <c r="U24" i="59"/>
  <c r="B24" i="59"/>
  <c r="A24" i="59"/>
  <c r="Y23" i="59"/>
  <c r="W23" i="59"/>
  <c r="V23" i="59"/>
  <c r="U23" i="59"/>
  <c r="B23" i="59"/>
  <c r="A23" i="59"/>
  <c r="Y22" i="59"/>
  <c r="W22" i="59"/>
  <c r="V22" i="59"/>
  <c r="U22" i="59"/>
  <c r="B22" i="59"/>
  <c r="A22" i="59"/>
  <c r="Y21" i="59"/>
  <c r="W21" i="59"/>
  <c r="V21" i="59"/>
  <c r="U21" i="59"/>
  <c r="B21" i="59"/>
  <c r="A21" i="59"/>
  <c r="Y20" i="59"/>
  <c r="W20" i="59"/>
  <c r="V20" i="59"/>
  <c r="U20" i="59"/>
  <c r="B20" i="59"/>
  <c r="A20" i="59"/>
  <c r="Y19" i="59"/>
  <c r="W19" i="59"/>
  <c r="V19" i="59"/>
  <c r="U19" i="59"/>
  <c r="B19" i="59"/>
  <c r="A19" i="59"/>
  <c r="Y18" i="59"/>
  <c r="W18" i="59"/>
  <c r="V18" i="59"/>
  <c r="U18" i="59"/>
  <c r="B18" i="59"/>
  <c r="A18" i="59"/>
  <c r="Y17" i="59"/>
  <c r="W17" i="59"/>
  <c r="V17" i="59"/>
  <c r="U17" i="59"/>
  <c r="B17" i="59"/>
  <c r="A17" i="59"/>
  <c r="Y16" i="59"/>
  <c r="W16" i="59"/>
  <c r="V16" i="59"/>
  <c r="U16" i="59"/>
  <c r="B16" i="59"/>
  <c r="A16" i="59"/>
  <c r="Y15" i="59"/>
  <c r="W15" i="59"/>
  <c r="V15" i="59"/>
  <c r="U15" i="59"/>
  <c r="B15" i="59"/>
  <c r="A15" i="59"/>
  <c r="Y14" i="59"/>
  <c r="W14" i="59"/>
  <c r="V14" i="59"/>
  <c r="U14" i="59"/>
  <c r="B14" i="59"/>
  <c r="A14" i="59"/>
  <c r="Y13" i="59"/>
  <c r="W13" i="59"/>
  <c r="V13" i="59"/>
  <c r="U13" i="59"/>
  <c r="B13" i="59"/>
  <c r="A13" i="59"/>
  <c r="Y12" i="59"/>
  <c r="W12" i="59"/>
  <c r="V12" i="59"/>
  <c r="U12" i="59"/>
  <c r="B12" i="59"/>
  <c r="A12" i="59"/>
  <c r="Y11" i="59"/>
  <c r="W11" i="59"/>
  <c r="V11" i="59"/>
  <c r="U11" i="59"/>
  <c r="B11" i="59"/>
  <c r="A11" i="59"/>
  <c r="Y10" i="59"/>
  <c r="W10" i="59"/>
  <c r="V10" i="59"/>
  <c r="U10" i="59"/>
  <c r="B10" i="59"/>
  <c r="A10" i="59"/>
  <c r="Y9" i="59"/>
  <c r="W9" i="59"/>
  <c r="V9" i="59"/>
  <c r="U9" i="59"/>
  <c r="B9" i="59"/>
  <c r="A9" i="59"/>
  <c r="Y8" i="59"/>
  <c r="W8" i="59"/>
  <c r="V8" i="59"/>
  <c r="U8" i="59"/>
  <c r="B8" i="59"/>
  <c r="A8" i="59"/>
  <c r="Y7" i="59"/>
  <c r="W7" i="59"/>
  <c r="V7" i="59"/>
  <c r="U7" i="59"/>
  <c r="B7" i="59"/>
  <c r="A7" i="59"/>
  <c r="AH4" i="59"/>
  <c r="AG4" i="59"/>
  <c r="AF4" i="59"/>
  <c r="AE4" i="59"/>
  <c r="AD4" i="59"/>
  <c r="AA4" i="59"/>
  <c r="B4" i="59"/>
  <c r="AA3" i="59" s="1"/>
  <c r="AH3" i="59"/>
  <c r="AG3" i="59"/>
  <c r="AF3" i="59"/>
  <c r="AE3" i="59"/>
  <c r="AD3" i="59"/>
  <c r="AI2" i="59"/>
  <c r="AH2" i="59"/>
  <c r="W2" i="59"/>
  <c r="Y32" i="58"/>
  <c r="X32" i="58"/>
  <c r="W32" i="58"/>
  <c r="V32" i="58"/>
  <c r="U32" i="58"/>
  <c r="T32" i="58"/>
  <c r="AB12" i="58" s="1"/>
  <c r="AA20" i="58" s="1"/>
  <c r="A32" i="58"/>
  <c r="Y30" i="58"/>
  <c r="W30" i="58"/>
  <c r="V30" i="58"/>
  <c r="U30" i="58"/>
  <c r="B30" i="58"/>
  <c r="A30" i="58"/>
  <c r="Y29" i="58"/>
  <c r="W29" i="58"/>
  <c r="V29" i="58"/>
  <c r="U29" i="58"/>
  <c r="B29" i="58"/>
  <c r="A29" i="58"/>
  <c r="Y28" i="58"/>
  <c r="W28" i="58"/>
  <c r="V28" i="58"/>
  <c r="U28" i="58"/>
  <c r="B28" i="58"/>
  <c r="A28" i="58"/>
  <c r="Y27" i="58"/>
  <c r="W27" i="58"/>
  <c r="V27" i="58"/>
  <c r="U27" i="58"/>
  <c r="B27" i="58"/>
  <c r="A27" i="58"/>
  <c r="Y26" i="58"/>
  <c r="W26" i="58"/>
  <c r="V26" i="58"/>
  <c r="U26" i="58"/>
  <c r="B26" i="58"/>
  <c r="A26" i="58"/>
  <c r="Y25" i="58"/>
  <c r="W25" i="58"/>
  <c r="V25" i="58"/>
  <c r="U25" i="58"/>
  <c r="B25" i="58"/>
  <c r="A25" i="58"/>
  <c r="Y24" i="58"/>
  <c r="W24" i="58"/>
  <c r="V24" i="58"/>
  <c r="U24" i="58"/>
  <c r="B24" i="58"/>
  <c r="A24" i="58"/>
  <c r="Y23" i="58"/>
  <c r="W23" i="58"/>
  <c r="V23" i="58"/>
  <c r="U23" i="58"/>
  <c r="B23" i="58"/>
  <c r="A23" i="58"/>
  <c r="Y22" i="58"/>
  <c r="W22" i="58"/>
  <c r="V22" i="58"/>
  <c r="U22" i="58"/>
  <c r="B22" i="58"/>
  <c r="A22" i="58"/>
  <c r="Y21" i="58"/>
  <c r="W21" i="58"/>
  <c r="V21" i="58"/>
  <c r="U21" i="58"/>
  <c r="B21" i="58"/>
  <c r="A21" i="58"/>
  <c r="Y20" i="58"/>
  <c r="W20" i="58"/>
  <c r="V20" i="58"/>
  <c r="U20" i="58"/>
  <c r="B20" i="58"/>
  <c r="A20" i="58"/>
  <c r="Y19" i="58"/>
  <c r="W19" i="58"/>
  <c r="V19" i="58"/>
  <c r="U19" i="58"/>
  <c r="B19" i="58"/>
  <c r="A19" i="58"/>
  <c r="Y18" i="58"/>
  <c r="W18" i="58"/>
  <c r="V18" i="58"/>
  <c r="U18" i="58"/>
  <c r="B18" i="58"/>
  <c r="A18" i="58"/>
  <c r="Y17" i="58"/>
  <c r="W17" i="58"/>
  <c r="V17" i="58"/>
  <c r="U17" i="58"/>
  <c r="B17" i="58"/>
  <c r="A17" i="58"/>
  <c r="Y16" i="58"/>
  <c r="W16" i="58"/>
  <c r="V16" i="58"/>
  <c r="U16" i="58"/>
  <c r="B16" i="58"/>
  <c r="A16" i="58"/>
  <c r="Y15" i="58"/>
  <c r="W15" i="58"/>
  <c r="V15" i="58"/>
  <c r="U15" i="58"/>
  <c r="B15" i="58"/>
  <c r="A15" i="58"/>
  <c r="Y14" i="58"/>
  <c r="W14" i="58"/>
  <c r="V14" i="58"/>
  <c r="U14" i="58"/>
  <c r="B14" i="58"/>
  <c r="A14" i="58"/>
  <c r="Y13" i="58"/>
  <c r="W13" i="58"/>
  <c r="V13" i="58"/>
  <c r="U13" i="58"/>
  <c r="B13" i="58"/>
  <c r="A13" i="58"/>
  <c r="Y12" i="58"/>
  <c r="W12" i="58"/>
  <c r="V12" i="58"/>
  <c r="U12" i="58"/>
  <c r="B12" i="58"/>
  <c r="A12" i="58"/>
  <c r="Y11" i="58"/>
  <c r="W11" i="58"/>
  <c r="V11" i="58"/>
  <c r="U11" i="58"/>
  <c r="B11" i="58"/>
  <c r="A11" i="58"/>
  <c r="Y10" i="58"/>
  <c r="W10" i="58"/>
  <c r="V10" i="58"/>
  <c r="U10" i="58"/>
  <c r="B10" i="58"/>
  <c r="A10" i="58"/>
  <c r="Y9" i="58"/>
  <c r="W9" i="58"/>
  <c r="V9" i="58"/>
  <c r="U9" i="58"/>
  <c r="B9" i="58"/>
  <c r="A9" i="58"/>
  <c r="Y8" i="58"/>
  <c r="W8" i="58"/>
  <c r="V8" i="58"/>
  <c r="U8" i="58"/>
  <c r="B8" i="58"/>
  <c r="A8" i="58"/>
  <c r="Y7" i="58"/>
  <c r="W7" i="58"/>
  <c r="V7" i="58"/>
  <c r="U7" i="58"/>
  <c r="B7" i="58"/>
  <c r="A7" i="58"/>
  <c r="AH4" i="58"/>
  <c r="AG4" i="58"/>
  <c r="AF4" i="58"/>
  <c r="AE4" i="58"/>
  <c r="AD4" i="58"/>
  <c r="AA4" i="58"/>
  <c r="B4" i="58"/>
  <c r="AA3" i="58" s="1"/>
  <c r="AH3" i="58"/>
  <c r="AG3" i="58"/>
  <c r="AF3" i="58"/>
  <c r="AE3" i="58"/>
  <c r="AD3" i="58"/>
  <c r="AI2" i="58"/>
  <c r="AH2" i="58"/>
  <c r="W2" i="58"/>
  <c r="Y32" i="57"/>
  <c r="X32" i="57"/>
  <c r="W32" i="57"/>
  <c r="V32" i="57"/>
  <c r="U32" i="57"/>
  <c r="A32" i="57"/>
  <c r="Y30" i="57"/>
  <c r="W30" i="57"/>
  <c r="V30" i="57"/>
  <c r="U30" i="57"/>
  <c r="B30" i="57"/>
  <c r="A30" i="57"/>
  <c r="Y29" i="57"/>
  <c r="W29" i="57"/>
  <c r="V29" i="57"/>
  <c r="U29" i="57"/>
  <c r="B29" i="57"/>
  <c r="A29" i="57"/>
  <c r="Y28" i="57"/>
  <c r="W28" i="57"/>
  <c r="V28" i="57"/>
  <c r="U28" i="57"/>
  <c r="B28" i="57"/>
  <c r="A28" i="57"/>
  <c r="Y27" i="57"/>
  <c r="W27" i="57"/>
  <c r="V27" i="57"/>
  <c r="U27" i="57"/>
  <c r="B27" i="57"/>
  <c r="A27" i="57"/>
  <c r="Y26" i="57"/>
  <c r="W26" i="57"/>
  <c r="V26" i="57"/>
  <c r="U26" i="57"/>
  <c r="B26" i="57"/>
  <c r="A26" i="57"/>
  <c r="Y25" i="57"/>
  <c r="W25" i="57"/>
  <c r="V25" i="57"/>
  <c r="U25" i="57"/>
  <c r="B25" i="57"/>
  <c r="A25" i="57"/>
  <c r="Y24" i="57"/>
  <c r="W24" i="57"/>
  <c r="V24" i="57"/>
  <c r="U24" i="57"/>
  <c r="B24" i="57"/>
  <c r="A24" i="57"/>
  <c r="Y23" i="57"/>
  <c r="W23" i="57"/>
  <c r="V23" i="57"/>
  <c r="U23" i="57"/>
  <c r="B23" i="57"/>
  <c r="A23" i="57"/>
  <c r="Y22" i="57"/>
  <c r="W22" i="57"/>
  <c r="V22" i="57"/>
  <c r="U22" i="57"/>
  <c r="B22" i="57"/>
  <c r="A22" i="57"/>
  <c r="Y21" i="57"/>
  <c r="W21" i="57"/>
  <c r="V21" i="57"/>
  <c r="U21" i="57"/>
  <c r="B21" i="57"/>
  <c r="A21" i="57"/>
  <c r="Y20" i="57"/>
  <c r="W20" i="57"/>
  <c r="V20" i="57"/>
  <c r="U20" i="57"/>
  <c r="B20" i="57"/>
  <c r="A20" i="57"/>
  <c r="Y19" i="57"/>
  <c r="W19" i="57"/>
  <c r="V19" i="57"/>
  <c r="U19" i="57"/>
  <c r="B19" i="57"/>
  <c r="A19" i="57"/>
  <c r="Y18" i="57"/>
  <c r="W18" i="57"/>
  <c r="V18" i="57"/>
  <c r="U18" i="57"/>
  <c r="B18" i="57"/>
  <c r="A18" i="57"/>
  <c r="Y17" i="57"/>
  <c r="W17" i="57"/>
  <c r="V17" i="57"/>
  <c r="U17" i="57"/>
  <c r="B17" i="57"/>
  <c r="A17" i="57"/>
  <c r="Y16" i="57"/>
  <c r="W16" i="57"/>
  <c r="V16" i="57"/>
  <c r="U16" i="57"/>
  <c r="B16" i="57"/>
  <c r="A16" i="57"/>
  <c r="Y15" i="57"/>
  <c r="W15" i="57"/>
  <c r="V15" i="57"/>
  <c r="U15" i="57"/>
  <c r="B15" i="57"/>
  <c r="A15" i="57"/>
  <c r="Y14" i="57"/>
  <c r="W14" i="57"/>
  <c r="V14" i="57"/>
  <c r="U14" i="57"/>
  <c r="B14" i="57"/>
  <c r="A14" i="57"/>
  <c r="Y13" i="57"/>
  <c r="W13" i="57"/>
  <c r="V13" i="57"/>
  <c r="U13" i="57"/>
  <c r="B13" i="57"/>
  <c r="A13" i="57"/>
  <c r="Y12" i="57"/>
  <c r="W12" i="57"/>
  <c r="V12" i="57"/>
  <c r="U12" i="57"/>
  <c r="B12" i="57"/>
  <c r="A12" i="57"/>
  <c r="Y11" i="57"/>
  <c r="W11" i="57"/>
  <c r="V11" i="57"/>
  <c r="U11" i="57"/>
  <c r="B11" i="57"/>
  <c r="A11" i="57"/>
  <c r="Y10" i="57"/>
  <c r="W10" i="57"/>
  <c r="V10" i="57"/>
  <c r="U10" i="57"/>
  <c r="B10" i="57"/>
  <c r="A10" i="57"/>
  <c r="Y9" i="57"/>
  <c r="W9" i="57"/>
  <c r="V9" i="57"/>
  <c r="U9" i="57"/>
  <c r="B9" i="57"/>
  <c r="A9" i="57"/>
  <c r="Y8" i="57"/>
  <c r="W8" i="57"/>
  <c r="V8" i="57"/>
  <c r="U8" i="57"/>
  <c r="B8" i="57"/>
  <c r="A8" i="57"/>
  <c r="Y7" i="57"/>
  <c r="W7" i="57"/>
  <c r="V7" i="57"/>
  <c r="U7" i="57"/>
  <c r="B7" i="57"/>
  <c r="A7" i="57"/>
  <c r="AH4" i="57"/>
  <c r="AG4" i="57"/>
  <c r="AF4" i="57"/>
  <c r="AE4" i="57"/>
  <c r="AD4" i="57"/>
  <c r="AA4" i="57"/>
  <c r="B4" i="57"/>
  <c r="AA3" i="57" s="1"/>
  <c r="AH3" i="57"/>
  <c r="AG3" i="57"/>
  <c r="AF3" i="57"/>
  <c r="AE3" i="57"/>
  <c r="AD3" i="57"/>
  <c r="T32" i="57"/>
  <c r="AB12" i="57" s="1"/>
  <c r="AA20" i="57" s="1"/>
  <c r="AI2" i="57"/>
  <c r="AH2" i="57"/>
  <c r="W2" i="57"/>
  <c r="Y32" i="56"/>
  <c r="X32" i="56"/>
  <c r="W32" i="56"/>
  <c r="V32" i="56"/>
  <c r="U32" i="56"/>
  <c r="A32" i="56"/>
  <c r="Y30" i="56"/>
  <c r="W30" i="56"/>
  <c r="V30" i="56"/>
  <c r="U30" i="56"/>
  <c r="B30" i="56"/>
  <c r="A30" i="56"/>
  <c r="Y29" i="56"/>
  <c r="W29" i="56"/>
  <c r="V29" i="56"/>
  <c r="U29" i="56"/>
  <c r="B29" i="56"/>
  <c r="A29" i="56"/>
  <c r="Y28" i="56"/>
  <c r="W28" i="56"/>
  <c r="V28" i="56"/>
  <c r="U28" i="56"/>
  <c r="B28" i="56"/>
  <c r="A28" i="56"/>
  <c r="Y27" i="56"/>
  <c r="W27" i="56"/>
  <c r="V27" i="56"/>
  <c r="U27" i="56"/>
  <c r="B27" i="56"/>
  <c r="A27" i="56"/>
  <c r="Y26" i="56"/>
  <c r="W26" i="56"/>
  <c r="V26" i="56"/>
  <c r="U26" i="56"/>
  <c r="B26" i="56"/>
  <c r="A26" i="56"/>
  <c r="Y25" i="56"/>
  <c r="W25" i="56"/>
  <c r="V25" i="56"/>
  <c r="U25" i="56"/>
  <c r="B25" i="56"/>
  <c r="A25" i="56"/>
  <c r="Y24" i="56"/>
  <c r="W24" i="56"/>
  <c r="V24" i="56"/>
  <c r="U24" i="56"/>
  <c r="B24" i="56"/>
  <c r="A24" i="56"/>
  <c r="Y23" i="56"/>
  <c r="W23" i="56"/>
  <c r="V23" i="56"/>
  <c r="U23" i="56"/>
  <c r="B23" i="56"/>
  <c r="A23" i="56"/>
  <c r="Y22" i="56"/>
  <c r="W22" i="56"/>
  <c r="V22" i="56"/>
  <c r="U22" i="56"/>
  <c r="B22" i="56"/>
  <c r="A22" i="56"/>
  <c r="Y21" i="56"/>
  <c r="W21" i="56"/>
  <c r="V21" i="56"/>
  <c r="U21" i="56"/>
  <c r="B21" i="56"/>
  <c r="A21" i="56"/>
  <c r="Y20" i="56"/>
  <c r="W20" i="56"/>
  <c r="V20" i="56"/>
  <c r="U20" i="56"/>
  <c r="B20" i="56"/>
  <c r="A20" i="56"/>
  <c r="Y19" i="56"/>
  <c r="W19" i="56"/>
  <c r="V19" i="56"/>
  <c r="U19" i="56"/>
  <c r="B19" i="56"/>
  <c r="A19" i="56"/>
  <c r="Y18" i="56"/>
  <c r="W18" i="56"/>
  <c r="V18" i="56"/>
  <c r="U18" i="56"/>
  <c r="B18" i="56"/>
  <c r="A18" i="56"/>
  <c r="Y17" i="56"/>
  <c r="W17" i="56"/>
  <c r="V17" i="56"/>
  <c r="U17" i="56"/>
  <c r="B17" i="56"/>
  <c r="A17" i="56"/>
  <c r="Y16" i="56"/>
  <c r="W16" i="56"/>
  <c r="V16" i="56"/>
  <c r="U16" i="56"/>
  <c r="B16" i="56"/>
  <c r="A16" i="56"/>
  <c r="Y15" i="56"/>
  <c r="W15" i="56"/>
  <c r="V15" i="56"/>
  <c r="U15" i="56"/>
  <c r="B15" i="56"/>
  <c r="A15" i="56"/>
  <c r="Y14" i="56"/>
  <c r="W14" i="56"/>
  <c r="V14" i="56"/>
  <c r="U14" i="56"/>
  <c r="B14" i="56"/>
  <c r="A14" i="56"/>
  <c r="Y13" i="56"/>
  <c r="W13" i="56"/>
  <c r="V13" i="56"/>
  <c r="U13" i="56"/>
  <c r="B13" i="56"/>
  <c r="A13" i="56"/>
  <c r="Y12" i="56"/>
  <c r="W12" i="56"/>
  <c r="V12" i="56"/>
  <c r="U12" i="56"/>
  <c r="B12" i="56"/>
  <c r="A12" i="56"/>
  <c r="Y11" i="56"/>
  <c r="W11" i="56"/>
  <c r="V11" i="56"/>
  <c r="U11" i="56"/>
  <c r="B11" i="56"/>
  <c r="A11" i="56"/>
  <c r="Y10" i="56"/>
  <c r="W10" i="56"/>
  <c r="V10" i="56"/>
  <c r="U10" i="56"/>
  <c r="B10" i="56"/>
  <c r="A10" i="56"/>
  <c r="Y9" i="56"/>
  <c r="W9" i="56"/>
  <c r="V9" i="56"/>
  <c r="U9" i="56"/>
  <c r="B9" i="56"/>
  <c r="A9" i="56"/>
  <c r="Y8" i="56"/>
  <c r="W8" i="56"/>
  <c r="V8" i="56"/>
  <c r="U8" i="56"/>
  <c r="B8" i="56"/>
  <c r="A8" i="56"/>
  <c r="Y7" i="56"/>
  <c r="W7" i="56"/>
  <c r="V7" i="56"/>
  <c r="U7" i="56"/>
  <c r="B7" i="56"/>
  <c r="A7" i="56"/>
  <c r="AH4" i="56"/>
  <c r="AG4" i="56"/>
  <c r="AF4" i="56"/>
  <c r="AE4" i="56"/>
  <c r="AD4" i="56"/>
  <c r="AA4" i="56"/>
  <c r="B4" i="56"/>
  <c r="AA3" i="56" s="1"/>
  <c r="AH3" i="56"/>
  <c r="AG3" i="56"/>
  <c r="AF3" i="56"/>
  <c r="AE3" i="56"/>
  <c r="AD3" i="56"/>
  <c r="AI2" i="56"/>
  <c r="AH2" i="56"/>
  <c r="W2" i="56"/>
  <c r="Y32" i="55"/>
  <c r="X32" i="55"/>
  <c r="W32" i="55"/>
  <c r="V32" i="55"/>
  <c r="U32" i="55"/>
  <c r="A32" i="55"/>
  <c r="Y30" i="55"/>
  <c r="W30" i="55"/>
  <c r="V30" i="55"/>
  <c r="U30" i="55"/>
  <c r="B30" i="55"/>
  <c r="A30" i="55"/>
  <c r="Y29" i="55"/>
  <c r="W29" i="55"/>
  <c r="V29" i="55"/>
  <c r="U29" i="55"/>
  <c r="B29" i="55"/>
  <c r="A29" i="55"/>
  <c r="Y28" i="55"/>
  <c r="W28" i="55"/>
  <c r="V28" i="55"/>
  <c r="U28" i="55"/>
  <c r="B28" i="55"/>
  <c r="A28" i="55"/>
  <c r="Y27" i="55"/>
  <c r="W27" i="55"/>
  <c r="V27" i="55"/>
  <c r="U27" i="55"/>
  <c r="B27" i="55"/>
  <c r="A27" i="55"/>
  <c r="Y26" i="55"/>
  <c r="W26" i="55"/>
  <c r="V26" i="55"/>
  <c r="U26" i="55"/>
  <c r="B26" i="55"/>
  <c r="A26" i="55"/>
  <c r="Y25" i="55"/>
  <c r="W25" i="55"/>
  <c r="V25" i="55"/>
  <c r="U25" i="55"/>
  <c r="B25" i="55"/>
  <c r="A25" i="55"/>
  <c r="Y24" i="55"/>
  <c r="W24" i="55"/>
  <c r="V24" i="55"/>
  <c r="U24" i="55"/>
  <c r="B24" i="55"/>
  <c r="A24" i="55"/>
  <c r="Y23" i="55"/>
  <c r="W23" i="55"/>
  <c r="V23" i="55"/>
  <c r="U23" i="55"/>
  <c r="B23" i="55"/>
  <c r="A23" i="55"/>
  <c r="Y22" i="55"/>
  <c r="W22" i="55"/>
  <c r="V22" i="55"/>
  <c r="U22" i="55"/>
  <c r="B22" i="55"/>
  <c r="A22" i="55"/>
  <c r="Y21" i="55"/>
  <c r="W21" i="55"/>
  <c r="V21" i="55"/>
  <c r="U21" i="55"/>
  <c r="B21" i="55"/>
  <c r="A21" i="55"/>
  <c r="Y20" i="55"/>
  <c r="W20" i="55"/>
  <c r="V20" i="55"/>
  <c r="U20" i="55"/>
  <c r="B20" i="55"/>
  <c r="A20" i="55"/>
  <c r="Y19" i="55"/>
  <c r="W19" i="55"/>
  <c r="V19" i="55"/>
  <c r="U19" i="55"/>
  <c r="B19" i="55"/>
  <c r="A19" i="55"/>
  <c r="Y18" i="55"/>
  <c r="W18" i="55"/>
  <c r="V18" i="55"/>
  <c r="U18" i="55"/>
  <c r="B18" i="55"/>
  <c r="A18" i="55"/>
  <c r="Y17" i="55"/>
  <c r="W17" i="55"/>
  <c r="V17" i="55"/>
  <c r="U17" i="55"/>
  <c r="B17" i="55"/>
  <c r="A17" i="55"/>
  <c r="Y16" i="55"/>
  <c r="W16" i="55"/>
  <c r="V16" i="55"/>
  <c r="U16" i="55"/>
  <c r="B16" i="55"/>
  <c r="A16" i="55"/>
  <c r="Y15" i="55"/>
  <c r="W15" i="55"/>
  <c r="V15" i="55"/>
  <c r="U15" i="55"/>
  <c r="B15" i="55"/>
  <c r="A15" i="55"/>
  <c r="Y14" i="55"/>
  <c r="W14" i="55"/>
  <c r="V14" i="55"/>
  <c r="U14" i="55"/>
  <c r="B14" i="55"/>
  <c r="A14" i="55"/>
  <c r="Y13" i="55"/>
  <c r="W13" i="55"/>
  <c r="V13" i="55"/>
  <c r="U13" i="55"/>
  <c r="B13" i="55"/>
  <c r="A13" i="55"/>
  <c r="Y12" i="55"/>
  <c r="W12" i="55"/>
  <c r="V12" i="55"/>
  <c r="U12" i="55"/>
  <c r="B12" i="55"/>
  <c r="A12" i="55"/>
  <c r="Y11" i="55"/>
  <c r="W11" i="55"/>
  <c r="V11" i="55"/>
  <c r="U11" i="55"/>
  <c r="B11" i="55"/>
  <c r="A11" i="55"/>
  <c r="Y10" i="55"/>
  <c r="W10" i="55"/>
  <c r="V10" i="55"/>
  <c r="U10" i="55"/>
  <c r="B10" i="55"/>
  <c r="A10" i="55"/>
  <c r="Y9" i="55"/>
  <c r="W9" i="55"/>
  <c r="V9" i="55"/>
  <c r="U9" i="55"/>
  <c r="B9" i="55"/>
  <c r="A9" i="55"/>
  <c r="Y8" i="55"/>
  <c r="W8" i="55"/>
  <c r="V8" i="55"/>
  <c r="U8" i="55"/>
  <c r="B8" i="55"/>
  <c r="A8" i="55"/>
  <c r="Y7" i="55"/>
  <c r="W7" i="55"/>
  <c r="V7" i="55"/>
  <c r="U7" i="55"/>
  <c r="B7" i="55"/>
  <c r="A7" i="55"/>
  <c r="AH4" i="55"/>
  <c r="AG4" i="55"/>
  <c r="AF4" i="55"/>
  <c r="AE4" i="55"/>
  <c r="AD4" i="55"/>
  <c r="AA4" i="55"/>
  <c r="B4" i="55"/>
  <c r="AA3" i="55" s="1"/>
  <c r="AH3" i="55"/>
  <c r="AG3" i="55"/>
  <c r="AF3" i="55"/>
  <c r="AE3" i="55"/>
  <c r="AD3" i="55"/>
  <c r="AI2" i="55"/>
  <c r="AH2" i="55"/>
  <c r="W2" i="55"/>
  <c r="Y32" i="54"/>
  <c r="X32" i="54"/>
  <c r="W32" i="54"/>
  <c r="V32" i="54"/>
  <c r="U32" i="54"/>
  <c r="A32" i="54"/>
  <c r="Y30" i="54"/>
  <c r="W30" i="54"/>
  <c r="V30" i="54"/>
  <c r="U30" i="54"/>
  <c r="B30" i="54"/>
  <c r="A30" i="54"/>
  <c r="Y29" i="54"/>
  <c r="W29" i="54"/>
  <c r="V29" i="54"/>
  <c r="U29" i="54"/>
  <c r="B29" i="54"/>
  <c r="A29" i="54"/>
  <c r="Y28" i="54"/>
  <c r="W28" i="54"/>
  <c r="V28" i="54"/>
  <c r="U28" i="54"/>
  <c r="B28" i="54"/>
  <c r="A28" i="54"/>
  <c r="Y27" i="54"/>
  <c r="W27" i="54"/>
  <c r="V27" i="54"/>
  <c r="U27" i="54"/>
  <c r="B27" i="54"/>
  <c r="A27" i="54"/>
  <c r="Y26" i="54"/>
  <c r="W26" i="54"/>
  <c r="V26" i="54"/>
  <c r="U26" i="54"/>
  <c r="B26" i="54"/>
  <c r="A26" i="54"/>
  <c r="Y25" i="54"/>
  <c r="W25" i="54"/>
  <c r="V25" i="54"/>
  <c r="U25" i="54"/>
  <c r="B25" i="54"/>
  <c r="A25" i="54"/>
  <c r="Y24" i="54"/>
  <c r="W24" i="54"/>
  <c r="V24" i="54"/>
  <c r="U24" i="54"/>
  <c r="B24" i="54"/>
  <c r="A24" i="54"/>
  <c r="Y23" i="54"/>
  <c r="W23" i="54"/>
  <c r="V23" i="54"/>
  <c r="U23" i="54"/>
  <c r="B23" i="54"/>
  <c r="A23" i="54"/>
  <c r="Y22" i="54"/>
  <c r="W22" i="54"/>
  <c r="V22" i="54"/>
  <c r="U22" i="54"/>
  <c r="B22" i="54"/>
  <c r="A22" i="54"/>
  <c r="Y21" i="54"/>
  <c r="W21" i="54"/>
  <c r="V21" i="54"/>
  <c r="U21" i="54"/>
  <c r="B21" i="54"/>
  <c r="A21" i="54"/>
  <c r="Y20" i="54"/>
  <c r="W20" i="54"/>
  <c r="V20" i="54"/>
  <c r="U20" i="54"/>
  <c r="B20" i="54"/>
  <c r="A20" i="54"/>
  <c r="Y19" i="54"/>
  <c r="W19" i="54"/>
  <c r="V19" i="54"/>
  <c r="U19" i="54"/>
  <c r="B19" i="54"/>
  <c r="A19" i="54"/>
  <c r="Y18" i="54"/>
  <c r="W18" i="54"/>
  <c r="V18" i="54"/>
  <c r="U18" i="54"/>
  <c r="B18" i="54"/>
  <c r="A18" i="54"/>
  <c r="Y17" i="54"/>
  <c r="W17" i="54"/>
  <c r="V17" i="54"/>
  <c r="U17" i="54"/>
  <c r="B17" i="54"/>
  <c r="A17" i="54"/>
  <c r="Y16" i="54"/>
  <c r="W16" i="54"/>
  <c r="V16" i="54"/>
  <c r="U16" i="54"/>
  <c r="B16" i="54"/>
  <c r="A16" i="54"/>
  <c r="Y15" i="54"/>
  <c r="W15" i="54"/>
  <c r="V15" i="54"/>
  <c r="U15" i="54"/>
  <c r="B15" i="54"/>
  <c r="A15" i="54"/>
  <c r="Y14" i="54"/>
  <c r="W14" i="54"/>
  <c r="V14" i="54"/>
  <c r="U14" i="54"/>
  <c r="B14" i="54"/>
  <c r="A14" i="54"/>
  <c r="Y13" i="54"/>
  <c r="W13" i="54"/>
  <c r="V13" i="54"/>
  <c r="U13" i="54"/>
  <c r="B13" i="54"/>
  <c r="A13" i="54"/>
  <c r="Y12" i="54"/>
  <c r="W12" i="54"/>
  <c r="V12" i="54"/>
  <c r="U12" i="54"/>
  <c r="B12" i="54"/>
  <c r="A12" i="54"/>
  <c r="Y11" i="54"/>
  <c r="W11" i="54"/>
  <c r="V11" i="54"/>
  <c r="U11" i="54"/>
  <c r="B11" i="54"/>
  <c r="A11" i="54"/>
  <c r="Y10" i="54"/>
  <c r="W10" i="54"/>
  <c r="V10" i="54"/>
  <c r="U10" i="54"/>
  <c r="B10" i="54"/>
  <c r="A10" i="54"/>
  <c r="Y9" i="54"/>
  <c r="W9" i="54"/>
  <c r="V9" i="54"/>
  <c r="U9" i="54"/>
  <c r="B9" i="54"/>
  <c r="A9" i="54"/>
  <c r="Y8" i="54"/>
  <c r="W8" i="54"/>
  <c r="V8" i="54"/>
  <c r="U8" i="54"/>
  <c r="B8" i="54"/>
  <c r="A8" i="54"/>
  <c r="Y7" i="54"/>
  <c r="W7" i="54"/>
  <c r="V7" i="54"/>
  <c r="U7" i="54"/>
  <c r="B7" i="54"/>
  <c r="A7" i="54"/>
  <c r="AH4" i="54"/>
  <c r="AG4" i="54"/>
  <c r="AF4" i="54"/>
  <c r="AE4" i="54"/>
  <c r="AD4" i="54"/>
  <c r="AA4" i="54"/>
  <c r="B4" i="54"/>
  <c r="AA3" i="54" s="1"/>
  <c r="AH3" i="54"/>
  <c r="AG3" i="54"/>
  <c r="AF3" i="54"/>
  <c r="AE3" i="54"/>
  <c r="AD3" i="54"/>
  <c r="AI2" i="54"/>
  <c r="AH2" i="54"/>
  <c r="W2" i="54"/>
  <c r="Y32" i="53"/>
  <c r="X32" i="53"/>
  <c r="W32" i="53"/>
  <c r="V32" i="53"/>
  <c r="U32" i="53"/>
  <c r="A32" i="53"/>
  <c r="Y30" i="53"/>
  <c r="W30" i="53"/>
  <c r="V30" i="53"/>
  <c r="U30" i="53"/>
  <c r="B30" i="53"/>
  <c r="A30" i="53"/>
  <c r="Y29" i="53"/>
  <c r="W29" i="53"/>
  <c r="V29" i="53"/>
  <c r="U29" i="53"/>
  <c r="B29" i="53"/>
  <c r="A29" i="53"/>
  <c r="Y28" i="53"/>
  <c r="W28" i="53"/>
  <c r="V28" i="53"/>
  <c r="U28" i="53"/>
  <c r="B28" i="53"/>
  <c r="A28" i="53"/>
  <c r="Y27" i="53"/>
  <c r="W27" i="53"/>
  <c r="V27" i="53"/>
  <c r="U27" i="53"/>
  <c r="B27" i="53"/>
  <c r="A27" i="53"/>
  <c r="Y26" i="53"/>
  <c r="W26" i="53"/>
  <c r="V26" i="53"/>
  <c r="U26" i="53"/>
  <c r="B26" i="53"/>
  <c r="A26" i="53"/>
  <c r="Y25" i="53"/>
  <c r="W25" i="53"/>
  <c r="V25" i="53"/>
  <c r="U25" i="53"/>
  <c r="B25" i="53"/>
  <c r="A25" i="53"/>
  <c r="Y24" i="53"/>
  <c r="W24" i="53"/>
  <c r="V24" i="53"/>
  <c r="U24" i="53"/>
  <c r="B24" i="53"/>
  <c r="A24" i="53"/>
  <c r="Y23" i="53"/>
  <c r="W23" i="53"/>
  <c r="V23" i="53"/>
  <c r="U23" i="53"/>
  <c r="B23" i="53"/>
  <c r="A23" i="53"/>
  <c r="Y22" i="53"/>
  <c r="W22" i="53"/>
  <c r="V22" i="53"/>
  <c r="U22" i="53"/>
  <c r="B22" i="53"/>
  <c r="A22" i="53"/>
  <c r="Y21" i="53"/>
  <c r="W21" i="53"/>
  <c r="V21" i="53"/>
  <c r="U21" i="53"/>
  <c r="B21" i="53"/>
  <c r="A21" i="53"/>
  <c r="Y20" i="53"/>
  <c r="W20" i="53"/>
  <c r="V20" i="53"/>
  <c r="U20" i="53"/>
  <c r="B20" i="53"/>
  <c r="A20" i="53"/>
  <c r="Y19" i="53"/>
  <c r="W19" i="53"/>
  <c r="V19" i="53"/>
  <c r="U19" i="53"/>
  <c r="B19" i="53"/>
  <c r="A19" i="53"/>
  <c r="Y18" i="53"/>
  <c r="W18" i="53"/>
  <c r="V18" i="53"/>
  <c r="U18" i="53"/>
  <c r="B18" i="53"/>
  <c r="A18" i="53"/>
  <c r="Y17" i="53"/>
  <c r="W17" i="53"/>
  <c r="V17" i="53"/>
  <c r="U17" i="53"/>
  <c r="B17" i="53"/>
  <c r="A17" i="53"/>
  <c r="Y16" i="53"/>
  <c r="W16" i="53"/>
  <c r="V16" i="53"/>
  <c r="U16" i="53"/>
  <c r="B16" i="53"/>
  <c r="A16" i="53"/>
  <c r="Y15" i="53"/>
  <c r="W15" i="53"/>
  <c r="V15" i="53"/>
  <c r="U15" i="53"/>
  <c r="B15" i="53"/>
  <c r="A15" i="53"/>
  <c r="Y14" i="53"/>
  <c r="W14" i="53"/>
  <c r="V14" i="53"/>
  <c r="U14" i="53"/>
  <c r="B14" i="53"/>
  <c r="A14" i="53"/>
  <c r="Y13" i="53"/>
  <c r="W13" i="53"/>
  <c r="V13" i="53"/>
  <c r="U13" i="53"/>
  <c r="B13" i="53"/>
  <c r="A13" i="53"/>
  <c r="Y12" i="53"/>
  <c r="W12" i="53"/>
  <c r="V12" i="53"/>
  <c r="U12" i="53"/>
  <c r="B12" i="53"/>
  <c r="A12" i="53"/>
  <c r="Y11" i="53"/>
  <c r="W11" i="53"/>
  <c r="V11" i="53"/>
  <c r="U11" i="53"/>
  <c r="B11" i="53"/>
  <c r="A11" i="53"/>
  <c r="Y10" i="53"/>
  <c r="W10" i="53"/>
  <c r="V10" i="53"/>
  <c r="U10" i="53"/>
  <c r="B10" i="53"/>
  <c r="A10" i="53"/>
  <c r="Y9" i="53"/>
  <c r="W9" i="53"/>
  <c r="V9" i="53"/>
  <c r="U9" i="53"/>
  <c r="B9" i="53"/>
  <c r="A9" i="53"/>
  <c r="Y8" i="53"/>
  <c r="W8" i="53"/>
  <c r="V8" i="53"/>
  <c r="U8" i="53"/>
  <c r="B8" i="53"/>
  <c r="A8" i="53"/>
  <c r="Y7" i="53"/>
  <c r="W7" i="53"/>
  <c r="V7" i="53"/>
  <c r="U7" i="53"/>
  <c r="B7" i="53"/>
  <c r="A7" i="53"/>
  <c r="AH4" i="53"/>
  <c r="AG4" i="53"/>
  <c r="AF4" i="53"/>
  <c r="AE4" i="53"/>
  <c r="AD4" i="53"/>
  <c r="AA4" i="53"/>
  <c r="B4" i="53"/>
  <c r="AA3" i="53" s="1"/>
  <c r="AH3" i="53"/>
  <c r="AG3" i="53"/>
  <c r="AF3" i="53"/>
  <c r="AE3" i="53"/>
  <c r="AD3" i="53"/>
  <c r="T32" i="53"/>
  <c r="AI2" i="53"/>
  <c r="AH2" i="53"/>
  <c r="W2" i="53"/>
  <c r="Y32" i="52"/>
  <c r="X32" i="52"/>
  <c r="W32" i="52"/>
  <c r="V32" i="52"/>
  <c r="U32" i="52"/>
  <c r="A32" i="52"/>
  <c r="Y30" i="52"/>
  <c r="W30" i="52"/>
  <c r="V30" i="52"/>
  <c r="U30" i="52"/>
  <c r="B30" i="52"/>
  <c r="A30" i="52"/>
  <c r="Y29" i="52"/>
  <c r="W29" i="52"/>
  <c r="V29" i="52"/>
  <c r="U29" i="52"/>
  <c r="B29" i="52"/>
  <c r="A29" i="52"/>
  <c r="Y28" i="52"/>
  <c r="W28" i="52"/>
  <c r="V28" i="52"/>
  <c r="U28" i="52"/>
  <c r="B28" i="52"/>
  <c r="A28" i="52"/>
  <c r="Y27" i="52"/>
  <c r="W27" i="52"/>
  <c r="V27" i="52"/>
  <c r="U27" i="52"/>
  <c r="B27" i="52"/>
  <c r="A27" i="52"/>
  <c r="Y26" i="52"/>
  <c r="W26" i="52"/>
  <c r="V26" i="52"/>
  <c r="U26" i="52"/>
  <c r="B26" i="52"/>
  <c r="A26" i="52"/>
  <c r="Y25" i="52"/>
  <c r="W25" i="52"/>
  <c r="V25" i="52"/>
  <c r="U25" i="52"/>
  <c r="B25" i="52"/>
  <c r="A25" i="52"/>
  <c r="Y24" i="52"/>
  <c r="W24" i="52"/>
  <c r="V24" i="52"/>
  <c r="U24" i="52"/>
  <c r="B24" i="52"/>
  <c r="A24" i="52"/>
  <c r="Y23" i="52"/>
  <c r="W23" i="52"/>
  <c r="V23" i="52"/>
  <c r="U23" i="52"/>
  <c r="B23" i="52"/>
  <c r="A23" i="52"/>
  <c r="Y22" i="52"/>
  <c r="W22" i="52"/>
  <c r="V22" i="52"/>
  <c r="U22" i="52"/>
  <c r="B22" i="52"/>
  <c r="A22" i="52"/>
  <c r="Y21" i="52"/>
  <c r="W21" i="52"/>
  <c r="V21" i="52"/>
  <c r="U21" i="52"/>
  <c r="B21" i="52"/>
  <c r="A21" i="52"/>
  <c r="Y20" i="52"/>
  <c r="W20" i="52"/>
  <c r="V20" i="52"/>
  <c r="U20" i="52"/>
  <c r="B20" i="52"/>
  <c r="A20" i="52"/>
  <c r="Y19" i="52"/>
  <c r="W19" i="52"/>
  <c r="V19" i="52"/>
  <c r="U19" i="52"/>
  <c r="B19" i="52"/>
  <c r="A19" i="52"/>
  <c r="Y18" i="52"/>
  <c r="W18" i="52"/>
  <c r="V18" i="52"/>
  <c r="U18" i="52"/>
  <c r="B18" i="52"/>
  <c r="A18" i="52"/>
  <c r="Y17" i="52"/>
  <c r="W17" i="52"/>
  <c r="V17" i="52"/>
  <c r="U17" i="52"/>
  <c r="B17" i="52"/>
  <c r="A17" i="52"/>
  <c r="Y16" i="52"/>
  <c r="W16" i="52"/>
  <c r="V16" i="52"/>
  <c r="U16" i="52"/>
  <c r="B16" i="52"/>
  <c r="A16" i="52"/>
  <c r="Y15" i="52"/>
  <c r="W15" i="52"/>
  <c r="V15" i="52"/>
  <c r="U15" i="52"/>
  <c r="B15" i="52"/>
  <c r="A15" i="52"/>
  <c r="Y14" i="52"/>
  <c r="W14" i="52"/>
  <c r="V14" i="52"/>
  <c r="U14" i="52"/>
  <c r="B14" i="52"/>
  <c r="A14" i="52"/>
  <c r="Y13" i="52"/>
  <c r="W13" i="52"/>
  <c r="V13" i="52"/>
  <c r="U13" i="52"/>
  <c r="B13" i="52"/>
  <c r="A13" i="52"/>
  <c r="Y12" i="52"/>
  <c r="W12" i="52"/>
  <c r="V12" i="52"/>
  <c r="U12" i="52"/>
  <c r="B12" i="52"/>
  <c r="A12" i="52"/>
  <c r="Y11" i="52"/>
  <c r="W11" i="52"/>
  <c r="V11" i="52"/>
  <c r="U11" i="52"/>
  <c r="B11" i="52"/>
  <c r="A11" i="52"/>
  <c r="Y10" i="52"/>
  <c r="W10" i="52"/>
  <c r="V10" i="52"/>
  <c r="U10" i="52"/>
  <c r="B10" i="52"/>
  <c r="A10" i="52"/>
  <c r="Y9" i="52"/>
  <c r="W9" i="52"/>
  <c r="V9" i="52"/>
  <c r="U9" i="52"/>
  <c r="B9" i="52"/>
  <c r="A9" i="52"/>
  <c r="Y8" i="52"/>
  <c r="W8" i="52"/>
  <c r="V8" i="52"/>
  <c r="U8" i="52"/>
  <c r="B8" i="52"/>
  <c r="A8" i="52"/>
  <c r="Y7" i="52"/>
  <c r="W7" i="52"/>
  <c r="V7" i="52"/>
  <c r="U7" i="52"/>
  <c r="B7" i="52"/>
  <c r="A7" i="52"/>
  <c r="AH4" i="52"/>
  <c r="AG4" i="52"/>
  <c r="AF4" i="52"/>
  <c r="AE4" i="52"/>
  <c r="AD4" i="52"/>
  <c r="AA4" i="52"/>
  <c r="B4" i="52"/>
  <c r="AA3" i="52" s="1"/>
  <c r="AH3" i="52"/>
  <c r="AG3" i="52"/>
  <c r="AF3" i="52"/>
  <c r="AE3" i="52"/>
  <c r="AD3" i="52"/>
  <c r="AI2" i="52"/>
  <c r="AH2" i="52"/>
  <c r="W2" i="52"/>
  <c r="Y32" i="51"/>
  <c r="X32" i="51"/>
  <c r="W32" i="51"/>
  <c r="V32" i="51"/>
  <c r="U32" i="51"/>
  <c r="A32" i="51"/>
  <c r="Y30" i="51"/>
  <c r="W30" i="51"/>
  <c r="V30" i="51"/>
  <c r="U30" i="51"/>
  <c r="B30" i="51"/>
  <c r="A30" i="51"/>
  <c r="Y29" i="51"/>
  <c r="W29" i="51"/>
  <c r="V29" i="51"/>
  <c r="U29" i="51"/>
  <c r="B29" i="51"/>
  <c r="A29" i="51"/>
  <c r="Y28" i="51"/>
  <c r="W28" i="51"/>
  <c r="V28" i="51"/>
  <c r="U28" i="51"/>
  <c r="B28" i="51"/>
  <c r="A28" i="51"/>
  <c r="Y27" i="51"/>
  <c r="W27" i="51"/>
  <c r="V27" i="51"/>
  <c r="U27" i="51"/>
  <c r="B27" i="51"/>
  <c r="A27" i="51"/>
  <c r="Y26" i="51"/>
  <c r="W26" i="51"/>
  <c r="V26" i="51"/>
  <c r="U26" i="51"/>
  <c r="B26" i="51"/>
  <c r="A26" i="51"/>
  <c r="Y25" i="51"/>
  <c r="W25" i="51"/>
  <c r="V25" i="51"/>
  <c r="U25" i="51"/>
  <c r="B25" i="51"/>
  <c r="A25" i="51"/>
  <c r="Y24" i="51"/>
  <c r="W24" i="51"/>
  <c r="V24" i="51"/>
  <c r="U24" i="51"/>
  <c r="B24" i="51"/>
  <c r="A24" i="51"/>
  <c r="Y23" i="51"/>
  <c r="W23" i="51"/>
  <c r="V23" i="51"/>
  <c r="U23" i="51"/>
  <c r="B23" i="51"/>
  <c r="A23" i="51"/>
  <c r="Y22" i="51"/>
  <c r="W22" i="51"/>
  <c r="V22" i="51"/>
  <c r="U22" i="51"/>
  <c r="B22" i="51"/>
  <c r="A22" i="51"/>
  <c r="Y21" i="51"/>
  <c r="W21" i="51"/>
  <c r="V21" i="51"/>
  <c r="U21" i="51"/>
  <c r="B21" i="51"/>
  <c r="A21" i="51"/>
  <c r="Y20" i="51"/>
  <c r="W20" i="51"/>
  <c r="V20" i="51"/>
  <c r="U20" i="51"/>
  <c r="B20" i="51"/>
  <c r="A20" i="51"/>
  <c r="Y19" i="51"/>
  <c r="W19" i="51"/>
  <c r="V19" i="51"/>
  <c r="U19" i="51"/>
  <c r="B19" i="51"/>
  <c r="A19" i="51"/>
  <c r="Y18" i="51"/>
  <c r="W18" i="51"/>
  <c r="V18" i="51"/>
  <c r="U18" i="51"/>
  <c r="B18" i="51"/>
  <c r="A18" i="51"/>
  <c r="Y17" i="51"/>
  <c r="W17" i="51"/>
  <c r="V17" i="51"/>
  <c r="U17" i="51"/>
  <c r="B17" i="51"/>
  <c r="A17" i="51"/>
  <c r="Y16" i="51"/>
  <c r="W16" i="51"/>
  <c r="V16" i="51"/>
  <c r="U16" i="51"/>
  <c r="B16" i="51"/>
  <c r="A16" i="51"/>
  <c r="Y15" i="51"/>
  <c r="W15" i="51"/>
  <c r="V15" i="51"/>
  <c r="U15" i="51"/>
  <c r="B15" i="51"/>
  <c r="A15" i="51"/>
  <c r="Y14" i="51"/>
  <c r="W14" i="51"/>
  <c r="V14" i="51"/>
  <c r="U14" i="51"/>
  <c r="B14" i="51"/>
  <c r="A14" i="51"/>
  <c r="Y13" i="51"/>
  <c r="W13" i="51"/>
  <c r="V13" i="51"/>
  <c r="U13" i="51"/>
  <c r="B13" i="51"/>
  <c r="A13" i="51"/>
  <c r="Y12" i="51"/>
  <c r="W12" i="51"/>
  <c r="V12" i="51"/>
  <c r="U12" i="51"/>
  <c r="B12" i="51"/>
  <c r="A12" i="51"/>
  <c r="Y11" i="51"/>
  <c r="W11" i="51"/>
  <c r="V11" i="51"/>
  <c r="U11" i="51"/>
  <c r="B11" i="51"/>
  <c r="A11" i="51"/>
  <c r="Y10" i="51"/>
  <c r="W10" i="51"/>
  <c r="V10" i="51"/>
  <c r="U10" i="51"/>
  <c r="B10" i="51"/>
  <c r="A10" i="51"/>
  <c r="Y9" i="51"/>
  <c r="W9" i="51"/>
  <c r="V9" i="51"/>
  <c r="U9" i="51"/>
  <c r="B9" i="51"/>
  <c r="A9" i="51"/>
  <c r="Y8" i="51"/>
  <c r="W8" i="51"/>
  <c r="V8" i="51"/>
  <c r="U8" i="51"/>
  <c r="B8" i="51"/>
  <c r="A8" i="51"/>
  <c r="Y7" i="51"/>
  <c r="W7" i="51"/>
  <c r="V7" i="51"/>
  <c r="U7" i="51"/>
  <c r="B7" i="51"/>
  <c r="A7" i="51"/>
  <c r="AH4" i="51"/>
  <c r="AG4" i="51"/>
  <c r="AF4" i="51"/>
  <c r="AE4" i="51"/>
  <c r="AD4" i="51"/>
  <c r="AA4" i="51"/>
  <c r="B4" i="51"/>
  <c r="AA3" i="51" s="1"/>
  <c r="AH3" i="51"/>
  <c r="AG3" i="51"/>
  <c r="AF3" i="51"/>
  <c r="AE3" i="51"/>
  <c r="AD3" i="51"/>
  <c r="AI2" i="51"/>
  <c r="AH2" i="51"/>
  <c r="W2" i="51"/>
  <c r="Y32" i="50"/>
  <c r="X32" i="50"/>
  <c r="W32" i="50"/>
  <c r="V32" i="50"/>
  <c r="U32" i="50"/>
  <c r="A32" i="50"/>
  <c r="Y30" i="50"/>
  <c r="W30" i="50"/>
  <c r="V30" i="50"/>
  <c r="U30" i="50"/>
  <c r="B30" i="50"/>
  <c r="A30" i="50"/>
  <c r="Y29" i="50"/>
  <c r="W29" i="50"/>
  <c r="V29" i="50"/>
  <c r="U29" i="50"/>
  <c r="B29" i="50"/>
  <c r="A29" i="50"/>
  <c r="Y28" i="50"/>
  <c r="W28" i="50"/>
  <c r="V28" i="50"/>
  <c r="U28" i="50"/>
  <c r="B28" i="50"/>
  <c r="A28" i="50"/>
  <c r="Y27" i="50"/>
  <c r="W27" i="50"/>
  <c r="V27" i="50"/>
  <c r="U27" i="50"/>
  <c r="B27" i="50"/>
  <c r="A27" i="50"/>
  <c r="Y26" i="50"/>
  <c r="W26" i="50"/>
  <c r="V26" i="50"/>
  <c r="U26" i="50"/>
  <c r="B26" i="50"/>
  <c r="A26" i="50"/>
  <c r="Y25" i="50"/>
  <c r="W25" i="50"/>
  <c r="V25" i="50"/>
  <c r="U25" i="50"/>
  <c r="B25" i="50"/>
  <c r="A25" i="50"/>
  <c r="Y24" i="50"/>
  <c r="W24" i="50"/>
  <c r="V24" i="50"/>
  <c r="U24" i="50"/>
  <c r="B24" i="50"/>
  <c r="A24" i="50"/>
  <c r="Y23" i="50"/>
  <c r="W23" i="50"/>
  <c r="V23" i="50"/>
  <c r="U23" i="50"/>
  <c r="B23" i="50"/>
  <c r="A23" i="50"/>
  <c r="Y22" i="50"/>
  <c r="W22" i="50"/>
  <c r="V22" i="50"/>
  <c r="U22" i="50"/>
  <c r="B22" i="50"/>
  <c r="A22" i="50"/>
  <c r="Y21" i="50"/>
  <c r="W21" i="50"/>
  <c r="V21" i="50"/>
  <c r="U21" i="50"/>
  <c r="B21" i="50"/>
  <c r="A21" i="50"/>
  <c r="Y20" i="50"/>
  <c r="W20" i="50"/>
  <c r="V20" i="50"/>
  <c r="U20" i="50"/>
  <c r="B20" i="50"/>
  <c r="A20" i="50"/>
  <c r="Y19" i="50"/>
  <c r="W19" i="50"/>
  <c r="V19" i="50"/>
  <c r="U19" i="50"/>
  <c r="B19" i="50"/>
  <c r="A19" i="50"/>
  <c r="Y18" i="50"/>
  <c r="W18" i="50"/>
  <c r="V18" i="50"/>
  <c r="U18" i="50"/>
  <c r="B18" i="50"/>
  <c r="A18" i="50"/>
  <c r="Y17" i="50"/>
  <c r="W17" i="50"/>
  <c r="V17" i="50"/>
  <c r="U17" i="50"/>
  <c r="B17" i="50"/>
  <c r="A17" i="50"/>
  <c r="Y16" i="50"/>
  <c r="W16" i="50"/>
  <c r="V16" i="50"/>
  <c r="U16" i="50"/>
  <c r="B16" i="50"/>
  <c r="A16" i="50"/>
  <c r="Y15" i="50"/>
  <c r="W15" i="50"/>
  <c r="V15" i="50"/>
  <c r="U15" i="50"/>
  <c r="B15" i="50"/>
  <c r="A15" i="50"/>
  <c r="Y14" i="50"/>
  <c r="W14" i="50"/>
  <c r="V14" i="50"/>
  <c r="U14" i="50"/>
  <c r="B14" i="50"/>
  <c r="A14" i="50"/>
  <c r="Y13" i="50"/>
  <c r="W13" i="50"/>
  <c r="V13" i="50"/>
  <c r="U13" i="50"/>
  <c r="B13" i="50"/>
  <c r="A13" i="50"/>
  <c r="Y12" i="50"/>
  <c r="W12" i="50"/>
  <c r="V12" i="50"/>
  <c r="U12" i="50"/>
  <c r="B12" i="50"/>
  <c r="A12" i="50"/>
  <c r="Y11" i="50"/>
  <c r="W11" i="50"/>
  <c r="V11" i="50"/>
  <c r="U11" i="50"/>
  <c r="B11" i="50"/>
  <c r="A11" i="50"/>
  <c r="Y10" i="50"/>
  <c r="W10" i="50"/>
  <c r="V10" i="50"/>
  <c r="U10" i="50"/>
  <c r="B10" i="50"/>
  <c r="A10" i="50"/>
  <c r="Y9" i="50"/>
  <c r="W9" i="50"/>
  <c r="V9" i="50"/>
  <c r="U9" i="50"/>
  <c r="B9" i="50"/>
  <c r="A9" i="50"/>
  <c r="Y8" i="50"/>
  <c r="W8" i="50"/>
  <c r="V8" i="50"/>
  <c r="U8" i="50"/>
  <c r="B8" i="50"/>
  <c r="A8" i="50"/>
  <c r="Y7" i="50"/>
  <c r="W7" i="50"/>
  <c r="V7" i="50"/>
  <c r="U7" i="50"/>
  <c r="B7" i="50"/>
  <c r="A7" i="50"/>
  <c r="AH4" i="50"/>
  <c r="AG4" i="50"/>
  <c r="AF4" i="50"/>
  <c r="AE4" i="50"/>
  <c r="AD4" i="50"/>
  <c r="AA4" i="50"/>
  <c r="B4" i="50"/>
  <c r="AA3" i="50" s="1"/>
  <c r="AH3" i="50"/>
  <c r="AG3" i="50"/>
  <c r="AF3" i="50"/>
  <c r="AE3" i="50"/>
  <c r="AD3" i="50"/>
  <c r="AI2" i="50"/>
  <c r="AH2" i="50"/>
  <c r="W2" i="50"/>
  <c r="Y32" i="49"/>
  <c r="X32" i="49"/>
  <c r="W32" i="49"/>
  <c r="V32" i="49"/>
  <c r="U32" i="49"/>
  <c r="T32" i="49"/>
  <c r="A32" i="49"/>
  <c r="Y30" i="49"/>
  <c r="W30" i="49"/>
  <c r="V30" i="49"/>
  <c r="U30" i="49"/>
  <c r="B30" i="49"/>
  <c r="A30" i="49"/>
  <c r="Y29" i="49"/>
  <c r="W29" i="49"/>
  <c r="V29" i="49"/>
  <c r="U29" i="49"/>
  <c r="B29" i="49"/>
  <c r="A29" i="49"/>
  <c r="Y28" i="49"/>
  <c r="W28" i="49"/>
  <c r="V28" i="49"/>
  <c r="U28" i="49"/>
  <c r="B28" i="49"/>
  <c r="A28" i="49"/>
  <c r="Y27" i="49"/>
  <c r="W27" i="49"/>
  <c r="V27" i="49"/>
  <c r="U27" i="49"/>
  <c r="B27" i="49"/>
  <c r="A27" i="49"/>
  <c r="Y26" i="49"/>
  <c r="W26" i="49"/>
  <c r="V26" i="49"/>
  <c r="U26" i="49"/>
  <c r="B26" i="49"/>
  <c r="A26" i="49"/>
  <c r="Y25" i="49"/>
  <c r="W25" i="49"/>
  <c r="V25" i="49"/>
  <c r="U25" i="49"/>
  <c r="B25" i="49"/>
  <c r="A25" i="49"/>
  <c r="Y24" i="49"/>
  <c r="W24" i="49"/>
  <c r="V24" i="49"/>
  <c r="U24" i="49"/>
  <c r="B24" i="49"/>
  <c r="A24" i="49"/>
  <c r="Y23" i="49"/>
  <c r="W23" i="49"/>
  <c r="V23" i="49"/>
  <c r="U23" i="49"/>
  <c r="B23" i="49"/>
  <c r="A23" i="49"/>
  <c r="Y22" i="49"/>
  <c r="W22" i="49"/>
  <c r="V22" i="49"/>
  <c r="U22" i="49"/>
  <c r="B22" i="49"/>
  <c r="A22" i="49"/>
  <c r="Y21" i="49"/>
  <c r="W21" i="49"/>
  <c r="V21" i="49"/>
  <c r="U21" i="49"/>
  <c r="B21" i="49"/>
  <c r="A21" i="49"/>
  <c r="Y20" i="49"/>
  <c r="W20" i="49"/>
  <c r="V20" i="49"/>
  <c r="U20" i="49"/>
  <c r="B20" i="49"/>
  <c r="A20" i="49"/>
  <c r="Y19" i="49"/>
  <c r="W19" i="49"/>
  <c r="V19" i="49"/>
  <c r="U19" i="49"/>
  <c r="B19" i="49"/>
  <c r="A19" i="49"/>
  <c r="Y18" i="49"/>
  <c r="W18" i="49"/>
  <c r="V18" i="49"/>
  <c r="U18" i="49"/>
  <c r="B18" i="49"/>
  <c r="A18" i="49"/>
  <c r="Y17" i="49"/>
  <c r="W17" i="49"/>
  <c r="V17" i="49"/>
  <c r="U17" i="49"/>
  <c r="B17" i="49"/>
  <c r="A17" i="49"/>
  <c r="Y16" i="49"/>
  <c r="W16" i="49"/>
  <c r="V16" i="49"/>
  <c r="U16" i="49"/>
  <c r="B16" i="49"/>
  <c r="A16" i="49"/>
  <c r="Y15" i="49"/>
  <c r="W15" i="49"/>
  <c r="V15" i="49"/>
  <c r="U15" i="49"/>
  <c r="B15" i="49"/>
  <c r="A15" i="49"/>
  <c r="Y14" i="49"/>
  <c r="W14" i="49"/>
  <c r="V14" i="49"/>
  <c r="U14" i="49"/>
  <c r="B14" i="49"/>
  <c r="A14" i="49"/>
  <c r="Y13" i="49"/>
  <c r="W13" i="49"/>
  <c r="V13" i="49"/>
  <c r="U13" i="49"/>
  <c r="B13" i="49"/>
  <c r="A13" i="49"/>
  <c r="Y12" i="49"/>
  <c r="W12" i="49"/>
  <c r="V12" i="49"/>
  <c r="U12" i="49"/>
  <c r="B12" i="49"/>
  <c r="A12" i="49"/>
  <c r="Y11" i="49"/>
  <c r="W11" i="49"/>
  <c r="V11" i="49"/>
  <c r="U11" i="49"/>
  <c r="B11" i="49"/>
  <c r="A11" i="49"/>
  <c r="Y10" i="49"/>
  <c r="W10" i="49"/>
  <c r="V10" i="49"/>
  <c r="U10" i="49"/>
  <c r="B10" i="49"/>
  <c r="A10" i="49"/>
  <c r="Y9" i="49"/>
  <c r="W9" i="49"/>
  <c r="V9" i="49"/>
  <c r="U9" i="49"/>
  <c r="B9" i="49"/>
  <c r="A9" i="49"/>
  <c r="Y8" i="49"/>
  <c r="W8" i="49"/>
  <c r="V8" i="49"/>
  <c r="U8" i="49"/>
  <c r="B8" i="49"/>
  <c r="A8" i="49"/>
  <c r="Y7" i="49"/>
  <c r="W7" i="49"/>
  <c r="V7" i="49"/>
  <c r="U7" i="49"/>
  <c r="B7" i="49"/>
  <c r="A7" i="49"/>
  <c r="AH4" i="49"/>
  <c r="AG4" i="49"/>
  <c r="AF4" i="49"/>
  <c r="AE4" i="49"/>
  <c r="AD4" i="49"/>
  <c r="AA4" i="49"/>
  <c r="B4" i="49"/>
  <c r="AA3" i="49" s="1"/>
  <c r="AH3" i="49"/>
  <c r="AG3" i="49"/>
  <c r="AF3" i="49"/>
  <c r="AE3" i="49"/>
  <c r="AD3" i="49"/>
  <c r="AI2" i="49"/>
  <c r="AH2" i="49"/>
  <c r="W2" i="49"/>
  <c r="Y32" i="48"/>
  <c r="X32" i="48"/>
  <c r="W32" i="48"/>
  <c r="V32" i="48"/>
  <c r="U32" i="48"/>
  <c r="A32" i="48"/>
  <c r="Y30" i="48"/>
  <c r="W30" i="48"/>
  <c r="V30" i="48"/>
  <c r="U30" i="48"/>
  <c r="B30" i="48"/>
  <c r="A30" i="48"/>
  <c r="Y29" i="48"/>
  <c r="W29" i="48"/>
  <c r="V29" i="48"/>
  <c r="U29" i="48"/>
  <c r="B29" i="48"/>
  <c r="A29" i="48"/>
  <c r="Y28" i="48"/>
  <c r="W28" i="48"/>
  <c r="V28" i="48"/>
  <c r="U28" i="48"/>
  <c r="B28" i="48"/>
  <c r="A28" i="48"/>
  <c r="Y27" i="48"/>
  <c r="W27" i="48"/>
  <c r="V27" i="48"/>
  <c r="U27" i="48"/>
  <c r="B27" i="48"/>
  <c r="A27" i="48"/>
  <c r="Y26" i="48"/>
  <c r="W26" i="48"/>
  <c r="V26" i="48"/>
  <c r="U26" i="48"/>
  <c r="B26" i="48"/>
  <c r="A26" i="48"/>
  <c r="Y25" i="48"/>
  <c r="W25" i="48"/>
  <c r="V25" i="48"/>
  <c r="U25" i="48"/>
  <c r="B25" i="48"/>
  <c r="A25" i="48"/>
  <c r="Y24" i="48"/>
  <c r="W24" i="48"/>
  <c r="V24" i="48"/>
  <c r="U24" i="48"/>
  <c r="B24" i="48"/>
  <c r="A24" i="48"/>
  <c r="Y23" i="48"/>
  <c r="W23" i="48"/>
  <c r="V23" i="48"/>
  <c r="U23" i="48"/>
  <c r="B23" i="48"/>
  <c r="A23" i="48"/>
  <c r="Y22" i="48"/>
  <c r="W22" i="48"/>
  <c r="V22" i="48"/>
  <c r="U22" i="48"/>
  <c r="B22" i="48"/>
  <c r="A22" i="48"/>
  <c r="Y21" i="48"/>
  <c r="W21" i="48"/>
  <c r="V21" i="48"/>
  <c r="U21" i="48"/>
  <c r="B21" i="48"/>
  <c r="A21" i="48"/>
  <c r="Y20" i="48"/>
  <c r="W20" i="48"/>
  <c r="V20" i="48"/>
  <c r="U20" i="48"/>
  <c r="B20" i="48"/>
  <c r="A20" i="48"/>
  <c r="Y19" i="48"/>
  <c r="W19" i="48"/>
  <c r="V19" i="48"/>
  <c r="U19" i="48"/>
  <c r="B19" i="48"/>
  <c r="A19" i="48"/>
  <c r="Y18" i="48"/>
  <c r="W18" i="48"/>
  <c r="V18" i="48"/>
  <c r="U18" i="48"/>
  <c r="B18" i="48"/>
  <c r="A18" i="48"/>
  <c r="Y17" i="48"/>
  <c r="W17" i="48"/>
  <c r="V17" i="48"/>
  <c r="U17" i="48"/>
  <c r="B17" i="48"/>
  <c r="A17" i="48"/>
  <c r="Y16" i="48"/>
  <c r="W16" i="48"/>
  <c r="V16" i="48"/>
  <c r="U16" i="48"/>
  <c r="B16" i="48"/>
  <c r="A16" i="48"/>
  <c r="Y15" i="48"/>
  <c r="W15" i="48"/>
  <c r="V15" i="48"/>
  <c r="U15" i="48"/>
  <c r="B15" i="48"/>
  <c r="A15" i="48"/>
  <c r="Y14" i="48"/>
  <c r="W14" i="48"/>
  <c r="V14" i="48"/>
  <c r="U14" i="48"/>
  <c r="B14" i="48"/>
  <c r="A14" i="48"/>
  <c r="Y13" i="48"/>
  <c r="W13" i="48"/>
  <c r="V13" i="48"/>
  <c r="U13" i="48"/>
  <c r="B13" i="48"/>
  <c r="A13" i="48"/>
  <c r="Y12" i="48"/>
  <c r="W12" i="48"/>
  <c r="V12" i="48"/>
  <c r="U12" i="48"/>
  <c r="B12" i="48"/>
  <c r="A12" i="48"/>
  <c r="Y11" i="48"/>
  <c r="W11" i="48"/>
  <c r="V11" i="48"/>
  <c r="U11" i="48"/>
  <c r="B11" i="48"/>
  <c r="A11" i="48"/>
  <c r="Y10" i="48"/>
  <c r="W10" i="48"/>
  <c r="V10" i="48"/>
  <c r="U10" i="48"/>
  <c r="B10" i="48"/>
  <c r="A10" i="48"/>
  <c r="Y9" i="48"/>
  <c r="W9" i="48"/>
  <c r="V9" i="48"/>
  <c r="U9" i="48"/>
  <c r="B9" i="48"/>
  <c r="A9" i="48"/>
  <c r="Y8" i="48"/>
  <c r="W8" i="48"/>
  <c r="V8" i="48"/>
  <c r="U8" i="48"/>
  <c r="B8" i="48"/>
  <c r="A8" i="48"/>
  <c r="Y7" i="48"/>
  <c r="W7" i="48"/>
  <c r="V7" i="48"/>
  <c r="U7" i="48"/>
  <c r="B7" i="48"/>
  <c r="A7" i="48"/>
  <c r="AH4" i="48"/>
  <c r="AG4" i="48"/>
  <c r="AF4" i="48"/>
  <c r="AE4" i="48"/>
  <c r="AD4" i="48"/>
  <c r="AA4" i="48"/>
  <c r="B4" i="48"/>
  <c r="AA3" i="48" s="1"/>
  <c r="AH3" i="48"/>
  <c r="AG3" i="48"/>
  <c r="AF3" i="48"/>
  <c r="AE3" i="48"/>
  <c r="AD3" i="48"/>
  <c r="T32" i="48"/>
  <c r="AB12" i="48" s="1"/>
  <c r="AA20" i="48" s="1"/>
  <c r="AI2" i="48"/>
  <c r="AH2" i="48"/>
  <c r="W2" i="48"/>
  <c r="Y32" i="47"/>
  <c r="X32" i="47"/>
  <c r="W32" i="47"/>
  <c r="V32" i="47"/>
  <c r="U32" i="47"/>
  <c r="A32" i="47"/>
  <c r="Y30" i="47"/>
  <c r="W30" i="47"/>
  <c r="V30" i="47"/>
  <c r="U30" i="47"/>
  <c r="B30" i="47"/>
  <c r="A30" i="47"/>
  <c r="Y29" i="47"/>
  <c r="W29" i="47"/>
  <c r="V29" i="47"/>
  <c r="U29" i="47"/>
  <c r="B29" i="47"/>
  <c r="A29" i="47"/>
  <c r="Y28" i="47"/>
  <c r="W28" i="47"/>
  <c r="V28" i="47"/>
  <c r="U28" i="47"/>
  <c r="B28" i="47"/>
  <c r="A28" i="47"/>
  <c r="Y27" i="47"/>
  <c r="W27" i="47"/>
  <c r="V27" i="47"/>
  <c r="U27" i="47"/>
  <c r="B27" i="47"/>
  <c r="A27" i="47"/>
  <c r="Y26" i="47"/>
  <c r="W26" i="47"/>
  <c r="V26" i="47"/>
  <c r="U26" i="47"/>
  <c r="B26" i="47"/>
  <c r="A26" i="47"/>
  <c r="Y25" i="47"/>
  <c r="W25" i="47"/>
  <c r="V25" i="47"/>
  <c r="U25" i="47"/>
  <c r="B25" i="47"/>
  <c r="A25" i="47"/>
  <c r="Y24" i="47"/>
  <c r="W24" i="47"/>
  <c r="V24" i="47"/>
  <c r="U24" i="47"/>
  <c r="B24" i="47"/>
  <c r="A24" i="47"/>
  <c r="Y23" i="47"/>
  <c r="W23" i="47"/>
  <c r="V23" i="47"/>
  <c r="U23" i="47"/>
  <c r="B23" i="47"/>
  <c r="A23" i="47"/>
  <c r="Y22" i="47"/>
  <c r="W22" i="47"/>
  <c r="V22" i="47"/>
  <c r="U22" i="47"/>
  <c r="B22" i="47"/>
  <c r="A22" i="47"/>
  <c r="Y21" i="47"/>
  <c r="W21" i="47"/>
  <c r="V21" i="47"/>
  <c r="U21" i="47"/>
  <c r="B21" i="47"/>
  <c r="A21" i="47"/>
  <c r="Y20" i="47"/>
  <c r="W20" i="47"/>
  <c r="V20" i="47"/>
  <c r="U20" i="47"/>
  <c r="B20" i="47"/>
  <c r="A20" i="47"/>
  <c r="Y19" i="47"/>
  <c r="W19" i="47"/>
  <c r="V19" i="47"/>
  <c r="U19" i="47"/>
  <c r="B19" i="47"/>
  <c r="A19" i="47"/>
  <c r="Y18" i="47"/>
  <c r="W18" i="47"/>
  <c r="V18" i="47"/>
  <c r="U18" i="47"/>
  <c r="B18" i="47"/>
  <c r="A18" i="47"/>
  <c r="Y17" i="47"/>
  <c r="W17" i="47"/>
  <c r="V17" i="47"/>
  <c r="U17" i="47"/>
  <c r="B17" i="47"/>
  <c r="A17" i="47"/>
  <c r="Y16" i="47"/>
  <c r="W16" i="47"/>
  <c r="V16" i="47"/>
  <c r="U16" i="47"/>
  <c r="B16" i="47"/>
  <c r="A16" i="47"/>
  <c r="Y15" i="47"/>
  <c r="W15" i="47"/>
  <c r="V15" i="47"/>
  <c r="U15" i="47"/>
  <c r="B15" i="47"/>
  <c r="A15" i="47"/>
  <c r="Y14" i="47"/>
  <c r="W14" i="47"/>
  <c r="V14" i="47"/>
  <c r="U14" i="47"/>
  <c r="B14" i="47"/>
  <c r="A14" i="47"/>
  <c r="Y13" i="47"/>
  <c r="W13" i="47"/>
  <c r="V13" i="47"/>
  <c r="U13" i="47"/>
  <c r="B13" i="47"/>
  <c r="A13" i="47"/>
  <c r="Y12" i="47"/>
  <c r="W12" i="47"/>
  <c r="V12" i="47"/>
  <c r="U12" i="47"/>
  <c r="B12" i="47"/>
  <c r="A12" i="47"/>
  <c r="Y11" i="47"/>
  <c r="W11" i="47"/>
  <c r="V11" i="47"/>
  <c r="U11" i="47"/>
  <c r="B11" i="47"/>
  <c r="A11" i="47"/>
  <c r="Y10" i="47"/>
  <c r="W10" i="47"/>
  <c r="V10" i="47"/>
  <c r="U10" i="47"/>
  <c r="B10" i="47"/>
  <c r="A10" i="47"/>
  <c r="Y9" i="47"/>
  <c r="W9" i="47"/>
  <c r="V9" i="47"/>
  <c r="U9" i="47"/>
  <c r="B9" i="47"/>
  <c r="A9" i="47"/>
  <c r="Y8" i="47"/>
  <c r="W8" i="47"/>
  <c r="V8" i="47"/>
  <c r="U8" i="47"/>
  <c r="B8" i="47"/>
  <c r="A8" i="47"/>
  <c r="Y7" i="47"/>
  <c r="W7" i="47"/>
  <c r="V7" i="47"/>
  <c r="U7" i="47"/>
  <c r="B7" i="47"/>
  <c r="A7" i="47"/>
  <c r="AH4" i="47"/>
  <c r="AG4" i="47"/>
  <c r="AF4" i="47"/>
  <c r="AE4" i="47"/>
  <c r="AD4" i="47"/>
  <c r="AA4" i="47"/>
  <c r="B4" i="47"/>
  <c r="AA3" i="47" s="1"/>
  <c r="AH3" i="47"/>
  <c r="AG3" i="47"/>
  <c r="AF3" i="47"/>
  <c r="AE3" i="47"/>
  <c r="AD3" i="47"/>
  <c r="AI2" i="47"/>
  <c r="AH2" i="47"/>
  <c r="W2" i="47"/>
  <c r="Y32" i="46"/>
  <c r="X32" i="46"/>
  <c r="W32" i="46"/>
  <c r="V32" i="46"/>
  <c r="U32" i="46"/>
  <c r="A32" i="46"/>
  <c r="Y30" i="46"/>
  <c r="W30" i="46"/>
  <c r="V30" i="46"/>
  <c r="U30" i="46"/>
  <c r="B30" i="46"/>
  <c r="A30" i="46"/>
  <c r="Y29" i="46"/>
  <c r="W29" i="46"/>
  <c r="V29" i="46"/>
  <c r="U29" i="46"/>
  <c r="B29" i="46"/>
  <c r="A29" i="46"/>
  <c r="Y28" i="46"/>
  <c r="W28" i="46"/>
  <c r="V28" i="46"/>
  <c r="U28" i="46"/>
  <c r="B28" i="46"/>
  <c r="A28" i="46"/>
  <c r="Y27" i="46"/>
  <c r="W27" i="46"/>
  <c r="V27" i="46"/>
  <c r="U27" i="46"/>
  <c r="B27" i="46"/>
  <c r="A27" i="46"/>
  <c r="Y26" i="46"/>
  <c r="W26" i="46"/>
  <c r="V26" i="46"/>
  <c r="U26" i="46"/>
  <c r="B26" i="46"/>
  <c r="A26" i="46"/>
  <c r="Y25" i="46"/>
  <c r="W25" i="46"/>
  <c r="V25" i="46"/>
  <c r="U25" i="46"/>
  <c r="B25" i="46"/>
  <c r="A25" i="46"/>
  <c r="Y24" i="46"/>
  <c r="W24" i="46"/>
  <c r="V24" i="46"/>
  <c r="U24" i="46"/>
  <c r="B24" i="46"/>
  <c r="A24" i="46"/>
  <c r="Y23" i="46"/>
  <c r="W23" i="46"/>
  <c r="V23" i="46"/>
  <c r="U23" i="46"/>
  <c r="B23" i="46"/>
  <c r="A23" i="46"/>
  <c r="Y22" i="46"/>
  <c r="W22" i="46"/>
  <c r="V22" i="46"/>
  <c r="U22" i="46"/>
  <c r="B22" i="46"/>
  <c r="A22" i="46"/>
  <c r="Y21" i="46"/>
  <c r="W21" i="46"/>
  <c r="V21" i="46"/>
  <c r="U21" i="46"/>
  <c r="B21" i="46"/>
  <c r="A21" i="46"/>
  <c r="Y20" i="46"/>
  <c r="W20" i="46"/>
  <c r="V20" i="46"/>
  <c r="U20" i="46"/>
  <c r="B20" i="46"/>
  <c r="A20" i="46"/>
  <c r="Y19" i="46"/>
  <c r="W19" i="46"/>
  <c r="V19" i="46"/>
  <c r="U19" i="46"/>
  <c r="B19" i="46"/>
  <c r="A19" i="46"/>
  <c r="Y18" i="46"/>
  <c r="W18" i="46"/>
  <c r="V18" i="46"/>
  <c r="U18" i="46"/>
  <c r="B18" i="46"/>
  <c r="A18" i="46"/>
  <c r="Y17" i="46"/>
  <c r="W17" i="46"/>
  <c r="V17" i="46"/>
  <c r="U17" i="46"/>
  <c r="B17" i="46"/>
  <c r="A17" i="46"/>
  <c r="Y16" i="46"/>
  <c r="W16" i="46"/>
  <c r="V16" i="46"/>
  <c r="U16" i="46"/>
  <c r="B16" i="46"/>
  <c r="A16" i="46"/>
  <c r="Y15" i="46"/>
  <c r="W15" i="46"/>
  <c r="V15" i="46"/>
  <c r="U15" i="46"/>
  <c r="B15" i="46"/>
  <c r="A15" i="46"/>
  <c r="Y14" i="46"/>
  <c r="W14" i="46"/>
  <c r="V14" i="46"/>
  <c r="U14" i="46"/>
  <c r="B14" i="46"/>
  <c r="A14" i="46"/>
  <c r="Y13" i="46"/>
  <c r="W13" i="46"/>
  <c r="V13" i="46"/>
  <c r="U13" i="46"/>
  <c r="B13" i="46"/>
  <c r="A13" i="46"/>
  <c r="Y12" i="46"/>
  <c r="W12" i="46"/>
  <c r="V12" i="46"/>
  <c r="U12" i="46"/>
  <c r="B12" i="46"/>
  <c r="A12" i="46"/>
  <c r="Y11" i="46"/>
  <c r="W11" i="46"/>
  <c r="V11" i="46"/>
  <c r="U11" i="46"/>
  <c r="B11" i="46"/>
  <c r="A11" i="46"/>
  <c r="Y10" i="46"/>
  <c r="W10" i="46"/>
  <c r="V10" i="46"/>
  <c r="U10" i="46"/>
  <c r="B10" i="46"/>
  <c r="A10" i="46"/>
  <c r="Y9" i="46"/>
  <c r="W9" i="46"/>
  <c r="V9" i="46"/>
  <c r="U9" i="46"/>
  <c r="B9" i="46"/>
  <c r="A9" i="46"/>
  <c r="Y8" i="46"/>
  <c r="W8" i="46"/>
  <c r="V8" i="46"/>
  <c r="U8" i="46"/>
  <c r="B8" i="46"/>
  <c r="A8" i="46"/>
  <c r="Y7" i="46"/>
  <c r="W7" i="46"/>
  <c r="V7" i="46"/>
  <c r="U7" i="46"/>
  <c r="B7" i="46"/>
  <c r="A7" i="46"/>
  <c r="AH4" i="46"/>
  <c r="AG4" i="46"/>
  <c r="AF4" i="46"/>
  <c r="AE4" i="46"/>
  <c r="AD4" i="46"/>
  <c r="AA4" i="46"/>
  <c r="B4" i="46"/>
  <c r="AA3" i="46" s="1"/>
  <c r="AH3" i="46"/>
  <c r="AG3" i="46"/>
  <c r="AF3" i="46"/>
  <c r="AE3" i="46"/>
  <c r="AD3" i="46"/>
  <c r="AI2" i="46"/>
  <c r="AH2" i="46"/>
  <c r="W2" i="46"/>
  <c r="Y32" i="45"/>
  <c r="X32" i="45"/>
  <c r="W32" i="45"/>
  <c r="V32" i="45"/>
  <c r="U32" i="45"/>
  <c r="A32" i="45"/>
  <c r="Y30" i="45"/>
  <c r="W30" i="45"/>
  <c r="V30" i="45"/>
  <c r="U30" i="45"/>
  <c r="B30" i="45"/>
  <c r="A30" i="45"/>
  <c r="Y29" i="45"/>
  <c r="W29" i="45"/>
  <c r="V29" i="45"/>
  <c r="U29" i="45"/>
  <c r="B29" i="45"/>
  <c r="A29" i="45"/>
  <c r="Y28" i="45"/>
  <c r="W28" i="45"/>
  <c r="V28" i="45"/>
  <c r="U28" i="45"/>
  <c r="B28" i="45"/>
  <c r="A28" i="45"/>
  <c r="Y27" i="45"/>
  <c r="W27" i="45"/>
  <c r="V27" i="45"/>
  <c r="U27" i="45"/>
  <c r="B27" i="45"/>
  <c r="A27" i="45"/>
  <c r="Y26" i="45"/>
  <c r="W26" i="45"/>
  <c r="V26" i="45"/>
  <c r="U26" i="45"/>
  <c r="B26" i="45"/>
  <c r="A26" i="45"/>
  <c r="Y25" i="45"/>
  <c r="W25" i="45"/>
  <c r="V25" i="45"/>
  <c r="U25" i="45"/>
  <c r="B25" i="45"/>
  <c r="A25" i="45"/>
  <c r="Y24" i="45"/>
  <c r="W24" i="45"/>
  <c r="V24" i="45"/>
  <c r="U24" i="45"/>
  <c r="B24" i="45"/>
  <c r="A24" i="45"/>
  <c r="Y23" i="45"/>
  <c r="W23" i="45"/>
  <c r="V23" i="45"/>
  <c r="U23" i="45"/>
  <c r="B23" i="45"/>
  <c r="A23" i="45"/>
  <c r="Y22" i="45"/>
  <c r="W22" i="45"/>
  <c r="V22" i="45"/>
  <c r="U22" i="45"/>
  <c r="B22" i="45"/>
  <c r="A22" i="45"/>
  <c r="Y21" i="45"/>
  <c r="W21" i="45"/>
  <c r="V21" i="45"/>
  <c r="U21" i="45"/>
  <c r="B21" i="45"/>
  <c r="A21" i="45"/>
  <c r="Y20" i="45"/>
  <c r="W20" i="45"/>
  <c r="V20" i="45"/>
  <c r="U20" i="45"/>
  <c r="B20" i="45"/>
  <c r="A20" i="45"/>
  <c r="Y19" i="45"/>
  <c r="W19" i="45"/>
  <c r="V19" i="45"/>
  <c r="U19" i="45"/>
  <c r="B19" i="45"/>
  <c r="A19" i="45"/>
  <c r="Y18" i="45"/>
  <c r="W18" i="45"/>
  <c r="V18" i="45"/>
  <c r="U18" i="45"/>
  <c r="B18" i="45"/>
  <c r="A18" i="45"/>
  <c r="Y17" i="45"/>
  <c r="W17" i="45"/>
  <c r="V17" i="45"/>
  <c r="U17" i="45"/>
  <c r="B17" i="45"/>
  <c r="A17" i="45"/>
  <c r="Y16" i="45"/>
  <c r="W16" i="45"/>
  <c r="V16" i="45"/>
  <c r="U16" i="45"/>
  <c r="B16" i="45"/>
  <c r="A16" i="45"/>
  <c r="Y15" i="45"/>
  <c r="W15" i="45"/>
  <c r="V15" i="45"/>
  <c r="U15" i="45"/>
  <c r="B15" i="45"/>
  <c r="A15" i="45"/>
  <c r="Y14" i="45"/>
  <c r="W14" i="45"/>
  <c r="V14" i="45"/>
  <c r="U14" i="45"/>
  <c r="B14" i="45"/>
  <c r="A14" i="45"/>
  <c r="Y13" i="45"/>
  <c r="W13" i="45"/>
  <c r="V13" i="45"/>
  <c r="U13" i="45"/>
  <c r="B13" i="45"/>
  <c r="A13" i="45"/>
  <c r="Y12" i="45"/>
  <c r="W12" i="45"/>
  <c r="V12" i="45"/>
  <c r="U12" i="45"/>
  <c r="B12" i="45"/>
  <c r="A12" i="45"/>
  <c r="Y11" i="45"/>
  <c r="W11" i="45"/>
  <c r="V11" i="45"/>
  <c r="U11" i="45"/>
  <c r="B11" i="45"/>
  <c r="A11" i="45"/>
  <c r="Y10" i="45"/>
  <c r="W10" i="45"/>
  <c r="V10" i="45"/>
  <c r="U10" i="45"/>
  <c r="B10" i="45"/>
  <c r="A10" i="45"/>
  <c r="Y9" i="45"/>
  <c r="W9" i="45"/>
  <c r="V9" i="45"/>
  <c r="U9" i="45"/>
  <c r="B9" i="45"/>
  <c r="A9" i="45"/>
  <c r="Y8" i="45"/>
  <c r="W8" i="45"/>
  <c r="V8" i="45"/>
  <c r="U8" i="45"/>
  <c r="B8" i="45"/>
  <c r="A8" i="45"/>
  <c r="Y7" i="45"/>
  <c r="W7" i="45"/>
  <c r="V7" i="45"/>
  <c r="U7" i="45"/>
  <c r="B7" i="45"/>
  <c r="A7" i="45"/>
  <c r="AH4" i="45"/>
  <c r="AG4" i="45"/>
  <c r="AF4" i="45"/>
  <c r="AE4" i="45"/>
  <c r="AD4" i="45"/>
  <c r="AA4" i="45"/>
  <c r="B4" i="45"/>
  <c r="AA3" i="45" s="1"/>
  <c r="AH3" i="45"/>
  <c r="AG3" i="45"/>
  <c r="AF3" i="45"/>
  <c r="AE3" i="45"/>
  <c r="AD3" i="45"/>
  <c r="T32" i="45"/>
  <c r="AI2" i="45"/>
  <c r="AH2" i="45"/>
  <c r="W2" i="45"/>
  <c r="Y32" i="44"/>
  <c r="X32" i="44"/>
  <c r="W32" i="44"/>
  <c r="V32" i="44"/>
  <c r="U32" i="44"/>
  <c r="A32" i="44"/>
  <c r="Y30" i="44"/>
  <c r="W30" i="44"/>
  <c r="V30" i="44"/>
  <c r="U30" i="44"/>
  <c r="B30" i="44"/>
  <c r="A30" i="44"/>
  <c r="Y29" i="44"/>
  <c r="W29" i="44"/>
  <c r="V29" i="44"/>
  <c r="U29" i="44"/>
  <c r="B29" i="44"/>
  <c r="A29" i="44"/>
  <c r="Y28" i="44"/>
  <c r="W28" i="44"/>
  <c r="V28" i="44"/>
  <c r="U28" i="44"/>
  <c r="B28" i="44"/>
  <c r="A28" i="44"/>
  <c r="Y27" i="44"/>
  <c r="W27" i="44"/>
  <c r="V27" i="44"/>
  <c r="U27" i="44"/>
  <c r="B27" i="44"/>
  <c r="A27" i="44"/>
  <c r="Y26" i="44"/>
  <c r="W26" i="44"/>
  <c r="V26" i="44"/>
  <c r="U26" i="44"/>
  <c r="B26" i="44"/>
  <c r="A26" i="44"/>
  <c r="Y25" i="44"/>
  <c r="W25" i="44"/>
  <c r="V25" i="44"/>
  <c r="U25" i="44"/>
  <c r="B25" i="44"/>
  <c r="A25" i="44"/>
  <c r="Y24" i="44"/>
  <c r="W24" i="44"/>
  <c r="V24" i="44"/>
  <c r="U24" i="44"/>
  <c r="B24" i="44"/>
  <c r="A24" i="44"/>
  <c r="Y23" i="44"/>
  <c r="W23" i="44"/>
  <c r="V23" i="44"/>
  <c r="U23" i="44"/>
  <c r="B23" i="44"/>
  <c r="A23" i="44"/>
  <c r="Y22" i="44"/>
  <c r="W22" i="44"/>
  <c r="V22" i="44"/>
  <c r="U22" i="44"/>
  <c r="B22" i="44"/>
  <c r="A22" i="44"/>
  <c r="Y21" i="44"/>
  <c r="W21" i="44"/>
  <c r="V21" i="44"/>
  <c r="U21" i="44"/>
  <c r="B21" i="44"/>
  <c r="A21" i="44"/>
  <c r="Y20" i="44"/>
  <c r="W20" i="44"/>
  <c r="V20" i="44"/>
  <c r="U20" i="44"/>
  <c r="B20" i="44"/>
  <c r="A20" i="44"/>
  <c r="Y19" i="44"/>
  <c r="W19" i="44"/>
  <c r="V19" i="44"/>
  <c r="U19" i="44"/>
  <c r="B19" i="44"/>
  <c r="A19" i="44"/>
  <c r="Y18" i="44"/>
  <c r="W18" i="44"/>
  <c r="V18" i="44"/>
  <c r="U18" i="44"/>
  <c r="B18" i="44"/>
  <c r="A18" i="44"/>
  <c r="Y17" i="44"/>
  <c r="W17" i="44"/>
  <c r="V17" i="44"/>
  <c r="U17" i="44"/>
  <c r="B17" i="44"/>
  <c r="A17" i="44"/>
  <c r="Y16" i="44"/>
  <c r="W16" i="44"/>
  <c r="V16" i="44"/>
  <c r="U16" i="44"/>
  <c r="B16" i="44"/>
  <c r="A16" i="44"/>
  <c r="Y15" i="44"/>
  <c r="W15" i="44"/>
  <c r="V15" i="44"/>
  <c r="U15" i="44"/>
  <c r="B15" i="44"/>
  <c r="A15" i="44"/>
  <c r="Y14" i="44"/>
  <c r="W14" i="44"/>
  <c r="V14" i="44"/>
  <c r="U14" i="44"/>
  <c r="B14" i="44"/>
  <c r="A14" i="44"/>
  <c r="Y13" i="44"/>
  <c r="W13" i="44"/>
  <c r="V13" i="44"/>
  <c r="U13" i="44"/>
  <c r="B13" i="44"/>
  <c r="A13" i="44"/>
  <c r="Y12" i="44"/>
  <c r="W12" i="44"/>
  <c r="V12" i="44"/>
  <c r="U12" i="44"/>
  <c r="B12" i="44"/>
  <c r="A12" i="44"/>
  <c r="Y11" i="44"/>
  <c r="W11" i="44"/>
  <c r="V11" i="44"/>
  <c r="U11" i="44"/>
  <c r="B11" i="44"/>
  <c r="A11" i="44"/>
  <c r="Y10" i="44"/>
  <c r="W10" i="44"/>
  <c r="V10" i="44"/>
  <c r="U10" i="44"/>
  <c r="B10" i="44"/>
  <c r="A10" i="44"/>
  <c r="Y9" i="44"/>
  <c r="W9" i="44"/>
  <c r="V9" i="44"/>
  <c r="U9" i="44"/>
  <c r="B9" i="44"/>
  <c r="A9" i="44"/>
  <c r="Y8" i="44"/>
  <c r="W8" i="44"/>
  <c r="V8" i="44"/>
  <c r="U8" i="44"/>
  <c r="B8" i="44"/>
  <c r="A8" i="44"/>
  <c r="Y7" i="44"/>
  <c r="W7" i="44"/>
  <c r="V7" i="44"/>
  <c r="U7" i="44"/>
  <c r="B7" i="44"/>
  <c r="A7" i="44"/>
  <c r="AH4" i="44"/>
  <c r="AG4" i="44"/>
  <c r="AF4" i="44"/>
  <c r="AE4" i="44"/>
  <c r="AD4" i="44"/>
  <c r="AA4" i="44"/>
  <c r="B4" i="44"/>
  <c r="AA3" i="44" s="1"/>
  <c r="AH3" i="44"/>
  <c r="AG3" i="44"/>
  <c r="AF3" i="44"/>
  <c r="AE3" i="44"/>
  <c r="AD3" i="44"/>
  <c r="T32" i="44"/>
  <c r="AI2" i="44"/>
  <c r="AH2" i="44"/>
  <c r="W2" i="44"/>
  <c r="Y32" i="43"/>
  <c r="X32" i="43"/>
  <c r="W32" i="43"/>
  <c r="V32" i="43"/>
  <c r="U32" i="43"/>
  <c r="A32" i="43"/>
  <c r="Y30" i="43"/>
  <c r="W30" i="43"/>
  <c r="V30" i="43"/>
  <c r="U30" i="43"/>
  <c r="B30" i="43"/>
  <c r="A30" i="43"/>
  <c r="Y29" i="43"/>
  <c r="W29" i="43"/>
  <c r="V29" i="43"/>
  <c r="U29" i="43"/>
  <c r="B29" i="43"/>
  <c r="A29" i="43"/>
  <c r="Y28" i="43"/>
  <c r="W28" i="43"/>
  <c r="V28" i="43"/>
  <c r="U28" i="43"/>
  <c r="B28" i="43"/>
  <c r="A28" i="43"/>
  <c r="Y27" i="43"/>
  <c r="W27" i="43"/>
  <c r="V27" i="43"/>
  <c r="U27" i="43"/>
  <c r="B27" i="43"/>
  <c r="A27" i="43"/>
  <c r="Y26" i="43"/>
  <c r="W26" i="43"/>
  <c r="V26" i="43"/>
  <c r="U26" i="43"/>
  <c r="B26" i="43"/>
  <c r="A26" i="43"/>
  <c r="Y25" i="43"/>
  <c r="W25" i="43"/>
  <c r="V25" i="43"/>
  <c r="U25" i="43"/>
  <c r="B25" i="43"/>
  <c r="A25" i="43"/>
  <c r="Y24" i="43"/>
  <c r="W24" i="43"/>
  <c r="V24" i="43"/>
  <c r="U24" i="43"/>
  <c r="B24" i="43"/>
  <c r="A24" i="43"/>
  <c r="Y23" i="43"/>
  <c r="W23" i="43"/>
  <c r="V23" i="43"/>
  <c r="U23" i="43"/>
  <c r="B23" i="43"/>
  <c r="A23" i="43"/>
  <c r="Y22" i="43"/>
  <c r="W22" i="43"/>
  <c r="V22" i="43"/>
  <c r="U22" i="43"/>
  <c r="B22" i="43"/>
  <c r="A22" i="43"/>
  <c r="Y21" i="43"/>
  <c r="W21" i="43"/>
  <c r="V21" i="43"/>
  <c r="U21" i="43"/>
  <c r="B21" i="43"/>
  <c r="A21" i="43"/>
  <c r="Y20" i="43"/>
  <c r="W20" i="43"/>
  <c r="V20" i="43"/>
  <c r="U20" i="43"/>
  <c r="B20" i="43"/>
  <c r="A20" i="43"/>
  <c r="Y19" i="43"/>
  <c r="W19" i="43"/>
  <c r="V19" i="43"/>
  <c r="U19" i="43"/>
  <c r="B19" i="43"/>
  <c r="A19" i="43"/>
  <c r="Y18" i="43"/>
  <c r="W18" i="43"/>
  <c r="V18" i="43"/>
  <c r="U18" i="43"/>
  <c r="B18" i="43"/>
  <c r="A18" i="43"/>
  <c r="Y17" i="43"/>
  <c r="W17" i="43"/>
  <c r="V17" i="43"/>
  <c r="U17" i="43"/>
  <c r="B17" i="43"/>
  <c r="A17" i="43"/>
  <c r="Y16" i="43"/>
  <c r="W16" i="43"/>
  <c r="V16" i="43"/>
  <c r="U16" i="43"/>
  <c r="B16" i="43"/>
  <c r="A16" i="43"/>
  <c r="Y15" i="43"/>
  <c r="W15" i="43"/>
  <c r="V15" i="43"/>
  <c r="U15" i="43"/>
  <c r="B15" i="43"/>
  <c r="A15" i="43"/>
  <c r="Y14" i="43"/>
  <c r="W14" i="43"/>
  <c r="V14" i="43"/>
  <c r="U14" i="43"/>
  <c r="B14" i="43"/>
  <c r="A14" i="43"/>
  <c r="Y13" i="43"/>
  <c r="W13" i="43"/>
  <c r="V13" i="43"/>
  <c r="U13" i="43"/>
  <c r="B13" i="43"/>
  <c r="A13" i="43"/>
  <c r="Y12" i="43"/>
  <c r="W12" i="43"/>
  <c r="V12" i="43"/>
  <c r="U12" i="43"/>
  <c r="B12" i="43"/>
  <c r="A12" i="43"/>
  <c r="Y11" i="43"/>
  <c r="W11" i="43"/>
  <c r="V11" i="43"/>
  <c r="U11" i="43"/>
  <c r="B11" i="43"/>
  <c r="A11" i="43"/>
  <c r="Y10" i="43"/>
  <c r="W10" i="43"/>
  <c r="V10" i="43"/>
  <c r="U10" i="43"/>
  <c r="B10" i="43"/>
  <c r="A10" i="43"/>
  <c r="Y9" i="43"/>
  <c r="W9" i="43"/>
  <c r="V9" i="43"/>
  <c r="U9" i="43"/>
  <c r="B9" i="43"/>
  <c r="A9" i="43"/>
  <c r="Y8" i="43"/>
  <c r="W8" i="43"/>
  <c r="V8" i="43"/>
  <c r="U8" i="43"/>
  <c r="B8" i="43"/>
  <c r="A8" i="43"/>
  <c r="Y7" i="43"/>
  <c r="W7" i="43"/>
  <c r="V7" i="43"/>
  <c r="U7" i="43"/>
  <c r="B7" i="43"/>
  <c r="A7" i="43"/>
  <c r="AH4" i="43"/>
  <c r="AG4" i="43"/>
  <c r="AF4" i="43"/>
  <c r="AE4" i="43"/>
  <c r="AD4" i="43"/>
  <c r="AA4" i="43"/>
  <c r="B4" i="43"/>
  <c r="AA3" i="43" s="1"/>
  <c r="AH3" i="43"/>
  <c r="AG3" i="43"/>
  <c r="AF3" i="43"/>
  <c r="AE3" i="43"/>
  <c r="AD3" i="43"/>
  <c r="T32" i="43"/>
  <c r="AI2" i="43"/>
  <c r="AH2" i="43"/>
  <c r="W2" i="43"/>
  <c r="T31" i="57"/>
  <c r="W31" i="54"/>
  <c r="W31" i="49"/>
  <c r="A31" i="81"/>
  <c r="V31" i="81"/>
  <c r="X31" i="80"/>
  <c r="X31" i="77"/>
  <c r="U31" i="76"/>
  <c r="X31" i="76"/>
  <c r="V31" i="75"/>
  <c r="A31" i="75"/>
  <c r="X31" i="75"/>
  <c r="V31" i="74"/>
  <c r="X31" i="74"/>
  <c r="V31" i="73"/>
  <c r="X31" i="72"/>
  <c r="V31" i="70"/>
  <c r="V31" i="69"/>
  <c r="W31" i="69"/>
  <c r="X31" i="69"/>
  <c r="X31" i="68"/>
  <c r="U31" i="57"/>
  <c r="W31" i="57"/>
  <c r="U31" i="52"/>
  <c r="U31" i="47"/>
  <c r="A1" i="86"/>
  <c r="BU1" i="86" s="1"/>
  <c r="W2" i="5"/>
  <c r="B535" i="84"/>
  <c r="B536" i="84"/>
  <c r="B537" i="84"/>
  <c r="B538" i="84"/>
  <c r="B539" i="84"/>
  <c r="B540" i="84"/>
  <c r="B541" i="84"/>
  <c r="B542" i="84"/>
  <c r="B543" i="84"/>
  <c r="B544" i="84"/>
  <c r="B545" i="84"/>
  <c r="B546" i="84"/>
  <c r="B547" i="84"/>
  <c r="B548" i="84"/>
  <c r="B549" i="84"/>
  <c r="B550" i="84"/>
  <c r="B551" i="84"/>
  <c r="B552" i="84"/>
  <c r="B553" i="84"/>
  <c r="B554" i="84"/>
  <c r="B555" i="84"/>
  <c r="B556" i="84"/>
  <c r="B557" i="84"/>
  <c r="B558" i="84"/>
  <c r="B559" i="84"/>
  <c r="B560" i="84"/>
  <c r="B561" i="84"/>
  <c r="B562" i="84"/>
  <c r="B563" i="84"/>
  <c r="B564" i="84"/>
  <c r="B565" i="84"/>
  <c r="B566" i="84"/>
  <c r="B567" i="84"/>
  <c r="B568" i="84"/>
  <c r="B569" i="84"/>
  <c r="B570" i="84"/>
  <c r="B571" i="84"/>
  <c r="B572" i="84"/>
  <c r="B573" i="84"/>
  <c r="B574" i="84"/>
  <c r="B575" i="84"/>
  <c r="B576" i="84"/>
  <c r="B577" i="84"/>
  <c r="B578" i="84"/>
  <c r="B579" i="84"/>
  <c r="B580" i="84"/>
  <c r="B581" i="84"/>
  <c r="B582" i="84"/>
  <c r="B583" i="84"/>
  <c r="B584" i="84"/>
  <c r="B585" i="84"/>
  <c r="B586" i="84"/>
  <c r="B587" i="84"/>
  <c r="B588" i="84"/>
  <c r="B589" i="84"/>
  <c r="B590" i="84"/>
  <c r="B591" i="84"/>
  <c r="B592" i="84"/>
  <c r="B593" i="84"/>
  <c r="B594" i="84"/>
  <c r="B595" i="84"/>
  <c r="B596" i="84"/>
  <c r="B597" i="84"/>
  <c r="B598" i="84"/>
  <c r="B599" i="84"/>
  <c r="B600" i="84"/>
  <c r="B601" i="84"/>
  <c r="B602" i="84"/>
  <c r="B603" i="84"/>
  <c r="B604" i="84"/>
  <c r="B605" i="84"/>
  <c r="B606" i="84"/>
  <c r="B607" i="84"/>
  <c r="B608" i="84"/>
  <c r="B609" i="84"/>
  <c r="B610" i="84"/>
  <c r="B611" i="84"/>
  <c r="B612" i="84"/>
  <c r="B613" i="84"/>
  <c r="B614" i="84"/>
  <c r="B615" i="84"/>
  <c r="B616" i="84"/>
  <c r="B617" i="84"/>
  <c r="B618" i="84"/>
  <c r="B619" i="84"/>
  <c r="B620" i="84"/>
  <c r="B621" i="84"/>
  <c r="B622" i="84"/>
  <c r="B623" i="84"/>
  <c r="B624" i="84"/>
  <c r="B625" i="84"/>
  <c r="B626" i="84"/>
  <c r="B627" i="84"/>
  <c r="B628" i="84"/>
  <c r="B629" i="84"/>
  <c r="B630" i="84"/>
  <c r="B631" i="84"/>
  <c r="B632" i="84"/>
  <c r="B633" i="84"/>
  <c r="B634" i="84"/>
  <c r="B635" i="84"/>
  <c r="B636" i="84"/>
  <c r="B637" i="84"/>
  <c r="B638" i="84"/>
  <c r="B639" i="84"/>
  <c r="B640" i="84"/>
  <c r="B641" i="84"/>
  <c r="B642" i="84"/>
  <c r="B643" i="84"/>
  <c r="B644" i="84"/>
  <c r="B645" i="84"/>
  <c r="B646" i="84"/>
  <c r="B647" i="84"/>
  <c r="B648" i="84"/>
  <c r="B649" i="84"/>
  <c r="B650" i="84"/>
  <c r="B651" i="84"/>
  <c r="B652" i="84"/>
  <c r="B653" i="84"/>
  <c r="B654" i="84"/>
  <c r="B655" i="84"/>
  <c r="B656" i="84"/>
  <c r="B657" i="84"/>
  <c r="B658" i="84"/>
  <c r="B659" i="84"/>
  <c r="B660" i="84"/>
  <c r="B661" i="84"/>
  <c r="B662" i="84"/>
  <c r="B663" i="84"/>
  <c r="B664" i="84"/>
  <c r="B665" i="84"/>
  <c r="B666" i="84"/>
  <c r="B667" i="84"/>
  <c r="B668" i="84"/>
  <c r="B669" i="84"/>
  <c r="B670" i="84"/>
  <c r="B671" i="84"/>
  <c r="B672" i="84"/>
  <c r="B673" i="84"/>
  <c r="B674" i="84"/>
  <c r="B675" i="84"/>
  <c r="B676" i="84"/>
  <c r="B677" i="84"/>
  <c r="B678" i="84"/>
  <c r="B679" i="84"/>
  <c r="B680" i="84"/>
  <c r="B681" i="84"/>
  <c r="B682" i="84"/>
  <c r="B683" i="84"/>
  <c r="B684" i="84"/>
  <c r="B685" i="84"/>
  <c r="B686" i="84"/>
  <c r="B687" i="84"/>
  <c r="B688" i="84"/>
  <c r="B689" i="84"/>
  <c r="B690" i="84"/>
  <c r="B691" i="84"/>
  <c r="B692" i="84"/>
  <c r="B693" i="84"/>
  <c r="B694" i="84"/>
  <c r="B695" i="84"/>
  <c r="B696" i="84"/>
  <c r="B697" i="84"/>
  <c r="B698" i="84"/>
  <c r="B699" i="84"/>
  <c r="B700" i="84"/>
  <c r="B701" i="84"/>
  <c r="B702" i="84"/>
  <c r="B703" i="84"/>
  <c r="B704" i="84"/>
  <c r="B705" i="84"/>
  <c r="B706" i="84"/>
  <c r="B707" i="84"/>
  <c r="B708" i="84"/>
  <c r="B709" i="84"/>
  <c r="B710" i="84"/>
  <c r="B711" i="84"/>
  <c r="B712" i="84"/>
  <c r="B713" i="84"/>
  <c r="B714" i="84"/>
  <c r="B715" i="84"/>
  <c r="B716" i="84"/>
  <c r="B717" i="84"/>
  <c r="B718" i="84"/>
  <c r="B719" i="84"/>
  <c r="B720" i="84"/>
  <c r="B721" i="84"/>
  <c r="B722" i="84"/>
  <c r="B723" i="84"/>
  <c r="B724" i="84"/>
  <c r="B725" i="84"/>
  <c r="B726" i="84"/>
  <c r="B727" i="84"/>
  <c r="B728" i="84"/>
  <c r="B729" i="84"/>
  <c r="B730" i="84"/>
  <c r="B731" i="84"/>
  <c r="B732" i="84"/>
  <c r="B733" i="84"/>
  <c r="B734" i="84"/>
  <c r="B735" i="84"/>
  <c r="B736" i="84"/>
  <c r="B737" i="84"/>
  <c r="B738" i="84"/>
  <c r="B739" i="84"/>
  <c r="B740" i="84"/>
  <c r="B741" i="84"/>
  <c r="B742" i="84"/>
  <c r="B743" i="84"/>
  <c r="B744" i="84"/>
  <c r="B745" i="84"/>
  <c r="B746" i="84"/>
  <c r="B747" i="84"/>
  <c r="B748" i="84"/>
  <c r="B749" i="84"/>
  <c r="B750" i="84"/>
  <c r="B751" i="84"/>
  <c r="B752" i="84"/>
  <c r="B753" i="84"/>
  <c r="B754" i="84"/>
  <c r="B755" i="84"/>
  <c r="B756" i="84"/>
  <c r="B757" i="84"/>
  <c r="B758" i="84"/>
  <c r="B759" i="84"/>
  <c r="B760" i="84"/>
  <c r="B761" i="84"/>
  <c r="B762" i="84"/>
  <c r="B763" i="84"/>
  <c r="B764" i="84"/>
  <c r="B765" i="84"/>
  <c r="B766" i="84"/>
  <c r="B767" i="84"/>
  <c r="B768" i="84"/>
  <c r="B769" i="84"/>
  <c r="B770" i="84"/>
  <c r="B771" i="84"/>
  <c r="B772" i="84"/>
  <c r="B773" i="84"/>
  <c r="B774" i="84"/>
  <c r="B775" i="84"/>
  <c r="B776" i="84"/>
  <c r="B777" i="84"/>
  <c r="B778" i="84"/>
  <c r="B779" i="84"/>
  <c r="B780" i="84"/>
  <c r="B781" i="84"/>
  <c r="B782" i="84"/>
  <c r="B783" i="84"/>
  <c r="B784" i="84"/>
  <c r="B785" i="84"/>
  <c r="B786" i="84"/>
  <c r="B787" i="84"/>
  <c r="B788" i="84"/>
  <c r="B789" i="84"/>
  <c r="B790" i="84"/>
  <c r="B791" i="84"/>
  <c r="B792" i="84"/>
  <c r="B793" i="84"/>
  <c r="B794" i="84"/>
  <c r="B795" i="84"/>
  <c r="B796" i="84"/>
  <c r="B797" i="84"/>
  <c r="B798" i="84"/>
  <c r="B799" i="84"/>
  <c r="B800" i="84"/>
  <c r="B801" i="84"/>
  <c r="B802" i="84"/>
  <c r="B803" i="84"/>
  <c r="B804" i="84"/>
  <c r="B805" i="84"/>
  <c r="B806" i="84"/>
  <c r="B807" i="84"/>
  <c r="B808" i="84"/>
  <c r="B809" i="84"/>
  <c r="B810" i="84"/>
  <c r="B811" i="84"/>
  <c r="B812" i="84"/>
  <c r="B813" i="84"/>
  <c r="B814" i="84"/>
  <c r="B815" i="84"/>
  <c r="B816" i="84"/>
  <c r="B817" i="84"/>
  <c r="B818" i="84"/>
  <c r="B819" i="84"/>
  <c r="B820" i="84"/>
  <c r="B821" i="84"/>
  <c r="B822" i="84"/>
  <c r="B823" i="84"/>
  <c r="B824" i="84"/>
  <c r="B825" i="84"/>
  <c r="B826" i="84"/>
  <c r="B827" i="84"/>
  <c r="B828" i="84"/>
  <c r="B829" i="84"/>
  <c r="B830" i="84"/>
  <c r="B831" i="84"/>
  <c r="B832" i="84"/>
  <c r="B833" i="84"/>
  <c r="B834" i="84"/>
  <c r="B835" i="84"/>
  <c r="B836" i="84"/>
  <c r="B837" i="84"/>
  <c r="B838" i="84"/>
  <c r="B839" i="84"/>
  <c r="B840" i="84"/>
  <c r="B841" i="84"/>
  <c r="B842" i="84"/>
  <c r="B843" i="84"/>
  <c r="B844" i="84"/>
  <c r="B845" i="84"/>
  <c r="B846" i="84"/>
  <c r="B847" i="84"/>
  <c r="B848" i="84"/>
  <c r="B849" i="84"/>
  <c r="B850" i="84"/>
  <c r="B851" i="84"/>
  <c r="B852" i="84"/>
  <c r="B853" i="84"/>
  <c r="B854" i="84"/>
  <c r="B855" i="84"/>
  <c r="B856" i="84"/>
  <c r="B857" i="84"/>
  <c r="B858" i="84"/>
  <c r="B859" i="84"/>
  <c r="B860" i="84"/>
  <c r="B861" i="84"/>
  <c r="B862" i="84"/>
  <c r="B863" i="84"/>
  <c r="B864" i="84"/>
  <c r="B865" i="84"/>
  <c r="B866" i="84"/>
  <c r="B867" i="84"/>
  <c r="B868" i="84"/>
  <c r="B869" i="84"/>
  <c r="B870" i="84"/>
  <c r="B871" i="84"/>
  <c r="B872" i="84"/>
  <c r="B873" i="84"/>
  <c r="B874" i="84"/>
  <c r="B875" i="84"/>
  <c r="B876" i="84"/>
  <c r="B877" i="84"/>
  <c r="B878" i="84"/>
  <c r="B879" i="84"/>
  <c r="B880" i="84"/>
  <c r="B881" i="84"/>
  <c r="B882" i="84"/>
  <c r="B883" i="84"/>
  <c r="B884" i="84"/>
  <c r="B885" i="84"/>
  <c r="B886" i="84"/>
  <c r="B887" i="84"/>
  <c r="B888" i="84"/>
  <c r="B889" i="84"/>
  <c r="B890" i="84"/>
  <c r="B891" i="84"/>
  <c r="B892" i="84"/>
  <c r="B893" i="84"/>
  <c r="B894" i="84"/>
  <c r="B895" i="84"/>
  <c r="B896" i="84"/>
  <c r="B897" i="84"/>
  <c r="B898" i="84"/>
  <c r="B899" i="84"/>
  <c r="B900" i="84"/>
  <c r="B901" i="84"/>
  <c r="B902" i="84"/>
  <c r="B903" i="84"/>
  <c r="B904" i="84"/>
  <c r="B905" i="84"/>
  <c r="B906" i="84"/>
  <c r="B907" i="84"/>
  <c r="B908" i="84"/>
  <c r="B909" i="84"/>
  <c r="B910" i="84"/>
  <c r="B911" i="84"/>
  <c r="B912" i="84"/>
  <c r="B913" i="84"/>
  <c r="B914" i="84"/>
  <c r="B915" i="84"/>
  <c r="B916" i="84"/>
  <c r="B917" i="84"/>
  <c r="B918" i="84"/>
  <c r="B919" i="84"/>
  <c r="B920" i="84"/>
  <c r="B921" i="84"/>
  <c r="B922" i="84"/>
  <c r="B923" i="84"/>
  <c r="B924" i="84"/>
  <c r="B925" i="84"/>
  <c r="B926" i="84"/>
  <c r="B927" i="84"/>
  <c r="B928" i="84"/>
  <c r="B929" i="84"/>
  <c r="B930" i="84"/>
  <c r="B931" i="84"/>
  <c r="B932" i="84"/>
  <c r="B933" i="84"/>
  <c r="B934" i="84"/>
  <c r="B935" i="84"/>
  <c r="B936" i="84"/>
  <c r="B937" i="84"/>
  <c r="B938" i="84"/>
  <c r="B939" i="84"/>
  <c r="B940" i="84"/>
  <c r="B941" i="84"/>
  <c r="B942" i="84"/>
  <c r="B943" i="84"/>
  <c r="B944" i="84"/>
  <c r="B945" i="84"/>
  <c r="B946" i="84"/>
  <c r="B947" i="84"/>
  <c r="B948" i="84"/>
  <c r="B949" i="84"/>
  <c r="B950" i="84"/>
  <c r="B951" i="84"/>
  <c r="B952" i="84"/>
  <c r="B953" i="84"/>
  <c r="B954" i="84"/>
  <c r="B955" i="84"/>
  <c r="B956" i="84"/>
  <c r="B957" i="84"/>
  <c r="B958" i="84"/>
  <c r="B959" i="84"/>
  <c r="B960" i="84"/>
  <c r="B961" i="84"/>
  <c r="B962" i="84"/>
  <c r="B963" i="84"/>
  <c r="B964" i="84"/>
  <c r="B965" i="84"/>
  <c r="B966" i="84"/>
  <c r="BO8" i="82"/>
  <c r="BO9" i="82"/>
  <c r="BO10" i="82"/>
  <c r="BO11" i="82"/>
  <c r="BO12" i="82"/>
  <c r="BO13" i="82"/>
  <c r="BO14" i="82"/>
  <c r="BO15" i="82"/>
  <c r="BO16" i="82"/>
  <c r="BO17" i="82"/>
  <c r="BO18" i="82"/>
  <c r="BO19" i="82"/>
  <c r="BO20" i="82"/>
  <c r="BO21" i="82"/>
  <c r="BO22" i="82"/>
  <c r="BO23" i="82"/>
  <c r="BO24" i="82"/>
  <c r="BO25" i="82"/>
  <c r="BO26" i="82"/>
  <c r="BO27" i="82"/>
  <c r="BO28" i="82"/>
  <c r="A29" i="82"/>
  <c r="BO29" i="82"/>
  <c r="A30" i="82"/>
  <c r="BO30" i="82"/>
  <c r="A31" i="82"/>
  <c r="BO31" i="82"/>
  <c r="A32" i="82"/>
  <c r="BO32" i="82"/>
  <c r="A33" i="82"/>
  <c r="BO33" i="82"/>
  <c r="A34" i="82"/>
  <c r="BO34" i="82"/>
  <c r="A35" i="82"/>
  <c r="BO35" i="82"/>
  <c r="A36" i="82"/>
  <c r="BO36" i="82"/>
  <c r="A37" i="82"/>
  <c r="BO37" i="82"/>
  <c r="A38" i="82"/>
  <c r="BO38" i="82"/>
  <c r="A39" i="82"/>
  <c r="BO39" i="82"/>
  <c r="A40" i="82"/>
  <c r="BO40" i="82"/>
  <c r="A41" i="82"/>
  <c r="BO41" i="82"/>
  <c r="A42" i="82"/>
  <c r="BO42" i="82"/>
  <c r="A43" i="82"/>
  <c r="BO43" i="82"/>
  <c r="A44" i="82"/>
  <c r="BO44" i="82"/>
  <c r="A45" i="82"/>
  <c r="BO45" i="82"/>
  <c r="A46" i="82"/>
  <c r="BO46" i="82"/>
  <c r="BO7" i="82"/>
  <c r="Y32" i="5"/>
  <c r="X32" i="5"/>
  <c r="W32" i="5"/>
  <c r="V32" i="5"/>
  <c r="U32" i="5"/>
  <c r="A32" i="5"/>
  <c r="Y30" i="5"/>
  <c r="W30" i="5"/>
  <c r="V30" i="5"/>
  <c r="U30" i="5"/>
  <c r="B30" i="5"/>
  <c r="A30" i="5"/>
  <c r="Y29" i="5"/>
  <c r="W29" i="5"/>
  <c r="V29" i="5"/>
  <c r="U29" i="5"/>
  <c r="B29" i="5"/>
  <c r="A29" i="5"/>
  <c r="Y28" i="5"/>
  <c r="W28" i="5"/>
  <c r="V28" i="5"/>
  <c r="U28" i="5"/>
  <c r="B28" i="5"/>
  <c r="A28" i="5"/>
  <c r="Y27" i="5"/>
  <c r="W27" i="5"/>
  <c r="V27" i="5"/>
  <c r="U27" i="5"/>
  <c r="B27" i="5"/>
  <c r="A27" i="5"/>
  <c r="Y26" i="5"/>
  <c r="W26" i="5"/>
  <c r="V26" i="5"/>
  <c r="U26" i="5"/>
  <c r="B26" i="5"/>
  <c r="A26" i="5"/>
  <c r="Y25" i="5"/>
  <c r="W25" i="5"/>
  <c r="V25" i="5"/>
  <c r="U25" i="5"/>
  <c r="B25" i="5"/>
  <c r="A25" i="5"/>
  <c r="Y24" i="5"/>
  <c r="W24" i="5"/>
  <c r="V24" i="5"/>
  <c r="U24" i="5"/>
  <c r="B24" i="5"/>
  <c r="A24" i="5"/>
  <c r="Y23" i="5"/>
  <c r="W23" i="5"/>
  <c r="V23" i="5"/>
  <c r="U23" i="5"/>
  <c r="B23" i="5"/>
  <c r="A23" i="5"/>
  <c r="Y22" i="5"/>
  <c r="W22" i="5"/>
  <c r="V22" i="5"/>
  <c r="U22" i="5"/>
  <c r="B22" i="5"/>
  <c r="A22" i="5"/>
  <c r="Y21" i="5"/>
  <c r="W21" i="5"/>
  <c r="V21" i="5"/>
  <c r="U21" i="5"/>
  <c r="B21" i="5"/>
  <c r="A21" i="5"/>
  <c r="Y20" i="5"/>
  <c r="W20" i="5"/>
  <c r="V20" i="5"/>
  <c r="U20" i="5"/>
  <c r="B20" i="5"/>
  <c r="A20" i="5"/>
  <c r="Y19" i="5"/>
  <c r="W19" i="5"/>
  <c r="V19" i="5"/>
  <c r="U19" i="5"/>
  <c r="B19" i="5"/>
  <c r="A19" i="5"/>
  <c r="Y18" i="5"/>
  <c r="W18" i="5"/>
  <c r="V18" i="5"/>
  <c r="U18" i="5"/>
  <c r="B18" i="5"/>
  <c r="A18" i="5"/>
  <c r="Y17" i="5"/>
  <c r="W17" i="5"/>
  <c r="V17" i="5"/>
  <c r="U17" i="5"/>
  <c r="B17" i="5"/>
  <c r="A17" i="5"/>
  <c r="Y16" i="5"/>
  <c r="W16" i="5"/>
  <c r="V16" i="5"/>
  <c r="U16" i="5"/>
  <c r="B16" i="5"/>
  <c r="A16" i="5"/>
  <c r="Y15" i="5"/>
  <c r="W15" i="5"/>
  <c r="V15" i="5"/>
  <c r="U15" i="5"/>
  <c r="B15" i="5"/>
  <c r="A15" i="5"/>
  <c r="Y14" i="5"/>
  <c r="W14" i="5"/>
  <c r="V14" i="5"/>
  <c r="U14" i="5"/>
  <c r="B14" i="5"/>
  <c r="A14" i="5"/>
  <c r="Y13" i="5"/>
  <c r="W13" i="5"/>
  <c r="V13" i="5"/>
  <c r="U13" i="5"/>
  <c r="B13" i="5"/>
  <c r="A13" i="5"/>
  <c r="Y12" i="5"/>
  <c r="W12" i="5"/>
  <c r="V12" i="5"/>
  <c r="U12" i="5"/>
  <c r="B12" i="5"/>
  <c r="A12" i="5"/>
  <c r="Y11" i="5"/>
  <c r="W11" i="5"/>
  <c r="V11" i="5"/>
  <c r="U11" i="5"/>
  <c r="B11" i="5"/>
  <c r="A11" i="5"/>
  <c r="Y10" i="5"/>
  <c r="W10" i="5"/>
  <c r="V10" i="5"/>
  <c r="U10" i="5"/>
  <c r="B10" i="5"/>
  <c r="A10" i="5"/>
  <c r="Y9" i="5"/>
  <c r="W9" i="5"/>
  <c r="V9" i="5"/>
  <c r="U9" i="5"/>
  <c r="B9" i="5"/>
  <c r="A9" i="5"/>
  <c r="Y8" i="5"/>
  <c r="W8" i="5"/>
  <c r="V8" i="5"/>
  <c r="U8" i="5"/>
  <c r="B8" i="5"/>
  <c r="A8" i="5"/>
  <c r="Y7" i="5"/>
  <c r="W7" i="5"/>
  <c r="V7" i="5"/>
  <c r="U7" i="5"/>
  <c r="B7" i="5"/>
  <c r="A7" i="5"/>
  <c r="AH4" i="5"/>
  <c r="AG4" i="5"/>
  <c r="AF4" i="5"/>
  <c r="AE4" i="5"/>
  <c r="AD4" i="5"/>
  <c r="AA4" i="5"/>
  <c r="B4" i="5"/>
  <c r="AA3" i="5" s="1"/>
  <c r="AH3" i="5"/>
  <c r="AG3" i="5"/>
  <c r="AF3" i="5"/>
  <c r="AE3" i="5"/>
  <c r="AD3" i="5"/>
  <c r="AI2" i="5"/>
  <c r="AH2" i="5"/>
  <c r="AH768" i="84"/>
  <c r="AH845" i="84"/>
  <c r="BT13" i="82"/>
  <c r="AH946" i="84"/>
  <c r="AH240" i="84"/>
  <c r="A51" i="86"/>
  <c r="AH729" i="84"/>
  <c r="AH814" i="84"/>
  <c r="AH432" i="84"/>
  <c r="AH665" i="84"/>
  <c r="AH745" i="84"/>
  <c r="AH13" i="84"/>
  <c r="AH496" i="84"/>
  <c r="AH649" i="84"/>
  <c r="AH445" i="84"/>
  <c r="AH928" i="84"/>
  <c r="AH48" i="84"/>
  <c r="AH870" i="84"/>
  <c r="AH509" i="84"/>
  <c r="BT32" i="82"/>
  <c r="AH112" i="84"/>
  <c r="AH958" i="84"/>
  <c r="AH573" i="84"/>
  <c r="AH190" i="84"/>
  <c r="AH176" i="84"/>
  <c r="BT38" i="82"/>
  <c r="AH146" i="84"/>
  <c r="AH160" i="84"/>
  <c r="BT46" i="82"/>
  <c r="AH38" i="84"/>
  <c r="AH306" i="84"/>
  <c r="AH224" i="84"/>
  <c r="BT18" i="82"/>
  <c r="AH54" i="84"/>
  <c r="AH217" i="84"/>
  <c r="AH806" i="84"/>
  <c r="AH940" i="84"/>
  <c r="AH89" i="84"/>
  <c r="AH169" i="84"/>
  <c r="AH702" i="84"/>
  <c r="AH332" i="84"/>
  <c r="AH540" i="84"/>
  <c r="AH105" i="84"/>
  <c r="AH389" i="84"/>
  <c r="AH716" i="84"/>
  <c r="AH742" i="84"/>
  <c r="AH524" i="84"/>
  <c r="AH284" i="84"/>
  <c r="AH140" i="84"/>
  <c r="AH390" i="84"/>
  <c r="AH453" i="84"/>
  <c r="AH952" i="84"/>
  <c r="BT39" i="82"/>
  <c r="AH131" i="84"/>
  <c r="AH325" i="84"/>
  <c r="AH293" i="84"/>
  <c r="AH387" i="84"/>
  <c r="AH373" i="84"/>
  <c r="AH479" i="84"/>
  <c r="AH342" i="84"/>
  <c r="AH824" i="84"/>
  <c r="AH565" i="84"/>
  <c r="AH609" i="84"/>
  <c r="AH257" i="84"/>
  <c r="AH86" i="84"/>
  <c r="AH703" i="84"/>
  <c r="AH475" i="84"/>
  <c r="AH191" i="84"/>
  <c r="AH959" i="84"/>
  <c r="AH279" i="84"/>
  <c r="AH43" i="84"/>
  <c r="AH535" i="84"/>
  <c r="AH375" i="84"/>
  <c r="BE580" i="84"/>
  <c r="BE443" i="84"/>
  <c r="BE531" i="84"/>
  <c r="BE262" i="84"/>
  <c r="BV45" i="82"/>
  <c r="BE578" i="84"/>
  <c r="AH184" i="84"/>
  <c r="AH433" i="84"/>
  <c r="AH772" i="84"/>
  <c r="AH334" i="84"/>
  <c r="AH399" i="84"/>
  <c r="AH427" i="84"/>
  <c r="AH199" i="84"/>
  <c r="AH704" i="84"/>
  <c r="AH552" i="84"/>
  <c r="AH499" i="84"/>
  <c r="AH398" i="84"/>
  <c r="AH116" i="84"/>
  <c r="AH767" i="84"/>
  <c r="AH639" i="84"/>
  <c r="AH511" i="84"/>
  <c r="AH383" i="84"/>
  <c r="AH255" i="84"/>
  <c r="AH127" i="84"/>
  <c r="AH186" i="84"/>
  <c r="AH923" i="84"/>
  <c r="AH795" i="84"/>
  <c r="AH667" i="84"/>
  <c r="AH539" i="84"/>
  <c r="AH411" i="84"/>
  <c r="AH283" i="84"/>
  <c r="AH155" i="84"/>
  <c r="AH823" i="84"/>
  <c r="AH695" i="84"/>
  <c r="AH567" i="84"/>
  <c r="AH439" i="84"/>
  <c r="AH311" i="84"/>
  <c r="AH183" i="84"/>
  <c r="AH31" i="84"/>
  <c r="AH71" i="84"/>
  <c r="AH576" i="84"/>
  <c r="AH837" i="84"/>
  <c r="AH634" i="84"/>
  <c r="AH557" i="84"/>
  <c r="AH626" i="84"/>
  <c r="AH960" i="84"/>
  <c r="AH933" i="84"/>
  <c r="AH122" i="84"/>
  <c r="AH798" i="84"/>
  <c r="AH482" i="84"/>
  <c r="AH170" i="84"/>
  <c r="AH920" i="84"/>
  <c r="AH792" i="84"/>
  <c r="AH664" i="84"/>
  <c r="AH536" i="84"/>
  <c r="AH408" i="84"/>
  <c r="AH280" i="84"/>
  <c r="AH152" i="84"/>
  <c r="AH24" i="84"/>
  <c r="AH694" i="84"/>
  <c r="AH382" i="84"/>
  <c r="AH899" i="84"/>
  <c r="AH435" i="84"/>
  <c r="AH657" i="84"/>
  <c r="AH529" i="84"/>
  <c r="AH401" i="84"/>
  <c r="AH273" i="84"/>
  <c r="AH145" i="84"/>
  <c r="AH17" i="84"/>
  <c r="AH670" i="84"/>
  <c r="AH354" i="84"/>
  <c r="BT36" i="82"/>
  <c r="AH868" i="84"/>
  <c r="AH740" i="84"/>
  <c r="AH612" i="84"/>
  <c r="AH484" i="84"/>
  <c r="AH356" i="84"/>
  <c r="AH228" i="84"/>
  <c r="AH100" i="84"/>
  <c r="AH878" i="84"/>
  <c r="AH566" i="84"/>
  <c r="AH178" i="84"/>
  <c r="AH739" i="84"/>
  <c r="AH227" i="84"/>
  <c r="AH10" i="84"/>
  <c r="AH879" i="84"/>
  <c r="AH751" i="84"/>
  <c r="AH623" i="84"/>
  <c r="AH495" i="84"/>
  <c r="AH367" i="84"/>
  <c r="AH239" i="84"/>
  <c r="AH111" i="84"/>
  <c r="AH150" i="84"/>
  <c r="AH907" i="84"/>
  <c r="AH779" i="84"/>
  <c r="AH651" i="84"/>
  <c r="AH523" i="84"/>
  <c r="AH395" i="84"/>
  <c r="AH267" i="84"/>
  <c r="AH139" i="84"/>
  <c r="AH807" i="84"/>
  <c r="AH679" i="84"/>
  <c r="AH551" i="84"/>
  <c r="AH423" i="84"/>
  <c r="AH295" i="84"/>
  <c r="AH167" i="84"/>
  <c r="AH15" i="84"/>
  <c r="AH55" i="84"/>
  <c r="AH832" i="84"/>
  <c r="AH901" i="84"/>
  <c r="AH128" i="84"/>
  <c r="AH725" i="84"/>
  <c r="BT14" i="82"/>
  <c r="AH578" i="84"/>
  <c r="BT37" i="82"/>
  <c r="AH429" i="84"/>
  <c r="AH151" i="84"/>
  <c r="AH75" i="84"/>
  <c r="AH39" i="84"/>
  <c r="AH270" i="84"/>
  <c r="AH965" i="84"/>
  <c r="AH384" i="84"/>
  <c r="AH789" i="84"/>
  <c r="AH79" i="84"/>
  <c r="AH109" i="84"/>
  <c r="AH82" i="84"/>
  <c r="AH685" i="84"/>
  <c r="AH37" i="84"/>
  <c r="AH718" i="84"/>
  <c r="AH406" i="84"/>
  <c r="AH70" i="84"/>
  <c r="AH888" i="84"/>
  <c r="AH760" i="84"/>
  <c r="AH632" i="84"/>
  <c r="AH504" i="84"/>
  <c r="AH376" i="84"/>
  <c r="AH248" i="84"/>
  <c r="AH120" i="84"/>
  <c r="AH926" i="84"/>
  <c r="AH614" i="84"/>
  <c r="AH294" i="84"/>
  <c r="AH819" i="84"/>
  <c r="AH307" i="84"/>
  <c r="AH625" i="84"/>
  <c r="AH497" i="84"/>
  <c r="AH369" i="84"/>
  <c r="AH241" i="84"/>
  <c r="AH113" i="84"/>
  <c r="AH902" i="84"/>
  <c r="AH590" i="84"/>
  <c r="AH278" i="84"/>
  <c r="AH964" i="84"/>
  <c r="AH836" i="84"/>
  <c r="AH708" i="84"/>
  <c r="AH580" i="84"/>
  <c r="AH452" i="84"/>
  <c r="AH324" i="84"/>
  <c r="AH196" i="84"/>
  <c r="AH68" i="84"/>
  <c r="AH802" i="84"/>
  <c r="AH486" i="84"/>
  <c r="BT23" i="82"/>
  <c r="AH611" i="84"/>
  <c r="AH99" i="84"/>
  <c r="BT15" i="82"/>
  <c r="AH847" i="84"/>
  <c r="AH719" i="84"/>
  <c r="AH591" i="84"/>
  <c r="AH463" i="84"/>
  <c r="AH335" i="84"/>
  <c r="AH207" i="84"/>
  <c r="AH67" i="84"/>
  <c r="BT43" i="82"/>
  <c r="AH875" i="84"/>
  <c r="AH747" i="84"/>
  <c r="AH619" i="84"/>
  <c r="AH491" i="84"/>
  <c r="AH363" i="84"/>
  <c r="AH235" i="84"/>
  <c r="AH107" i="84"/>
  <c r="AH775" i="84"/>
  <c r="AH647" i="84"/>
  <c r="AH519" i="84"/>
  <c r="AH391" i="84"/>
  <c r="AH263" i="84"/>
  <c r="AH135" i="84"/>
  <c r="AH59" i="84"/>
  <c r="AH23" i="84"/>
  <c r="AH890" i="84"/>
  <c r="AH42" i="84"/>
  <c r="AH640" i="84"/>
  <c r="AH853" i="84"/>
  <c r="BT19" i="82"/>
  <c r="AH365" i="84"/>
  <c r="AH350" i="84"/>
  <c r="AH595" i="84"/>
  <c r="AH322" i="84"/>
  <c r="AH885" i="84"/>
  <c r="AH950" i="84"/>
  <c r="AH638" i="84"/>
  <c r="AH326" i="84"/>
  <c r="BT24" i="82"/>
  <c r="AH856" i="84"/>
  <c r="AH728" i="84"/>
  <c r="AH600" i="84"/>
  <c r="AH472" i="84"/>
  <c r="AH344" i="84"/>
  <c r="AH216" i="84"/>
  <c r="AH88" i="84"/>
  <c r="AH850" i="84"/>
  <c r="AH534" i="84"/>
  <c r="AH130" i="84"/>
  <c r="AH691" i="84"/>
  <c r="AH179" i="84"/>
  <c r="AH593" i="84"/>
  <c r="AH465" i="84"/>
  <c r="AH337" i="84"/>
  <c r="AH209" i="84"/>
  <c r="AH81" i="84"/>
  <c r="AH826" i="84"/>
  <c r="AH510" i="84"/>
  <c r="AH202" i="84"/>
  <c r="AH932" i="84"/>
  <c r="AH804" i="84"/>
  <c r="AH676" i="84"/>
  <c r="AH548" i="84"/>
  <c r="AH420" i="84"/>
  <c r="AH292" i="84"/>
  <c r="AH164" i="84"/>
  <c r="AH36" i="84"/>
  <c r="AH722" i="84"/>
  <c r="AH410" i="84"/>
  <c r="AH919" i="84"/>
  <c r="AH483" i="84"/>
  <c r="AH238" i="84"/>
  <c r="AH943" i="84"/>
  <c r="AH815" i="84"/>
  <c r="AH687" i="84"/>
  <c r="AH559" i="84"/>
  <c r="AH431" i="84"/>
  <c r="AH303" i="84"/>
  <c r="AH175" i="84"/>
  <c r="AH314" i="84"/>
  <c r="BT11" i="82"/>
  <c r="AH843" i="84"/>
  <c r="AH715" i="84"/>
  <c r="AH587" i="84"/>
  <c r="AH459" i="84"/>
  <c r="AH331" i="84"/>
  <c r="AH203" i="84"/>
  <c r="AH63" i="84"/>
  <c r="AH743" i="84"/>
  <c r="AH615" i="84"/>
  <c r="AH487" i="84"/>
  <c r="AH359" i="84"/>
  <c r="AH231" i="84"/>
  <c r="AH103" i="84"/>
  <c r="AH27" i="84"/>
  <c r="AH478" i="84"/>
  <c r="AH493" i="84"/>
  <c r="AH538" i="84"/>
  <c r="AH426" i="84"/>
  <c r="BT21" i="82"/>
  <c r="AH192" i="84"/>
  <c r="AH741" i="84"/>
  <c r="BT26" i="82"/>
  <c r="AH910" i="84"/>
  <c r="AH598" i="84"/>
  <c r="AH286" i="84"/>
  <c r="BT8" i="82"/>
  <c r="AH840" i="84"/>
  <c r="AH712" i="84"/>
  <c r="AH584" i="84"/>
  <c r="AH456" i="84"/>
  <c r="AH328" i="84"/>
  <c r="AH200" i="84"/>
  <c r="AH72" i="84"/>
  <c r="AH810" i="84"/>
  <c r="AH498" i="84"/>
  <c r="BT35" i="82"/>
  <c r="AH627" i="84"/>
  <c r="AH115" i="84"/>
  <c r="AH577" i="84"/>
  <c r="AH449" i="84"/>
  <c r="AH321" i="84"/>
  <c r="AH193" i="84"/>
  <c r="AH65" i="84"/>
  <c r="AH786" i="84"/>
  <c r="AH474" i="84"/>
  <c r="AH162" i="84"/>
  <c r="AH916" i="84"/>
  <c r="AH788" i="84"/>
  <c r="AH660" i="84"/>
  <c r="AH532" i="84"/>
  <c r="AH404" i="84"/>
  <c r="AH276" i="84"/>
  <c r="AH148" i="84"/>
  <c r="AH20" i="84"/>
  <c r="AH682" i="84"/>
  <c r="AH370" i="84"/>
  <c r="AH887" i="84"/>
  <c r="AH419" i="84"/>
  <c r="AH198" i="84"/>
  <c r="AH927" i="84"/>
  <c r="AH799" i="84"/>
  <c r="AH671" i="84"/>
  <c r="AH543" i="84"/>
  <c r="AH415" i="84"/>
  <c r="AH287" i="84"/>
  <c r="AH159" i="84"/>
  <c r="AH266" i="84"/>
  <c r="AH955" i="84"/>
  <c r="AH827" i="84"/>
  <c r="AH699" i="84"/>
  <c r="AH571" i="84"/>
  <c r="AH443" i="84"/>
  <c r="AH315" i="84"/>
  <c r="AH187" i="84"/>
  <c r="AH19" i="84"/>
  <c r="AH727" i="84"/>
  <c r="AH599" i="84"/>
  <c r="AH471" i="84"/>
  <c r="AH343" i="84"/>
  <c r="AH215" i="84"/>
  <c r="AH83" i="84"/>
  <c r="AH11" i="84"/>
  <c r="AH64" i="84"/>
  <c r="AH709" i="84"/>
  <c r="AH898" i="84"/>
  <c r="AH45" i="84"/>
  <c r="AH58" i="84"/>
  <c r="AH448" i="84"/>
  <c r="AH805" i="84"/>
  <c r="BE797" i="84"/>
  <c r="AH821" i="84"/>
  <c r="AH173" i="84"/>
  <c r="AH949" i="84"/>
  <c r="AH26" i="84"/>
  <c r="AH757" i="84"/>
  <c r="AH512" i="84"/>
  <c r="BT22" i="82"/>
  <c r="AH442" i="84"/>
  <c r="AH339" i="84"/>
  <c r="AH256" i="84"/>
  <c r="AH942" i="84"/>
  <c r="BE806" i="84"/>
  <c r="BG710" i="84"/>
  <c r="A53" i="86"/>
  <c r="AH738" i="84"/>
  <c r="A2" i="72"/>
  <c r="BE110" i="84"/>
  <c r="BE582" i="84"/>
  <c r="BE147" i="84"/>
  <c r="BE377" i="84"/>
  <c r="BE418" i="84"/>
  <c r="BE539" i="84"/>
  <c r="BE738" i="84"/>
  <c r="BE713" i="84"/>
  <c r="BE646" i="84"/>
  <c r="BE419" i="84"/>
  <c r="BE612" i="84"/>
  <c r="BE330" i="84"/>
  <c r="BE735" i="84"/>
  <c r="BE767" i="84"/>
  <c r="BE584" i="84"/>
  <c r="BE345" i="84"/>
  <c r="BE391" i="84"/>
  <c r="BV20" i="82"/>
  <c r="BE669" i="84"/>
  <c r="BE845" i="84"/>
  <c r="BE917" i="84"/>
  <c r="BE759" i="84"/>
  <c r="BE885" i="84"/>
  <c r="BE882" i="84"/>
  <c r="BE541" i="84"/>
  <c r="BE293" i="84"/>
  <c r="BE386" i="84"/>
  <c r="BE615" i="84"/>
  <c r="BE937" i="84"/>
  <c r="BE932" i="84"/>
  <c r="BE619" i="84"/>
  <c r="BE506" i="84"/>
  <c r="BE294" i="84"/>
  <c r="BE918" i="84"/>
  <c r="BE420" i="84"/>
  <c r="BE383" i="84"/>
  <c r="BE177" i="84"/>
  <c r="BV42" i="82"/>
  <c r="BE640" i="84"/>
  <c r="BV9" i="82"/>
  <c r="BE572" i="84"/>
  <c r="BE315" i="84"/>
  <c r="BE740" i="84"/>
  <c r="BE508" i="84"/>
  <c r="BE507" i="84"/>
  <c r="BE453" i="84"/>
  <c r="BE474" i="84"/>
  <c r="BE741" i="84"/>
  <c r="BE528" i="84"/>
  <c r="BE382" i="84"/>
  <c r="BE793" i="84"/>
  <c r="BE348" i="84"/>
  <c r="BE19" i="84"/>
  <c r="BE153" i="84"/>
  <c r="BV21" i="82"/>
  <c r="BE307" i="84"/>
  <c r="BE148" i="84"/>
  <c r="BV16" i="82"/>
  <c r="BE554" i="84"/>
  <c r="BE240" i="84"/>
  <c r="BE7" i="84"/>
  <c r="BV13" i="82"/>
  <c r="BE252" i="84"/>
  <c r="BE255" i="84"/>
  <c r="BE66" i="84"/>
  <c r="BE826" i="84"/>
  <c r="BE873" i="84"/>
  <c r="BE485" i="84"/>
  <c r="BE939" i="84"/>
  <c r="BE344" i="84"/>
  <c r="BE369" i="84"/>
  <c r="BE955" i="84"/>
  <c r="BE563" i="84"/>
  <c r="BE450" i="84"/>
  <c r="BE351" i="84"/>
  <c r="BE583" i="84"/>
  <c r="BE415" i="84"/>
  <c r="BE695" i="84"/>
  <c r="BE515" i="84"/>
  <c r="BE428" i="84"/>
  <c r="BE316" i="84"/>
  <c r="BE733" i="84"/>
  <c r="BE172" i="84"/>
  <c r="BE605" i="84"/>
  <c r="BV22" i="82"/>
  <c r="BE894" i="84"/>
  <c r="BE879" i="84"/>
  <c r="BE675" i="84"/>
  <c r="BE608" i="84"/>
  <c r="BE855" i="84"/>
  <c r="BE732" i="84"/>
  <c r="BE381" i="84"/>
  <c r="BE770" i="84"/>
  <c r="BE218" i="84"/>
  <c r="BE183" i="84"/>
  <c r="BE24" i="84"/>
  <c r="BE312" i="84"/>
  <c r="BE273" i="84"/>
  <c r="BE55" i="84"/>
  <c r="BE292" i="84"/>
  <c r="BE888" i="84"/>
  <c r="BE375" i="84"/>
  <c r="BE175" i="84"/>
  <c r="BE264" i="84"/>
  <c r="BE151" i="84"/>
  <c r="BE117" i="84"/>
  <c r="BE111" i="84"/>
  <c r="BE52" i="84"/>
  <c r="BE322" i="84"/>
  <c r="BE538" i="84"/>
  <c r="BE23" i="84"/>
  <c r="BE29" i="84"/>
  <c r="BE126" i="84"/>
  <c r="BE524" i="84"/>
  <c r="BE236" i="84"/>
  <c r="BE491" i="84"/>
  <c r="BE193" i="84"/>
  <c r="BE342" i="84"/>
  <c r="BE812" i="84"/>
  <c r="BE625" i="84"/>
  <c r="BE270" i="84"/>
  <c r="BE944" i="84"/>
  <c r="BE156" i="84"/>
  <c r="BE544" i="84"/>
  <c r="BE549" i="84"/>
  <c r="BE134" i="84"/>
  <c r="BE131" i="84"/>
  <c r="BV7" i="82"/>
  <c r="BE61" i="84"/>
  <c r="BE196" i="84"/>
  <c r="BE334" i="84"/>
  <c r="BE167" i="84"/>
  <c r="BE328" i="84"/>
  <c r="BE80" i="84"/>
  <c r="BE174" i="84"/>
  <c r="BE405" i="84"/>
  <c r="BE514" i="84"/>
  <c r="BE431" i="84"/>
  <c r="BE527" i="84"/>
  <c r="BV39" i="82"/>
  <c r="BE457" i="84"/>
  <c r="BE238" i="84"/>
  <c r="BE468" i="84"/>
  <c r="BE952" i="84"/>
  <c r="BE430" i="84"/>
  <c r="BE703" i="84"/>
  <c r="BE557" i="84"/>
  <c r="BE614" i="84"/>
  <c r="BE551" i="84"/>
  <c r="BG484" i="84"/>
  <c r="D54" i="86"/>
  <c r="D53" i="86"/>
  <c r="W31" i="52"/>
  <c r="U31" i="67" l="1"/>
  <c r="W31" i="67"/>
  <c r="V31" i="67"/>
  <c r="Y31" i="67"/>
  <c r="X31" i="67"/>
  <c r="A31" i="67"/>
  <c r="T31" i="67"/>
  <c r="X4" i="67"/>
  <c r="V31" i="65"/>
  <c r="V31" i="64"/>
  <c r="W31" i="63"/>
  <c r="U31" i="63"/>
  <c r="X31" i="63"/>
  <c r="E32" i="63"/>
  <c r="W31" i="62"/>
  <c r="V31" i="62"/>
  <c r="W31" i="61"/>
  <c r="AA11" i="61"/>
  <c r="AD14" i="61" s="1"/>
  <c r="AD22" i="61" s="1"/>
  <c r="V31" i="60"/>
  <c r="AA11" i="60"/>
  <c r="AC11" i="60" s="1"/>
  <c r="AB19" i="60" s="1"/>
  <c r="W31" i="60"/>
  <c r="E32" i="60"/>
  <c r="W31" i="58"/>
  <c r="AA11" i="58"/>
  <c r="AB14" i="58" s="1"/>
  <c r="AB22" i="58" s="1"/>
  <c r="AA11" i="57"/>
  <c r="AB11" i="57" s="1"/>
  <c r="AA19" i="57" s="1"/>
  <c r="A31" i="57"/>
  <c r="E32" i="57"/>
  <c r="V31" i="56"/>
  <c r="Y31" i="56"/>
  <c r="T31" i="56"/>
  <c r="X4" i="54"/>
  <c r="Y31" i="53"/>
  <c r="V31" i="53"/>
  <c r="X31" i="53"/>
  <c r="W4" i="52"/>
  <c r="T31" i="50"/>
  <c r="W31" i="50"/>
  <c r="U31" i="50"/>
  <c r="Y31" i="49"/>
  <c r="X31" i="49"/>
  <c r="W31" i="48"/>
  <c r="X31" i="48"/>
  <c r="AA11" i="48"/>
  <c r="X4" i="48"/>
  <c r="W31" i="47"/>
  <c r="W4" i="47"/>
  <c r="X4" i="47"/>
  <c r="W31" i="46"/>
  <c r="V31" i="45"/>
  <c r="Y31" i="45"/>
  <c r="U31" i="45"/>
  <c r="U31" i="44"/>
  <c r="E32" i="44"/>
  <c r="V31" i="5"/>
  <c r="Y31" i="5"/>
  <c r="AA11" i="5"/>
  <c r="AC15" i="5" s="1"/>
  <c r="AC23" i="5" s="1"/>
  <c r="T31" i="5"/>
  <c r="U31" i="5"/>
  <c r="W31" i="43"/>
  <c r="X4" i="43"/>
  <c r="BG643" i="84"/>
  <c r="BG153" i="84"/>
  <c r="BG164" i="84"/>
  <c r="BG195" i="84"/>
  <c r="BG674" i="84"/>
  <c r="BG680" i="84"/>
  <c r="BG165" i="84"/>
  <c r="BG441" i="84"/>
  <c r="BG392" i="84"/>
  <c r="BG831" i="84"/>
  <c r="BG925" i="84"/>
  <c r="BG448" i="84"/>
  <c r="BG328" i="84"/>
  <c r="BG276" i="84"/>
  <c r="BG47" i="84"/>
  <c r="T31" i="81"/>
  <c r="Y31" i="81"/>
  <c r="X31" i="81"/>
  <c r="X4" i="79"/>
  <c r="T32" i="79"/>
  <c r="T32" i="78"/>
  <c r="A31" i="77"/>
  <c r="T31" i="77"/>
  <c r="A31" i="76"/>
  <c r="T31" i="75"/>
  <c r="W4" i="74"/>
  <c r="U31" i="73"/>
  <c r="A31" i="73"/>
  <c r="A31" i="72"/>
  <c r="X4" i="72"/>
  <c r="T32" i="71"/>
  <c r="X4" i="69"/>
  <c r="T31" i="68"/>
  <c r="A31" i="68"/>
  <c r="W4" i="67"/>
  <c r="W31" i="66"/>
  <c r="A31" i="61"/>
  <c r="E32" i="59"/>
  <c r="X4" i="58"/>
  <c r="X31" i="56"/>
  <c r="U31" i="56"/>
  <c r="Y31" i="48"/>
  <c r="A31" i="48"/>
  <c r="T31" i="48"/>
  <c r="U31" i="48"/>
  <c r="BE949" i="84"/>
  <c r="BE36" i="84"/>
  <c r="BV43" i="82"/>
  <c r="BE180" i="84"/>
  <c r="BE489" i="84"/>
  <c r="BE228" i="84"/>
  <c r="BE47" i="84"/>
  <c r="BE689" i="84"/>
  <c r="BV46" i="82"/>
  <c r="BE526" i="84"/>
  <c r="BE707" i="84"/>
  <c r="BE103" i="84"/>
  <c r="BE185" i="84"/>
  <c r="BE34" i="84"/>
  <c r="BE305" i="84"/>
  <c r="BE429" i="84"/>
  <c r="BE437" i="84"/>
  <c r="BV40" i="82"/>
  <c r="BE486" i="84"/>
  <c r="BE893" i="84"/>
  <c r="BE127" i="84"/>
  <c r="BE922" i="84"/>
  <c r="BE809" i="84"/>
  <c r="BE965" i="84"/>
  <c r="BE801" i="84"/>
  <c r="BE696" i="84"/>
  <c r="A2" i="70"/>
  <c r="A2" i="73"/>
  <c r="BE295" i="84"/>
  <c r="BE37" i="84"/>
  <c r="BE125" i="84"/>
  <c r="BE94" i="84"/>
  <c r="BE446" i="84"/>
  <c r="BE205" i="84"/>
  <c r="BE892" i="84"/>
  <c r="BE376" i="84"/>
  <c r="BE135" i="84"/>
  <c r="BE223" i="84"/>
  <c r="BE343" i="84"/>
  <c r="BE643" i="84"/>
  <c r="BE592" i="84"/>
  <c r="BE951" i="84"/>
  <c r="BE17" i="84"/>
  <c r="BE532" i="84"/>
  <c r="BE593" i="84"/>
  <c r="BE942" i="84"/>
  <c r="BE911" i="84"/>
  <c r="BE941" i="84"/>
  <c r="BE962" i="84"/>
  <c r="BE333" i="84"/>
  <c r="BE337" i="84"/>
  <c r="BE290" i="84"/>
  <c r="BE162" i="84"/>
  <c r="BE737" i="84"/>
  <c r="BE815" i="84"/>
  <c r="BE232" i="84"/>
  <c r="BE130" i="84"/>
  <c r="BE742" i="84"/>
  <c r="BE545" i="84"/>
  <c r="BE701" i="84"/>
  <c r="BE953" i="84"/>
  <c r="BE448" i="84"/>
  <c r="BE529" i="84"/>
  <c r="BE408" i="84"/>
  <c r="BE603" i="84"/>
  <c r="BE686" i="84"/>
  <c r="BE776" i="84"/>
  <c r="BE745" i="84"/>
  <c r="BE394" i="84"/>
  <c r="BE501" i="84"/>
  <c r="BE671" i="84"/>
  <c r="BE803" i="84"/>
  <c r="BE525" i="84"/>
  <c r="BE702" i="84"/>
  <c r="BE433" i="84"/>
  <c r="BE178" i="84"/>
  <c r="BE676" i="84"/>
  <c r="BE903" i="84"/>
  <c r="BE823" i="84"/>
  <c r="BE286" i="84"/>
  <c r="BE556" i="84"/>
  <c r="BE945" i="84"/>
  <c r="BE886" i="84"/>
  <c r="BV10" i="82"/>
  <c r="BE610" i="84"/>
  <c r="BE204" i="84"/>
  <c r="BE259" i="84"/>
  <c r="BV28" i="82"/>
  <c r="BE493" i="84"/>
  <c r="BE191" i="84"/>
  <c r="BE93" i="84"/>
  <c r="BE31" i="84"/>
  <c r="BE553" i="84"/>
  <c r="BE399" i="84"/>
  <c r="BE188" i="84"/>
  <c r="BE361" i="84"/>
  <c r="BE729" i="84"/>
  <c r="BE591" i="84"/>
  <c r="BE199" i="84"/>
  <c r="BE237" i="84"/>
  <c r="BE26" i="84"/>
  <c r="BE192" i="84"/>
  <c r="BE350" i="84"/>
  <c r="BE347" i="84"/>
  <c r="BE768" i="84"/>
  <c r="BE861" i="84"/>
  <c r="BE913" i="84"/>
  <c r="BE840" i="84"/>
  <c r="BE194" i="84"/>
  <c r="BE402" i="84"/>
  <c r="A2" i="79"/>
  <c r="A2" i="71"/>
  <c r="BE136" i="84"/>
  <c r="BE50" i="84"/>
  <c r="BE40" i="84"/>
  <c r="BE132" i="84"/>
  <c r="BE469" i="84"/>
  <c r="BE456" i="84"/>
  <c r="BE576" i="84"/>
  <c r="BE154" i="84"/>
  <c r="BE323" i="84"/>
  <c r="BE202" i="84"/>
  <c r="BE398" i="84"/>
  <c r="BE805" i="84"/>
  <c r="BE850" i="84"/>
  <c r="BE711" i="84"/>
  <c r="BE849" i="84"/>
  <c r="BE338" i="84"/>
  <c r="BE245" i="84"/>
  <c r="BE783" i="84"/>
  <c r="BE543" i="84"/>
  <c r="BE884" i="84"/>
  <c r="BE870" i="84"/>
  <c r="BE161" i="84"/>
  <c r="BE390" i="84"/>
  <c r="BE220" i="84"/>
  <c r="BE685" i="84"/>
  <c r="BE956" i="84"/>
  <c r="BE748" i="84"/>
  <c r="BE43" i="84"/>
  <c r="BE82" i="84"/>
  <c r="BE904" i="84"/>
  <c r="BE372" i="84"/>
  <c r="BE848" i="84"/>
  <c r="BE503" i="84"/>
  <c r="BE831" i="84"/>
  <c r="BE181" i="84"/>
  <c r="BE242" i="84"/>
  <c r="BE833" i="84"/>
  <c r="BE836" i="84"/>
  <c r="BE604" i="84"/>
  <c r="BE964" i="84"/>
  <c r="BE289" i="84"/>
  <c r="BE574" i="84"/>
  <c r="BE821" i="84"/>
  <c r="BV35" i="82"/>
  <c r="BE743" i="84"/>
  <c r="BE802" i="84"/>
  <c r="BE411" i="84"/>
  <c r="BE76" i="84"/>
  <c r="BE824" i="84"/>
  <c r="BE630" i="84"/>
  <c r="BE611" i="84"/>
  <c r="BE571" i="84"/>
  <c r="BE59" i="84"/>
  <c r="BE651" i="84"/>
  <c r="BE714" i="84"/>
  <c r="BE754" i="84"/>
  <c r="BE115" i="84"/>
  <c r="BE150" i="84"/>
  <c r="BE41" i="84"/>
  <c r="BE244" i="84"/>
  <c r="BE510" i="84"/>
  <c r="BE121" i="84"/>
  <c r="BE215" i="84"/>
  <c r="BE198" i="84"/>
  <c r="BE102" i="84"/>
  <c r="BE360" i="84"/>
  <c r="BE946" i="84"/>
  <c r="BE731" i="84"/>
  <c r="BE327" i="84"/>
  <c r="BE570" i="84"/>
  <c r="BE84" i="84"/>
  <c r="BE460" i="84"/>
  <c r="BE478" i="84"/>
  <c r="BE48" i="84"/>
  <c r="BE392" i="84"/>
  <c r="BV38" i="82"/>
  <c r="BE958" i="84"/>
  <c r="BE388" i="84"/>
  <c r="BE653" i="84"/>
  <c r="BE764" i="84"/>
  <c r="BE352" i="84"/>
  <c r="BE658" i="84"/>
  <c r="A2" i="68"/>
  <c r="A2" i="80"/>
  <c r="BE163" i="84"/>
  <c r="BE120" i="84"/>
  <c r="BE138" i="84"/>
  <c r="BE83" i="84"/>
  <c r="BE566" i="84"/>
  <c r="BE774" i="84"/>
  <c r="BE203" i="84"/>
  <c r="BE639" i="84"/>
  <c r="BE358" i="84"/>
  <c r="BE436" i="84"/>
  <c r="BE804" i="84"/>
  <c r="BE329" i="84"/>
  <c r="BE331" i="84"/>
  <c r="BE12" i="84"/>
  <c r="BE276" i="84"/>
  <c r="BE11" i="84"/>
  <c r="BE140" i="84"/>
  <c r="BE632" i="84"/>
  <c r="BE364" i="84"/>
  <c r="BE719" i="84"/>
  <c r="BE756" i="84"/>
  <c r="BE230" i="84"/>
  <c r="BE285" i="84"/>
  <c r="BE777" i="84"/>
  <c r="BE771" i="84"/>
  <c r="BE789" i="84"/>
  <c r="BE907" i="84"/>
  <c r="BE274" i="84"/>
  <c r="BE766" i="84"/>
  <c r="BE838" i="84"/>
  <c r="BE365" i="84"/>
  <c r="BE598" i="84"/>
  <c r="BE155" i="84"/>
  <c r="BE384" i="84"/>
  <c r="BE108" i="84"/>
  <c r="BE118" i="84"/>
  <c r="BE769" i="84"/>
  <c r="BE596" i="84"/>
  <c r="BE516" i="84"/>
  <c r="BE773" i="84"/>
  <c r="BE435" i="84"/>
  <c r="BE346" i="84"/>
  <c r="BE573" i="84"/>
  <c r="BE679" i="84"/>
  <c r="BE687" i="84"/>
  <c r="BE564" i="84"/>
  <c r="BE208" i="84"/>
  <c r="BE481" i="84"/>
  <c r="BE511" i="84"/>
  <c r="BE634" i="84"/>
  <c r="BE649" i="84"/>
  <c r="BE940" i="84"/>
  <c r="BE631" i="84"/>
  <c r="BE461" i="84"/>
  <c r="BE558" i="84"/>
  <c r="BE726" i="84"/>
  <c r="BE86" i="84"/>
  <c r="BE853" i="84"/>
  <c r="BE301" i="84"/>
  <c r="BE133" i="84"/>
  <c r="BE324" i="84"/>
  <c r="BV29" i="82"/>
  <c r="BE106" i="84"/>
  <c r="BE752" i="84"/>
  <c r="BE427" i="84"/>
  <c r="BE95" i="84"/>
  <c r="BE867" i="84"/>
  <c r="BE158" i="84"/>
  <c r="BE500" i="84"/>
  <c r="BE54" i="84"/>
  <c r="BE367" i="84"/>
  <c r="BE332" i="84"/>
  <c r="BE227" i="84"/>
  <c r="BE537" i="84"/>
  <c r="BE114" i="84"/>
  <c r="BE798" i="84"/>
  <c r="BE182" i="84"/>
  <c r="BE869" i="84"/>
  <c r="BE700" i="84"/>
  <c r="BE753" i="84"/>
  <c r="BV25" i="82"/>
  <c r="BE363" i="84"/>
  <c r="A2" i="66"/>
  <c r="A2" i="64"/>
  <c r="BE319" i="84"/>
  <c r="BE71" i="84"/>
  <c r="BE176" i="84"/>
  <c r="BE247" i="84"/>
  <c r="BE699" i="84"/>
  <c r="BE623" i="84"/>
  <c r="BE694" i="84"/>
  <c r="BE67" i="84"/>
  <c r="BE710" i="84"/>
  <c r="BE58" i="84"/>
  <c r="BE467" i="84"/>
  <c r="BE444" i="84"/>
  <c r="BE229" i="84"/>
  <c r="BE492" i="84"/>
  <c r="BE858" i="84"/>
  <c r="BE465" i="84"/>
  <c r="BE416" i="84"/>
  <c r="BE400" i="84"/>
  <c r="BE197" i="84"/>
  <c r="BE683" i="84"/>
  <c r="BE672" i="84"/>
  <c r="BE943" i="84"/>
  <c r="BE403" i="84"/>
  <c r="BE370" i="84"/>
  <c r="BE859" i="84"/>
  <c r="BE799" i="84"/>
  <c r="BE749" i="84"/>
  <c r="BE482" i="84"/>
  <c r="BE871" i="84"/>
  <c r="BE655" i="84"/>
  <c r="BE414" i="84"/>
  <c r="BE618" i="84"/>
  <c r="BE660" i="84"/>
  <c r="BE832" i="84"/>
  <c r="BE480" i="84"/>
  <c r="BE589" i="84"/>
  <c r="BE504" i="84"/>
  <c r="BE421" i="84"/>
  <c r="BE842" i="84"/>
  <c r="BE765" i="84"/>
  <c r="BE864" i="84"/>
  <c r="BE241" i="84"/>
  <c r="BE757" i="84"/>
  <c r="BE781" i="84"/>
  <c r="BE896" i="84"/>
  <c r="BE734" i="84"/>
  <c r="BE165" i="84"/>
  <c r="BE664" i="84"/>
  <c r="BE934" i="84"/>
  <c r="BE670" i="84"/>
  <c r="BE476" i="84"/>
  <c r="BE666" i="84"/>
  <c r="BE441" i="84"/>
  <c r="BE299" i="84"/>
  <c r="BE272" i="84"/>
  <c r="BE10" i="84"/>
  <c r="BE609" i="84"/>
  <c r="BE159" i="84"/>
  <c r="BE42" i="84"/>
  <c r="BE594" i="84"/>
  <c r="BE77" i="84"/>
  <c r="BE100" i="84"/>
  <c r="BE471" i="84"/>
  <c r="BE137" i="84"/>
  <c r="BE271" i="84"/>
  <c r="BE169" i="84"/>
  <c r="BE533" i="84"/>
  <c r="BV11" i="82"/>
  <c r="BE406" i="84"/>
  <c r="BE105" i="84"/>
  <c r="BE579" i="84"/>
  <c r="BE522" i="84"/>
  <c r="BE112" i="84"/>
  <c r="BE898" i="84"/>
  <c r="BE254" i="84"/>
  <c r="BE585" i="84"/>
  <c r="BV31" i="82"/>
  <c r="BE479" i="84"/>
  <c r="BE187" i="84"/>
  <c r="BE33" i="84"/>
  <c r="BE535" i="84"/>
  <c r="A2" i="65"/>
  <c r="A2" i="81"/>
  <c r="BE248" i="84"/>
  <c r="BE239" i="84"/>
  <c r="BE487" i="84"/>
  <c r="BE278" i="84"/>
  <c r="BE800" i="84"/>
  <c r="BE914" i="84"/>
  <c r="BE872" i="84"/>
  <c r="BE14" i="84"/>
  <c r="BV37" i="82"/>
  <c r="BE109" i="84"/>
  <c r="BE447" i="84"/>
  <c r="BE923" i="84"/>
  <c r="BE727" i="84"/>
  <c r="BE921" i="84"/>
  <c r="BE674" i="84"/>
  <c r="BE647" i="84"/>
  <c r="BE828" i="84"/>
  <c r="BE113" i="84"/>
  <c r="BE27" i="84"/>
  <c r="BE595" i="84"/>
  <c r="BE577" i="84"/>
  <c r="BE761" i="84"/>
  <c r="BE900" i="84"/>
  <c r="BE449" i="84"/>
  <c r="BE633" i="84"/>
  <c r="BE534" i="84"/>
  <c r="BE878" i="84"/>
  <c r="BE782" i="84"/>
  <c r="BE924" i="84"/>
  <c r="BE961" i="84"/>
  <c r="BE313" i="84"/>
  <c r="BE654" i="84"/>
  <c r="BE796" i="84"/>
  <c r="BE171" i="84"/>
  <c r="BE744" i="84"/>
  <c r="BE919" i="84"/>
  <c r="BE497" i="84"/>
  <c r="BE258" i="84"/>
  <c r="BE880" i="84"/>
  <c r="BE560" i="84"/>
  <c r="BE947" i="84"/>
  <c r="BE310" i="84"/>
  <c r="BE226" i="84"/>
  <c r="BE720" i="84"/>
  <c r="BE691" i="84"/>
  <c r="BE688" i="84"/>
  <c r="BE936" i="84"/>
  <c r="BE963" i="84"/>
  <c r="BE736" i="84"/>
  <c r="BE374" i="84"/>
  <c r="BE473" i="84"/>
  <c r="BE325" i="84"/>
  <c r="BE916" i="84"/>
  <c r="BE97" i="84"/>
  <c r="BE160" i="84"/>
  <c r="BE488" i="84"/>
  <c r="BE792" i="84"/>
  <c r="BE335" i="84"/>
  <c r="BE116" i="84"/>
  <c r="BV33" i="82"/>
  <c r="BE279" i="84"/>
  <c r="BE87" i="84"/>
  <c r="BE146" i="84"/>
  <c r="BE359" i="84"/>
  <c r="BE298" i="84"/>
  <c r="BE505" i="84"/>
  <c r="BE302" i="84"/>
  <c r="BE693" i="84"/>
  <c r="BE206" i="84"/>
  <c r="BE601" i="84"/>
  <c r="BV14" i="82"/>
  <c r="BE222" i="84"/>
  <c r="BE378" i="84"/>
  <c r="BE638" i="84"/>
  <c r="BE74" i="84"/>
  <c r="BE326" i="84"/>
  <c r="BE692" i="84"/>
  <c r="BE816" i="84"/>
  <c r="BE613" i="84"/>
  <c r="BE739" i="84"/>
  <c r="BE357" i="84"/>
  <c r="BE926" i="84"/>
  <c r="BE261" i="84"/>
  <c r="A2" i="74"/>
  <c r="A2" i="75"/>
  <c r="A2" i="78"/>
  <c r="BE32" i="84"/>
  <c r="BE581" i="84"/>
  <c r="BE723" i="84"/>
  <c r="BE282" i="84"/>
  <c r="BE445" i="84"/>
  <c r="BE841" i="84"/>
  <c r="BV34" i="82"/>
  <c r="BV32" i="82"/>
  <c r="BE104" i="84"/>
  <c r="BE70" i="84"/>
  <c r="BE356" i="84"/>
  <c r="BE629" i="84"/>
  <c r="BE656" i="84"/>
  <c r="BE857" i="84"/>
  <c r="BE659" i="84"/>
  <c r="BE866" i="84"/>
  <c r="BE790" i="84"/>
  <c r="BE210" i="84"/>
  <c r="BE637" i="84"/>
  <c r="BE839" i="84"/>
  <c r="BE393" i="84"/>
  <c r="BE513" i="84"/>
  <c r="BE62" i="84"/>
  <c r="BE65" i="84"/>
  <c r="BE379" i="84"/>
  <c r="BE44" i="84"/>
  <c r="BE568" i="84"/>
  <c r="BE509" i="84"/>
  <c r="BE843" i="84"/>
  <c r="BE704" i="84"/>
  <c r="BE920" i="84"/>
  <c r="BE265" i="84"/>
  <c r="BE755" i="84"/>
  <c r="BE966" i="84"/>
  <c r="BE912" i="84"/>
  <c r="BE856" i="84"/>
  <c r="BE107" i="84"/>
  <c r="BE401" i="84"/>
  <c r="BE624" i="84"/>
  <c r="BE340" i="84"/>
  <c r="BE681" i="84"/>
  <c r="BE520" i="84"/>
  <c r="BE607" i="84"/>
  <c r="BE306" i="84"/>
  <c r="BE455" i="84"/>
  <c r="BE705" i="84"/>
  <c r="BE512" i="84"/>
  <c r="BE628" i="84"/>
  <c r="BE830" i="84"/>
  <c r="BE339" i="84"/>
  <c r="BE706" i="84"/>
  <c r="BE620" i="84"/>
  <c r="BE296" i="84"/>
  <c r="BE895" i="84"/>
  <c r="BE463" i="84"/>
  <c r="BE69" i="84"/>
  <c r="BE243" i="84"/>
  <c r="BE404" i="84"/>
  <c r="BE645" i="84"/>
  <c r="BE758" i="84"/>
  <c r="A2" i="69"/>
  <c r="BE45" i="84"/>
  <c r="BE72" i="84"/>
  <c r="BE617" i="84"/>
  <c r="BE846" i="84"/>
  <c r="BE728" i="84"/>
  <c r="BE677" i="84"/>
  <c r="BE336" i="84"/>
  <c r="BE822" i="84"/>
  <c r="BE820" i="84"/>
  <c r="BE837" i="84"/>
  <c r="BE567" i="84"/>
  <c r="BE341" i="84"/>
  <c r="BE221" i="84"/>
  <c r="BE910" i="84"/>
  <c r="BE92" i="84"/>
  <c r="BE90" i="84"/>
  <c r="BE810" i="84"/>
  <c r="BE484" i="84"/>
  <c r="BE795" i="84"/>
  <c r="BE498" i="84"/>
  <c r="BE697" i="84"/>
  <c r="BE518" i="84"/>
  <c r="BE825" i="84"/>
  <c r="BE698" i="84"/>
  <c r="BE311" i="84"/>
  <c r="BE650" i="84"/>
  <c r="BV17" i="82"/>
  <c r="BV12" i="82"/>
  <c r="BE422" i="84"/>
  <c r="BE808" i="84"/>
  <c r="BE397" i="84"/>
  <c r="BE622" i="84"/>
  <c r="BE663" i="84"/>
  <c r="BE540" i="84"/>
  <c r="BE875" i="84"/>
  <c r="BE466" i="84"/>
  <c r="BE495" i="84"/>
  <c r="BE561" i="84"/>
  <c r="BE297" i="84"/>
  <c r="BE948" i="84"/>
  <c r="BE280" i="84"/>
  <c r="BE260" i="84"/>
  <c r="BE96" i="84"/>
  <c r="BE124" i="84"/>
  <c r="BE320" i="84"/>
  <c r="BE68" i="84"/>
  <c r="BE440" i="84"/>
  <c r="BE559" i="84"/>
  <c r="BE851" i="84"/>
  <c r="BE142" i="84"/>
  <c r="BE889" i="84"/>
  <c r="BE284" i="84"/>
  <c r="BE85" i="84"/>
  <c r="BV26" i="82"/>
  <c r="BE362" i="84"/>
  <c r="BE314" i="84"/>
  <c r="BE852" i="84"/>
  <c r="BE442" i="84"/>
  <c r="BE164" i="84"/>
  <c r="BE722" i="84"/>
  <c r="BE751" i="84"/>
  <c r="BE173" i="84"/>
  <c r="BE22" i="84"/>
  <c r="A2" i="67"/>
  <c r="BE641" i="84"/>
  <c r="BE101" i="84"/>
  <c r="BE458" i="84"/>
  <c r="BE860" i="84"/>
  <c r="BE905" i="84"/>
  <c r="BE925" i="84"/>
  <c r="BE684" i="84"/>
  <c r="BE366" i="84"/>
  <c r="BE813" i="84"/>
  <c r="BE517" i="84"/>
  <c r="BE472" i="84"/>
  <c r="BE575" i="84"/>
  <c r="BE931" i="84"/>
  <c r="BE547" i="84"/>
  <c r="BE251" i="84"/>
  <c r="BE432" i="84"/>
  <c r="BE717" i="84"/>
  <c r="BE477" i="84"/>
  <c r="BE597" i="84"/>
  <c r="BE552" i="84"/>
  <c r="BE417" i="84"/>
  <c r="BE788" i="84"/>
  <c r="BE565" i="84"/>
  <c r="BE779" i="84"/>
  <c r="BE288" i="84"/>
  <c r="BE371" i="84"/>
  <c r="BE794" i="84"/>
  <c r="BE141" i="84"/>
  <c r="BE78" i="84"/>
  <c r="BE562" i="84"/>
  <c r="BE819" i="84"/>
  <c r="BE960" i="84"/>
  <c r="BE49" i="84"/>
  <c r="BE129" i="84"/>
  <c r="BE587" i="84"/>
  <c r="BE81" i="84"/>
  <c r="BE865" i="84"/>
  <c r="BE380" i="84"/>
  <c r="BE423" i="84"/>
  <c r="BE662" i="84"/>
  <c r="BE21" i="84"/>
  <c r="BE16" i="84"/>
  <c r="BE636" i="84"/>
  <c r="BE785" i="84"/>
  <c r="BE890" i="84"/>
  <c r="BV15" i="82"/>
  <c r="BE673" i="84"/>
  <c r="BE652" i="84"/>
  <c r="BE876" i="84"/>
  <c r="BE56" i="84"/>
  <c r="BE665" i="84"/>
  <c r="BE395" i="84"/>
  <c r="BE300" i="84"/>
  <c r="BE88" i="84"/>
  <c r="BE409" i="84"/>
  <c r="BE425" i="84"/>
  <c r="BE267" i="84"/>
  <c r="BE8" i="84"/>
  <c r="BE470" i="84"/>
  <c r="BE291" i="84"/>
  <c r="BE725" i="84"/>
  <c r="BE46" i="84"/>
  <c r="BE57" i="84"/>
  <c r="BE412" i="84"/>
  <c r="BE209" i="84"/>
  <c r="BE89" i="84"/>
  <c r="BE791" i="84"/>
  <c r="BE814" i="84"/>
  <c r="BE233" i="84"/>
  <c r="BE266" i="84"/>
  <c r="BE30" i="84"/>
  <c r="BE600" i="84"/>
  <c r="BE762" i="84"/>
  <c r="BE396" i="84"/>
  <c r="BE309" i="84"/>
  <c r="BE772" i="84"/>
  <c r="BE385" i="84"/>
  <c r="BE38" i="84"/>
  <c r="BE667" i="84"/>
  <c r="BE586" i="84"/>
  <c r="BE928" i="84"/>
  <c r="BE682" i="84"/>
  <c r="BE908" i="84"/>
  <c r="BE881" i="84"/>
  <c r="BE817" i="84"/>
  <c r="BE883" i="84"/>
  <c r="BE811" i="84"/>
  <c r="BE413" i="84"/>
  <c r="BE930" i="84"/>
  <c r="BE818" i="84"/>
  <c r="BE708" i="84"/>
  <c r="BE499" i="84"/>
  <c r="BE281" i="84"/>
  <c r="BE152" i="84"/>
  <c r="BE256" i="84"/>
  <c r="BE318" i="84"/>
  <c r="BE373" i="84"/>
  <c r="BE224" i="84"/>
  <c r="BE877" i="84"/>
  <c r="BE787" i="84"/>
  <c r="BE648" i="84"/>
  <c r="BE657" i="84"/>
  <c r="BE219" i="84"/>
  <c r="BE909" i="84"/>
  <c r="BE938" i="84"/>
  <c r="BE389" i="84"/>
  <c r="BE426" i="84"/>
  <c r="BE63" i="84"/>
  <c r="BE407" i="84"/>
  <c r="BE550" i="84"/>
  <c r="BE13" i="84"/>
  <c r="BE73" i="84"/>
  <c r="BE523" i="84"/>
  <c r="BE99" i="84"/>
  <c r="BE166" i="84"/>
  <c r="BE954" i="84"/>
  <c r="BE519" i="84"/>
  <c r="BE626" i="84"/>
  <c r="BE690" i="84"/>
  <c r="BE304" i="84"/>
  <c r="BV27" i="82"/>
  <c r="BE119" i="84"/>
  <c r="BE207" i="84"/>
  <c r="BE718" i="84"/>
  <c r="BE933" i="84"/>
  <c r="BE60" i="84"/>
  <c r="BE214" i="84"/>
  <c r="BE588" i="84"/>
  <c r="BV36" i="82"/>
  <c r="A2" i="76"/>
  <c r="BE269" i="84"/>
  <c r="BE827" i="84"/>
  <c r="BE18" i="84"/>
  <c r="BE250" i="84"/>
  <c r="BE231" i="84"/>
  <c r="BE200" i="84"/>
  <c r="BE555" i="84"/>
  <c r="BE490" i="84"/>
  <c r="BE950" i="84"/>
  <c r="BE317" i="84"/>
  <c r="BE887" i="84"/>
  <c r="BE35" i="84"/>
  <c r="BE863" i="84"/>
  <c r="BE775" i="84"/>
  <c r="BE438" i="84"/>
  <c r="BE368" i="84"/>
  <c r="BE778" i="84"/>
  <c r="BE213" i="84"/>
  <c r="BE355" i="84"/>
  <c r="BE502" i="84"/>
  <c r="BE145" i="84"/>
  <c r="BE709" i="84"/>
  <c r="BE786" i="84"/>
  <c r="BE899" i="84"/>
  <c r="BE780" i="84"/>
  <c r="BE747" i="84"/>
  <c r="BE929" i="84"/>
  <c r="BE225" i="84"/>
  <c r="BE454" i="84"/>
  <c r="BE760" i="84"/>
  <c r="BE464" i="84"/>
  <c r="BE868" i="84"/>
  <c r="BE862" i="84"/>
  <c r="BE387" i="84"/>
  <c r="BV24" i="82"/>
  <c r="BE15" i="84"/>
  <c r="BE303" i="84"/>
  <c r="BV23" i="82"/>
  <c r="BV8" i="82"/>
  <c r="BE616" i="84"/>
  <c r="BE834" i="84"/>
  <c r="BE901" i="84"/>
  <c r="BE123" i="84"/>
  <c r="BE283" i="84"/>
  <c r="BE957" i="84"/>
  <c r="BE902" i="84"/>
  <c r="BE201" i="84"/>
  <c r="BE321" i="84"/>
  <c r="BE308" i="84"/>
  <c r="BE179" i="84"/>
  <c r="BE253" i="84"/>
  <c r="BE724" i="84"/>
  <c r="BE847" i="84"/>
  <c r="BE459" i="84"/>
  <c r="BE189" i="84"/>
  <c r="BE349" i="84"/>
  <c r="BE410" i="84"/>
  <c r="BE452" i="84"/>
  <c r="BE211" i="84"/>
  <c r="BE606" i="84"/>
  <c r="BE9" i="84"/>
  <c r="BE195" i="84"/>
  <c r="BE287" i="84"/>
  <c r="BE186" i="84"/>
  <c r="BE807" i="84"/>
  <c r="BE716" i="84"/>
  <c r="BE268" i="84"/>
  <c r="BE642" i="84"/>
  <c r="BE763" i="84"/>
  <c r="BE530" i="84"/>
  <c r="BE627" i="84"/>
  <c r="BE234" i="84"/>
  <c r="BE168" i="84"/>
  <c r="BV44" i="82"/>
  <c r="BE91" i="84"/>
  <c r="BV19" i="82"/>
  <c r="BE548" i="84"/>
  <c r="BE483" i="84"/>
  <c r="BE829" i="84"/>
  <c r="BE680" i="84"/>
  <c r="BE212" i="84"/>
  <c r="BE897" i="84"/>
  <c r="BE959" i="84"/>
  <c r="BE536" i="84"/>
  <c r="BE599" i="84"/>
  <c r="BE569" i="84"/>
  <c r="BE635" i="84"/>
  <c r="BE157" i="84"/>
  <c r="BE64" i="84"/>
  <c r="BE170" i="84"/>
  <c r="BE39" i="84"/>
  <c r="BE143" i="84"/>
  <c r="BE354" i="84"/>
  <c r="A2" i="77"/>
  <c r="BE462" i="84"/>
  <c r="BE53" i="84"/>
  <c r="BE542" i="84"/>
  <c r="BE496" i="84"/>
  <c r="BV41" i="82"/>
  <c r="BE721" i="84"/>
  <c r="BE712" i="84"/>
  <c r="BE546" i="84"/>
  <c r="BE750" i="84"/>
  <c r="BE844" i="84"/>
  <c r="BE621" i="84"/>
  <c r="BE715" i="84"/>
  <c r="BE494" i="84"/>
  <c r="BE746" i="84"/>
  <c r="BE122" i="84"/>
  <c r="BE235" i="84"/>
  <c r="BE874" i="84"/>
  <c r="BE661" i="84"/>
  <c r="BE935" i="84"/>
  <c r="BE246" i="84"/>
  <c r="BE915" i="84"/>
  <c r="BE277" i="84"/>
  <c r="BE249" i="84"/>
  <c r="BE678" i="84"/>
  <c r="BE451" i="84"/>
  <c r="BE854" i="84"/>
  <c r="BE149" i="84"/>
  <c r="BE144" i="84"/>
  <c r="BE98" i="84"/>
  <c r="BE602" i="84"/>
  <c r="BV30" i="82"/>
  <c r="BE835" i="84"/>
  <c r="BE927" i="84"/>
  <c r="BE730" i="84"/>
  <c r="BE139" i="84"/>
  <c r="BE906" i="84"/>
  <c r="BE424" i="84"/>
  <c r="BE644" i="84"/>
  <c r="BE521" i="84"/>
  <c r="BE25" i="84"/>
  <c r="BE20" i="84"/>
  <c r="BE51" i="84"/>
  <c r="BE190" i="84"/>
  <c r="BE434" i="84"/>
  <c r="BE184" i="84"/>
  <c r="BE216" i="84"/>
  <c r="BE353" i="84"/>
  <c r="BE590" i="84"/>
  <c r="BE75" i="84"/>
  <c r="BE275" i="84"/>
  <c r="BE263" i="84"/>
  <c r="BE439" i="84"/>
  <c r="BV18" i="82"/>
  <c r="BE475" i="84"/>
  <c r="BE217" i="84"/>
  <c r="BE668" i="84"/>
  <c r="BE28" i="84"/>
  <c r="BE128" i="84"/>
  <c r="BE79" i="84"/>
  <c r="BE257" i="84"/>
  <c r="BE891" i="84"/>
  <c r="BE784" i="84"/>
  <c r="BF97" i="84"/>
  <c r="BF618" i="84"/>
  <c r="BF353" i="84"/>
  <c r="BF544" i="84"/>
  <c r="BF779" i="84"/>
  <c r="BF464" i="84"/>
  <c r="BF869" i="84"/>
  <c r="BF758" i="84"/>
  <c r="BF499" i="84"/>
  <c r="BF602" i="84"/>
  <c r="BF235" i="84"/>
  <c r="BF619" i="84"/>
  <c r="BF438" i="84"/>
  <c r="BF842" i="84"/>
  <c r="BF691" i="84"/>
  <c r="BF135" i="84"/>
  <c r="BF59" i="84"/>
  <c r="BF253" i="84"/>
  <c r="BF920" i="84"/>
  <c r="BF56" i="84"/>
  <c r="BF406" i="84"/>
  <c r="BF256" i="84"/>
  <c r="BF606" i="84"/>
  <c r="BF308" i="84"/>
  <c r="BF790" i="84"/>
  <c r="BF314" i="84"/>
  <c r="BF787" i="84"/>
  <c r="BF52" i="84"/>
  <c r="BF411" i="84"/>
  <c r="BF560" i="84"/>
  <c r="BF418" i="84"/>
  <c r="BF752" i="84"/>
  <c r="BF682" i="84"/>
  <c r="BF349" i="84"/>
  <c r="BW32" i="82"/>
  <c r="BF448" i="84"/>
  <c r="BF512" i="84"/>
  <c r="BF556" i="84"/>
  <c r="BF690" i="84"/>
  <c r="BF37" i="84"/>
  <c r="BF166" i="84"/>
  <c r="BF861" i="84"/>
  <c r="BF687" i="84"/>
  <c r="BF944" i="84"/>
  <c r="BF435" i="84"/>
  <c r="BF276" i="84"/>
  <c r="BW12" i="82"/>
  <c r="BF666" i="84"/>
  <c r="BF919" i="84"/>
  <c r="BF28" i="84"/>
  <c r="BF18" i="84"/>
  <c r="BF142" i="84"/>
  <c r="BF868" i="84"/>
  <c r="BF42" i="84"/>
  <c r="BF962" i="84"/>
  <c r="BF358" i="84"/>
  <c r="BF899" i="84"/>
  <c r="BF43" i="84"/>
  <c r="BF719" i="84"/>
  <c r="BF423" i="84"/>
  <c r="BF385" i="84"/>
  <c r="BF819" i="84"/>
  <c r="BF652" i="84"/>
  <c r="BF178" i="84"/>
  <c r="BF311" i="84"/>
  <c r="BF480" i="84"/>
  <c r="BF740" i="84"/>
  <c r="BF599" i="84"/>
  <c r="BF543" i="84"/>
  <c r="BF759" i="84"/>
  <c r="BF929" i="84"/>
  <c r="BF416" i="84"/>
  <c r="BF785" i="84"/>
  <c r="BF456" i="84"/>
  <c r="BW7" i="82"/>
  <c r="BF171" i="84"/>
  <c r="BF883" i="84"/>
  <c r="BF395" i="84"/>
  <c r="BF487" i="84"/>
  <c r="BF449" i="84"/>
  <c r="BF134" i="84"/>
  <c r="BF287" i="84"/>
  <c r="BF91" i="84"/>
  <c r="BF183" i="84"/>
  <c r="BF875" i="84"/>
  <c r="BF951" i="84"/>
  <c r="BF215" i="84"/>
  <c r="BF538" i="84"/>
  <c r="E32" i="64"/>
  <c r="U31" i="53"/>
  <c r="T31" i="58"/>
  <c r="AB11" i="58" s="1"/>
  <c r="AA19" i="58" s="1"/>
  <c r="V31" i="54"/>
  <c r="A31" i="53"/>
  <c r="X31" i="45"/>
  <c r="A31" i="45"/>
  <c r="A31" i="55"/>
  <c r="A31" i="62"/>
  <c r="BG335" i="84"/>
  <c r="BX44" i="82"/>
  <c r="BG452" i="84"/>
  <c r="BX7" i="82"/>
  <c r="BG495" i="84"/>
  <c r="BG354" i="84"/>
  <c r="BG125" i="84"/>
  <c r="BG346" i="84"/>
  <c r="BG415" i="84"/>
  <c r="BG480" i="84"/>
  <c r="BG100" i="84"/>
  <c r="BG334" i="84"/>
  <c r="BG302" i="84"/>
  <c r="BG52" i="84"/>
  <c r="BG703" i="84"/>
  <c r="BG61" i="84"/>
  <c r="BG358" i="84"/>
  <c r="BG341" i="84"/>
  <c r="BG479" i="84"/>
  <c r="BG278" i="84"/>
  <c r="BG515" i="84"/>
  <c r="BG635" i="84"/>
  <c r="BG325" i="84"/>
  <c r="BG627" i="84"/>
  <c r="BG458" i="84"/>
  <c r="BG511" i="84"/>
  <c r="BG954" i="84"/>
  <c r="BG305" i="84"/>
  <c r="BG756" i="84"/>
  <c r="BG389" i="84"/>
  <c r="BG892" i="84"/>
  <c r="BG518" i="84"/>
  <c r="BG558" i="84"/>
  <c r="BG520" i="84"/>
  <c r="BG279" i="84"/>
  <c r="BG255" i="84"/>
  <c r="BG167" i="84"/>
  <c r="BG287" i="84"/>
  <c r="BG419" i="84"/>
  <c r="BG516" i="84"/>
  <c r="BG475" i="84"/>
  <c r="BG190" i="84"/>
  <c r="BG339" i="84"/>
  <c r="BG404" i="84"/>
  <c r="BG792" i="84"/>
  <c r="BG465" i="84"/>
  <c r="BG761" i="84"/>
  <c r="BG286" i="84"/>
  <c r="BG961" i="84"/>
  <c r="BG384" i="84"/>
  <c r="BG488" i="84"/>
  <c r="BG600" i="84"/>
  <c r="BG376" i="84"/>
  <c r="BG546" i="84"/>
  <c r="BG858" i="84"/>
  <c r="BG199" i="84"/>
  <c r="BG163" i="84"/>
  <c r="BG445" i="84"/>
  <c r="BG793" i="84"/>
  <c r="BG586" i="84"/>
  <c r="BG732" i="84"/>
  <c r="BG218" i="84"/>
  <c r="BG879" i="84"/>
  <c r="BG200" i="84"/>
  <c r="BG589" i="84"/>
  <c r="BG454" i="84"/>
  <c r="BG532" i="84"/>
  <c r="BG692" i="84"/>
  <c r="BG442" i="84"/>
  <c r="BG664" i="84"/>
  <c r="BG437" i="84"/>
  <c r="BG408" i="84"/>
  <c r="BG372" i="84"/>
  <c r="BG366" i="84"/>
  <c r="BX9" i="82"/>
  <c r="BG413" i="84"/>
  <c r="BG288" i="84"/>
  <c r="BG426" i="84"/>
  <c r="BG405" i="84"/>
  <c r="BG917" i="84"/>
  <c r="BG317" i="84"/>
  <c r="BG550" i="84"/>
  <c r="BG521" i="84"/>
  <c r="BG595" i="84"/>
  <c r="BG538" i="84"/>
  <c r="BG615" i="84"/>
  <c r="BG196" i="84"/>
  <c r="BG594" i="84"/>
  <c r="BG530" i="84"/>
  <c r="BG764" i="84"/>
  <c r="BG161" i="84"/>
  <c r="BG378" i="84"/>
  <c r="BG619" i="84"/>
  <c r="BG620" i="84"/>
  <c r="BG673" i="84"/>
  <c r="BG174" i="84"/>
  <c r="BG154" i="84"/>
  <c r="BG855" i="84"/>
  <c r="BG171" i="84"/>
  <c r="BG243" i="84"/>
  <c r="BG876" i="84"/>
  <c r="BG727" i="84"/>
  <c r="BG319" i="84"/>
  <c r="BG938" i="84"/>
  <c r="BG872" i="84"/>
  <c r="BG694" i="84"/>
  <c r="BG417" i="84"/>
  <c r="BG679" i="84"/>
  <c r="BG368" i="84"/>
  <c r="BG381" i="84"/>
  <c r="BG838" i="84"/>
  <c r="BG201" i="84"/>
  <c r="BG67" i="84"/>
  <c r="BG187" i="84"/>
  <c r="BG842" i="84"/>
  <c r="BG689" i="84"/>
  <c r="BG608" i="84"/>
  <c r="BG844" i="84"/>
  <c r="BG149" i="84"/>
  <c r="BG87" i="84"/>
  <c r="BG76" i="84"/>
  <c r="BG752" i="84"/>
  <c r="BG755" i="84"/>
  <c r="BG880" i="84"/>
  <c r="BG364" i="84"/>
  <c r="BG777" i="84"/>
  <c r="BG189" i="84"/>
  <c r="BG780" i="84"/>
  <c r="BG577" i="84"/>
  <c r="BG450" i="84"/>
  <c r="BX38" i="82"/>
  <c r="BG856" i="84"/>
  <c r="BG945" i="84"/>
  <c r="BX31" i="82"/>
  <c r="BG81" i="84"/>
  <c r="BG682" i="84"/>
  <c r="BG556" i="84"/>
  <c r="BG514" i="84"/>
  <c r="BX29" i="82"/>
  <c r="BG903" i="84"/>
  <c r="BG942" i="84"/>
  <c r="BG466" i="84"/>
  <c r="BG819" i="84"/>
  <c r="BG934" i="84"/>
  <c r="BG168" i="84"/>
  <c r="BG90" i="84"/>
  <c r="BG113" i="84"/>
  <c r="BG205" i="84"/>
  <c r="BG871" i="84"/>
  <c r="BG958" i="84"/>
  <c r="BG482" i="84"/>
  <c r="BG851" i="84"/>
  <c r="BG870" i="84"/>
  <c r="BG369" i="84"/>
  <c r="BG26" i="84"/>
  <c r="BG49" i="84"/>
  <c r="BG221" i="84"/>
  <c r="BG952" i="84"/>
  <c r="BG720" i="84"/>
  <c r="BG498" i="84"/>
  <c r="BG949" i="84"/>
  <c r="BG923" i="84"/>
  <c r="BG281" i="84"/>
  <c r="BX10" i="82"/>
  <c r="BX25" i="82"/>
  <c r="BG237" i="84"/>
  <c r="BG950" i="84"/>
  <c r="BG862" i="84"/>
  <c r="BG898" i="84"/>
  <c r="BG734" i="84"/>
  <c r="BG875" i="84"/>
  <c r="BG217" i="84"/>
  <c r="BG326" i="84"/>
  <c r="BG357" i="84"/>
  <c r="BG253" i="84"/>
  <c r="BG918" i="84"/>
  <c r="BG878" i="84"/>
  <c r="BG914" i="84"/>
  <c r="BG766" i="84"/>
  <c r="BG924" i="84"/>
  <c r="BX18" i="82"/>
  <c r="BG151" i="84"/>
  <c r="BG20" i="84"/>
  <c r="BG156" i="84"/>
  <c r="BG768" i="84"/>
  <c r="BG723" i="84"/>
  <c r="BG418" i="84"/>
  <c r="BG840" i="84"/>
  <c r="BG743" i="84"/>
  <c r="BG43" i="84"/>
  <c r="BG28" i="84"/>
  <c r="BX22" i="82"/>
  <c r="BG375" i="84"/>
  <c r="BG699" i="84"/>
  <c r="BG352" i="84"/>
  <c r="BG522" i="84"/>
  <c r="BG304" i="84"/>
  <c r="BG25" i="84"/>
  <c r="BG337" i="84"/>
  <c r="BG496" i="84"/>
  <c r="BG763" i="84"/>
  <c r="BG428" i="84"/>
  <c r="BG744" i="84"/>
  <c r="BG144" i="84"/>
  <c r="BG722" i="84"/>
  <c r="BG639" i="84"/>
  <c r="BG854" i="84"/>
  <c r="BG827" i="84"/>
  <c r="BG434" i="84"/>
  <c r="BG926" i="84"/>
  <c r="BG587" i="84"/>
  <c r="BG593" i="84"/>
  <c r="BG316" i="84"/>
  <c r="BG155" i="84"/>
  <c r="BG681" i="84"/>
  <c r="BG811" i="84"/>
  <c r="BG234" i="84"/>
  <c r="BG68" i="84"/>
  <c r="BG142" i="84"/>
  <c r="BG204" i="84"/>
  <c r="BG735" i="84"/>
  <c r="BG774" i="84"/>
  <c r="BG543" i="84"/>
  <c r="BG874" i="84"/>
  <c r="BG906" i="84"/>
  <c r="BG84" i="84"/>
  <c r="BX16" i="82"/>
  <c r="BG310" i="84"/>
  <c r="BG333" i="84"/>
  <c r="BG751" i="84"/>
  <c r="BG806" i="84"/>
  <c r="BG559" i="84"/>
  <c r="BG922" i="84"/>
  <c r="BG919" i="84"/>
  <c r="BG206" i="84"/>
  <c r="BG322" i="84"/>
  <c r="BG148" i="84"/>
  <c r="BG385" i="84"/>
  <c r="BG767" i="84"/>
  <c r="BG929" i="84"/>
  <c r="BG575" i="84"/>
  <c r="BG966" i="84"/>
  <c r="BG908" i="84"/>
  <c r="BG106" i="84"/>
  <c r="BG258" i="84"/>
  <c r="BG108" i="84"/>
  <c r="BG449" i="84"/>
  <c r="BG920" i="84"/>
  <c r="BG797" i="84"/>
  <c r="BG386" i="84"/>
  <c r="BG776" i="84"/>
  <c r="BG933" i="84"/>
  <c r="BG42" i="84"/>
  <c r="BG194" i="84"/>
  <c r="BG64" i="84"/>
  <c r="BG540" i="84"/>
  <c r="BG704" i="84"/>
  <c r="BG707" i="84"/>
  <c r="BG402" i="84"/>
  <c r="BG808" i="84"/>
  <c r="BG815" i="84"/>
  <c r="BG274" i="84"/>
  <c r="BG23" i="84"/>
  <c r="BG99" i="84"/>
  <c r="BG284" i="84"/>
  <c r="BG706" i="84"/>
  <c r="BG742" i="84"/>
  <c r="BG672" i="84"/>
  <c r="BG859" i="84"/>
  <c r="BG509" i="84"/>
  <c r="BG96" i="84"/>
  <c r="BG184" i="84"/>
  <c r="BG110" i="84"/>
  <c r="BG34" i="84"/>
  <c r="BG82" i="84"/>
  <c r="BG406" i="84"/>
  <c r="BG175" i="84"/>
  <c r="BG547" i="84"/>
  <c r="BG289" i="84"/>
  <c r="BG224" i="84"/>
  <c r="BG211" i="84"/>
  <c r="BG519" i="84"/>
  <c r="BG528" i="84"/>
  <c r="BX30" i="82"/>
  <c r="BG739" i="84"/>
  <c r="BG757" i="84"/>
  <c r="BG748" i="84"/>
  <c r="BG791" i="84"/>
  <c r="BG306" i="84"/>
  <c r="BG781" i="84"/>
  <c r="BG932" i="84"/>
  <c r="BG11" i="84"/>
  <c r="BG173" i="84"/>
  <c r="BG492" i="84"/>
  <c r="BG662" i="84"/>
  <c r="BG816" i="84"/>
  <c r="BG719" i="84"/>
  <c r="BX27" i="82"/>
  <c r="BG951" i="84"/>
  <c r="BG51" i="84"/>
  <c r="BG230" i="84"/>
  <c r="BG946" i="84"/>
  <c r="BG203" i="84"/>
  <c r="BG119" i="84"/>
  <c r="BG907" i="84"/>
  <c r="BG89" i="84"/>
  <c r="BG297" i="84"/>
  <c r="BG909" i="84"/>
  <c r="BG66" i="84"/>
  <c r="BG132" i="84"/>
  <c r="BG778" i="84"/>
  <c r="BG897" i="84"/>
  <c r="BG574" i="84"/>
  <c r="BG820" i="84"/>
  <c r="BG649" i="84"/>
  <c r="BG123" i="84"/>
  <c r="BG262" i="84"/>
  <c r="BG35" i="84"/>
  <c r="BG207" i="84"/>
  <c r="BG810" i="84"/>
  <c r="BG833" i="84"/>
  <c r="BG590" i="84"/>
  <c r="BG772" i="84"/>
  <c r="BG621" i="84"/>
  <c r="BG107" i="84"/>
  <c r="BG166" i="84"/>
  <c r="BG19" i="84"/>
  <c r="BG271" i="84"/>
  <c r="BG860" i="84"/>
  <c r="BG849" i="84"/>
  <c r="BG606" i="84"/>
  <c r="BG841" i="84"/>
  <c r="BG597" i="84"/>
  <c r="BG91" i="84"/>
  <c r="BG124" i="84"/>
  <c r="BX43" i="82"/>
  <c r="BG303" i="84"/>
  <c r="BG850" i="84"/>
  <c r="BG729" i="84"/>
  <c r="BG591" i="84"/>
  <c r="BG888" i="84"/>
  <c r="BG565" i="84"/>
  <c r="BG75" i="84"/>
  <c r="BG92" i="84"/>
  <c r="BG214" i="84"/>
  <c r="BG345" i="84"/>
  <c r="BG709" i="84"/>
  <c r="BG745" i="84"/>
  <c r="BG607" i="84"/>
  <c r="BG885" i="84"/>
  <c r="BG537" i="84"/>
  <c r="BG136" i="84"/>
  <c r="BG312" i="84"/>
  <c r="BG94" i="84"/>
  <c r="BX42" i="82"/>
  <c r="BG877" i="84"/>
  <c r="BG784" i="84"/>
  <c r="BG526" i="84"/>
  <c r="BG705" i="84"/>
  <c r="BG736" i="84"/>
  <c r="BG216" i="84"/>
  <c r="BG460" i="84"/>
  <c r="BG85" i="84"/>
  <c r="BG283" i="84"/>
  <c r="BG266" i="84"/>
  <c r="BG98" i="84"/>
  <c r="BG490" i="84"/>
  <c r="BG239" i="84"/>
  <c r="BG835" i="84"/>
  <c r="BG636" i="84"/>
  <c r="BG398" i="84"/>
  <c r="BG202" i="84"/>
  <c r="BG102" i="84"/>
  <c r="BG260" i="84"/>
  <c r="BG73" i="84"/>
  <c r="BX46" i="82"/>
  <c r="BG105" i="84"/>
  <c r="BG38" i="84"/>
  <c r="BG645" i="84"/>
  <c r="BG962" i="84"/>
  <c r="BG775" i="84"/>
  <c r="BG670" i="84"/>
  <c r="BG895" i="84"/>
  <c r="BG296" i="84"/>
  <c r="BG824" i="84"/>
  <c r="BG818" i="84"/>
  <c r="BX28" i="82"/>
  <c r="BG527" i="84"/>
  <c r="BX13" i="82"/>
  <c r="BG185" i="84"/>
  <c r="BG633" i="84"/>
  <c r="BG613" i="84"/>
  <c r="BG10" i="84"/>
  <c r="BG17" i="84"/>
  <c r="BG676" i="84"/>
  <c r="BG796" i="84"/>
  <c r="BG832" i="84"/>
  <c r="BG724" i="84"/>
  <c r="BG822" i="84"/>
  <c r="BG891" i="84"/>
  <c r="BX35" i="82"/>
  <c r="BG152" i="84"/>
  <c r="BG30" i="84"/>
  <c r="BG523" i="84"/>
  <c r="BG812" i="84"/>
  <c r="BG848" i="84"/>
  <c r="BG805" i="84"/>
  <c r="BG759" i="84"/>
  <c r="BG904" i="84"/>
  <c r="BX19" i="82"/>
  <c r="BG88" i="84"/>
  <c r="BG46" i="84"/>
  <c r="BG760" i="84"/>
  <c r="BG828" i="84"/>
  <c r="BG873" i="84"/>
  <c r="BG513" i="84"/>
  <c r="BG711" i="84"/>
  <c r="BG869" i="84"/>
  <c r="BG294" i="84"/>
  <c r="BX24" i="82"/>
  <c r="BG62" i="84"/>
  <c r="BG602" i="84"/>
  <c r="BG829" i="84"/>
  <c r="BG893" i="84"/>
  <c r="BG813" i="84"/>
  <c r="BG830" i="84"/>
  <c r="BG803" i="84"/>
  <c r="BG182" i="84"/>
  <c r="BG396" i="84"/>
  <c r="BG78" i="84"/>
  <c r="BG773" i="84"/>
  <c r="BG845" i="84"/>
  <c r="BG957" i="84"/>
  <c r="BG510" i="84"/>
  <c r="BG749" i="84"/>
  <c r="BG889" i="84"/>
  <c r="BG48" i="84"/>
  <c r="BX34" i="82"/>
  <c r="BX36" i="82"/>
  <c r="BX17" i="82"/>
  <c r="BG921" i="84"/>
  <c r="BG795" i="84"/>
  <c r="BG654" i="84"/>
  <c r="BG653" i="84"/>
  <c r="BG493" i="84"/>
  <c r="BX41" i="82"/>
  <c r="BG249" i="84"/>
  <c r="BG469" i="84"/>
  <c r="BG240" i="84"/>
  <c r="BG24" i="84"/>
  <c r="BX26" i="82"/>
  <c r="BG648" i="84"/>
  <c r="BG299" i="84"/>
  <c r="BG350" i="84"/>
  <c r="BX20" i="82"/>
  <c r="BG241" i="84"/>
  <c r="BG481" i="84"/>
  <c r="BG430" i="84"/>
  <c r="BG330" i="84"/>
  <c r="BG134" i="84"/>
  <c r="BG177" i="84"/>
  <c r="BG32" i="84"/>
  <c r="BG741" i="84"/>
  <c r="BG542" i="84"/>
  <c r="BG730" i="84"/>
  <c r="BG738" i="84"/>
  <c r="BG786" i="84"/>
  <c r="BG329" i="84"/>
  <c r="BG881" i="84"/>
  <c r="BG14" i="84"/>
  <c r="BG785" i="84"/>
  <c r="BG503" i="84"/>
  <c r="BG846" i="84"/>
  <c r="BG301" i="84"/>
  <c r="BG753" i="84"/>
  <c r="BG44" i="84"/>
  <c r="BG787" i="84"/>
  <c r="BG12" i="84"/>
  <c r="BG912" i="84"/>
  <c r="BG948" i="84"/>
  <c r="BG747" i="84"/>
  <c r="BG642" i="84"/>
  <c r="BG617" i="84"/>
  <c r="BG584" i="84"/>
  <c r="BG290" i="84"/>
  <c r="BX45" i="82"/>
  <c r="BG257" i="84"/>
  <c r="BG928" i="84"/>
  <c r="BG964" i="84"/>
  <c r="BG790" i="84"/>
  <c r="BG618" i="84"/>
  <c r="BG585" i="84"/>
  <c r="BG457" i="84"/>
  <c r="BG157" i="84"/>
  <c r="BG21" i="84"/>
  <c r="BG401" i="84"/>
  <c r="BG944" i="84"/>
  <c r="BG867" i="84"/>
  <c r="BG702" i="84"/>
  <c r="BG598" i="84"/>
  <c r="BG557" i="84"/>
  <c r="BG235" i="84"/>
  <c r="BG690" i="84"/>
  <c r="BG37" i="84"/>
  <c r="BG604" i="84"/>
  <c r="BG857" i="84"/>
  <c r="BG868" i="84"/>
  <c r="BG529" i="84"/>
  <c r="BG525" i="84"/>
  <c r="BG533" i="84"/>
  <c r="BG365" i="84"/>
  <c r="BG700" i="84"/>
  <c r="BG53" i="84"/>
  <c r="BG176" i="84"/>
  <c r="BG901" i="84"/>
  <c r="BG884" i="84"/>
  <c r="BG545" i="84"/>
  <c r="BG505" i="84"/>
  <c r="BG267" i="84"/>
  <c r="BG65" i="84"/>
  <c r="BG313" i="84"/>
  <c r="BG314" i="84"/>
  <c r="BG758" i="84"/>
  <c r="BG935" i="84"/>
  <c r="BG905" i="84"/>
  <c r="BG232" i="84"/>
  <c r="BG331" i="84"/>
  <c r="BG439" i="84"/>
  <c r="BG655" i="84"/>
  <c r="BG126" i="84"/>
  <c r="BG783" i="84"/>
  <c r="BG963" i="84"/>
  <c r="BG737" i="84"/>
  <c r="BG178" i="84"/>
  <c r="BG943" i="84"/>
  <c r="BG569" i="84"/>
  <c r="BG71" i="84"/>
  <c r="BG22" i="84"/>
  <c r="BG641" i="84"/>
  <c r="BG8" i="84"/>
  <c r="BG186" i="84"/>
  <c r="BG937" i="84"/>
  <c r="BG750" i="84"/>
  <c r="BG497" i="84"/>
  <c r="BG864" i="84"/>
  <c r="BG936" i="84"/>
  <c r="BG162" i="84"/>
  <c r="BG652" i="84"/>
  <c r="BG900" i="84"/>
  <c r="BG740" i="84"/>
  <c r="BG128" i="84"/>
  <c r="BG285" i="84"/>
  <c r="BG485" i="84"/>
  <c r="BG412" i="84"/>
  <c r="BG219" i="84"/>
  <c r="BG614" i="84"/>
  <c r="BX14" i="82"/>
  <c r="BG631" i="84"/>
  <c r="BG192" i="84"/>
  <c r="BG371" i="84"/>
  <c r="BG393" i="84"/>
  <c r="BG499" i="84"/>
  <c r="BX39" i="82"/>
  <c r="BG483" i="84"/>
  <c r="BG599" i="84"/>
  <c r="BG852" i="84"/>
  <c r="BG956" i="84"/>
  <c r="BG29" i="84"/>
  <c r="BG650" i="84"/>
  <c r="BG231" i="84"/>
  <c r="BG552" i="84"/>
  <c r="BG390" i="84"/>
  <c r="BG228" i="84"/>
  <c r="BG127" i="84"/>
  <c r="BG451" i="84"/>
  <c r="BG555" i="84"/>
  <c r="BG733" i="84"/>
  <c r="BG601" i="84"/>
  <c r="BX37" i="82"/>
  <c r="BG603" i="84"/>
  <c r="BG771" i="84"/>
  <c r="BG356" i="84"/>
  <c r="BG459" i="84"/>
  <c r="BG309" i="84"/>
  <c r="BG637" i="84"/>
  <c r="BG311" i="84"/>
  <c r="BG367" i="84"/>
  <c r="BG494" i="84"/>
  <c r="BG308" i="84"/>
  <c r="BG95" i="84"/>
  <c r="BG596" i="84"/>
  <c r="BG667" i="84"/>
  <c r="BG397" i="84"/>
  <c r="BG400" i="84"/>
  <c r="BG77" i="84"/>
  <c r="BG506" i="84"/>
  <c r="BG588" i="84"/>
  <c r="BG436" i="84"/>
  <c r="BG628" i="84"/>
  <c r="BG668" i="84"/>
  <c r="BG431" i="84"/>
  <c r="BG362" i="84"/>
  <c r="BG464" i="84"/>
  <c r="BG377" i="84"/>
  <c r="BG349" i="84"/>
  <c r="BG535" i="84"/>
  <c r="BG462" i="84"/>
  <c r="BX15" i="82"/>
  <c r="BG837" i="84"/>
  <c r="BG188" i="84"/>
  <c r="BG104" i="84"/>
  <c r="BG332" i="84"/>
  <c r="BG50" i="84"/>
  <c r="BG671" i="84"/>
  <c r="BG683" i="84"/>
  <c r="BG158" i="84"/>
  <c r="BG913" i="84"/>
  <c r="BG675" i="84"/>
  <c r="BG33" i="84"/>
  <c r="BG801" i="84"/>
  <c r="BG861" i="84"/>
  <c r="BX11" i="82"/>
  <c r="BG252" i="84"/>
  <c r="BG883" i="84"/>
  <c r="BG814" i="84"/>
  <c r="BG115" i="84"/>
  <c r="BG863" i="84"/>
  <c r="BG677" i="84"/>
  <c r="BG60" i="84"/>
  <c r="BG472" i="84"/>
  <c r="BG915" i="84"/>
  <c r="BG534" i="84"/>
  <c r="BG135" i="84"/>
  <c r="BG172" i="84"/>
  <c r="BG391" i="84"/>
  <c r="BG114" i="84"/>
  <c r="BG9" i="84"/>
  <c r="BG245" i="84"/>
  <c r="BG564" i="84"/>
  <c r="BG191" i="84"/>
  <c r="BG320" i="84"/>
  <c r="BG453" i="84"/>
  <c r="BG548" i="84"/>
  <c r="BG58" i="84"/>
  <c r="BG355" i="84"/>
  <c r="BG478" i="84"/>
  <c r="BG501" i="84"/>
  <c r="BG446" i="84"/>
  <c r="BG254" i="84"/>
  <c r="BG647" i="84"/>
  <c r="BG955" i="84"/>
  <c r="BG388" i="84"/>
  <c r="BG491" i="84"/>
  <c r="BG353" i="84"/>
  <c r="BG97" i="84"/>
  <c r="BG696" i="84"/>
  <c r="BG438" i="84"/>
  <c r="BG666" i="84"/>
  <c r="BG612" i="84"/>
  <c r="BG150" i="84"/>
  <c r="BG486" i="84"/>
  <c r="BG517" i="84"/>
  <c r="BG275" i="84"/>
  <c r="BG821" i="84"/>
  <c r="BG181" i="84"/>
  <c r="BG566" i="84"/>
  <c r="BG183" i="84"/>
  <c r="BG468" i="84"/>
  <c r="BG338" i="84"/>
  <c r="BG180" i="84"/>
  <c r="BG56" i="84"/>
  <c r="BG403" i="84"/>
  <c r="BG656" i="84"/>
  <c r="BG665" i="84"/>
  <c r="BG659" i="84"/>
  <c r="BG143" i="84"/>
  <c r="BG539" i="84"/>
  <c r="BG762" i="84"/>
  <c r="BG425" i="84"/>
  <c r="BG411" i="84"/>
  <c r="BG261" i="84"/>
  <c r="BG282" i="84"/>
  <c r="BG794" i="84"/>
  <c r="BG159" i="84"/>
  <c r="BG562" i="84"/>
  <c r="BG141" i="84"/>
  <c r="BG399" i="84"/>
  <c r="BG226" i="84"/>
  <c r="BG658" i="84"/>
  <c r="BG259" i="84"/>
  <c r="BG27" i="84"/>
  <c r="BG721" i="84"/>
  <c r="BG669" i="84"/>
  <c r="BG609" i="84"/>
  <c r="BG80" i="84"/>
  <c r="BG133" i="84"/>
  <c r="BG865" i="84"/>
  <c r="BG765" i="84"/>
  <c r="BG264" i="84"/>
  <c r="BG839" i="84"/>
  <c r="BG940" i="84"/>
  <c r="BG298" i="84"/>
  <c r="BG238" i="84"/>
  <c r="BG544" i="84"/>
  <c r="BG348" i="84"/>
  <c r="BG421" i="84"/>
  <c r="BG726" i="84"/>
  <c r="BG554" i="84"/>
  <c r="BG487" i="84"/>
  <c r="BG886" i="84"/>
  <c r="BG930" i="84"/>
  <c r="BG953" i="84"/>
  <c r="BG7" i="84"/>
  <c r="BG300" i="84"/>
  <c r="BG444" i="84"/>
  <c r="BG120" i="84"/>
  <c r="BG137" i="84"/>
  <c r="BG395" i="84"/>
  <c r="BG420" i="84"/>
  <c r="BG551" i="84"/>
  <c r="BG315" i="84"/>
  <c r="BX33" i="82"/>
  <c r="BG541" i="84"/>
  <c r="BG423" i="84"/>
  <c r="BG456" i="84"/>
  <c r="BG716" i="84"/>
  <c r="BG826" i="84"/>
  <c r="BG380" i="84"/>
  <c r="BG15" i="84"/>
  <c r="BG592" i="84"/>
  <c r="BG629" i="84"/>
  <c r="BG307" i="84"/>
  <c r="BG363" i="84"/>
  <c r="BG213" i="84"/>
  <c r="BG570" i="84"/>
  <c r="BG424" i="84"/>
  <c r="BG580" i="84"/>
  <c r="BG663" i="84"/>
  <c r="BG409" i="84"/>
  <c r="BG111" i="84"/>
  <c r="BG789" i="84"/>
  <c r="BG502" i="84"/>
  <c r="BG524" i="84"/>
  <c r="BG432" i="84"/>
  <c r="BG109" i="84"/>
  <c r="BG583" i="84"/>
  <c r="BG788" i="84"/>
  <c r="BG340" i="84"/>
  <c r="BG443" i="84"/>
  <c r="BG293" i="84"/>
  <c r="BG248" i="84"/>
  <c r="BG508" i="84"/>
  <c r="BG374" i="84"/>
  <c r="BG582" i="84"/>
  <c r="BG343" i="84"/>
  <c r="BG31" i="84"/>
  <c r="BG422" i="84"/>
  <c r="BG646" i="84"/>
  <c r="BG227" i="84"/>
  <c r="BG536" i="84"/>
  <c r="BG572" i="84"/>
  <c r="BG531" i="84"/>
  <c r="BX23" i="82"/>
  <c r="BG179" i="84"/>
  <c r="BG782" i="84"/>
  <c r="BG640" i="84"/>
  <c r="BG435" i="84"/>
  <c r="BG718" i="84"/>
  <c r="BX21" i="82"/>
  <c r="BG708" i="84"/>
  <c r="BG910" i="84"/>
  <c r="BX32" i="82"/>
  <c r="BG117" i="84"/>
  <c r="BG36" i="84"/>
  <c r="BG103" i="84"/>
  <c r="BG754" i="84"/>
  <c r="BG802" i="84"/>
  <c r="BX40" i="82"/>
  <c r="BG220" i="84"/>
  <c r="BG866" i="84"/>
  <c r="BG817" i="84"/>
  <c r="BG147" i="84"/>
  <c r="BG959" i="84"/>
  <c r="BG549" i="84"/>
  <c r="BG55" i="84"/>
  <c r="BG86" i="84"/>
  <c r="BG622" i="84"/>
  <c r="BG373" i="84"/>
  <c r="BG250" i="84"/>
  <c r="BG779" i="84"/>
  <c r="BG698" i="84"/>
  <c r="BG138" i="84"/>
  <c r="BG725" i="84"/>
  <c r="BG623" i="84"/>
  <c r="BG804" i="84"/>
  <c r="BG246" i="84"/>
  <c r="BG57" i="84"/>
  <c r="BG507" i="84"/>
  <c r="BG225" i="84"/>
  <c r="BG209" i="84"/>
  <c r="BG361" i="84"/>
  <c r="BG477" i="84"/>
  <c r="BG273" i="84"/>
  <c r="BG447" i="84"/>
  <c r="BG455" i="84"/>
  <c r="BG121" i="84"/>
  <c r="BG54" i="84"/>
  <c r="BG911" i="84"/>
  <c r="BG947" i="84"/>
  <c r="BG800" i="84"/>
  <c r="BG139" i="84"/>
  <c r="BG233" i="84"/>
  <c r="BG242" i="84"/>
  <c r="BG807" i="84"/>
  <c r="BG939" i="84"/>
  <c r="BG265" i="84"/>
  <c r="BG130" i="84"/>
  <c r="BG687" i="84"/>
  <c r="BG382" i="84"/>
  <c r="BG222" i="84"/>
  <c r="BG713" i="84"/>
  <c r="BG651" i="84"/>
  <c r="BG270" i="84"/>
  <c r="BG798" i="84"/>
  <c r="BG657" i="84"/>
  <c r="BG116" i="84"/>
  <c r="BG268" i="84"/>
  <c r="BG899" i="84"/>
  <c r="BG731" i="84"/>
  <c r="BG16" i="84"/>
  <c r="BG965" i="84"/>
  <c r="BG561" i="84"/>
  <c r="BG145" i="84"/>
  <c r="BG74" i="84"/>
  <c r="BG836" i="84"/>
  <c r="BG342" i="84"/>
  <c r="BG429" i="84"/>
  <c r="BG41" i="84"/>
  <c r="BG118" i="84"/>
  <c r="BG160" i="84"/>
  <c r="BG344" i="84"/>
  <c r="BG630" i="84"/>
  <c r="BG193" i="84"/>
  <c r="BG45" i="84"/>
  <c r="BG678" i="84"/>
  <c r="BG247" i="84"/>
  <c r="BG616" i="84"/>
  <c r="BG410" i="84"/>
  <c r="BG244" i="84"/>
  <c r="BG63" i="84"/>
  <c r="BG467" i="84"/>
  <c r="BG579" i="84"/>
  <c r="BG853" i="84"/>
  <c r="BG717" i="84"/>
  <c r="BG13" i="84"/>
  <c r="BG626" i="84"/>
  <c r="BG215" i="84"/>
  <c r="BG500" i="84"/>
  <c r="BG370" i="84"/>
  <c r="BG212" i="84"/>
  <c r="BG169" i="84"/>
  <c r="BG632" i="84"/>
  <c r="BG414" i="84"/>
  <c r="BG634" i="84"/>
  <c r="BG471" i="84"/>
  <c r="BG72" i="84"/>
  <c r="BG660" i="84"/>
  <c r="BG712" i="84"/>
  <c r="BG461" i="84"/>
  <c r="BG416" i="84"/>
  <c r="BG93" i="84"/>
  <c r="BG581" i="84"/>
  <c r="BG295" i="84"/>
  <c r="BG351" i="84"/>
  <c r="BG474" i="84"/>
  <c r="BG292" i="84"/>
  <c r="BG140" i="84"/>
  <c r="BG387" i="84"/>
  <c r="BG576" i="84"/>
  <c r="BG605" i="84"/>
  <c r="BG567" i="84"/>
  <c r="BG684" i="84"/>
  <c r="BG941" i="84"/>
  <c r="BG916" i="84"/>
  <c r="BG890" i="84"/>
  <c r="BG902" i="84"/>
  <c r="BG809" i="84"/>
  <c r="BG695" i="84"/>
  <c r="BG170" i="84"/>
  <c r="BG770" i="84"/>
  <c r="BG825" i="84"/>
  <c r="BX12" i="82"/>
  <c r="BG236" i="84"/>
  <c r="BG882" i="84"/>
  <c r="BG746" i="84"/>
  <c r="BG131" i="84"/>
  <c r="BG960" i="84"/>
  <c r="BG697" i="84"/>
  <c r="BG39" i="84"/>
  <c r="BG318" i="84"/>
  <c r="BG638" i="84"/>
  <c r="BG59" i="84"/>
  <c r="BG269" i="84"/>
  <c r="BG894" i="84"/>
  <c r="BG834" i="84"/>
  <c r="BG210" i="84"/>
  <c r="BG83" i="84"/>
  <c r="BG473" i="84"/>
  <c r="BG272" i="84"/>
  <c r="BG18" i="84"/>
  <c r="BG70" i="84"/>
  <c r="BG256" i="84"/>
  <c r="BG263" i="84"/>
  <c r="BG251" i="84"/>
  <c r="BG553" i="84"/>
  <c r="BG208" i="84"/>
  <c r="BG847" i="84"/>
  <c r="BG198" i="84"/>
  <c r="BG688" i="84"/>
  <c r="BG685" i="84"/>
  <c r="BG323" i="84"/>
  <c r="BG379" i="84"/>
  <c r="BG229" i="84"/>
  <c r="BG470" i="84"/>
  <c r="BG440" i="84"/>
  <c r="BG644" i="84"/>
  <c r="BG691" i="84"/>
  <c r="BG336" i="84"/>
  <c r="BG79" i="84"/>
  <c r="BG512" i="84"/>
  <c r="BG573" i="84"/>
  <c r="BG291" i="84"/>
  <c r="BG347" i="84"/>
  <c r="BG197" i="84"/>
  <c r="BG693" i="84"/>
  <c r="BG327" i="84"/>
  <c r="BG383" i="84"/>
  <c r="BG560" i="84"/>
  <c r="BG324" i="84"/>
  <c r="BG433" i="84"/>
  <c r="BG568" i="84"/>
  <c r="BG394" i="84"/>
  <c r="BG610" i="84"/>
  <c r="BG407" i="84"/>
  <c r="BG40" i="84"/>
  <c r="BG563" i="84"/>
  <c r="BG769" i="84"/>
  <c r="BG489" i="84"/>
  <c r="BG427" i="84"/>
  <c r="BG277" i="84"/>
  <c r="BG799" i="84"/>
  <c r="BG360" i="84"/>
  <c r="BG463" i="84"/>
  <c r="BG571" i="84"/>
  <c r="BG223" i="84"/>
  <c r="BG321" i="84"/>
  <c r="BG714" i="84"/>
  <c r="BG112" i="84"/>
  <c r="BG476" i="84"/>
  <c r="BG122" i="84"/>
  <c r="BG359" i="84"/>
  <c r="BG887" i="84"/>
  <c r="BG843" i="84"/>
  <c r="BG715" i="84"/>
  <c r="BG504" i="84"/>
  <c r="BG146" i="84"/>
  <c r="BX8" i="82"/>
  <c r="BG69" i="84"/>
  <c r="BG129" i="84"/>
  <c r="BG701" i="84"/>
  <c r="BG625" i="84"/>
  <c r="BG927" i="84"/>
  <c r="BG686" i="84"/>
  <c r="BG931" i="84"/>
  <c r="BG624" i="84"/>
  <c r="BG611" i="84"/>
  <c r="BG661" i="84"/>
  <c r="BG280" i="84"/>
  <c r="BG578" i="84"/>
  <c r="BG728" i="84"/>
  <c r="BG823" i="84"/>
  <c r="BG101" i="84"/>
  <c r="AH752" i="84"/>
  <c r="AH753" i="84"/>
  <c r="AH22" i="84"/>
  <c r="BT34" i="82"/>
  <c r="AH857" i="84"/>
  <c r="AH461" i="84"/>
  <c r="AH944" i="84"/>
  <c r="AH409" i="84"/>
  <c r="AH873" i="84"/>
  <c r="AH525" i="84"/>
  <c r="BT45" i="82"/>
  <c r="AH393" i="84"/>
  <c r="AH761" i="84"/>
  <c r="AH77" i="84"/>
  <c r="AH560" i="84"/>
  <c r="AH585" i="84"/>
  <c r="AH777" i="84"/>
  <c r="AH141" i="84"/>
  <c r="AH624" i="84"/>
  <c r="AH553" i="84"/>
  <c r="AH793" i="84"/>
  <c r="AH205" i="84"/>
  <c r="AH688" i="84"/>
  <c r="AH537" i="84"/>
  <c r="AH189" i="84"/>
  <c r="AH672" i="84"/>
  <c r="AH438" i="84"/>
  <c r="AH514" i="84"/>
  <c r="AH253" i="84"/>
  <c r="AH736" i="84"/>
  <c r="AH594" i="84"/>
  <c r="AH606" i="84"/>
  <c r="AH842" i="84"/>
  <c r="AH956" i="84"/>
  <c r="AH444" i="84"/>
  <c r="AH414" i="84"/>
  <c r="AH41" i="84"/>
  <c r="AH153" i="84"/>
  <c r="AH302" i="84"/>
  <c r="AH316" i="84"/>
  <c r="AH882" i="84"/>
  <c r="AH604" i="84"/>
  <c r="AH588" i="84"/>
  <c r="AH405" i="84"/>
  <c r="AH364" i="84"/>
  <c r="AH156" i="84"/>
  <c r="AH12" i="84"/>
  <c r="AH645" i="84"/>
  <c r="AH8" i="84"/>
  <c r="AH582" i="84"/>
  <c r="AH259" i="84"/>
  <c r="AH421" i="84"/>
  <c r="AH69" i="84"/>
  <c r="AH21" i="84"/>
  <c r="AH661" i="84"/>
  <c r="AH245" i="84"/>
  <c r="AH485" i="84"/>
  <c r="AH242" i="84"/>
  <c r="AH360" i="84"/>
  <c r="AH437" i="84"/>
  <c r="AH340" i="84"/>
  <c r="AH948" i="84"/>
  <c r="BT27" i="82"/>
  <c r="AH863" i="84"/>
  <c r="AH759" i="84"/>
  <c r="AH247" i="84"/>
  <c r="AH379" i="84"/>
  <c r="AH95" i="84"/>
  <c r="AH180" i="84"/>
  <c r="AH706" i="84"/>
  <c r="AH7" i="84"/>
  <c r="AH436" i="84"/>
  <c r="AH896" i="84"/>
  <c r="AH56" i="84"/>
  <c r="AH305" i="84"/>
  <c r="AH644" i="84"/>
  <c r="AH855" i="84"/>
  <c r="AH271" i="84"/>
  <c r="AH299" i="84"/>
  <c r="AH51" i="84"/>
  <c r="AH869" i="84"/>
  <c r="AH424" i="84"/>
  <c r="AH673" i="84"/>
  <c r="AH14" i="84"/>
  <c r="AH914" i="84"/>
  <c r="AH147" i="84"/>
  <c r="AH464" i="84"/>
  <c r="AH125" i="84"/>
  <c r="BT25" i="82"/>
  <c r="AH765" i="84"/>
  <c r="AH93" i="84"/>
  <c r="AH57" i="84"/>
  <c r="BT41" i="82"/>
  <c r="AH781" i="84"/>
  <c r="AH157" i="84"/>
  <c r="AH378" i="84"/>
  <c r="AH889" i="84"/>
  <c r="AH589" i="84"/>
  <c r="AH230" i="84"/>
  <c r="AH329" i="84"/>
  <c r="AH905" i="84"/>
  <c r="AH653" i="84"/>
  <c r="AH386" i="84"/>
  <c r="AH281" i="84"/>
  <c r="AH921" i="84"/>
  <c r="AH701" i="84"/>
  <c r="AH542" i="84"/>
  <c r="AH265" i="84"/>
  <c r="AH697" i="84"/>
  <c r="AH502" i="84"/>
  <c r="AH304" i="84"/>
  <c r="AH966" i="84"/>
  <c r="AH713" i="84"/>
  <c r="AH658" i="84"/>
  <c r="AH368" i="84"/>
  <c r="AH681" i="84"/>
  <c r="BT28" i="82"/>
  <c r="AH476" i="84"/>
  <c r="AH530" i="84"/>
  <c r="AH812" i="84"/>
  <c r="AH690" i="84"/>
  <c r="AH25" i="84"/>
  <c r="AH137" i="84"/>
  <c r="AH771" i="84"/>
  <c r="AH494" i="84"/>
  <c r="AH380" i="84"/>
  <c r="AH460" i="84"/>
  <c r="AH766" i="84"/>
  <c r="AH172" i="84"/>
  <c r="AH28" i="84"/>
  <c r="AH430" i="84"/>
  <c r="AH126" i="84"/>
  <c r="AH934" i="84"/>
  <c r="AH142" i="84"/>
  <c r="AH533" i="84"/>
  <c r="AH874" i="84"/>
  <c r="AH776" i="84"/>
  <c r="AH696" i="84"/>
  <c r="AH517" i="84"/>
  <c r="AH117" i="84"/>
  <c r="AH357" i="84"/>
  <c r="AH447" i="84"/>
  <c r="AH206" i="84"/>
  <c r="AH309" i="84"/>
  <c r="AH886" i="84"/>
  <c r="AH450" i="84"/>
  <c r="AH731" i="84"/>
  <c r="AH790" i="84"/>
  <c r="AH119" i="84"/>
  <c r="AH219" i="84"/>
  <c r="AH951" i="84"/>
  <c r="AH84" i="84"/>
  <c r="AH762" i="84"/>
  <c r="AH774" i="84"/>
  <c r="AH177" i="84"/>
  <c r="AH516" i="84"/>
  <c r="AH355" i="84"/>
  <c r="AH143" i="84"/>
  <c r="AH171" i="84"/>
  <c r="AH87" i="84"/>
  <c r="AH834" i="84"/>
  <c r="AH296" i="84"/>
  <c r="AH545" i="84"/>
  <c r="AH884" i="84"/>
  <c r="AH602" i="84"/>
  <c r="AH698" i="84"/>
  <c r="AH723" i="84"/>
  <c r="AH608" i="84"/>
  <c r="AH883" i="84"/>
  <c r="AH290" i="84"/>
  <c r="AH893" i="84"/>
  <c r="AH605" i="84"/>
  <c r="AH66" i="84"/>
  <c r="AH374" i="84"/>
  <c r="AH909" i="84"/>
  <c r="AH669" i="84"/>
  <c r="AH249" i="84"/>
  <c r="AH30" i="84"/>
  <c r="AH797" i="84"/>
  <c r="AH221" i="84"/>
  <c r="AH338" i="84"/>
  <c r="AH46" i="84"/>
  <c r="AH813" i="84"/>
  <c r="AH285" i="84"/>
  <c r="AH796" i="84"/>
  <c r="AH62" i="84"/>
  <c r="AH829" i="84"/>
  <c r="AH349" i="84"/>
  <c r="AH764" i="84"/>
  <c r="AH825" i="84"/>
  <c r="AH333" i="84"/>
  <c r="AH816" i="84"/>
  <c r="AH457" i="84"/>
  <c r="AH841" i="84"/>
  <c r="AH397" i="84"/>
  <c r="AH880" i="84"/>
  <c r="AH425" i="84"/>
  <c r="AH620" i="84"/>
  <c r="AH601" i="84"/>
  <c r="AH860" i="84"/>
  <c r="AH76" i="84"/>
  <c r="AH262" i="84"/>
  <c r="AH650" i="84"/>
  <c r="AH9" i="84"/>
  <c r="AH684" i="84"/>
  <c r="BT44" i="82"/>
  <c r="AH858" i="84"/>
  <c r="AH300" i="84"/>
  <c r="AH454" i="84"/>
  <c r="AH662" i="84"/>
  <c r="AH506" i="84"/>
  <c r="AH677" i="84"/>
  <c r="BT40" i="82"/>
  <c r="AH622" i="84"/>
  <c r="AH323" i="84"/>
  <c r="AH149" i="84"/>
  <c r="AH513" i="84"/>
  <c r="AH353" i="84"/>
  <c r="AH838" i="84"/>
  <c r="AH261" i="84"/>
  <c r="AH678" i="84"/>
  <c r="AH229" i="84"/>
  <c r="AH469" i="84"/>
  <c r="BT20" i="82"/>
  <c r="AH181" i="84"/>
  <c r="AH97" i="84"/>
  <c r="AH102" i="84"/>
  <c r="AH371" i="84"/>
  <c r="AH392" i="84"/>
  <c r="AH938" i="84"/>
  <c r="AH481" i="84"/>
  <c r="AH237" i="84"/>
  <c r="AH831" i="84"/>
  <c r="AH675" i="84"/>
  <c r="AH635" i="84"/>
  <c r="AH282" i="84"/>
  <c r="AH794" i="84"/>
  <c r="AH458" i="84"/>
  <c r="AH49" i="84"/>
  <c r="AH388" i="84"/>
  <c r="AH158" i="84"/>
  <c r="AH226" i="84"/>
  <c r="AH839" i="84"/>
  <c r="AH320" i="84"/>
  <c r="AH522" i="84"/>
  <c r="AH168" i="84"/>
  <c r="AH417" i="84"/>
  <c r="AH756" i="84"/>
  <c r="AH258" i="84"/>
  <c r="AH94" i="84"/>
  <c r="AH809" i="84"/>
  <c r="AH234" i="84"/>
  <c r="AH246" i="84"/>
  <c r="AH144" i="84"/>
  <c r="BT30" i="82"/>
  <c r="AH34" i="84"/>
  <c r="AH801" i="84"/>
  <c r="AH208" i="84"/>
  <c r="AH962" i="84"/>
  <c r="AH50" i="84"/>
  <c r="AH817" i="84"/>
  <c r="AH362" i="84"/>
  <c r="AH466" i="84"/>
  <c r="AH925" i="84"/>
  <c r="AH705" i="84"/>
  <c r="AH518" i="84"/>
  <c r="AH562" i="84"/>
  <c r="AH941" i="84"/>
  <c r="AH721" i="84"/>
  <c r="AH674" i="84"/>
  <c r="AH646" i="84"/>
  <c r="AH957" i="84"/>
  <c r="AH737" i="84"/>
  <c r="AH521" i="84"/>
  <c r="AH953" i="84"/>
  <c r="AH733" i="84"/>
  <c r="AH854" i="84"/>
  <c r="AH121" i="84"/>
  <c r="BT9" i="82"/>
  <c r="AH749" i="84"/>
  <c r="AH29" i="84"/>
  <c r="AH73" i="84"/>
  <c r="AH617" i="84"/>
  <c r="AH473" i="84"/>
  <c r="AH108" i="84"/>
  <c r="AH918" i="84"/>
  <c r="AH924" i="84"/>
  <c r="AH222" i="84"/>
  <c r="AH570" i="84"/>
  <c r="AH508" i="84"/>
  <c r="AH828" i="84"/>
  <c r="AH610" i="84"/>
  <c r="AH44" i="84"/>
  <c r="AH134" i="84"/>
  <c r="AH277" i="84"/>
  <c r="AH195" i="84"/>
  <c r="AH366" i="84"/>
  <c r="AH220" i="84"/>
  <c r="AH218" i="84"/>
  <c r="AH597" i="84"/>
  <c r="AH104" i="84"/>
  <c r="BT7" i="82"/>
  <c r="AH935" i="84"/>
  <c r="AH648" i="84"/>
  <c r="AH758" i="84"/>
  <c r="AH904" i="84"/>
  <c r="AH101" i="84"/>
  <c r="AH341" i="84"/>
  <c r="AH663" i="84"/>
  <c r="AH53" i="84"/>
  <c r="AH607" i="84"/>
  <c r="AH621" i="84"/>
  <c r="AH129" i="84"/>
  <c r="AH654" i="84"/>
  <c r="AH852" i="84"/>
  <c r="AH862" i="84"/>
  <c r="AH385" i="84"/>
  <c r="AH791" i="84"/>
  <c r="AH319" i="84"/>
  <c r="AH735" i="84"/>
  <c r="AH123" i="84"/>
  <c r="AH575" i="84"/>
  <c r="AH963" i="84"/>
  <c r="AH746" i="84"/>
  <c r="AH260" i="84"/>
  <c r="AH911" i="84"/>
  <c r="AH939" i="84"/>
  <c r="AH711" i="84"/>
  <c r="AH773" i="84"/>
  <c r="AH210" i="84"/>
  <c r="AH40" i="84"/>
  <c r="AH289" i="84"/>
  <c r="AH628" i="84"/>
  <c r="AH803" i="84"/>
  <c r="AH717" i="84"/>
  <c r="AH413" i="84"/>
  <c r="AH881" i="84"/>
  <c r="AH418" i="84"/>
  <c r="AH656" i="84"/>
  <c r="AH402" i="84"/>
  <c r="AH490" i="84"/>
  <c r="AH929" i="84"/>
  <c r="AH720" i="84"/>
  <c r="AH554" i="84"/>
  <c r="AH586" i="84"/>
  <c r="AH945" i="84"/>
  <c r="AH272" i="84"/>
  <c r="BT10" i="82"/>
  <c r="AH74" i="84"/>
  <c r="AH833" i="84"/>
  <c r="AH336" i="84"/>
  <c r="AH211" i="84"/>
  <c r="AH98" i="84"/>
  <c r="AH849" i="84"/>
  <c r="AH400" i="84"/>
  <c r="AH467" i="84"/>
  <c r="AH154" i="84"/>
  <c r="AH865" i="84"/>
  <c r="AH403" i="84"/>
  <c r="AH138" i="84"/>
  <c r="AH861" i="84"/>
  <c r="AH477" i="84"/>
  <c r="AH659" i="84"/>
  <c r="AH214" i="84"/>
  <c r="AH877" i="84"/>
  <c r="AH541" i="84"/>
  <c r="AH633" i="84"/>
  <c r="AH489" i="84"/>
  <c r="AH345" i="84"/>
  <c r="AH569" i="84"/>
  <c r="AH90" i="84"/>
  <c r="AH748" i="84"/>
  <c r="AH892" i="84"/>
  <c r="AH182" i="84"/>
  <c r="AH236" i="84"/>
  <c r="AH668" i="84"/>
  <c r="AH298" i="84"/>
  <c r="AH643" i="84"/>
  <c r="AH908" i="84"/>
  <c r="AH60" i="84"/>
  <c r="AH133" i="84"/>
  <c r="AH252" i="84"/>
  <c r="AH92" i="84"/>
  <c r="AH451" i="84"/>
  <c r="AH165" i="84"/>
  <c r="AH782" i="84"/>
  <c r="AH579" i="84"/>
  <c r="AH515" i="84"/>
  <c r="AH526" i="84"/>
  <c r="AH616" i="84"/>
  <c r="AH520" i="84"/>
  <c r="AH558" i="84"/>
  <c r="AH213" i="84"/>
  <c r="AH243" i="84"/>
  <c r="AH250" i="84"/>
  <c r="AH755" i="84"/>
  <c r="AH596" i="84"/>
  <c r="AH641" i="84"/>
  <c r="AH308" i="84"/>
  <c r="AH820" i="84"/>
  <c r="AH630" i="84"/>
  <c r="AH917" i="84"/>
  <c r="AH859" i="84"/>
  <c r="AH223" i="84"/>
  <c r="AH407" i="84"/>
  <c r="AH35" i="84"/>
  <c r="AH568" i="84"/>
  <c r="AH563" i="84"/>
  <c r="AH434" i="84"/>
  <c r="AH132" i="84"/>
  <c r="AH783" i="84"/>
  <c r="AH811" i="84"/>
  <c r="AH583" i="84"/>
  <c r="AH851" i="84"/>
  <c r="AH936" i="84"/>
  <c r="AH734" i="84"/>
  <c r="AH161" i="84"/>
  <c r="AH500" i="84"/>
  <c r="AH291" i="84"/>
  <c r="AH937" i="84"/>
  <c r="AH830" i="84"/>
  <c r="BT16" i="82"/>
  <c r="AH637" i="84"/>
  <c r="AH462" i="84"/>
  <c r="AH288" i="84"/>
  <c r="BT42" i="82"/>
  <c r="AH78" i="84"/>
  <c r="AH618" i="84"/>
  <c r="AH352" i="84"/>
  <c r="AH275" i="84"/>
  <c r="AH110" i="84"/>
  <c r="AH784" i="84"/>
  <c r="AH714" i="84"/>
  <c r="AH666" i="84"/>
  <c r="AH961" i="84"/>
  <c r="AH848" i="84"/>
  <c r="AH866" i="84"/>
  <c r="AH750" i="84"/>
  <c r="BT17" i="82"/>
  <c r="AH912" i="84"/>
  <c r="AH32" i="84"/>
  <c r="AH846" i="84"/>
  <c r="BT33" i="82"/>
  <c r="AH16" i="84"/>
  <c r="AH818" i="84"/>
  <c r="BT29" i="82"/>
  <c r="AH769" i="84"/>
  <c r="AH80" i="84"/>
  <c r="AH922" i="84"/>
  <c r="AH18" i="84"/>
  <c r="AH785" i="84"/>
  <c r="AH505" i="84"/>
  <c r="AH361" i="84"/>
  <c r="AH185" i="84"/>
  <c r="AH441" i="84"/>
  <c r="AH636" i="84"/>
  <c r="AH572" i="84"/>
  <c r="AH732" i="84"/>
  <c r="AH876" i="84"/>
  <c r="AH629" i="84"/>
  <c r="AH492" i="84"/>
  <c r="BT12" i="82"/>
  <c r="AH428" i="84"/>
  <c r="AH780" i="84"/>
  <c r="AH707" i="84"/>
  <c r="AH396" i="84"/>
  <c r="AH124" i="84"/>
  <c r="AH822" i="84"/>
  <c r="AH613" i="84"/>
  <c r="AH264" i="84"/>
  <c r="AH470" i="84"/>
  <c r="AH47" i="84"/>
  <c r="AH693" i="84"/>
  <c r="AH358" i="84"/>
  <c r="AH574" i="84"/>
  <c r="AH872" i="84"/>
  <c r="AH85" i="84"/>
  <c r="AH564" i="84"/>
  <c r="AH744" i="84"/>
  <c r="AH136" i="84"/>
  <c r="AH225" i="84"/>
  <c r="AH547" i="84"/>
  <c r="AH550" i="84"/>
  <c r="AH163" i="84"/>
  <c r="AH212" i="84"/>
  <c r="AH724" i="84"/>
  <c r="AH106" i="84"/>
  <c r="AH347" i="84"/>
  <c r="AH763" i="84"/>
  <c r="AH194" i="84"/>
  <c r="AH603" i="84"/>
  <c r="AH440" i="84"/>
  <c r="AH689" i="84"/>
  <c r="AH118" i="84"/>
  <c r="AH954" i="84"/>
  <c r="AH655" i="84"/>
  <c r="AH683" i="84"/>
  <c r="AH455" i="84"/>
  <c r="AH301" i="84"/>
  <c r="AH808" i="84"/>
  <c r="AH422" i="84"/>
  <c r="AH33" i="84"/>
  <c r="AH372" i="84"/>
  <c r="AH114" i="84"/>
  <c r="AH269" i="84"/>
  <c r="AH726" i="84"/>
  <c r="AH96" i="84"/>
  <c r="AH346" i="84"/>
  <c r="AH317" i="84"/>
  <c r="AH800" i="84"/>
  <c r="AH754" i="84"/>
  <c r="AH686" i="84"/>
  <c r="AH381" i="84"/>
  <c r="AH864" i="84"/>
  <c r="AH906" i="84"/>
  <c r="AH770" i="84"/>
  <c r="AH778" i="84"/>
  <c r="AH416" i="84"/>
  <c r="AH531" i="84"/>
  <c r="AH174" i="84"/>
  <c r="AH930" i="84"/>
  <c r="AH480" i="84"/>
  <c r="AH787" i="84"/>
  <c r="AH254" i="84"/>
  <c r="AH61" i="84"/>
  <c r="AH544" i="84"/>
  <c r="AH947" i="84"/>
  <c r="AH330" i="84"/>
  <c r="AH528" i="84"/>
  <c r="AH915" i="84"/>
  <c r="AH310" i="84"/>
  <c r="AH897" i="84"/>
  <c r="AH592" i="84"/>
  <c r="AH166" i="84"/>
  <c r="AH394" i="84"/>
  <c r="AH913" i="84"/>
  <c r="AH377" i="84"/>
  <c r="AH201" i="84"/>
  <c r="AH730" i="84"/>
  <c r="AH313" i="84"/>
  <c r="AH297" i="84"/>
  <c r="AH348" i="84"/>
  <c r="AH556" i="84"/>
  <c r="AH700" i="84"/>
  <c r="AH233" i="84"/>
  <c r="AH188" i="84"/>
  <c r="AH844" i="84"/>
  <c r="AH204" i="84"/>
  <c r="AH652" i="84"/>
  <c r="AH412" i="84"/>
  <c r="AH268" i="84"/>
  <c r="AH894" i="84"/>
  <c r="AH903" i="84"/>
  <c r="AH197" i="84"/>
  <c r="AH546" i="84"/>
  <c r="AH835" i="84"/>
  <c r="AH581" i="84"/>
  <c r="AH549" i="84"/>
  <c r="AH871" i="84"/>
  <c r="AH501" i="84"/>
  <c r="AH318" i="84"/>
  <c r="AH488" i="84"/>
  <c r="AH446" i="84"/>
  <c r="AH503" i="84"/>
  <c r="AH232" i="84"/>
  <c r="AH867" i="84"/>
  <c r="AH692" i="84"/>
  <c r="AH891" i="84"/>
  <c r="AH468" i="84"/>
  <c r="AH351" i="84"/>
  <c r="BT31" i="82"/>
  <c r="AH52" i="84"/>
  <c r="AH507" i="84"/>
  <c r="AH631" i="84"/>
  <c r="AH251" i="84"/>
  <c r="AH91" i="84"/>
  <c r="AH312" i="84"/>
  <c r="AH561" i="84"/>
  <c r="AH900" i="84"/>
  <c r="AH642" i="84"/>
  <c r="AH527" i="84"/>
  <c r="AH555" i="84"/>
  <c r="AH327" i="84"/>
  <c r="AH274" i="84"/>
  <c r="AH680" i="84"/>
  <c r="AH931" i="84"/>
  <c r="AH710" i="84"/>
  <c r="AH244" i="84"/>
  <c r="AH895" i="84"/>
  <c r="X4" i="68"/>
  <c r="W4" i="68"/>
  <c r="X4" i="76"/>
  <c r="W4" i="76"/>
  <c r="T31" i="76"/>
  <c r="Y31" i="52"/>
  <c r="X31" i="52"/>
  <c r="V31" i="52"/>
  <c r="A31" i="80"/>
  <c r="W31" i="80"/>
  <c r="W31" i="64"/>
  <c r="A31" i="64"/>
  <c r="W31" i="56"/>
  <c r="A31" i="56"/>
  <c r="Y31" i="79"/>
  <c r="V31" i="79"/>
  <c r="A31" i="79"/>
  <c r="X31" i="79"/>
  <c r="Y31" i="71"/>
  <c r="V31" i="71"/>
  <c r="A31" i="71"/>
  <c r="X31" i="71"/>
  <c r="A31" i="63"/>
  <c r="V31" i="63"/>
  <c r="X31" i="47"/>
  <c r="A31" i="47"/>
  <c r="V31" i="47"/>
  <c r="Y31" i="47"/>
  <c r="Y31" i="78"/>
  <c r="X31" i="78"/>
  <c r="U31" i="78"/>
  <c r="A31" i="78"/>
  <c r="Y31" i="70"/>
  <c r="U31" i="70"/>
  <c r="X31" i="70"/>
  <c r="Y31" i="54"/>
  <c r="U31" i="54"/>
  <c r="A31" i="46"/>
  <c r="X31" i="46"/>
  <c r="U31" i="46"/>
  <c r="Y31" i="46"/>
  <c r="BF873" i="84"/>
  <c r="BF47" i="84"/>
  <c r="BF589" i="84"/>
  <c r="BF659" i="84"/>
  <c r="BF635" i="84"/>
  <c r="BF453" i="84"/>
  <c r="BF584" i="84"/>
  <c r="BF399" i="84"/>
  <c r="BF707" i="84"/>
  <c r="BF383" i="84"/>
  <c r="BF341" i="84"/>
  <c r="BF796" i="84"/>
  <c r="BF876" i="84"/>
  <c r="BF630" i="84"/>
  <c r="BF108" i="84"/>
  <c r="BF511" i="84"/>
  <c r="BF389" i="84"/>
  <c r="BF316" i="84"/>
  <c r="BW18" i="82"/>
  <c r="BF878" i="84"/>
  <c r="BF13" i="84"/>
  <c r="BF404" i="84"/>
  <c r="BF393" i="84"/>
  <c r="BF906" i="84"/>
  <c r="BF643" i="84"/>
  <c r="BF766" i="84"/>
  <c r="BF927" i="84"/>
  <c r="BF420" i="84"/>
  <c r="BF133" i="84"/>
  <c r="BF192" i="84"/>
  <c r="BF629" i="84"/>
  <c r="BF598" i="84"/>
  <c r="BF753" i="84"/>
  <c r="BF768" i="84"/>
  <c r="BF586" i="84"/>
  <c r="BF76" i="84"/>
  <c r="BF443" i="84"/>
  <c r="BF345" i="84"/>
  <c r="BF284" i="84"/>
  <c r="BF10" i="84"/>
  <c r="BF93" i="84"/>
  <c r="BF948" i="84"/>
  <c r="BF267" i="84"/>
  <c r="BF952" i="84"/>
  <c r="BF928" i="84"/>
  <c r="BF681" i="84"/>
  <c r="BF260" i="84"/>
  <c r="BF427" i="84"/>
  <c r="BF547" i="84"/>
  <c r="BF678" i="84"/>
  <c r="BF197" i="84"/>
  <c r="BF834" i="84"/>
  <c r="BF381" i="84"/>
  <c r="BF236" i="84"/>
  <c r="BF164" i="84"/>
  <c r="BW44" i="82"/>
  <c r="BF578" i="84"/>
  <c r="BF360" i="84"/>
  <c r="BF433" i="84"/>
  <c r="BF946" i="84"/>
  <c r="BF460" i="84"/>
  <c r="BF415" i="84"/>
  <c r="BF608" i="84"/>
  <c r="BF186" i="84"/>
  <c r="BW39" i="82"/>
  <c r="BF675" i="84"/>
  <c r="BF334" i="84"/>
  <c r="BF746" i="84"/>
  <c r="BF949" i="84"/>
  <c r="BF705" i="84"/>
  <c r="BF348" i="84"/>
  <c r="BF364" i="84"/>
  <c r="BF797" i="84"/>
  <c r="BF504" i="84"/>
  <c r="BF614" i="84"/>
  <c r="BF159" i="84"/>
  <c r="BF305" i="84"/>
  <c r="BF676" i="84"/>
  <c r="BF863" i="84"/>
  <c r="BF858" i="84"/>
  <c r="BF141" i="84"/>
  <c r="BF347" i="84"/>
  <c r="BF466" i="84"/>
  <c r="BF188" i="84"/>
  <c r="BF106" i="84"/>
  <c r="BF562" i="84"/>
  <c r="BW10" i="82"/>
  <c r="BF961" i="84"/>
  <c r="BF903" i="84"/>
  <c r="BF807" i="84"/>
  <c r="BF388" i="84"/>
  <c r="BF521" i="84"/>
  <c r="BF725" i="84"/>
  <c r="BF226" i="84"/>
  <c r="BW45" i="82"/>
  <c r="BF219" i="84"/>
  <c r="BF757" i="84"/>
  <c r="BW30" i="82"/>
  <c r="BF644" i="84"/>
  <c r="BF688" i="84"/>
  <c r="BF814" i="84"/>
  <c r="BF109" i="84"/>
  <c r="BF500" i="84"/>
  <c r="BF434" i="84"/>
  <c r="BF535" i="84"/>
  <c r="BF150" i="84"/>
  <c r="BF391" i="84"/>
  <c r="BF871" i="84"/>
  <c r="BF545" i="84"/>
  <c r="BF737" i="84"/>
  <c r="BF744" i="84"/>
  <c r="BF566" i="84"/>
  <c r="BF60" i="84"/>
  <c r="BF436" i="84"/>
  <c r="BF322" i="84"/>
  <c r="BF760" i="84"/>
  <c r="BF340" i="84"/>
  <c r="BF821" i="84"/>
  <c r="BF684" i="84"/>
  <c r="BF440" i="84"/>
  <c r="BF553" i="84"/>
  <c r="BF252" i="84"/>
  <c r="BF191" i="84"/>
  <c r="BF153" i="84"/>
  <c r="BF710" i="84"/>
  <c r="BF189" i="84"/>
  <c r="BF258" i="84"/>
  <c r="BF896" i="84"/>
  <c r="BF454" i="84"/>
  <c r="BW8" i="82"/>
  <c r="BF938" i="84"/>
  <c r="BF824" i="84"/>
  <c r="BF344" i="84"/>
  <c r="BF376" i="84"/>
  <c r="BF637" i="84"/>
  <c r="BF23" i="84"/>
  <c r="BF100" i="84"/>
  <c r="BF915" i="84"/>
  <c r="BF303" i="84"/>
  <c r="BF482" i="84"/>
  <c r="BF30" i="84"/>
  <c r="BF537" i="84"/>
  <c r="BF933" i="84"/>
  <c r="BF112" i="84"/>
  <c r="BF756" i="84"/>
  <c r="BF804" i="84"/>
  <c r="BF736" i="84"/>
  <c r="BF822" i="84"/>
  <c r="BW43" i="82"/>
  <c r="BF157" i="84"/>
  <c r="BF653" i="84"/>
  <c r="BF625" i="84"/>
  <c r="BF552" i="84"/>
  <c r="BF151" i="84"/>
  <c r="BF278" i="84"/>
  <c r="BF338" i="84"/>
  <c r="BF116" i="84"/>
  <c r="BW33" i="82"/>
  <c r="BF68" i="84"/>
  <c r="BF201" i="84"/>
  <c r="BF931" i="84"/>
  <c r="BF813" i="84"/>
  <c r="BF833" i="84"/>
  <c r="BF319" i="84"/>
  <c r="BF369" i="84"/>
  <c r="BF528" i="84"/>
  <c r="BF327" i="84"/>
  <c r="BW11" i="82"/>
  <c r="BF371" i="84"/>
  <c r="BF507" i="84"/>
  <c r="BF17" i="84"/>
  <c r="BF621" i="84"/>
  <c r="BF581" i="84"/>
  <c r="BF697" i="84"/>
  <c r="BW23" i="82"/>
  <c r="BF246" i="84"/>
  <c r="BF611" i="84"/>
  <c r="BF84" i="84"/>
  <c r="BF57" i="84"/>
  <c r="BF167" i="84"/>
  <c r="BF745" i="84"/>
  <c r="BW46" i="82"/>
  <c r="BF628" i="84"/>
  <c r="BF668" i="84"/>
  <c r="BF843" i="84"/>
  <c r="BF502" i="84"/>
  <c r="BF230" i="84"/>
  <c r="BF194" i="84"/>
  <c r="BF577" i="84"/>
  <c r="BF838" i="84"/>
  <c r="BF770" i="84"/>
  <c r="BF234" i="84"/>
  <c r="BF375" i="84"/>
  <c r="BF859" i="84"/>
  <c r="BF162" i="84"/>
  <c r="BF664" i="84"/>
  <c r="BF368" i="84"/>
  <c r="BF198" i="84"/>
  <c r="BF702" i="84"/>
  <c r="BF503" i="84"/>
  <c r="BF958" i="84"/>
  <c r="BF479" i="84"/>
  <c r="BF932" i="84"/>
  <c r="BF754" i="84"/>
  <c r="BF663" i="84"/>
  <c r="BF734" i="84"/>
  <c r="BF704" i="84"/>
  <c r="BF851" i="84"/>
  <c r="BF98" i="84"/>
  <c r="BF250" i="84"/>
  <c r="BF274" i="84"/>
  <c r="BF956" i="84"/>
  <c r="BF741" i="84"/>
  <c r="BF229" i="84"/>
  <c r="BF622" i="84"/>
  <c r="BF743" i="84"/>
  <c r="BF373" i="84"/>
  <c r="BF922" i="84"/>
  <c r="BF631" i="84"/>
  <c r="BF439" i="84"/>
  <c r="BW28" i="82"/>
  <c r="BF321" i="84"/>
  <c r="BF301" i="84"/>
  <c r="BF203" i="84"/>
  <c r="BF803" i="84"/>
  <c r="BF895" i="84"/>
  <c r="BF816" i="84"/>
  <c r="BF292" i="84"/>
  <c r="BF422" i="84"/>
  <c r="BF646" i="84"/>
  <c r="BF199" i="84"/>
  <c r="BF7" i="84"/>
  <c r="BF514" i="84"/>
  <c r="BF180" i="84"/>
  <c r="BF184" i="84"/>
  <c r="BF590" i="84"/>
  <c r="BF539" i="84"/>
  <c r="BF337" i="84"/>
  <c r="BF960" i="84"/>
  <c r="BF392" i="84"/>
  <c r="BF407" i="84"/>
  <c r="BF241" i="84"/>
  <c r="BF24" i="84"/>
  <c r="BF309" i="84"/>
  <c r="BF431" i="84"/>
  <c r="BF49" i="84"/>
  <c r="BF605" i="84"/>
  <c r="BF561" i="84"/>
  <c r="BF657" i="84"/>
  <c r="BF794" i="84"/>
  <c r="BF331" i="84"/>
  <c r="BF295" i="84"/>
  <c r="BF458" i="84"/>
  <c r="BF86" i="84"/>
  <c r="BF548" i="84"/>
  <c r="BF302" i="84"/>
  <c r="BF559" i="84"/>
  <c r="BF789" i="84"/>
  <c r="BF455" i="84"/>
  <c r="BF954" i="84"/>
  <c r="BF177" i="84"/>
  <c r="BF563" i="84"/>
  <c r="BF647" i="84"/>
  <c r="BF571" i="84"/>
  <c r="BF357" i="84"/>
  <c r="BF531" i="84"/>
  <c r="BF81" i="84"/>
  <c r="BF550" i="84"/>
  <c r="BF730" i="84"/>
  <c r="BF709" i="84"/>
  <c r="BF572" i="84"/>
  <c r="BF468" i="84"/>
  <c r="BF508" i="84"/>
  <c r="BF262" i="84"/>
  <c r="BF25" i="84"/>
  <c r="BF773" i="84"/>
  <c r="BF784" i="84"/>
  <c r="BF69" i="84"/>
  <c r="BF78" i="84"/>
  <c r="BF432" i="84"/>
  <c r="BF613" i="84"/>
  <c r="BF935" i="84"/>
  <c r="BF654" i="84"/>
  <c r="BF70" i="84"/>
  <c r="BF29" i="84"/>
  <c r="BF53" i="84"/>
  <c r="BF620" i="84"/>
  <c r="BF259" i="84"/>
  <c r="BF286" i="84"/>
  <c r="BF409" i="84"/>
  <c r="BF926" i="84"/>
  <c r="BF711" i="84"/>
  <c r="BF908" i="84"/>
  <c r="BF902" i="84"/>
  <c r="BF484" i="84"/>
  <c r="BF149" i="84"/>
  <c r="BF727" i="84"/>
  <c r="BF89" i="84"/>
  <c r="BF469" i="84"/>
  <c r="BF769" i="84"/>
  <c r="BF805" i="84"/>
  <c r="BF610" i="84"/>
  <c r="BF92" i="84"/>
  <c r="BF459" i="84"/>
  <c r="BF365" i="84"/>
  <c r="BF300" i="84"/>
  <c r="BW34" i="82"/>
  <c r="BF774" i="84"/>
  <c r="BF588" i="84"/>
  <c r="BF355" i="84"/>
  <c r="BF377" i="84"/>
  <c r="BF886" i="84"/>
  <c r="BF579" i="84"/>
  <c r="BF726" i="84"/>
  <c r="BF880" i="84"/>
  <c r="BF356" i="84"/>
  <c r="BF117" i="84"/>
  <c r="BF224" i="84"/>
  <c r="BW13" i="82"/>
  <c r="BW20" i="82"/>
  <c r="BF216" i="84"/>
  <c r="BF574" i="84"/>
  <c r="BF485" i="84"/>
  <c r="BF655" i="84"/>
  <c r="BF632" i="84"/>
  <c r="BF750" i="84"/>
  <c r="BF268" i="84"/>
  <c r="BF207" i="84"/>
  <c r="BF400" i="84"/>
  <c r="BF525" i="84"/>
  <c r="BF88" i="84"/>
  <c r="BF616" i="84"/>
  <c r="BF339" i="84"/>
  <c r="BF623" i="84"/>
  <c r="BF818" i="84"/>
  <c r="BF36" i="84"/>
  <c r="BF693" i="84"/>
  <c r="BF121" i="84"/>
  <c r="BF892" i="84"/>
  <c r="BF966" i="84"/>
  <c r="BF227" i="84"/>
  <c r="BF564" i="84"/>
  <c r="BF947" i="84"/>
  <c r="BF405" i="84"/>
  <c r="BF601" i="84"/>
  <c r="BF26" i="84"/>
  <c r="BF568" i="84"/>
  <c r="BF85" i="84"/>
  <c r="BF176" i="84"/>
  <c r="BF8" i="84"/>
  <c r="BF271" i="84"/>
  <c r="BF522" i="84"/>
  <c r="BF959" i="84"/>
  <c r="BF865" i="84"/>
  <c r="BF555" i="84"/>
  <c r="BF412" i="84"/>
  <c r="BF513" i="84"/>
  <c r="BF273" i="84"/>
  <c r="BF825" i="84"/>
  <c r="BF923" i="84"/>
  <c r="BF827" i="84"/>
  <c r="BF452" i="84"/>
  <c r="BF649" i="84"/>
  <c r="BF765" i="84"/>
  <c r="BF242" i="84"/>
  <c r="BF21" i="84"/>
  <c r="BF187" i="84"/>
  <c r="BF283" i="84"/>
  <c r="BW14" i="82"/>
  <c r="BF660" i="84"/>
  <c r="BF747" i="84"/>
  <c r="BF887" i="84"/>
  <c r="BF125" i="84"/>
  <c r="BF679" i="84"/>
  <c r="BF450" i="84"/>
  <c r="BF172" i="84"/>
  <c r="BF122" i="84"/>
  <c r="BF39" i="84"/>
  <c r="BW42" i="82"/>
  <c r="BF945" i="84"/>
  <c r="BF879" i="84"/>
  <c r="BF783" i="84"/>
  <c r="BF330" i="84"/>
  <c r="BF723" i="84"/>
  <c r="BF817" i="84"/>
  <c r="BF210" i="84"/>
  <c r="BW29" i="82"/>
  <c r="BF251" i="84"/>
  <c r="BF63" i="84"/>
  <c r="BF823" i="84"/>
  <c r="BF419" i="84"/>
  <c r="BF361" i="84"/>
  <c r="BF862" i="84"/>
  <c r="BF515" i="84"/>
  <c r="BF662" i="84"/>
  <c r="BF677" i="84"/>
  <c r="BF101" i="84"/>
  <c r="BF333" i="84"/>
  <c r="BF519" i="84"/>
  <c r="BF651" i="84"/>
  <c r="BF58" i="84"/>
  <c r="BF315" i="84"/>
  <c r="BF174" i="84"/>
  <c r="BF699" i="84"/>
  <c r="BF325" i="84"/>
  <c r="BF332" i="84"/>
  <c r="BF218" i="84"/>
  <c r="BF131" i="84"/>
  <c r="BF214" i="84"/>
  <c r="BF163" i="84"/>
  <c r="BF105" i="84"/>
  <c r="BW25" i="82"/>
  <c r="BF329" i="84"/>
  <c r="A31" i="70"/>
  <c r="W4" i="73"/>
  <c r="T32" i="73"/>
  <c r="X4" i="73"/>
  <c r="X4" i="74"/>
  <c r="E32" i="65"/>
  <c r="W4" i="80"/>
  <c r="W4" i="72"/>
  <c r="U31" i="59"/>
  <c r="Y31" i="63"/>
  <c r="V31" i="55"/>
  <c r="V31" i="57"/>
  <c r="V31" i="48"/>
  <c r="V31" i="66"/>
  <c r="Y31" i="66"/>
  <c r="U31" i="66"/>
  <c r="X31" i="66"/>
  <c r="T31" i="66"/>
  <c r="A31" i="66"/>
  <c r="W4" i="66"/>
  <c r="X4" i="66"/>
  <c r="T31" i="65"/>
  <c r="U31" i="65"/>
  <c r="X31" i="65"/>
  <c r="Y31" i="65"/>
  <c r="A31" i="65"/>
  <c r="X4" i="65"/>
  <c r="W4" i="65"/>
  <c r="X31" i="64"/>
  <c r="U31" i="64"/>
  <c r="Y31" i="64"/>
  <c r="T31" i="64"/>
  <c r="W4" i="64"/>
  <c r="T31" i="63"/>
  <c r="X4" i="63"/>
  <c r="W4" i="63"/>
  <c r="Y31" i="62"/>
  <c r="U31" i="62"/>
  <c r="X31" i="62"/>
  <c r="T31" i="62"/>
  <c r="X4" i="62"/>
  <c r="W4" i="62"/>
  <c r="T31" i="61"/>
  <c r="AB11" i="61" s="1"/>
  <c r="AA19" i="61" s="1"/>
  <c r="U31" i="61"/>
  <c r="X31" i="61"/>
  <c r="Y31" i="61"/>
  <c r="X4" i="61"/>
  <c r="W4" i="61"/>
  <c r="T31" i="60"/>
  <c r="AB11" i="60" s="1"/>
  <c r="AA19" i="60" s="1"/>
  <c r="X31" i="60"/>
  <c r="U31" i="60"/>
  <c r="Y31" i="60"/>
  <c r="A31" i="60"/>
  <c r="W4" i="60"/>
  <c r="Y31" i="59"/>
  <c r="T31" i="59"/>
  <c r="X31" i="59"/>
  <c r="V31" i="59"/>
  <c r="A31" i="59"/>
  <c r="X4" i="59"/>
  <c r="W4" i="59"/>
  <c r="A31" i="58"/>
  <c r="V31" i="58"/>
  <c r="X31" i="58"/>
  <c r="W4" i="58"/>
  <c r="Y31" i="57"/>
  <c r="X31" i="57"/>
  <c r="W4" i="57"/>
  <c r="X4" i="56"/>
  <c r="W4" i="56"/>
  <c r="T32" i="56"/>
  <c r="X31" i="55"/>
  <c r="Y31" i="55"/>
  <c r="T31" i="55"/>
  <c r="X4" i="55"/>
  <c r="W4" i="55"/>
  <c r="A31" i="54"/>
  <c r="T31" i="54"/>
  <c r="W4" i="54"/>
  <c r="T31" i="53"/>
  <c r="W4" i="53"/>
  <c r="T31" i="52"/>
  <c r="A31" i="52"/>
  <c r="X4" i="52"/>
  <c r="V31" i="51"/>
  <c r="X31" i="51"/>
  <c r="T31" i="51"/>
  <c r="Y31" i="51"/>
  <c r="W31" i="51"/>
  <c r="X4" i="51"/>
  <c r="W4" i="51"/>
  <c r="A31" i="50"/>
  <c r="X4" i="50"/>
  <c r="W4" i="50"/>
  <c r="A31" i="49"/>
  <c r="W4" i="49"/>
  <c r="X4" i="49"/>
  <c r="T31" i="49"/>
  <c r="W4" i="48"/>
  <c r="T31" i="47"/>
  <c r="T31" i="46"/>
  <c r="X4" i="46"/>
  <c r="T31" i="45"/>
  <c r="W4" i="45"/>
  <c r="X4" i="45"/>
  <c r="W31" i="44"/>
  <c r="V31" i="44"/>
  <c r="X31" i="44"/>
  <c r="Y31" i="44"/>
  <c r="A31" i="44"/>
  <c r="T31" i="44"/>
  <c r="T31" i="43"/>
  <c r="V31" i="43"/>
  <c r="Y31" i="43"/>
  <c r="A31" i="5"/>
  <c r="X4" i="44"/>
  <c r="W4" i="44"/>
  <c r="W4" i="43"/>
  <c r="X4" i="5"/>
  <c r="T32" i="5"/>
  <c r="AB12" i="5" s="1"/>
  <c r="AA20" i="5" s="1"/>
  <c r="W4" i="5"/>
  <c r="A2" i="45"/>
  <c r="A2" i="47"/>
  <c r="A2" i="55"/>
  <c r="A2" i="59"/>
  <c r="A2" i="46"/>
  <c r="A2" i="51"/>
  <c r="A2" i="63"/>
  <c r="A2" i="62"/>
  <c r="A2" i="5"/>
  <c r="A2" i="54"/>
  <c r="BF294" i="84"/>
  <c r="BF320" i="84"/>
  <c r="BF290" i="84"/>
  <c r="BF587" i="84"/>
  <c r="BF231" i="84"/>
  <c r="BF626" i="84"/>
  <c r="BF185" i="84"/>
  <c r="BF486" i="84"/>
  <c r="BF90" i="84"/>
  <c r="BF299" i="84"/>
  <c r="BF94" i="84"/>
  <c r="BF27" i="84"/>
  <c r="BF424" i="84"/>
  <c r="BF293" i="84"/>
  <c r="BF291" i="84"/>
  <c r="BW38" i="82"/>
  <c r="BF139" i="84"/>
  <c r="BF110" i="84"/>
  <c r="BW41" i="82"/>
  <c r="BF387" i="84"/>
  <c r="BF307" i="84"/>
  <c r="BF248" i="84"/>
  <c r="BF888" i="84"/>
  <c r="BF558" i="84"/>
  <c r="BF846" i="84"/>
  <c r="BF465" i="84"/>
  <c r="BF661" i="84"/>
  <c r="BF591" i="84"/>
  <c r="BF244" i="84"/>
  <c r="BF66" i="84"/>
  <c r="BF38" i="84"/>
  <c r="BF897" i="84"/>
  <c r="BF596" i="84"/>
  <c r="BF830" i="84"/>
  <c r="BF624" i="84"/>
  <c r="BF832" i="84"/>
  <c r="BF781" i="84"/>
  <c r="BF282" i="84"/>
  <c r="BF61" i="84"/>
  <c r="BF390" i="84"/>
  <c r="BF430" i="84"/>
  <c r="BF158" i="84"/>
  <c r="BF700" i="84"/>
  <c r="BF441" i="84"/>
  <c r="BF864" i="84"/>
  <c r="BF857" i="84"/>
  <c r="BF674" i="84"/>
  <c r="BF362" i="84"/>
  <c r="BF140" i="84"/>
  <c r="BF565" i="84"/>
  <c r="BF136" i="84"/>
  <c r="BF233" i="84"/>
  <c r="BF850" i="84"/>
  <c r="BF541" i="84"/>
  <c r="BF885" i="84"/>
  <c r="BF698" i="84"/>
  <c r="BF715" i="84"/>
  <c r="BF739" i="84"/>
  <c r="BF223" i="84"/>
  <c r="BF208" i="84"/>
  <c r="BF802" i="84"/>
  <c r="BF934" i="84"/>
  <c r="BF640" i="84"/>
  <c r="BF175" i="84"/>
  <c r="BF470" i="84"/>
  <c r="BF549" i="84"/>
  <c r="BF247" i="84"/>
  <c r="BF146" i="84"/>
  <c r="BF462" i="84"/>
  <c r="BF289" i="84"/>
  <c r="BF642" i="84"/>
  <c r="BF918" i="84"/>
  <c r="BF965" i="84"/>
  <c r="BF96" i="84"/>
  <c r="BF306" i="84"/>
  <c r="BF658" i="84"/>
  <c r="BF245" i="84"/>
  <c r="BW37" i="82"/>
  <c r="BF237" i="84"/>
  <c r="BF363" i="84"/>
  <c r="BF285" i="84"/>
  <c r="BW27" i="82"/>
  <c r="BF673" i="84"/>
  <c r="BF671" i="84"/>
  <c r="BF75" i="84"/>
  <c r="BF350" i="84"/>
  <c r="BF119" i="84"/>
  <c r="BF451" i="84"/>
  <c r="BF254" i="84"/>
  <c r="BF11" i="84"/>
  <c r="BF595" i="84"/>
  <c r="BF275" i="84"/>
  <c r="BF732" i="84"/>
  <c r="BF473" i="84"/>
  <c r="BF791" i="84"/>
  <c r="BF901" i="84"/>
  <c r="BF755" i="84"/>
  <c r="BF394" i="84"/>
  <c r="BF213" i="84"/>
  <c r="BW17" i="82"/>
  <c r="BF352" i="84"/>
  <c r="BF882" i="84"/>
  <c r="BF703" i="84"/>
  <c r="BF775" i="84"/>
  <c r="BF689" i="84"/>
  <c r="BF772" i="84"/>
  <c r="BF680" i="84"/>
  <c r="BF695" i="84"/>
  <c r="BF115" i="84"/>
  <c r="BF491" i="84"/>
  <c r="BF809" i="84"/>
  <c r="BF382" i="84"/>
  <c r="BF849" i="84"/>
  <c r="BF909" i="84"/>
  <c r="BF820" i="84"/>
  <c r="BF911" i="84"/>
  <c r="BF683" i="84"/>
  <c r="BF463" i="84"/>
  <c r="BF12" i="84"/>
  <c r="BF493" i="84"/>
  <c r="BF476" i="84"/>
  <c r="BF144" i="84"/>
  <c r="BF835" i="84"/>
  <c r="BF638" i="84"/>
  <c r="BF939" i="84"/>
  <c r="BF530" i="84"/>
  <c r="BF536" i="84"/>
  <c r="BF413" i="84"/>
  <c r="BF324" i="84"/>
  <c r="BF403" i="84"/>
  <c r="BF764" i="84"/>
  <c r="BF831" i="84"/>
  <c r="BF533" i="84"/>
  <c r="BF384" i="84"/>
  <c r="BF627" i="84"/>
  <c r="BF477" i="84"/>
  <c r="BF396" i="84"/>
  <c r="BF193" i="84"/>
  <c r="BF761" i="84"/>
  <c r="BF893" i="84"/>
  <c r="BF914" i="84"/>
  <c r="BF815" i="84"/>
  <c r="BF583" i="84"/>
  <c r="BF607" i="84"/>
  <c r="BF386" i="84"/>
  <c r="BF509" i="84"/>
  <c r="BF263" i="84"/>
  <c r="BF701" i="84"/>
  <c r="BF313" i="84"/>
  <c r="BF639" i="84"/>
  <c r="BF264" i="84"/>
  <c r="BW26" i="82"/>
  <c r="BF195" i="84"/>
  <c r="BF551" i="84"/>
  <c r="BW15" i="82"/>
  <c r="BF46" i="84"/>
  <c r="BF50" i="84"/>
  <c r="BF65" i="84"/>
  <c r="BF123" i="84"/>
  <c r="BF33" i="84"/>
  <c r="BF751" i="84"/>
  <c r="BF483" i="84"/>
  <c r="BF721" i="84"/>
  <c r="BF953" i="84"/>
  <c r="BF724" i="84"/>
  <c r="BF955" i="84"/>
  <c r="BF546" i="84"/>
  <c r="BF495" i="84"/>
  <c r="BF44" i="84"/>
  <c r="BF40" i="84"/>
  <c r="BF113" i="84"/>
  <c r="BF867" i="84"/>
  <c r="BF573" i="84"/>
  <c r="BF925" i="84"/>
  <c r="BF517" i="84"/>
  <c r="BF714" i="84"/>
  <c r="BF569" i="84"/>
  <c r="BF255" i="84"/>
  <c r="BF154" i="84"/>
  <c r="BF79" i="84"/>
  <c r="BF127" i="84"/>
  <c r="BF696" i="84"/>
  <c r="BF731" i="84"/>
  <c r="BF854" i="84"/>
  <c r="BF742" i="84"/>
  <c r="BF916" i="84"/>
  <c r="BF917" i="84"/>
  <c r="BF335" i="84"/>
  <c r="BF217" i="84"/>
  <c r="BF506" i="84"/>
  <c r="BF270" i="84"/>
  <c r="BF380" i="84"/>
  <c r="BF940" i="84"/>
  <c r="BF800" i="84"/>
  <c r="BF782" i="84"/>
  <c r="BF401" i="84"/>
  <c r="BF597" i="84"/>
  <c r="BF474" i="84"/>
  <c r="BF196" i="84"/>
  <c r="BW35" i="82"/>
  <c r="BF738" i="84"/>
  <c r="BF713" i="84"/>
  <c r="BF461" i="84"/>
  <c r="BF99" i="84"/>
  <c r="BF379" i="84"/>
  <c r="BF498" i="84"/>
  <c r="BF220" i="84"/>
  <c r="BF74" i="84"/>
  <c r="BF16" i="84"/>
  <c r="BF67" i="84"/>
  <c r="BF786" i="84"/>
  <c r="BF910" i="84"/>
  <c r="BF518" i="84"/>
  <c r="BF257" i="84"/>
  <c r="BF442" i="84"/>
  <c r="BF288" i="84"/>
  <c r="BF505" i="84"/>
  <c r="BF209" i="84"/>
  <c r="BF615" i="84"/>
  <c r="BF540" i="84"/>
  <c r="BF204" i="84"/>
  <c r="BF496" i="84"/>
  <c r="BF318" i="84"/>
  <c r="BF114" i="84"/>
  <c r="BF907" i="84"/>
  <c r="BF845" i="84"/>
  <c r="BF429" i="84"/>
  <c r="BW22" i="82"/>
  <c r="BW19" i="82"/>
  <c r="BF554" i="84"/>
  <c r="BF414" i="84"/>
  <c r="BF31" i="84"/>
  <c r="BF55" i="84"/>
  <c r="BF585" i="84"/>
  <c r="BF706" i="84"/>
  <c r="BF894" i="84"/>
  <c r="BF793" i="84"/>
  <c r="BF798" i="84"/>
  <c r="BF417" i="84"/>
  <c r="BF367" i="84"/>
  <c r="BF336" i="84"/>
  <c r="BF304" i="84"/>
  <c r="BF80" i="84"/>
  <c r="BF900" i="84"/>
  <c r="BF670" i="84"/>
  <c r="BF870" i="84"/>
  <c r="BF570" i="84"/>
  <c r="BF576" i="84"/>
  <c r="BF497" i="84"/>
  <c r="BF428" i="84"/>
  <c r="BF848" i="84"/>
  <c r="BF82" i="84"/>
  <c r="BF54" i="84"/>
  <c r="BF881" i="84"/>
  <c r="BF580" i="84"/>
  <c r="BF810" i="84"/>
  <c r="BF604" i="84"/>
  <c r="BF841" i="84"/>
  <c r="BF712" i="84"/>
  <c r="BF266" i="84"/>
  <c r="BF45" i="84"/>
  <c r="BF374" i="84"/>
  <c r="BF494" i="84"/>
  <c r="BF222" i="84"/>
  <c r="BF829" i="84"/>
  <c r="BF425" i="84"/>
  <c r="BF840" i="84"/>
  <c r="BF950" i="84"/>
  <c r="BF650" i="84"/>
  <c r="BF346" i="84"/>
  <c r="BF124" i="84"/>
  <c r="BF118" i="84"/>
  <c r="BF516" i="84"/>
  <c r="BF520" i="84"/>
  <c r="BF777" i="84"/>
  <c r="BW21" i="82"/>
  <c r="BF310" i="84"/>
  <c r="BF370" i="84"/>
  <c r="BF148" i="84"/>
  <c r="BF111" i="84"/>
  <c r="BF921" i="84"/>
  <c r="BF240" i="84"/>
  <c r="BF748" i="84"/>
  <c r="BF811" i="84"/>
  <c r="BF132" i="84"/>
  <c r="BF15" i="84"/>
  <c r="BF799" i="84"/>
  <c r="BF398" i="84"/>
  <c r="BF402" i="84"/>
  <c r="BF532" i="84"/>
  <c r="BF279" i="84"/>
  <c r="BF481" i="84"/>
  <c r="BF168" i="84"/>
  <c r="BF9" i="84"/>
  <c r="BF232" i="84"/>
  <c r="BF165" i="84"/>
  <c r="BF501" i="84"/>
  <c r="BF478" i="84"/>
  <c r="BF137" i="84"/>
  <c r="BW40" i="82"/>
  <c r="BF169" i="84"/>
  <c r="BF34" i="84"/>
  <c r="BF22" i="84"/>
  <c r="BF913" i="84"/>
  <c r="BF612" i="84"/>
  <c r="BF860" i="84"/>
  <c r="BF648" i="84"/>
  <c r="BF856" i="84"/>
  <c r="BF904" i="84"/>
  <c r="BF298" i="84"/>
  <c r="BF77" i="84"/>
  <c r="BF488" i="84"/>
  <c r="BF280" i="84"/>
  <c r="BF852" i="84"/>
  <c r="BF542" i="84"/>
  <c r="BF826" i="84"/>
  <c r="BF445" i="84"/>
  <c r="BF641" i="84"/>
  <c r="BF527" i="84"/>
  <c r="BF228" i="84"/>
  <c r="BF763" i="84"/>
  <c r="BF41" i="84"/>
  <c r="BW31" i="82"/>
  <c r="BF866" i="84"/>
  <c r="BF685" i="84"/>
  <c r="BF872" i="84"/>
  <c r="BF665" i="84"/>
  <c r="BF749" i="84"/>
  <c r="BF636" i="84"/>
  <c r="BF472" i="84"/>
  <c r="BF71" i="84"/>
  <c r="BF475" i="84"/>
  <c r="BF728" i="84"/>
  <c r="BF446" i="84"/>
  <c r="BF801" i="84"/>
  <c r="BF889" i="84"/>
  <c r="BF780" i="84"/>
  <c r="BF891" i="84"/>
  <c r="BF603" i="84"/>
  <c r="BF447" i="84"/>
  <c r="BW36" i="82"/>
  <c r="BW24" i="82"/>
  <c r="BF771" i="84"/>
  <c r="BF634" i="84"/>
  <c r="BF582" i="84"/>
  <c r="BF205" i="84"/>
  <c r="BF182" i="84"/>
  <c r="BF471" i="84"/>
  <c r="BF20" i="84"/>
  <c r="BF265" i="84"/>
  <c r="BF437" i="84"/>
  <c r="BF467" i="84"/>
  <c r="BF722" i="84"/>
  <c r="BF855" i="84"/>
  <c r="BF103" i="84"/>
  <c r="BF179" i="84"/>
  <c r="BF708" i="84"/>
  <c r="BF130" i="84"/>
  <c r="BF326" i="84"/>
  <c r="BF261" i="84"/>
  <c r="BF593" i="84"/>
  <c r="BF102" i="84"/>
  <c r="BF359" i="84"/>
  <c r="BF733" i="84"/>
  <c r="BF444" i="84"/>
  <c r="BW16" i="82"/>
  <c r="BF14" i="84"/>
  <c r="BF225" i="84"/>
  <c r="BF32" i="84"/>
  <c r="BF297" i="84"/>
  <c r="BF104" i="84"/>
  <c r="BF19" i="84"/>
  <c r="BF160" i="84"/>
  <c r="BF143" i="84"/>
  <c r="BF221" i="84"/>
  <c r="BF898" i="84"/>
  <c r="BF767" i="84"/>
  <c r="BF795" i="84"/>
  <c r="BF735" i="84"/>
  <c r="BF812" i="84"/>
  <c r="BF776" i="84"/>
  <c r="BF170" i="84"/>
  <c r="BF296" i="84"/>
  <c r="BF366" i="84"/>
  <c r="BF323" i="84"/>
  <c r="BF716" i="84"/>
  <c r="BF457" i="84"/>
  <c r="BF936" i="84"/>
  <c r="BF877" i="84"/>
  <c r="BF694" i="84"/>
  <c r="BF378" i="84"/>
  <c r="BF156" i="84"/>
  <c r="BF609" i="84"/>
  <c r="BF72" i="84"/>
  <c r="BF145" i="84"/>
  <c r="BF912" i="84"/>
  <c r="BF557" i="84"/>
  <c r="BF905" i="84"/>
  <c r="BF792" i="84"/>
  <c r="BF837" i="84"/>
  <c r="BF529" i="84"/>
  <c r="BF239" i="84"/>
  <c r="BF138" i="84"/>
  <c r="BF147" i="84"/>
  <c r="BF155" i="84"/>
  <c r="BF717" i="84"/>
  <c r="BF692" i="84"/>
  <c r="BF943" i="84"/>
  <c r="BF718" i="84"/>
  <c r="BF847" i="84"/>
  <c r="BF942" i="84"/>
  <c r="BF510" i="84"/>
  <c r="BF161" i="84"/>
  <c r="BF211" i="84"/>
  <c r="BF523" i="84"/>
  <c r="BF941" i="84"/>
  <c r="BF426" i="84"/>
  <c r="BF788" i="84"/>
  <c r="BF957" i="84"/>
  <c r="BF343" i="84"/>
  <c r="BF249" i="84"/>
  <c r="BF152" i="84"/>
  <c r="BF410" i="84"/>
  <c r="BF35" i="84"/>
  <c r="BF924" i="84"/>
  <c r="BF853" i="84"/>
  <c r="BF937" i="84"/>
  <c r="BF828" i="84"/>
  <c r="BF342" i="84"/>
  <c r="BF354" i="84"/>
  <c r="BF181" i="84"/>
  <c r="BF269" i="84"/>
  <c r="BF173" i="84"/>
  <c r="BF372" i="84"/>
  <c r="BF120" i="84"/>
  <c r="BF633" i="84"/>
  <c r="BF107" i="84"/>
  <c r="BF190" i="84"/>
  <c r="BF129" i="84"/>
  <c r="BF126" i="84"/>
  <c r="BF62" i="84"/>
  <c r="BF200" i="84"/>
  <c r="BF128" i="84"/>
  <c r="BW9" i="82"/>
  <c r="BF64" i="84"/>
  <c r="BF884" i="84"/>
  <c r="BF272" i="84"/>
  <c r="BF48" i="84"/>
  <c r="BF964" i="84"/>
  <c r="BF686" i="84"/>
  <c r="BF890" i="84"/>
  <c r="BF594" i="84"/>
  <c r="BF600" i="84"/>
  <c r="BF667" i="84"/>
  <c r="BF492" i="84"/>
  <c r="BF51" i="84"/>
  <c r="BF95" i="84"/>
  <c r="BF524" i="84"/>
  <c r="BF808" i="84"/>
  <c r="BF874" i="84"/>
  <c r="BF762" i="84"/>
  <c r="BF778" i="84"/>
  <c r="BF397" i="84"/>
  <c r="BF351" i="84"/>
  <c r="BF281" i="84"/>
  <c r="BF575" i="84"/>
  <c r="BF206" i="84"/>
  <c r="BF312" i="84"/>
  <c r="BF836" i="84"/>
  <c r="BF526" i="84"/>
  <c r="BF806" i="84"/>
  <c r="BF421" i="84"/>
  <c r="BF617" i="84"/>
  <c r="BF490" i="84"/>
  <c r="BF212" i="84"/>
  <c r="BF672" i="84"/>
  <c r="BF73" i="84"/>
  <c r="BF83" i="84"/>
  <c r="BF963" i="84"/>
  <c r="BF669" i="84"/>
  <c r="BF844" i="84"/>
  <c r="BF645" i="84"/>
  <c r="BF729" i="84"/>
  <c r="BF592" i="84"/>
  <c r="BF408" i="84"/>
  <c r="BF317" i="84"/>
  <c r="BF930" i="84"/>
  <c r="BF839" i="84"/>
  <c r="BF720" i="84"/>
  <c r="BF202" i="84"/>
  <c r="BF534" i="84"/>
  <c r="BF656" i="84"/>
  <c r="BF567" i="84"/>
  <c r="BF87" i="84"/>
  <c r="BF238" i="84"/>
  <c r="BF277" i="84"/>
  <c r="BF243" i="84"/>
  <c r="BF489" i="84"/>
  <c r="AJ53" i="86"/>
  <c r="AJ51" i="86"/>
  <c r="A2" i="60"/>
  <c r="A2" i="52"/>
  <c r="A2" i="44"/>
  <c r="A2" i="58"/>
  <c r="A2" i="50"/>
  <c r="A2" i="43"/>
  <c r="A2" i="57"/>
  <c r="A2" i="49"/>
  <c r="A2" i="56"/>
  <c r="A2" i="48"/>
  <c r="A2" i="61"/>
  <c r="A2" i="53"/>
  <c r="E32" i="53"/>
  <c r="E32" i="56"/>
  <c r="U31" i="43"/>
  <c r="X31" i="43"/>
  <c r="A31" i="43"/>
  <c r="Y31" i="58"/>
  <c r="A31" i="51"/>
  <c r="Y31" i="50"/>
  <c r="W31" i="59"/>
  <c r="X31" i="50"/>
  <c r="V31" i="50"/>
  <c r="X4" i="57"/>
  <c r="W4" i="46"/>
  <c r="X4" i="64"/>
  <c r="X4" i="53"/>
  <c r="X4" i="60"/>
  <c r="AB14" i="61" l="1"/>
  <c r="AB22" i="61" s="1"/>
  <c r="AD12" i="61"/>
  <c r="AC20" i="61" s="1"/>
  <c r="AC11" i="61"/>
  <c r="AB19" i="61" s="1"/>
  <c r="AE11" i="61"/>
  <c r="AD19" i="61" s="1"/>
  <c r="AC15" i="61"/>
  <c r="AC23" i="61" s="1"/>
  <c r="AD12" i="60"/>
  <c r="AC20" i="60" s="1"/>
  <c r="AC15" i="60"/>
  <c r="AC23" i="60" s="1"/>
  <c r="AB14" i="60"/>
  <c r="AB22" i="60" s="1"/>
  <c r="AE11" i="60"/>
  <c r="AD19" i="60" s="1"/>
  <c r="AD14" i="60"/>
  <c r="AD22" i="60" s="1"/>
  <c r="AC11" i="58"/>
  <c r="AB19" i="58" s="1"/>
  <c r="AD12" i="58"/>
  <c r="AC20" i="58" s="1"/>
  <c r="AC15" i="58"/>
  <c r="AC23" i="58" s="1"/>
  <c r="AE11" i="58"/>
  <c r="AD19" i="58" s="1"/>
  <c r="AD14" i="58"/>
  <c r="AD22" i="58" s="1"/>
  <c r="AB14" i="57"/>
  <c r="AB22" i="57" s="1"/>
  <c r="AE11" i="57"/>
  <c r="AD19" i="57" s="1"/>
  <c r="AC11" i="57"/>
  <c r="AB19" i="57" s="1"/>
  <c r="AC15" i="57"/>
  <c r="AC23" i="57" s="1"/>
  <c r="AD12" i="57"/>
  <c r="AC20" i="57" s="1"/>
  <c r="AD14" i="57"/>
  <c r="AD22" i="57" s="1"/>
  <c r="AB11" i="48"/>
  <c r="AA19" i="48" s="1"/>
  <c r="AB14" i="48"/>
  <c r="AB22" i="48" s="1"/>
  <c r="AD14" i="48"/>
  <c r="AD22" i="48" s="1"/>
  <c r="AE11" i="48"/>
  <c r="AD19" i="48" s="1"/>
  <c r="AC15" i="48"/>
  <c r="AC23" i="48" s="1"/>
  <c r="AD12" i="48"/>
  <c r="AC20" i="48" s="1"/>
  <c r="AC11" i="48"/>
  <c r="AB19" i="48" s="1"/>
  <c r="AC11" i="5"/>
  <c r="AB19" i="5" s="1"/>
  <c r="AB14" i="5"/>
  <c r="AB22" i="5" s="1"/>
  <c r="AB11" i="5"/>
  <c r="AA19" i="5" s="1"/>
  <c r="AD12" i="5"/>
  <c r="AC20" i="5" s="1"/>
  <c r="AD14" i="5"/>
  <c r="AD22" i="5" s="1"/>
  <c r="AE11" i="5"/>
  <c r="AD19" i="5" s="1"/>
  <c r="U172" i="84" l="1"/>
  <c r="D334" i="84"/>
  <c r="C604" i="84"/>
  <c r="C99" i="84"/>
  <c r="K88" i="84"/>
  <c r="A45" i="84"/>
  <c r="C457" i="84"/>
  <c r="M858" i="84"/>
  <c r="C253" i="84"/>
  <c r="D397" i="84"/>
  <c r="I825" i="84"/>
  <c r="A169" i="84"/>
  <c r="A495" i="84"/>
  <c r="D199" i="84"/>
  <c r="D558" i="84"/>
  <c r="D87" i="84"/>
  <c r="A501" i="84"/>
  <c r="A174" i="84"/>
  <c r="I744" i="84"/>
  <c r="C28" i="84"/>
  <c r="D120" i="84"/>
  <c r="D763" i="84"/>
  <c r="K585" i="84"/>
  <c r="D379" i="84"/>
  <c r="D351" i="84"/>
  <c r="A883" i="84"/>
  <c r="D168" i="84"/>
  <c r="A23" i="84"/>
  <c r="C918" i="84"/>
  <c r="M59" i="84"/>
  <c r="K229" i="84"/>
  <c r="BL7" i="82"/>
  <c r="L852" i="84"/>
  <c r="D119" i="84"/>
  <c r="D386" i="84"/>
  <c r="C738" i="84"/>
  <c r="D345" i="84"/>
  <c r="J222" i="84"/>
  <c r="K818" i="84"/>
  <c r="A71" i="84"/>
  <c r="K322" i="84"/>
  <c r="C431" i="84"/>
  <c r="I793" i="84"/>
  <c r="M761" i="84"/>
  <c r="I550" i="84"/>
  <c r="D29" i="84"/>
  <c r="A733" i="84"/>
  <c r="I611" i="84"/>
  <c r="D108" i="84"/>
  <c r="C565" i="84"/>
  <c r="C660" i="84"/>
  <c r="C919" i="84"/>
  <c r="B31" i="82"/>
  <c r="A385" i="84"/>
  <c r="K501" i="84"/>
  <c r="A588" i="84"/>
  <c r="K861" i="84"/>
  <c r="D526" i="84"/>
  <c r="M350" i="84"/>
  <c r="D897" i="84"/>
  <c r="A825" i="84"/>
  <c r="I673" i="84"/>
  <c r="I762" i="84"/>
  <c r="I182" i="84"/>
  <c r="D82" i="84"/>
  <c r="D838" i="84"/>
  <c r="I445" i="84"/>
  <c r="C924" i="84"/>
  <c r="D135" i="84"/>
  <c r="I824" i="84"/>
  <c r="C449" i="84"/>
  <c r="A646" i="84"/>
  <c r="A267" i="84"/>
  <c r="I347" i="84"/>
  <c r="C463" i="84"/>
  <c r="C296" i="84"/>
  <c r="D515" i="84"/>
  <c r="C950" i="84"/>
  <c r="C102" i="84"/>
  <c r="C80" i="84"/>
  <c r="I474" i="84"/>
  <c r="A484" i="84"/>
  <c r="D9" i="84"/>
  <c r="C108" i="84"/>
  <c r="M510" i="84"/>
  <c r="M182" i="84"/>
  <c r="D766" i="84"/>
  <c r="K498" i="84"/>
  <c r="I520" i="84"/>
  <c r="D544" i="84"/>
  <c r="I928" i="84"/>
  <c r="A956" i="84"/>
  <c r="M96" i="84"/>
  <c r="I297" i="84"/>
  <c r="C355" i="84"/>
  <c r="D327" i="84"/>
  <c r="A828" i="84"/>
  <c r="D816" i="84"/>
  <c r="A90" i="84"/>
  <c r="C60" i="84"/>
  <c r="C365" i="84"/>
  <c r="A675" i="84"/>
  <c r="I135" i="84"/>
  <c r="C288" i="84"/>
  <c r="I526" i="84"/>
  <c r="K372" i="84"/>
  <c r="K369" i="84"/>
  <c r="I467" i="84"/>
  <c r="A762" i="84"/>
  <c r="A102" i="84"/>
  <c r="A921" i="84"/>
  <c r="D748" i="84"/>
  <c r="I695" i="84"/>
  <c r="I391" i="84"/>
  <c r="BL10" i="82"/>
  <c r="D640" i="84"/>
  <c r="C869" i="84"/>
  <c r="K682" i="84"/>
  <c r="A920" i="84"/>
  <c r="C40" i="84"/>
  <c r="D824" i="84"/>
  <c r="M370" i="84"/>
  <c r="L707" i="84"/>
  <c r="D672" i="84"/>
  <c r="I78" i="84"/>
  <c r="C507" i="84"/>
  <c r="J170" i="84"/>
  <c r="I588" i="84"/>
  <c r="A849" i="84"/>
  <c r="K217" i="84"/>
  <c r="D257" i="84"/>
  <c r="C203" i="84"/>
  <c r="C964" i="84"/>
  <c r="D685" i="84"/>
  <c r="B24" i="82"/>
  <c r="C540" i="84"/>
  <c r="D131" i="84"/>
  <c r="D853" i="84"/>
  <c r="M562" i="84"/>
  <c r="C147" i="84"/>
  <c r="C139" i="84"/>
  <c r="BL34" i="82"/>
  <c r="A672" i="84"/>
  <c r="I286" i="84"/>
  <c r="U279" i="84"/>
  <c r="M699" i="84"/>
  <c r="C56" i="84"/>
  <c r="C747" i="84"/>
  <c r="I160" i="84"/>
  <c r="D285" i="84"/>
  <c r="BL28" i="82"/>
  <c r="D15" i="84"/>
  <c r="L460" i="84"/>
  <c r="A464" i="84"/>
  <c r="A712" i="84"/>
  <c r="C429" i="84"/>
  <c r="A194" i="84"/>
  <c r="C86" i="84"/>
  <c r="M62" i="84"/>
  <c r="M55" i="84"/>
  <c r="B43" i="82"/>
  <c r="C322" i="84"/>
  <c r="A528" i="84"/>
  <c r="D338" i="84"/>
  <c r="C692" i="84"/>
  <c r="D71" i="84"/>
  <c r="C750" i="84"/>
  <c r="D27" i="84"/>
  <c r="C636" i="84"/>
  <c r="C616" i="84"/>
  <c r="A24" i="84"/>
  <c r="C196" i="84"/>
  <c r="A295" i="84"/>
  <c r="D873" i="84"/>
  <c r="D402" i="84"/>
  <c r="BK17" i="82"/>
  <c r="C267" i="84"/>
  <c r="I750" i="84"/>
  <c r="A803" i="84"/>
  <c r="I169" i="84"/>
  <c r="A141" i="84"/>
  <c r="C375" i="84"/>
  <c r="D817" i="84"/>
  <c r="C896" i="84"/>
  <c r="C48" i="84"/>
  <c r="I807" i="84"/>
  <c r="M668" i="84"/>
  <c r="D81" i="84"/>
  <c r="M357" i="84"/>
  <c r="C183" i="84"/>
  <c r="C622" i="84"/>
  <c r="I910" i="84"/>
  <c r="D166" i="84"/>
  <c r="C371" i="84"/>
  <c r="I465" i="84"/>
  <c r="A532" i="84"/>
  <c r="K822" i="84"/>
  <c r="D525" i="84"/>
  <c r="I584" i="84"/>
  <c r="C96" i="84"/>
  <c r="I800" i="84"/>
  <c r="D335" i="84"/>
  <c r="I219" i="84"/>
  <c r="D75" i="84"/>
  <c r="A289" i="84"/>
  <c r="I266" i="84"/>
  <c r="A812" i="84"/>
  <c r="C29" i="84"/>
  <c r="I214" i="84"/>
  <c r="A685" i="84"/>
  <c r="A386" i="84"/>
  <c r="I779" i="84"/>
  <c r="I131" i="84"/>
  <c r="A437" i="84"/>
  <c r="A661" i="84"/>
  <c r="K490" i="84"/>
  <c r="I254" i="84"/>
  <c r="I540" i="84"/>
  <c r="I273" i="84"/>
  <c r="A199" i="84"/>
  <c r="C18" i="84"/>
  <c r="M452" i="84"/>
  <c r="C515" i="84"/>
  <c r="A166" i="84"/>
  <c r="D556" i="84"/>
  <c r="C164" i="84"/>
  <c r="D383" i="84"/>
  <c r="K146" i="84"/>
  <c r="A829" i="84"/>
  <c r="D926" i="84"/>
  <c r="I32" i="84"/>
  <c r="K113" i="84"/>
  <c r="A335" i="84"/>
  <c r="K393" i="84"/>
  <c r="B28" i="82"/>
  <c r="I12" i="84"/>
  <c r="I231" i="84"/>
  <c r="D91" i="84"/>
  <c r="C684" i="84"/>
  <c r="I200" i="84"/>
  <c r="J514" i="84"/>
  <c r="I496" i="84"/>
  <c r="L394" i="84"/>
  <c r="L59" i="84"/>
  <c r="I230" i="84"/>
  <c r="K962" i="84"/>
  <c r="D503" i="84"/>
  <c r="A905" i="84"/>
  <c r="A497" i="84"/>
  <c r="I826" i="84"/>
  <c r="I418" i="84"/>
  <c r="A113" i="84"/>
  <c r="I896" i="84"/>
  <c r="I277" i="84"/>
  <c r="C563" i="84"/>
  <c r="S716" i="84"/>
  <c r="I925" i="84"/>
  <c r="C291" i="84"/>
  <c r="D124" i="84"/>
  <c r="D700" i="84"/>
  <c r="I544" i="84"/>
  <c r="C673" i="84"/>
  <c r="C84" i="84"/>
  <c r="A310" i="84"/>
  <c r="M519" i="84"/>
  <c r="I889" i="84"/>
  <c r="A725" i="84"/>
  <c r="D95" i="84"/>
  <c r="C787" i="84"/>
  <c r="D607" i="84"/>
  <c r="I35" i="84"/>
  <c r="C666" i="84"/>
  <c r="L502" i="84"/>
  <c r="M840" i="84"/>
  <c r="D167" i="84"/>
  <c r="D664" i="84"/>
  <c r="A815" i="84"/>
  <c r="D584" i="84"/>
  <c r="I14" i="84"/>
  <c r="U956" i="84"/>
  <c r="C414" i="84"/>
  <c r="I718" i="84"/>
  <c r="D604" i="84"/>
  <c r="M126" i="84"/>
  <c r="C858" i="84"/>
  <c r="I683" i="84"/>
  <c r="D810" i="84"/>
  <c r="C564" i="84"/>
  <c r="A282" i="84"/>
  <c r="C358" i="84"/>
  <c r="D188" i="84"/>
  <c r="D499" i="84"/>
  <c r="I585" i="84"/>
  <c r="I847" i="84"/>
  <c r="M701" i="84"/>
  <c r="I77" i="84"/>
  <c r="A62" i="84"/>
  <c r="J467" i="84"/>
  <c r="A814" i="84"/>
  <c r="K819" i="84"/>
  <c r="D304" i="84"/>
  <c r="L819" i="84"/>
  <c r="C103" i="84"/>
  <c r="A538" i="84"/>
  <c r="A221" i="84"/>
  <c r="I324" i="84"/>
  <c r="A256" i="84"/>
  <c r="I319" i="84"/>
  <c r="C117" i="84"/>
  <c r="I688" i="84"/>
  <c r="D861" i="84"/>
  <c r="C216" i="84"/>
  <c r="D952" i="84"/>
  <c r="M440" i="84"/>
  <c r="C132" i="84"/>
  <c r="K123" i="84"/>
  <c r="M418" i="84"/>
  <c r="A118" i="84"/>
  <c r="D217" i="84"/>
  <c r="D309" i="84"/>
  <c r="A759" i="84"/>
  <c r="D651" i="84"/>
  <c r="K895" i="84"/>
  <c r="D420" i="84"/>
  <c r="D815" i="84"/>
  <c r="A263" i="84"/>
  <c r="D605" i="84"/>
  <c r="M918" i="84"/>
  <c r="C702" i="84"/>
  <c r="I380" i="84"/>
  <c r="D649" i="84"/>
  <c r="D102" i="84"/>
  <c r="C151" i="84"/>
  <c r="D359" i="84"/>
  <c r="I339" i="84"/>
  <c r="A240" i="84"/>
  <c r="J394" i="84"/>
  <c r="C760" i="84"/>
  <c r="C11" i="84"/>
  <c r="C403" i="84"/>
  <c r="A481" i="84"/>
  <c r="M488" i="84"/>
  <c r="D203" i="84"/>
  <c r="D814" i="84"/>
  <c r="D639" i="84"/>
  <c r="C447" i="84"/>
  <c r="D768" i="84"/>
  <c r="D226" i="84"/>
  <c r="M897" i="84"/>
  <c r="K886" i="84"/>
  <c r="D548" i="84"/>
  <c r="K582" i="84"/>
  <c r="K64" i="84"/>
  <c r="BK38" i="82"/>
  <c r="A37" i="84"/>
  <c r="D699" i="84"/>
  <c r="M574" i="84"/>
  <c r="A475" i="84"/>
  <c r="C81" i="84"/>
  <c r="A917" i="84"/>
  <c r="D41" i="84"/>
  <c r="A737" i="84"/>
  <c r="I244" i="84"/>
  <c r="L523" i="84"/>
  <c r="I697" i="84"/>
  <c r="M527" i="84"/>
  <c r="D200" i="84"/>
  <c r="K563" i="84"/>
  <c r="A277" i="84"/>
  <c r="D241" i="84"/>
  <c r="BK30" i="82"/>
  <c r="D73" i="84"/>
  <c r="A561" i="84"/>
  <c r="C122" i="84"/>
  <c r="M237" i="84"/>
  <c r="A937" i="84"/>
  <c r="A87" i="84"/>
  <c r="A608" i="84"/>
  <c r="T670" i="84"/>
  <c r="D854" i="84"/>
  <c r="D37" i="84"/>
  <c r="D74" i="84"/>
  <c r="K103" i="84"/>
  <c r="D888" i="84"/>
  <c r="H693" i="84"/>
  <c r="C793" i="84"/>
  <c r="D650" i="84"/>
  <c r="M253" i="84"/>
  <c r="I880" i="84"/>
  <c r="D435" i="84"/>
  <c r="J161" i="84"/>
  <c r="I85" i="84"/>
  <c r="D484" i="84"/>
  <c r="D194" i="84"/>
  <c r="C648" i="84"/>
  <c r="C698" i="84"/>
  <c r="A108" i="84"/>
  <c r="D730" i="84"/>
  <c r="I883" i="84"/>
  <c r="C167" i="84"/>
  <c r="C655" i="84"/>
  <c r="C113" i="84"/>
  <c r="K425" i="84"/>
  <c r="K845" i="84"/>
  <c r="A400" i="84"/>
  <c r="C645" i="84"/>
  <c r="C687" i="84"/>
  <c r="C716" i="84"/>
  <c r="D308" i="84"/>
  <c r="C669" i="84"/>
  <c r="D274" i="84"/>
  <c r="D490" i="84"/>
  <c r="D626" i="84"/>
  <c r="D780" i="84"/>
  <c r="K35" i="84"/>
  <c r="D164" i="84"/>
  <c r="I154" i="84"/>
  <c r="D307" i="84"/>
  <c r="C334" i="84"/>
  <c r="A375" i="84"/>
  <c r="D144" i="84"/>
  <c r="C315" i="84"/>
  <c r="C664" i="84"/>
  <c r="C344" i="84"/>
  <c r="C90" i="84"/>
  <c r="C888" i="84"/>
  <c r="A442" i="84"/>
  <c r="D958" i="84"/>
  <c r="D683" i="84"/>
  <c r="I536" i="84"/>
  <c r="A77" i="84"/>
  <c r="D140" i="84"/>
  <c r="D142" i="84"/>
  <c r="C481" i="84"/>
  <c r="L159" i="84"/>
  <c r="C321" i="84"/>
  <c r="I187" i="84"/>
  <c r="C600" i="84"/>
  <c r="A801" i="84"/>
  <c r="M79" i="84"/>
  <c r="C768" i="84"/>
  <c r="D84" i="84"/>
  <c r="D275" i="84"/>
  <c r="C112" i="84"/>
  <c r="R446" i="84"/>
  <c r="M921" i="84"/>
  <c r="C226" i="84"/>
  <c r="U575" i="84"/>
  <c r="C197" i="84"/>
  <c r="K673" i="84"/>
  <c r="I490" i="84"/>
  <c r="B25" i="82"/>
  <c r="D590" i="84"/>
  <c r="A525" i="84"/>
  <c r="I416" i="84"/>
  <c r="BK43" i="82"/>
  <c r="I144" i="84"/>
  <c r="C317" i="84"/>
  <c r="D737" i="84"/>
  <c r="I831" i="84"/>
  <c r="A785" i="84"/>
  <c r="I370" i="84"/>
  <c r="M772" i="84"/>
  <c r="I802" i="84"/>
  <c r="D712" i="84"/>
  <c r="K596" i="84"/>
  <c r="I27" i="84"/>
  <c r="A97" i="84"/>
  <c r="J488" i="84"/>
  <c r="C206" i="84"/>
  <c r="U912" i="84"/>
  <c r="D179" i="84"/>
  <c r="I89" i="84"/>
  <c r="C438" i="84"/>
  <c r="K271" i="84"/>
  <c r="K684" i="84"/>
  <c r="I325" i="84"/>
  <c r="C736" i="84"/>
  <c r="K263" i="84"/>
  <c r="D889" i="84"/>
  <c r="A301" i="84"/>
  <c r="C599" i="84"/>
  <c r="C219" i="84"/>
  <c r="C693" i="84"/>
  <c r="D209" i="84"/>
  <c r="U508" i="84"/>
  <c r="C961" i="84"/>
  <c r="C794" i="84"/>
  <c r="C819" i="84"/>
  <c r="C644" i="84"/>
  <c r="C160" i="84"/>
  <c r="L441" i="84"/>
  <c r="D268" i="84"/>
  <c r="A514" i="84"/>
  <c r="I241" i="84"/>
  <c r="C754" i="84"/>
  <c r="C785" i="84"/>
  <c r="C960" i="84"/>
  <c r="D450" i="84"/>
  <c r="C694" i="84"/>
  <c r="D219" i="84"/>
  <c r="I806" i="84"/>
  <c r="D369" i="84"/>
  <c r="I305" i="84"/>
  <c r="C752" i="84"/>
  <c r="A800" i="84"/>
  <c r="C522" i="84"/>
  <c r="I198" i="84"/>
  <c r="I433" i="84"/>
  <c r="D205" i="84"/>
  <c r="B35" i="82"/>
  <c r="C292" i="84"/>
  <c r="I70" i="84"/>
  <c r="I659" i="84"/>
  <c r="C19" i="82"/>
  <c r="A895" i="84"/>
  <c r="D419" i="84"/>
  <c r="D152" i="84"/>
  <c r="I176" i="84"/>
  <c r="I488" i="84"/>
  <c r="A778" i="84"/>
  <c r="I469" i="84"/>
  <c r="I168" i="84"/>
  <c r="I546" i="84"/>
  <c r="K208" i="84"/>
  <c r="M168" i="84"/>
  <c r="D297" i="84"/>
  <c r="L916" i="84"/>
  <c r="D829" i="84"/>
  <c r="M653" i="84"/>
  <c r="K841" i="84"/>
  <c r="L72" i="84"/>
  <c r="K541" i="84"/>
  <c r="K954" i="84"/>
  <c r="I846" i="84"/>
  <c r="C138" i="84"/>
  <c r="D106" i="84"/>
  <c r="D417" i="84"/>
  <c r="C346" i="84"/>
  <c r="C377" i="84"/>
  <c r="A722" i="84"/>
  <c r="D389" i="84"/>
  <c r="I844" i="84"/>
  <c r="BK46" i="82"/>
  <c r="A56" i="84"/>
  <c r="C550" i="84"/>
  <c r="K116" i="84"/>
  <c r="C849" i="84"/>
  <c r="B17" i="82"/>
  <c r="D826" i="84"/>
  <c r="D339" i="84"/>
  <c r="A718" i="84"/>
  <c r="C601" i="84"/>
  <c r="I148" i="84"/>
  <c r="K566" i="84"/>
  <c r="A627" i="84"/>
  <c r="K172" i="84"/>
  <c r="D743" i="84"/>
  <c r="L544" i="84"/>
  <c r="D959" i="84"/>
  <c r="C179" i="84"/>
  <c r="BL9" i="82"/>
  <c r="D445" i="84"/>
  <c r="I116" i="84"/>
  <c r="D239" i="84"/>
  <c r="C161" i="84"/>
  <c r="D644" i="84"/>
  <c r="C381" i="84"/>
  <c r="S126" i="84"/>
  <c r="C554" i="84"/>
  <c r="C347" i="84"/>
  <c r="D161" i="84"/>
  <c r="A893" i="84"/>
  <c r="D714" i="84"/>
  <c r="C936" i="84"/>
  <c r="I637" i="84"/>
  <c r="A421" i="84"/>
  <c r="A143" i="84"/>
  <c r="C331" i="84"/>
  <c r="C98" i="84"/>
  <c r="K417" i="84"/>
  <c r="K176" i="84"/>
  <c r="A658" i="84"/>
  <c r="A458" i="84"/>
  <c r="I275" i="84"/>
  <c r="D697" i="84"/>
  <c r="C942" i="84"/>
  <c r="C749" i="84"/>
  <c r="D269" i="84"/>
  <c r="K204" i="84"/>
  <c r="A540" i="84"/>
  <c r="I278" i="84"/>
  <c r="C530" i="84"/>
  <c r="D877" i="84"/>
  <c r="I666" i="84"/>
  <c r="D43" i="84"/>
  <c r="C156" i="84"/>
  <c r="C845" i="84"/>
  <c r="K184" i="84"/>
  <c r="C73" i="84"/>
  <c r="I451" i="84"/>
  <c r="M508" i="84"/>
  <c r="C238" i="84"/>
  <c r="D431" i="84"/>
  <c r="A225" i="84"/>
  <c r="C333" i="84"/>
  <c r="C559" i="84"/>
  <c r="D92" i="84"/>
  <c r="K688" i="84"/>
  <c r="I87" i="84"/>
  <c r="I88" i="84"/>
  <c r="BL13" i="82"/>
  <c r="I875" i="84"/>
  <c r="A362" i="84"/>
  <c r="A401" i="84"/>
  <c r="C337" i="84"/>
  <c r="C88" i="84"/>
  <c r="C726" i="84"/>
  <c r="A25" i="84"/>
  <c r="K657" i="84"/>
  <c r="A17" i="84"/>
  <c r="D872" i="84"/>
  <c r="D158" i="84"/>
  <c r="I765" i="84"/>
  <c r="T352" i="84"/>
  <c r="I572" i="84"/>
  <c r="C756" i="84"/>
  <c r="D696" i="84"/>
  <c r="D535" i="84"/>
  <c r="L176" i="84"/>
  <c r="C615" i="84"/>
  <c r="C748" i="84"/>
  <c r="C485" i="84"/>
  <c r="A926" i="84"/>
  <c r="D611" i="84"/>
  <c r="C678" i="84"/>
  <c r="C543" i="84"/>
  <c r="C757" i="84"/>
  <c r="J228" i="84"/>
  <c r="D277" i="84"/>
  <c r="J326" i="84"/>
  <c r="A272" i="84"/>
  <c r="D457" i="84"/>
  <c r="D819" i="84"/>
  <c r="A152" i="84"/>
  <c r="D367" i="84"/>
  <c r="M947" i="84"/>
  <c r="A726" i="84"/>
  <c r="C875" i="84"/>
  <c r="C472" i="84"/>
  <c r="C413" i="84"/>
  <c r="C427" i="84"/>
  <c r="A476" i="84"/>
  <c r="A314" i="84"/>
  <c r="A585" i="84"/>
  <c r="J130" i="84"/>
  <c r="D218" i="84"/>
  <c r="K787" i="84"/>
  <c r="C814" i="84"/>
  <c r="I211" i="84"/>
  <c r="M109" i="84"/>
  <c r="I940" i="84"/>
  <c r="D795" i="84"/>
  <c r="K191" i="84"/>
  <c r="C532" i="84"/>
  <c r="D229" i="84"/>
  <c r="C20" i="84"/>
  <c r="I344" i="84"/>
  <c r="C140" i="84"/>
  <c r="M430" i="84"/>
  <c r="M936" i="84"/>
  <c r="C389" i="84"/>
  <c r="C407" i="84"/>
  <c r="C426" i="84"/>
  <c r="D618" i="84"/>
  <c r="C192" i="84"/>
  <c r="A299" i="84"/>
  <c r="D175" i="84"/>
  <c r="I895" i="84"/>
  <c r="C250" i="84"/>
  <c r="M352" i="84"/>
  <c r="D159" i="84"/>
  <c r="C24" i="82"/>
  <c r="D85" i="84"/>
  <c r="C456" i="84"/>
  <c r="C432" i="84"/>
  <c r="Q380" i="84"/>
  <c r="C727" i="84"/>
  <c r="M541" i="84"/>
  <c r="D813" i="84"/>
  <c r="A290" i="84"/>
  <c r="J415" i="84"/>
  <c r="D555" i="84"/>
  <c r="D313" i="84"/>
  <c r="I876" i="84"/>
  <c r="A461" i="84"/>
  <c r="K529" i="84"/>
  <c r="I758" i="84"/>
  <c r="C310" i="84"/>
  <c r="D246" i="84"/>
  <c r="K435" i="84"/>
  <c r="M895" i="84"/>
  <c r="C570" i="84"/>
  <c r="C12" i="84"/>
  <c r="D902" i="84"/>
  <c r="C930" i="84"/>
  <c r="D802" i="84"/>
  <c r="A786" i="84"/>
  <c r="A72" i="84"/>
  <c r="A656" i="84"/>
  <c r="D96" i="84"/>
  <c r="M884" i="84"/>
  <c r="I371" i="84"/>
  <c r="B21" i="82"/>
  <c r="D501" i="84"/>
  <c r="D80" i="84"/>
  <c r="C524" i="84"/>
  <c r="A753" i="84"/>
  <c r="C180" i="84"/>
  <c r="A262" i="84"/>
  <c r="C123" i="84"/>
  <c r="C129" i="84"/>
  <c r="A545" i="84"/>
  <c r="C889" i="84"/>
  <c r="A368" i="84"/>
  <c r="A963" i="84"/>
  <c r="A136" i="84"/>
  <c r="M313" i="84"/>
  <c r="A562" i="84"/>
  <c r="BL32" i="82"/>
  <c r="B9" i="82"/>
  <c r="C15" i="82"/>
  <c r="C826" i="84"/>
  <c r="A210" i="84"/>
  <c r="BK16" i="82"/>
  <c r="R176" i="84"/>
  <c r="D231" i="84"/>
  <c r="I113" i="84"/>
  <c r="A898" i="84"/>
  <c r="A662" i="84"/>
  <c r="C233" i="84"/>
  <c r="A595" i="84"/>
  <c r="C23" i="82"/>
  <c r="C868" i="84"/>
  <c r="D461" i="84"/>
  <c r="I721" i="84"/>
  <c r="D610" i="84"/>
  <c r="K883" i="84"/>
  <c r="A200" i="84"/>
  <c r="C755" i="84"/>
  <c r="A482" i="84"/>
  <c r="K414" i="84"/>
  <c r="D886" i="84"/>
  <c r="I616" i="84"/>
  <c r="C483" i="84"/>
  <c r="C439" i="84"/>
  <c r="J697" i="84"/>
  <c r="BL15" i="82"/>
  <c r="C833" i="84"/>
  <c r="B45" i="82"/>
  <c r="I118" i="84"/>
  <c r="C373" i="84"/>
  <c r="A897" i="84"/>
  <c r="J564" i="84"/>
  <c r="A255" i="84"/>
  <c r="A441" i="84"/>
  <c r="D366" i="84"/>
  <c r="D627" i="84"/>
  <c r="D349" i="84"/>
  <c r="A693" i="84"/>
  <c r="I134" i="84"/>
  <c r="C64" i="84"/>
  <c r="K811" i="84"/>
  <c r="D864" i="84"/>
  <c r="A591" i="84"/>
  <c r="H772" i="84"/>
  <c r="U946" i="84"/>
  <c r="D480" i="84"/>
  <c r="C796" i="84"/>
  <c r="M843" i="84"/>
  <c r="A392" i="84"/>
  <c r="I747" i="84"/>
  <c r="C541" i="84"/>
  <c r="K248" i="84"/>
  <c r="D901" i="84"/>
  <c r="A487" i="84"/>
  <c r="A316" i="84"/>
  <c r="C51" i="84"/>
  <c r="C517" i="84"/>
  <c r="B40" i="82"/>
  <c r="I630" i="84"/>
  <c r="BK24" i="82"/>
  <c r="D38" i="84"/>
  <c r="D747" i="84"/>
  <c r="D319" i="84"/>
  <c r="BK44" i="82"/>
  <c r="K779" i="84"/>
  <c r="K633" i="84"/>
  <c r="A684" i="84"/>
  <c r="C338" i="84"/>
  <c r="C410" i="84"/>
  <c r="D594" i="84"/>
  <c r="R59" i="84"/>
  <c r="I728" i="84"/>
  <c r="I133" i="84"/>
  <c r="C85" i="84"/>
  <c r="D343" i="84"/>
  <c r="D455" i="84"/>
  <c r="C174" i="84"/>
  <c r="S337" i="84"/>
  <c r="I574" i="84"/>
  <c r="A819" i="84"/>
  <c r="D354" i="84"/>
  <c r="D470" i="84"/>
  <c r="H237" i="84"/>
  <c r="I920" i="84"/>
  <c r="BK28" i="82"/>
  <c r="I965" i="84"/>
  <c r="D214" i="84"/>
  <c r="A121" i="84"/>
  <c r="A201" i="84"/>
  <c r="I625" i="84"/>
  <c r="C301" i="84"/>
  <c r="D801" i="84"/>
  <c r="I72" i="84"/>
  <c r="C479" i="84"/>
  <c r="A69" i="84"/>
  <c r="I18" i="84"/>
  <c r="I28" i="84"/>
  <c r="I947" i="84"/>
  <c r="I332" i="84"/>
  <c r="I792" i="84"/>
  <c r="T840" i="84"/>
  <c r="K169" i="84"/>
  <c r="C125" i="84"/>
  <c r="D112" i="84"/>
  <c r="A950" i="84"/>
  <c r="I537" i="84"/>
  <c r="C642" i="84"/>
  <c r="M315" i="84"/>
  <c r="C421" i="84"/>
  <c r="A331" i="84"/>
  <c r="A78" i="84"/>
  <c r="D357" i="84"/>
  <c r="D869" i="84"/>
  <c r="A29" i="84"/>
  <c r="L484" i="84"/>
  <c r="I755" i="84"/>
  <c r="A594" i="84"/>
  <c r="D186" i="84"/>
  <c r="C722" i="84"/>
  <c r="C285" i="84"/>
  <c r="T264" i="84"/>
  <c r="C387" i="84"/>
  <c r="C408" i="84"/>
  <c r="M351" i="84"/>
  <c r="K560" i="84"/>
  <c r="C424" i="84"/>
  <c r="C28" i="82"/>
  <c r="C676" i="84"/>
  <c r="A371" i="84"/>
  <c r="I894" i="84"/>
  <c r="C640" i="84"/>
  <c r="M178" i="84"/>
  <c r="T379" i="84"/>
  <c r="I901" i="84"/>
  <c r="A257" i="84"/>
  <c r="I924" i="84"/>
  <c r="H381" i="84"/>
  <c r="D906" i="84"/>
  <c r="L235" i="84"/>
  <c r="L780" i="84"/>
  <c r="D701" i="84"/>
  <c r="C154" i="84"/>
  <c r="I34" i="84"/>
  <c r="D405" i="84"/>
  <c r="D811" i="84"/>
  <c r="C568" i="84"/>
  <c r="D923" i="84"/>
  <c r="J489" i="84"/>
  <c r="L609" i="84"/>
  <c r="A336" i="84"/>
  <c r="A96" i="84"/>
  <c r="D831" i="84"/>
  <c r="C475" i="84"/>
  <c r="A770" i="84"/>
  <c r="C169" i="84"/>
  <c r="J536" i="84"/>
  <c r="C220" i="84"/>
  <c r="I229" i="84"/>
  <c r="I58" i="84"/>
  <c r="A931" i="84"/>
  <c r="C32" i="84"/>
  <c r="K145" i="84"/>
  <c r="A935" i="84"/>
  <c r="K734" i="84"/>
  <c r="A443" i="84"/>
  <c r="I51" i="84"/>
  <c r="A332" i="84"/>
  <c r="M152" i="84"/>
  <c r="K721" i="84"/>
  <c r="I238" i="84"/>
  <c r="A843" i="84"/>
  <c r="K707" i="84"/>
  <c r="K374" i="84"/>
  <c r="C721" i="84"/>
  <c r="I446" i="84"/>
  <c r="D235" i="84"/>
  <c r="C162" i="84"/>
  <c r="K429" i="84"/>
  <c r="K690" i="84"/>
  <c r="A64" i="84"/>
  <c r="T234" i="84"/>
  <c r="K231" i="84"/>
  <c r="L119" i="84"/>
  <c r="I655" i="84"/>
  <c r="M436" i="84"/>
  <c r="D758" i="84"/>
  <c r="A492" i="84"/>
  <c r="C498" i="84"/>
  <c r="C620" i="84"/>
  <c r="A59" i="84"/>
  <c r="I428" i="84"/>
  <c r="A472" i="84"/>
  <c r="D103" i="84"/>
  <c r="C370" i="84"/>
  <c r="C938" i="84"/>
  <c r="C148" i="84"/>
  <c r="C305" i="84"/>
  <c r="D336" i="84"/>
  <c r="A750" i="84"/>
  <c r="T436" i="84"/>
  <c r="A126" i="84"/>
  <c r="I715" i="84"/>
  <c r="C52" i="84"/>
  <c r="A408" i="84"/>
  <c r="M128" i="84"/>
  <c r="J958" i="84"/>
  <c r="I195" i="84"/>
  <c r="C336" i="84"/>
  <c r="K144" i="84"/>
  <c r="T131" i="84"/>
  <c r="A103" i="84"/>
  <c r="A32" i="84"/>
  <c r="D684" i="84"/>
  <c r="C106" i="84"/>
  <c r="D183" i="84"/>
  <c r="D694" i="84"/>
  <c r="A300" i="84"/>
  <c r="J526" i="84"/>
  <c r="C211" i="84"/>
  <c r="A909" i="84"/>
  <c r="D486" i="84"/>
  <c r="K168" i="84"/>
  <c r="A349" i="84"/>
  <c r="I710" i="84"/>
  <c r="L524" i="84"/>
  <c r="L81" i="84"/>
  <c r="M255" i="84"/>
  <c r="A138" i="84"/>
  <c r="K571" i="84"/>
  <c r="D487" i="84"/>
  <c r="C751" i="84"/>
  <c r="D920" i="84"/>
  <c r="D483" i="84"/>
  <c r="J368" i="84"/>
  <c r="D516" i="84"/>
  <c r="H873" i="84"/>
  <c r="D206" i="84"/>
  <c r="C329" i="84"/>
  <c r="D506" i="84"/>
  <c r="C836" i="84"/>
  <c r="I209" i="84"/>
  <c r="A168" i="84"/>
  <c r="I517" i="84"/>
  <c r="M771" i="84"/>
  <c r="C595" i="84"/>
  <c r="B13" i="82"/>
  <c r="K149" i="84"/>
  <c r="I510" i="84"/>
  <c r="I17" i="84"/>
  <c r="J508" i="84"/>
  <c r="C905" i="84"/>
  <c r="I360" i="84"/>
  <c r="A455" i="84"/>
  <c r="L703" i="84"/>
  <c r="I930" i="84"/>
  <c r="U717" i="84"/>
  <c r="T502" i="84"/>
  <c r="U793" i="84"/>
  <c r="I457" i="84"/>
  <c r="D777" i="84"/>
  <c r="I7" i="84"/>
  <c r="C464" i="84"/>
  <c r="D391" i="84"/>
  <c r="C670" i="84"/>
  <c r="A429" i="84"/>
  <c r="C136" i="84"/>
  <c r="D830" i="84"/>
  <c r="M160" i="84"/>
  <c r="B8" i="82"/>
  <c r="C363" i="84"/>
  <c r="D244" i="84"/>
  <c r="T331" i="84"/>
  <c r="K946" i="84"/>
  <c r="A769" i="84"/>
  <c r="A125" i="84"/>
  <c r="I756" i="84"/>
  <c r="D55" i="84"/>
  <c r="J200" i="84"/>
  <c r="D587" i="84"/>
  <c r="L293" i="84"/>
  <c r="K898" i="84"/>
  <c r="C892" i="84"/>
  <c r="C236" i="84"/>
  <c r="D679" i="84"/>
  <c r="A253" i="84"/>
  <c r="A515" i="84"/>
  <c r="D61" i="84"/>
  <c r="C490" i="84"/>
  <c r="A117" i="84"/>
  <c r="BL11" i="82"/>
  <c r="C290" i="84"/>
  <c r="A63" i="84"/>
  <c r="I922" i="84"/>
  <c r="C618" i="84"/>
  <c r="I30" i="84"/>
  <c r="M660" i="84"/>
  <c r="C354" i="84"/>
  <c r="D129" i="84"/>
  <c r="D400" i="84"/>
  <c r="M925" i="84"/>
  <c r="D612" i="84"/>
  <c r="I328" i="84"/>
  <c r="A518" i="84"/>
  <c r="D545" i="84"/>
  <c r="A691" i="84"/>
  <c r="A593" i="84"/>
  <c r="A426" i="84"/>
  <c r="I785" i="84"/>
  <c r="C913" i="84"/>
  <c r="C189" i="84"/>
  <c r="H516" i="84"/>
  <c r="I815" i="84"/>
  <c r="D393" i="84"/>
  <c r="C830" i="84"/>
  <c r="A615" i="84"/>
  <c r="A732" i="84"/>
  <c r="I261" i="84"/>
  <c r="D938" i="84"/>
  <c r="C643" i="84"/>
  <c r="C235" i="84"/>
  <c r="U915" i="84"/>
  <c r="A357" i="84"/>
  <c r="C70" i="84"/>
  <c r="D441" i="84"/>
  <c r="H504" i="84"/>
  <c r="K933" i="84"/>
  <c r="K384" i="84"/>
  <c r="J337" i="84"/>
  <c r="D764" i="84"/>
  <c r="D83" i="84"/>
  <c r="T302" i="84"/>
  <c r="J438" i="84"/>
  <c r="M691" i="84"/>
  <c r="D742" i="84"/>
  <c r="K567" i="84"/>
  <c r="A207" i="84"/>
  <c r="D48" i="84"/>
  <c r="D598" i="84"/>
  <c r="A202" i="84"/>
  <c r="C915" i="84"/>
  <c r="A131" i="84"/>
  <c r="D363" i="84"/>
  <c r="C637" i="84"/>
  <c r="D293" i="84"/>
  <c r="K222" i="84"/>
  <c r="D472" i="84"/>
  <c r="B33" i="82"/>
  <c r="I123" i="84"/>
  <c r="L16" i="84"/>
  <c r="A322" i="84"/>
  <c r="D33" i="84"/>
  <c r="I587" i="84"/>
  <c r="D341" i="84"/>
  <c r="I917" i="84"/>
  <c r="D261" i="84"/>
  <c r="C927" i="84"/>
  <c r="C109" i="84"/>
  <c r="C444" i="84"/>
  <c r="D388" i="84"/>
  <c r="K404" i="84"/>
  <c r="D675" i="84"/>
  <c r="L749" i="84"/>
  <c r="A134" i="84"/>
  <c r="D749" i="84"/>
  <c r="D547" i="84"/>
  <c r="B42" i="82"/>
  <c r="C634" i="84"/>
  <c r="D757" i="84"/>
  <c r="C657" i="84"/>
  <c r="D358" i="84"/>
  <c r="L118" i="84"/>
  <c r="D903" i="84"/>
  <c r="D101" i="84"/>
  <c r="I852" i="84"/>
  <c r="C26" i="84"/>
  <c r="BK35" i="82"/>
  <c r="D668" i="84"/>
  <c r="C93" i="84"/>
  <c r="A560" i="84"/>
  <c r="C383" i="84"/>
  <c r="K492" i="84"/>
  <c r="M693" i="84"/>
  <c r="L692" i="84"/>
  <c r="J563" i="84"/>
  <c r="C27" i="82"/>
  <c r="M465" i="84"/>
  <c r="A875" i="84"/>
  <c r="A587" i="84"/>
  <c r="M927" i="84"/>
  <c r="J736" i="84"/>
  <c r="D130" i="84"/>
  <c r="C47" i="84"/>
  <c r="K825" i="84"/>
  <c r="I860" i="84"/>
  <c r="BK18" i="82"/>
  <c r="I155" i="84"/>
  <c r="K387" i="84"/>
  <c r="D570" i="84"/>
  <c r="D163" i="84"/>
  <c r="M424" i="84"/>
  <c r="BL44" i="82"/>
  <c r="M751" i="84"/>
  <c r="L681" i="84"/>
  <c r="K327" i="84"/>
  <c r="C792" i="84"/>
  <c r="D948" i="84"/>
  <c r="T648" i="84"/>
  <c r="K465" i="84"/>
  <c r="C314" i="84"/>
  <c r="A700" i="84"/>
  <c r="C385" i="84"/>
  <c r="A584" i="84"/>
  <c r="C780" i="84"/>
  <c r="A218" i="84"/>
  <c r="I897" i="84"/>
  <c r="L376" i="84"/>
  <c r="H730" i="84"/>
  <c r="I436" i="84"/>
  <c r="J158" i="84"/>
  <c r="K95" i="84"/>
  <c r="M962" i="84"/>
  <c r="C341" i="84"/>
  <c r="A48" i="84"/>
  <c r="C415" i="84"/>
  <c r="D858" i="84"/>
  <c r="C851" i="84"/>
  <c r="D401" i="84"/>
  <c r="C516" i="84"/>
  <c r="K361" i="84"/>
  <c r="D312" i="84"/>
  <c r="A954" i="84"/>
  <c r="K193" i="84"/>
  <c r="K497" i="84"/>
  <c r="BK33" i="82"/>
  <c r="A189" i="84"/>
  <c r="C536" i="84"/>
  <c r="C388" i="84"/>
  <c r="I581" i="84"/>
  <c r="K311" i="84"/>
  <c r="C223" i="84"/>
  <c r="D432" i="84"/>
  <c r="A915" i="84"/>
  <c r="K65" i="84"/>
  <c r="I64" i="84"/>
  <c r="I57" i="84"/>
  <c r="C638" i="84"/>
  <c r="J895" i="84"/>
  <c r="M216" i="84"/>
  <c r="C840" i="84"/>
  <c r="A863" i="84"/>
  <c r="K853" i="84"/>
  <c r="I482" i="84"/>
  <c r="I355" i="84"/>
  <c r="I224" i="84"/>
  <c r="M69" i="84"/>
  <c r="A265" i="84"/>
  <c r="C26" i="82"/>
  <c r="A346" i="84"/>
  <c r="I117" i="84"/>
  <c r="D193" i="84"/>
  <c r="C120" i="84"/>
  <c r="A338" i="84"/>
  <c r="A618" i="84"/>
  <c r="D396" i="84"/>
  <c r="I916" i="84"/>
  <c r="A15" i="84"/>
  <c r="K83" i="84"/>
  <c r="K308" i="84"/>
  <c r="C142" i="84"/>
  <c r="A914" i="84"/>
  <c r="C581" i="84"/>
  <c r="D677" i="84"/>
  <c r="C812" i="84"/>
  <c r="A637" i="84"/>
  <c r="C675" i="84"/>
  <c r="J8" i="84"/>
  <c r="C603" i="84"/>
  <c r="C437" i="84"/>
  <c r="D818" i="84"/>
  <c r="A390" i="84"/>
  <c r="A745" i="84"/>
  <c r="C111" i="84"/>
  <c r="C256" i="84"/>
  <c r="D187" i="84"/>
  <c r="T678" i="84"/>
  <c r="C41" i="84"/>
  <c r="C115" i="84"/>
  <c r="D874" i="84"/>
  <c r="I934" i="84"/>
  <c r="A98" i="84"/>
  <c r="M909" i="84"/>
  <c r="A473" i="84"/>
  <c r="S159" i="84"/>
  <c r="D148" i="84"/>
  <c r="D517" i="84"/>
  <c r="L882" i="84"/>
  <c r="S574" i="84"/>
  <c r="I841" i="84"/>
  <c r="O818" i="84"/>
  <c r="I205" i="84"/>
  <c r="D825" i="84"/>
  <c r="B23" i="82"/>
  <c r="K320" i="84"/>
  <c r="K508" i="84"/>
  <c r="A41" i="84"/>
  <c r="C863" i="84"/>
  <c r="D51" i="84"/>
  <c r="A604" i="84"/>
  <c r="M245" i="84"/>
  <c r="C946" i="84"/>
  <c r="T11" i="84"/>
  <c r="A526" i="84"/>
  <c r="K573" i="84"/>
  <c r="D154" i="84"/>
  <c r="C419" i="84"/>
  <c r="I686" i="84"/>
  <c r="D156" i="84"/>
  <c r="C867" i="84"/>
  <c r="A246" i="84"/>
  <c r="C598" i="84"/>
  <c r="I438" i="84"/>
  <c r="D778" i="84"/>
  <c r="C786" i="84"/>
  <c r="C190" i="84"/>
  <c r="K254" i="84"/>
  <c r="A198" i="84"/>
  <c r="M892" i="84"/>
  <c r="R42" i="84"/>
  <c r="A433" i="84"/>
  <c r="M94" i="84"/>
  <c r="I649" i="84"/>
  <c r="C767" i="84"/>
  <c r="M421" i="84"/>
  <c r="K475" i="84"/>
  <c r="D467" i="84"/>
  <c r="M105" i="84"/>
  <c r="BK10" i="82"/>
  <c r="A650" i="84"/>
  <c r="D808" i="84"/>
  <c r="K772" i="84"/>
  <c r="C369" i="84"/>
  <c r="D495" i="84"/>
  <c r="K175" i="84"/>
  <c r="C904" i="84"/>
  <c r="S293" i="84"/>
  <c r="S806" i="84"/>
  <c r="L601" i="84"/>
  <c r="D755" i="84"/>
  <c r="I664" i="84"/>
  <c r="I828" i="84"/>
  <c r="A586" i="84"/>
  <c r="I100" i="84"/>
  <c r="D342" i="84"/>
  <c r="C348" i="84"/>
  <c r="D568" i="84"/>
  <c r="J104" i="84"/>
  <c r="A592" i="84"/>
  <c r="C10" i="84"/>
  <c r="A706" i="84"/>
  <c r="K901" i="84"/>
  <c r="U863" i="84"/>
  <c r="A453" i="84"/>
  <c r="C328" i="84"/>
  <c r="C701" i="84"/>
  <c r="D583" i="84"/>
  <c r="K612" i="84"/>
  <c r="D898" i="84"/>
  <c r="C234" i="84"/>
  <c r="L139" i="84"/>
  <c r="A840" i="84"/>
  <c r="U37" i="84"/>
  <c r="M605" i="84"/>
  <c r="D609" i="84"/>
  <c r="A317" i="84"/>
  <c r="A731" i="84"/>
  <c r="D955" i="84"/>
  <c r="I243" i="84"/>
  <c r="L603" i="84"/>
  <c r="K643" i="84"/>
  <c r="K870" i="84"/>
  <c r="C309" i="84"/>
  <c r="C765" i="84"/>
  <c r="C681" i="84"/>
  <c r="M951" i="84"/>
  <c r="I809" i="84"/>
  <c r="I575" i="84"/>
  <c r="D914" i="84"/>
  <c r="I42" i="84"/>
  <c r="K273" i="84"/>
  <c r="C628" i="84"/>
  <c r="D673" i="84"/>
  <c r="A923" i="84"/>
  <c r="I946" i="84"/>
  <c r="I605" i="84"/>
  <c r="A632" i="84"/>
  <c r="A899" i="84"/>
  <c r="M46" i="84"/>
  <c r="D264" i="84"/>
  <c r="A674" i="84"/>
  <c r="C340" i="84"/>
  <c r="D288" i="84"/>
  <c r="M563" i="84"/>
  <c r="M799" i="84"/>
  <c r="A486" i="84"/>
  <c r="M617" i="84"/>
  <c r="I628" i="84"/>
  <c r="A856" i="84"/>
  <c r="C454" i="84"/>
  <c r="A159" i="84"/>
  <c r="M187" i="84"/>
  <c r="I784" i="84"/>
  <c r="K964" i="84"/>
  <c r="I599" i="84"/>
  <c r="A556" i="84"/>
  <c r="I368" i="84"/>
  <c r="H615" i="84"/>
  <c r="I494" i="84"/>
  <c r="K157" i="84"/>
  <c r="I560" i="84"/>
  <c r="C166" i="84"/>
  <c r="D202" i="84"/>
  <c r="I250" i="84"/>
  <c r="L727" i="84"/>
  <c r="M503" i="84"/>
  <c r="T476" i="84"/>
  <c r="D720" i="84"/>
  <c r="D907" i="84"/>
  <c r="BK22" i="82"/>
  <c r="H62" i="84"/>
  <c r="I40" i="84"/>
  <c r="D300" i="84"/>
  <c r="C500" i="84"/>
  <c r="A231" i="84"/>
  <c r="C462" i="84"/>
  <c r="A864" i="84"/>
  <c r="M567" i="84"/>
  <c r="I96" i="84"/>
  <c r="T602" i="84"/>
  <c r="M619" i="84"/>
  <c r="A44" i="84"/>
  <c r="I348" i="84"/>
  <c r="J954" i="84"/>
  <c r="J574" i="84"/>
  <c r="I225" i="84"/>
  <c r="D481" i="84"/>
  <c r="C191" i="84"/>
  <c r="K143" i="84"/>
  <c r="A885" i="84"/>
  <c r="K476" i="84"/>
  <c r="M197" i="84"/>
  <c r="A697" i="84"/>
  <c r="C893" i="84"/>
  <c r="A412" i="84"/>
  <c r="B7" i="82"/>
  <c r="K25" i="84"/>
  <c r="D157" i="84"/>
  <c r="D62" i="84"/>
  <c r="C335" i="84"/>
  <c r="I619" i="84"/>
  <c r="C66" i="84"/>
  <c r="C326" i="84"/>
  <c r="D46" i="84"/>
  <c r="D791" i="84"/>
  <c r="D524" i="84"/>
  <c r="I629" i="84"/>
  <c r="D409" i="84"/>
  <c r="C710" i="84"/>
  <c r="A363" i="84"/>
  <c r="M420" i="84"/>
  <c r="A520" i="84"/>
  <c r="D375" i="84"/>
  <c r="I256" i="84"/>
  <c r="K135" i="84"/>
  <c r="I114" i="84"/>
  <c r="A430" i="84"/>
  <c r="A440" i="84"/>
  <c r="K279" i="84"/>
  <c r="A834" i="84"/>
  <c r="C318" i="84"/>
  <c r="I10" i="84"/>
  <c r="I648" i="84"/>
  <c r="I49" i="84"/>
  <c r="D79" i="84"/>
  <c r="K803" i="84"/>
  <c r="L626" i="84"/>
  <c r="C304" i="84"/>
  <c r="S313" i="84"/>
  <c r="I461" i="84"/>
  <c r="K32" i="84"/>
  <c r="K699" i="84"/>
  <c r="BL27" i="82"/>
  <c r="D845" i="84"/>
  <c r="C753" i="84"/>
  <c r="C434" i="84"/>
  <c r="C263" i="84"/>
  <c r="BL30" i="82"/>
  <c r="I902" i="84"/>
  <c r="A559" i="84"/>
  <c r="D426" i="84"/>
  <c r="C613" i="84"/>
  <c r="I389" i="84"/>
  <c r="L805" i="84"/>
  <c r="H861" i="84"/>
  <c r="H934" i="84"/>
  <c r="A539" i="84"/>
  <c r="I911" i="84"/>
  <c r="BL41" i="82"/>
  <c r="C294" i="84"/>
  <c r="D476" i="84"/>
  <c r="M26" i="84"/>
  <c r="D254" i="84"/>
  <c r="C74" i="84"/>
  <c r="C92" i="84"/>
  <c r="K482" i="84"/>
  <c r="C200" i="84"/>
  <c r="K881" i="84"/>
  <c r="K470" i="84"/>
  <c r="A216" i="84"/>
  <c r="D942" i="84"/>
  <c r="M445" i="84"/>
  <c r="K761" i="84"/>
  <c r="I938" i="84"/>
  <c r="I338" i="84"/>
  <c r="D565" i="84"/>
  <c r="H676" i="84"/>
  <c r="C146" i="84"/>
  <c r="C561" i="84"/>
  <c r="I702" i="84"/>
  <c r="D823" i="84"/>
  <c r="A84" i="84"/>
  <c r="K17" i="84"/>
  <c r="C18" i="82"/>
  <c r="I604" i="84"/>
  <c r="D572" i="84"/>
  <c r="A40" i="84"/>
  <c r="D628" i="84"/>
  <c r="D723" i="84"/>
  <c r="A377" i="84"/>
  <c r="M329" i="84"/>
  <c r="D323" i="84"/>
  <c r="A872" i="84"/>
  <c r="K37" i="84"/>
  <c r="A311" i="84"/>
  <c r="D911" i="84"/>
  <c r="C495" i="84"/>
  <c r="J298" i="84"/>
  <c r="A327" i="84"/>
  <c r="C584" i="84"/>
  <c r="D353" i="84"/>
  <c r="T513" i="84"/>
  <c r="M151" i="84"/>
  <c r="L420" i="84"/>
  <c r="I952" i="84"/>
  <c r="C442" i="84"/>
  <c r="C672" i="84"/>
  <c r="J152" i="84"/>
  <c r="D678" i="84"/>
  <c r="D893" i="84"/>
  <c r="K628" i="84"/>
  <c r="C430" i="84"/>
  <c r="D485" i="84"/>
  <c r="D171" i="84"/>
  <c r="C903" i="84"/>
  <c r="C332" i="84"/>
  <c r="C551" i="84"/>
  <c r="BL35" i="82"/>
  <c r="L429" i="84"/>
  <c r="L469" i="84"/>
  <c r="L442" i="84"/>
  <c r="C712" i="84"/>
  <c r="D160" i="84"/>
  <c r="M550" i="84"/>
  <c r="D721" i="84"/>
  <c r="A645" i="84"/>
  <c r="A308" i="84"/>
  <c r="D788" i="84"/>
  <c r="D782" i="84"/>
  <c r="T97" i="84"/>
  <c r="M523" i="84"/>
  <c r="I192" i="84"/>
  <c r="A554" i="84"/>
  <c r="K382" i="84"/>
  <c r="C791" i="84"/>
  <c r="K346" i="84"/>
  <c r="D315" i="84"/>
  <c r="M82" i="84"/>
  <c r="D24" i="84"/>
  <c r="D704" i="84"/>
  <c r="K658" i="84"/>
  <c r="I394" i="84"/>
  <c r="A640" i="84"/>
  <c r="C731" i="84"/>
  <c r="K857" i="84"/>
  <c r="H236" i="84"/>
  <c r="C957" i="84"/>
  <c r="I639" i="84"/>
  <c r="I125" i="84"/>
  <c r="L579" i="84"/>
  <c r="K205" i="84"/>
  <c r="M712" i="84"/>
  <c r="D489" i="84"/>
  <c r="A949" i="84"/>
  <c r="I162" i="84"/>
  <c r="M762" i="84"/>
  <c r="M889" i="84"/>
  <c r="C900" i="84"/>
  <c r="M480" i="84"/>
  <c r="A491" i="84"/>
  <c r="C420" i="84"/>
  <c r="L724" i="84"/>
  <c r="D852" i="84"/>
  <c r="M336" i="84"/>
  <c r="A205" i="84"/>
  <c r="A924" i="84"/>
  <c r="A638" i="84"/>
  <c r="I699" i="84"/>
  <c r="C884" i="84"/>
  <c r="D663" i="84"/>
  <c r="C312" i="84"/>
  <c r="G915" i="84"/>
  <c r="D34" i="84"/>
  <c r="M285" i="84"/>
  <c r="A553" i="84"/>
  <c r="D488" i="84"/>
  <c r="C954" i="84"/>
  <c r="I53" i="84"/>
  <c r="M656" i="84"/>
  <c r="K829" i="84"/>
  <c r="A419" i="84"/>
  <c r="K458" i="84"/>
  <c r="L816" i="84"/>
  <c r="J963" i="84"/>
  <c r="C218" i="84"/>
  <c r="D674" i="84"/>
  <c r="C774" i="84"/>
  <c r="A564" i="84"/>
  <c r="J699" i="84"/>
  <c r="C362" i="84"/>
  <c r="A474" i="84"/>
  <c r="I942" i="84"/>
  <c r="A689" i="84"/>
  <c r="I796" i="84"/>
  <c r="A752" i="84"/>
  <c r="D234" i="84"/>
  <c r="D185" i="84"/>
  <c r="I259" i="84"/>
  <c r="A904" i="84"/>
  <c r="D784" i="84"/>
  <c r="K892" i="84"/>
  <c r="I343" i="84"/>
  <c r="A952" i="84"/>
  <c r="A33" i="84"/>
  <c r="C367" i="84"/>
  <c r="D687" i="84"/>
  <c r="L525" i="84"/>
  <c r="L78" i="84"/>
  <c r="I531" i="84"/>
  <c r="D20" i="84"/>
  <c r="L747" i="84"/>
  <c r="K272" i="84"/>
  <c r="I933" i="84"/>
  <c r="L477" i="84"/>
  <c r="C553" i="84"/>
  <c r="J30" i="84"/>
  <c r="K630" i="84"/>
  <c r="A780" i="84"/>
  <c r="A489" i="84"/>
  <c r="D799" i="84"/>
  <c r="A258" i="84"/>
  <c r="D403" i="84"/>
  <c r="D58" i="84"/>
  <c r="C97" i="84"/>
  <c r="C255" i="84"/>
  <c r="J266" i="84"/>
  <c r="L918" i="84"/>
  <c r="I382" i="84"/>
  <c r="M390" i="84"/>
  <c r="D671" i="84"/>
  <c r="L464" i="84"/>
  <c r="K69" i="84"/>
  <c r="C27" i="84"/>
  <c r="C486" i="84"/>
  <c r="D735" i="84"/>
  <c r="H69" i="84"/>
  <c r="M364" i="84"/>
  <c r="I45" i="84"/>
  <c r="D173" i="84"/>
  <c r="K100" i="84"/>
  <c r="I164" i="84"/>
  <c r="D842" i="84"/>
  <c r="I359" i="84"/>
  <c r="C920" i="84"/>
  <c r="I509" i="84"/>
  <c r="U965" i="84"/>
  <c r="A38" i="84"/>
  <c r="I268" i="84"/>
  <c r="S213" i="84"/>
  <c r="K303" i="84"/>
  <c r="A248" i="84"/>
  <c r="I827" i="84"/>
  <c r="C870" i="84"/>
  <c r="D372" i="84"/>
  <c r="D689" i="84"/>
  <c r="A321" i="84"/>
  <c r="J66" i="84"/>
  <c r="M139" i="84"/>
  <c r="K929" i="84"/>
  <c r="M949" i="84"/>
  <c r="I315" i="84"/>
  <c r="M847" i="84"/>
  <c r="A383" i="84"/>
  <c r="L357" i="84"/>
  <c r="D446" i="84"/>
  <c r="M607" i="84"/>
  <c r="C258" i="84"/>
  <c r="M177" i="84"/>
  <c r="L510" i="84"/>
  <c r="D797" i="84"/>
  <c r="A355" i="84"/>
  <c r="C330" i="84"/>
  <c r="K468" i="84"/>
  <c r="D232" i="84"/>
  <c r="C539" i="84"/>
  <c r="C690" i="84"/>
  <c r="M130" i="84"/>
  <c r="D368" i="84"/>
  <c r="U288" i="84"/>
  <c r="A730" i="84"/>
  <c r="A160" i="84"/>
  <c r="I738" i="84"/>
  <c r="C492" i="84"/>
  <c r="BL43" i="82"/>
  <c r="D398" i="84"/>
  <c r="D12" i="84"/>
  <c r="M913" i="84"/>
  <c r="L794" i="84"/>
  <c r="H61" i="84"/>
  <c r="M685" i="84"/>
  <c r="L789" i="84"/>
  <c r="A510" i="84"/>
  <c r="A162" i="84"/>
  <c r="A960" i="84"/>
  <c r="D794" i="84"/>
  <c r="D833" i="84"/>
  <c r="D781" i="84"/>
  <c r="D356" i="84"/>
  <c r="A285" i="84"/>
  <c r="A939" i="84"/>
  <c r="C118" i="84"/>
  <c r="D956" i="84"/>
  <c r="A66" i="84"/>
  <c r="C302" i="84"/>
  <c r="D265" i="84"/>
  <c r="D917" i="84"/>
  <c r="L155" i="84"/>
  <c r="I330" i="84"/>
  <c r="A144" i="84"/>
  <c r="C860" i="84"/>
  <c r="C943" i="84"/>
  <c r="A297" i="84"/>
  <c r="C298" i="84"/>
  <c r="I623" i="84"/>
  <c r="K909" i="84"/>
  <c r="C890" i="84"/>
  <c r="K691" i="84"/>
  <c r="L294" i="84"/>
  <c r="I181" i="84"/>
  <c r="C614" i="84"/>
  <c r="K40" i="84"/>
  <c r="R60" i="84"/>
  <c r="H252" i="84"/>
  <c r="C61" i="84"/>
  <c r="D789" i="84"/>
  <c r="A940" i="84"/>
  <c r="J928" i="84"/>
  <c r="I506" i="84"/>
  <c r="T10" i="84"/>
  <c r="I124" i="84"/>
  <c r="D643" i="84"/>
  <c r="D21" i="84"/>
  <c r="A281" i="84"/>
  <c r="M278" i="84"/>
  <c r="A912" i="84"/>
  <c r="C453" i="84"/>
  <c r="D539" i="84"/>
  <c r="D884" i="84"/>
  <c r="K485" i="84"/>
  <c r="J38" i="84"/>
  <c r="K555" i="84"/>
  <c r="I890" i="84"/>
  <c r="D963" i="84"/>
  <c r="D728" i="84"/>
  <c r="I957" i="84"/>
  <c r="I504" i="84"/>
  <c r="L710" i="84"/>
  <c r="I757" i="84"/>
  <c r="C170" i="84"/>
  <c r="K406" i="84"/>
  <c r="D579" i="84"/>
  <c r="M616" i="84"/>
  <c r="C287" i="84"/>
  <c r="K137" i="84"/>
  <c r="D638" i="84"/>
  <c r="K290" i="84"/>
  <c r="T164" i="84"/>
  <c r="A345" i="84"/>
  <c r="D328" i="84"/>
  <c r="D498" i="84"/>
  <c r="C173" i="84"/>
  <c r="A80" i="84"/>
  <c r="C816" i="84"/>
  <c r="D216" i="84"/>
  <c r="M765" i="84"/>
  <c r="C141" i="84"/>
  <c r="L679" i="84"/>
  <c r="M44" i="84"/>
  <c r="J643" i="84"/>
  <c r="U537" i="84"/>
  <c r="K922" i="84"/>
  <c r="I667" i="84"/>
  <c r="K226" i="84"/>
  <c r="L422" i="84"/>
  <c r="J755" i="84"/>
  <c r="L960" i="84"/>
  <c r="C480" i="84"/>
  <c r="BK31" i="82"/>
  <c r="Q108" i="84"/>
  <c r="K966" i="84"/>
  <c r="U718" i="84"/>
  <c r="BL23" i="82"/>
  <c r="Q838" i="84"/>
  <c r="C742" i="84"/>
  <c r="I141" i="84"/>
  <c r="C46" i="84"/>
  <c r="A111" i="84"/>
  <c r="I668" i="84"/>
  <c r="A720" i="84"/>
  <c r="D412" i="84"/>
  <c r="D580" i="84"/>
  <c r="C910" i="84"/>
  <c r="A264" i="84"/>
  <c r="A75" i="84"/>
  <c r="K800" i="84"/>
  <c r="D134" i="84"/>
  <c r="D147" i="84"/>
  <c r="K680" i="84"/>
  <c r="J139" i="84"/>
  <c r="A132" i="84"/>
  <c r="K8" i="84"/>
  <c r="C158" i="84"/>
  <c r="J722" i="84"/>
  <c r="A403" i="84"/>
  <c r="L126" i="84"/>
  <c r="M122" i="84"/>
  <c r="H155" i="84"/>
  <c r="K678" i="84"/>
  <c r="K453" i="84"/>
  <c r="C803" i="84"/>
  <c r="L841" i="84"/>
  <c r="K876" i="84"/>
  <c r="L247" i="84"/>
  <c r="K165" i="84"/>
  <c r="D964" i="84"/>
  <c r="M386" i="84"/>
  <c r="D371" i="84"/>
  <c r="A620" i="84"/>
  <c r="S265" i="84"/>
  <c r="K56" i="84"/>
  <c r="I21" i="84"/>
  <c r="L476" i="84"/>
  <c r="D278" i="84"/>
  <c r="C372" i="84"/>
  <c r="C730" i="84"/>
  <c r="D725" i="84"/>
  <c r="C116" i="84"/>
  <c r="S47" i="84"/>
  <c r="D110" i="84"/>
  <c r="D759" i="84"/>
  <c r="M472" i="84"/>
  <c r="C261" i="84"/>
  <c r="J601" i="84"/>
  <c r="M87" i="84"/>
  <c r="K732" i="84"/>
  <c r="A606" i="84"/>
  <c r="I395" i="84"/>
  <c r="L398" i="84"/>
  <c r="C708" i="84"/>
  <c r="C556" i="84"/>
  <c r="T570" i="84"/>
  <c r="A58" i="84"/>
  <c r="D453" i="84"/>
  <c r="L886" i="84"/>
  <c r="M56" i="84"/>
  <c r="J742" i="84"/>
  <c r="D779" i="84"/>
  <c r="A493" i="84"/>
  <c r="A946" i="84"/>
  <c r="J500" i="84"/>
  <c r="D666" i="84"/>
  <c r="I596" i="84"/>
  <c r="A736" i="84"/>
  <c r="D208" i="84"/>
  <c r="J428" i="84"/>
  <c r="J355" i="84"/>
  <c r="D521" i="84"/>
  <c r="K182" i="84"/>
  <c r="I9" i="84"/>
  <c r="C769" i="84"/>
  <c r="M959" i="84"/>
  <c r="D70" i="84"/>
  <c r="C303" i="84"/>
  <c r="K275" i="84"/>
  <c r="BK45" i="82"/>
  <c r="K521" i="84"/>
  <c r="U641" i="84"/>
  <c r="A416" i="84"/>
  <c r="K572" i="84"/>
  <c r="L521" i="84"/>
  <c r="I608" i="84"/>
  <c r="A906" i="84"/>
  <c r="A382" i="84"/>
  <c r="J539" i="84"/>
  <c r="M664" i="84"/>
  <c r="K547" i="84"/>
  <c r="C656" i="84"/>
  <c r="C855" i="84"/>
  <c r="K446" i="84"/>
  <c r="A150" i="84"/>
  <c r="A242" i="84"/>
  <c r="J95" i="84"/>
  <c r="C778" i="84"/>
  <c r="C697" i="84"/>
  <c r="H535" i="84"/>
  <c r="C157" i="84"/>
  <c r="A723" i="84"/>
  <c r="C349" i="84"/>
  <c r="A356" i="84"/>
  <c r="I26" i="84"/>
  <c r="T579" i="84"/>
  <c r="I632" i="84"/>
  <c r="M199" i="84"/>
  <c r="A10" i="84"/>
  <c r="L128" i="84"/>
  <c r="K240" i="84"/>
  <c r="D406" i="84"/>
  <c r="D63" i="84"/>
  <c r="D330" i="84"/>
  <c r="M97" i="84"/>
  <c r="S907" i="84"/>
  <c r="C574" i="84"/>
  <c r="I56" i="84"/>
  <c r="D223" i="84"/>
  <c r="C494" i="84"/>
  <c r="I821" i="84"/>
  <c r="M517" i="84"/>
  <c r="U824" i="84"/>
  <c r="A742" i="84"/>
  <c r="I127" i="84"/>
  <c r="K869" i="84"/>
  <c r="D433" i="84"/>
  <c r="D404" i="84"/>
  <c r="U942" i="84"/>
  <c r="M875" i="84"/>
  <c r="L871" i="84"/>
  <c r="Q407" i="84"/>
  <c r="L183" i="84"/>
  <c r="I691" i="84"/>
  <c r="D260" i="84"/>
  <c r="K793" i="84"/>
  <c r="A707" i="84"/>
  <c r="M86" i="84"/>
  <c r="A519" i="84"/>
  <c r="T711" i="84"/>
  <c r="M13" i="84"/>
  <c r="C299" i="84"/>
  <c r="L466" i="84"/>
  <c r="M814" i="84"/>
  <c r="A193" i="84"/>
  <c r="D256" i="84"/>
  <c r="M912" i="84"/>
  <c r="C36" i="84"/>
  <c r="C719" i="84"/>
  <c r="A936" i="84"/>
  <c r="C571" i="84"/>
  <c r="C797" i="84"/>
  <c r="D380" i="84"/>
  <c r="J26" i="84"/>
  <c r="C325" i="84"/>
  <c r="H596" i="84"/>
  <c r="D772" i="84"/>
  <c r="K937" i="84"/>
  <c r="D585" i="84"/>
  <c r="I213" i="84"/>
  <c r="T768" i="84"/>
  <c r="T533" i="84"/>
  <c r="J776" i="84"/>
  <c r="K621" i="84"/>
  <c r="U724" i="84"/>
  <c r="D151" i="84"/>
  <c r="I678" i="84"/>
  <c r="G675" i="84"/>
  <c r="A337" i="84"/>
  <c r="I576" i="84"/>
  <c r="Q119" i="84"/>
  <c r="J456" i="84"/>
  <c r="A611" i="84"/>
  <c r="I86" i="84"/>
  <c r="K884" i="84"/>
  <c r="A190" i="84"/>
  <c r="D198" i="84"/>
  <c r="D47" i="84"/>
  <c r="M85" i="84"/>
  <c r="A563" i="84"/>
  <c r="I210" i="84"/>
  <c r="D40" i="84"/>
  <c r="D821" i="84"/>
  <c r="D800" i="84"/>
  <c r="D35" i="84"/>
  <c r="C963" i="84"/>
  <c r="B44" i="82"/>
  <c r="D676" i="84"/>
  <c r="D682" i="84"/>
  <c r="C404" i="84"/>
  <c r="C67" i="84"/>
  <c r="R166" i="84"/>
  <c r="I358" i="84"/>
  <c r="D448" i="84"/>
  <c r="D94" i="84"/>
  <c r="K313" i="84"/>
  <c r="C359" i="84"/>
  <c r="C37" i="84"/>
  <c r="L873" i="84"/>
  <c r="A163" i="84"/>
  <c r="A318" i="84"/>
  <c r="A500" i="84"/>
  <c r="L865" i="84"/>
  <c r="D25" i="84"/>
  <c r="S644" i="84"/>
  <c r="C266" i="84"/>
  <c r="I542" i="84"/>
  <c r="C313" i="84"/>
  <c r="D705" i="84"/>
  <c r="I251" i="84"/>
  <c r="I307" i="84"/>
  <c r="D593" i="84"/>
  <c r="K312" i="84"/>
  <c r="I46" i="84"/>
  <c r="A873" i="84"/>
  <c r="D786" i="84"/>
  <c r="L102" i="84"/>
  <c r="M582" i="84"/>
  <c r="C894" i="84"/>
  <c r="K74" i="84"/>
  <c r="I434" i="84"/>
  <c r="I128" i="84"/>
  <c r="C149" i="84"/>
  <c r="C25" i="82"/>
  <c r="H340" i="84"/>
  <c r="T372" i="84"/>
  <c r="C35" i="84"/>
  <c r="A838" i="84"/>
  <c r="C34" i="84"/>
  <c r="D787" i="84"/>
  <c r="A88" i="84"/>
  <c r="C737" i="84"/>
  <c r="C594" i="84"/>
  <c r="J620" i="84"/>
  <c r="I294" i="84"/>
  <c r="C270" i="84"/>
  <c r="D240" i="84"/>
  <c r="K856" i="84"/>
  <c r="T809" i="84"/>
  <c r="D149" i="84"/>
  <c r="C859" i="84"/>
  <c r="C518" i="84"/>
  <c r="D596" i="84"/>
  <c r="K296" i="84"/>
  <c r="D575" i="84"/>
  <c r="K235" i="84"/>
  <c r="H389" i="84"/>
  <c r="A60" i="84"/>
  <c r="M743" i="84"/>
  <c r="M299" i="84"/>
  <c r="C724" i="84"/>
  <c r="C210" i="84"/>
  <c r="J223" i="84"/>
  <c r="C43" i="84"/>
  <c r="D706" i="84"/>
  <c r="H171" i="84"/>
  <c r="I838" i="84"/>
  <c r="A702" i="84"/>
  <c r="I832" i="84"/>
  <c r="C680" i="84"/>
  <c r="C406" i="84"/>
  <c r="A304" i="84"/>
  <c r="D577" i="84"/>
  <c r="C586" i="84"/>
  <c r="H106" i="84"/>
  <c r="M190" i="84"/>
  <c r="H522" i="84"/>
  <c r="K605" i="84"/>
  <c r="D262" i="84"/>
  <c r="A572" i="84"/>
  <c r="R287" i="84"/>
  <c r="H951" i="84"/>
  <c r="C857" i="84"/>
  <c r="A398" i="84"/>
  <c r="I202" i="84"/>
  <c r="A625" i="84"/>
  <c r="D953" i="84"/>
  <c r="C569" i="84"/>
  <c r="L48" i="84"/>
  <c r="D546" i="84"/>
  <c r="A172" i="84"/>
  <c r="C127" i="84"/>
  <c r="A156" i="84"/>
  <c r="A842" i="84"/>
  <c r="C689" i="84"/>
  <c r="D178" i="84"/>
  <c r="A367" i="84"/>
  <c r="M433" i="84"/>
  <c r="L94" i="84"/>
  <c r="D325" i="84"/>
  <c r="L356" i="84"/>
  <c r="C871" i="84"/>
  <c r="M238" i="84"/>
  <c r="BK7" i="82"/>
  <c r="C45" i="84"/>
  <c r="U776" i="84"/>
  <c r="C503" i="84"/>
  <c r="J616" i="84"/>
  <c r="K692" i="84"/>
  <c r="M156" i="84"/>
  <c r="D114" i="84"/>
  <c r="J528" i="84"/>
  <c r="BK40" i="82"/>
  <c r="C531" i="84"/>
  <c r="I50" i="84"/>
  <c r="C171" i="84"/>
  <c r="A46" i="84"/>
  <c r="K7" i="84"/>
  <c r="U750" i="84"/>
  <c r="I547" i="84"/>
  <c r="M899" i="84"/>
  <c r="P935" i="84"/>
  <c r="M492" i="84"/>
  <c r="C343" i="84"/>
  <c r="K26" i="84"/>
  <c r="I306" i="84"/>
  <c r="C246" i="84"/>
  <c r="D31" i="84"/>
  <c r="I624" i="84"/>
  <c r="C311" i="84"/>
  <c r="C696" i="84"/>
  <c r="A312" i="84"/>
  <c r="K930" i="84"/>
  <c r="C771" i="84"/>
  <c r="D424" i="84"/>
  <c r="K479" i="84"/>
  <c r="D531" i="84"/>
  <c r="C20" i="82"/>
  <c r="I694" i="84"/>
  <c r="I201" i="84"/>
  <c r="M864" i="84"/>
  <c r="I723" i="84"/>
  <c r="D496" i="84"/>
  <c r="D150" i="84"/>
  <c r="A817" i="84"/>
  <c r="D385" i="84"/>
  <c r="D775" i="84"/>
  <c r="C366" i="84"/>
  <c r="D382" i="84"/>
  <c r="I152" i="84"/>
  <c r="A836" i="84"/>
  <c r="D659" i="84"/>
  <c r="C597" i="84"/>
  <c r="U437" i="84"/>
  <c r="D894" i="84"/>
  <c r="U659" i="84"/>
  <c r="K13" i="84"/>
  <c r="D266" i="84"/>
  <c r="I350" i="84"/>
  <c r="C59" i="84"/>
  <c r="K852" i="84"/>
  <c r="M427" i="84"/>
  <c r="L772" i="84"/>
  <c r="B36" i="82"/>
  <c r="M926" i="84"/>
  <c r="J701" i="84"/>
  <c r="J794" i="84"/>
  <c r="K754" i="84"/>
  <c r="J306" i="84"/>
  <c r="T82" i="84"/>
  <c r="S336" i="84"/>
  <c r="A411" i="84"/>
  <c r="D760" i="84"/>
  <c r="K593" i="84"/>
  <c r="C198" i="84"/>
  <c r="A877" i="84"/>
  <c r="I961" i="84"/>
  <c r="BL21" i="82"/>
  <c r="J262" i="84"/>
  <c r="C591" i="84"/>
  <c r="D965" i="84"/>
  <c r="D133" i="84"/>
  <c r="K109" i="84"/>
  <c r="I555" i="84"/>
  <c r="H152" i="84"/>
  <c r="I781" i="84"/>
  <c r="C177" i="84"/>
  <c r="A196" i="84"/>
  <c r="C77" i="84"/>
  <c r="I185" i="84"/>
  <c r="D809" i="84"/>
  <c r="K747" i="84"/>
  <c r="C65" i="84"/>
  <c r="D361" i="84"/>
  <c r="A128" i="84"/>
  <c r="D292" i="84"/>
  <c r="A966" i="84"/>
  <c r="D251" i="84"/>
  <c r="D116" i="84"/>
  <c r="A614" i="84"/>
  <c r="L198" i="84"/>
  <c r="L813" i="84"/>
  <c r="D553" i="84"/>
  <c r="A444" i="84"/>
  <c r="U102" i="84"/>
  <c r="C39" i="84"/>
  <c r="A648" i="84"/>
  <c r="C400" i="84"/>
  <c r="K403" i="84"/>
  <c r="C718" i="84"/>
  <c r="D271" i="84"/>
  <c r="K963" i="84"/>
  <c r="D729" i="84"/>
  <c r="H120" i="84"/>
  <c r="D591" i="84"/>
  <c r="D519" i="84"/>
  <c r="D272" i="84"/>
  <c r="K615" i="84"/>
  <c r="D834" i="84"/>
  <c r="C848" i="84"/>
  <c r="T829" i="84"/>
  <c r="D373" i="84"/>
  <c r="H257" i="84"/>
  <c r="H42" i="84"/>
  <c r="J353" i="84"/>
  <c r="A649" i="84"/>
  <c r="K289" i="84"/>
  <c r="C417" i="84"/>
  <c r="A43" i="84"/>
  <c r="A746" i="84"/>
  <c r="K16" i="84"/>
  <c r="P258" i="84"/>
  <c r="D702" i="84"/>
  <c r="M383" i="84"/>
  <c r="C606" i="84"/>
  <c r="Q541" i="84"/>
  <c r="A549" i="84"/>
  <c r="C257" i="84"/>
  <c r="K215" i="84"/>
  <c r="I557" i="84"/>
  <c r="U205" i="84"/>
  <c r="C282" i="84"/>
  <c r="C527" i="84"/>
  <c r="H485" i="84"/>
  <c r="BK19" i="82"/>
  <c r="C265" i="84"/>
  <c r="J251" i="84"/>
  <c r="L382" i="84"/>
  <c r="K285" i="84"/>
  <c r="D692" i="84"/>
  <c r="U27" i="84"/>
  <c r="D532" i="84"/>
  <c r="K925" i="84"/>
  <c r="C30" i="84"/>
  <c r="D233" i="84"/>
  <c r="A577" i="84"/>
  <c r="D767" i="84"/>
  <c r="C150" i="84"/>
  <c r="C193" i="84"/>
  <c r="S652" i="84"/>
  <c r="D619" i="84"/>
  <c r="J824" i="84"/>
  <c r="D866" i="84"/>
  <c r="K409" i="84"/>
  <c r="C695" i="84"/>
  <c r="D733" i="84"/>
  <c r="C212" i="84"/>
  <c r="L750" i="84"/>
  <c r="D636" i="84"/>
  <c r="D690" i="84"/>
  <c r="I48" i="84"/>
  <c r="A186" i="84"/>
  <c r="A466" i="84"/>
  <c r="C911" i="84"/>
  <c r="C243" i="84"/>
  <c r="D97" i="84"/>
  <c r="K59" i="84"/>
  <c r="I183" i="84"/>
  <c r="M371" i="84"/>
  <c r="D273" i="84"/>
  <c r="A874" i="84"/>
  <c r="J647" i="84"/>
  <c r="J877" i="84"/>
  <c r="U341" i="84"/>
  <c r="D16" i="84"/>
  <c r="C707" i="84"/>
  <c r="A633" i="84"/>
  <c r="I71" i="84"/>
  <c r="C181" i="84"/>
  <c r="I653" i="84"/>
  <c r="C925" i="84"/>
  <c r="C319" i="84"/>
  <c r="M522" i="84"/>
  <c r="I484" i="84"/>
  <c r="D290" i="84"/>
  <c r="R111" i="84"/>
  <c r="S341" i="84"/>
  <c r="H54" i="84"/>
  <c r="L237" i="84"/>
  <c r="I479" i="84"/>
  <c r="K39" i="84"/>
  <c r="A399" i="84"/>
  <c r="A643" i="84"/>
  <c r="C711" i="84"/>
  <c r="B27" i="82"/>
  <c r="D462" i="84"/>
  <c r="I417" i="84"/>
  <c r="M950" i="84"/>
  <c r="H740" i="84"/>
  <c r="D189" i="84"/>
  <c r="C798" i="84"/>
  <c r="D146" i="84"/>
  <c r="U326" i="84"/>
  <c r="C739" i="84"/>
  <c r="Q956" i="84"/>
  <c r="I966" i="84"/>
  <c r="U360" i="84"/>
  <c r="M429" i="84"/>
  <c r="L676" i="84"/>
  <c r="L390" i="84"/>
  <c r="L19" i="84"/>
  <c r="D603" i="84"/>
  <c r="C390" i="84"/>
  <c r="J634" i="84"/>
  <c r="A744" i="84"/>
  <c r="D136" i="84"/>
  <c r="J558" i="84"/>
  <c r="C280" i="84"/>
  <c r="A445" i="84"/>
  <c r="H329" i="84"/>
  <c r="D654" i="84"/>
  <c r="D181" i="84"/>
  <c r="I773" i="84"/>
  <c r="K318" i="84"/>
  <c r="M749" i="84"/>
  <c r="K128" i="84"/>
  <c r="A714" i="84"/>
  <c r="C104" i="84"/>
  <c r="M448" i="84"/>
  <c r="C222" i="84"/>
  <c r="I672" i="84"/>
  <c r="K251" i="84"/>
  <c r="A18" i="84"/>
  <c r="D769" i="84"/>
  <c r="C10" i="82"/>
  <c r="D377" i="84"/>
  <c r="A659" i="84"/>
  <c r="J865" i="84"/>
  <c r="I647" i="84"/>
  <c r="A522" i="84"/>
  <c r="C153" i="84"/>
  <c r="A427" i="84"/>
  <c r="C240" i="84"/>
  <c r="C608" i="84"/>
  <c r="C952" i="84"/>
  <c r="J475" i="84"/>
  <c r="A12" i="84"/>
  <c r="D670" i="84"/>
  <c r="M272" i="84"/>
  <c r="U96" i="84"/>
  <c r="J135" i="84"/>
  <c r="A213" i="84"/>
  <c r="D399" i="84"/>
  <c r="R592" i="84"/>
  <c r="I426" i="84"/>
  <c r="K386" i="84"/>
  <c r="D946" i="84"/>
  <c r="K519" i="84"/>
  <c r="A911" i="84"/>
  <c r="U231" i="84"/>
  <c r="A499" i="84"/>
  <c r="L925" i="84"/>
  <c r="K9" i="84"/>
  <c r="L650" i="84"/>
  <c r="R764" i="84"/>
  <c r="D474" i="84"/>
  <c r="K228" i="84"/>
  <c r="D88" i="84"/>
  <c r="A626" i="84"/>
  <c r="C105" i="84"/>
  <c r="M140" i="84"/>
  <c r="H181" i="84"/>
  <c r="D646" i="84"/>
  <c r="D392" i="84"/>
  <c r="J162" i="84"/>
  <c r="D669" i="84"/>
  <c r="C825" i="84"/>
  <c r="K635" i="84"/>
  <c r="C297" i="84"/>
  <c r="C847" i="84"/>
  <c r="M37" i="84"/>
  <c r="M249" i="84"/>
  <c r="K504" i="84"/>
  <c r="M338" i="84"/>
  <c r="K108" i="84"/>
  <c r="J19" i="84"/>
  <c r="I893" i="84"/>
  <c r="C728" i="84"/>
  <c r="C57" i="84"/>
  <c r="T60" i="84"/>
  <c r="A378" i="84"/>
  <c r="C783" i="84"/>
  <c r="H555" i="84"/>
  <c r="A550" i="84"/>
  <c r="M331" i="84"/>
  <c r="A122" i="84"/>
  <c r="C674" i="84"/>
  <c r="D45" i="84"/>
  <c r="C567" i="84"/>
  <c r="C832" i="84"/>
  <c r="J233" i="84"/>
  <c r="C452" i="84"/>
  <c r="C398" i="84"/>
  <c r="A49" i="84"/>
  <c r="L799" i="84"/>
  <c r="C293" i="84"/>
  <c r="A351" i="84"/>
  <c r="C800" i="84"/>
  <c r="C8" i="82"/>
  <c r="R870" i="84"/>
  <c r="H399" i="84"/>
  <c r="I345" i="84"/>
  <c r="C187" i="84"/>
  <c r="C493" i="84"/>
  <c r="D279" i="84"/>
  <c r="C396" i="84"/>
  <c r="T920" i="84"/>
  <c r="J469" i="84"/>
  <c r="D925" i="84"/>
  <c r="H692" i="84"/>
  <c r="A763" i="84"/>
  <c r="L156" i="84"/>
  <c r="C128" i="84"/>
  <c r="C7" i="84"/>
  <c r="I386" i="84"/>
  <c r="D250" i="84"/>
  <c r="M589" i="84"/>
  <c r="D681" i="84"/>
  <c r="M222" i="84"/>
  <c r="T869" i="84"/>
  <c r="A284" i="84"/>
  <c r="U238" i="84"/>
  <c r="H394" i="84"/>
  <c r="H719" i="84"/>
  <c r="C555" i="84"/>
  <c r="K238" i="84"/>
  <c r="S661" i="84"/>
  <c r="D444" i="84"/>
  <c r="B34" i="82"/>
  <c r="L559" i="84"/>
  <c r="L58" i="84"/>
  <c r="C8" i="84"/>
  <c r="A320" i="84"/>
  <c r="I104" i="84"/>
  <c r="A557" i="84"/>
  <c r="T884" i="84"/>
  <c r="D56" i="84"/>
  <c r="J40" i="84"/>
  <c r="L26" i="84"/>
  <c r="D76" i="84"/>
  <c r="D634" i="84"/>
  <c r="I502" i="84"/>
  <c r="C882" i="84"/>
  <c r="R702" i="84"/>
  <c r="D100" i="84"/>
  <c r="A773" i="84"/>
  <c r="I617" i="84"/>
  <c r="J9" i="84"/>
  <c r="A680" i="84"/>
  <c r="I313" i="84"/>
  <c r="K450" i="84"/>
  <c r="L358" i="84"/>
  <c r="A797" i="84"/>
  <c r="C368" i="84"/>
  <c r="D686" i="84"/>
  <c r="K428" i="84"/>
  <c r="A496" i="84"/>
  <c r="D411" i="84"/>
  <c r="T93" i="84"/>
  <c r="D912" i="84"/>
  <c r="C423" i="84"/>
  <c r="D247" i="84"/>
  <c r="I288" i="84"/>
  <c r="D520" i="84"/>
  <c r="D59" i="84"/>
  <c r="J339" i="84"/>
  <c r="C474" i="84"/>
  <c r="G160" i="84"/>
  <c r="I401" i="84"/>
  <c r="D270" i="84"/>
  <c r="D500" i="84"/>
  <c r="L702" i="84"/>
  <c r="K268" i="84"/>
  <c r="D113" i="84"/>
  <c r="D835" i="84"/>
  <c r="Q822" i="84"/>
  <c r="C834" i="84"/>
  <c r="R107" i="84"/>
  <c r="C928" i="84"/>
  <c r="I703" i="84"/>
  <c r="I805" i="84"/>
  <c r="M88" i="84"/>
  <c r="K156" i="84"/>
  <c r="I312" i="84"/>
  <c r="C79" i="84"/>
  <c r="C590" i="84"/>
  <c r="A280" i="84"/>
  <c r="C501" i="84"/>
  <c r="C914" i="84"/>
  <c r="M784" i="84"/>
  <c r="C898" i="84"/>
  <c r="D78" i="84"/>
  <c r="C610" i="84"/>
  <c r="J816" i="84"/>
  <c r="C705" i="84"/>
  <c r="A816" i="84"/>
  <c r="M516" i="84"/>
  <c r="K495" i="84"/>
  <c r="A469" i="84"/>
  <c r="A366" i="84"/>
  <c r="A171" i="84"/>
  <c r="D566" i="84"/>
  <c r="M230" i="84"/>
  <c r="I914" i="84"/>
  <c r="D613" i="84"/>
  <c r="I139" i="84"/>
  <c r="A325" i="84"/>
  <c r="J177" i="84"/>
  <c r="A324" i="84"/>
  <c r="D344" i="84"/>
  <c r="M293" i="84"/>
  <c r="D573" i="84"/>
  <c r="C252" i="84"/>
  <c r="K493" i="84"/>
  <c r="A619" i="84"/>
  <c r="A811" i="84"/>
  <c r="C583" i="84"/>
  <c r="K67" i="84"/>
  <c r="C508" i="84"/>
  <c r="C609" i="84"/>
  <c r="C202" i="84"/>
  <c r="J265" i="84"/>
  <c r="H15" i="84"/>
  <c r="A227" i="84"/>
  <c r="K192" i="84"/>
  <c r="C217" i="84"/>
  <c r="N20" i="84"/>
  <c r="D314" i="84"/>
  <c r="J784" i="84"/>
  <c r="C667" i="84"/>
  <c r="A583" i="84"/>
  <c r="J405" i="84"/>
  <c r="A913" i="84"/>
  <c r="L560" i="84"/>
  <c r="D67" i="84"/>
  <c r="H433" i="84"/>
  <c r="J23" i="84"/>
  <c r="R625" i="84"/>
  <c r="M131" i="84"/>
  <c r="K201" i="84"/>
  <c r="C691" i="84"/>
  <c r="L184" i="84"/>
  <c r="K480" i="84"/>
  <c r="H584" i="84"/>
  <c r="D414" i="84"/>
  <c r="C488" i="84"/>
  <c r="K660" i="84"/>
  <c r="D86" i="84"/>
  <c r="A405" i="84"/>
  <c r="C817" i="84"/>
  <c r="D143" i="84"/>
  <c r="M439" i="84"/>
  <c r="U432" i="84"/>
  <c r="D452" i="84"/>
  <c r="L760" i="84"/>
  <c r="D255" i="84"/>
  <c r="S134" i="84"/>
  <c r="H271" i="84"/>
  <c r="U959" i="84"/>
  <c r="C626" i="84"/>
  <c r="C466" i="84"/>
  <c r="C662" i="84"/>
  <c r="C810" i="84"/>
  <c r="Q482" i="84"/>
  <c r="C205" i="84"/>
  <c r="U420" i="84"/>
  <c r="D53" i="84"/>
  <c r="C513" i="84"/>
  <c r="I20" i="84"/>
  <c r="R329" i="84"/>
  <c r="R519" i="84"/>
  <c r="C703" i="84"/>
  <c r="A686" i="84"/>
  <c r="C244" i="84"/>
  <c r="M153" i="84"/>
  <c r="T451" i="84"/>
  <c r="BL33" i="82"/>
  <c r="H127" i="84"/>
  <c r="A388" i="84"/>
  <c r="C740" i="84"/>
  <c r="A11" i="84"/>
  <c r="A537" i="84"/>
  <c r="L568" i="84"/>
  <c r="I341" i="84"/>
  <c r="J465" i="84"/>
  <c r="D294" i="84"/>
  <c r="M61" i="84"/>
  <c r="M170" i="84"/>
  <c r="I91" i="84"/>
  <c r="D949" i="84"/>
  <c r="L327" i="84"/>
  <c r="I68" i="84"/>
  <c r="U926" i="84"/>
  <c r="A919" i="84"/>
  <c r="C467" i="84"/>
  <c r="I912" i="84"/>
  <c r="K267" i="84"/>
  <c r="U106" i="84"/>
  <c r="A243" i="84"/>
  <c r="K306" i="84"/>
  <c r="U897" i="84"/>
  <c r="J896" i="84"/>
  <c r="D220" i="84"/>
  <c r="C22" i="84"/>
  <c r="T196" i="84"/>
  <c r="L508" i="84"/>
  <c r="C549" i="84"/>
  <c r="A542" i="84"/>
  <c r="B12" i="82"/>
  <c r="A291" i="84"/>
  <c r="A463" i="84"/>
  <c r="M385" i="84"/>
  <c r="D93" i="84"/>
  <c r="C820" i="84"/>
  <c r="I147" i="84"/>
  <c r="D537" i="84"/>
  <c r="C107" i="84"/>
  <c r="K402" i="84"/>
  <c r="M663" i="84"/>
  <c r="I864" i="84"/>
  <c r="A901" i="84"/>
  <c r="H16" i="84"/>
  <c r="I301" i="84"/>
  <c r="D586" i="84"/>
  <c r="D722" i="84"/>
  <c r="C733" i="84"/>
  <c r="T80" i="84"/>
  <c r="D69" i="84"/>
  <c r="B14" i="82"/>
  <c r="A774" i="84"/>
  <c r="H494" i="84"/>
  <c r="C624" i="84"/>
  <c r="I412" i="84"/>
  <c r="L268" i="84"/>
  <c r="I801" i="84"/>
  <c r="D510" i="84"/>
  <c r="A932" i="84"/>
  <c r="D324" i="84"/>
  <c r="R750" i="84"/>
  <c r="K484" i="84"/>
  <c r="D482" i="84"/>
  <c r="C801" i="84"/>
  <c r="A50" i="84"/>
  <c r="T271" i="84"/>
  <c r="K835" i="84"/>
  <c r="C526" i="84"/>
  <c r="C897" i="84"/>
  <c r="K423" i="84"/>
  <c r="H374" i="84"/>
  <c r="A133" i="84"/>
  <c r="A678" i="84"/>
  <c r="I450" i="84"/>
  <c r="M312" i="84"/>
  <c r="D867" i="84"/>
  <c r="I352" i="84"/>
  <c r="L192" i="84"/>
  <c r="D698" i="84"/>
  <c r="H414" i="84"/>
  <c r="A387" i="84"/>
  <c r="C850" i="84"/>
  <c r="J566" i="84"/>
  <c r="M628" i="84"/>
  <c r="K536" i="84"/>
  <c r="J332" i="84"/>
  <c r="M470" i="84"/>
  <c r="C31" i="84"/>
  <c r="A341" i="84"/>
  <c r="A964" i="84"/>
  <c r="A70" i="84"/>
  <c r="K959" i="84"/>
  <c r="R606" i="84"/>
  <c r="D316" i="84"/>
  <c r="K91" i="84"/>
  <c r="U440" i="84"/>
  <c r="C732" i="84"/>
  <c r="R658" i="84"/>
  <c r="H407" i="84"/>
  <c r="M398" i="84"/>
  <c r="C260" i="84"/>
  <c r="C885" i="84"/>
  <c r="H44" i="84"/>
  <c r="M417" i="84"/>
  <c r="C12" i="82"/>
  <c r="G430" i="84"/>
  <c r="A741" i="84"/>
  <c r="M301" i="84"/>
  <c r="U140" i="84"/>
  <c r="C441" i="84"/>
  <c r="L955" i="84"/>
  <c r="C627" i="84"/>
  <c r="R380" i="84"/>
  <c r="A449" i="84"/>
  <c r="U798" i="84"/>
  <c r="I754" i="84"/>
  <c r="A558" i="84"/>
  <c r="I296" i="84"/>
  <c r="A934" i="84"/>
  <c r="J521" i="84"/>
  <c r="M431" i="84"/>
  <c r="S142" i="84"/>
  <c r="C323" i="84"/>
  <c r="T438" i="84"/>
  <c r="Q77" i="84"/>
  <c r="A241" i="84"/>
  <c r="H859" i="84"/>
  <c r="I248" i="84"/>
  <c r="C16" i="82"/>
  <c r="J671" i="84"/>
  <c r="I432" i="84"/>
  <c r="C654" i="84"/>
  <c r="M335" i="84"/>
  <c r="M820" i="84"/>
  <c r="L167" i="84"/>
  <c r="I204" i="84"/>
  <c r="D934" i="84"/>
  <c r="Q115" i="84"/>
  <c r="K27" i="84"/>
  <c r="K230" i="84"/>
  <c r="D950" i="84"/>
  <c r="L435" i="84"/>
  <c r="H607" i="84"/>
  <c r="Q743" i="84"/>
  <c r="L499" i="84"/>
  <c r="L29" i="84"/>
  <c r="M174" i="84"/>
  <c r="I954" i="84"/>
  <c r="H754" i="84"/>
  <c r="I580" i="84"/>
  <c r="D896" i="84"/>
  <c r="H827" i="84"/>
  <c r="K383" i="84"/>
  <c r="I393" i="84"/>
  <c r="L269" i="84"/>
  <c r="C921" i="84"/>
  <c r="J927" i="84"/>
  <c r="I499" i="84"/>
  <c r="J247" i="84"/>
  <c r="C229" i="84"/>
  <c r="C199" i="84"/>
  <c r="M326" i="84"/>
  <c r="C621" i="84"/>
  <c r="L907" i="84"/>
  <c r="C766" i="84"/>
  <c r="I473" i="84"/>
  <c r="D935" i="84"/>
  <c r="U428" i="84"/>
  <c r="A621" i="84"/>
  <c r="D909" i="84"/>
  <c r="C264" i="84"/>
  <c r="H658" i="84"/>
  <c r="M487" i="84"/>
  <c r="A115" i="84"/>
  <c r="M501" i="84"/>
  <c r="I427" i="84"/>
  <c r="D512" i="84"/>
  <c r="D347" i="84"/>
  <c r="D578" i="84"/>
  <c r="C44" i="84"/>
  <c r="C71" i="84"/>
  <c r="C844" i="84"/>
  <c r="I327" i="84"/>
  <c r="D305" i="84"/>
  <c r="S557" i="84"/>
  <c r="D296" i="84"/>
  <c r="D428" i="84"/>
  <c r="J936" i="84"/>
  <c r="U125" i="84"/>
  <c r="S72" i="84"/>
  <c r="I321" i="84"/>
  <c r="I582" i="84"/>
  <c r="K931" i="84"/>
  <c r="I622" i="84"/>
  <c r="D421" i="84"/>
  <c r="D320" i="84"/>
  <c r="J599" i="84"/>
  <c r="K780" i="84"/>
  <c r="C135" i="84"/>
  <c r="C379" i="84"/>
  <c r="A761" i="84"/>
  <c r="K580" i="84"/>
  <c r="D471" i="84"/>
  <c r="U478" i="84"/>
  <c r="S835" i="84"/>
  <c r="I25" i="84"/>
  <c r="D201" i="84"/>
  <c r="C700" i="84"/>
  <c r="D162" i="84"/>
  <c r="D614" i="84"/>
  <c r="D846" i="84"/>
  <c r="M834" i="84"/>
  <c r="M24" i="84"/>
  <c r="K820" i="84"/>
  <c r="D259" i="84"/>
  <c r="I258" i="84"/>
  <c r="D172" i="84"/>
  <c r="K199" i="84"/>
  <c r="L908" i="84"/>
  <c r="A235" i="84"/>
  <c r="I369" i="84"/>
  <c r="R927" i="84"/>
  <c r="I788" i="84"/>
  <c r="H579" i="84"/>
  <c r="D600" i="84"/>
  <c r="D941" i="84"/>
  <c r="L151" i="84"/>
  <c r="C572" i="84"/>
  <c r="O415" i="84"/>
  <c r="C119" i="84"/>
  <c r="G364" i="84"/>
  <c r="K331" i="84"/>
  <c r="M52" i="84"/>
  <c r="A306" i="84"/>
  <c r="K77" i="84"/>
  <c r="L433" i="84"/>
  <c r="C864" i="84"/>
  <c r="M463" i="84"/>
  <c r="D883" i="84"/>
  <c r="K877" i="84"/>
  <c r="D927" i="84"/>
  <c r="M214" i="84"/>
  <c r="D469" i="84"/>
  <c r="K389" i="84"/>
  <c r="D68" i="84"/>
  <c r="R928" i="84"/>
  <c r="U239" i="84"/>
  <c r="C682" i="84"/>
  <c r="L563" i="84"/>
  <c r="K733" i="84"/>
  <c r="K906" i="84"/>
  <c r="A428" i="84"/>
  <c r="A479" i="84"/>
  <c r="C741" i="84"/>
  <c r="L890" i="84"/>
  <c r="A298" i="84"/>
  <c r="J579" i="84"/>
  <c r="M955" i="84"/>
  <c r="L490" i="84"/>
  <c r="A9" i="84"/>
  <c r="I508" i="84"/>
  <c r="C955" i="84"/>
  <c r="K889" i="84"/>
  <c r="T248" i="84"/>
  <c r="M119" i="84"/>
  <c r="K326" i="84"/>
  <c r="D303" i="84"/>
  <c r="A502" i="84"/>
  <c r="M877" i="84"/>
  <c r="C629" i="84"/>
  <c r="L339" i="84"/>
  <c r="T780" i="84"/>
  <c r="H759" i="84"/>
  <c r="D807" i="84"/>
  <c r="A39" i="84"/>
  <c r="M186" i="84"/>
  <c r="D606" i="84"/>
  <c r="K905" i="84"/>
  <c r="L946" i="84"/>
  <c r="L941" i="84"/>
  <c r="C528" i="84"/>
  <c r="J740" i="84"/>
  <c r="K509" i="84"/>
  <c r="U619" i="84"/>
  <c r="M224" i="84"/>
  <c r="I932" i="84"/>
  <c r="I745" i="84"/>
  <c r="A478" i="84"/>
  <c r="M120" i="84"/>
  <c r="A354" i="84"/>
  <c r="D281" i="84"/>
  <c r="C215" i="84"/>
  <c r="D592" i="84"/>
  <c r="M736" i="84"/>
  <c r="I475" i="84"/>
  <c r="D629" i="84"/>
  <c r="S322" i="84"/>
  <c r="A286" i="84"/>
  <c r="C546" i="84"/>
  <c r="I717" i="84"/>
  <c r="A173" i="84"/>
  <c r="C489" i="84"/>
  <c r="I708" i="84"/>
  <c r="M374" i="84"/>
  <c r="S360" i="84"/>
  <c r="L418" i="84"/>
  <c r="M479" i="84"/>
  <c r="D408" i="84"/>
  <c r="I420" i="84"/>
  <c r="P234" i="84"/>
  <c r="K243" i="84"/>
  <c r="I726" i="84"/>
  <c r="D410" i="84"/>
  <c r="A170" i="84"/>
  <c r="L372" i="84"/>
  <c r="D929" i="84"/>
  <c r="A307" i="84"/>
  <c r="K349" i="84"/>
  <c r="A944" i="84"/>
  <c r="D23" i="84"/>
  <c r="D841" i="84"/>
  <c r="A114" i="84"/>
  <c r="K804" i="84"/>
  <c r="K75" i="84"/>
  <c r="I172" i="84"/>
  <c r="D195" i="84"/>
  <c r="D928" i="84"/>
  <c r="J642" i="84"/>
  <c r="I346" i="84"/>
  <c r="C631" i="84"/>
  <c r="S580" i="84"/>
  <c r="M929" i="84"/>
  <c r="K28" i="84"/>
  <c r="M805" i="84"/>
  <c r="M127" i="84"/>
  <c r="J89" i="84"/>
  <c r="R811" i="84"/>
  <c r="H757" i="84"/>
  <c r="A434" i="84"/>
  <c r="M155" i="84"/>
  <c r="H648" i="84"/>
  <c r="D492" i="84"/>
  <c r="A361" i="84"/>
  <c r="U116" i="84"/>
  <c r="L132" i="84"/>
  <c r="C533" i="84"/>
  <c r="J49" i="84"/>
  <c r="C38" i="84"/>
  <c r="J894" i="84"/>
  <c r="J92" i="84"/>
  <c r="M720" i="84"/>
  <c r="S168" i="84"/>
  <c r="Q238" i="84"/>
  <c r="I396" i="84"/>
  <c r="I577" i="84"/>
  <c r="B26" i="82"/>
  <c r="C124" i="84"/>
  <c r="M570" i="84"/>
  <c r="K907" i="84"/>
  <c r="D563" i="84"/>
  <c r="J108" i="84"/>
  <c r="K252" i="84"/>
  <c r="A83" i="84"/>
  <c r="D727" i="84"/>
  <c r="A509" i="84"/>
  <c r="H509" i="84"/>
  <c r="J347" i="84"/>
  <c r="A933" i="84"/>
  <c r="Q13" i="84"/>
  <c r="S935" i="84"/>
  <c r="H345" i="84"/>
  <c r="H527" i="84"/>
  <c r="C506" i="84"/>
  <c r="K619" i="84"/>
  <c r="D422" i="84"/>
  <c r="D719" i="84"/>
  <c r="A772" i="84"/>
  <c r="K112" i="84"/>
  <c r="I106" i="84"/>
  <c r="D394" i="84"/>
  <c r="I190" i="84"/>
  <c r="J777" i="84"/>
  <c r="K457" i="84"/>
  <c r="H216" i="84"/>
  <c r="D387" i="84"/>
  <c r="I626" i="84"/>
  <c r="U690" i="84"/>
  <c r="U149" i="84"/>
  <c r="K535" i="84"/>
  <c r="C13" i="82"/>
  <c r="U756" i="84"/>
  <c r="H638" i="84"/>
  <c r="L319" i="84"/>
  <c r="A326" i="84"/>
  <c r="J487" i="84"/>
  <c r="M366" i="84"/>
  <c r="Q668" i="84"/>
  <c r="H76" i="84"/>
  <c r="A852" i="84"/>
  <c r="C165" i="84"/>
  <c r="N953" i="84"/>
  <c r="M38" i="84"/>
  <c r="U769" i="84"/>
  <c r="C201" i="84"/>
  <c r="U663" i="84"/>
  <c r="S729" i="84"/>
  <c r="L638" i="84"/>
  <c r="C478" i="84"/>
  <c r="A61" i="84"/>
  <c r="I218" i="84"/>
  <c r="C195" i="84"/>
  <c r="K188" i="84"/>
  <c r="I640" i="84"/>
  <c r="C72" i="84"/>
  <c r="C249" i="84"/>
  <c r="I170" i="84"/>
  <c r="L777" i="84"/>
  <c r="A431" i="84"/>
  <c r="U462" i="84"/>
  <c r="H702" i="84"/>
  <c r="I276" i="84"/>
  <c r="K827" i="84"/>
  <c r="M376" i="84"/>
  <c r="K474" i="84"/>
  <c r="K693" i="84"/>
  <c r="I804" i="84"/>
  <c r="T66" i="84"/>
  <c r="J297" i="84"/>
  <c r="M7" i="84"/>
  <c r="L96" i="84"/>
  <c r="I843" i="84"/>
  <c r="C641" i="84"/>
  <c r="C544" i="84"/>
  <c r="BK37" i="82"/>
  <c r="C557" i="84"/>
  <c r="P263" i="84"/>
  <c r="C953" i="84"/>
  <c r="J420" i="84"/>
  <c r="M494" i="84"/>
  <c r="T413" i="84"/>
  <c r="U99" i="84"/>
  <c r="C232" i="84"/>
  <c r="S747" i="84"/>
  <c r="K554" i="84"/>
  <c r="L165" i="84"/>
  <c r="A432" i="84"/>
  <c r="D105" i="84"/>
  <c r="H316" i="84"/>
  <c r="M264" i="84"/>
  <c r="S477" i="84"/>
  <c r="C468" i="84"/>
  <c r="I958" i="84"/>
  <c r="D438" i="84"/>
  <c r="M300" i="84"/>
  <c r="A818" i="84"/>
  <c r="J35" i="84"/>
  <c r="M41" i="84"/>
  <c r="D66" i="84"/>
  <c r="M149" i="84"/>
  <c r="I52" i="84"/>
  <c r="R542" i="84"/>
  <c r="J680" i="84"/>
  <c r="D913" i="84"/>
  <c r="K148" i="84"/>
  <c r="D564" i="84"/>
  <c r="M19" i="84"/>
  <c r="D276" i="84"/>
  <c r="A358" i="84"/>
  <c r="I669" i="84"/>
  <c r="K791" i="84"/>
  <c r="D947" i="84"/>
  <c r="D17" i="84"/>
  <c r="N429" i="84"/>
  <c r="M906" i="84"/>
  <c r="K454" i="84"/>
  <c r="H37" i="84"/>
  <c r="K481" i="84"/>
  <c r="C382" i="84"/>
  <c r="A748" i="84"/>
  <c r="H787" i="84"/>
  <c r="M719" i="84"/>
  <c r="J746" i="84"/>
  <c r="K553" i="84"/>
  <c r="I562" i="84"/>
  <c r="A628" i="84"/>
  <c r="K652" i="84"/>
  <c r="BK42" i="82"/>
  <c r="D306" i="84"/>
  <c r="D52" i="84"/>
  <c r="M830" i="84"/>
  <c r="O507" i="84"/>
  <c r="I362" i="84"/>
  <c r="I22" i="84"/>
  <c r="I429" i="84"/>
  <c r="T681" i="84"/>
  <c r="S78" i="84"/>
  <c r="U407" i="84"/>
  <c r="A907" i="84"/>
  <c r="L713" i="84"/>
  <c r="U191" i="84"/>
  <c r="L383" i="84"/>
  <c r="A188" i="84"/>
  <c r="C939" i="84"/>
  <c r="J888" i="84"/>
  <c r="P76" i="84"/>
  <c r="H573" i="84"/>
  <c r="K159" i="84"/>
  <c r="M801" i="84"/>
  <c r="H479" i="84"/>
  <c r="R316" i="84"/>
  <c r="C145" i="84"/>
  <c r="I789" i="84"/>
  <c r="D732" i="84"/>
  <c r="A961" i="84"/>
  <c r="D454" i="84"/>
  <c r="D242" i="84"/>
  <c r="D19" i="84"/>
  <c r="K727" i="84"/>
  <c r="L868" i="84"/>
  <c r="T28" i="84"/>
  <c r="D215" i="84"/>
  <c r="H825" i="84"/>
  <c r="I105" i="84"/>
  <c r="N259" i="84"/>
  <c r="S841" i="84"/>
  <c r="M831" i="84"/>
  <c r="M776" i="84"/>
  <c r="M157" i="84"/>
  <c r="U40" i="84"/>
  <c r="P869" i="84"/>
  <c r="K249" i="84"/>
  <c r="M233" i="84"/>
  <c r="C647" i="84"/>
  <c r="K765" i="84"/>
  <c r="D661" i="84"/>
  <c r="J630" i="84"/>
  <c r="M373" i="84"/>
  <c r="D798" i="84"/>
  <c r="T442" i="84"/>
  <c r="U803" i="84"/>
  <c r="C17" i="84"/>
  <c r="N689" i="84"/>
  <c r="A692" i="84"/>
  <c r="D468" i="84"/>
  <c r="M17" i="84"/>
  <c r="I700" i="84"/>
  <c r="H620" i="84"/>
  <c r="K214" i="84"/>
  <c r="D192" i="84"/>
  <c r="A323" i="84"/>
  <c r="Q453" i="84"/>
  <c r="C11" i="82"/>
  <c r="T608" i="84"/>
  <c r="H962" i="84"/>
  <c r="D473" i="84"/>
  <c r="K725" i="84"/>
  <c r="C461" i="84"/>
  <c r="C612" i="84"/>
  <c r="D477" i="84"/>
  <c r="K356" i="84"/>
  <c r="D466" i="84"/>
  <c r="C806" i="84"/>
  <c r="I333" i="84"/>
  <c r="M511" i="84"/>
  <c r="D715" i="84"/>
  <c r="H242" i="84"/>
  <c r="C188" i="84"/>
  <c r="I217" i="84"/>
  <c r="I780" i="84"/>
  <c r="K697" i="84"/>
  <c r="D765" i="84"/>
  <c r="J386" i="84"/>
  <c r="M73" i="84"/>
  <c r="D57" i="84"/>
  <c r="U867" i="84"/>
  <c r="A641" i="84"/>
  <c r="BK25" i="82"/>
  <c r="D899" i="84"/>
  <c r="L645" i="84"/>
  <c r="C782" i="84"/>
  <c r="I384" i="84"/>
  <c r="L130" i="84"/>
  <c r="I539" i="84"/>
  <c r="D635" i="84"/>
  <c r="L179" i="84"/>
  <c r="D370" i="84"/>
  <c r="R34" i="84"/>
  <c r="U8" i="84"/>
  <c r="U480" i="84"/>
  <c r="D295" i="84"/>
  <c r="M277" i="84"/>
  <c r="K33" i="84"/>
  <c r="I761" i="84"/>
  <c r="L229" i="84"/>
  <c r="M886" i="84"/>
  <c r="I404" i="84"/>
  <c r="M53" i="84"/>
  <c r="C717" i="84"/>
  <c r="C376" i="84"/>
  <c r="M218" i="84"/>
  <c r="A177" i="84"/>
  <c r="I387" i="84"/>
  <c r="C428" i="84"/>
  <c r="M112" i="84"/>
  <c r="J730" i="84"/>
  <c r="A947" i="84"/>
  <c r="N146" i="84"/>
  <c r="H871" i="84"/>
  <c r="A624" i="84"/>
  <c r="D538" i="84"/>
  <c r="C822" i="84"/>
  <c r="L246" i="84"/>
  <c r="D863" i="84"/>
  <c r="C395" i="84"/>
  <c r="J950" i="84"/>
  <c r="K19" i="84"/>
  <c r="A793" i="84"/>
  <c r="U324" i="84"/>
  <c r="A226" i="84"/>
  <c r="L791" i="84"/>
  <c r="I146" i="84"/>
  <c r="K927" i="84"/>
  <c r="D381" i="84"/>
  <c r="D734" i="84"/>
  <c r="D739" i="84"/>
  <c r="A224" i="84"/>
  <c r="M294" i="84"/>
  <c r="M449" i="84"/>
  <c r="K47" i="84"/>
  <c r="K893" i="84"/>
  <c r="D528" i="84"/>
  <c r="I227" i="84"/>
  <c r="H474" i="84"/>
  <c r="J688" i="84"/>
  <c r="M325" i="84"/>
  <c r="D434" i="84"/>
  <c r="I908" i="84"/>
  <c r="K221" i="84"/>
  <c r="L434" i="84"/>
  <c r="K616" i="84"/>
  <c r="K398" i="84"/>
  <c r="L367" i="84"/>
  <c r="C159" i="84"/>
  <c r="D197" i="84"/>
  <c r="M207" i="84"/>
  <c r="M360" i="84"/>
  <c r="M324" i="84"/>
  <c r="I491" i="84"/>
  <c r="I318" i="84"/>
  <c r="M853" i="84"/>
  <c r="C837" i="84"/>
  <c r="M528" i="84"/>
  <c r="M804" i="84"/>
  <c r="J181" i="84"/>
  <c r="M95" i="84"/>
  <c r="D132" i="84"/>
  <c r="H486" i="84"/>
  <c r="K348" i="84"/>
  <c r="K629" i="84"/>
  <c r="H80" i="84"/>
  <c r="A884" i="84"/>
  <c r="U875" i="84"/>
  <c r="S439" i="84"/>
  <c r="A333" i="84"/>
  <c r="T736" i="84"/>
  <c r="I437" i="84"/>
  <c r="K106" i="84"/>
  <c r="U851" i="84"/>
  <c r="D155" i="84"/>
  <c r="M529" i="84"/>
  <c r="M707" i="84"/>
  <c r="K96" i="84"/>
  <c r="T327" i="84"/>
  <c r="A881" i="84"/>
  <c r="C172" i="84"/>
  <c r="L588" i="84"/>
  <c r="S465" i="84"/>
  <c r="S588" i="84"/>
  <c r="U685" i="84"/>
  <c r="K153" i="84"/>
  <c r="BL42" i="82"/>
  <c r="C661" i="84"/>
  <c r="M303" i="84"/>
  <c r="I55" i="84"/>
  <c r="H524" i="84"/>
  <c r="S165" i="84"/>
  <c r="D329" i="84"/>
  <c r="C763" i="84"/>
  <c r="H471" i="84"/>
  <c r="A292" i="84"/>
  <c r="U460" i="84"/>
  <c r="C268" i="84"/>
  <c r="L346" i="84"/>
  <c r="K942" i="84"/>
  <c r="L674" i="84"/>
  <c r="J195" i="84"/>
  <c r="D601" i="84"/>
  <c r="K918" i="84"/>
  <c r="L547" i="84"/>
  <c r="C399" i="84"/>
  <c r="H196" i="84"/>
  <c r="H721" i="84"/>
  <c r="C619" i="84"/>
  <c r="D248" i="84"/>
  <c r="A376" i="84"/>
  <c r="U823" i="84"/>
  <c r="A523" i="84"/>
  <c r="R737" i="84"/>
  <c r="K715" i="84"/>
  <c r="M901" i="84"/>
  <c r="K110" i="84"/>
  <c r="U628" i="84"/>
  <c r="H510" i="84"/>
  <c r="A105" i="84"/>
  <c r="H189" i="84"/>
  <c r="H946" i="84"/>
  <c r="L454" i="84"/>
  <c r="M419" i="84"/>
  <c r="D221" i="84"/>
  <c r="D951" i="84"/>
  <c r="K342" i="84"/>
  <c r="O715" i="84"/>
  <c r="D302" i="84"/>
  <c r="K549" i="84"/>
  <c r="C734" i="84"/>
  <c r="D478" i="84"/>
  <c r="I41" i="84"/>
  <c r="A208" i="84"/>
  <c r="I776" i="84"/>
  <c r="M244" i="84"/>
  <c r="L447" i="84"/>
  <c r="I111" i="84"/>
  <c r="D552" i="84"/>
  <c r="T179" i="84"/>
  <c r="M887" i="84"/>
  <c r="L769" i="84"/>
  <c r="A145" i="84"/>
  <c r="H646" i="84"/>
  <c r="K354" i="84"/>
  <c r="C852" i="84"/>
  <c r="M810" i="84"/>
  <c r="A229" i="84"/>
  <c r="K609" i="84"/>
  <c r="T219" i="84"/>
  <c r="C225" i="84"/>
  <c r="A404" i="84"/>
  <c r="H898" i="84"/>
  <c r="K867" i="84"/>
  <c r="M20" i="84"/>
  <c r="K427" i="84"/>
  <c r="M883" i="84"/>
  <c r="U496" i="84"/>
  <c r="U566" i="84"/>
  <c r="I674" i="84"/>
  <c r="D665" i="84"/>
  <c r="I878" i="84"/>
  <c r="I402" i="84"/>
  <c r="M162" i="84"/>
  <c r="C276" i="84"/>
  <c r="J808" i="84"/>
  <c r="C829" i="84"/>
  <c r="C813" i="84"/>
  <c r="M650" i="84"/>
  <c r="A422" i="84"/>
  <c r="I886" i="84"/>
  <c r="L666" i="84"/>
  <c r="H199" i="84"/>
  <c r="BK36" i="82"/>
  <c r="L108" i="84"/>
  <c r="L669" i="84"/>
  <c r="K606" i="84"/>
  <c r="A844" i="84"/>
  <c r="S393" i="84"/>
  <c r="M872" i="84"/>
  <c r="T640" i="84"/>
  <c r="C908" i="84"/>
  <c r="M48" i="84"/>
  <c r="C274" i="84"/>
  <c r="U847" i="84"/>
  <c r="K401" i="84"/>
  <c r="J157" i="84"/>
  <c r="C78" i="84"/>
  <c r="C865" i="84"/>
  <c r="M532" i="84"/>
  <c r="D660" i="84"/>
  <c r="C402" i="84"/>
  <c r="H393" i="84"/>
  <c r="I381" i="84"/>
  <c r="I798" i="84"/>
  <c r="K917" i="84"/>
  <c r="I73" i="84"/>
  <c r="L581" i="84"/>
  <c r="C227" i="84"/>
  <c r="I731" i="84"/>
  <c r="A930" i="84"/>
  <c r="A151" i="84"/>
  <c r="H309" i="84"/>
  <c r="K669" i="84"/>
  <c r="M282" i="84"/>
  <c r="C958" i="84"/>
  <c r="C575" i="84"/>
  <c r="A880" i="84"/>
  <c r="I84" i="84"/>
  <c r="M422" i="84"/>
  <c r="A754" i="84"/>
  <c r="M121" i="84"/>
  <c r="I568" i="84"/>
  <c r="I158" i="84"/>
  <c r="M355" i="84"/>
  <c r="BK15" i="82"/>
  <c r="A381" i="84"/>
  <c r="H812" i="84"/>
  <c r="S704" i="84"/>
  <c r="A589" i="84"/>
  <c r="A329" i="84"/>
  <c r="I613" i="84"/>
  <c r="M346" i="84"/>
  <c r="C425" i="84"/>
  <c r="D364" i="84"/>
  <c r="M893" i="84"/>
  <c r="C715" i="84"/>
  <c r="K646" i="84"/>
  <c r="D42" i="84"/>
  <c r="K740" i="84"/>
  <c r="P73" i="84"/>
  <c r="K659" i="84"/>
  <c r="A176" i="84"/>
  <c r="M841" i="84"/>
  <c r="K545" i="84"/>
  <c r="I842" i="84"/>
  <c r="D44" i="84"/>
  <c r="U509" i="84"/>
  <c r="A435" i="84"/>
  <c r="I83" i="84"/>
  <c r="M227" i="84"/>
  <c r="U489" i="84"/>
  <c r="H534" i="84"/>
  <c r="R774" i="84"/>
  <c r="I949" i="84"/>
  <c r="S374" i="84"/>
  <c r="H359" i="84"/>
  <c r="U38" i="84"/>
  <c r="D89" i="84"/>
  <c r="B15" i="82"/>
  <c r="D910" i="84"/>
  <c r="L212" i="84"/>
  <c r="C651" i="84"/>
  <c r="I748" i="84"/>
  <c r="I742" i="84"/>
  <c r="L662" i="84"/>
  <c r="J836" i="84"/>
  <c r="K815" i="84"/>
  <c r="T834" i="84"/>
  <c r="C13" i="84"/>
  <c r="S56" i="84"/>
  <c r="L526" i="84"/>
  <c r="D557" i="84"/>
  <c r="D174" i="84"/>
  <c r="M302" i="84"/>
  <c r="M328" i="84"/>
  <c r="K347" i="84"/>
  <c r="I733" i="84"/>
  <c r="D756" i="84"/>
  <c r="L307" i="84"/>
  <c r="M413" i="84"/>
  <c r="A402" i="84"/>
  <c r="J822" i="84"/>
  <c r="D655" i="84"/>
  <c r="K522" i="84"/>
  <c r="D190" i="84"/>
  <c r="M428" i="84"/>
  <c r="I249" i="84"/>
  <c r="E770" i="84"/>
  <c r="K599" i="84"/>
  <c r="C514" i="84"/>
  <c r="D642" i="84"/>
  <c r="D855" i="84"/>
  <c r="C134" i="84"/>
  <c r="H633" i="84"/>
  <c r="M102" i="84"/>
  <c r="K718" i="84"/>
  <c r="C374" i="84"/>
  <c r="M735" i="84"/>
  <c r="I687" i="84"/>
  <c r="A313" i="84"/>
  <c r="M688" i="84"/>
  <c r="A524" i="84"/>
  <c r="C668" i="84"/>
  <c r="I729" i="84"/>
  <c r="P958" i="84"/>
  <c r="L719" i="84"/>
  <c r="C713" i="84"/>
  <c r="D560" i="84"/>
  <c r="D65" i="84"/>
  <c r="I43" i="84"/>
  <c r="I746" i="84"/>
  <c r="L716" i="84"/>
  <c r="C650" i="84"/>
  <c r="D710" i="84"/>
  <c r="J781" i="84"/>
  <c r="S683" i="84"/>
  <c r="S153" i="84"/>
  <c r="K411" i="84"/>
  <c r="M281" i="84"/>
  <c r="Q430" i="84"/>
  <c r="U62" i="84"/>
  <c r="M793" i="84"/>
  <c r="M654" i="84"/>
  <c r="J141" i="84"/>
  <c r="BL45" i="82"/>
  <c r="C476" i="84"/>
  <c r="T445" i="84"/>
  <c r="H432" i="84"/>
  <c r="A698" i="84"/>
  <c r="T288" i="84"/>
  <c r="H418" i="84"/>
  <c r="T258" i="84"/>
  <c r="U638" i="84"/>
  <c r="T606" i="84"/>
  <c r="R480" i="84"/>
  <c r="K735" i="84"/>
  <c r="T514" i="84"/>
  <c r="I737" i="84"/>
  <c r="A266" i="84"/>
  <c r="D832" i="84"/>
  <c r="D857" i="84"/>
  <c r="C412" i="84"/>
  <c r="L493" i="84"/>
  <c r="H193" i="84"/>
  <c r="T106" i="84"/>
  <c r="D429" i="84"/>
  <c r="I480" i="84"/>
  <c r="K360" i="84"/>
  <c r="L475" i="84"/>
  <c r="C144" i="84"/>
  <c r="J786" i="84"/>
  <c r="L472" i="84"/>
  <c r="J288" i="84"/>
  <c r="H845" i="84"/>
  <c r="U596" i="84"/>
  <c r="D645" i="84"/>
  <c r="D238" i="84"/>
  <c r="U256" i="84"/>
  <c r="H679" i="84"/>
  <c r="C405" i="84"/>
  <c r="M732" i="84"/>
  <c r="U520" i="84"/>
  <c r="H903" i="84"/>
  <c r="L138" i="84"/>
  <c r="L795" i="84"/>
  <c r="I159" i="84"/>
  <c r="I931" i="84"/>
  <c r="H31" i="84"/>
  <c r="M944" i="84"/>
  <c r="I329" i="84"/>
  <c r="D936" i="84"/>
  <c r="I175" i="84"/>
  <c r="U433" i="84"/>
  <c r="C23" i="84"/>
  <c r="C770" i="84"/>
  <c r="M29" i="84"/>
  <c r="J421" i="84"/>
  <c r="K283" i="84"/>
  <c r="A832" i="84"/>
  <c r="I459" i="84"/>
  <c r="L771" i="84"/>
  <c r="A191" i="84"/>
  <c r="Q40" i="84"/>
  <c r="D191" i="84"/>
  <c r="C824" i="84"/>
  <c r="C504" i="84"/>
  <c r="K72" i="84"/>
  <c r="L44" i="84"/>
  <c r="I693" i="84"/>
  <c r="P906" i="84"/>
  <c r="I600" i="84"/>
  <c r="U115" i="84"/>
  <c r="C872" i="84"/>
  <c r="M135" i="84"/>
  <c r="J544" i="84"/>
  <c r="B30" i="82"/>
  <c r="M451" i="84"/>
  <c r="D514" i="84"/>
  <c r="A835" i="84"/>
  <c r="L137" i="84"/>
  <c r="C537" i="84"/>
  <c r="A187" i="84"/>
  <c r="T864" i="84"/>
  <c r="D616" i="84"/>
  <c r="J792" i="84"/>
  <c r="L779" i="84"/>
  <c r="I234" i="84"/>
  <c r="K444" i="84"/>
  <c r="L401" i="84"/>
  <c r="D657" i="84"/>
  <c r="D691" i="84"/>
  <c r="D137" i="84"/>
  <c r="K558" i="84"/>
  <c r="D332" i="84"/>
  <c r="M416" i="84"/>
  <c r="A512" i="84"/>
  <c r="M775" i="84"/>
  <c r="S525" i="84"/>
  <c r="M727" i="84"/>
  <c r="K483" i="84"/>
  <c r="D311" i="84"/>
  <c r="T490" i="84"/>
  <c r="K915" i="84"/>
  <c r="M80" i="84"/>
  <c r="H654" i="84"/>
  <c r="C83" i="84"/>
  <c r="L756" i="84"/>
  <c r="C944" i="84"/>
  <c r="A27" i="84"/>
  <c r="U647" i="84"/>
  <c r="I603" i="84"/>
  <c r="A452" i="84"/>
  <c r="K126" i="84"/>
  <c r="I245" i="84"/>
  <c r="H690" i="84"/>
  <c r="M716" i="84"/>
  <c r="D360" i="84"/>
  <c r="L671" i="84"/>
  <c r="O839" i="84"/>
  <c r="L545" i="84"/>
  <c r="I799" i="84"/>
  <c r="T961" i="84"/>
  <c r="A239" i="84"/>
  <c r="U688" i="84"/>
  <c r="K405" i="84"/>
  <c r="L465" i="84"/>
  <c r="T142" i="84"/>
  <c r="L122" i="84"/>
  <c r="K574" i="84"/>
  <c r="H52" i="84"/>
  <c r="K540" i="84"/>
  <c r="K622" i="84"/>
  <c r="L714" i="84"/>
  <c r="H894" i="84"/>
  <c r="S948" i="84"/>
  <c r="G894" i="84"/>
  <c r="M104" i="84"/>
  <c r="C237" i="84"/>
  <c r="C184" i="84"/>
  <c r="S739" i="84"/>
  <c r="L851" i="84"/>
  <c r="I907" i="84"/>
  <c r="C906" i="84"/>
  <c r="S959" i="84"/>
  <c r="I865" i="84"/>
  <c r="H893" i="84"/>
  <c r="T362" i="84"/>
  <c r="L804" i="84"/>
  <c r="C397" i="84"/>
  <c r="Q175" i="84"/>
  <c r="D966" i="84"/>
  <c r="J76" i="84"/>
  <c r="L670" i="84"/>
  <c r="J390" i="84"/>
  <c r="K420" i="84"/>
  <c r="M952" i="84"/>
  <c r="I397" i="84"/>
  <c r="M414" i="84"/>
  <c r="A552" i="84"/>
  <c r="I189" i="84"/>
  <c r="A784" i="84"/>
  <c r="A922" i="84"/>
  <c r="K674" i="84"/>
  <c r="K873" i="84"/>
  <c r="D726" i="84"/>
  <c r="K548" i="84"/>
  <c r="H162" i="84"/>
  <c r="M836" i="84"/>
  <c r="J437" i="84"/>
  <c r="U413" i="84"/>
  <c r="C784" i="84"/>
  <c r="M575" i="84"/>
  <c r="A609" i="84"/>
  <c r="L700" i="84"/>
  <c r="G212" i="84"/>
  <c r="K839" i="84"/>
  <c r="S702" i="84"/>
  <c r="K668" i="84"/>
  <c r="K223" i="84"/>
  <c r="I448" i="84"/>
  <c r="K412" i="84"/>
  <c r="H232" i="84"/>
  <c r="H540" i="84"/>
  <c r="U484" i="84"/>
  <c r="C473" i="84"/>
  <c r="A929" i="84"/>
  <c r="L897" i="84"/>
  <c r="S761" i="84"/>
  <c r="C653" i="84"/>
  <c r="J545" i="84"/>
  <c r="L927" i="84"/>
  <c r="J182" i="84"/>
  <c r="D533" i="84"/>
  <c r="A789" i="84"/>
  <c r="H20" i="84"/>
  <c r="L534" i="84"/>
  <c r="K709" i="84"/>
  <c r="I654" i="84"/>
  <c r="M252" i="84"/>
  <c r="C497" i="84"/>
  <c r="I309" i="84"/>
  <c r="I724" i="84"/>
  <c r="K104" i="84"/>
  <c r="M215" i="84"/>
  <c r="D945" i="84"/>
  <c r="Q174" i="84"/>
  <c r="K396" i="84"/>
  <c r="U693" i="84"/>
  <c r="A616" i="84"/>
  <c r="BL31" i="82"/>
  <c r="A116" i="84"/>
  <c r="C632" i="84"/>
  <c r="A206" i="84"/>
  <c r="M588" i="84"/>
  <c r="C879" i="84"/>
  <c r="S71" i="84"/>
  <c r="K941" i="84"/>
  <c r="I817" i="84"/>
  <c r="K209" i="84"/>
  <c r="M330" i="84"/>
  <c r="L195" i="84"/>
  <c r="K797" i="84"/>
  <c r="I891" i="84"/>
  <c r="A590" i="84"/>
  <c r="L594" i="84"/>
  <c r="S577" i="84"/>
  <c r="I913" i="84"/>
  <c r="C91" i="84"/>
  <c r="H324" i="84"/>
  <c r="H565" i="84"/>
  <c r="J741" i="84"/>
  <c r="K447" i="84"/>
  <c r="T935" i="84"/>
  <c r="D647" i="84"/>
  <c r="A222" i="84"/>
  <c r="K436" i="84"/>
  <c r="U563" i="84"/>
  <c r="C21" i="84"/>
  <c r="K847" i="84"/>
  <c r="T308" i="84"/>
  <c r="I285" i="84"/>
  <c r="K488" i="84"/>
  <c r="A568" i="84"/>
  <c r="Q214" i="84"/>
  <c r="I235" i="84"/>
  <c r="L822" i="84"/>
  <c r="I752" i="84"/>
  <c r="M181" i="84"/>
  <c r="M661" i="84"/>
  <c r="I786" i="84"/>
  <c r="I770" i="84"/>
  <c r="L105" i="84"/>
  <c r="L758" i="84"/>
  <c r="S539" i="84"/>
  <c r="D118" i="84"/>
  <c r="K505" i="84"/>
  <c r="A28" i="84"/>
  <c r="H890" i="84"/>
  <c r="C745" i="84"/>
  <c r="G159" i="84"/>
  <c r="U961" i="84"/>
  <c r="M504" i="84"/>
  <c r="A792" i="84"/>
  <c r="D350" i="84"/>
  <c r="I153" i="84"/>
  <c r="A605" i="84"/>
  <c r="Q623" i="84"/>
  <c r="J435" i="84"/>
  <c r="M819" i="84"/>
  <c r="D708" i="84"/>
  <c r="I90" i="84"/>
  <c r="D331" i="84"/>
  <c r="K594" i="84"/>
  <c r="C320" i="84"/>
  <c r="I323" i="84"/>
  <c r="S338" i="84"/>
  <c r="J966" i="84"/>
  <c r="C272" i="84"/>
  <c r="BE45" i="82"/>
  <c r="C777" i="84"/>
  <c r="T836" i="84"/>
  <c r="L776" i="84"/>
  <c r="I308" i="84"/>
  <c r="S509" i="84"/>
  <c r="I435" i="84"/>
  <c r="K864" i="84"/>
  <c r="K773" i="84"/>
  <c r="C538" i="84"/>
  <c r="K620" i="84"/>
  <c r="D282" i="84"/>
  <c r="K282" i="84"/>
  <c r="K139" i="84"/>
  <c r="K36" i="84"/>
  <c r="D960" i="84"/>
  <c r="H703" i="84"/>
  <c r="I222" i="84"/>
  <c r="K212" i="84"/>
  <c r="J359" i="84"/>
  <c r="R72" i="84"/>
  <c r="C50" i="84"/>
  <c r="R11" i="84"/>
  <c r="L761" i="84"/>
  <c r="A214" i="84"/>
  <c r="H942" i="84"/>
  <c r="K814" i="84"/>
  <c r="C245" i="84"/>
  <c r="L11" i="84"/>
  <c r="J766" i="84"/>
  <c r="H404" i="84"/>
  <c r="M475" i="84"/>
  <c r="P429" i="84"/>
  <c r="L901" i="84"/>
  <c r="J905" i="84"/>
  <c r="L286" i="84"/>
  <c r="M565" i="84"/>
  <c r="L249" i="84"/>
  <c r="D107" i="84"/>
  <c r="J58" i="84"/>
  <c r="H947" i="84"/>
  <c r="H910" i="84"/>
  <c r="A217" i="84"/>
  <c r="C811" i="84"/>
  <c r="L315" i="84"/>
  <c r="M309" i="84"/>
  <c r="T353" i="84"/>
  <c r="C805" i="84"/>
  <c r="K337" i="84"/>
  <c r="A93" i="84"/>
  <c r="BK8" i="82"/>
  <c r="A142" i="84"/>
  <c r="M248" i="84"/>
  <c r="U319" i="84"/>
  <c r="C230" i="84"/>
  <c r="D695" i="84"/>
  <c r="D648" i="84"/>
  <c r="A212" i="84"/>
  <c r="Q526" i="84"/>
  <c r="C744" i="84"/>
  <c r="D14" i="84"/>
  <c r="T741" i="84"/>
  <c r="K695" i="84"/>
  <c r="H336" i="84"/>
  <c r="B20" i="82"/>
  <c r="J561" i="84"/>
  <c r="D286" i="84"/>
  <c r="R936" i="84"/>
  <c r="H123" i="84"/>
  <c r="H99" i="84"/>
  <c r="H866" i="84"/>
  <c r="K52" i="84"/>
  <c r="C912" i="84"/>
  <c r="L170" i="84"/>
  <c r="C465" i="84"/>
  <c r="L912" i="84"/>
  <c r="I304" i="84"/>
  <c r="I63" i="84"/>
  <c r="D90" i="84"/>
  <c r="T766" i="84"/>
  <c r="S413" i="84"/>
  <c r="Q241" i="84"/>
  <c r="BK9" i="82"/>
  <c r="S807" i="84"/>
  <c r="J299" i="84"/>
  <c r="J702" i="84"/>
  <c r="R327" i="84"/>
  <c r="J819" i="84"/>
  <c r="M442" i="84"/>
  <c r="L824" i="84"/>
  <c r="K421" i="84"/>
  <c r="D597" i="84"/>
  <c r="A806" i="84"/>
  <c r="S589" i="84"/>
  <c r="T622" i="84"/>
  <c r="L88" i="84"/>
  <c r="J341" i="84"/>
  <c r="H124" i="84"/>
  <c r="C623" i="84"/>
  <c r="R307" i="84"/>
  <c r="O704" i="84"/>
  <c r="K233" i="84"/>
  <c r="M206" i="84"/>
  <c r="H91" i="84"/>
  <c r="L416" i="84"/>
  <c r="T550" i="84"/>
  <c r="C209" i="84"/>
  <c r="U618" i="84"/>
  <c r="M477" i="84"/>
  <c r="K746" i="84"/>
  <c r="U82" i="84"/>
  <c r="K911" i="84"/>
  <c r="L706" i="84"/>
  <c r="B18" i="82"/>
  <c r="H354" i="84"/>
  <c r="I82" i="84"/>
  <c r="I177" i="84"/>
  <c r="L812" i="84"/>
  <c r="K29" i="84"/>
  <c r="J391" i="84"/>
  <c r="L370" i="84"/>
  <c r="D7" i="84"/>
  <c r="H752" i="84"/>
  <c r="I264" i="84"/>
  <c r="A268" i="84"/>
  <c r="C58" i="84"/>
  <c r="T718" i="84"/>
  <c r="L317" i="84"/>
  <c r="C699" i="84"/>
  <c r="M747" i="84"/>
  <c r="K114" i="84"/>
  <c r="L653" i="84"/>
  <c r="D536" i="84"/>
  <c r="L619" i="84"/>
  <c r="A364" i="84"/>
  <c r="K301" i="84"/>
  <c r="D812" i="84"/>
  <c r="L467" i="84"/>
  <c r="J444" i="84"/>
  <c r="U139" i="84"/>
  <c r="C566" i="84"/>
  <c r="D753" i="84"/>
  <c r="B38" i="82"/>
  <c r="D170" i="84"/>
  <c r="A779" i="84"/>
  <c r="A705" i="84"/>
  <c r="K556" i="84"/>
  <c r="M274" i="84"/>
  <c r="I541" i="84"/>
  <c r="J447" i="84"/>
  <c r="D931" i="84"/>
  <c r="C596" i="84"/>
  <c r="I881" i="84"/>
  <c r="L185" i="84"/>
  <c r="A751" i="84"/>
  <c r="M192" i="84"/>
  <c r="J334" i="84"/>
  <c r="A601" i="84"/>
  <c r="I569" i="84"/>
  <c r="R665" i="84"/>
  <c r="J205" i="84"/>
  <c r="D299" i="84"/>
  <c r="D892" i="84"/>
  <c r="L629" i="84"/>
  <c r="D30" i="84"/>
  <c r="J657" i="84"/>
  <c r="D464" i="84"/>
  <c r="J25" i="84"/>
  <c r="C307" i="84"/>
  <c r="C874" i="84"/>
  <c r="R755" i="84"/>
  <c r="M450" i="84"/>
  <c r="J235" i="84"/>
  <c r="D301" i="84"/>
  <c r="M769" i="84"/>
  <c r="A135" i="84"/>
  <c r="D796" i="84"/>
  <c r="U241" i="84"/>
  <c r="H833" i="84"/>
  <c r="C663" i="84"/>
  <c r="L571" i="84"/>
  <c r="C178" i="84"/>
  <c r="T334" i="84"/>
  <c r="D631" i="84"/>
  <c r="D50" i="84"/>
  <c r="J527" i="84"/>
  <c r="H361" i="84"/>
  <c r="A483" i="84"/>
  <c r="M144" i="84"/>
  <c r="L324" i="84"/>
  <c r="J809" i="84"/>
  <c r="D321" i="84"/>
  <c r="K953" i="84"/>
  <c r="C759" i="84"/>
  <c r="Z150" i="84"/>
  <c r="H428" i="84"/>
  <c r="I374" i="84"/>
  <c r="I725" i="84"/>
  <c r="L954" i="84"/>
  <c r="A629" i="84"/>
  <c r="D436" i="84"/>
  <c r="J74" i="84"/>
  <c r="J778" i="84"/>
  <c r="M108" i="84"/>
  <c r="A147" i="84"/>
  <c r="H363" i="84"/>
  <c r="U240" i="84"/>
  <c r="K539" i="84"/>
  <c r="U455" i="84"/>
  <c r="T880" i="84"/>
  <c r="I500" i="84"/>
  <c r="K413" i="84"/>
  <c r="D530" i="84"/>
  <c r="M401" i="84"/>
  <c r="T110" i="84"/>
  <c r="S223" i="84"/>
  <c r="I110" i="84"/>
  <c r="K43" i="84"/>
  <c r="K107" i="84"/>
  <c r="J406" i="84"/>
  <c r="L82" i="84"/>
  <c r="A167" i="84"/>
  <c r="I651" i="84"/>
  <c r="L427" i="84"/>
  <c r="M441" i="84"/>
  <c r="D337" i="84"/>
  <c r="C295" i="84"/>
  <c r="H57" i="84"/>
  <c r="M66" i="84"/>
  <c r="U412" i="84"/>
  <c r="Q66" i="84"/>
  <c r="K202" i="84"/>
  <c r="C821" i="84"/>
  <c r="C706" i="84"/>
  <c r="A506" i="84"/>
  <c r="Q575" i="84"/>
  <c r="H541" i="84"/>
  <c r="K552" i="84"/>
  <c r="A303" i="84"/>
  <c r="T386" i="84"/>
  <c r="C630" i="84"/>
  <c r="C394" i="84"/>
  <c r="J468" i="84"/>
  <c r="AJ19" i="82"/>
  <c r="K805" i="84"/>
  <c r="M778" i="84"/>
  <c r="T277" i="84"/>
  <c r="I351" i="84"/>
  <c r="L408" i="84"/>
  <c r="M552" i="84"/>
  <c r="I316" i="84"/>
  <c r="I470" i="84"/>
  <c r="I54" i="84"/>
  <c r="S891" i="84"/>
  <c r="L532" i="84"/>
  <c r="J61" i="84"/>
  <c r="M269" i="84"/>
  <c r="R831" i="84"/>
  <c r="C345" i="84"/>
  <c r="S538" i="84"/>
  <c r="D895" i="84"/>
  <c r="T522" i="84"/>
  <c r="M953" i="84"/>
  <c r="I150" i="84"/>
  <c r="K569" i="84"/>
  <c r="L110" i="84"/>
  <c r="H183" i="84"/>
  <c r="D957" i="84"/>
  <c r="U697" i="84"/>
  <c r="A342" i="84"/>
  <c r="N34" i="84"/>
  <c r="A209" i="84"/>
  <c r="I197" i="84"/>
  <c r="A22" i="84"/>
  <c r="A302" i="84"/>
  <c r="T435" i="84"/>
  <c r="C327" i="84"/>
  <c r="I157" i="84"/>
  <c r="B22" i="82"/>
  <c r="L432" i="84"/>
  <c r="I216" i="84"/>
  <c r="I707" i="84"/>
  <c r="C75" i="84"/>
  <c r="K173" i="84"/>
  <c r="K140" i="84"/>
  <c r="D793" i="84"/>
  <c r="M296" i="84"/>
  <c r="Q245" i="84"/>
  <c r="D534" i="84"/>
  <c r="Q662" i="84"/>
  <c r="K430" i="84"/>
  <c r="O78" i="84"/>
  <c r="I36" i="84"/>
  <c r="M545" i="84"/>
  <c r="C271" i="84"/>
  <c r="U414" i="84"/>
  <c r="I76" i="84"/>
  <c r="I927" i="84"/>
  <c r="A99" i="84"/>
  <c r="C25" i="84"/>
  <c r="K317" i="84"/>
  <c r="N584" i="84"/>
  <c r="A21" i="84"/>
  <c r="K155" i="84"/>
  <c r="M239" i="84"/>
  <c r="Q439" i="84"/>
  <c r="M22" i="84"/>
  <c r="D908" i="84"/>
  <c r="N89" i="84"/>
  <c r="P530" i="84"/>
  <c r="I390" i="84"/>
  <c r="L30" i="84"/>
  <c r="L259" i="84"/>
  <c r="K314" i="84"/>
  <c r="M319" i="84"/>
  <c r="I171" i="84"/>
  <c r="K849" i="84"/>
  <c r="S742" i="84"/>
  <c r="K351" i="84"/>
  <c r="G11" i="84"/>
  <c r="K440" i="84"/>
  <c r="C53" i="84"/>
  <c r="I627" i="84"/>
  <c r="U567" i="84"/>
  <c r="L306" i="84"/>
  <c r="I257" i="84"/>
  <c r="D451" i="84"/>
  <c r="I594" i="84"/>
  <c r="H630" i="84"/>
  <c r="M844" i="84"/>
  <c r="P72" i="84"/>
  <c r="T441" i="84"/>
  <c r="T167" i="84"/>
  <c r="C308" i="84"/>
  <c r="D263" i="84"/>
  <c r="C339" i="84"/>
  <c r="K281" i="84"/>
  <c r="R881" i="84"/>
  <c r="K671" i="84"/>
  <c r="K802" i="84"/>
  <c r="J281" i="84"/>
  <c r="C101" i="84"/>
  <c r="M163" i="84"/>
  <c r="L168" i="84"/>
  <c r="T571" i="84"/>
  <c r="A876" i="84"/>
  <c r="T517" i="84"/>
  <c r="L961" i="84"/>
  <c r="M23" i="84"/>
  <c r="T734" i="84"/>
  <c r="D703" i="84"/>
  <c r="K789" i="84"/>
  <c r="A182" i="84"/>
  <c r="M14" i="84"/>
  <c r="C907" i="84"/>
  <c r="A938" i="84"/>
  <c r="K197" i="84"/>
  <c r="K637" i="84"/>
  <c r="A513" i="84"/>
  <c r="A380" i="84"/>
  <c r="K705" i="84"/>
  <c r="K48" i="84"/>
  <c r="C758" i="84"/>
  <c r="I620" i="84"/>
  <c r="A890" i="84"/>
  <c r="L303" i="84"/>
  <c r="I272" i="84"/>
  <c r="O70" i="84"/>
  <c r="U678" i="84"/>
  <c r="M903" i="84"/>
  <c r="K339" i="84"/>
  <c r="L516" i="84"/>
  <c r="J457" i="84"/>
  <c r="A823" i="84"/>
  <c r="D915" i="84"/>
  <c r="C114" i="84"/>
  <c r="S844" i="84"/>
  <c r="D204" i="84"/>
  <c r="L715" i="84"/>
  <c r="S401" i="84"/>
  <c r="J453" i="84"/>
  <c r="L457" i="84"/>
  <c r="L903" i="84"/>
  <c r="T844" i="84"/>
  <c r="J587" i="84"/>
  <c r="K256" i="84"/>
  <c r="D283" i="84"/>
  <c r="K661" i="84"/>
  <c r="K236" i="84"/>
  <c r="J668" i="84"/>
  <c r="K76" i="84"/>
  <c r="J285" i="84"/>
  <c r="L374" i="84"/>
  <c r="T202" i="84"/>
  <c r="C652" i="84"/>
  <c r="I813" i="84"/>
  <c r="D243" i="84"/>
  <c r="K515" i="84"/>
  <c r="D355" i="84"/>
  <c r="C773" i="84"/>
  <c r="O94" i="84"/>
  <c r="T784" i="84"/>
  <c r="J255" i="84"/>
  <c r="H294" i="84"/>
  <c r="M471" i="84"/>
  <c r="K329" i="84"/>
  <c r="U873" i="84"/>
  <c r="D740" i="84"/>
  <c r="A948" i="84"/>
  <c r="K559" i="84"/>
  <c r="L898" i="84"/>
  <c r="M70" i="84"/>
  <c r="M369" i="84"/>
  <c r="M167" i="84"/>
  <c r="C646" i="84"/>
  <c r="L236" i="84"/>
  <c r="T286" i="84"/>
  <c r="C856" i="84"/>
  <c r="K736" i="84"/>
  <c r="U611" i="84"/>
  <c r="BK32" i="82"/>
  <c r="J801" i="84"/>
  <c r="K530" i="84"/>
  <c r="H102" i="84"/>
  <c r="I941" i="84"/>
  <c r="M700" i="84"/>
  <c r="A112" i="84"/>
  <c r="I463" i="84"/>
  <c r="H809" i="84"/>
  <c r="R685" i="84"/>
  <c r="S534" i="84"/>
  <c r="A574" i="84"/>
  <c r="P47" i="84"/>
  <c r="D253" i="84"/>
  <c r="H758" i="84"/>
  <c r="K422" i="84"/>
  <c r="S839" i="84"/>
  <c r="BK29" i="82"/>
  <c r="K170" i="84"/>
  <c r="K611" i="84"/>
  <c r="I778" i="84"/>
  <c r="A104" i="84"/>
  <c r="U799" i="84"/>
  <c r="P150" i="84"/>
  <c r="K293" i="84"/>
  <c r="R865" i="84"/>
  <c r="M485" i="84"/>
  <c r="K499" i="84"/>
  <c r="U30" i="84"/>
  <c r="L271" i="84"/>
  <c r="M213" i="84"/>
  <c r="S45" i="84"/>
  <c r="M782" i="84"/>
  <c r="I173" i="84"/>
  <c r="D943" i="84"/>
  <c r="K129" i="84"/>
  <c r="I33" i="84"/>
  <c r="C351" i="84"/>
  <c r="D887" i="84"/>
  <c r="D803" i="84"/>
  <c r="I663" i="84"/>
  <c r="BL38" i="82"/>
  <c r="R436" i="84"/>
  <c r="L757" i="84"/>
  <c r="D374" i="84"/>
  <c r="A743" i="84"/>
  <c r="D588" i="84"/>
  <c r="J241" i="84"/>
  <c r="J832" i="84"/>
  <c r="D783" i="84"/>
  <c r="K729" i="84"/>
  <c r="J613" i="84"/>
  <c r="A808" i="84"/>
  <c r="S748" i="84"/>
  <c r="A319" i="84"/>
  <c r="A369" i="84"/>
  <c r="A86" i="84"/>
  <c r="A180" i="84"/>
  <c r="T49" i="84"/>
  <c r="C443" i="84"/>
  <c r="R885" i="84"/>
  <c r="A234" i="84"/>
  <c r="Q190" i="84"/>
  <c r="T690" i="84"/>
  <c r="J691" i="84"/>
  <c r="M934" i="84"/>
  <c r="D333" i="84"/>
  <c r="I292" i="84"/>
  <c r="M444" i="84"/>
  <c r="Q906" i="84"/>
  <c r="A211" i="84"/>
  <c r="M963" i="84"/>
  <c r="Q776" i="84"/>
  <c r="A7" i="84"/>
  <c r="K782" i="84"/>
  <c r="M354" i="84"/>
  <c r="U886" i="84"/>
  <c r="N153" i="84"/>
  <c r="U334" i="84"/>
  <c r="K503" i="84"/>
  <c r="L62" i="84"/>
  <c r="I609" i="84"/>
  <c r="D376" i="84"/>
  <c r="K902" i="84"/>
  <c r="S554" i="84"/>
  <c r="M246" i="84"/>
  <c r="H422" i="84"/>
  <c r="D26" i="84"/>
  <c r="K551" i="84"/>
  <c r="A511" i="84"/>
  <c r="G524" i="84"/>
  <c r="M850" i="84"/>
  <c r="T565" i="84"/>
  <c r="Q222" i="84"/>
  <c r="U400" i="84"/>
  <c r="A941" i="84"/>
  <c r="J676" i="84"/>
  <c r="I589" i="84"/>
  <c r="A607" i="84"/>
  <c r="U661" i="84"/>
  <c r="M645" i="84"/>
  <c r="J351" i="84"/>
  <c r="L848" i="84"/>
  <c r="K921" i="84"/>
  <c r="D10" i="84"/>
  <c r="A603" i="84"/>
  <c r="K667" i="84"/>
  <c r="J433" i="84"/>
  <c r="A665" i="84"/>
  <c r="I236" i="84"/>
  <c r="Q428" i="84"/>
  <c r="C194" i="84"/>
  <c r="A181" i="84"/>
  <c r="K22" i="84"/>
  <c r="L331" i="84"/>
  <c r="D121" i="84"/>
  <c r="A344" i="84"/>
  <c r="H804" i="84"/>
  <c r="I690" i="84"/>
  <c r="M133" i="84"/>
  <c r="P612" i="84"/>
  <c r="M184" i="84"/>
  <c r="M601" i="84"/>
  <c r="K255" i="84"/>
  <c r="J317" i="84"/>
  <c r="M768" i="84"/>
  <c r="I336" i="84"/>
  <c r="T190" i="84"/>
  <c r="A546" i="84"/>
  <c r="D751" i="84"/>
  <c r="T155" i="84"/>
  <c r="Z549" i="84"/>
  <c r="M573" i="84"/>
  <c r="M166" i="84"/>
  <c r="M900" i="84"/>
  <c r="A110" i="84"/>
  <c r="T628" i="84"/>
  <c r="A942" i="84"/>
  <c r="I439" i="84"/>
  <c r="K378" i="84"/>
  <c r="T51" i="84"/>
  <c r="S960" i="84"/>
  <c r="K888" i="84"/>
  <c r="D104" i="84"/>
  <c r="Q300" i="84"/>
  <c r="M863" i="84"/>
  <c r="D785" i="84"/>
  <c r="M954" i="84"/>
  <c r="I929" i="84"/>
  <c r="H400" i="84"/>
  <c r="S81" i="84"/>
  <c r="M425" i="84"/>
  <c r="K806" i="84"/>
  <c r="K466" i="84"/>
  <c r="Q30" i="84"/>
  <c r="K882" i="84"/>
  <c r="I753" i="84"/>
  <c r="I337" i="84"/>
  <c r="Q355" i="84"/>
  <c r="L281" i="84"/>
  <c r="S103" i="84"/>
  <c r="U211" i="84"/>
  <c r="H749" i="84"/>
  <c r="Q904" i="84"/>
  <c r="H18" i="84"/>
  <c r="M603" i="84"/>
  <c r="M544" i="84"/>
  <c r="B39" i="82"/>
  <c r="L875" i="84"/>
  <c r="I884" i="84"/>
  <c r="J231" i="84"/>
  <c r="J721" i="84"/>
  <c r="Q442" i="84"/>
  <c r="A65" i="84"/>
  <c r="U144" i="84"/>
  <c r="C611" i="84"/>
  <c r="M754" i="84"/>
  <c r="A67" i="84"/>
  <c r="H436" i="84"/>
  <c r="K578" i="84"/>
  <c r="M593" i="84"/>
  <c r="A233" i="84"/>
  <c r="U607" i="84"/>
  <c r="M852" i="84"/>
  <c r="T200" i="84"/>
  <c r="S724" i="84"/>
  <c r="L515" i="84"/>
  <c r="S378" i="84"/>
  <c r="I356" i="84"/>
  <c r="K955" i="84"/>
  <c r="G907" i="84"/>
  <c r="A631" i="84"/>
  <c r="J560" i="84"/>
  <c r="M624" i="84"/>
  <c r="R336" i="84"/>
  <c r="M943" i="84"/>
  <c r="L103" i="84"/>
  <c r="Q29" i="84"/>
  <c r="L818" i="84"/>
  <c r="L145" i="84"/>
  <c r="K544" i="84"/>
  <c r="J346" i="84"/>
  <c r="I62" i="84"/>
  <c r="A866" i="84"/>
  <c r="L610" i="84"/>
  <c r="A573" i="84"/>
  <c r="J535" i="84"/>
  <c r="A232" i="84"/>
  <c r="J734" i="84"/>
  <c r="I163" i="84"/>
  <c r="A42" i="84"/>
  <c r="C665" i="84"/>
  <c r="H8" i="84"/>
  <c r="M779" i="84"/>
  <c r="H923" i="84"/>
  <c r="C746" i="84"/>
  <c r="I862" i="84"/>
  <c r="C204" i="84"/>
  <c r="H677" i="84"/>
  <c r="S87" i="84"/>
  <c r="D212" i="84"/>
  <c r="H501" i="84"/>
  <c r="I24" i="84"/>
  <c r="U797" i="84"/>
  <c r="G470" i="84"/>
  <c r="J710" i="84"/>
  <c r="C547" i="84"/>
  <c r="L483" i="84"/>
  <c r="A238" i="84"/>
  <c r="C357" i="84"/>
  <c r="H506" i="84"/>
  <c r="C592" i="84"/>
  <c r="Q847" i="84"/>
  <c r="C788" i="84"/>
  <c r="J532" i="84"/>
  <c r="D465" i="84"/>
  <c r="C548" i="84"/>
  <c r="L38" i="84"/>
  <c r="K265" i="84"/>
  <c r="H568" i="84"/>
  <c r="A334" i="84"/>
  <c r="S584" i="84"/>
  <c r="L32" i="84"/>
  <c r="A717" i="84"/>
  <c r="L877" i="84"/>
  <c r="M960" i="84"/>
  <c r="A410" i="84"/>
  <c r="A397" i="84"/>
  <c r="D843" i="84"/>
  <c r="Q486" i="84"/>
  <c r="K442" i="84"/>
  <c r="B41" i="82"/>
  <c r="L402" i="84"/>
  <c r="L741" i="84"/>
  <c r="I543" i="84"/>
  <c r="K717" i="84"/>
  <c r="C214" i="84"/>
  <c r="R252" i="84"/>
  <c r="R902" i="84"/>
  <c r="R424" i="84"/>
  <c r="J33" i="84"/>
  <c r="D153" i="84"/>
  <c r="M103" i="84"/>
  <c r="T294" i="84"/>
  <c r="I13" i="84"/>
  <c r="Q350" i="84"/>
  <c r="A203" i="84"/>
  <c r="C94" i="84"/>
  <c r="S533" i="84"/>
  <c r="L811" i="84"/>
  <c r="L796" i="84"/>
  <c r="K878" i="84"/>
  <c r="J698" i="84"/>
  <c r="A544" i="84"/>
  <c r="I797" i="84"/>
  <c r="K459" i="84"/>
  <c r="I937" i="84"/>
  <c r="H763" i="84"/>
  <c r="H514" i="84"/>
  <c r="J292" i="84"/>
  <c r="O761" i="84"/>
  <c r="A636" i="84"/>
  <c r="K133" i="84"/>
  <c r="K763" i="84"/>
  <c r="D554" i="84"/>
  <c r="C933" i="84"/>
  <c r="L378" i="84"/>
  <c r="L437" i="84"/>
  <c r="J839" i="84"/>
  <c r="U316" i="84"/>
  <c r="T709" i="84"/>
  <c r="U223" i="84"/>
  <c r="H774" i="84"/>
  <c r="Q99" i="84"/>
  <c r="U561" i="84"/>
  <c r="C602" i="84"/>
  <c r="U735" i="84"/>
  <c r="A667" i="84"/>
  <c r="D962" i="84"/>
  <c r="I660" i="84"/>
  <c r="S828" i="84"/>
  <c r="H348" i="84"/>
  <c r="K292" i="84"/>
  <c r="C133" i="84"/>
  <c r="K645" i="84"/>
  <c r="I47" i="84"/>
  <c r="M75" i="84"/>
  <c r="P767" i="84"/>
  <c r="J726" i="84"/>
  <c r="I906" i="84"/>
  <c r="U252" i="84"/>
  <c r="I662" i="84"/>
  <c r="D326" i="84"/>
  <c r="T347" i="84"/>
  <c r="I854" i="84"/>
  <c r="L573" i="84"/>
  <c r="K598" i="84"/>
  <c r="A777" i="84"/>
  <c r="U18" i="84"/>
  <c r="I298" i="84"/>
  <c r="D362" i="84"/>
  <c r="I552" i="84"/>
  <c r="L150" i="84"/>
  <c r="U258" i="84"/>
  <c r="A296" i="84"/>
  <c r="M495" i="84"/>
  <c r="D709" i="84"/>
  <c r="I232" i="84"/>
  <c r="D774" i="84"/>
  <c r="L589" i="84"/>
  <c r="J393" i="84"/>
  <c r="P931" i="84"/>
  <c r="K54" i="84"/>
  <c r="M704" i="84"/>
  <c r="D711" i="84"/>
  <c r="I453" i="84"/>
  <c r="J759" i="84"/>
  <c r="R175" i="84"/>
  <c r="E260" i="84"/>
  <c r="H420" i="84"/>
  <c r="J224" i="84"/>
  <c r="N574" i="84"/>
  <c r="N384" i="84"/>
  <c r="C121" i="84"/>
  <c r="K355" i="84"/>
  <c r="J793" i="84"/>
  <c r="G795" i="84"/>
  <c r="A82" i="84"/>
  <c r="A716" i="84"/>
  <c r="R557" i="84"/>
  <c r="J441" i="84"/>
  <c r="K550" i="84"/>
  <c r="H830" i="84"/>
  <c r="S151" i="84"/>
  <c r="N413" i="84"/>
  <c r="A36" i="84"/>
  <c r="L628" i="84"/>
  <c r="M957" i="84"/>
  <c r="E365" i="84"/>
  <c r="K328" i="84"/>
  <c r="D822" i="84"/>
  <c r="L917" i="84"/>
  <c r="A123" i="84"/>
  <c r="L643" i="84"/>
  <c r="G71" i="84"/>
  <c r="R934" i="84"/>
  <c r="U299" i="84"/>
  <c r="L84" i="84"/>
  <c r="M405" i="84"/>
  <c r="I340" i="84"/>
  <c r="M25" i="84"/>
  <c r="L537" i="84"/>
  <c r="K940" i="84"/>
  <c r="D771" i="84"/>
  <c r="L607" i="84"/>
  <c r="A790" i="84"/>
  <c r="A713" i="84"/>
  <c r="Q678" i="84"/>
  <c r="S864" i="84"/>
  <c r="K154" i="84"/>
  <c r="N224" i="84"/>
  <c r="L243" i="84"/>
  <c r="K278" i="84"/>
  <c r="L191" i="84"/>
  <c r="U254" i="84"/>
  <c r="H480" i="84"/>
  <c r="I265" i="84"/>
  <c r="M695" i="84"/>
  <c r="M298" i="84"/>
  <c r="J216" i="84"/>
  <c r="C55" i="84"/>
  <c r="I696" i="84"/>
  <c r="U201" i="84"/>
  <c r="H576" i="84"/>
  <c r="L255" i="84"/>
  <c r="H794" i="84"/>
  <c r="U314" i="84"/>
  <c r="L160" i="84"/>
  <c r="A448" i="84"/>
  <c r="H623" i="84"/>
  <c r="R792" i="84"/>
  <c r="K305" i="84"/>
  <c r="L35" i="84"/>
  <c r="S714" i="84"/>
  <c r="I892" i="84"/>
  <c r="D633" i="84"/>
  <c r="F126" i="84"/>
  <c r="A339" i="84"/>
  <c r="C764" i="84"/>
  <c r="Q840" i="84"/>
  <c r="N205" i="84"/>
  <c r="L203" i="84"/>
  <c r="J471" i="84"/>
  <c r="A734" i="84"/>
  <c r="K794" i="84"/>
  <c r="C966" i="84"/>
  <c r="M43" i="84"/>
  <c r="M473" i="84"/>
  <c r="L675" i="84"/>
  <c r="I507" i="84"/>
  <c r="U653" i="84"/>
  <c r="M809" i="84"/>
  <c r="W579" i="84"/>
  <c r="U532" i="84"/>
  <c r="J791" i="84"/>
  <c r="L511" i="84"/>
  <c r="K686" i="84"/>
  <c r="C909" i="84"/>
  <c r="W241" i="84"/>
  <c r="D939" i="84"/>
  <c r="T124" i="84"/>
  <c r="U348" i="84"/>
  <c r="I812" i="84"/>
  <c r="H860" i="84"/>
  <c r="U493" i="84"/>
  <c r="L705" i="84"/>
  <c r="M667" i="84"/>
  <c r="K812" i="84"/>
  <c r="G420" i="84"/>
  <c r="I377" i="84"/>
  <c r="K913" i="84"/>
  <c r="L285" i="84"/>
  <c r="AN27" i="82"/>
  <c r="D806" i="84"/>
  <c r="R536" i="84"/>
  <c r="P212" i="84"/>
  <c r="U425" i="84"/>
  <c r="R753" i="84"/>
  <c r="K118" i="84"/>
  <c r="H791" i="84"/>
  <c r="D582" i="84"/>
  <c r="M745" i="84"/>
  <c r="K86" i="84"/>
  <c r="A839" i="84"/>
  <c r="S410" i="84"/>
  <c r="U236" i="84"/>
  <c r="L473" i="84"/>
  <c r="I951" i="84"/>
  <c r="R215" i="84"/>
  <c r="K161" i="84"/>
  <c r="D437" i="84"/>
  <c r="D352" i="84"/>
  <c r="H33" i="84"/>
  <c r="I774" i="84"/>
  <c r="C714" i="84"/>
  <c r="D805" i="84"/>
  <c r="X805" i="84"/>
  <c r="K461" i="84"/>
  <c r="K291" i="84"/>
  <c r="S53" i="84"/>
  <c r="T23" i="82"/>
  <c r="L551" i="84"/>
  <c r="P659" i="84"/>
  <c r="S856" i="84"/>
  <c r="M486" i="84"/>
  <c r="I783" i="84"/>
  <c r="H315" i="84"/>
  <c r="H447" i="84"/>
  <c r="L199" i="84"/>
  <c r="I281" i="84"/>
  <c r="I579" i="84"/>
  <c r="T414" i="84"/>
  <c r="D54" i="84"/>
  <c r="A425" i="84"/>
  <c r="I107" i="84"/>
  <c r="D463" i="84"/>
  <c r="M311" i="84"/>
  <c r="C809" i="84"/>
  <c r="J263" i="84"/>
  <c r="L689" i="84"/>
  <c r="I16" i="84"/>
  <c r="M231" i="84"/>
  <c r="C460" i="84"/>
  <c r="K340" i="84"/>
  <c r="M748" i="84"/>
  <c r="D961" i="84"/>
  <c r="J855" i="84"/>
  <c r="M78" i="84"/>
  <c r="I823" i="84"/>
  <c r="I887" i="84"/>
  <c r="H574" i="84"/>
  <c r="P211" i="84"/>
  <c r="N512" i="84"/>
  <c r="S207" i="84"/>
  <c r="I858" i="84"/>
  <c r="H760" i="84"/>
  <c r="T371" i="84"/>
  <c r="K790" i="84"/>
  <c r="J357" i="84"/>
  <c r="I768" i="84"/>
  <c r="C588" i="84"/>
  <c r="P724" i="84"/>
  <c r="M232" i="84"/>
  <c r="D602" i="84"/>
  <c r="J431" i="84"/>
  <c r="T343" i="84"/>
  <c r="I392" i="84"/>
  <c r="D177" i="84"/>
  <c r="I74" i="84"/>
  <c r="L57" i="84"/>
  <c r="L448" i="84"/>
  <c r="C352" i="84"/>
  <c r="C804" i="84"/>
  <c r="R663" i="84"/>
  <c r="L426" i="84"/>
  <c r="C416" i="84"/>
  <c r="S466" i="84"/>
  <c r="K739" i="84"/>
  <c r="U50" i="84"/>
  <c r="K617" i="84"/>
  <c r="C356" i="84"/>
  <c r="I97" i="84"/>
  <c r="J219" i="84"/>
  <c r="M890" i="84"/>
  <c r="A850" i="84"/>
  <c r="C831" i="84"/>
  <c r="U290" i="84"/>
  <c r="H49" i="84"/>
  <c r="D291" i="84"/>
  <c r="M337" i="84"/>
  <c r="K364" i="84"/>
  <c r="A204" i="84"/>
  <c r="K437" i="84"/>
  <c r="H839" i="84"/>
  <c r="M533" i="84"/>
  <c r="R140" i="84"/>
  <c r="C582" i="84"/>
  <c r="Q415" i="84"/>
  <c r="K220" i="84"/>
  <c r="K533" i="84"/>
  <c r="K738" i="84"/>
  <c r="R145" i="84"/>
  <c r="D562" i="84"/>
  <c r="I120" i="84"/>
  <c r="A270" i="84"/>
  <c r="L136" i="84"/>
  <c r="M210" i="84"/>
  <c r="J614" i="84"/>
  <c r="K603" i="84"/>
  <c r="M172" i="84"/>
  <c r="D839" i="84"/>
  <c r="L121" i="84"/>
  <c r="L316" i="84"/>
  <c r="R889" i="84"/>
  <c r="Q699" i="84"/>
  <c r="I179" i="84"/>
  <c r="I136" i="84"/>
  <c r="I388" i="84"/>
  <c r="N433" i="84"/>
  <c r="I206" i="84"/>
  <c r="H406" i="84"/>
  <c r="T322" i="84"/>
  <c r="J677" i="84"/>
  <c r="K538" i="84"/>
  <c r="A683" i="84"/>
  <c r="D518" i="84"/>
  <c r="Q760" i="84"/>
  <c r="M790" i="84"/>
  <c r="L518" i="84"/>
  <c r="S818" i="84"/>
  <c r="M674" i="84"/>
  <c r="F753" i="84"/>
  <c r="H875" i="84"/>
  <c r="H98" i="84"/>
  <c r="J22" i="84"/>
  <c r="I602" i="84"/>
  <c r="A465" i="84"/>
  <c r="C959" i="84"/>
  <c r="K700" i="84"/>
  <c r="K294" i="84"/>
  <c r="U88" i="84"/>
  <c r="N896" i="84"/>
  <c r="T160" i="84"/>
  <c r="A555" i="84"/>
  <c r="M259" i="84"/>
  <c r="J218" i="84"/>
  <c r="T462" i="84"/>
  <c r="L745" i="84"/>
  <c r="I851" i="84"/>
  <c r="A677" i="84"/>
  <c r="H397" i="84"/>
  <c r="J669" i="84"/>
  <c r="H785" i="84"/>
  <c r="A85" i="84"/>
  <c r="K848" i="84"/>
  <c r="H270" i="84"/>
  <c r="M718" i="84"/>
  <c r="R92" i="84"/>
  <c r="Q886" i="84"/>
  <c r="M956" i="84"/>
  <c r="D497" i="84"/>
  <c r="D427" i="84"/>
  <c r="D850" i="84"/>
  <c r="J452" i="84"/>
  <c r="H815" i="84"/>
  <c r="J267" i="84"/>
  <c r="K44" i="84"/>
  <c r="D549" i="84"/>
  <c r="A129" i="84"/>
  <c r="I174" i="84"/>
  <c r="K777" i="84"/>
  <c r="I905" i="84"/>
  <c r="Z758" i="84"/>
  <c r="K166" i="84"/>
  <c r="C916" i="84"/>
  <c r="K755" i="84"/>
  <c r="K592" i="84"/>
  <c r="H519" i="84"/>
  <c r="K936" i="84"/>
  <c r="S629" i="84"/>
  <c r="D418" i="84"/>
  <c r="T260" i="84"/>
  <c r="J127" i="84"/>
  <c r="K186" i="84"/>
  <c r="M250" i="84"/>
  <c r="M595" i="84"/>
  <c r="S150" i="84"/>
  <c r="H937" i="84"/>
  <c r="C221" i="84"/>
  <c r="BK34" i="82"/>
  <c r="D859" i="84"/>
  <c r="M673" i="84"/>
  <c r="I252" i="84"/>
  <c r="K84" i="84"/>
  <c r="M221" i="84"/>
  <c r="A810" i="84"/>
  <c r="M882" i="84"/>
  <c r="J18" i="84"/>
  <c r="J275" i="84"/>
  <c r="J178" i="84"/>
  <c r="A886" i="84"/>
  <c r="K266" i="84"/>
  <c r="U811" i="84"/>
  <c r="I953" i="84"/>
  <c r="U531" i="84"/>
  <c r="K122" i="84"/>
  <c r="L655" i="84"/>
  <c r="D245" i="84"/>
  <c r="U550" i="84"/>
  <c r="M822" i="84"/>
  <c r="D115" i="84"/>
  <c r="L550" i="84"/>
  <c r="S70" i="84"/>
  <c r="D868" i="84"/>
  <c r="G744" i="84"/>
  <c r="H578" i="84"/>
  <c r="H273" i="84"/>
  <c r="J253" i="84"/>
  <c r="A888" i="84"/>
  <c r="K785" i="84"/>
  <c r="K513" i="84"/>
  <c r="M580" i="84"/>
  <c r="M797" i="84"/>
  <c r="P44" i="84"/>
  <c r="N162" i="84"/>
  <c r="C534" i="84"/>
  <c r="R358" i="84"/>
  <c r="J448" i="84"/>
  <c r="I444" i="84"/>
  <c r="L899" i="84"/>
  <c r="I483" i="84"/>
  <c r="S634" i="84"/>
  <c r="K463" i="84"/>
  <c r="J199" i="84"/>
  <c r="J846" i="84"/>
  <c r="U423" i="84"/>
  <c r="I442" i="84"/>
  <c r="L933" i="84"/>
  <c r="L313" i="84"/>
  <c r="L462" i="84"/>
  <c r="M316" i="84"/>
  <c r="A768" i="84"/>
  <c r="L354" i="84"/>
  <c r="J485" i="84"/>
  <c r="I31" i="84"/>
  <c r="J169" i="84"/>
  <c r="C477" i="84"/>
  <c r="P886" i="84"/>
  <c r="K698" i="84"/>
  <c r="K568" i="84"/>
  <c r="K225" i="84"/>
  <c r="S695" i="84"/>
  <c r="R84" i="84"/>
  <c r="L403" i="84"/>
  <c r="L252" i="84"/>
  <c r="D890" i="84"/>
  <c r="L509" i="84"/>
  <c r="U675" i="84"/>
  <c r="O450" i="84"/>
  <c r="A451" i="84"/>
  <c r="I814" i="84"/>
  <c r="C725" i="84"/>
  <c r="P29" i="82"/>
  <c r="K945" i="84"/>
  <c r="U746" i="84"/>
  <c r="T408" i="84"/>
  <c r="D479" i="84"/>
  <c r="M16" i="84"/>
  <c r="R26" i="84"/>
  <c r="L737" i="84"/>
  <c r="D423" i="84"/>
  <c r="K642" i="84"/>
  <c r="S692" i="84"/>
  <c r="H305" i="84"/>
  <c r="P355" i="84"/>
  <c r="N750" i="84"/>
  <c r="L352" i="84"/>
  <c r="T177" i="84"/>
  <c r="J924" i="84"/>
  <c r="T303" i="84"/>
  <c r="M446" i="84"/>
  <c r="A735" i="84"/>
  <c r="M591" i="84"/>
  <c r="J594" i="84"/>
  <c r="Q334" i="84"/>
  <c r="T193" i="84"/>
  <c r="M600" i="84"/>
  <c r="I184" i="84"/>
  <c r="C633" i="84"/>
  <c r="H930" i="84"/>
  <c r="S860" i="84"/>
  <c r="J499" i="84"/>
  <c r="J287" i="84"/>
  <c r="A788" i="84"/>
  <c r="Q556" i="84"/>
  <c r="R804" i="84"/>
  <c r="C789" i="84"/>
  <c r="I409" i="84"/>
  <c r="M265" i="84"/>
  <c r="M150" i="84"/>
  <c r="M911" i="84"/>
  <c r="I497" i="84"/>
  <c r="J557" i="84"/>
  <c r="H382" i="84"/>
  <c r="H429" i="84"/>
  <c r="C384" i="84"/>
  <c r="I963" i="84"/>
  <c r="K115" i="84"/>
  <c r="K438" i="84"/>
  <c r="I943" i="84"/>
  <c r="C409" i="84"/>
  <c r="L651" i="84"/>
  <c r="L74" i="84"/>
  <c r="L863" i="84"/>
  <c r="M261" i="84"/>
  <c r="S282" i="84"/>
  <c r="K748" i="84"/>
  <c r="N804" i="84"/>
  <c r="K950" i="84"/>
  <c r="M219" i="84"/>
  <c r="J830" i="84"/>
  <c r="U502" i="84"/>
  <c r="H711" i="84"/>
  <c r="H612" i="84"/>
  <c r="M592" i="84"/>
  <c r="D77" i="84"/>
  <c r="A846" i="84"/>
  <c r="U175" i="84"/>
  <c r="T894" i="84"/>
  <c r="U876" i="84"/>
  <c r="M512" i="84"/>
  <c r="M697" i="84"/>
  <c r="H472" i="84"/>
  <c r="A709" i="84"/>
  <c r="I142" i="84"/>
  <c r="J312" i="84"/>
  <c r="M535" i="84"/>
  <c r="K82" i="84"/>
  <c r="D507" i="84"/>
  <c r="M461" i="84"/>
  <c r="M384" i="84"/>
  <c r="K719" i="84"/>
  <c r="N619" i="84"/>
  <c r="K445" i="84"/>
  <c r="M204" i="84"/>
  <c r="M74" i="84"/>
  <c r="C239" i="84"/>
  <c r="S117" i="84"/>
  <c r="A57" i="84"/>
  <c r="M514" i="84"/>
  <c r="L608" i="84"/>
  <c r="O902" i="84"/>
  <c r="M68" i="84"/>
  <c r="N792" i="84"/>
  <c r="U585" i="84"/>
  <c r="K125" i="84"/>
  <c r="C883" i="84"/>
  <c r="M332" i="84"/>
  <c r="N771" i="84"/>
  <c r="H720" i="84"/>
  <c r="A16" i="84"/>
  <c r="U461" i="84"/>
  <c r="J335" i="84"/>
  <c r="I19" i="84"/>
  <c r="L793" i="84"/>
  <c r="G945" i="84"/>
  <c r="I634" i="84"/>
  <c r="P437" i="84"/>
  <c r="I180" i="84"/>
  <c r="A957" i="84"/>
  <c r="U928" i="84"/>
  <c r="R830" i="84"/>
  <c r="U680" i="84"/>
  <c r="D900" i="84"/>
  <c r="H146" i="84"/>
  <c r="J67" i="84"/>
  <c r="T744" i="84"/>
  <c r="R693" i="84"/>
  <c r="G746" i="84"/>
  <c r="A679" i="84"/>
  <c r="J403" i="84"/>
  <c r="M30" i="84"/>
  <c r="L782" i="84"/>
  <c r="BL17" i="82"/>
  <c r="K951" i="84"/>
  <c r="M521" i="84"/>
  <c r="J515" i="84"/>
  <c r="A582" i="84"/>
  <c r="I948" i="84"/>
  <c r="D322" i="84"/>
  <c r="Q246" i="84"/>
  <c r="H656" i="84"/>
  <c r="S758" i="84"/>
  <c r="R245" i="84"/>
  <c r="K380" i="84"/>
  <c r="U716" i="84"/>
  <c r="G147" i="84"/>
  <c r="A710" i="84"/>
  <c r="D122" i="84"/>
  <c r="I485" i="84"/>
  <c r="Q629" i="84"/>
  <c r="J919" i="84"/>
  <c r="U745" i="84"/>
  <c r="I67" i="84"/>
  <c r="C391" i="84"/>
  <c r="M672" i="84"/>
  <c r="U473" i="84"/>
  <c r="D567" i="84"/>
  <c r="T424" i="84"/>
  <c r="M217" i="84"/>
  <c r="U222" i="84"/>
  <c r="N322" i="84"/>
  <c r="R843" i="84"/>
  <c r="A534" i="84"/>
  <c r="S180" i="84"/>
  <c r="C459" i="84"/>
  <c r="I512" i="84"/>
  <c r="I736" i="84"/>
  <c r="A330" i="84"/>
  <c r="K179" i="84"/>
  <c r="M613" i="84"/>
  <c r="I419" i="84"/>
  <c r="H202" i="84"/>
  <c r="L295" i="84"/>
  <c r="M225" i="84"/>
  <c r="C934" i="84"/>
  <c r="D878" i="84"/>
  <c r="C487" i="84"/>
  <c r="BL36" i="82"/>
  <c r="M795" i="84"/>
  <c r="R118" i="84"/>
  <c r="K726" i="84"/>
  <c r="K55" i="84"/>
  <c r="A704" i="84"/>
  <c r="L590" i="84"/>
  <c r="D731" i="84"/>
  <c r="J477" i="84"/>
  <c r="C451" i="84"/>
  <c r="S146" i="84"/>
  <c r="K854" i="84"/>
  <c r="O113" i="84"/>
  <c r="K473" i="84"/>
  <c r="D139" i="84"/>
  <c r="C535" i="84"/>
  <c r="K368" i="84"/>
  <c r="G190" i="84"/>
  <c r="S69" i="84"/>
  <c r="I331" i="84"/>
  <c r="L342" i="84"/>
  <c r="J481" i="84"/>
  <c r="D932" i="84"/>
  <c r="K127" i="84"/>
  <c r="I126" i="84"/>
  <c r="R12" i="84"/>
  <c r="C861" i="84"/>
  <c r="D724" i="84"/>
  <c r="A95" i="84"/>
  <c r="L836" i="84"/>
  <c r="M47" i="84"/>
  <c r="A137" i="84"/>
  <c r="S926" i="84"/>
  <c r="A446" i="84"/>
  <c r="I532" i="84"/>
  <c r="T509" i="84"/>
  <c r="H182" i="84"/>
  <c r="S25" i="84"/>
  <c r="U301" i="84"/>
  <c r="S441" i="84"/>
  <c r="K357" i="84"/>
  <c r="M307" i="84"/>
  <c r="H800" i="84"/>
  <c r="I869" i="84"/>
  <c r="I645" i="84"/>
  <c r="L597" i="84"/>
  <c r="L223" i="84"/>
  <c r="E457" i="84"/>
  <c r="J665" i="84"/>
  <c r="H650" i="84"/>
  <c r="D458" i="84"/>
  <c r="J166" i="84"/>
  <c r="U266" i="84"/>
  <c r="X47" i="84"/>
  <c r="U119" i="84"/>
  <c r="M577" i="84"/>
  <c r="D693" i="84"/>
  <c r="Q951" i="84"/>
  <c r="A107" i="84"/>
  <c r="D225" i="84"/>
  <c r="V96" i="84"/>
  <c r="R174" i="84"/>
  <c r="U217" i="84"/>
  <c r="P210" i="84"/>
  <c r="J308" i="84"/>
  <c r="J273" i="84"/>
  <c r="C411" i="84"/>
  <c r="A439" i="84"/>
  <c r="M576" i="84"/>
  <c r="T679" i="84"/>
  <c r="J640" i="84"/>
  <c r="D289" i="84"/>
  <c r="D228" i="84"/>
  <c r="N785" i="84"/>
  <c r="P356" i="84"/>
  <c r="O567" i="84"/>
  <c r="AY35" i="82"/>
  <c r="D513" i="84"/>
  <c r="L311" i="84"/>
  <c r="U33" i="84"/>
  <c r="F819" i="84"/>
  <c r="D8" i="84"/>
  <c r="L411" i="84"/>
  <c r="H234" i="84"/>
  <c r="J39" i="84"/>
  <c r="A373" i="84"/>
  <c r="U625" i="84"/>
  <c r="S769" i="84"/>
  <c r="M686" i="84"/>
  <c r="U409" i="84"/>
  <c r="M721" i="84"/>
  <c r="M807" i="84"/>
  <c r="H443" i="84"/>
  <c r="D652" i="84"/>
  <c r="T633" i="84"/>
  <c r="M845" i="84"/>
  <c r="O865" i="84"/>
  <c r="D688" i="84"/>
  <c r="I378" i="84"/>
  <c r="R786" i="84"/>
  <c r="L101" i="84"/>
  <c r="D851" i="84"/>
  <c r="H557" i="84"/>
  <c r="M323" i="84"/>
  <c r="L736" i="84"/>
  <c r="I829" i="84"/>
  <c r="C248" i="84"/>
  <c r="L163" i="84"/>
  <c r="H907" i="84"/>
  <c r="E17" i="84"/>
  <c r="J673" i="84"/>
  <c r="G326" i="84"/>
  <c r="M223" i="84"/>
  <c r="S655" i="84"/>
  <c r="T291" i="84"/>
  <c r="D407" i="84"/>
  <c r="T486" i="84"/>
  <c r="M839" i="84"/>
  <c r="T157" i="84"/>
  <c r="C306" i="84"/>
  <c r="A192" i="84"/>
  <c r="J322" i="84"/>
  <c r="Q44" i="84"/>
  <c r="Q628" i="84"/>
  <c r="J892" i="84"/>
  <c r="U396" i="84"/>
  <c r="L474" i="84"/>
  <c r="I460" i="84"/>
  <c r="K366" i="84"/>
  <c r="D741" i="84"/>
  <c r="A488" i="84"/>
  <c r="D621" i="84"/>
  <c r="L784" i="84"/>
  <c r="H655" i="84"/>
  <c r="C9" i="82"/>
  <c r="D127" i="84"/>
  <c r="C520" i="84"/>
  <c r="K196" i="84"/>
  <c r="L906" i="84"/>
  <c r="L174" i="84"/>
  <c r="A494" i="84"/>
  <c r="H343" i="84"/>
  <c r="M742" i="84"/>
  <c r="K31" i="84"/>
  <c r="I119" i="84"/>
  <c r="A359" i="84"/>
  <c r="J501" i="84"/>
  <c r="I701" i="84"/>
  <c r="D820" i="84"/>
  <c r="K316" i="84"/>
  <c r="T674" i="84"/>
  <c r="A600" i="84"/>
  <c r="K49" i="84"/>
  <c r="J512" i="84"/>
  <c r="K260" i="84"/>
  <c r="C521" i="84"/>
  <c r="I870" i="84"/>
  <c r="L632" i="84"/>
  <c r="I478" i="84"/>
  <c r="K627" i="84"/>
  <c r="D641" i="84"/>
  <c r="C951" i="84"/>
  <c r="J849" i="84"/>
  <c r="K304" i="84"/>
  <c r="D879" i="84"/>
  <c r="H84" i="84"/>
  <c r="S432" i="84"/>
  <c r="K60" i="84"/>
  <c r="I610" i="84"/>
  <c r="A859" i="84"/>
  <c r="M397" i="84"/>
  <c r="M615" i="84"/>
  <c r="U855" i="84"/>
  <c r="J105" i="84"/>
  <c r="U578" i="84"/>
  <c r="C511" i="84"/>
  <c r="C378" i="84"/>
  <c r="C762" i="84"/>
  <c r="J145" i="84"/>
  <c r="L498" i="84"/>
  <c r="A148" i="84"/>
  <c r="R79" i="84"/>
  <c r="A436" i="84"/>
  <c r="U36" i="84"/>
  <c r="D870" i="84"/>
  <c r="BL26" i="82"/>
  <c r="J344" i="84"/>
  <c r="J554" i="84"/>
  <c r="M317" i="84"/>
  <c r="H668" i="84"/>
  <c r="L924" i="84"/>
  <c r="H536" i="84"/>
  <c r="K944" i="84"/>
  <c r="D141" i="84"/>
  <c r="L93" i="84"/>
  <c r="U594" i="84"/>
  <c r="D227" i="84"/>
  <c r="Q555" i="84"/>
  <c r="H135" i="84"/>
  <c r="K595" i="84"/>
  <c r="J54" i="84"/>
  <c r="K654" i="84"/>
  <c r="C935" i="84"/>
  <c r="K855" i="84"/>
  <c r="S958" i="84"/>
  <c r="K58" i="84"/>
  <c r="S227" i="84"/>
  <c r="H351" i="84"/>
  <c r="A682" i="84"/>
  <c r="O900" i="84"/>
  <c r="C607" i="84"/>
  <c r="T123" i="84"/>
  <c r="M800" i="84"/>
  <c r="M777" i="84"/>
  <c r="M832" i="84"/>
  <c r="N580" i="84"/>
  <c r="H215" i="84"/>
  <c r="S471" i="84"/>
  <c r="H302" i="84"/>
  <c r="M138" i="84"/>
  <c r="M466" i="84"/>
  <c r="M402" i="84"/>
  <c r="C510" i="84"/>
  <c r="M569" i="84"/>
  <c r="I657" i="84"/>
  <c r="D449" i="84"/>
  <c r="S232" i="84"/>
  <c r="S753" i="84"/>
  <c r="U542" i="84"/>
  <c r="I636" i="84"/>
  <c r="C761" i="84"/>
  <c r="U668" i="84"/>
  <c r="O312" i="84"/>
  <c r="K426" i="84"/>
  <c r="H108" i="84"/>
  <c r="R812" i="84"/>
  <c r="A845" i="84"/>
  <c r="R220" i="84"/>
  <c r="A724" i="84"/>
  <c r="O313" i="84"/>
  <c r="H843" i="84"/>
  <c r="M193" i="84"/>
  <c r="D637" i="84"/>
  <c r="D773" i="84"/>
  <c r="A566" i="84"/>
  <c r="T358" i="84"/>
  <c r="A165" i="84"/>
  <c r="M556" i="84"/>
  <c r="U373" i="84"/>
  <c r="D522" i="84"/>
  <c r="D28" i="84"/>
  <c r="D36" i="84"/>
  <c r="E664" i="84"/>
  <c r="R839" i="84"/>
  <c r="S392" i="84"/>
  <c r="D346" i="84"/>
  <c r="L345" i="84"/>
  <c r="U449" i="84"/>
  <c r="L815" i="84"/>
  <c r="I661" i="84"/>
  <c r="J619" i="84"/>
  <c r="O943" i="84"/>
  <c r="M518" i="84"/>
  <c r="K377" i="84"/>
  <c r="S478" i="84"/>
  <c r="M493" i="84"/>
  <c r="C9" i="84"/>
  <c r="U419" i="84"/>
  <c r="J294" i="84"/>
  <c r="J902" i="84"/>
  <c r="M412" i="84"/>
  <c r="U153" i="84"/>
  <c r="M229" i="84"/>
  <c r="A575" i="84"/>
  <c r="H391" i="84"/>
  <c r="T955" i="84"/>
  <c r="M579" i="84"/>
  <c r="L471" i="84"/>
  <c r="J207" i="84"/>
  <c r="J81" i="84"/>
  <c r="U869" i="84"/>
  <c r="V768" i="84"/>
  <c r="AA804" i="84"/>
  <c r="K939" i="84"/>
  <c r="T8" i="84"/>
  <c r="L140" i="84"/>
  <c r="D527" i="84"/>
  <c r="R497" i="84"/>
  <c r="B37" i="82"/>
  <c r="U490" i="84"/>
  <c r="Q221" i="84"/>
  <c r="D630" i="84"/>
  <c r="P143" i="84"/>
  <c r="K823" i="84"/>
  <c r="J65" i="84"/>
  <c r="M320" i="84"/>
  <c r="H458" i="84"/>
  <c r="I424" i="84"/>
  <c r="L7" i="84"/>
  <c r="M806" i="84"/>
  <c r="E50" i="84"/>
  <c r="T399" i="84"/>
  <c r="I431" i="84"/>
  <c r="K842" i="84"/>
  <c r="K653" i="84"/>
  <c r="D738" i="84"/>
  <c r="T886" i="84"/>
  <c r="M833" i="84"/>
  <c r="L668" i="84"/>
  <c r="K696" i="84"/>
  <c r="L562" i="84"/>
  <c r="L934" i="84"/>
  <c r="K187" i="84"/>
  <c r="G468" i="84"/>
  <c r="J540" i="84"/>
  <c r="H737" i="84"/>
  <c r="Q165" i="84"/>
  <c r="L845" i="84"/>
  <c r="U452" i="84"/>
  <c r="Q525" i="84"/>
  <c r="Q586" i="84"/>
  <c r="A260" i="84"/>
  <c r="H958" i="84"/>
  <c r="K419" i="84"/>
  <c r="K119" i="84"/>
  <c r="Q480" i="84"/>
  <c r="D882" i="84"/>
  <c r="Q803" i="84"/>
  <c r="G46" i="84"/>
  <c r="H116" i="84"/>
  <c r="I836" i="84"/>
  <c r="N682" i="84"/>
  <c r="T641" i="84"/>
  <c r="W875" i="84"/>
  <c r="M220" i="84"/>
  <c r="L535" i="84"/>
  <c r="R236" i="84"/>
  <c r="O386" i="84"/>
  <c r="C62" i="84"/>
  <c r="K207" i="84"/>
  <c r="L21" i="82"/>
  <c r="O199" i="84"/>
  <c r="L385" i="84"/>
  <c r="K494" i="84"/>
  <c r="E8" i="84"/>
  <c r="S951" i="84"/>
  <c r="M478" i="84"/>
  <c r="K247" i="84"/>
  <c r="U831" i="84"/>
  <c r="S846" i="84"/>
  <c r="H220" i="84"/>
  <c r="AF674" i="84"/>
  <c r="G478" i="84"/>
  <c r="S884" i="84"/>
  <c r="C440" i="84"/>
  <c r="H360" i="84"/>
  <c r="T541" i="84"/>
  <c r="H243" i="84"/>
  <c r="H667" i="84"/>
  <c r="H792" i="84"/>
  <c r="C422" i="84"/>
  <c r="J695" i="84"/>
  <c r="P461" i="84"/>
  <c r="U295" i="84"/>
  <c r="L417" i="84"/>
  <c r="G540" i="84"/>
  <c r="BK23" i="82"/>
  <c r="U879" i="84"/>
  <c r="C790" i="84"/>
  <c r="C392" i="84"/>
  <c r="K534" i="84"/>
  <c r="A508" i="84"/>
  <c r="H118" i="84"/>
  <c r="A74" i="84"/>
  <c r="D18" i="84"/>
  <c r="D456" i="84"/>
  <c r="I767" i="84"/>
  <c r="K586" i="84"/>
  <c r="I739" i="84"/>
  <c r="D123" i="84"/>
  <c r="J418" i="84"/>
  <c r="A530" i="84"/>
  <c r="H640" i="84"/>
  <c r="N88" i="84"/>
  <c r="T799" i="84"/>
  <c r="J184" i="84"/>
  <c r="A273" i="84"/>
  <c r="H208" i="84"/>
  <c r="O832" i="84"/>
  <c r="H832" i="84"/>
  <c r="Z17" i="84"/>
  <c r="T342" i="84"/>
  <c r="D415" i="84"/>
  <c r="C137" i="84"/>
  <c r="I326" i="84"/>
  <c r="I763" i="84"/>
  <c r="J803" i="84"/>
  <c r="J163" i="84"/>
  <c r="J745" i="84"/>
  <c r="K99" i="84"/>
  <c r="I567" i="84"/>
  <c r="U270" i="84"/>
  <c r="M604" i="84"/>
  <c r="O339" i="84"/>
  <c r="D750" i="84"/>
  <c r="O733" i="84"/>
  <c r="P613" i="84"/>
  <c r="S613" i="84"/>
  <c r="J446" i="84"/>
  <c r="H957" i="84"/>
  <c r="S296" i="84"/>
  <c r="D875" i="84"/>
  <c r="A824" i="84"/>
  <c r="Q576" i="84"/>
  <c r="I777" i="84"/>
  <c r="E326" i="84"/>
  <c r="I403" i="84"/>
  <c r="U305" i="84"/>
  <c r="A715" i="84"/>
  <c r="T906" i="84"/>
  <c r="M334" i="84"/>
  <c r="E717" i="84"/>
  <c r="U837" i="84"/>
  <c r="V691" i="84"/>
  <c r="L461" i="84"/>
  <c r="L148" i="84"/>
  <c r="C880" i="84"/>
  <c r="U640" i="84"/>
  <c r="R659" i="84"/>
  <c r="K105" i="84"/>
  <c r="L24" i="84"/>
  <c r="N22" i="84"/>
  <c r="M375" i="84"/>
  <c r="A454" i="84"/>
  <c r="K443" i="84"/>
  <c r="K961" i="84"/>
  <c r="Q565" i="84"/>
  <c r="K860" i="84"/>
  <c r="A418" i="84"/>
  <c r="M566" i="84"/>
  <c r="J852" i="84"/>
  <c r="L265" i="84"/>
  <c r="H449" i="84"/>
  <c r="I354" i="84"/>
  <c r="H441" i="84"/>
  <c r="T58" i="84"/>
  <c r="U176" i="84"/>
  <c r="J790" i="84"/>
  <c r="H214" i="84"/>
  <c r="D109" i="84"/>
  <c r="L134" i="84"/>
  <c r="F357" i="84"/>
  <c r="J879" i="84"/>
  <c r="A699" i="84"/>
  <c r="Q948" i="84"/>
  <c r="R373" i="84"/>
  <c r="D622" i="84"/>
  <c r="M165" i="84"/>
  <c r="A721" i="84"/>
  <c r="L635" i="84"/>
  <c r="J215" i="84"/>
  <c r="J264" i="84"/>
  <c r="M134" i="84"/>
  <c r="J243" i="84"/>
  <c r="C33" i="84"/>
  <c r="A471" i="84"/>
  <c r="A841" i="84"/>
  <c r="M101" i="84"/>
  <c r="T849" i="84"/>
  <c r="Q215" i="84"/>
  <c r="R768" i="84"/>
  <c r="X574" i="84"/>
  <c r="A943" i="84"/>
  <c r="S184" i="84"/>
  <c r="G771" i="84"/>
  <c r="D126" i="84"/>
  <c r="C19" i="84"/>
  <c r="J482" i="84"/>
  <c r="J174" i="84"/>
  <c r="I939" i="84"/>
  <c r="S325" i="84"/>
  <c r="R688" i="84"/>
  <c r="I303" i="84"/>
  <c r="K920" i="84"/>
  <c r="O323" i="84"/>
  <c r="H959" i="84"/>
  <c r="K90" i="84"/>
  <c r="I719" i="84"/>
  <c r="K124" i="84"/>
  <c r="T290" i="84"/>
  <c r="L8" i="84"/>
  <c r="M764" i="84"/>
  <c r="L682" i="84"/>
  <c r="G37" i="84"/>
  <c r="K489" i="84"/>
  <c r="I652" i="84"/>
  <c r="U481" i="84"/>
  <c r="U691" i="84"/>
  <c r="U808" i="84"/>
  <c r="A26" i="84"/>
  <c r="A470" i="84"/>
  <c r="K385" i="84"/>
  <c r="M537" i="84"/>
  <c r="K418" i="84"/>
  <c r="E384" i="84"/>
  <c r="U42" i="84"/>
  <c r="T113" i="84"/>
  <c r="R319" i="84"/>
  <c r="A958" i="84"/>
  <c r="L409" i="84"/>
  <c r="A350" i="84"/>
  <c r="C639" i="84"/>
  <c r="C685" i="84"/>
  <c r="T235" i="84"/>
  <c r="M125" i="84"/>
  <c r="M169" i="84"/>
  <c r="N962" i="84"/>
  <c r="P10" i="84"/>
  <c r="S711" i="84"/>
  <c r="A220" i="84"/>
  <c r="I342" i="84"/>
  <c r="L787" i="84"/>
  <c r="T810" i="84"/>
  <c r="I505" i="84"/>
  <c r="A261" i="84"/>
  <c r="I734" i="84"/>
  <c r="L444" i="84"/>
  <c r="M33" i="84"/>
  <c r="M399" i="84"/>
  <c r="S894" i="84"/>
  <c r="A690" i="84"/>
  <c r="R574" i="84"/>
  <c r="L202" i="84"/>
  <c r="O266" i="84"/>
  <c r="D443" i="84"/>
  <c r="A798" i="84"/>
  <c r="R393" i="84"/>
  <c r="S318" i="84"/>
  <c r="U284" i="84"/>
  <c r="T881" i="84"/>
  <c r="N392" i="84"/>
  <c r="K879" i="84"/>
  <c r="J234" i="84"/>
  <c r="H134" i="84"/>
  <c r="C659" i="84"/>
  <c r="C843" i="84"/>
  <c r="J667" i="84"/>
  <c r="T468" i="84"/>
  <c r="D224" i="84"/>
  <c r="T394" i="84"/>
  <c r="N241" i="84"/>
  <c r="D860" i="84"/>
  <c r="S706" i="84"/>
  <c r="A35" i="84"/>
  <c r="P635" i="84"/>
  <c r="J904" i="84"/>
  <c r="U89" i="84"/>
  <c r="L880" i="84"/>
  <c r="C491" i="84"/>
  <c r="M297" i="84"/>
  <c r="D542" i="84"/>
  <c r="K935" i="84"/>
  <c r="H887" i="84"/>
  <c r="K41" i="84"/>
  <c r="Q420" i="84"/>
  <c r="AA605" i="84"/>
  <c r="J432" i="84"/>
  <c r="K345" i="84"/>
  <c r="M682" i="84"/>
  <c r="G283" i="84"/>
  <c r="U416" i="84"/>
  <c r="A352" i="84"/>
  <c r="D667" i="84"/>
  <c r="C254" i="84"/>
  <c r="A910" i="84"/>
  <c r="A765" i="84"/>
  <c r="I430" i="84"/>
  <c r="H85" i="84"/>
  <c r="N460" i="84"/>
  <c r="M31" i="84"/>
  <c r="H96" i="84"/>
  <c r="H728" i="84"/>
  <c r="M648" i="84"/>
  <c r="BD35" i="82"/>
  <c r="A447" i="84"/>
  <c r="J369" i="84"/>
  <c r="C458" i="84"/>
  <c r="D348" i="84"/>
  <c r="D145" i="84"/>
  <c r="N104" i="84"/>
  <c r="A953" i="84"/>
  <c r="M851" i="84"/>
  <c r="M123" i="84"/>
  <c r="G84" i="84"/>
  <c r="A8" i="84"/>
  <c r="I766" i="84"/>
  <c r="H325" i="84"/>
  <c r="T280" i="84"/>
  <c r="A490" i="84"/>
  <c r="P583" i="84"/>
  <c r="K728" i="84"/>
  <c r="N337" i="84"/>
  <c r="Y495" i="84"/>
  <c r="I523" i="84"/>
  <c r="I606" i="84"/>
  <c r="J220" i="84"/>
  <c r="I290" i="84"/>
  <c r="L923" i="84"/>
  <c r="S107" i="84"/>
  <c r="I656" i="84"/>
  <c r="I909" i="84"/>
  <c r="T516" i="84"/>
  <c r="M99" i="84"/>
  <c r="I193" i="84"/>
  <c r="C686" i="84"/>
  <c r="C386" i="84"/>
  <c r="W580" i="84"/>
  <c r="J113" i="84"/>
  <c r="U884" i="84"/>
  <c r="S524" i="84"/>
  <c r="N856" i="84"/>
  <c r="A154" i="84"/>
  <c r="M205" i="84"/>
  <c r="C143" i="84"/>
  <c r="C862" i="84"/>
  <c r="Q936" i="84"/>
  <c r="J762" i="84"/>
  <c r="K373" i="84"/>
  <c r="M916" i="84"/>
  <c r="S208" i="84"/>
  <c r="C289" i="84"/>
  <c r="K376" i="84"/>
  <c r="T688" i="84"/>
  <c r="D862" i="84"/>
  <c r="O510" i="84"/>
  <c r="J83" i="84"/>
  <c r="I311" i="84"/>
  <c r="S518" i="84"/>
  <c r="D576" i="84"/>
  <c r="N576" i="84"/>
  <c r="I38" i="84"/>
  <c r="C455" i="84"/>
  <c r="D792" i="84"/>
  <c r="J592" i="84"/>
  <c r="T817" i="84"/>
  <c r="K151" i="84"/>
  <c r="K359" i="84"/>
  <c r="K928" i="84"/>
  <c r="T712" i="84"/>
  <c r="D98" i="84"/>
  <c r="M703" i="84"/>
  <c r="Q393" i="84"/>
  <c r="S144" i="84"/>
  <c r="C87" i="84"/>
  <c r="AH30" i="82"/>
  <c r="J70" i="84"/>
  <c r="R535" i="84"/>
  <c r="E608" i="84"/>
  <c r="L67" i="84"/>
  <c r="U51" i="84"/>
  <c r="F227" i="84"/>
  <c r="G551" i="84"/>
  <c r="M251" i="84"/>
  <c r="D13" i="84"/>
  <c r="I926" i="84"/>
  <c r="K890" i="84"/>
  <c r="T510" i="84"/>
  <c r="A664" i="84"/>
  <c r="S567" i="84"/>
  <c r="M83" i="84"/>
  <c r="H750" i="84"/>
  <c r="K774" i="84"/>
  <c r="J644" i="84"/>
  <c r="G62" i="84"/>
  <c r="C625" i="84"/>
  <c r="U952" i="84"/>
  <c r="M837" i="84"/>
  <c r="U91" i="84"/>
  <c r="M623" i="84"/>
  <c r="D746" i="84"/>
  <c r="U749" i="84"/>
  <c r="I186" i="84"/>
  <c r="S42" i="84"/>
  <c r="I407" i="84"/>
  <c r="R95" i="84"/>
  <c r="D919" i="84"/>
  <c r="K850" i="84"/>
  <c r="L878" i="84"/>
  <c r="Q620" i="84"/>
  <c r="M258" i="84"/>
  <c r="U426" i="84"/>
  <c r="R54" i="84"/>
  <c r="J160" i="84"/>
  <c r="T189" i="84"/>
  <c r="J419" i="84"/>
  <c r="S552" i="84"/>
  <c r="S257" i="84"/>
  <c r="T38" i="84"/>
  <c r="K183" i="84"/>
  <c r="K138" i="84"/>
  <c r="H145" i="84"/>
  <c r="H113" i="84"/>
  <c r="M240" i="84"/>
  <c r="K232" i="84"/>
  <c r="U208" i="84"/>
  <c r="I592" i="84"/>
  <c r="P269" i="84"/>
  <c r="M842" i="84"/>
  <c r="H585" i="84"/>
  <c r="P102" i="84"/>
  <c r="M644" i="84"/>
  <c r="N17" i="84"/>
  <c r="L623" i="84"/>
  <c r="I143" i="84"/>
  <c r="A928" i="84"/>
  <c r="L938" i="84"/>
  <c r="H166" i="84"/>
  <c r="K575" i="84"/>
  <c r="M201" i="84"/>
  <c r="M622" i="84"/>
  <c r="M437" i="84"/>
  <c r="P107" i="84"/>
  <c r="BC25" i="82"/>
  <c r="L642" i="84"/>
  <c r="M940" i="84"/>
  <c r="E452" i="84"/>
  <c r="C168" i="84"/>
  <c r="C470" i="84"/>
  <c r="S22" i="84"/>
  <c r="M676" i="84"/>
  <c r="Q580" i="84"/>
  <c r="U788" i="84"/>
  <c r="H210" i="84"/>
  <c r="E647" i="84"/>
  <c r="D571" i="84"/>
  <c r="K431" i="84"/>
  <c r="T950" i="84"/>
  <c r="S500" i="84"/>
  <c r="K164" i="84"/>
  <c r="L175" i="84"/>
  <c r="D502" i="84"/>
  <c r="M744" i="84"/>
  <c r="L423" i="84"/>
  <c r="L242" i="84"/>
  <c r="U606" i="84"/>
  <c r="I167" i="84"/>
  <c r="H380" i="84"/>
  <c r="R551" i="84"/>
  <c r="C418" i="84"/>
  <c r="L593" i="84"/>
  <c r="L944" i="84"/>
  <c r="K724" i="84"/>
  <c r="S109" i="84"/>
  <c r="I140" i="84"/>
  <c r="C772" i="84"/>
  <c r="M42" i="84"/>
  <c r="M907" i="84"/>
  <c r="D754" i="84"/>
  <c r="S512" i="84"/>
  <c r="H254" i="84"/>
  <c r="U584" i="84"/>
  <c r="I314" i="84"/>
  <c r="J585" i="84"/>
  <c r="L504" i="84"/>
  <c r="H212" i="84"/>
  <c r="P510" i="84"/>
  <c r="P335" i="84"/>
  <c r="T270" i="84"/>
  <c r="S315" i="84"/>
  <c r="C735" i="84"/>
  <c r="K679" i="84"/>
  <c r="O554" i="84"/>
  <c r="P909" i="84"/>
  <c r="I61" i="84"/>
  <c r="K801" i="84"/>
  <c r="Z133" i="84"/>
  <c r="M387" i="84"/>
  <c r="K467" i="84"/>
  <c r="Q518" i="84"/>
  <c r="J731" i="84"/>
  <c r="H895" i="84"/>
  <c r="S476" i="84"/>
  <c r="S752" i="84"/>
  <c r="C182" i="84"/>
  <c r="J73" i="84"/>
  <c r="J121" i="84"/>
  <c r="K807" i="84"/>
  <c r="T320" i="84"/>
  <c r="S306" i="84"/>
  <c r="Z780" i="84"/>
  <c r="I633" i="84"/>
  <c r="M358" i="84"/>
  <c r="T206" i="84"/>
  <c r="H151" i="84"/>
  <c r="L337" i="84"/>
  <c r="Q283" i="84"/>
  <c r="U524" i="84"/>
  <c r="N304" i="84"/>
  <c r="J261" i="84"/>
  <c r="K683" i="84"/>
  <c r="I199" i="84"/>
  <c r="L36" i="84"/>
  <c r="H357" i="84"/>
  <c r="T407" i="84"/>
  <c r="BL24" i="82"/>
  <c r="I833" i="84"/>
  <c r="BL8" i="82"/>
  <c r="U696" i="84"/>
  <c r="J520" i="84"/>
  <c r="M295" i="84"/>
  <c r="B11" i="82"/>
  <c r="P631" i="84"/>
  <c r="M63" i="84"/>
  <c r="H32" i="84"/>
  <c r="C231" i="84"/>
  <c r="L220" i="84"/>
  <c r="L234" i="84"/>
  <c r="I357" i="84"/>
  <c r="M741" i="84"/>
  <c r="Q247" i="84"/>
  <c r="S308" i="84"/>
  <c r="S197" i="84"/>
  <c r="Q227" i="84"/>
  <c r="L683" i="84"/>
  <c r="L214" i="84"/>
  <c r="H259" i="84"/>
  <c r="X948" i="84"/>
  <c r="J349" i="84"/>
  <c r="Q254" i="84"/>
  <c r="K79" i="84"/>
  <c r="M558" i="84"/>
  <c r="M939" i="84"/>
  <c r="O283" i="84"/>
  <c r="O175" i="84"/>
  <c r="K625" i="84"/>
  <c r="J916" i="84"/>
  <c r="H109" i="84"/>
  <c r="V238" i="84"/>
  <c r="R515" i="84"/>
  <c r="K381" i="84"/>
  <c r="J949" i="84"/>
  <c r="J331" i="84"/>
  <c r="G669" i="84"/>
  <c r="L821" i="84"/>
  <c r="A687" i="84"/>
  <c r="N398" i="84"/>
  <c r="P898" i="84"/>
  <c r="D511" i="84"/>
  <c r="C635" i="84"/>
  <c r="I751" i="84"/>
  <c r="O723" i="84"/>
  <c r="I212" i="84"/>
  <c r="H68" i="84"/>
  <c r="Q761" i="84"/>
  <c r="Q337" i="84"/>
  <c r="J193" i="84"/>
  <c r="E736" i="84"/>
  <c r="S396" i="84"/>
  <c r="I511" i="84"/>
  <c r="L280" i="84"/>
  <c r="I867" i="84"/>
  <c r="A76" i="84"/>
  <c r="D505" i="84"/>
  <c r="G304" i="84"/>
  <c r="J138" i="84"/>
  <c r="G65" i="84"/>
  <c r="S236" i="84"/>
  <c r="Z152" i="84"/>
  <c r="C14" i="84"/>
  <c r="U171" i="84"/>
  <c r="I709" i="84"/>
  <c r="I383" i="84"/>
  <c r="A68" i="84"/>
  <c r="H829" i="84"/>
  <c r="S425" i="84"/>
  <c r="A696" i="84"/>
  <c r="H413" i="84"/>
  <c r="H933" i="84"/>
  <c r="K561" i="84"/>
  <c r="M241" i="84"/>
  <c r="A456" i="84"/>
  <c r="C279" i="84"/>
  <c r="H634" i="84"/>
  <c r="S309" i="84"/>
  <c r="L735" i="84"/>
  <c r="I452" i="84"/>
  <c r="N7" i="84"/>
  <c r="S164" i="84"/>
  <c r="S651" i="84"/>
  <c r="K434" i="84"/>
  <c r="T481" i="84"/>
  <c r="T726" i="84"/>
  <c r="L552" i="84"/>
  <c r="H231" i="84"/>
  <c r="H434" i="84"/>
  <c r="H386" i="84"/>
  <c r="C353" i="84"/>
  <c r="I440" i="84"/>
  <c r="U97" i="84"/>
  <c r="I811" i="84"/>
  <c r="Q17" i="84"/>
  <c r="A701" i="84"/>
  <c r="G526" i="84"/>
  <c r="L446" i="84"/>
  <c r="M816" i="84"/>
  <c r="M534" i="84"/>
  <c r="R149" i="84"/>
  <c r="I239" i="84"/>
  <c r="J703" i="84"/>
  <c r="G94" i="84"/>
  <c r="K276" i="84"/>
  <c r="A739" i="84"/>
  <c r="J568" i="84"/>
  <c r="J729" i="84"/>
  <c r="I454" i="84"/>
  <c r="P236" i="84"/>
  <c r="P941" i="84"/>
  <c r="R609" i="84"/>
  <c r="S559" i="84"/>
  <c r="L368" i="84"/>
  <c r="H79" i="84"/>
  <c r="U60" i="84"/>
  <c r="K830" i="84"/>
  <c r="M964" i="84"/>
  <c r="J238" i="84"/>
  <c r="T638" i="84"/>
  <c r="I564" i="84"/>
  <c r="S665" i="84"/>
  <c r="A666" i="84"/>
  <c r="N329" i="84"/>
  <c r="P930" i="84"/>
  <c r="A343" i="84"/>
  <c r="D390" i="84"/>
  <c r="S775" i="84"/>
  <c r="M796" i="84"/>
  <c r="J752" i="84"/>
  <c r="T694" i="84"/>
  <c r="A185" i="84"/>
  <c r="Q375" i="84"/>
  <c r="I8" i="84"/>
  <c r="U371" i="84"/>
  <c r="H731" i="84"/>
  <c r="M792" i="84"/>
  <c r="I760" i="84"/>
  <c r="C482" i="84"/>
  <c r="T418" i="84"/>
  <c r="M781" i="84"/>
  <c r="G92" i="84"/>
  <c r="J59" i="84"/>
  <c r="U579" i="84"/>
  <c r="A467" i="84"/>
  <c r="I486" i="84"/>
  <c r="H611" i="84"/>
  <c r="F742" i="84"/>
  <c r="M705" i="84"/>
  <c r="H818" i="84"/>
  <c r="M788" i="84"/>
  <c r="I819" i="84"/>
  <c r="G611" i="84"/>
  <c r="J416" i="84"/>
  <c r="M542" i="84"/>
  <c r="T460" i="84"/>
  <c r="A688" i="84"/>
  <c r="E33" i="84"/>
  <c r="C525" i="84"/>
  <c r="I466" i="84"/>
  <c r="M189" i="84"/>
  <c r="K768" i="84"/>
  <c r="T903" i="84"/>
  <c r="L801" i="84"/>
  <c r="K288" i="84"/>
  <c r="I614" i="84"/>
  <c r="H110" i="84"/>
  <c r="U767" i="84"/>
  <c r="H636" i="84"/>
  <c r="H176" i="84"/>
  <c r="R852" i="84"/>
  <c r="J569" i="84"/>
  <c r="U357" i="84"/>
  <c r="L622" i="84"/>
  <c r="I730" i="84"/>
  <c r="U218" i="84"/>
  <c r="U642" i="84"/>
  <c r="P13" i="84"/>
  <c r="M344" i="84"/>
  <c r="H195" i="84"/>
  <c r="J454" i="84"/>
  <c r="K375" i="84"/>
  <c r="I822" i="84"/>
  <c r="P231" i="84"/>
  <c r="A374" i="84"/>
  <c r="R191" i="84"/>
  <c r="M327" i="84"/>
  <c r="A766" i="84"/>
  <c r="U465" i="84"/>
  <c r="T523" i="84"/>
  <c r="J899" i="84"/>
  <c r="Q498" i="84"/>
  <c r="M432" i="84"/>
  <c r="D298" i="84"/>
  <c r="G853" i="84"/>
  <c r="S145" i="84"/>
  <c r="T63" i="84"/>
  <c r="C22" i="82"/>
  <c r="J583" i="84"/>
  <c r="J147" i="84"/>
  <c r="J498" i="84"/>
  <c r="J119" i="84"/>
  <c r="A527" i="84"/>
  <c r="M773" i="84"/>
  <c r="A889" i="84"/>
  <c r="G813" i="84"/>
  <c r="I411" i="84"/>
  <c r="A348" i="84"/>
  <c r="L900" i="84"/>
  <c r="B46" i="82"/>
  <c r="F762" i="84"/>
  <c r="H75" i="84"/>
  <c r="D222" i="84"/>
  <c r="L894" i="84"/>
  <c r="P639" i="84"/>
  <c r="I682" i="84"/>
  <c r="L759" i="84"/>
  <c r="M36" i="84"/>
  <c r="S253" i="84"/>
  <c r="I855" i="84"/>
  <c r="P949" i="84"/>
  <c r="D128" i="84"/>
  <c r="A630" i="84"/>
  <c r="U454" i="84"/>
  <c r="A504" i="84"/>
  <c r="J123" i="84"/>
  <c r="D99" i="84"/>
  <c r="N662" i="84"/>
  <c r="A927" i="84"/>
  <c r="K520" i="84"/>
  <c r="D885" i="84"/>
  <c r="L846" i="84"/>
  <c r="M694" i="84"/>
  <c r="Q159" i="84"/>
  <c r="I915" i="84"/>
  <c r="M15" i="84"/>
  <c r="T338" i="84"/>
  <c r="H868" i="84"/>
  <c r="L111" i="84"/>
  <c r="R199" i="84"/>
  <c r="AK41" i="82"/>
  <c r="L862" i="84"/>
  <c r="R200" i="84"/>
  <c r="M137" i="84"/>
  <c r="J610" i="84"/>
  <c r="O551" i="84"/>
  <c r="H850" i="84"/>
  <c r="A140" i="84"/>
  <c r="K865" i="84"/>
  <c r="C17" i="82"/>
  <c r="I705" i="84"/>
  <c r="BK13" i="82"/>
  <c r="Q783" i="84"/>
  <c r="T111" i="84"/>
  <c r="U486" i="84"/>
  <c r="H327" i="84"/>
  <c r="O80" i="84"/>
  <c r="O316" i="84"/>
  <c r="T263" i="84"/>
  <c r="K656" i="84"/>
  <c r="J423" i="84"/>
  <c r="J250" i="84"/>
  <c r="P171" i="84"/>
  <c r="D933" i="84"/>
  <c r="S167" i="84"/>
  <c r="A223" i="84"/>
  <c r="I749" i="84"/>
  <c r="T943" i="84"/>
  <c r="L554" i="84"/>
  <c r="H137" i="84"/>
  <c r="I456" i="84"/>
  <c r="I447" i="84"/>
  <c r="U501" i="84"/>
  <c r="I671" i="84"/>
  <c r="M738" i="84"/>
  <c r="D425" i="84"/>
  <c r="S473" i="84"/>
  <c r="J768" i="84"/>
  <c r="K824" i="84"/>
  <c r="J304" i="84"/>
  <c r="L310" i="84"/>
  <c r="Q205" i="84"/>
  <c r="L351" i="84"/>
  <c r="T914" i="84"/>
  <c r="K299" i="84"/>
  <c r="I818" i="84"/>
  <c r="Q609" i="84"/>
  <c r="G850" i="84"/>
  <c r="M865" i="84"/>
  <c r="C962" i="84"/>
  <c r="E775" i="84"/>
  <c r="U782" i="84"/>
  <c r="J712" i="84"/>
  <c r="O10" i="84"/>
  <c r="U620" i="84"/>
  <c r="R414" i="84"/>
  <c r="C578" i="84"/>
  <c r="U168" i="84"/>
  <c r="S522" i="84"/>
  <c r="L99" i="84"/>
  <c r="M657" i="84"/>
  <c r="K713" i="84"/>
  <c r="H310" i="84"/>
  <c r="Q505" i="84"/>
  <c r="I228" i="84"/>
  <c r="H554" i="84"/>
  <c r="C579" i="84"/>
  <c r="N315" i="84"/>
  <c r="H591" i="84"/>
  <c r="A370" i="84"/>
  <c r="U872" i="84"/>
  <c r="R447" i="84"/>
  <c r="M482" i="84"/>
  <c r="C54" i="84"/>
  <c r="L617" i="84"/>
  <c r="L726" i="84"/>
  <c r="L548" i="84"/>
  <c r="R47" i="84"/>
  <c r="L299" i="84"/>
  <c r="Z294" i="84"/>
  <c r="E132" i="84"/>
  <c r="M596" i="84"/>
  <c r="C932" i="84"/>
  <c r="T40" i="84"/>
  <c r="M49" i="84"/>
  <c r="U16" i="84"/>
  <c r="I565" i="84"/>
  <c r="D624" i="84"/>
  <c r="J466" i="84"/>
  <c r="C802" i="84"/>
  <c r="C241" i="84"/>
  <c r="S917" i="84"/>
  <c r="A959" i="84"/>
  <c r="M817" i="84"/>
  <c r="C658" i="84"/>
  <c r="H512" i="84"/>
  <c r="U7" i="84"/>
  <c r="R135" i="84"/>
  <c r="Q601" i="84"/>
  <c r="P455" i="84"/>
  <c r="N40" i="84"/>
  <c r="S886" i="84"/>
  <c r="O33" i="84"/>
  <c r="J641" i="84"/>
  <c r="I566" i="84"/>
  <c r="U209" i="84"/>
  <c r="T855" i="84"/>
  <c r="D416" i="84"/>
  <c r="I283" i="84"/>
  <c r="A799" i="84"/>
  <c r="P734" i="84"/>
  <c r="O909" i="84"/>
  <c r="S484" i="84"/>
  <c r="J17" i="84"/>
  <c r="H114" i="84"/>
  <c r="H508" i="84"/>
  <c r="M730" i="84"/>
  <c r="A450" i="84"/>
  <c r="L301" i="84"/>
  <c r="R48" i="84"/>
  <c r="U483" i="84"/>
  <c r="T562" i="84"/>
  <c r="Q935" i="84"/>
  <c r="T105" i="84"/>
  <c r="H197" i="84"/>
  <c r="K167" i="84"/>
  <c r="S406" i="84"/>
  <c r="I578" i="84"/>
  <c r="K744" i="84"/>
  <c r="M200" i="84"/>
  <c r="U14" i="84"/>
  <c r="P788" i="84"/>
  <c r="N208" i="84"/>
  <c r="R829" i="84"/>
  <c r="E612" i="84"/>
  <c r="H46" i="84"/>
  <c r="K618" i="84"/>
  <c r="C360" i="84"/>
  <c r="T450" i="84"/>
  <c r="Q39" i="82"/>
  <c r="R404" i="84"/>
  <c r="H468" i="84"/>
  <c r="J388" i="84"/>
  <c r="R851" i="84"/>
  <c r="AA700" i="84"/>
  <c r="I376" i="84"/>
  <c r="K897" i="84"/>
  <c r="R58" i="84"/>
  <c r="I253" i="84"/>
  <c r="K338" i="84"/>
  <c r="Y294" i="84"/>
  <c r="L421" i="84"/>
  <c r="T357" i="84"/>
  <c r="I149" i="84"/>
  <c r="K464" i="84"/>
  <c r="A109" i="84"/>
  <c r="K531" i="84"/>
  <c r="AM19" i="82"/>
  <c r="U57" i="84"/>
  <c r="D60" i="84"/>
  <c r="J71" i="84"/>
  <c r="T71" i="84"/>
  <c r="U243" i="84"/>
  <c r="D827" i="84"/>
  <c r="Q661" i="84"/>
  <c r="N134" i="84"/>
  <c r="V514" i="84"/>
  <c r="P871" i="84"/>
  <c r="J753" i="84"/>
  <c r="P403" i="84"/>
  <c r="M935" i="84"/>
  <c r="L966" i="84"/>
  <c r="U44" i="84"/>
  <c r="O963" i="84"/>
  <c r="Q534" i="84"/>
  <c r="A183" i="84"/>
  <c r="S495" i="84"/>
  <c r="O30" i="84"/>
  <c r="U709" i="84"/>
  <c r="E761" i="84"/>
  <c r="H964" i="84"/>
  <c r="S877" i="84"/>
  <c r="O146" i="84"/>
  <c r="L55" i="84"/>
  <c r="Z50" i="84"/>
  <c r="O463" i="84"/>
  <c r="A853" i="84"/>
  <c r="J412" i="84"/>
  <c r="H572" i="84"/>
  <c r="T383" i="84"/>
  <c r="A851" i="84"/>
  <c r="H319" i="84"/>
  <c r="L430" i="84"/>
  <c r="Q796" i="84"/>
  <c r="F720" i="84"/>
  <c r="O184" i="84"/>
  <c r="X445" i="84"/>
  <c r="Q782" i="84"/>
  <c r="S189" i="84"/>
  <c r="M538" i="84"/>
  <c r="W709" i="84"/>
  <c r="N282" i="84"/>
  <c r="L835" i="84"/>
  <c r="T292" i="84"/>
  <c r="I820" i="84"/>
  <c r="I698" i="84"/>
  <c r="S386" i="84"/>
  <c r="C100" i="84"/>
  <c r="K371" i="84"/>
  <c r="AA241" i="84"/>
  <c r="C593" i="84"/>
  <c r="A951" i="84"/>
  <c r="H332" i="84"/>
  <c r="U338" i="84"/>
  <c r="A462" i="84"/>
  <c r="O738" i="84"/>
  <c r="M483" i="84"/>
  <c r="L211" i="84"/>
  <c r="M526" i="84"/>
  <c r="J875" i="84"/>
  <c r="M649" i="84"/>
  <c r="D615" i="84"/>
  <c r="D310" i="84"/>
  <c r="S906" i="84"/>
  <c r="L341" i="84"/>
  <c r="H588" i="84"/>
  <c r="L627" i="84"/>
  <c r="M867" i="84"/>
  <c r="I293" i="84"/>
  <c r="U66" i="84"/>
  <c r="S883" i="84"/>
  <c r="P861" i="84"/>
  <c r="T98" i="84"/>
  <c r="R540" i="84"/>
  <c r="U345" i="84"/>
  <c r="E549" i="84"/>
  <c r="S590" i="84"/>
  <c r="R610" i="84"/>
  <c r="C560" i="84"/>
  <c r="E11" i="84"/>
  <c r="L274" i="84"/>
  <c r="C131" i="84"/>
  <c r="C573" i="84"/>
  <c r="S244" i="84"/>
  <c r="H223" i="84"/>
  <c r="I79" i="84"/>
  <c r="Q253" i="84"/>
  <c r="R944" i="84"/>
  <c r="U388" i="84"/>
  <c r="K778" i="84"/>
  <c r="I501" i="84"/>
  <c r="D762" i="84"/>
  <c r="K880" i="84"/>
  <c r="S823" i="84"/>
  <c r="H192" i="84"/>
  <c r="S437" i="84"/>
  <c r="K608" i="84"/>
  <c r="I464" i="84"/>
  <c r="H469" i="84"/>
  <c r="M543" i="84"/>
  <c r="M763" i="84"/>
  <c r="T850" i="84"/>
  <c r="I612" i="84"/>
  <c r="J176" i="84"/>
  <c r="G28" i="84"/>
  <c r="A729" i="84"/>
  <c r="K565" i="84"/>
  <c r="S810" i="84"/>
  <c r="P373" i="84"/>
  <c r="R397" i="84"/>
  <c r="P718" i="84"/>
  <c r="A55" i="84"/>
  <c r="AA416" i="84"/>
  <c r="P896" i="84"/>
  <c r="S768" i="84"/>
  <c r="A610" i="84"/>
  <c r="AA17" i="84"/>
  <c r="J937" i="84"/>
  <c r="Q239" i="84"/>
  <c r="L348" i="84"/>
  <c r="H507" i="84"/>
  <c r="T227" i="84"/>
  <c r="K150" i="84"/>
  <c r="H87" i="84"/>
  <c r="I904" i="84"/>
  <c r="A119" i="84"/>
  <c r="C380" i="84"/>
  <c r="A775" i="84"/>
  <c r="K781" i="84"/>
  <c r="I727" i="84"/>
  <c r="R131" i="84"/>
  <c r="I597" i="84"/>
  <c r="H802" i="84"/>
  <c r="J42" i="84"/>
  <c r="U389" i="84"/>
  <c r="J131" i="84"/>
  <c r="A460" i="84"/>
  <c r="D72" i="84"/>
  <c r="H209" i="84"/>
  <c r="I518" i="84"/>
  <c r="I868" i="84"/>
  <c r="U497" i="84"/>
  <c r="M658" i="84"/>
  <c r="P781" i="84"/>
  <c r="U590" i="84"/>
  <c r="S323" i="84"/>
  <c r="L206" i="84"/>
  <c r="E911" i="84"/>
  <c r="D680" i="84"/>
  <c r="K833" i="84"/>
  <c r="H322" i="84"/>
  <c r="T246" i="84"/>
  <c r="N157" i="84"/>
  <c r="D230" i="84"/>
  <c r="C269" i="84"/>
  <c r="A925" i="84"/>
  <c r="S890" i="84"/>
  <c r="D905" i="84"/>
  <c r="K206" i="84"/>
  <c r="O619" i="84"/>
  <c r="Q291" i="84"/>
  <c r="H160" i="84"/>
  <c r="G739" i="84"/>
  <c r="U23" i="84"/>
  <c r="E946" i="84"/>
  <c r="S696" i="84"/>
  <c r="AF584" i="84"/>
  <c r="S913" i="84"/>
  <c r="R186" i="84"/>
  <c r="J464" i="84"/>
  <c r="Z896" i="84"/>
  <c r="L678" i="84"/>
  <c r="J244" i="84"/>
  <c r="T803" i="84"/>
  <c r="Q484" i="84"/>
  <c r="Q317" i="84"/>
  <c r="N231" i="84"/>
  <c r="M394" i="84"/>
  <c r="R769" i="84"/>
  <c r="M547" i="84"/>
  <c r="P119" i="84"/>
  <c r="O195" i="84"/>
  <c r="I712" i="84"/>
  <c r="I208" i="84"/>
  <c r="D32" i="84"/>
  <c r="C435" i="84"/>
  <c r="M898" i="84"/>
  <c r="AS45" i="82"/>
  <c r="D508" i="84"/>
  <c r="T282" i="84"/>
  <c r="AW30" i="82"/>
  <c r="N927" i="84"/>
  <c r="C42" i="84"/>
  <c r="L39" i="84"/>
  <c r="J333" i="84"/>
  <c r="H323" i="84"/>
  <c r="M587" i="84"/>
  <c r="C14" i="82"/>
  <c r="U757" i="84"/>
  <c r="A657" i="84"/>
  <c r="T267" i="84"/>
  <c r="P595" i="84"/>
  <c r="L100" i="84"/>
  <c r="I421" i="84"/>
  <c r="M584" i="84"/>
  <c r="A477" i="84"/>
  <c r="T90" i="84"/>
  <c r="O284" i="84"/>
  <c r="U720" i="84"/>
  <c r="J126" i="84"/>
  <c r="L298" i="84"/>
  <c r="L879" i="84"/>
  <c r="L752" i="84"/>
  <c r="Y203" i="84"/>
  <c r="J88" i="84"/>
  <c r="L803" i="84"/>
  <c r="N939" i="84"/>
  <c r="U939" i="84"/>
  <c r="P386" i="84"/>
  <c r="J283" i="84"/>
  <c r="S404" i="84"/>
  <c r="M257" i="84"/>
  <c r="P586" i="84"/>
  <c r="H255" i="84"/>
  <c r="U933" i="84"/>
  <c r="J132" i="84"/>
  <c r="E723" i="84"/>
  <c r="S712" i="84"/>
  <c r="G576" i="84"/>
  <c r="U573" i="84"/>
  <c r="L347" i="84"/>
  <c r="S830" i="84"/>
  <c r="S599" i="84"/>
  <c r="M635" i="84"/>
  <c r="O815" i="84"/>
  <c r="AA689" i="84"/>
  <c r="I888" i="84"/>
  <c r="U417" i="84"/>
  <c r="O352" i="84"/>
  <c r="E825" i="84"/>
  <c r="G693" i="84"/>
  <c r="P704" i="84"/>
  <c r="R473" i="84"/>
  <c r="M757" i="84"/>
  <c r="K537" i="84"/>
  <c r="G515" i="84"/>
  <c r="M263" i="84"/>
  <c r="P617" i="84"/>
  <c r="N848" i="84"/>
  <c r="A660" i="84"/>
  <c r="M341" i="84"/>
  <c r="T617" i="84"/>
  <c r="U768" i="84"/>
  <c r="J240" i="84"/>
  <c r="K198" i="84"/>
  <c r="T180" i="84"/>
  <c r="N465" i="84"/>
  <c r="I59" i="84"/>
  <c r="T377" i="84"/>
  <c r="S343" i="84"/>
  <c r="I638" i="84"/>
  <c r="U637" i="84"/>
  <c r="M683" i="84"/>
  <c r="N483" i="84"/>
  <c r="H545" i="84"/>
  <c r="H511" i="84"/>
  <c r="H854" i="84"/>
  <c r="I899" i="84"/>
  <c r="P278" i="84"/>
  <c r="M132" i="84"/>
  <c r="I458" i="84"/>
  <c r="AR46" i="82"/>
  <c r="M349" i="84"/>
  <c r="H285" i="84"/>
  <c r="O202" i="84"/>
  <c r="Q612" i="84"/>
  <c r="D625" i="84"/>
  <c r="C262" i="84"/>
  <c r="M856" i="84"/>
  <c r="K388" i="84"/>
  <c r="D921" i="84"/>
  <c r="J27" i="84"/>
  <c r="I685" i="84"/>
  <c r="I558" i="84"/>
  <c r="A651" i="84"/>
  <c r="A158" i="84"/>
  <c r="G134" i="84"/>
  <c r="O79" i="84"/>
  <c r="R308" i="84"/>
  <c r="G667" i="84"/>
  <c r="J284" i="84"/>
  <c r="A787" i="84"/>
  <c r="N401" i="84"/>
  <c r="K636" i="84"/>
  <c r="H777" i="84"/>
  <c r="AN36" i="82"/>
  <c r="U789" i="84"/>
  <c r="J513" i="84"/>
  <c r="L580" i="84"/>
  <c r="I743" i="84"/>
  <c r="E434" i="84"/>
  <c r="T910" i="84"/>
  <c r="J578" i="84"/>
  <c r="D267" i="84"/>
  <c r="AA495" i="84"/>
  <c r="T64" i="84"/>
  <c r="A580" i="84"/>
  <c r="I835" i="84"/>
  <c r="L230" i="84"/>
  <c r="A73" i="84"/>
  <c r="J714" i="84"/>
  <c r="I161" i="84"/>
  <c r="M630" i="84"/>
  <c r="I704" i="84"/>
  <c r="U790" i="84"/>
  <c r="I515" i="84"/>
  <c r="C876" i="84"/>
  <c r="I481" i="84"/>
  <c r="A521" i="84"/>
  <c r="H161" i="84"/>
  <c r="K511" i="84"/>
  <c r="U87" i="84"/>
  <c r="M409" i="84"/>
  <c r="K648" i="84"/>
  <c r="K956" i="84"/>
  <c r="K71" i="84"/>
  <c r="C743" i="84"/>
  <c r="J763" i="84"/>
  <c r="M711" i="84"/>
  <c r="A252" i="84"/>
  <c r="L180" i="84"/>
  <c r="H542" i="84"/>
  <c r="A498" i="84"/>
  <c r="J672" i="84"/>
  <c r="AE14" i="82"/>
  <c r="J843" i="84"/>
  <c r="P515" i="84"/>
  <c r="H317" i="84"/>
  <c r="L947" i="84"/>
  <c r="Q185" i="84"/>
  <c r="G111" i="84"/>
  <c r="AR22" i="82"/>
  <c r="R740" i="84"/>
  <c r="I109" i="84"/>
  <c r="D632" i="84"/>
  <c r="I675" i="84"/>
  <c r="K664" i="84"/>
  <c r="K350" i="84"/>
  <c r="J154" i="84"/>
  <c r="S594" i="84"/>
  <c r="M611" i="84"/>
  <c r="L73" i="84"/>
  <c r="P959" i="84"/>
  <c r="A20" i="84"/>
  <c r="L149" i="84"/>
  <c r="A293" i="84"/>
  <c r="O250" i="84"/>
  <c r="R63" i="84"/>
  <c r="A251" i="84"/>
  <c r="N665" i="84"/>
  <c r="R99" i="84"/>
  <c r="Q832" i="84"/>
  <c r="R221" i="84"/>
  <c r="G658" i="84"/>
  <c r="I462" i="84"/>
  <c r="A623" i="84"/>
  <c r="G276" i="84"/>
  <c r="H840" i="84"/>
  <c r="I103" i="84"/>
  <c r="L914" i="84"/>
  <c r="P754" i="84"/>
  <c r="M113" i="84"/>
  <c r="O56" i="84"/>
  <c r="Y774" i="84"/>
  <c r="E801" i="84"/>
  <c r="C929" i="84"/>
  <c r="R413" i="84"/>
  <c r="C446" i="84"/>
  <c r="H272" i="84"/>
  <c r="K210" i="84"/>
  <c r="G851" i="84"/>
  <c r="S212" i="84"/>
  <c r="O219" i="84"/>
  <c r="I530" i="84"/>
  <c r="T382" i="84"/>
  <c r="G890" i="84"/>
  <c r="A228" i="84"/>
  <c r="H191" i="84"/>
  <c r="C835" i="84"/>
  <c r="J387" i="84"/>
  <c r="N739" i="84"/>
  <c r="N809" i="84"/>
  <c r="M923" i="84"/>
  <c r="L770" i="84"/>
  <c r="I534" i="84"/>
  <c r="U20" i="84"/>
  <c r="C76" i="84"/>
  <c r="K34" i="84"/>
  <c r="Z197" i="84"/>
  <c r="S956" i="84"/>
  <c r="I945" i="84"/>
  <c r="M243" i="84"/>
  <c r="Q785" i="84"/>
  <c r="P752" i="84"/>
  <c r="T203" i="84"/>
  <c r="K78" i="84"/>
  <c r="K943" i="84"/>
  <c r="A653" i="84"/>
  <c r="T159" i="84"/>
  <c r="S125" i="84"/>
  <c r="J756" i="84"/>
  <c r="U80" i="84"/>
  <c r="T100" i="84"/>
  <c r="H140" i="84"/>
  <c r="U221" i="84"/>
  <c r="U204" i="84"/>
  <c r="L332" i="84"/>
  <c r="F557" i="84"/>
  <c r="R410" i="84"/>
  <c r="N99" i="84"/>
  <c r="C228" i="84"/>
  <c r="Q490" i="84"/>
  <c r="Q282" i="84"/>
  <c r="L943" i="84"/>
  <c r="U839" i="84"/>
  <c r="N382" i="84"/>
  <c r="S468" i="84"/>
  <c r="R273" i="84"/>
  <c r="U189" i="84"/>
  <c r="T447" i="84"/>
  <c r="T310" i="84"/>
  <c r="T686" i="84"/>
  <c r="V804" i="84"/>
  <c r="I295" i="84"/>
  <c r="O870" i="84"/>
  <c r="G330" i="84"/>
  <c r="C175" i="84"/>
  <c r="I556" i="84"/>
  <c r="M8" i="84"/>
  <c r="R583" i="84"/>
  <c r="S693" i="84"/>
  <c r="K203" i="84"/>
  <c r="A570" i="84"/>
  <c r="O527" i="84"/>
  <c r="H35" i="84"/>
  <c r="M854" i="84"/>
  <c r="K681" i="84"/>
  <c r="L939" i="84"/>
  <c r="A259" i="84"/>
  <c r="M468" i="84"/>
  <c r="U878" i="84"/>
  <c r="K756" i="84"/>
  <c r="H700" i="84"/>
  <c r="T220" i="84"/>
  <c r="P842" i="84"/>
  <c r="H793" i="84"/>
  <c r="I720" i="84"/>
  <c r="U163" i="84"/>
  <c r="I918" i="84"/>
  <c r="K938" i="84"/>
  <c r="P466" i="84"/>
  <c r="S420" i="84"/>
  <c r="D213" i="84"/>
  <c r="H914" i="84"/>
  <c r="I75" i="84"/>
  <c r="R848" i="84"/>
  <c r="H675" i="84"/>
  <c r="C126" i="84"/>
  <c r="I711" i="84"/>
  <c r="K362" i="84"/>
  <c r="D551" i="84"/>
  <c r="R97" i="84"/>
  <c r="Q500" i="84"/>
  <c r="E292" i="84"/>
  <c r="M758" i="84"/>
  <c r="F281" i="84"/>
  <c r="C68" i="84"/>
  <c r="O7" i="84"/>
  <c r="L284" i="84"/>
  <c r="H912" i="84"/>
  <c r="J109" i="84"/>
  <c r="S520" i="84"/>
  <c r="AF784" i="84"/>
  <c r="O731" i="84"/>
  <c r="Q225" i="84"/>
  <c r="A315" i="84"/>
  <c r="F276" i="84"/>
  <c r="H598" i="84"/>
  <c r="Q806" i="84"/>
  <c r="C828" i="84"/>
  <c r="I477" i="84"/>
  <c r="L624" i="84"/>
  <c r="J495" i="84"/>
  <c r="S799" i="84"/>
  <c r="F272" i="84"/>
  <c r="P866" i="84"/>
  <c r="J31" i="84"/>
  <c r="I571" i="84"/>
  <c r="I98" i="84"/>
  <c r="S351" i="84"/>
  <c r="U109" i="84"/>
  <c r="J85" i="84"/>
  <c r="S718" i="84"/>
  <c r="I658" i="84"/>
  <c r="H369" i="84"/>
  <c r="J167" i="84"/>
  <c r="D442" i="84"/>
  <c r="M64" i="84"/>
  <c r="I706" i="84"/>
  <c r="J649" i="84"/>
  <c r="M247" i="84"/>
  <c r="R888" i="84"/>
  <c r="M65" i="84"/>
  <c r="R719" i="84"/>
  <c r="W572" i="84"/>
  <c r="U105" i="84"/>
  <c r="L240" i="84"/>
  <c r="S230" i="84"/>
  <c r="P731" i="84"/>
  <c r="V754" i="84"/>
  <c r="C484" i="84"/>
  <c r="X307" i="84"/>
  <c r="J880" i="84"/>
  <c r="I859" i="84"/>
  <c r="R348" i="84"/>
  <c r="Q591" i="84"/>
  <c r="J631" i="84"/>
  <c r="T831" i="84"/>
  <c r="A51" i="84"/>
  <c r="U534" i="84"/>
  <c r="U90" i="84"/>
  <c r="S944" i="84"/>
  <c r="I310" i="84"/>
  <c r="H444" i="84"/>
  <c r="D608" i="84"/>
  <c r="A671" i="84"/>
  <c r="L575" i="84"/>
  <c r="I775" i="84"/>
  <c r="H154" i="84"/>
  <c r="Q495" i="84"/>
  <c r="T811" i="84"/>
  <c r="Q366" i="84"/>
  <c r="C886" i="84"/>
  <c r="U593" i="84"/>
  <c r="P653" i="84"/>
  <c r="I15" i="84"/>
  <c r="I601" i="84"/>
  <c r="P496" i="84"/>
  <c r="K900" i="84"/>
  <c r="J596" i="84"/>
  <c r="J915" i="84"/>
  <c r="L283" i="84"/>
  <c r="I684" i="84"/>
  <c r="O774" i="84"/>
  <c r="Z163" i="84"/>
  <c r="K813" i="84"/>
  <c r="H43" i="84"/>
  <c r="O452" i="84"/>
  <c r="P594" i="84"/>
  <c r="R833" i="84"/>
  <c r="K73" i="84"/>
  <c r="T673" i="84"/>
  <c r="R143" i="84"/>
  <c r="I521" i="84"/>
  <c r="M148" i="84"/>
  <c r="H27" i="84"/>
  <c r="U436" i="84"/>
  <c r="A100" i="84"/>
  <c r="T255" i="84"/>
  <c r="V517" i="84"/>
  <c r="M107" i="84"/>
  <c r="S407" i="84"/>
  <c r="O481" i="84"/>
  <c r="H38" i="84"/>
  <c r="M876" i="84"/>
  <c r="Q558" i="84"/>
  <c r="D543" i="84"/>
  <c r="R810" i="84"/>
  <c r="A822" i="84"/>
  <c r="N752" i="84"/>
  <c r="Q42" i="84"/>
  <c r="S39" i="84"/>
  <c r="P787" i="84"/>
  <c r="R677" i="84"/>
  <c r="M789" i="84"/>
  <c r="K844" i="84"/>
  <c r="J358" i="84"/>
  <c r="A127" i="84"/>
  <c r="O720" i="84"/>
  <c r="G100" i="84"/>
  <c r="T39" i="84"/>
  <c r="S475" i="84"/>
  <c r="L539" i="84"/>
  <c r="L171" i="84"/>
  <c r="R354" i="84"/>
  <c r="G690" i="84"/>
  <c r="O454" i="84"/>
  <c r="R225" i="84"/>
  <c r="M647" i="84"/>
  <c r="S578" i="84"/>
  <c r="M304" i="84"/>
  <c r="K66" i="84"/>
  <c r="H131" i="84"/>
  <c r="M662" i="84"/>
  <c r="K336" i="84"/>
  <c r="K200" i="84"/>
  <c r="U35" i="84"/>
  <c r="M812" i="84"/>
  <c r="M548" i="84"/>
  <c r="I559" i="84"/>
  <c r="O478" i="84"/>
  <c r="J737" i="84"/>
  <c r="I964" i="84"/>
  <c r="H230" i="84"/>
  <c r="I554" i="84"/>
  <c r="T511" i="84"/>
  <c r="A31" i="84"/>
  <c r="L639" i="84"/>
  <c r="K14" i="82"/>
  <c r="J407" i="84"/>
  <c r="L387" i="84"/>
  <c r="H819" i="84"/>
  <c r="H831" i="84"/>
  <c r="M284" i="84"/>
  <c r="H562" i="84"/>
  <c r="S456" i="84"/>
  <c r="J364" i="84"/>
  <c r="H425" i="84"/>
  <c r="U327" i="84"/>
  <c r="G633" i="84"/>
  <c r="L200" i="84"/>
  <c r="A887" i="84"/>
  <c r="A567" i="84"/>
  <c r="U300" i="84"/>
  <c r="D258" i="84"/>
  <c r="S101" i="84"/>
  <c r="T296" i="84"/>
  <c r="I191" i="84"/>
  <c r="R396" i="84"/>
  <c r="C683" i="84"/>
  <c r="H601" i="84"/>
  <c r="S932" i="84"/>
  <c r="H457" i="84"/>
  <c r="Q750" i="84"/>
  <c r="J847" i="84"/>
  <c r="J666" i="84"/>
  <c r="AY18" i="82"/>
  <c r="K487" i="84"/>
  <c r="L431" i="84"/>
  <c r="O383" i="84"/>
  <c r="A860" i="84"/>
  <c r="L241" i="84"/>
  <c r="Q10" i="84"/>
  <c r="S931" i="84"/>
  <c r="R314" i="84"/>
  <c r="J504" i="84"/>
  <c r="H783" i="84"/>
  <c r="S444" i="84"/>
  <c r="S129" i="84"/>
  <c r="C95" i="84"/>
  <c r="Z953" i="84"/>
  <c r="C207" i="84"/>
  <c r="N573" i="84"/>
  <c r="D744" i="84"/>
  <c r="A756" i="84"/>
  <c r="P597" i="84"/>
  <c r="L773" i="84"/>
  <c r="H606" i="84"/>
  <c r="A92" i="84"/>
  <c r="M678" i="84"/>
  <c r="M287" i="84"/>
  <c r="P425" i="84"/>
  <c r="H632" i="84"/>
  <c r="G91" i="84"/>
  <c r="L611" i="84"/>
  <c r="N861" i="84"/>
  <c r="D22" i="84"/>
  <c r="T201" i="84"/>
  <c r="Q440" i="84"/>
  <c r="L542" i="84"/>
  <c r="R116" i="84"/>
  <c r="C469" i="84"/>
  <c r="H695" i="84"/>
  <c r="J12" i="84"/>
  <c r="M928" i="84"/>
  <c r="L14" i="84"/>
  <c r="T99" i="84"/>
  <c r="I670" i="84"/>
  <c r="T705" i="84"/>
  <c r="S667" i="84"/>
  <c r="I449" i="84"/>
  <c r="S485" i="84"/>
  <c r="J87" i="84"/>
  <c r="A848" i="84"/>
  <c r="J14" i="84"/>
  <c r="K287" i="84"/>
  <c r="U513" i="84"/>
  <c r="A579" i="84"/>
  <c r="K309" i="84"/>
  <c r="T396" i="84"/>
  <c r="Q732" i="84"/>
  <c r="U182" i="84"/>
  <c r="T148" i="84"/>
  <c r="L373" i="84"/>
  <c r="U581" i="84"/>
  <c r="I471" i="84"/>
  <c r="A795" i="84"/>
  <c r="K160" i="84"/>
  <c r="A507" i="84"/>
  <c r="T524" i="84"/>
  <c r="J675" i="84"/>
  <c r="R20" i="84"/>
  <c r="G69" i="84"/>
  <c r="I233" i="84"/>
  <c r="S480" i="84"/>
  <c r="I713" i="84"/>
  <c r="C7" i="82"/>
  <c r="M760" i="84"/>
  <c r="T78" i="84"/>
  <c r="A902" i="84"/>
  <c r="K45" i="84"/>
  <c r="R78" i="84"/>
  <c r="H101" i="84"/>
  <c r="J56" i="84"/>
  <c r="L109" i="84"/>
  <c r="K491" i="84"/>
  <c r="R24" i="84"/>
  <c r="A130" i="84"/>
  <c r="T307" i="84"/>
  <c r="P219" i="84"/>
  <c r="R785" i="84"/>
  <c r="P16" i="84"/>
  <c r="J324" i="84"/>
  <c r="U600" i="84"/>
  <c r="L143" i="84"/>
  <c r="H786" i="84"/>
  <c r="H484" i="84"/>
  <c r="D840" i="84"/>
  <c r="D460" i="84"/>
  <c r="K610" i="84"/>
  <c r="L614" i="84"/>
  <c r="I207" i="84"/>
  <c r="O843" i="84"/>
  <c r="T538" i="84"/>
  <c r="K670" i="84"/>
  <c r="A878" i="84"/>
  <c r="S344" i="84"/>
  <c r="T867" i="84"/>
  <c r="F385" i="84"/>
  <c r="M933" i="84"/>
  <c r="L463" i="84"/>
  <c r="L843" i="84"/>
  <c r="M715" i="84"/>
  <c r="L90" i="84"/>
  <c r="C448" i="84"/>
  <c r="A19" i="84"/>
  <c r="P396" i="84"/>
  <c r="K319" i="84"/>
  <c r="M318" i="84"/>
  <c r="Q305" i="84"/>
  <c r="H278" i="84"/>
  <c r="T777" i="84"/>
  <c r="A505" i="84"/>
  <c r="J392" i="84"/>
  <c r="I595" i="84"/>
  <c r="M505" i="84"/>
  <c r="L829" i="84"/>
  <c r="E828" i="84"/>
  <c r="A655" i="84"/>
  <c r="Q212" i="84"/>
  <c r="J551" i="84"/>
  <c r="H886" i="84"/>
  <c r="R113" i="84"/>
  <c r="M276" i="84"/>
  <c r="D937" i="84"/>
  <c r="M917" i="84"/>
  <c r="K523" i="84"/>
  <c r="S41" i="84"/>
  <c r="J77" i="84"/>
  <c r="L949" i="84"/>
  <c r="J717" i="84"/>
  <c r="U34" i="84"/>
  <c r="P17" i="84"/>
  <c r="L838" i="84"/>
  <c r="S732" i="84"/>
  <c r="Z312" i="84"/>
  <c r="K632" i="84"/>
  <c r="T120" i="84"/>
  <c r="J190" i="84"/>
  <c r="I44" i="84"/>
  <c r="A340" i="84"/>
  <c r="S540" i="84"/>
  <c r="K190" i="84"/>
  <c r="K269" i="84"/>
  <c r="M878" i="84"/>
  <c r="U931" i="84"/>
  <c r="T548" i="84"/>
  <c r="O343" i="84"/>
  <c r="J484" i="84"/>
  <c r="L68" i="84"/>
  <c r="H133" i="84"/>
  <c r="G85" i="84"/>
  <c r="J555" i="84"/>
  <c r="G196" i="84"/>
  <c r="O748" i="84"/>
  <c r="H136" i="84"/>
  <c r="H874" i="84"/>
  <c r="M393" i="84"/>
  <c r="P675" i="84"/>
  <c r="U754" i="84"/>
  <c r="R576" i="84"/>
  <c r="G110" i="84"/>
  <c r="N325" i="84"/>
  <c r="Z517" i="84"/>
  <c r="H421" i="84"/>
  <c r="R209" i="84"/>
  <c r="O952" i="84"/>
  <c r="M880" i="84"/>
  <c r="S488" i="84"/>
  <c r="N394" i="84"/>
  <c r="M783" i="84"/>
  <c r="H717" i="84"/>
  <c r="D182" i="84"/>
  <c r="I787" i="84"/>
  <c r="L133" i="84"/>
  <c r="U244" i="84"/>
  <c r="T876" i="84"/>
  <c r="T55" i="84"/>
  <c r="L388" i="84"/>
  <c r="L647" i="84"/>
  <c r="Q911" i="84"/>
  <c r="K334" i="84"/>
  <c r="J883" i="84"/>
  <c r="U103" i="84"/>
  <c r="J10" i="84"/>
  <c r="S50" i="84"/>
  <c r="T825" i="84"/>
  <c r="L458" i="84"/>
  <c r="S628" i="84"/>
  <c r="A271" i="84"/>
  <c r="U141" i="84"/>
  <c r="L227" i="84"/>
  <c r="J652" i="84"/>
  <c r="S498" i="84"/>
  <c r="H775" i="84"/>
  <c r="U894" i="84"/>
  <c r="K121" i="84"/>
  <c r="BL40" i="82"/>
  <c r="R624" i="84"/>
  <c r="I529" i="84"/>
  <c r="D954" i="84"/>
  <c r="L904" i="84"/>
  <c r="F483" i="84"/>
  <c r="M590" i="84"/>
  <c r="U917" i="84"/>
  <c r="N724" i="84"/>
  <c r="A178" i="84"/>
  <c r="Q619" i="84"/>
  <c r="M474" i="84"/>
  <c r="K752" i="84"/>
  <c r="H65" i="84"/>
  <c r="U179" i="84"/>
  <c r="C617" i="84"/>
  <c r="O966" i="84"/>
  <c r="I548" i="84"/>
  <c r="N64" i="84"/>
  <c r="M228" i="84"/>
  <c r="A955" i="84"/>
  <c r="L85" i="84"/>
  <c r="L251" i="84"/>
  <c r="J674" i="84"/>
  <c r="P802" i="84"/>
  <c r="T832" i="84"/>
  <c r="J595" i="84"/>
  <c r="T966" i="84"/>
  <c r="U383" i="84"/>
  <c r="T231" i="84"/>
  <c r="F496" i="84"/>
  <c r="U849" i="84"/>
  <c r="AA919" i="84"/>
  <c r="H277" i="84"/>
  <c r="K702" i="84"/>
  <c r="P18" i="82"/>
  <c r="Y930" i="84"/>
  <c r="Q677" i="84"/>
  <c r="K639" i="84"/>
  <c r="M717" i="84"/>
  <c r="K784" i="84"/>
  <c r="Q342" i="84"/>
  <c r="I583" i="84"/>
  <c r="H525" i="84"/>
  <c r="U868" i="84"/>
  <c r="R892" i="84"/>
  <c r="H770" i="84"/>
  <c r="G637" i="84"/>
  <c r="T764" i="84"/>
  <c r="T147" i="84"/>
  <c r="D541" i="84"/>
  <c r="I375" i="84"/>
  <c r="Z534" i="84"/>
  <c r="N479" i="84"/>
  <c r="P647" i="84"/>
  <c r="U796" i="84"/>
  <c r="U196" i="84"/>
  <c r="AA488" i="84"/>
  <c r="J837" i="84"/>
  <c r="I676" i="84"/>
  <c r="S259" i="84"/>
  <c r="U329" i="84"/>
  <c r="M35" i="84"/>
  <c r="O425" i="84"/>
  <c r="U560" i="84"/>
  <c r="I840" i="84"/>
  <c r="N555" i="84"/>
  <c r="M491" i="84"/>
  <c r="D623" i="84"/>
  <c r="K456" i="84"/>
  <c r="L872" i="84"/>
  <c r="O823" i="84"/>
  <c r="J146" i="84"/>
  <c r="T221" i="84"/>
  <c r="O179" i="84"/>
  <c r="U725" i="84"/>
  <c r="P283" i="84"/>
  <c r="S493" i="84"/>
  <c r="R699" i="84"/>
  <c r="R9" i="84"/>
  <c r="H70" i="84"/>
  <c r="J814" i="84"/>
  <c r="W811" i="84"/>
  <c r="I284" i="84"/>
  <c r="U909" i="84"/>
  <c r="P502" i="84"/>
  <c r="E706" i="84"/>
  <c r="T135" i="84"/>
  <c r="T68" i="84"/>
  <c r="O472" i="84"/>
  <c r="D439" i="84"/>
  <c r="U93" i="84"/>
  <c r="H915" i="84"/>
  <c r="L225" i="84"/>
  <c r="J274" i="84"/>
  <c r="N238" i="84"/>
  <c r="J829" i="84"/>
  <c r="T122" i="84"/>
  <c r="L177" i="84"/>
  <c r="S633" i="84"/>
  <c r="A767" i="84"/>
  <c r="J914" i="84"/>
  <c r="C545" i="84"/>
  <c r="C281" i="84"/>
  <c r="J242" i="84"/>
  <c r="Q772" i="84"/>
  <c r="T410" i="84"/>
  <c r="H204" i="84"/>
  <c r="I112" i="84"/>
  <c r="R218" i="84"/>
  <c r="L146" i="84"/>
  <c r="T293" i="84"/>
  <c r="T948" i="84"/>
  <c r="S858" i="84"/>
  <c r="I871" i="84"/>
  <c r="R299" i="84"/>
  <c r="I279" i="84"/>
  <c r="A813" i="84"/>
  <c r="S262" i="84"/>
  <c r="U682" i="84"/>
  <c r="M561" i="84"/>
  <c r="M873" i="84"/>
  <c r="S321" i="84"/>
  <c r="K63" i="84"/>
  <c r="L557" i="84"/>
  <c r="K297" i="84"/>
  <c r="U438" i="84"/>
  <c r="K174" i="84"/>
  <c r="U774" i="84"/>
  <c r="J493" i="84"/>
  <c r="P891" i="84"/>
  <c r="H828" i="84"/>
  <c r="X233" i="84"/>
  <c r="A157" i="84"/>
  <c r="H74" i="84"/>
  <c r="J473" i="84"/>
  <c r="Q464" i="84"/>
  <c r="M211" i="84"/>
  <c r="J271" i="84"/>
  <c r="N725" i="84"/>
  <c r="S416" i="84"/>
  <c r="R882" i="84"/>
  <c r="V187" i="84"/>
  <c r="A249" i="84"/>
  <c r="H503" i="84"/>
  <c r="S903" i="84"/>
  <c r="S326" i="84"/>
  <c r="I322" i="84"/>
  <c r="R529" i="84"/>
  <c r="Q217" i="84"/>
  <c r="K195" i="84"/>
  <c r="Q176" i="84"/>
  <c r="A244" i="84"/>
  <c r="T354" i="84"/>
  <c r="M937" i="84"/>
  <c r="U882" i="84"/>
  <c r="T67" i="84"/>
  <c r="J463" i="84"/>
  <c r="L238" i="84"/>
  <c r="J850" i="84"/>
  <c r="F944" i="84"/>
  <c r="T682" i="84"/>
  <c r="L172" i="84"/>
  <c r="M185" i="84"/>
  <c r="U940" i="84"/>
  <c r="A830" i="84"/>
  <c r="L621" i="84"/>
  <c r="M367" i="84"/>
  <c r="S342" i="84"/>
  <c r="H517" i="84"/>
  <c r="F530" i="84"/>
  <c r="I260" i="84"/>
  <c r="L157" i="84"/>
  <c r="C259" i="84"/>
  <c r="I861" i="84"/>
  <c r="M368" i="84"/>
  <c r="G101" i="84"/>
  <c r="K365" i="84"/>
  <c r="G363" i="84"/>
  <c r="K741" i="84"/>
  <c r="M608" i="84"/>
  <c r="T333" i="84"/>
  <c r="R571" i="84"/>
  <c r="I857" i="84"/>
  <c r="L870" i="84"/>
  <c r="M203" i="84"/>
  <c r="M406" i="84"/>
  <c r="T584" i="84"/>
  <c r="M896" i="84"/>
  <c r="N161" i="84"/>
  <c r="O116" i="84"/>
  <c r="H63" i="84"/>
  <c r="AF313" i="84"/>
  <c r="R506" i="84"/>
  <c r="T859" i="84"/>
  <c r="G456" i="84"/>
  <c r="Q873" i="84"/>
  <c r="C723" i="84"/>
  <c r="H53" i="84"/>
  <c r="A274" i="84"/>
  <c r="J425" i="84"/>
  <c r="K177" i="84"/>
  <c r="T531" i="84"/>
  <c r="A541" i="84"/>
  <c r="H439" i="84"/>
  <c r="L451" i="84"/>
  <c r="J122" i="84"/>
  <c r="M183" i="84"/>
  <c r="I165" i="84"/>
  <c r="T555" i="84"/>
  <c r="AA821" i="84"/>
  <c r="A703" i="84"/>
  <c r="L112" i="84"/>
  <c r="L567" i="84"/>
  <c r="M671" i="84"/>
  <c r="J912" i="84"/>
  <c r="K61" i="84"/>
  <c r="R640" i="84"/>
  <c r="A394" i="84"/>
  <c r="A635" i="84"/>
  <c r="K766" i="84"/>
  <c r="L276" i="84"/>
  <c r="L27" i="84"/>
  <c r="S453" i="84"/>
  <c r="S412" i="84"/>
  <c r="S643" i="84"/>
  <c r="I221" i="84"/>
  <c r="A215" i="84"/>
  <c r="K887" i="84"/>
  <c r="C649" i="84"/>
  <c r="G373" i="84"/>
  <c r="L751" i="84"/>
  <c r="U355" i="84"/>
  <c r="Q687" i="84"/>
  <c r="K141" i="84"/>
  <c r="S647" i="84"/>
  <c r="H911" i="84"/>
  <c r="C213" i="84"/>
  <c r="H88" i="84"/>
  <c r="K227" i="84"/>
  <c r="A865" i="84"/>
  <c r="H669" i="84"/>
  <c r="P735" i="84"/>
  <c r="U147" i="84"/>
  <c r="M655" i="84"/>
  <c r="G643" i="84"/>
  <c r="I514" i="84"/>
  <c r="R742" i="84"/>
  <c r="AI22" i="82"/>
  <c r="T186" i="84"/>
  <c r="I885" i="84"/>
  <c r="K245" i="84"/>
  <c r="L459" i="84"/>
  <c r="J820" i="84"/>
  <c r="A353" i="84"/>
  <c r="J506" i="84"/>
  <c r="C779" i="84"/>
  <c r="L336" i="84"/>
  <c r="D837" i="84"/>
  <c r="R617" i="84"/>
  <c r="U553" i="84"/>
  <c r="M729" i="84"/>
  <c r="H465" i="84"/>
  <c r="S110" i="84"/>
  <c r="R445" i="84"/>
  <c r="I455" i="84"/>
  <c r="R298" i="84"/>
  <c r="N293" i="84"/>
  <c r="L486" i="84"/>
  <c r="H709" i="84"/>
  <c r="I553" i="84"/>
  <c r="S836" i="84"/>
  <c r="T182" i="84"/>
  <c r="S26" i="84"/>
  <c r="S831" i="84"/>
  <c r="L485" i="84"/>
  <c r="I443" i="84"/>
  <c r="I643" i="84"/>
  <c r="A288" i="84"/>
  <c r="M675" i="84"/>
  <c r="O42" i="84"/>
  <c r="F418" i="84"/>
  <c r="G860" i="84"/>
  <c r="P543" i="84"/>
  <c r="C49" i="84"/>
  <c r="H303" i="84"/>
  <c r="H487" i="84"/>
  <c r="G295" i="84"/>
  <c r="T188" i="84"/>
  <c r="P964" i="84"/>
  <c r="P91" i="84"/>
  <c r="H492" i="84"/>
  <c r="M677" i="84"/>
  <c r="M860" i="84"/>
  <c r="N912" i="84"/>
  <c r="A305" i="84"/>
  <c r="U885" i="84"/>
  <c r="K180" i="84"/>
  <c r="D384" i="84"/>
  <c r="H628" i="84"/>
  <c r="D581" i="84"/>
  <c r="L701" i="84"/>
  <c r="J98" i="84"/>
  <c r="J188" i="84"/>
  <c r="U778" i="84"/>
  <c r="H462" i="84"/>
  <c r="Q270" i="84"/>
  <c r="T65" i="84"/>
  <c r="M457" i="84"/>
  <c r="P359" i="84"/>
  <c r="T586" i="84"/>
  <c r="M179" i="84"/>
  <c r="E558" i="84"/>
  <c r="L188" i="84"/>
  <c r="L695" i="84"/>
  <c r="L333" i="84"/>
  <c r="X8" i="84"/>
  <c r="G449" i="84"/>
  <c r="C839" i="84"/>
  <c r="O569" i="84"/>
  <c r="H751" i="84"/>
  <c r="Q883" i="84"/>
  <c r="H419" i="84"/>
  <c r="H261" i="84"/>
  <c r="I722" i="84"/>
  <c r="A827" i="84"/>
  <c r="C24" i="84"/>
  <c r="M279" i="84"/>
  <c r="P643" i="84"/>
  <c r="A634" i="84"/>
  <c r="D49" i="84"/>
  <c r="AD40" i="82"/>
  <c r="F258" i="84"/>
  <c r="I492" i="84"/>
  <c r="J806" i="84"/>
  <c r="R87" i="84"/>
  <c r="H938" i="84"/>
  <c r="O522" i="84"/>
  <c r="R137" i="84"/>
  <c r="N418" i="84"/>
  <c r="Q352" i="84"/>
  <c r="C854" i="84"/>
  <c r="M785" i="84"/>
  <c r="T143" i="84"/>
  <c r="E829" i="84"/>
  <c r="O262" i="84"/>
  <c r="U673" i="84"/>
  <c r="P507" i="84"/>
  <c r="U48" i="84"/>
  <c r="K400" i="84"/>
  <c r="J725" i="84"/>
  <c r="O311" i="84"/>
  <c r="C89" i="84"/>
  <c r="V181" i="84"/>
  <c r="J186" i="84"/>
  <c r="C502" i="84"/>
  <c r="M115" i="84"/>
  <c r="C16" i="84"/>
  <c r="J282" i="84"/>
  <c r="T841" i="84"/>
  <c r="N660" i="84"/>
  <c r="J449" i="84"/>
  <c r="D599" i="84"/>
  <c r="T729" i="84"/>
  <c r="V14" i="84"/>
  <c r="R721" i="84"/>
  <c r="M481" i="84"/>
  <c r="K687" i="84"/>
  <c r="A758" i="84"/>
  <c r="T822" i="84"/>
  <c r="T770" i="84"/>
  <c r="K415" i="84"/>
  <c r="K908" i="84"/>
  <c r="A94" i="84"/>
  <c r="T268" i="84"/>
  <c r="D745" i="84"/>
  <c r="M71" i="84"/>
  <c r="K315" i="84"/>
  <c r="Q686" i="84"/>
  <c r="H929" i="84"/>
  <c r="T283" i="84"/>
  <c r="Q894" i="84"/>
  <c r="H28" i="84"/>
  <c r="C15" i="84"/>
  <c r="A409" i="84"/>
  <c r="F122" i="84"/>
  <c r="J229" i="84"/>
  <c r="K50" i="84"/>
  <c r="L806" i="84"/>
  <c r="I178" i="84"/>
  <c r="M117" i="84"/>
  <c r="I405" i="84"/>
  <c r="Y245" i="84"/>
  <c r="T439" i="84"/>
  <c r="C895" i="84"/>
  <c r="K87" i="84"/>
  <c r="D550" i="84"/>
  <c r="U704" i="84"/>
  <c r="M72" i="84"/>
  <c r="J29" i="84"/>
  <c r="L40" i="84"/>
  <c r="M885" i="84"/>
  <c r="L424" i="84"/>
  <c r="H94" i="84"/>
  <c r="H924" i="84"/>
  <c r="T240" i="84"/>
  <c r="M714" i="84"/>
  <c r="O681" i="84"/>
  <c r="O500" i="84"/>
  <c r="A669" i="84"/>
  <c r="T419" i="84"/>
  <c r="V314" i="84"/>
  <c r="O637" i="84"/>
  <c r="S428" i="84"/>
  <c r="P144" i="84"/>
  <c r="R916" i="84"/>
  <c r="Q368" i="84"/>
  <c r="P266" i="84"/>
  <c r="O779" i="84"/>
  <c r="P697" i="84"/>
  <c r="H21" i="84"/>
  <c r="H532" i="84"/>
  <c r="L690" i="84"/>
  <c r="R503" i="84"/>
  <c r="S614" i="84"/>
  <c r="L953" i="84"/>
  <c r="T91" i="84"/>
  <c r="Q546" i="84"/>
  <c r="K432" i="84"/>
  <c r="N132" i="84"/>
  <c r="D39" i="84"/>
  <c r="L278" i="84"/>
  <c r="G549" i="84"/>
  <c r="K433" i="84"/>
  <c r="H253" i="84"/>
  <c r="F283" i="84"/>
  <c r="N872" i="84"/>
  <c r="M571" i="84"/>
  <c r="M920" i="84"/>
  <c r="N210" i="84"/>
  <c r="I872" i="84"/>
  <c r="T117" i="84"/>
  <c r="T401" i="84"/>
  <c r="J155" i="84"/>
  <c r="P128" i="84"/>
  <c r="K424" i="84"/>
  <c r="J840" i="84"/>
  <c r="I65" i="84"/>
  <c r="P354" i="84"/>
  <c r="A365" i="84"/>
  <c r="T351" i="84"/>
  <c r="A53" i="84"/>
  <c r="J198" i="84"/>
  <c r="L730" i="84"/>
  <c r="L123" i="84"/>
  <c r="U293" i="84"/>
  <c r="L503" i="84"/>
  <c r="J395" i="84"/>
  <c r="I959" i="84"/>
  <c r="D736" i="84"/>
  <c r="D844" i="84"/>
  <c r="Q302" i="84"/>
  <c r="AA758" i="84"/>
  <c r="L95" i="84"/>
  <c r="Q74" i="84"/>
  <c r="R761" i="84"/>
  <c r="L190" i="84"/>
  <c r="M823" i="84"/>
  <c r="L196" i="84"/>
  <c r="S80" i="84"/>
  <c r="T391" i="84"/>
  <c r="L885" i="84"/>
  <c r="T46" i="84"/>
  <c r="I950" i="84"/>
  <c r="H450" i="84"/>
  <c r="D365" i="84"/>
  <c r="H851" i="84"/>
  <c r="K613" i="84"/>
  <c r="U312" i="84"/>
  <c r="Q766" i="84"/>
  <c r="C277" i="84"/>
  <c r="D595" i="84"/>
  <c r="R222" i="84"/>
  <c r="R416" i="84"/>
  <c r="B10" i="82"/>
  <c r="J401" i="84"/>
  <c r="C720" i="84"/>
  <c r="U363" i="84"/>
  <c r="M286" i="84"/>
  <c r="J256" i="84"/>
  <c r="Z558" i="84"/>
  <c r="H639" i="84"/>
  <c r="J510" i="84"/>
  <c r="S354" i="84"/>
  <c r="N702" i="84"/>
  <c r="T662" i="84"/>
  <c r="U605" i="84"/>
  <c r="Q459" i="84"/>
  <c r="F960" i="84"/>
  <c r="U456" i="84"/>
  <c r="P275" i="84"/>
  <c r="C509" i="84"/>
  <c r="H919" i="84"/>
  <c r="M499" i="84"/>
  <c r="S694" i="84"/>
  <c r="W828" i="84"/>
  <c r="K57" i="84"/>
  <c r="H26" i="84"/>
  <c r="J100" i="84"/>
  <c r="R256" i="84"/>
  <c r="J889" i="84"/>
  <c r="N801" i="84"/>
  <c r="I102" i="84"/>
  <c r="A854" i="84"/>
  <c r="L738" i="84"/>
  <c r="H513" i="84"/>
  <c r="J910" i="84"/>
  <c r="T54" i="84"/>
  <c r="H346" i="84"/>
  <c r="S7" i="84"/>
  <c r="T537" i="84"/>
  <c r="M37" i="82"/>
  <c r="R570" i="84"/>
  <c r="P610" i="84"/>
  <c r="L267" i="84"/>
  <c r="H735" i="84"/>
  <c r="Y852" i="84"/>
  <c r="E57" i="84"/>
  <c r="H64" i="84"/>
  <c r="E961" i="84"/>
  <c r="S270" i="84"/>
  <c r="Q864" i="84"/>
  <c r="J443" i="84"/>
  <c r="F849" i="84"/>
  <c r="Y369" i="84"/>
  <c r="F759" i="84"/>
  <c r="U126" i="84"/>
  <c r="P514" i="84"/>
  <c r="O699" i="84"/>
  <c r="G105" i="84"/>
  <c r="S857" i="84"/>
  <c r="H405" i="84"/>
  <c r="U215" i="84"/>
  <c r="H235" i="84"/>
  <c r="J747" i="84"/>
  <c r="BA43" i="82"/>
  <c r="M353" i="84"/>
  <c r="K507" i="84"/>
  <c r="J537" i="84"/>
  <c r="L892" i="84"/>
  <c r="C247" i="84"/>
  <c r="M484" i="84"/>
  <c r="I99" i="84"/>
  <c r="K689" i="84"/>
  <c r="O800" i="84"/>
  <c r="L396" i="84"/>
  <c r="J90" i="84"/>
  <c r="G301" i="84"/>
  <c r="U734" i="84"/>
  <c r="T279" i="84"/>
  <c r="T788" i="84"/>
  <c r="P303" i="84"/>
  <c r="E573" i="84"/>
  <c r="R825" i="84"/>
  <c r="U889" i="84"/>
  <c r="Q770" i="84"/>
  <c r="H320" i="84"/>
  <c r="A892" i="84"/>
  <c r="W434" i="84"/>
  <c r="T847" i="84"/>
  <c r="J385" i="84"/>
  <c r="U336" i="84"/>
  <c r="R100" i="84"/>
  <c r="T365" i="84"/>
  <c r="I289" i="84"/>
  <c r="H529" i="84"/>
  <c r="R400" i="84"/>
  <c r="H621" i="84"/>
  <c r="M513" i="84"/>
  <c r="O110" i="84"/>
  <c r="S431" i="84"/>
  <c r="M462" i="84"/>
  <c r="S48" i="84"/>
  <c r="O782" i="84"/>
  <c r="T737" i="84"/>
  <c r="Q330" i="84"/>
  <c r="L709" i="84"/>
  <c r="C316" i="84"/>
  <c r="U813" i="84"/>
  <c r="O948" i="84"/>
  <c r="K837" i="84"/>
  <c r="S328" i="84"/>
  <c r="S575" i="84"/>
  <c r="S190" i="84"/>
  <c r="H438" i="84"/>
  <c r="T658" i="84"/>
  <c r="H172" i="84"/>
  <c r="T215" i="84"/>
  <c r="H635" i="84"/>
  <c r="M365" i="84"/>
  <c r="S507" i="84"/>
  <c r="U74" i="84"/>
  <c r="D569" i="84"/>
  <c r="N308" i="84"/>
  <c r="V223" i="84"/>
  <c r="L807" i="84"/>
  <c r="L929" i="84"/>
  <c r="J60" i="84"/>
  <c r="H906" i="84"/>
  <c r="K131" i="84"/>
  <c r="T223" i="84"/>
  <c r="L405" i="84"/>
  <c r="L365" i="84"/>
  <c r="K543" i="84"/>
  <c r="L570" i="84"/>
  <c r="J659" i="84"/>
  <c r="K710" i="84"/>
  <c r="Q786" i="84"/>
  <c r="C350" i="84"/>
  <c r="C185" i="84"/>
  <c r="U159" i="84"/>
  <c r="K912" i="84"/>
  <c r="U131" i="84"/>
  <c r="O291" i="84"/>
  <c r="D881" i="84"/>
  <c r="M665" i="84"/>
  <c r="F500" i="84"/>
  <c r="I145" i="84"/>
  <c r="K607" i="84"/>
  <c r="J330" i="84"/>
  <c r="K391" i="84"/>
  <c r="K863" i="84"/>
  <c r="K958" i="84"/>
  <c r="L395" i="84"/>
  <c r="H530" i="84"/>
  <c r="I503" i="84"/>
  <c r="I188" i="84"/>
  <c r="G199" i="84"/>
  <c r="S794" i="84"/>
  <c r="BK27" i="82"/>
  <c r="L18" i="84"/>
  <c r="A517" i="84"/>
  <c r="K300" i="84"/>
  <c r="K634" i="84"/>
  <c r="O258" i="84"/>
  <c r="I240" i="84"/>
  <c r="T960" i="84"/>
  <c r="J785" i="84"/>
  <c r="O714" i="84"/>
  <c r="C63" i="84"/>
  <c r="L909" i="84"/>
  <c r="I591" i="84"/>
  <c r="T174" i="84"/>
  <c r="R488" i="84"/>
  <c r="N850" i="84"/>
  <c r="L665" i="84"/>
  <c r="L926" i="84"/>
  <c r="U212" i="84"/>
  <c r="M12" i="84"/>
  <c r="P717" i="84"/>
  <c r="S686" i="84"/>
  <c r="L415" i="84"/>
  <c r="T911" i="84"/>
  <c r="Q593" i="84"/>
  <c r="H148" i="84"/>
  <c r="C275" i="84"/>
  <c r="M651" i="84"/>
  <c r="D656" i="84"/>
  <c r="U98" i="84"/>
  <c r="A485" i="84"/>
  <c r="J891" i="84"/>
  <c r="C342" i="84"/>
  <c r="E680" i="84"/>
  <c r="AG16" i="82"/>
  <c r="N80" i="84"/>
  <c r="Q781" i="84"/>
  <c r="A175" i="84"/>
  <c r="Q509" i="84"/>
  <c r="A294" i="84"/>
  <c r="A804" i="84"/>
  <c r="U908" i="84"/>
  <c r="Q172" i="84"/>
  <c r="D876" i="84"/>
  <c r="U583" i="84"/>
  <c r="K370" i="84"/>
  <c r="K701" i="84"/>
  <c r="H834" i="84"/>
  <c r="H817" i="84"/>
  <c r="I366" i="84"/>
  <c r="J340" i="84"/>
  <c r="J817" i="84"/>
  <c r="W866" i="84"/>
  <c r="I527" i="84"/>
  <c r="S579" i="84"/>
  <c r="D752" i="84"/>
  <c r="AF32" i="82"/>
  <c r="U32" i="84"/>
  <c r="M708" i="84"/>
  <c r="L260" i="84"/>
  <c r="U261" i="84"/>
  <c r="K277" i="84"/>
  <c r="U785" i="84"/>
  <c r="L215" i="84"/>
  <c r="Q422" i="84"/>
  <c r="P274" i="84"/>
  <c r="I122" i="84"/>
  <c r="O798" i="84"/>
  <c r="S108" i="84"/>
  <c r="L685" i="84"/>
  <c r="I101" i="84"/>
  <c r="R800" i="84"/>
  <c r="O161" i="84"/>
  <c r="O724" i="84"/>
  <c r="N537" i="84"/>
  <c r="T890" i="84"/>
  <c r="C587" i="84"/>
  <c r="H878" i="84"/>
  <c r="T868" i="84"/>
  <c r="S275" i="84"/>
  <c r="J490" i="84"/>
  <c r="V348" i="84"/>
  <c r="AA916" i="84"/>
  <c r="R633" i="84"/>
  <c r="S688" i="84"/>
  <c r="S132" i="84"/>
  <c r="M733" i="84"/>
  <c r="N890" i="84"/>
  <c r="K259" i="84"/>
  <c r="K703" i="84"/>
  <c r="AI32" i="82"/>
  <c r="I898" i="84"/>
  <c r="K298" i="84"/>
  <c r="O401" i="84"/>
  <c r="S40" i="84"/>
  <c r="E282" i="84"/>
  <c r="O273" i="84"/>
  <c r="D249" i="84"/>
  <c r="I414" i="84"/>
  <c r="I410" i="84"/>
  <c r="K11" i="84"/>
  <c r="C818" i="84"/>
  <c r="H251" i="84"/>
  <c r="K471" i="84"/>
  <c r="T245" i="84"/>
  <c r="U588" i="84"/>
  <c r="T870" i="84"/>
  <c r="H835" i="84"/>
  <c r="O574" i="84"/>
  <c r="U193" i="84"/>
  <c r="K526" i="84"/>
  <c r="I246" i="84"/>
  <c r="Q913" i="84"/>
  <c r="G264" i="84"/>
  <c r="K117" i="84"/>
  <c r="O918" i="84"/>
  <c r="R855" i="84"/>
  <c r="A831" i="84"/>
  <c r="M146" i="84"/>
  <c r="K638" i="84"/>
  <c r="Y721" i="84"/>
  <c r="H590" i="84"/>
  <c r="U741" i="84"/>
  <c r="H556" i="84"/>
  <c r="U187" i="84"/>
  <c r="L553" i="84"/>
  <c r="J575" i="84"/>
  <c r="M681" i="84"/>
  <c r="C709" i="84"/>
  <c r="I320" i="84"/>
  <c r="K31" i="82"/>
  <c r="A347" i="84"/>
  <c r="Q675" i="84"/>
  <c r="L721" i="84"/>
  <c r="U529" i="84"/>
  <c r="U392" i="84"/>
  <c r="H125" i="84"/>
  <c r="I877" i="84"/>
  <c r="S786" i="84"/>
  <c r="G415" i="84"/>
  <c r="H865" i="84"/>
  <c r="I524" i="84"/>
  <c r="L393" i="84"/>
  <c r="Y756" i="84"/>
  <c r="U927" i="84"/>
  <c r="R600" i="84"/>
  <c r="F800" i="84"/>
  <c r="I406" i="84"/>
  <c r="L144" i="84"/>
  <c r="M142" i="84"/>
  <c r="P369" i="84"/>
  <c r="I255" i="84"/>
  <c r="M848" i="84"/>
  <c r="K788" i="84"/>
  <c r="V383" i="84"/>
  <c r="L70" i="84"/>
  <c r="I741" i="84"/>
  <c r="I598" i="84"/>
  <c r="H45" i="84"/>
  <c r="W338" i="84"/>
  <c r="T616" i="84"/>
  <c r="T653" i="84"/>
  <c r="T765" i="84"/>
  <c r="L61" i="84"/>
  <c r="C881" i="84"/>
  <c r="J589" i="84"/>
  <c r="C110" i="84"/>
  <c r="C866" i="84"/>
  <c r="R219" i="84"/>
  <c r="N189" i="84"/>
  <c r="Q85" i="84"/>
  <c r="M173" i="84"/>
  <c r="C552" i="84"/>
  <c r="X890" i="84"/>
  <c r="K500" i="84"/>
  <c r="A916" i="84"/>
  <c r="O763" i="84"/>
  <c r="L414" i="84"/>
  <c r="M455" i="84"/>
  <c r="G821" i="84"/>
  <c r="I237" i="84"/>
  <c r="H417" i="84"/>
  <c r="AF438" i="84"/>
  <c r="K751" i="84"/>
  <c r="K250" i="84"/>
  <c r="U304" i="84"/>
  <c r="A613" i="84"/>
  <c r="U825" i="84"/>
  <c r="G481" i="84"/>
  <c r="S942" i="84"/>
  <c r="N494" i="84"/>
  <c r="I422" i="84"/>
  <c r="P673" i="84"/>
  <c r="H701" i="84"/>
  <c r="BK26" i="82"/>
  <c r="M866" i="84"/>
  <c r="T483" i="84"/>
  <c r="M310" i="84"/>
  <c r="H222" i="84"/>
  <c r="N297" i="84"/>
  <c r="T415" i="84"/>
  <c r="M110" i="84"/>
  <c r="J156" i="84"/>
  <c r="K624" i="84"/>
  <c r="U294" i="84"/>
  <c r="H520" i="84"/>
  <c r="J959" i="84"/>
  <c r="A673" i="84"/>
  <c r="J411" i="84"/>
  <c r="L654" i="84"/>
  <c r="N274" i="84"/>
  <c r="S252" i="84"/>
  <c r="A896" i="84"/>
  <c r="H344" i="84"/>
  <c r="M941" i="84"/>
  <c r="D440" i="84"/>
  <c r="K743" i="84"/>
  <c r="A230" i="84"/>
  <c r="K677" i="84"/>
  <c r="I516" i="84"/>
  <c r="M76" i="84"/>
  <c r="Q308" i="84"/>
  <c r="H55" i="84"/>
  <c r="Q672" i="84"/>
  <c r="M639" i="84"/>
  <c r="K24" i="84"/>
  <c r="K136" i="84"/>
  <c r="U631" i="84"/>
  <c r="I92" i="84"/>
  <c r="D287" i="84"/>
  <c r="T387" i="84"/>
  <c r="H266" i="84"/>
  <c r="J373" i="84"/>
  <c r="U860" i="84"/>
  <c r="J881" i="84"/>
  <c r="M292" i="84"/>
  <c r="L728" i="84"/>
  <c r="Q150" i="84"/>
  <c r="J115" i="84"/>
  <c r="U246" i="84"/>
  <c r="A681" i="84"/>
  <c r="F675" i="84"/>
  <c r="N963" i="84"/>
  <c r="I80" i="84"/>
  <c r="T701" i="84"/>
  <c r="A783" i="84"/>
  <c r="L492" i="84"/>
  <c r="M640" i="84"/>
  <c r="I621" i="84"/>
  <c r="U806" i="84"/>
  <c r="S457" i="84"/>
  <c r="T958" i="84"/>
  <c r="Q423" i="84"/>
  <c r="D125" i="84"/>
  <c r="G443" i="84"/>
  <c r="U328" i="84"/>
  <c r="J522" i="84"/>
  <c r="N9" i="84"/>
  <c r="G572" i="84"/>
  <c r="H881" i="84"/>
  <c r="S330" i="84"/>
  <c r="U853" i="84"/>
  <c r="J685" i="84"/>
  <c r="A695" i="84"/>
  <c r="L693" i="84"/>
  <c r="P200" i="84"/>
  <c r="P340" i="84"/>
  <c r="N952" i="84"/>
  <c r="K783" i="84"/>
  <c r="I615" i="84"/>
  <c r="N658" i="84"/>
  <c r="R481" i="84"/>
  <c r="K731" i="84"/>
  <c r="U747" i="84"/>
  <c r="F537" i="84"/>
  <c r="E163" i="84"/>
  <c r="T349" i="84"/>
  <c r="L958" i="84"/>
  <c r="G432" i="84"/>
  <c r="AZ7" i="82"/>
  <c r="T963" i="84"/>
  <c r="J153" i="84"/>
  <c r="H659" i="84"/>
  <c r="G266" i="84"/>
  <c r="M291" i="84"/>
  <c r="Z511" i="84"/>
  <c r="H558" i="84"/>
  <c r="O117" i="84"/>
  <c r="X105" i="84"/>
  <c r="U257" i="84"/>
  <c r="L222" i="84"/>
  <c r="K562" i="84"/>
  <c r="M597" i="84"/>
  <c r="G523" i="84"/>
  <c r="U12" i="84"/>
  <c r="AF579" i="84"/>
  <c r="L786" i="84"/>
  <c r="O524" i="84"/>
  <c r="G877" i="84"/>
  <c r="R249" i="84"/>
  <c r="I423" i="84"/>
  <c r="T187" i="84"/>
  <c r="L329" i="84"/>
  <c r="L652" i="84"/>
  <c r="U118" i="84"/>
  <c r="M625" i="84"/>
  <c r="N441" i="84"/>
  <c r="U576" i="84"/>
  <c r="H29" i="84"/>
  <c r="M321" i="84"/>
  <c r="H497" i="84"/>
  <c r="T37" i="84"/>
  <c r="H617" i="84"/>
  <c r="S402" i="84"/>
  <c r="Q345" i="84"/>
  <c r="N128" i="84"/>
  <c r="U487" i="84"/>
  <c r="O894" i="84"/>
  <c r="E818" i="84"/>
  <c r="P577" i="84"/>
  <c r="U795" i="84"/>
  <c r="M636" i="84"/>
  <c r="R891" i="84"/>
  <c r="P620" i="84"/>
  <c r="U582" i="84"/>
  <c r="M861" i="84"/>
  <c r="G269" i="84"/>
  <c r="S902" i="84"/>
  <c r="I853" i="84"/>
  <c r="S177" i="84"/>
  <c r="G806" i="84"/>
  <c r="O811" i="84"/>
  <c r="X570" i="84"/>
  <c r="M633" i="84"/>
  <c r="R125" i="84"/>
  <c r="A571" i="84"/>
  <c r="G331" i="84"/>
  <c r="U598" i="84"/>
  <c r="S379" i="84"/>
  <c r="A531" i="84"/>
  <c r="A30" i="84"/>
  <c r="T141" i="84"/>
  <c r="M713" i="84"/>
  <c r="J107" i="84"/>
  <c r="A900" i="84"/>
  <c r="M226" i="84"/>
  <c r="Y545" i="84"/>
  <c r="H729" i="84"/>
  <c r="P387" i="84"/>
  <c r="T96" i="84"/>
  <c r="T482" i="84"/>
  <c r="R612" i="84"/>
  <c r="S821" i="84"/>
  <c r="K885" i="84"/>
  <c r="Q693" i="84"/>
  <c r="Q229" i="84"/>
  <c r="K439" i="84"/>
  <c r="H566" i="84"/>
  <c r="M345" i="84"/>
  <c r="P626" i="84"/>
  <c r="T163" i="84"/>
  <c r="O529" i="84"/>
  <c r="A516" i="84"/>
  <c r="T776" i="84"/>
  <c r="H296" i="84"/>
  <c r="H415" i="84"/>
  <c r="Z160" i="84"/>
  <c r="I856" i="84"/>
  <c r="J660" i="84"/>
  <c r="J519" i="84"/>
  <c r="D475" i="84"/>
  <c r="E713" i="84"/>
  <c r="H248" i="84"/>
  <c r="Q868" i="84"/>
  <c r="G575" i="84"/>
  <c r="A858" i="84"/>
  <c r="G383" i="84"/>
  <c r="J708" i="84"/>
  <c r="H188" i="84"/>
  <c r="A237" i="84"/>
  <c r="T375" i="84"/>
  <c r="K441" i="84"/>
  <c r="P511" i="84"/>
  <c r="O81" i="84"/>
  <c r="H784" i="84"/>
  <c r="Q249" i="84"/>
  <c r="M894" i="84"/>
  <c r="X530" i="84"/>
  <c r="R911" i="84"/>
  <c r="R738" i="84"/>
  <c r="C853" i="84"/>
  <c r="J534" i="84"/>
  <c r="A415" i="84"/>
  <c r="L673" i="84"/>
  <c r="R871" i="84"/>
  <c r="I413" i="84"/>
  <c r="J41" i="84"/>
  <c r="P92" i="84"/>
  <c r="M234" i="84"/>
  <c r="P570" i="84"/>
  <c r="P797" i="84"/>
  <c r="N851" i="84"/>
  <c r="J690" i="84"/>
  <c r="L480" i="84"/>
  <c r="Z381" i="84"/>
  <c r="I24" i="82"/>
  <c r="E891" i="84"/>
  <c r="E466" i="84"/>
  <c r="L254" i="84"/>
  <c r="T437" i="84"/>
  <c r="V504" i="84"/>
  <c r="T395" i="84"/>
  <c r="H376" i="84"/>
  <c r="J208" i="84"/>
  <c r="K162" i="84"/>
  <c r="F10" i="84"/>
  <c r="Z484" i="84"/>
  <c r="P120" i="84"/>
  <c r="T795" i="84"/>
  <c r="M752" i="84"/>
  <c r="L117" i="84"/>
  <c r="T228" i="84"/>
  <c r="H526" i="84"/>
  <c r="M395" i="84"/>
  <c r="F611" i="84"/>
  <c r="J739" i="84"/>
  <c r="Z284" i="84"/>
  <c r="T599" i="84"/>
  <c r="AA278" i="84"/>
  <c r="H712" i="84"/>
  <c r="Q529" i="84"/>
  <c r="Q896" i="84"/>
  <c r="M372" i="84"/>
  <c r="Z59" i="84"/>
  <c r="O433" i="84"/>
  <c r="AA396" i="84"/>
  <c r="D847" i="84"/>
  <c r="M98" i="84"/>
  <c r="S358" i="84"/>
  <c r="Z96" i="84"/>
  <c r="R228" i="84"/>
  <c r="Q711" i="84"/>
  <c r="C445" i="84"/>
  <c r="E413" i="84"/>
  <c r="L353" i="84"/>
  <c r="H82" i="84"/>
  <c r="E951" i="84"/>
  <c r="V630" i="84"/>
  <c r="Q294" i="84"/>
  <c r="R77" i="84"/>
  <c r="Q841" i="84"/>
  <c r="G908" i="84"/>
  <c r="AA67" i="84"/>
  <c r="U554" i="84"/>
  <c r="T433" i="84"/>
  <c r="I919" i="84"/>
  <c r="S106" i="84"/>
  <c r="J159" i="84"/>
  <c r="N549" i="84"/>
  <c r="H86" i="84"/>
  <c r="T149" i="84"/>
  <c r="Q169" i="84"/>
  <c r="T81" i="84"/>
  <c r="T965" i="84"/>
  <c r="E338" i="84"/>
  <c r="G122" i="84"/>
  <c r="M180" i="84"/>
  <c r="U47" i="84"/>
  <c r="M502" i="84"/>
  <c r="A894" i="84"/>
  <c r="Z370" i="84"/>
  <c r="Q431" i="84"/>
  <c r="G139" i="84"/>
  <c r="E904" i="84"/>
  <c r="G32" i="82"/>
  <c r="S32" i="84"/>
  <c r="AH19" i="82"/>
  <c r="F117" i="84"/>
  <c r="S100" i="84"/>
  <c r="Q363" i="84"/>
  <c r="I498" i="84"/>
  <c r="S254" i="84"/>
  <c r="Q332" i="84"/>
  <c r="R838" i="84"/>
  <c r="I782" i="84"/>
  <c r="M411" i="84"/>
  <c r="U622" i="84"/>
  <c r="Q323" i="84"/>
  <c r="J682" i="84"/>
  <c r="I270" i="84"/>
  <c r="V137" i="84"/>
  <c r="D904" i="84"/>
  <c r="M609" i="84"/>
  <c r="I650" i="84"/>
  <c r="K759" i="84"/>
  <c r="G412" i="84"/>
  <c r="Q742" i="84"/>
  <c r="U815" i="84"/>
  <c r="R207" i="84"/>
  <c r="U836" i="84"/>
  <c r="M791" i="84"/>
  <c r="D284" i="84"/>
  <c r="Q416" i="84"/>
  <c r="N105" i="84"/>
  <c r="H228" i="84"/>
  <c r="C505" i="84"/>
  <c r="H660" i="84"/>
  <c r="S679" i="84"/>
  <c r="Q521" i="84"/>
  <c r="T909" i="84"/>
  <c r="N369" i="84"/>
  <c r="W940" i="84"/>
  <c r="H352" i="84"/>
  <c r="H491" i="84"/>
  <c r="T553" i="84"/>
  <c r="T530" i="84"/>
  <c r="T101" i="84"/>
  <c r="S592" i="84"/>
  <c r="M637" i="84"/>
  <c r="M129" i="84"/>
  <c r="U551" i="84"/>
  <c r="B29" i="82"/>
  <c r="L262" i="84"/>
  <c r="G934" i="84"/>
  <c r="S492" i="84"/>
  <c r="Y560" i="84"/>
  <c r="S75" i="84"/>
  <c r="O471" i="84"/>
  <c r="F810" i="84"/>
  <c r="P445" i="84"/>
  <c r="L964" i="84"/>
  <c r="F715" i="84"/>
  <c r="S593" i="84"/>
  <c r="K323" i="84"/>
  <c r="I399" i="84"/>
  <c r="S677" i="84"/>
  <c r="G732" i="84"/>
  <c r="G308" i="84"/>
  <c r="K518" i="84"/>
  <c r="S143" i="84"/>
  <c r="K189" i="84"/>
  <c r="H446" i="84"/>
  <c r="J663" i="84"/>
  <c r="U710" i="84"/>
  <c r="R758" i="84"/>
  <c r="S458" i="84"/>
  <c r="M147" i="84"/>
  <c r="N169" i="84"/>
  <c r="M266" i="84"/>
  <c r="P20" i="82"/>
  <c r="T912" i="84"/>
  <c r="K51" i="84"/>
  <c r="L810" i="84"/>
  <c r="P763" i="84"/>
  <c r="E544" i="84"/>
  <c r="R647" i="84"/>
  <c r="A833" i="84"/>
  <c r="U75" i="84"/>
  <c r="N188" i="84"/>
  <c r="T775" i="84"/>
  <c r="M54" i="84"/>
  <c r="J102" i="84"/>
  <c r="K38" i="84"/>
  <c r="G835" i="84"/>
  <c r="L178" i="84"/>
  <c r="S137" i="84"/>
  <c r="A652" i="84"/>
  <c r="P741" i="84"/>
  <c r="E40" i="84"/>
  <c r="K358" i="84"/>
  <c r="S767" i="84"/>
  <c r="K706" i="84"/>
  <c r="F558" i="84"/>
  <c r="K352" i="84"/>
  <c r="O58" i="84"/>
  <c r="H781" i="84"/>
  <c r="M549" i="84"/>
  <c r="P469" i="84"/>
  <c r="F539" i="84"/>
  <c r="L856" i="84"/>
  <c r="A868" i="84"/>
  <c r="H864" i="84"/>
  <c r="A747" i="84"/>
  <c r="AA683" i="84"/>
  <c r="Q153" i="84"/>
  <c r="L874" i="84"/>
  <c r="X385" i="84"/>
  <c r="M118" i="84"/>
  <c r="P88" i="84"/>
  <c r="L147" i="84"/>
  <c r="P347" i="84"/>
  <c r="U130" i="84"/>
  <c r="F267" i="84"/>
  <c r="A945" i="84"/>
  <c r="F101" i="84"/>
  <c r="Y377" i="84"/>
  <c r="H423" i="84"/>
  <c r="AA745" i="84"/>
  <c r="C401" i="84"/>
  <c r="T794" i="84"/>
  <c r="U390" i="84"/>
  <c r="U777" i="84"/>
  <c r="P488" i="84"/>
  <c r="Q733" i="84"/>
  <c r="H41" i="82"/>
  <c r="U902" i="84"/>
  <c r="O663" i="84"/>
  <c r="L25" i="84"/>
  <c r="L790" i="84"/>
  <c r="J362" i="84"/>
  <c r="L363" i="84"/>
  <c r="E251" i="84"/>
  <c r="M891" i="84"/>
  <c r="J653" i="84"/>
  <c r="O407" i="84"/>
  <c r="E93" i="84"/>
  <c r="L371" i="84"/>
  <c r="L646" i="84"/>
  <c r="H241" i="84"/>
  <c r="F574" i="84"/>
  <c r="W808" i="84"/>
  <c r="R869" i="84"/>
  <c r="I551" i="84"/>
  <c r="T727" i="84"/>
  <c r="K651" i="84"/>
  <c r="R652" i="84"/>
  <c r="U780" i="84"/>
  <c r="T17" i="84"/>
  <c r="O869" i="84"/>
  <c r="Q261" i="84"/>
  <c r="J409" i="84"/>
  <c r="L814" i="84"/>
  <c r="L369" i="84"/>
  <c r="S119" i="84"/>
  <c r="J878" i="84"/>
  <c r="L951" i="84"/>
  <c r="L538" i="84"/>
  <c r="L881" i="84"/>
  <c r="U692" i="84"/>
  <c r="U755" i="84"/>
  <c r="Q943" i="84"/>
  <c r="U56" i="84"/>
  <c r="X351" i="84"/>
  <c r="T22" i="84"/>
  <c r="R948" i="84"/>
  <c r="T446" i="84"/>
  <c r="BK14" i="82"/>
  <c r="M602" i="84"/>
  <c r="AF421" i="84"/>
  <c r="T175" i="84"/>
  <c r="V613" i="84"/>
  <c r="P580" i="84"/>
  <c r="C496" i="84"/>
  <c r="AF575" i="84"/>
  <c r="U268" i="84"/>
  <c r="O672" i="84"/>
  <c r="K767" i="84"/>
  <c r="I848" i="84"/>
  <c r="O635" i="84"/>
  <c r="C186" i="84"/>
  <c r="M271" i="84"/>
  <c r="T846" i="84"/>
  <c r="O490" i="84"/>
  <c r="J480" i="84"/>
  <c r="K924" i="84"/>
  <c r="L445" i="84"/>
  <c r="O249" i="84"/>
  <c r="H132" i="84"/>
  <c r="H265" i="84"/>
  <c r="J903" i="84"/>
  <c r="D540" i="84"/>
  <c r="K194" i="84"/>
  <c r="U488" i="84"/>
  <c r="R744" i="84"/>
  <c r="A871" i="84"/>
  <c r="X361" i="84"/>
  <c r="R890" i="84"/>
  <c r="N82" i="84"/>
  <c r="K333" i="84"/>
  <c r="S454" i="84"/>
  <c r="T257" i="84"/>
  <c r="R406" i="84"/>
  <c r="U322" i="84"/>
  <c r="Q191" i="84"/>
  <c r="L258" i="84"/>
  <c r="R434" i="84"/>
  <c r="P696" i="84"/>
  <c r="P182" i="84"/>
  <c r="C679" i="84"/>
  <c r="E547" i="84"/>
  <c r="H855" i="84"/>
  <c r="Q535" i="84"/>
  <c r="U761" i="84"/>
  <c r="F168" i="84"/>
  <c r="P471" i="84"/>
  <c r="Q605" i="84"/>
  <c r="H569" i="84"/>
  <c r="M746" i="84"/>
  <c r="AC27" i="82"/>
  <c r="AV30" i="82"/>
  <c r="Q921" i="84"/>
  <c r="S405" i="84"/>
  <c r="L932" i="84"/>
  <c r="O617" i="84"/>
  <c r="O607" i="84"/>
  <c r="S943" i="84"/>
  <c r="G838" i="84"/>
  <c r="AA917" i="84"/>
  <c r="F12" i="82"/>
  <c r="E857" i="84"/>
  <c r="G638" i="84"/>
  <c r="AA648" i="84"/>
  <c r="Q572" i="84"/>
  <c r="X203" i="84"/>
  <c r="H403" i="84"/>
  <c r="G238" i="84"/>
  <c r="Q777" i="84"/>
  <c r="G868" i="84"/>
  <c r="O49" i="84"/>
  <c r="T500" i="84"/>
  <c r="J705" i="84"/>
  <c r="F647" i="84"/>
  <c r="T428" i="84"/>
  <c r="N641" i="84"/>
  <c r="O768" i="84"/>
  <c r="G494" i="84"/>
  <c r="G875" i="84"/>
  <c r="G344" i="84"/>
  <c r="F594" i="84"/>
  <c r="AZ12" i="82"/>
  <c r="E23" i="84"/>
  <c r="K392" i="84"/>
  <c r="L406" i="84"/>
  <c r="Q648" i="84"/>
  <c r="Q653" i="84"/>
  <c r="D280" i="84"/>
  <c r="U510" i="84"/>
  <c r="R649" i="84"/>
  <c r="Q537" i="84"/>
  <c r="S217" i="84"/>
  <c r="Z260" i="84"/>
  <c r="S365" i="84"/>
  <c r="J236" i="84"/>
  <c r="S183" i="84"/>
  <c r="E786" i="84"/>
  <c r="L517" i="84"/>
  <c r="I850" i="84"/>
  <c r="A708" i="84"/>
  <c r="R552" i="84"/>
  <c r="P220" i="84"/>
  <c r="D111" i="84"/>
  <c r="S766" i="84"/>
  <c r="H560" i="84"/>
  <c r="P628" i="84"/>
  <c r="I367" i="84"/>
  <c r="A529" i="84"/>
  <c r="K98" i="84"/>
  <c r="T536" i="84"/>
  <c r="Q48" i="84"/>
  <c r="H755" i="84"/>
  <c r="N212" i="84"/>
  <c r="R366" i="84"/>
  <c r="R957" i="84"/>
  <c r="R950" i="84"/>
  <c r="L495" i="84"/>
  <c r="Q381" i="84"/>
  <c r="T139" i="84"/>
  <c r="H298" i="84"/>
  <c r="U662" i="84"/>
  <c r="Q250" i="84"/>
  <c r="D717" i="84"/>
  <c r="J611" i="84"/>
  <c r="P573" i="84"/>
  <c r="C846" i="84"/>
  <c r="W34" i="84"/>
  <c r="BC14" i="82"/>
  <c r="H233" i="84"/>
  <c r="E820" i="84"/>
  <c r="V276" i="84"/>
  <c r="Q644" i="84"/>
  <c r="L680" i="84"/>
  <c r="O225" i="84"/>
  <c r="J920" i="84"/>
  <c r="D713" i="84"/>
  <c r="D447" i="84"/>
  <c r="L481" i="84"/>
  <c r="J239" i="84"/>
  <c r="C300" i="84"/>
  <c r="M498" i="84"/>
  <c r="P651" i="84"/>
  <c r="L945" i="84"/>
  <c r="P764" i="84"/>
  <c r="U55" i="84"/>
  <c r="U296" i="84"/>
  <c r="AA505" i="84"/>
  <c r="N400" i="84"/>
  <c r="T898" i="84"/>
  <c r="Q581" i="84"/>
  <c r="L965" i="84"/>
  <c r="S86" i="84"/>
  <c r="H664" i="84"/>
  <c r="E804" i="84"/>
  <c r="H651" i="84"/>
  <c r="P929" i="84"/>
  <c r="G617" i="84"/>
  <c r="K843" i="84"/>
  <c r="K591" i="84"/>
  <c r="W281" i="84"/>
  <c r="X331" i="84"/>
  <c r="J724" i="84"/>
  <c r="S645" i="84"/>
  <c r="H917" i="84"/>
  <c r="D509" i="84"/>
  <c r="R147" i="84"/>
  <c r="J907" i="84"/>
  <c r="C286" i="84"/>
  <c r="G424" i="84"/>
  <c r="AF490" i="84"/>
  <c r="A807" i="84"/>
  <c r="H267" i="84"/>
  <c r="H761" i="84"/>
  <c r="T949" i="84"/>
  <c r="M838" i="84"/>
  <c r="T643" i="84"/>
  <c r="E598" i="84"/>
  <c r="U870" i="84"/>
  <c r="Z512" i="84"/>
  <c r="G125" i="84"/>
  <c r="X965" i="84"/>
  <c r="S737" i="84"/>
  <c r="N736" i="84"/>
  <c r="U372" i="84"/>
  <c r="U350" i="84"/>
  <c r="O234" i="84"/>
  <c r="K216" i="84"/>
  <c r="R289" i="84"/>
  <c r="M93" i="84"/>
  <c r="Q607" i="84"/>
  <c r="S304" i="84"/>
  <c r="O328" i="84"/>
  <c r="T743" i="84"/>
  <c r="AF653" i="84"/>
  <c r="E707" i="84"/>
  <c r="V329" i="84"/>
  <c r="T276" i="84"/>
  <c r="R123" i="84"/>
  <c r="Z651" i="84"/>
  <c r="M27" i="84"/>
  <c r="T877" i="84"/>
  <c r="H194" i="84"/>
  <c r="U791" i="84"/>
  <c r="U658" i="84"/>
  <c r="R683" i="84"/>
  <c r="Q328" i="84"/>
  <c r="F509" i="84"/>
  <c r="H724" i="84"/>
  <c r="S490" i="84"/>
  <c r="O227" i="84"/>
  <c r="T740" i="84"/>
  <c r="S221" i="84"/>
  <c r="M794" i="84"/>
  <c r="S91" i="84"/>
  <c r="S206" i="84"/>
  <c r="Q788" i="84"/>
  <c r="J245" i="84"/>
  <c r="K147" i="84"/>
  <c r="P483" i="84"/>
  <c r="A389" i="84"/>
  <c r="Y840" i="84"/>
  <c r="H593" i="84"/>
  <c r="P227" i="84"/>
  <c r="AO34" i="82"/>
  <c r="M275" i="84"/>
  <c r="L80" i="84"/>
  <c r="M610" i="84"/>
  <c r="AA144" i="84"/>
  <c r="H505" i="84"/>
  <c r="A413" i="84"/>
  <c r="P25" i="84"/>
  <c r="A776" i="84"/>
  <c r="N33" i="84"/>
  <c r="I194" i="84"/>
  <c r="C795" i="84"/>
  <c r="H247" i="84"/>
  <c r="I489" i="84"/>
  <c r="BZ34" i="82"/>
  <c r="F128" i="84"/>
  <c r="S510" i="84"/>
  <c r="A149" i="84"/>
  <c r="P523" i="84"/>
  <c r="K836" i="84"/>
  <c r="J525" i="84"/>
  <c r="M340" i="84"/>
  <c r="S324" i="84"/>
  <c r="M268" i="84"/>
  <c r="L428" i="84"/>
  <c r="J679" i="84"/>
  <c r="Z457" i="84"/>
  <c r="M568" i="84"/>
  <c r="U269" i="84"/>
  <c r="L397" i="84"/>
  <c r="R782" i="84"/>
  <c r="X659" i="84"/>
  <c r="F612" i="84"/>
  <c r="Z286" i="84"/>
  <c r="Q347" i="84"/>
  <c r="O326" i="84"/>
  <c r="R643" i="84"/>
  <c r="M888" i="84"/>
  <c r="S722" i="84"/>
  <c r="O35" i="84"/>
  <c r="Q697" i="84"/>
  <c r="P688" i="84"/>
  <c r="J374" i="84"/>
  <c r="O691" i="84"/>
  <c r="H264" i="84"/>
  <c r="O33" i="82"/>
  <c r="J450" i="84"/>
  <c r="A668" i="84"/>
  <c r="Z521" i="84"/>
  <c r="H715" i="84"/>
  <c r="M262" i="84"/>
  <c r="AA932" i="84"/>
  <c r="A597" i="84"/>
  <c r="T15" i="84"/>
  <c r="S698" i="84"/>
  <c r="G548" i="84"/>
  <c r="F494" i="84"/>
  <c r="M460" i="84"/>
  <c r="AA202" i="84"/>
  <c r="U233" i="84"/>
  <c r="M464" i="84"/>
  <c r="J378" i="84"/>
  <c r="H610" i="84"/>
  <c r="H918" i="84"/>
  <c r="T792" i="84"/>
  <c r="T677" i="84"/>
  <c r="Z554" i="84"/>
  <c r="AA842" i="84"/>
  <c r="I866" i="84"/>
  <c r="O498" i="84"/>
  <c r="U848" i="84"/>
  <c r="Y323" i="84"/>
  <c r="H408" i="84"/>
  <c r="J774" i="84"/>
  <c r="J316" i="84"/>
  <c r="V302" i="84"/>
  <c r="L334" i="84"/>
  <c r="S51" i="84"/>
  <c r="N350" i="84"/>
  <c r="T119" i="84"/>
  <c r="G210" i="84"/>
  <c r="R678" i="84"/>
  <c r="X540" i="84"/>
  <c r="C589" i="84"/>
  <c r="U523" i="84"/>
  <c r="Q384" i="84"/>
  <c r="E895" i="84"/>
  <c r="A565" i="84"/>
  <c r="P876" i="84"/>
  <c r="R250" i="84"/>
  <c r="X792" i="84"/>
  <c r="R82" i="84"/>
  <c r="Q630" i="84"/>
  <c r="E678" i="84"/>
  <c r="K185" i="84"/>
  <c r="A153" i="84"/>
  <c r="E610" i="84"/>
  <c r="L664" i="84"/>
  <c r="Q23" i="84"/>
  <c r="N115" i="84"/>
  <c r="G285" i="84"/>
  <c r="K685" i="84"/>
  <c r="J789" i="84"/>
  <c r="O285" i="84"/>
  <c r="N367" i="84"/>
  <c r="E609" i="84"/>
  <c r="P78" i="84"/>
  <c r="U310" i="84"/>
  <c r="P243" i="84"/>
  <c r="U712" i="84"/>
  <c r="M91" i="84"/>
  <c r="L604" i="84"/>
  <c r="M50" i="84"/>
  <c r="T56" i="84"/>
  <c r="A423" i="84"/>
  <c r="L399" i="84"/>
  <c r="J771" i="84"/>
  <c r="D211" i="84"/>
  <c r="T927" i="84"/>
  <c r="L50" i="84"/>
  <c r="M755" i="84"/>
  <c r="R263" i="84"/>
  <c r="T151" i="84"/>
  <c r="A663" i="84"/>
  <c r="H238" i="84"/>
  <c r="T213" i="84"/>
  <c r="H853" i="84"/>
  <c r="I794" i="84"/>
  <c r="Q447" i="84"/>
  <c r="T359" i="84"/>
  <c r="M288" i="84"/>
  <c r="M60" i="84"/>
  <c r="I549" i="84"/>
  <c r="D395" i="84"/>
  <c r="Q925" i="84"/>
  <c r="C948" i="84"/>
  <c r="M689" i="84"/>
  <c r="O859" i="84"/>
  <c r="U500" i="84"/>
  <c r="K809" i="84"/>
  <c r="I921" i="84"/>
  <c r="R456" i="84"/>
  <c r="C926" i="84"/>
  <c r="I363" i="84"/>
  <c r="Z628" i="84"/>
  <c r="H308" i="84"/>
  <c r="N53" i="84"/>
  <c r="L536" i="84"/>
  <c r="S82" i="84"/>
  <c r="C324" i="84"/>
  <c r="I361" i="84"/>
  <c r="R337" i="84"/>
  <c r="H571" i="84"/>
  <c r="G939" i="84"/>
  <c r="O579" i="84"/>
  <c r="L630" i="84"/>
  <c r="H778" i="84"/>
  <c r="C827" i="84"/>
  <c r="T871" i="84"/>
  <c r="G180" i="84"/>
  <c r="R734" i="84"/>
  <c r="S220" i="84"/>
  <c r="R474" i="84"/>
  <c r="K910" i="84"/>
  <c r="G909" i="84"/>
  <c r="H549" i="84"/>
  <c r="U393" i="84"/>
  <c r="O465" i="84"/>
  <c r="G137" i="84"/>
  <c r="O169" i="84"/>
  <c r="A644" i="84"/>
  <c r="L625" i="84"/>
  <c r="P792" i="84"/>
  <c r="R403" i="84"/>
  <c r="R467" i="84"/>
  <c r="M195" i="84"/>
  <c r="T874" i="84"/>
  <c r="N455" i="84"/>
  <c r="S305" i="84"/>
  <c r="Q679" i="84"/>
  <c r="O307" i="84"/>
  <c r="O496" i="84"/>
  <c r="S339" i="84"/>
  <c r="E778" i="84"/>
  <c r="T716" i="84"/>
  <c r="A782" i="84"/>
  <c r="L905" i="84"/>
  <c r="G641" i="84"/>
  <c r="J114" i="84"/>
  <c r="T479" i="84"/>
  <c r="V378" i="84"/>
  <c r="AA174" i="84"/>
  <c r="F355" i="84"/>
  <c r="L488" i="84"/>
  <c r="L20" i="82"/>
  <c r="H488" i="84"/>
  <c r="Q360" i="84"/>
  <c r="Q540" i="84"/>
  <c r="W279" i="84"/>
  <c r="U142" i="84"/>
  <c r="T217" i="84"/>
  <c r="G259" i="84"/>
  <c r="U213" i="84"/>
  <c r="L948" i="84"/>
  <c r="U545" i="84"/>
  <c r="F544" i="84"/>
  <c r="AV45" i="82"/>
  <c r="C677" i="84"/>
  <c r="U391" i="84"/>
  <c r="AF938" i="84"/>
  <c r="R894" i="84"/>
  <c r="T668" i="84"/>
  <c r="S255" i="84"/>
  <c r="F499" i="84"/>
  <c r="U580" i="84"/>
  <c r="L578" i="84"/>
  <c r="A245" i="84"/>
  <c r="E261" i="84"/>
  <c r="V871" i="84"/>
  <c r="G765" i="84"/>
  <c r="R67" i="84"/>
  <c r="G859" i="84"/>
  <c r="R942" i="84"/>
  <c r="J901" i="84"/>
  <c r="D856" i="84"/>
  <c r="K934" i="84"/>
  <c r="K102" i="84"/>
  <c r="AT29" i="82"/>
  <c r="Y941" i="84"/>
  <c r="H694" i="84"/>
  <c r="L207" i="84"/>
  <c r="C704" i="84"/>
  <c r="K270" i="84"/>
  <c r="R31" i="84"/>
  <c r="H225" i="84"/>
  <c r="R457" i="84"/>
  <c r="H732" i="84"/>
  <c r="L208" i="84"/>
  <c r="J302" i="84"/>
  <c r="T425" i="84"/>
  <c r="H338" i="84"/>
  <c r="T265" i="84"/>
  <c r="R164" i="84"/>
  <c r="M377" i="84"/>
  <c r="Y118" i="84"/>
  <c r="Z913" i="84"/>
  <c r="Q180" i="84"/>
  <c r="O303" i="84"/>
  <c r="J750" i="84"/>
  <c r="N544" i="84"/>
  <c r="C278" i="84"/>
  <c r="T107" i="84"/>
  <c r="E817" i="84"/>
  <c r="I495" i="84"/>
  <c r="H268" i="84"/>
  <c r="U343" i="84"/>
  <c r="N10" i="84"/>
  <c r="K577" i="84"/>
  <c r="J523" i="84"/>
  <c r="T487" i="84"/>
  <c r="M690" i="84"/>
  <c r="Q318" i="84"/>
  <c r="D494" i="84"/>
  <c r="O74" i="84"/>
  <c r="F461" i="84"/>
  <c r="S310" i="84"/>
  <c r="G660" i="84"/>
  <c r="J917" i="84"/>
  <c r="H367" i="84"/>
  <c r="L618" i="84"/>
  <c r="AA551" i="84"/>
  <c r="N726" i="84"/>
  <c r="L366" i="84"/>
  <c r="S267" i="84"/>
  <c r="T695" i="84"/>
  <c r="W30" i="84"/>
  <c r="L186" i="84"/>
  <c r="M333" i="84"/>
  <c r="V740" i="84"/>
  <c r="J68" i="84"/>
  <c r="J893" i="84"/>
  <c r="K244" i="84"/>
  <c r="BD43" i="82"/>
  <c r="N472" i="84"/>
  <c r="G306" i="84"/>
  <c r="AM39" i="82"/>
  <c r="R64" i="84"/>
  <c r="O806" i="84"/>
  <c r="H293" i="84"/>
  <c r="V522" i="84"/>
  <c r="N620" i="84"/>
  <c r="S430" i="84"/>
  <c r="P694" i="84"/>
  <c r="U572" i="84"/>
  <c r="Y633" i="84"/>
  <c r="O192" i="84"/>
  <c r="N339" i="84"/>
  <c r="U517" i="84"/>
  <c r="H950" i="84"/>
  <c r="Z488" i="84"/>
  <c r="E377" i="84"/>
  <c r="F470" i="84"/>
  <c r="J581" i="84"/>
  <c r="U832" i="84"/>
  <c r="K239" i="84"/>
  <c r="AA814" i="84"/>
  <c r="S536" i="84"/>
  <c r="Q463" i="84"/>
  <c r="P820" i="84"/>
  <c r="U366" i="84"/>
  <c r="J689" i="84"/>
  <c r="H263" i="84"/>
  <c r="H795" i="84"/>
  <c r="R101" i="84"/>
  <c r="T178" i="84"/>
  <c r="E275" i="84"/>
  <c r="P11" i="84"/>
  <c r="L309" i="84"/>
  <c r="H645" i="84"/>
  <c r="H412" i="84"/>
  <c r="M434" i="84"/>
  <c r="W921" i="84"/>
  <c r="R908" i="84"/>
  <c r="S648" i="84"/>
  <c r="J683" i="84"/>
  <c r="T796" i="84"/>
  <c r="P838" i="84"/>
  <c r="X609" i="84"/>
  <c r="I271" i="84"/>
  <c r="AA752" i="84"/>
  <c r="W460" i="84"/>
  <c r="H437" i="84"/>
  <c r="S24" i="84"/>
  <c r="H499" i="84"/>
  <c r="R964" i="84"/>
  <c r="T118" i="84"/>
  <c r="H330" i="84"/>
  <c r="X238" i="84"/>
  <c r="L41" i="84"/>
  <c r="G379" i="84"/>
  <c r="K798" i="84"/>
  <c r="L853" i="84"/>
  <c r="M21" i="84"/>
  <c r="O854" i="84"/>
  <c r="A869" i="84"/>
  <c r="T798" i="84"/>
  <c r="J627" i="84"/>
  <c r="Q801" i="84"/>
  <c r="Q577" i="84"/>
  <c r="L637" i="84"/>
  <c r="T812" i="84"/>
  <c r="M706" i="84"/>
  <c r="V235" i="84"/>
  <c r="N244" i="84"/>
  <c r="S35" i="82"/>
  <c r="O624" i="84"/>
  <c r="O342" i="84"/>
  <c r="E939" i="84"/>
  <c r="I94" i="84"/>
  <c r="J246" i="84"/>
  <c r="H844" i="84"/>
  <c r="Q199" i="84"/>
  <c r="J686" i="84"/>
  <c r="F618" i="84"/>
  <c r="D828" i="84"/>
  <c r="R668" i="84"/>
  <c r="P433" i="84"/>
  <c r="A124" i="84"/>
  <c r="J32" i="84"/>
  <c r="K826" i="84"/>
  <c r="I280" i="84"/>
  <c r="L152" i="84"/>
  <c r="U78" i="84"/>
  <c r="O922" i="84"/>
  <c r="K570" i="84"/>
  <c r="O913" i="84"/>
  <c r="F464" i="84"/>
  <c r="J366" i="84"/>
  <c r="B16" i="82"/>
  <c r="Q52" i="84"/>
  <c r="T431" i="84"/>
  <c r="E330" i="84"/>
  <c r="Q725" i="84"/>
  <c r="K583" i="84"/>
  <c r="Z778" i="84"/>
  <c r="U361" i="84"/>
  <c r="A161" i="84"/>
  <c r="K15" i="84"/>
  <c r="U892" i="84"/>
  <c r="L496" i="84"/>
  <c r="M808" i="84"/>
  <c r="H10" i="84"/>
  <c r="AH9" i="82"/>
  <c r="AF190" i="84"/>
  <c r="D117" i="84"/>
  <c r="K758" i="84"/>
  <c r="L887" i="84"/>
  <c r="H328" i="84"/>
  <c r="H722" i="84"/>
  <c r="M194" i="84"/>
  <c r="H280" i="84"/>
  <c r="R692" i="84"/>
  <c r="T273" i="84"/>
  <c r="S211" i="84"/>
  <c r="T663" i="84"/>
  <c r="I680" i="84"/>
  <c r="K130" i="84"/>
  <c r="U259" i="84"/>
  <c r="F607" i="84"/>
  <c r="U555" i="84"/>
  <c r="U646" i="84"/>
  <c r="L71" i="84"/>
  <c r="O486" i="84"/>
  <c r="S728" i="84"/>
  <c r="P482" i="84"/>
  <c r="U602" i="84"/>
  <c r="T102" i="84"/>
  <c r="K675" i="84"/>
  <c r="S291" i="84"/>
  <c r="J338" i="84"/>
  <c r="T336" i="84"/>
  <c r="K295" i="84"/>
  <c r="U604" i="84"/>
  <c r="O149" i="84"/>
  <c r="Q588" i="84"/>
  <c r="K53" i="84"/>
  <c r="J639" i="84"/>
  <c r="H466" i="84"/>
  <c r="L833" i="84"/>
  <c r="T339" i="84"/>
  <c r="I137" i="84"/>
  <c r="P293" i="84"/>
  <c r="H103" i="84"/>
  <c r="C471" i="84"/>
  <c r="K769" i="84"/>
  <c r="S517" i="84"/>
  <c r="H523" i="84"/>
  <c r="D716" i="84"/>
  <c r="A395" i="84"/>
  <c r="J572" i="84"/>
  <c r="E886" i="84"/>
  <c r="L449" i="84"/>
  <c r="L731" i="84"/>
  <c r="K810" i="84"/>
  <c r="R722" i="84"/>
  <c r="A533" i="84"/>
  <c r="M905" i="84"/>
  <c r="P579" i="84"/>
  <c r="I108" i="84"/>
  <c r="J938" i="84"/>
  <c r="U687" i="84"/>
  <c r="Q210" i="84"/>
  <c r="V822" i="84"/>
  <c r="L840" i="84"/>
  <c r="Q362" i="84"/>
  <c r="O230" i="84"/>
  <c r="G115" i="84"/>
  <c r="U81" i="84"/>
  <c r="F232" i="84"/>
  <c r="I962" i="84"/>
  <c r="J82" i="84"/>
  <c r="G896" i="84"/>
  <c r="Y622" i="84"/>
  <c r="V503" i="84"/>
  <c r="F238" i="84"/>
  <c r="N948" i="84"/>
  <c r="AA213" i="84"/>
  <c r="AA613" i="84"/>
  <c r="N338" i="84"/>
  <c r="H767" i="84"/>
  <c r="D64" i="84"/>
  <c r="T45" i="84"/>
  <c r="U963" i="84"/>
  <c r="I935" i="84"/>
  <c r="N223" i="84"/>
  <c r="AQ36" i="82"/>
  <c r="T473" i="84"/>
  <c r="P572" i="84"/>
  <c r="N811" i="84"/>
  <c r="U801" i="84"/>
  <c r="L297" i="84"/>
  <c r="P101" i="84"/>
  <c r="H521" i="84"/>
  <c r="F553" i="84"/>
  <c r="Q7" i="82"/>
  <c r="R739" i="84"/>
  <c r="M659" i="84"/>
  <c r="M114" i="84"/>
  <c r="S868" i="84"/>
  <c r="N98" i="84"/>
  <c r="U453" i="84"/>
  <c r="A596" i="84"/>
  <c r="H672" i="84"/>
  <c r="L602" i="84"/>
  <c r="Q798" i="84"/>
  <c r="K410" i="84"/>
  <c r="J887" i="84"/>
  <c r="U43" i="84"/>
  <c r="L754" i="84"/>
  <c r="H95" i="84"/>
  <c r="H856" i="84"/>
  <c r="W112" i="84"/>
  <c r="K771" i="84"/>
  <c r="L591" i="84"/>
  <c r="T137" i="84"/>
  <c r="J213" i="84"/>
  <c r="R392" i="84"/>
  <c r="U169" i="84"/>
  <c r="M515" i="84"/>
  <c r="J201" i="84"/>
  <c r="T848" i="84"/>
  <c r="U150" i="84"/>
  <c r="L386" i="84"/>
  <c r="U599" i="84"/>
  <c r="K94" i="84"/>
  <c r="M966" i="84"/>
  <c r="I642" i="84"/>
  <c r="W892" i="84"/>
  <c r="L959" i="84"/>
  <c r="V617" i="84"/>
  <c r="U110" i="84"/>
  <c r="F294" i="84"/>
  <c r="S429" i="84"/>
  <c r="Q719" i="84"/>
  <c r="M467" i="84"/>
  <c r="N805" i="84"/>
  <c r="U783" i="84"/>
  <c r="O591" i="84"/>
  <c r="R534" i="84"/>
  <c r="AA823" i="84"/>
  <c r="Q929" i="84"/>
  <c r="L28" i="84"/>
  <c r="J612" i="84"/>
  <c r="M111" i="84"/>
  <c r="T34" i="84"/>
  <c r="A764" i="84"/>
  <c r="J651" i="84"/>
  <c r="P776" i="84"/>
  <c r="H207" i="84"/>
  <c r="C69" i="84"/>
  <c r="W743" i="84"/>
  <c r="K589" i="84"/>
  <c r="O462" i="84"/>
  <c r="L37" i="84"/>
  <c r="P894" i="84"/>
  <c r="H445" i="84"/>
  <c r="Q109" i="84"/>
  <c r="K749" i="84"/>
  <c r="P683" i="84"/>
  <c r="AJ26" i="82"/>
  <c r="AG36" i="82"/>
  <c r="K542" i="84"/>
  <c r="N502" i="84"/>
  <c r="F167" i="84"/>
  <c r="O231" i="84"/>
  <c r="K775" i="84"/>
  <c r="E922" i="84"/>
  <c r="M524" i="84"/>
  <c r="U291" i="84"/>
  <c r="S950" i="84"/>
  <c r="H470" i="84"/>
  <c r="A287" i="84"/>
  <c r="Q69" i="84"/>
  <c r="U812" i="84"/>
  <c r="S123" i="84"/>
  <c r="J559" i="84"/>
  <c r="T823" i="84"/>
  <c r="R514" i="84"/>
  <c r="U113" i="84"/>
  <c r="S462" i="84"/>
  <c r="C152" i="84"/>
  <c r="E58" i="84"/>
  <c r="U100" i="84"/>
  <c r="X735" i="84"/>
  <c r="T833" i="84"/>
  <c r="T42" i="84"/>
  <c r="T368" i="84"/>
  <c r="H847" i="84"/>
  <c r="Q310" i="84"/>
  <c r="L425" i="84"/>
  <c r="A639" i="84"/>
  <c r="H744" i="84"/>
  <c r="U54" i="84"/>
  <c r="H398" i="84"/>
  <c r="L270" i="84"/>
  <c r="R914" i="84"/>
  <c r="U608" i="84"/>
  <c r="K408" i="84"/>
  <c r="A908" i="84"/>
  <c r="F573" i="84"/>
  <c r="AI33" i="82"/>
  <c r="G28" i="82"/>
  <c r="P946" i="84"/>
  <c r="L320" i="84"/>
  <c r="C224" i="84"/>
  <c r="Q562" i="84"/>
  <c r="T520" i="84"/>
  <c r="L620" i="84"/>
  <c r="M270" i="84"/>
  <c r="A757" i="84"/>
  <c r="Q578" i="84"/>
  <c r="AA902" i="84"/>
  <c r="U548" i="84"/>
  <c r="AH11" i="82"/>
  <c r="V350" i="84"/>
  <c r="D916" i="84"/>
  <c r="T717" i="84"/>
  <c r="J142" i="84"/>
  <c r="Y350" i="84"/>
  <c r="H179" i="84"/>
  <c r="H395" i="84"/>
  <c r="L380" i="84"/>
  <c r="H808" i="84"/>
  <c r="O277" i="84"/>
  <c r="P307" i="84"/>
  <c r="E515" i="84"/>
  <c r="Q64" i="84"/>
  <c r="S494" i="84"/>
  <c r="T103" i="84"/>
  <c r="N817" i="84"/>
  <c r="L162" i="84"/>
  <c r="L275" i="84"/>
  <c r="C433" i="84"/>
  <c r="Q43" i="84"/>
  <c r="A13" i="84"/>
  <c r="L216" i="84"/>
  <c r="S122" i="84"/>
  <c r="R128" i="84"/>
  <c r="M770" i="84"/>
  <c r="N529" i="84"/>
  <c r="I37" i="84"/>
  <c r="J621" i="84"/>
  <c r="I641" i="84"/>
  <c r="A965" i="84"/>
  <c r="J556" i="84"/>
  <c r="F905" i="84"/>
  <c r="H184" i="84"/>
  <c r="N653" i="84"/>
  <c r="AA261" i="84"/>
  <c r="H203" i="84"/>
  <c r="AA126" i="84"/>
  <c r="K650" i="84"/>
  <c r="G75" i="84"/>
  <c r="V326" i="84"/>
  <c r="C519" i="84"/>
  <c r="M342" i="84"/>
  <c r="L708" i="84"/>
  <c r="T707" i="84"/>
  <c r="I837" i="84"/>
  <c r="K663" i="84"/>
  <c r="K948" i="84"/>
  <c r="R815" i="84"/>
  <c r="D169" i="84"/>
  <c r="D790" i="84"/>
  <c r="N543" i="84"/>
  <c r="I69" i="84"/>
  <c r="T698" i="84"/>
  <c r="Q958" i="84"/>
  <c r="O41" i="84"/>
  <c r="K816" i="84"/>
  <c r="H139" i="84"/>
  <c r="F45" i="84"/>
  <c r="R913" i="84"/>
  <c r="A391" i="84"/>
  <c r="H897" i="84"/>
  <c r="Q28" i="84"/>
  <c r="S637" i="84"/>
  <c r="R788" i="84"/>
  <c r="M28" i="84"/>
  <c r="L583" i="84"/>
  <c r="I472" i="84"/>
  <c r="H13" i="84"/>
  <c r="H476" i="84"/>
  <c r="G957" i="84"/>
  <c r="N403" i="84"/>
  <c r="L272" i="84"/>
  <c r="M188" i="84"/>
  <c r="E762" i="84"/>
  <c r="T426" i="84"/>
  <c r="E620" i="84"/>
  <c r="U630" i="84"/>
  <c r="I226" i="84"/>
  <c r="D761" i="84"/>
  <c r="A670" i="84"/>
  <c r="A654" i="84"/>
  <c r="L648" i="84"/>
  <c r="U958" i="84"/>
  <c r="O217" i="84"/>
  <c r="M438" i="84"/>
  <c r="H891" i="84"/>
  <c r="Q193" i="84"/>
  <c r="E504" i="84"/>
  <c r="D504" i="84"/>
  <c r="R947" i="84"/>
  <c r="R899" i="84"/>
  <c r="S96" i="84"/>
  <c r="U39" i="84"/>
  <c r="P262" i="84"/>
  <c r="P589" i="84"/>
  <c r="V465" i="84"/>
  <c r="H58" i="84"/>
  <c r="S855" i="84"/>
  <c r="J764" i="84"/>
  <c r="P32" i="84"/>
  <c r="F215" i="84"/>
  <c r="G869" i="84"/>
  <c r="E79" i="84"/>
  <c r="G758" i="84"/>
  <c r="C251" i="84"/>
  <c r="P325" i="84"/>
  <c r="A543" i="84"/>
  <c r="F140" i="84"/>
  <c r="C949" i="84"/>
  <c r="N608" i="84"/>
  <c r="Q837" i="84"/>
  <c r="J957" i="84"/>
  <c r="A882" i="84"/>
  <c r="Q202" i="84"/>
  <c r="V313" i="84"/>
  <c r="V217" i="84"/>
  <c r="I400" i="84"/>
  <c r="M198" i="84"/>
  <c r="H780" i="84"/>
  <c r="W930" i="84"/>
  <c r="J815" i="84"/>
  <c r="R303" i="84"/>
  <c r="K85" i="84"/>
  <c r="Y920" i="84"/>
  <c r="T572" i="84"/>
  <c r="Q284" i="84"/>
  <c r="J707" i="84"/>
  <c r="P62" i="84"/>
  <c r="I586" i="84"/>
  <c r="I936" i="84"/>
  <c r="U9" i="84"/>
  <c r="H431" i="84"/>
  <c r="S870" i="84"/>
  <c r="U353" i="84"/>
  <c r="M453" i="84"/>
  <c r="C284" i="84"/>
  <c r="R379" i="84"/>
  <c r="L519" i="84"/>
  <c r="J272" i="84"/>
  <c r="I570" i="84"/>
  <c r="O914" i="84"/>
  <c r="Q663" i="84"/>
  <c r="S288" i="84"/>
  <c r="S885" i="84"/>
  <c r="J866" i="84"/>
  <c r="L292" i="84"/>
  <c r="K604" i="84"/>
  <c r="U401" i="84"/>
  <c r="Q718" i="84"/>
  <c r="L764" i="84"/>
  <c r="Q410" i="84"/>
  <c r="I93" i="84"/>
  <c r="T742" i="84"/>
  <c r="N873" i="84"/>
  <c r="G14" i="82"/>
  <c r="Q398" i="84"/>
  <c r="Q170" i="84"/>
  <c r="T636" i="84"/>
  <c r="H548" i="84"/>
  <c r="T596" i="84"/>
  <c r="J486" i="84"/>
  <c r="K862" i="84"/>
  <c r="G715" i="84"/>
  <c r="T862" i="84"/>
  <c r="L340" i="84"/>
  <c r="AF737" i="84"/>
  <c r="C671" i="84"/>
  <c r="U86" i="84"/>
  <c r="J260" i="84"/>
  <c r="U830" i="84"/>
  <c r="I740" i="84"/>
  <c r="R216" i="84"/>
  <c r="AH17" i="82"/>
  <c r="W650" i="84"/>
  <c r="L565" i="84"/>
  <c r="D252" i="84"/>
  <c r="L482" i="84"/>
  <c r="G642" i="84"/>
  <c r="O376" i="84"/>
  <c r="N213" i="84"/>
  <c r="U421" i="84"/>
  <c r="U953" i="84"/>
  <c r="P454" i="84"/>
  <c r="P312" i="84"/>
  <c r="L500" i="84"/>
  <c r="AF747" i="84"/>
  <c r="S241" i="84"/>
  <c r="R304" i="84"/>
  <c r="A468" i="84"/>
  <c r="R635" i="84"/>
  <c r="O808" i="84"/>
  <c r="R955" i="84"/>
  <c r="S662" i="84"/>
  <c r="O856" i="84"/>
  <c r="R45" i="84"/>
  <c r="T367" i="84"/>
  <c r="N55" i="84"/>
  <c r="N636" i="84"/>
  <c r="Q376" i="84"/>
  <c r="L501" i="84"/>
  <c r="M829" i="84"/>
  <c r="M598" i="84"/>
  <c r="U818" i="84"/>
  <c r="F912" i="84"/>
  <c r="S38" i="84"/>
  <c r="M698" i="84"/>
  <c r="U101" i="84"/>
  <c r="R429" i="84"/>
  <c r="AI14" i="82"/>
  <c r="Q862" i="84"/>
  <c r="X292" i="84"/>
  <c r="M642" i="84"/>
  <c r="R713" i="84"/>
  <c r="I545" i="84"/>
  <c r="S301" i="84"/>
  <c r="N484" i="84"/>
  <c r="D930" i="84"/>
  <c r="C823" i="84"/>
  <c r="Q8" i="84"/>
  <c r="W865" i="84"/>
  <c r="L884" i="84"/>
  <c r="Z489" i="84"/>
  <c r="E389" i="84"/>
  <c r="E82" i="84"/>
  <c r="H250" i="84"/>
  <c r="Q632" i="84"/>
  <c r="R826" i="84"/>
  <c r="H284" i="84"/>
  <c r="T388" i="84"/>
  <c r="P95" i="84"/>
  <c r="E103" i="84"/>
  <c r="S36" i="84"/>
  <c r="AF803" i="84"/>
  <c r="U683" i="84"/>
  <c r="M554" i="84"/>
  <c r="AB7" i="82"/>
  <c r="L35" i="82"/>
  <c r="S44" i="84"/>
  <c r="J802" i="84"/>
  <c r="N444" i="84"/>
  <c r="H888" i="84"/>
  <c r="K28" i="82"/>
  <c r="J424" i="84"/>
  <c r="U265" i="84"/>
  <c r="J149" i="84"/>
  <c r="L478" i="84"/>
  <c r="H78" i="84"/>
  <c r="V80" i="84"/>
  <c r="U227" i="84"/>
  <c r="H245" i="84"/>
  <c r="P333" i="84"/>
  <c r="T341" i="84"/>
  <c r="R959" i="84"/>
  <c r="S601" i="84"/>
  <c r="T828" i="84"/>
  <c r="E869" i="84"/>
  <c r="V937" i="84"/>
  <c r="I39" i="84"/>
  <c r="E839" i="84"/>
  <c r="S880" i="84"/>
  <c r="E432" i="84"/>
  <c r="C729" i="84"/>
  <c r="Q608" i="84"/>
  <c r="J140" i="84"/>
  <c r="X821" i="84"/>
  <c r="Z879" i="84"/>
  <c r="S910" i="84"/>
  <c r="AF646" i="84"/>
  <c r="N281" i="84"/>
  <c r="J319" i="84"/>
  <c r="R827" i="84"/>
  <c r="G766" i="84"/>
  <c r="C842" i="84"/>
  <c r="M10" i="84"/>
  <c r="R671" i="84"/>
  <c r="H104" i="84"/>
  <c r="T326" i="84"/>
  <c r="C577" i="84"/>
  <c r="Q890" i="84"/>
  <c r="T214" i="84"/>
  <c r="U230" i="84"/>
  <c r="H613" i="84"/>
  <c r="R10" i="82"/>
  <c r="T171" i="84"/>
  <c r="N150" i="84"/>
  <c r="I808" i="84"/>
  <c r="S302" i="84"/>
  <c r="G521" i="84"/>
  <c r="I900" i="84"/>
  <c r="AL7" i="82"/>
  <c r="Q333" i="84"/>
  <c r="P58" i="84"/>
  <c r="U331" i="84"/>
  <c r="V10" i="84"/>
  <c r="G419" i="84"/>
  <c r="R767" i="84"/>
  <c r="U705" i="84"/>
  <c r="AF359" i="84"/>
  <c r="Z494" i="84"/>
  <c r="R622" i="84"/>
  <c r="L125" i="84"/>
  <c r="E651" i="84"/>
  <c r="V225" i="84"/>
  <c r="U225" i="84"/>
  <c r="R114" i="84"/>
  <c r="P84" i="84"/>
  <c r="V91" i="84"/>
  <c r="S398" i="84"/>
  <c r="U165" i="84"/>
  <c r="R342" i="84"/>
  <c r="Y110" i="84"/>
  <c r="R378" i="84"/>
  <c r="H727" i="84"/>
  <c r="D378" i="84"/>
  <c r="G786" i="84"/>
  <c r="S607" i="84"/>
  <c r="J323" i="84"/>
  <c r="T94" i="84"/>
  <c r="AA577" i="84"/>
  <c r="C580" i="84"/>
  <c r="A47" i="84"/>
  <c r="Q884" i="84"/>
  <c r="AQ8" i="82"/>
  <c r="K947" i="84"/>
  <c r="U721" i="84"/>
  <c r="V300" i="84"/>
  <c r="E352" i="84"/>
  <c r="L860" i="84"/>
  <c r="N448" i="84"/>
  <c r="M191" i="84"/>
  <c r="N577" i="84"/>
  <c r="H371" i="84"/>
  <c r="L940" i="84"/>
  <c r="L87" i="84"/>
  <c r="M347" i="84"/>
  <c r="H226" i="84"/>
  <c r="G880" i="84"/>
  <c r="A809" i="84"/>
  <c r="S623" i="84"/>
  <c r="J661" i="84"/>
  <c r="J767" i="84"/>
  <c r="X302" i="84"/>
  <c r="X669" i="84"/>
  <c r="P126" i="84"/>
  <c r="T272" i="84"/>
  <c r="Q964" i="84"/>
  <c r="U907" i="84"/>
  <c r="O575" i="84"/>
  <c r="L723" i="84"/>
  <c r="J206" i="84"/>
  <c r="X80" i="84"/>
  <c r="P779" i="84"/>
  <c r="V689" i="84"/>
  <c r="W324" i="84"/>
  <c r="I408" i="84"/>
  <c r="H647" i="84"/>
  <c r="R254" i="84"/>
  <c r="F261" i="84"/>
  <c r="U727" i="84"/>
  <c r="Q149" i="84"/>
  <c r="G149" i="84"/>
  <c r="S356" i="84"/>
  <c r="R340" i="84"/>
  <c r="R667" i="84"/>
  <c r="R71" i="84"/>
  <c r="Y502" i="84"/>
  <c r="E362" i="84"/>
  <c r="F820" i="84"/>
  <c r="L659" i="84"/>
  <c r="U124" i="84"/>
  <c r="C931" i="84"/>
  <c r="R922" i="84"/>
  <c r="T230" i="84"/>
  <c r="J807" i="84"/>
  <c r="U916" i="84"/>
  <c r="S681" i="84"/>
  <c r="AA422" i="84"/>
  <c r="J656" i="84"/>
  <c r="H622" i="84"/>
  <c r="I644" i="84"/>
  <c r="BQ34" i="82"/>
  <c r="N56" i="84"/>
  <c r="P634" i="84"/>
  <c r="H718" i="84"/>
  <c r="F703" i="84"/>
  <c r="K528" i="84"/>
  <c r="Z893" i="84"/>
  <c r="G15" i="82"/>
  <c r="M236" i="84"/>
  <c r="U121" i="84"/>
  <c r="L392" i="84"/>
  <c r="T598" i="84"/>
  <c r="AF696" i="84"/>
  <c r="J608" i="84"/>
  <c r="H896" i="84"/>
  <c r="Y112" i="84"/>
  <c r="H544" i="84"/>
  <c r="AA709" i="84"/>
  <c r="D165" i="84"/>
  <c r="F527" i="84"/>
  <c r="S76" i="84"/>
  <c r="J46" i="84"/>
  <c r="L75" i="84"/>
  <c r="J211" i="84"/>
  <c r="D849" i="84"/>
  <c r="M11" i="84"/>
  <c r="L161" i="84"/>
  <c r="S911" i="84"/>
  <c r="S949" i="84"/>
  <c r="L261" i="84"/>
  <c r="R29" i="82"/>
  <c r="R455" i="84"/>
  <c r="P522" i="84"/>
  <c r="AA25" i="84"/>
  <c r="F124" i="84"/>
  <c r="M849" i="84"/>
  <c r="O275" i="84"/>
  <c r="J472" i="84"/>
  <c r="F948" i="84"/>
  <c r="AQ15" i="82"/>
  <c r="K286" i="84"/>
  <c r="K132" i="84"/>
  <c r="P52" i="84"/>
  <c r="S961" i="84"/>
  <c r="Z233" i="84"/>
  <c r="E234" i="84"/>
  <c r="U627" i="84"/>
  <c r="Q502" i="84"/>
  <c r="Z347" i="84"/>
  <c r="R554" i="84"/>
  <c r="Q166" i="84"/>
  <c r="H464" i="84"/>
  <c r="J365" i="84"/>
  <c r="P855" i="84"/>
  <c r="K274" i="84"/>
  <c r="A749" i="84"/>
  <c r="L65" i="84"/>
  <c r="I679" i="84"/>
  <c r="T942" i="84"/>
  <c r="D318" i="84"/>
  <c r="M18" i="84"/>
  <c r="Z126" i="84"/>
  <c r="J171" i="84"/>
  <c r="U132" i="84"/>
  <c r="R689" i="84"/>
  <c r="N372" i="84"/>
  <c r="R384" i="84"/>
  <c r="J313" i="84"/>
  <c r="A551" i="84"/>
  <c r="D207" i="84"/>
  <c r="H922" i="84"/>
  <c r="A847" i="84"/>
  <c r="L696" i="84"/>
  <c r="H48" i="84"/>
  <c r="M669" i="84"/>
  <c r="E429" i="84"/>
  <c r="M280" i="84"/>
  <c r="L350" i="84"/>
  <c r="R494" i="84"/>
  <c r="O431" i="84"/>
  <c r="W51" i="84"/>
  <c r="K872" i="84"/>
  <c r="G466" i="84"/>
  <c r="N789" i="84"/>
  <c r="E175" i="84"/>
  <c r="I863" i="84"/>
  <c r="H965" i="84"/>
  <c r="S933" i="84"/>
  <c r="G747" i="84"/>
  <c r="K753" i="84"/>
  <c r="T423" i="84"/>
  <c r="M256" i="84"/>
  <c r="T26" i="84"/>
  <c r="M725" i="84"/>
  <c r="K241" i="84"/>
  <c r="N782" i="84"/>
  <c r="S531" i="84"/>
  <c r="AR20" i="82"/>
  <c r="A820" i="84"/>
  <c r="L91" i="84"/>
  <c r="U128" i="84"/>
  <c r="D430" i="84"/>
  <c r="K581" i="84"/>
  <c r="R747" i="84"/>
  <c r="R690" i="84"/>
  <c r="L328" i="84"/>
  <c r="AT10" i="82"/>
  <c r="V783" i="84"/>
  <c r="C242" i="84"/>
  <c r="H551" i="84"/>
  <c r="I23" i="84"/>
  <c r="F288" i="84"/>
  <c r="AC37" i="82"/>
  <c r="J459" i="84"/>
  <c r="G606" i="84"/>
  <c r="L859" i="84"/>
  <c r="K795" i="84"/>
  <c r="T181" i="84"/>
  <c r="T959" i="84"/>
  <c r="H292" i="84"/>
  <c r="V353" i="84"/>
  <c r="G258" i="84"/>
  <c r="J291" i="84"/>
  <c r="A89" i="84"/>
  <c r="U129" i="84"/>
  <c r="U935" i="84"/>
  <c r="J379" i="84"/>
  <c r="H170" i="84"/>
  <c r="M759" i="84"/>
  <c r="N610" i="84"/>
  <c r="E482" i="84"/>
  <c r="A278" i="84"/>
  <c r="N344" i="84"/>
  <c r="L60" i="84"/>
  <c r="R49" i="84"/>
  <c r="T83" i="84"/>
  <c r="E321" i="84"/>
  <c r="S272" i="84"/>
  <c r="D176" i="84"/>
  <c r="K181" i="84"/>
  <c r="G272" i="84"/>
  <c r="G240" i="84"/>
  <c r="AH26" i="82"/>
  <c r="Q41" i="84"/>
  <c r="AF738" i="84"/>
  <c r="AT36" i="82"/>
  <c r="AH31" i="82"/>
  <c r="G564" i="84"/>
  <c r="AF36" i="82"/>
  <c r="L788" i="84"/>
  <c r="T905" i="84"/>
  <c r="Q734" i="84"/>
  <c r="U743" i="84"/>
  <c r="Q15" i="82"/>
  <c r="R912" i="84"/>
  <c r="O448" i="84"/>
  <c r="R405" i="84"/>
  <c r="D180" i="84"/>
  <c r="K866" i="84"/>
  <c r="J458" i="84"/>
  <c r="L660" i="84"/>
  <c r="AA481" i="84"/>
  <c r="K676" i="84"/>
  <c r="W775" i="84"/>
  <c r="N317" i="84"/>
  <c r="J268" i="84"/>
  <c r="Q244" i="84"/>
  <c r="Q278" i="84"/>
  <c r="R357" i="84"/>
  <c r="P351" i="84"/>
  <c r="P574" i="84"/>
  <c r="Y926" i="84"/>
  <c r="D210" i="84"/>
  <c r="F963" i="84"/>
  <c r="L377" i="84"/>
  <c r="M454" i="84"/>
  <c r="AA720" i="84"/>
  <c r="T852" i="84"/>
  <c r="T14" i="84"/>
  <c r="S642" i="84"/>
  <c r="T315" i="84"/>
  <c r="R593" i="84"/>
  <c r="P184" i="84"/>
  <c r="S610" i="84"/>
  <c r="O329" i="84"/>
  <c r="P499" i="84"/>
  <c r="H456" i="84"/>
  <c r="Q800" i="84"/>
  <c r="J795" i="84"/>
  <c r="K472" i="84"/>
  <c r="H848" i="84"/>
  <c r="AF27" i="82"/>
  <c r="H877" i="84"/>
  <c r="U861" i="84"/>
  <c r="S43" i="82"/>
  <c r="Q287" i="84"/>
  <c r="O604" i="84"/>
  <c r="BF15" i="82"/>
  <c r="A547" i="84"/>
  <c r="U214" i="84"/>
  <c r="S664" i="84"/>
  <c r="N14" i="82"/>
  <c r="P564" i="84"/>
  <c r="P740" i="84"/>
  <c r="Z466" i="84"/>
  <c r="T162" i="84"/>
  <c r="L182" i="84"/>
  <c r="S521" i="84"/>
  <c r="S191" i="84"/>
  <c r="U289" i="84"/>
  <c r="S64" i="84"/>
  <c r="Q660" i="84"/>
  <c r="K799" i="84"/>
  <c r="N148" i="84"/>
  <c r="O752" i="84"/>
  <c r="P285" i="84"/>
  <c r="Q592" i="84"/>
  <c r="H366" i="84"/>
  <c r="U52" i="84"/>
  <c r="Y44" i="84"/>
  <c r="U676" i="84"/>
  <c r="J203" i="84"/>
  <c r="P750" i="84"/>
  <c r="S279" i="84"/>
  <c r="P955" i="84"/>
  <c r="N409" i="84"/>
  <c r="N883" i="84"/>
  <c r="R886" i="84"/>
  <c r="N649" i="84"/>
  <c r="AA949" i="84"/>
  <c r="V548" i="84"/>
  <c r="L658" i="84"/>
  <c r="U689" i="84"/>
  <c r="U467" i="84"/>
  <c r="G396" i="84"/>
  <c r="E833" i="84"/>
  <c r="G388" i="84"/>
  <c r="Z16" i="84"/>
  <c r="T216" i="84"/>
  <c r="T243" i="84"/>
  <c r="Q219" i="84"/>
  <c r="AA793" i="84"/>
  <c r="H716" i="84"/>
  <c r="T345" i="84"/>
  <c r="J301" i="84"/>
  <c r="F861" i="84"/>
  <c r="R103" i="84"/>
  <c r="K379" i="84"/>
  <c r="M322" i="84"/>
  <c r="J925" i="84"/>
  <c r="I665" i="84"/>
  <c r="M881" i="84"/>
  <c r="T29" i="84"/>
  <c r="U505" i="84"/>
  <c r="U408" i="84"/>
  <c r="L792" i="84"/>
  <c r="Q625" i="84"/>
  <c r="N51" i="84"/>
  <c r="F220" i="84"/>
  <c r="Q753" i="84"/>
  <c r="Z29" i="84"/>
  <c r="L364" i="84"/>
  <c r="L452" i="84"/>
  <c r="S445" i="84"/>
  <c r="H301" i="84"/>
  <c r="S266" i="84"/>
  <c r="F54" i="84"/>
  <c r="O830" i="84"/>
  <c r="C605" i="84"/>
  <c r="J706" i="84"/>
  <c r="R620" i="84"/>
  <c r="AQ13" i="82"/>
  <c r="P15" i="84"/>
  <c r="Q852" i="84"/>
  <c r="J624" i="84"/>
  <c r="P793" i="84"/>
  <c r="Z181" i="84"/>
  <c r="AA41" i="84"/>
  <c r="J398" i="84"/>
  <c r="D11" i="84"/>
  <c r="L66" i="84"/>
  <c r="G346" i="84"/>
  <c r="L732" i="84"/>
  <c r="T818" i="84"/>
  <c r="G702" i="84"/>
  <c r="R70" i="84"/>
  <c r="O47" i="84"/>
  <c r="P863" i="84"/>
  <c r="M702" i="84"/>
  <c r="L245" i="84"/>
  <c r="R353" i="84"/>
  <c r="G317" i="84"/>
  <c r="E672" i="84"/>
  <c r="E687" i="84"/>
  <c r="G619" i="84"/>
  <c r="M89" i="84"/>
  <c r="H426" i="84"/>
  <c r="O743" i="84"/>
  <c r="M260" i="84"/>
  <c r="S827" i="84"/>
  <c r="L828" i="84"/>
  <c r="M116" i="84"/>
  <c r="G731" i="84"/>
  <c r="R381" i="84"/>
  <c r="F510" i="84"/>
  <c r="S16" i="84"/>
  <c r="J625" i="84"/>
  <c r="Q741" i="84"/>
  <c r="M553" i="84"/>
  <c r="U283" i="84"/>
  <c r="AG7" i="82"/>
  <c r="U344" i="84"/>
  <c r="K246" i="84"/>
  <c r="D589" i="84"/>
  <c r="P730" i="84"/>
  <c r="U703" i="84"/>
  <c r="R383" i="84"/>
  <c r="J227" i="84"/>
  <c r="AA465" i="84"/>
  <c r="AS13" i="82"/>
  <c r="K623" i="84"/>
  <c r="M136" i="84"/>
  <c r="R317" i="84"/>
  <c r="S367" i="84"/>
  <c r="P548" i="84"/>
  <c r="G534" i="84"/>
  <c r="I115" i="84"/>
  <c r="S233" i="84"/>
  <c r="T465" i="84"/>
  <c r="J352" i="84"/>
  <c r="M175" i="84"/>
  <c r="W929" i="84"/>
  <c r="Z767" i="84"/>
  <c r="C945" i="84"/>
  <c r="T222" i="84"/>
  <c r="H128" i="84"/>
  <c r="AJ32" i="82"/>
  <c r="A647" i="84"/>
  <c r="Q303" i="84"/>
  <c r="V69" i="84"/>
  <c r="Q292" i="84"/>
  <c r="A578" i="84"/>
  <c r="N673" i="84"/>
  <c r="K916" i="84"/>
  <c r="S817" i="84"/>
  <c r="U220" i="84"/>
  <c r="H884" i="84"/>
  <c r="K395" i="84"/>
  <c r="AJ8" i="82"/>
  <c r="K712" i="84"/>
  <c r="M389" i="84"/>
  <c r="Q61" i="84"/>
  <c r="N637" i="84"/>
  <c r="D940" i="84"/>
  <c r="N373" i="84"/>
  <c r="P371" i="84"/>
  <c r="O399" i="84"/>
  <c r="V776" i="84"/>
  <c r="U828" i="84"/>
  <c r="H684" i="84"/>
  <c r="AA774" i="84"/>
  <c r="J404" i="84"/>
  <c r="M382" i="84"/>
  <c r="A236" i="84"/>
  <c r="R280" i="84"/>
  <c r="A184" i="84"/>
  <c r="H442" i="84"/>
  <c r="U53" i="84"/>
  <c r="A417" i="84"/>
  <c r="E353" i="84"/>
  <c r="Q717" i="84"/>
  <c r="E35" i="84"/>
  <c r="D574" i="84"/>
  <c r="S764" i="84"/>
  <c r="O11" i="84"/>
  <c r="M599" i="84"/>
  <c r="L649" i="84"/>
  <c r="U918" i="84"/>
  <c r="J590" i="84"/>
  <c r="I300" i="84"/>
  <c r="L129" i="84"/>
  <c r="P495" i="84"/>
  <c r="U597" i="84"/>
  <c r="I263" i="84"/>
  <c r="L766" i="84"/>
  <c r="T506" i="84"/>
  <c r="F386" i="84"/>
  <c r="P614" i="84"/>
  <c r="M652" i="84"/>
  <c r="M827" i="84"/>
  <c r="S362" i="84"/>
  <c r="S55" i="84"/>
  <c r="N701" i="84"/>
  <c r="C529" i="84"/>
  <c r="S822" i="84"/>
  <c r="Q621" i="84"/>
  <c r="S581" i="84"/>
  <c r="N933" i="84"/>
  <c r="S294" i="84"/>
  <c r="M356" i="84"/>
  <c r="S238" i="84"/>
  <c r="A197" i="84"/>
  <c r="H9" i="84"/>
  <c r="L49" i="84"/>
  <c r="Q71" i="84"/>
  <c r="E512" i="84"/>
  <c r="H595" i="84"/>
  <c r="H935" i="84"/>
  <c r="J210" i="84"/>
  <c r="F893" i="84"/>
  <c r="D922" i="84"/>
  <c r="R376" i="84"/>
  <c r="G13" i="82"/>
  <c r="E957" i="84"/>
  <c r="J329" i="84"/>
  <c r="U764" i="84"/>
  <c r="AA341" i="84"/>
  <c r="R920" i="84"/>
  <c r="L12" i="84"/>
  <c r="R374" i="84"/>
  <c r="T57" i="84"/>
  <c r="M557" i="84"/>
  <c r="D880" i="84"/>
  <c r="K18" i="84"/>
  <c r="L765" i="84"/>
  <c r="M45" i="84"/>
  <c r="L56" i="84"/>
  <c r="V286" i="84"/>
  <c r="P490" i="84"/>
  <c r="H824" i="84"/>
  <c r="O299" i="84"/>
  <c r="S33" i="84"/>
  <c r="T132" i="84"/>
  <c r="Q888" i="84"/>
  <c r="BK21" i="82"/>
  <c r="K640" i="84"/>
  <c r="Q82" i="84"/>
  <c r="K899" i="84"/>
  <c r="M410" i="84"/>
  <c r="G358" i="84"/>
  <c r="I267" i="84"/>
  <c r="S89" i="84"/>
  <c r="O655" i="84"/>
  <c r="T471" i="84"/>
  <c r="X541" i="84"/>
  <c r="AR25" i="82"/>
  <c r="T86" i="84"/>
  <c r="S750" i="84"/>
  <c r="J269" i="84"/>
  <c r="P822" i="84"/>
  <c r="T772" i="84"/>
  <c r="T366" i="84"/>
  <c r="A34" i="84"/>
  <c r="N117" i="84"/>
  <c r="J96" i="84"/>
  <c r="I247" i="84"/>
  <c r="W750" i="84"/>
  <c r="N859" i="84"/>
  <c r="K601" i="84"/>
  <c r="T393" i="84"/>
  <c r="J21" i="84"/>
  <c r="Y74" i="84"/>
  <c r="K321" i="84"/>
  <c r="K524" i="84"/>
  <c r="A576" i="84"/>
  <c r="U332" i="84"/>
  <c r="R809" i="84"/>
  <c r="F320" i="84"/>
  <c r="A612" i="84"/>
  <c r="G67" i="84"/>
  <c r="X630" i="84"/>
  <c r="E444" i="84"/>
  <c r="O398" i="84"/>
  <c r="Z551" i="84"/>
  <c r="Q223" i="84"/>
  <c r="E626" i="84"/>
  <c r="E308" i="84"/>
  <c r="J542" i="84"/>
  <c r="X250" i="84"/>
  <c r="S234" i="84"/>
  <c r="S54" i="84"/>
  <c r="U667" i="84"/>
  <c r="X953" i="84"/>
  <c r="AA33" i="82"/>
  <c r="AZ31" i="82"/>
  <c r="AV21" i="82"/>
  <c r="T232" i="84"/>
  <c r="G902" i="84"/>
  <c r="R161" i="84"/>
  <c r="J52" i="84"/>
  <c r="H483" i="84"/>
  <c r="G327" i="84"/>
  <c r="L556" i="84"/>
  <c r="L404" i="84"/>
  <c r="M931" i="84"/>
  <c r="R925" i="84"/>
  <c r="A870" i="84"/>
  <c r="Q138" i="84"/>
  <c r="H157" i="84"/>
  <c r="Q773" i="84"/>
  <c r="Q836" i="84"/>
  <c r="P83" i="84"/>
  <c r="AR18" i="82"/>
  <c r="I874" i="84"/>
  <c r="K557" i="84"/>
  <c r="N343" i="84"/>
  <c r="N875" i="84"/>
  <c r="I714" i="84"/>
  <c r="H311" i="84"/>
  <c r="R587" i="84"/>
  <c r="T184" i="84"/>
  <c r="T173" i="84"/>
  <c r="R156" i="84"/>
  <c r="E952" i="84"/>
  <c r="N946" i="84"/>
  <c r="C775" i="84"/>
  <c r="J293" i="84"/>
  <c r="J761" i="84"/>
  <c r="A139" i="84"/>
  <c r="Q871" i="84"/>
  <c r="H424" i="84"/>
  <c r="E95" i="84"/>
  <c r="K22" i="82"/>
  <c r="H682" i="84"/>
  <c r="E325" i="84"/>
  <c r="C208" i="84"/>
  <c r="J876" i="84"/>
  <c r="N11" i="84"/>
  <c r="E754" i="84"/>
  <c r="S914" i="84"/>
  <c r="A598" i="84"/>
  <c r="A805" i="84"/>
  <c r="O134" i="84"/>
  <c r="H609" i="84"/>
  <c r="K12" i="84"/>
  <c r="L379" i="84"/>
  <c r="R208" i="84"/>
  <c r="G585" i="84"/>
  <c r="U543" i="84"/>
  <c r="H799" i="84"/>
  <c r="S544" i="84"/>
  <c r="R141" i="84"/>
  <c r="J321" i="84"/>
  <c r="L506" i="84"/>
  <c r="Q676" i="84"/>
  <c r="T519" i="84"/>
  <c r="O707" i="84"/>
  <c r="K716" i="84"/>
  <c r="P131" i="84"/>
  <c r="J882" i="84"/>
  <c r="L218" i="84"/>
  <c r="U133" i="84"/>
  <c r="T861" i="84"/>
  <c r="S239" i="84"/>
  <c r="U19" i="84"/>
  <c r="T515" i="84"/>
  <c r="L154" i="84"/>
  <c r="V756" i="84"/>
  <c r="M826" i="84"/>
  <c r="H892" i="84"/>
  <c r="S499" i="84"/>
  <c r="O652" i="84"/>
  <c r="L92" i="84"/>
  <c r="P705" i="84"/>
  <c r="Q712" i="84"/>
  <c r="D413" i="84"/>
  <c r="N959" i="84"/>
  <c r="K694" i="84"/>
  <c r="N808" i="84"/>
  <c r="E584" i="84"/>
  <c r="X303" i="84"/>
  <c r="F874" i="84"/>
  <c r="V140" i="84"/>
  <c r="R311" i="84"/>
  <c r="AA300" i="84"/>
  <c r="L266" i="84"/>
  <c r="T422" i="84"/>
  <c r="R173" i="84"/>
  <c r="Q740" i="84"/>
  <c r="G165" i="84"/>
  <c r="J584" i="84"/>
  <c r="P98" i="84"/>
  <c r="H269" i="84"/>
  <c r="I364" i="84"/>
  <c r="J150" i="84"/>
  <c r="X411" i="84"/>
  <c r="AF774" i="84"/>
  <c r="L956" i="84"/>
  <c r="L263" i="84"/>
  <c r="F158" i="84"/>
  <c r="K626" i="84"/>
  <c r="L734" i="84"/>
  <c r="J648" i="84"/>
  <c r="O550" i="84"/>
  <c r="U65" i="84"/>
  <c r="G393" i="84"/>
  <c r="R260" i="84"/>
  <c r="M786" i="84"/>
  <c r="K894" i="84"/>
  <c r="AG21" i="82"/>
  <c r="T665" i="84"/>
  <c r="M391" i="84"/>
  <c r="Q81" i="84"/>
  <c r="X863" i="84"/>
  <c r="N133" i="84"/>
  <c r="S222" i="84"/>
  <c r="P113" i="84"/>
  <c r="Q938" i="84"/>
  <c r="K258" i="84"/>
  <c r="S940" i="84"/>
  <c r="T824" i="84"/>
  <c r="U206" i="84"/>
  <c r="O812" i="84"/>
  <c r="V961" i="84"/>
  <c r="G310" i="84"/>
  <c r="Z340" i="84"/>
  <c r="V625" i="84"/>
  <c r="R426" i="84"/>
  <c r="Q954" i="84"/>
  <c r="F32" i="84"/>
  <c r="Q207" i="84"/>
  <c r="T887" i="84"/>
  <c r="D804" i="84"/>
  <c r="P414" i="84"/>
  <c r="Z146" i="84"/>
  <c r="G248" i="84"/>
  <c r="A91" i="84"/>
  <c r="Q374" i="84"/>
  <c r="O735" i="84"/>
  <c r="G651" i="84"/>
  <c r="T932" i="84"/>
  <c r="P69" i="84"/>
  <c r="O271" i="84"/>
  <c r="T639" i="84"/>
  <c r="U395" i="84"/>
  <c r="E26" i="84"/>
  <c r="AF608" i="84"/>
  <c r="AA769" i="84"/>
  <c r="A247" i="84"/>
  <c r="J165" i="84"/>
  <c r="S156" i="84"/>
  <c r="V261" i="84"/>
  <c r="N496" i="84"/>
  <c r="O642" i="84"/>
  <c r="P230" i="84"/>
  <c r="Q79" i="84"/>
  <c r="S872" i="84"/>
  <c r="I535" i="84"/>
  <c r="L913" i="84"/>
  <c r="Z926" i="84"/>
  <c r="M606" i="84"/>
  <c r="A81" i="84"/>
  <c r="U945" i="84"/>
  <c r="S889" i="84"/>
  <c r="K261" i="84"/>
  <c r="U814" i="84"/>
  <c r="G407" i="84"/>
  <c r="H71" i="84"/>
  <c r="T787" i="84"/>
  <c r="J645" i="84"/>
  <c r="Q751" i="84"/>
  <c r="I525" i="84"/>
  <c r="Q797" i="84"/>
  <c r="R98" i="84"/>
  <c r="AF900" i="84"/>
  <c r="P923" i="84"/>
  <c r="N323" i="84"/>
  <c r="L656" i="84"/>
  <c r="G141" i="84"/>
  <c r="R375" i="84"/>
  <c r="N894" i="84"/>
  <c r="U833" i="84"/>
  <c r="E129" i="84"/>
  <c r="G88" i="84"/>
  <c r="A269" i="84"/>
  <c r="U911" i="84"/>
  <c r="H218" i="84"/>
  <c r="O382" i="84"/>
  <c r="H820" i="84"/>
  <c r="R639" i="84"/>
  <c r="N521" i="84"/>
  <c r="A903" i="84"/>
  <c r="G356" i="84"/>
  <c r="H765" i="84"/>
  <c r="L338" i="84"/>
  <c r="J800" i="84"/>
  <c r="M392" i="84"/>
  <c r="S925" i="84"/>
  <c r="U770" i="84"/>
  <c r="R241" i="84"/>
  <c r="L228" i="84"/>
  <c r="I81" i="84"/>
  <c r="L613" i="84"/>
  <c r="D236" i="84"/>
  <c r="I302" i="84"/>
  <c r="B19" i="82"/>
  <c r="G292" i="84"/>
  <c r="L12" i="82"/>
  <c r="L686" i="84"/>
  <c r="Z803" i="84"/>
  <c r="O245" i="84"/>
  <c r="T721" i="84"/>
  <c r="H559" i="84"/>
  <c r="U528" i="84"/>
  <c r="T381" i="84"/>
  <c r="O197" i="84"/>
  <c r="T790" i="84"/>
  <c r="I563" i="84"/>
  <c r="R714" i="84"/>
  <c r="J343" i="84"/>
  <c r="L438" i="84"/>
  <c r="S671" i="84"/>
  <c r="R599" i="84"/>
  <c r="J943" i="84"/>
  <c r="R863" i="84"/>
  <c r="S685" i="84"/>
  <c r="F118" i="84"/>
  <c r="M362" i="84"/>
  <c r="A771" i="84"/>
  <c r="D340" i="84"/>
  <c r="C176" i="84"/>
  <c r="J13" i="84"/>
  <c r="D317" i="84"/>
  <c r="H546" i="84"/>
  <c r="K224" i="84"/>
  <c r="G360" i="84"/>
  <c r="K448" i="84"/>
  <c r="R932" i="84"/>
  <c r="Q570" i="84"/>
  <c r="T403" i="84"/>
  <c r="E85" i="84"/>
  <c r="R36" i="84"/>
  <c r="L952" i="84"/>
  <c r="I349" i="84"/>
  <c r="G20" i="82"/>
  <c r="P413" i="84"/>
  <c r="S155" i="84"/>
  <c r="P267" i="84"/>
  <c r="O60" i="84"/>
  <c r="U503" i="84"/>
  <c r="P80" i="84"/>
  <c r="L224" i="84"/>
  <c r="O543" i="84"/>
  <c r="Q650" i="84"/>
  <c r="R646" i="84"/>
  <c r="AF8" i="82"/>
  <c r="O759" i="84"/>
  <c r="R204" i="84"/>
  <c r="N587" i="84"/>
  <c r="I335" i="84"/>
  <c r="N880" i="84"/>
  <c r="Y419" i="84"/>
  <c r="I196" i="84"/>
  <c r="U702" i="84"/>
  <c r="U887" i="84"/>
  <c r="E656" i="84"/>
  <c r="J638" i="84"/>
  <c r="G596" i="84"/>
  <c r="J40" i="82"/>
  <c r="I522" i="84"/>
  <c r="L494" i="84"/>
  <c r="N920" i="84"/>
  <c r="N71" i="84"/>
  <c r="Q767" i="84"/>
  <c r="R582" i="84"/>
  <c r="W685" i="84"/>
  <c r="L407" i="84"/>
  <c r="P168" i="84"/>
  <c r="M724" i="84"/>
  <c r="G113" i="84"/>
  <c r="T863" i="84"/>
  <c r="Y955" i="84"/>
  <c r="O757" i="84"/>
  <c r="L33" i="84"/>
  <c r="J553" i="84"/>
  <c r="V112" i="84"/>
  <c r="Q297" i="84"/>
  <c r="J226" i="84"/>
  <c r="M18" i="82"/>
  <c r="V145" i="84"/>
  <c r="O477" i="84"/>
  <c r="Q633" i="84"/>
  <c r="S187" i="84"/>
  <c r="A536" i="84"/>
  <c r="S641" i="84"/>
  <c r="N845" i="84"/>
  <c r="M154" i="84"/>
  <c r="N828" i="84"/>
  <c r="N474" i="84"/>
  <c r="U477" i="84"/>
  <c r="P699" i="84"/>
  <c r="R701" i="84"/>
  <c r="V643" i="84"/>
  <c r="E505" i="84"/>
  <c r="O920" i="84"/>
  <c r="T289" i="84"/>
  <c r="L634" i="84"/>
  <c r="AA808" i="84"/>
  <c r="O718" i="84"/>
  <c r="U369" i="84"/>
  <c r="X68" i="84"/>
  <c r="S548" i="84"/>
  <c r="J117" i="84"/>
  <c r="T547" i="84"/>
  <c r="I873" i="84"/>
  <c r="I60" i="84"/>
  <c r="T305" i="84"/>
  <c r="N250" i="84"/>
  <c r="O934" i="84"/>
  <c r="Q216" i="84"/>
  <c r="H538" i="84"/>
  <c r="R356" i="84"/>
  <c r="M145" i="84"/>
  <c r="F64" i="84"/>
  <c r="Q443" i="84"/>
  <c r="Q858" i="84"/>
  <c r="G683" i="84"/>
  <c r="P270" i="84"/>
  <c r="R19" i="84"/>
  <c r="H599" i="84"/>
  <c r="X874" i="84"/>
  <c r="J588" i="84"/>
  <c r="J11" i="84"/>
  <c r="N930" i="84"/>
  <c r="S934" i="84"/>
  <c r="G56" i="84"/>
  <c r="V9" i="84"/>
  <c r="T595" i="84"/>
  <c r="W321" i="84"/>
  <c r="R330" i="84"/>
  <c r="R525" i="84"/>
  <c r="AG18" i="82"/>
  <c r="O28" i="84"/>
  <c r="S895" i="84"/>
  <c r="J962" i="84"/>
  <c r="S778" i="84"/>
  <c r="N202" i="84"/>
  <c r="O264" i="84"/>
  <c r="H925" i="84"/>
  <c r="L213" i="84"/>
  <c r="Q583" i="84"/>
  <c r="N106" i="84"/>
  <c r="H246" i="84"/>
  <c r="L381" i="84"/>
  <c r="U286" i="84"/>
  <c r="K510" i="84"/>
  <c r="O63" i="84"/>
  <c r="I732" i="84"/>
  <c r="L305" i="84"/>
  <c r="O150" i="84"/>
  <c r="R696" i="84"/>
  <c r="T505" i="84"/>
  <c r="T19" i="84"/>
  <c r="R18" i="82"/>
  <c r="U430" i="84"/>
  <c r="H201" i="84"/>
  <c r="M496" i="84"/>
  <c r="S820" i="84"/>
  <c r="R452" i="84"/>
  <c r="L23" i="84"/>
  <c r="U272" i="84"/>
  <c r="U482" i="84"/>
  <c r="T857" i="84"/>
  <c r="N640" i="84"/>
  <c r="M767" i="84"/>
  <c r="N303" i="84"/>
  <c r="L491" i="84"/>
  <c r="K97" i="84"/>
  <c r="J615" i="84"/>
  <c r="L889" i="84"/>
  <c r="J144" i="84"/>
  <c r="N354" i="84"/>
  <c r="K846" i="84"/>
  <c r="N528" i="84"/>
  <c r="J303" i="84"/>
  <c r="C688" i="84"/>
  <c r="U26" i="84"/>
  <c r="V85" i="84"/>
  <c r="Q611" i="84"/>
  <c r="L219" i="84"/>
  <c r="R960" i="84"/>
  <c r="P462" i="84"/>
  <c r="J718" i="84"/>
  <c r="M824" i="84"/>
  <c r="K451" i="84"/>
  <c r="T76" i="84"/>
  <c r="S682" i="84"/>
  <c r="AA852" i="84"/>
  <c r="Y120" i="84"/>
  <c r="H699" i="84"/>
  <c r="T544" i="84"/>
  <c r="L194" i="84"/>
  <c r="R822" i="84"/>
  <c r="H30" i="84"/>
  <c r="M314" i="84"/>
  <c r="S726" i="84"/>
  <c r="E153" i="84"/>
  <c r="X402" i="84"/>
  <c r="L189" i="84"/>
  <c r="Q652" i="84"/>
  <c r="R546" i="84"/>
  <c r="I845" i="84"/>
  <c r="G229" i="84"/>
  <c r="G434" i="84"/>
  <c r="Q738" i="84"/>
  <c r="J524" i="84"/>
  <c r="Q12" i="84"/>
  <c r="T953" i="84"/>
  <c r="K506" i="84"/>
  <c r="U427" i="84"/>
  <c r="T48" i="84"/>
  <c r="E369" i="84"/>
  <c r="T889" i="84"/>
  <c r="V596" i="84"/>
  <c r="R313" i="84"/>
  <c r="E636" i="84"/>
  <c r="H473" i="84"/>
  <c r="S112" i="84"/>
  <c r="U303" i="84"/>
  <c r="AY14" i="82"/>
  <c r="R929" i="84"/>
  <c r="X408" i="84"/>
  <c r="T9" i="84"/>
  <c r="R537" i="84"/>
  <c r="T808" i="84"/>
  <c r="J410" i="84"/>
  <c r="F555" i="84"/>
  <c r="J960" i="84"/>
  <c r="J728" i="84"/>
  <c r="X733" i="84"/>
  <c r="G156" i="84"/>
  <c r="U686" i="84"/>
  <c r="U540" i="84"/>
  <c r="E503" i="84"/>
  <c r="P22" i="84"/>
  <c r="R441" i="84"/>
  <c r="F536" i="84"/>
  <c r="G157" i="84"/>
  <c r="AA167" i="84"/>
  <c r="Z716" i="84"/>
  <c r="I849" i="84"/>
  <c r="AG40" i="82"/>
  <c r="O164" i="84"/>
  <c r="L911" i="84"/>
  <c r="Q92" i="84"/>
  <c r="W770" i="84"/>
  <c r="H863" i="84"/>
  <c r="H239" i="84"/>
  <c r="O519" i="84"/>
  <c r="A862" i="84"/>
  <c r="A52" i="84"/>
  <c r="W447" i="84"/>
  <c r="O505" i="84"/>
  <c r="V307" i="84"/>
  <c r="M290" i="84"/>
  <c r="J311" i="84"/>
  <c r="P232" i="84"/>
  <c r="H688" i="84"/>
  <c r="J258" i="84"/>
  <c r="S674" i="84"/>
  <c r="O453" i="84"/>
  <c r="Y773" i="84"/>
  <c r="AA841" i="84"/>
  <c r="I138" i="84"/>
  <c r="E215" i="84"/>
  <c r="U104" i="84"/>
  <c r="T604" i="84"/>
  <c r="L273" i="84"/>
  <c r="H262" i="84"/>
  <c r="K737" i="84"/>
  <c r="J476" i="84"/>
  <c r="H300" i="84"/>
  <c r="T205" i="84"/>
  <c r="S670" i="84"/>
  <c r="S930" i="84"/>
  <c r="I834" i="84"/>
  <c r="C937" i="84"/>
  <c r="Q472" i="84"/>
  <c r="J99" i="84"/>
  <c r="H174" i="84"/>
  <c r="H705" i="84"/>
  <c r="L641" i="84"/>
  <c r="S443" i="84"/>
  <c r="I493" i="84"/>
  <c r="A760" i="84"/>
  <c r="I379" i="84"/>
  <c r="C82" i="84"/>
  <c r="K792" i="84"/>
  <c r="H342" i="84"/>
  <c r="L820" i="84"/>
  <c r="H913" i="84"/>
  <c r="N697" i="84"/>
  <c r="S848" i="84"/>
  <c r="N436" i="84"/>
  <c r="Q117" i="84"/>
  <c r="M627" i="84"/>
  <c r="A438" i="84"/>
  <c r="H460" i="84"/>
  <c r="U161" i="84"/>
  <c r="P443" i="84"/>
  <c r="I839" i="84"/>
  <c r="K949" i="84"/>
  <c r="J622" i="84"/>
  <c r="M740" i="84"/>
  <c r="Q289" i="84"/>
  <c r="S388" i="84"/>
  <c r="I771" i="84"/>
  <c r="AA450" i="84"/>
  <c r="Q582" i="84"/>
  <c r="G511" i="84"/>
  <c r="M846" i="84"/>
  <c r="E827" i="84"/>
  <c r="S790" i="84"/>
  <c r="N114" i="84"/>
  <c r="H364" i="84"/>
  <c r="R949" i="84"/>
  <c r="P56" i="84"/>
  <c r="U117" i="84"/>
  <c r="S532" i="84"/>
  <c r="K16" i="82"/>
  <c r="J859" i="84"/>
  <c r="F48" i="84"/>
  <c r="Z354" i="84"/>
  <c r="T915" i="84"/>
  <c r="P53" i="84"/>
  <c r="AF808" i="84"/>
  <c r="R112" i="84"/>
  <c r="Y129" i="84"/>
  <c r="J650" i="84"/>
  <c r="R32" i="84"/>
  <c r="H776" i="84"/>
  <c r="V560" i="84"/>
  <c r="M821" i="84"/>
  <c r="G244" i="84"/>
  <c r="P765" i="84"/>
  <c r="G805" i="84"/>
  <c r="K932" i="84"/>
  <c r="E832" i="84"/>
  <c r="M57" i="84"/>
  <c r="U760" i="84"/>
  <c r="BE40" i="82"/>
  <c r="R754" i="84"/>
  <c r="J20" i="84"/>
  <c r="J953" i="84"/>
  <c r="Z350" i="84"/>
  <c r="T814" i="84"/>
  <c r="M388" i="84"/>
  <c r="N416" i="84"/>
  <c r="J202" i="84"/>
  <c r="G163" i="84"/>
  <c r="F331" i="84"/>
  <c r="AF15" i="82"/>
  <c r="J442" i="84"/>
  <c r="N298" i="84"/>
  <c r="AL22" i="82"/>
  <c r="P596" i="84"/>
  <c r="T866" i="84"/>
  <c r="K21" i="84"/>
  <c r="U381" i="84"/>
  <c r="H453" i="84"/>
  <c r="Z959" i="84"/>
  <c r="Y780" i="84"/>
  <c r="Z881" i="84"/>
  <c r="U511" i="84"/>
  <c r="I299" i="84"/>
  <c r="J870" i="84"/>
  <c r="S482" i="84"/>
  <c r="H493" i="84"/>
  <c r="S612" i="84"/>
  <c r="N957" i="84"/>
  <c r="AA122" i="84"/>
  <c r="C512" i="84"/>
  <c r="G391" i="84"/>
  <c r="U906" i="84"/>
  <c r="J427" i="84"/>
  <c r="T77" i="84"/>
  <c r="J505" i="84"/>
  <c r="R823" i="84"/>
  <c r="R27" i="84"/>
  <c r="Z66" i="84"/>
  <c r="Q344" i="84"/>
  <c r="T242" i="84"/>
  <c r="U342" i="84"/>
  <c r="C130" i="84"/>
  <c r="Z148" i="84"/>
  <c r="U235" i="84"/>
  <c r="S770" i="84"/>
  <c r="N236" i="84"/>
  <c r="S727" i="84"/>
  <c r="R619" i="84"/>
  <c r="T620" i="84"/>
  <c r="E772" i="84"/>
  <c r="W81" i="84"/>
  <c r="N124" i="84"/>
  <c r="N412" i="84"/>
  <c r="F266" i="84"/>
  <c r="U877" i="84"/>
  <c r="N748" i="84"/>
  <c r="J94" i="84"/>
  <c r="M407" i="84"/>
  <c r="A396" i="84"/>
  <c r="F76" i="84"/>
  <c r="K903" i="84"/>
  <c r="N765" i="84"/>
  <c r="L349" i="84"/>
  <c r="G243" i="84"/>
  <c r="C364" i="84"/>
  <c r="M868" i="84"/>
  <c r="Q35" i="84"/>
  <c r="R512" i="84"/>
  <c r="O941" i="84"/>
  <c r="R664" i="84"/>
  <c r="S98" i="84"/>
  <c r="V944" i="84"/>
  <c r="Y341" i="84"/>
  <c r="W905" i="84"/>
  <c r="J929" i="84"/>
  <c r="N43" i="84"/>
  <c r="H90" i="84"/>
  <c r="Z659" i="84"/>
  <c r="N849" i="84"/>
  <c r="Q959" i="84"/>
  <c r="R284" i="84"/>
  <c r="S154" i="84"/>
  <c r="E207" i="84"/>
  <c r="J286" i="84"/>
  <c r="R520" i="84"/>
  <c r="H790" i="84"/>
  <c r="T453" i="84"/>
  <c r="AF633" i="84"/>
  <c r="Q116" i="84"/>
  <c r="V688" i="84"/>
  <c r="Y265" i="84"/>
  <c r="O784" i="84"/>
  <c r="H384" i="84"/>
  <c r="T53" i="84"/>
  <c r="R266" i="84"/>
  <c r="N92" i="84"/>
  <c r="BF35" i="82"/>
  <c r="J16" i="84"/>
  <c r="T760" i="84"/>
  <c r="L250" i="84"/>
  <c r="C956" i="84"/>
  <c r="F653" i="84"/>
  <c r="N740" i="84"/>
  <c r="S797" i="84"/>
  <c r="Q208" i="84"/>
  <c r="U297" i="84"/>
  <c r="M459" i="84"/>
  <c r="H626" i="84"/>
  <c r="T350" i="84"/>
  <c r="R439" i="84"/>
  <c r="P578" i="84"/>
  <c r="AA697" i="84"/>
  <c r="AF701" i="84"/>
  <c r="H163" i="84"/>
  <c r="S912" i="84"/>
  <c r="G928" i="84"/>
  <c r="T888" i="84"/>
  <c r="O964" i="84"/>
  <c r="U765" i="84"/>
  <c r="R469" i="84"/>
  <c r="AA734" i="84"/>
  <c r="X174" i="84"/>
  <c r="O22" i="84"/>
  <c r="R292" i="84"/>
  <c r="L531" i="84"/>
  <c r="J779" i="84"/>
  <c r="J700" i="84"/>
  <c r="R398" i="84"/>
  <c r="M348" i="84"/>
  <c r="H619" i="84"/>
  <c r="M267" i="84"/>
  <c r="AS8" i="82"/>
  <c r="E21" i="84"/>
  <c r="R712" i="84"/>
  <c r="U472" i="84"/>
  <c r="J799" i="84"/>
  <c r="H477" i="84"/>
  <c r="J900" i="84"/>
  <c r="J948" i="84"/>
  <c r="J782" i="84"/>
  <c r="K46" i="84"/>
  <c r="P524" i="84"/>
  <c r="S653" i="84"/>
  <c r="K7" i="82"/>
  <c r="J18" i="82"/>
  <c r="R623" i="84"/>
  <c r="L704" i="84"/>
  <c r="U311" i="84"/>
  <c r="M946" i="84"/>
  <c r="U937" i="84"/>
  <c r="U841" i="84"/>
  <c r="L549" i="84"/>
  <c r="O766" i="84"/>
  <c r="K957" i="84"/>
  <c r="V303" i="84"/>
  <c r="BF36" i="82"/>
  <c r="S277" i="84"/>
  <c r="N216" i="84"/>
  <c r="A861" i="84"/>
  <c r="A155" i="84"/>
  <c r="R183" i="84"/>
  <c r="C562" i="84"/>
  <c r="Q606" i="84"/>
  <c r="G595" i="84"/>
  <c r="Q944" i="84"/>
  <c r="E435" i="84"/>
  <c r="H281" i="84"/>
  <c r="A962" i="84"/>
  <c r="R704" i="84"/>
  <c r="O470" i="84"/>
  <c r="F327" i="84"/>
  <c r="P18" i="84"/>
  <c r="K896" i="84"/>
  <c r="T919" i="84"/>
  <c r="P121" i="84"/>
  <c r="G454" i="84"/>
  <c r="G674" i="84"/>
  <c r="U822" i="84"/>
  <c r="G891" i="84"/>
  <c r="Q187" i="84"/>
  <c r="L808" i="84"/>
  <c r="R295" i="84"/>
  <c r="AA307" i="84"/>
  <c r="F373" i="84"/>
  <c r="AP27" i="82"/>
  <c r="F62" i="84"/>
  <c r="I203" i="84"/>
  <c r="G655" i="84"/>
  <c r="R28" i="82"/>
  <c r="N561" i="84"/>
  <c r="M731" i="84"/>
  <c r="T459" i="84"/>
  <c r="J570" i="84"/>
  <c r="U568" i="84"/>
  <c r="L164" i="84"/>
  <c r="Y692" i="84"/>
  <c r="P709" i="84"/>
  <c r="G962" i="84"/>
  <c r="X643" i="84"/>
  <c r="Q924" i="84"/>
  <c r="J733" i="84"/>
  <c r="W554" i="84"/>
  <c r="J179" i="84"/>
  <c r="O87" i="84"/>
  <c r="M874" i="84"/>
  <c r="R716" i="84"/>
  <c r="Q957" i="84"/>
  <c r="Y434" i="84"/>
  <c r="R395" i="84"/>
  <c r="L636" i="84"/>
  <c r="N91" i="84"/>
  <c r="AA703" i="84"/>
  <c r="I803" i="84"/>
  <c r="Y349" i="84"/>
  <c r="T723" i="84"/>
  <c r="AA360" i="84"/>
  <c r="K760" i="84"/>
  <c r="G785" i="84"/>
  <c r="T204" i="84"/>
  <c r="H206" i="84"/>
  <c r="G444" i="84"/>
  <c r="Q179" i="84"/>
  <c r="M696" i="84"/>
  <c r="X601" i="84"/>
  <c r="P12" i="84"/>
  <c r="A755" i="84"/>
  <c r="O709" i="84"/>
  <c r="G692" i="84"/>
  <c r="K407" i="84"/>
  <c r="F699" i="84"/>
  <c r="C873" i="84"/>
  <c r="N690" i="84"/>
  <c r="E111" i="84"/>
  <c r="H14" i="84"/>
  <c r="AG24" i="82"/>
  <c r="N498" i="84"/>
  <c r="N275" i="84"/>
  <c r="AF541" i="84"/>
  <c r="S292" i="84"/>
  <c r="AT46" i="82"/>
  <c r="Q137" i="84"/>
  <c r="P948" i="84"/>
  <c r="H435" i="84"/>
  <c r="AA84" i="84"/>
  <c r="J956" i="84"/>
  <c r="P529" i="84"/>
  <c r="P248" i="84"/>
  <c r="L13" i="84"/>
  <c r="G562" i="84"/>
  <c r="H698" i="84"/>
  <c r="V852" i="84"/>
  <c r="Q91" i="84"/>
  <c r="Q37" i="84"/>
  <c r="J743" i="84"/>
  <c r="G555" i="84"/>
  <c r="D617" i="84"/>
  <c r="J662" i="84"/>
  <c r="H198" i="84"/>
  <c r="F773" i="84"/>
  <c r="Q370" i="84"/>
  <c r="G142" i="84"/>
  <c r="O102" i="84"/>
  <c r="G545" i="84"/>
  <c r="U267" i="84"/>
  <c r="H47" i="84"/>
  <c r="F196" i="84"/>
  <c r="Q616" i="84"/>
  <c r="N609" i="84"/>
  <c r="U335" i="84"/>
  <c r="P36" i="82"/>
  <c r="A642" i="84"/>
  <c r="Q70" i="84"/>
  <c r="L64" i="84"/>
  <c r="S920" i="84"/>
  <c r="J307" i="84"/>
  <c r="E937" i="84"/>
  <c r="E44" i="84"/>
  <c r="S62" i="84"/>
  <c r="U424" i="84"/>
  <c r="Q614" i="84"/>
  <c r="E757" i="84"/>
  <c r="Q820" i="84"/>
  <c r="K68" i="84"/>
  <c r="H837" i="84"/>
  <c r="S635" i="84"/>
  <c r="F366" i="84"/>
  <c r="G164" i="84"/>
  <c r="R482" i="84"/>
  <c r="Q27" i="84"/>
  <c r="BF17" i="82"/>
  <c r="M81" i="84"/>
  <c r="G36" i="84"/>
  <c r="N903" i="84"/>
  <c r="G759" i="84"/>
  <c r="T793" i="84"/>
  <c r="E22" i="84"/>
  <c r="N730" i="84"/>
  <c r="T27" i="84"/>
  <c r="E744" i="84"/>
  <c r="Z474" i="84"/>
  <c r="AA372" i="84"/>
  <c r="U699" i="84"/>
  <c r="P238" i="84"/>
  <c r="H326" i="84"/>
  <c r="AA292" i="84"/>
  <c r="F38" i="82"/>
  <c r="P346" i="84"/>
  <c r="M643" i="84"/>
  <c r="H83" i="84"/>
  <c r="U10" i="84"/>
  <c r="M631" i="84"/>
  <c r="R339" i="84"/>
  <c r="T582" i="84"/>
  <c r="D138" i="84"/>
  <c r="Z915" i="84"/>
  <c r="F458" i="84"/>
  <c r="R86" i="84"/>
  <c r="T655" i="84"/>
  <c r="Q417" i="84"/>
  <c r="O778" i="84"/>
  <c r="G646" i="84"/>
  <c r="O39" i="84"/>
  <c r="AA103" i="84"/>
  <c r="K722" i="84"/>
  <c r="R458" i="84"/>
  <c r="X420" i="84"/>
  <c r="U298" i="84"/>
  <c r="U821" i="84"/>
  <c r="I528" i="84"/>
  <c r="R735" i="84"/>
  <c r="AZ41" i="82"/>
  <c r="L10" i="84"/>
  <c r="L479" i="84"/>
  <c r="Q823" i="84"/>
  <c r="R757" i="84"/>
  <c r="R385" i="84"/>
  <c r="Q716" i="84"/>
  <c r="A617" i="84"/>
  <c r="V212" i="84"/>
  <c r="U306" i="84"/>
  <c r="K762" i="84"/>
  <c r="R958" i="84"/>
  <c r="G45" i="82"/>
  <c r="BF32" i="82"/>
  <c r="W120" i="84"/>
  <c r="P623" i="84"/>
  <c r="G542" i="84"/>
  <c r="R607" i="84"/>
  <c r="P807" i="84"/>
  <c r="T87" i="84"/>
  <c r="Q307" i="84"/>
  <c r="AL23" i="82"/>
  <c r="H288" i="84"/>
  <c r="U29" i="84"/>
  <c r="C947" i="84"/>
  <c r="G220" i="84"/>
  <c r="D891" i="84"/>
  <c r="L616" i="84"/>
  <c r="U325" i="84"/>
  <c r="H392" i="84"/>
  <c r="O188" i="84"/>
  <c r="J864" i="84"/>
  <c r="M158" i="84"/>
  <c r="S113" i="84"/>
  <c r="L233" i="84"/>
  <c r="Q793" i="84"/>
  <c r="T625" i="84"/>
  <c r="Z18" i="84"/>
  <c r="T574" i="84"/>
  <c r="U337" i="84"/>
  <c r="AB21" i="82"/>
  <c r="P952" i="84"/>
  <c r="Q839" i="84"/>
  <c r="J314" i="84"/>
  <c r="L746" i="84"/>
  <c r="R634" i="84"/>
  <c r="J783" i="84"/>
  <c r="Q918" i="84"/>
  <c r="G620" i="84"/>
  <c r="T952" i="84"/>
  <c r="A826" i="84"/>
  <c r="M666" i="84"/>
  <c r="K307" i="84"/>
  <c r="E563" i="84"/>
  <c r="D523" i="84"/>
  <c r="R564" i="84"/>
  <c r="C436" i="84"/>
  <c r="H739" i="84"/>
  <c r="S186" i="84"/>
  <c r="L857" i="84"/>
  <c r="M500" i="84"/>
  <c r="N650" i="84"/>
  <c r="J129" i="84"/>
  <c r="H589" i="84"/>
  <c r="T73" i="84"/>
  <c r="S905" i="84"/>
  <c r="P342" i="84"/>
  <c r="P197" i="84"/>
  <c r="G224" i="84"/>
  <c r="E873" i="84"/>
  <c r="H390" i="84"/>
  <c r="AU13" i="82"/>
  <c r="F854" i="84"/>
  <c r="J382" i="84"/>
  <c r="AA232" i="84"/>
  <c r="K588" i="84"/>
  <c r="T309" i="84"/>
  <c r="J455" i="84"/>
  <c r="G404" i="84"/>
  <c r="U880" i="84"/>
  <c r="M8" i="82"/>
  <c r="T860" i="84"/>
  <c r="N366" i="84"/>
  <c r="J28" i="82"/>
  <c r="F271" i="84"/>
  <c r="S697" i="84"/>
  <c r="C523" i="84"/>
  <c r="K452" i="84"/>
  <c r="R657" i="84"/>
  <c r="G455" i="84"/>
  <c r="AF32" i="84"/>
  <c r="O668" i="84"/>
  <c r="G489" i="84"/>
  <c r="U364" i="84"/>
  <c r="Q705" i="84"/>
  <c r="J909" i="84"/>
  <c r="G151" i="84"/>
  <c r="V678" i="84"/>
  <c r="R65" i="84"/>
  <c r="G820" i="84"/>
  <c r="H383" i="84"/>
  <c r="L21" i="84"/>
  <c r="E661" i="84"/>
  <c r="BA11" i="82"/>
  <c r="V719" i="84"/>
  <c r="BZ27" i="82"/>
  <c r="D658" i="84"/>
  <c r="P310" i="84"/>
  <c r="H949" i="84"/>
  <c r="BA34" i="82"/>
  <c r="V310" i="84"/>
  <c r="K11" i="82"/>
  <c r="AF288" i="84"/>
  <c r="T854" i="84"/>
  <c r="G166" i="84"/>
  <c r="Y300" i="84"/>
  <c r="K62" i="84"/>
  <c r="O302" i="84"/>
  <c r="H430" i="84"/>
  <c r="I960" i="84"/>
  <c r="J93" i="84"/>
  <c r="Q121" i="84"/>
  <c r="O104" i="84"/>
  <c r="S93" i="84"/>
  <c r="S472" i="84"/>
  <c r="L413" i="84"/>
  <c r="P922" i="84"/>
  <c r="J185" i="84"/>
  <c r="N164" i="84"/>
  <c r="AD32" i="82"/>
  <c r="Y473" i="84"/>
  <c r="J723" i="84"/>
  <c r="G242" i="84"/>
  <c r="T746" i="84"/>
  <c r="P93" i="84"/>
  <c r="AT19" i="82"/>
  <c r="Z849" i="84"/>
  <c r="Z771" i="84"/>
  <c r="Q436" i="84"/>
  <c r="R662" i="84"/>
  <c r="J257" i="84"/>
  <c r="J848" i="84"/>
  <c r="T192" i="84"/>
  <c r="J118" i="84"/>
  <c r="H631" i="84"/>
  <c r="F622" i="84"/>
  <c r="O103" i="84"/>
  <c r="G132" i="84"/>
  <c r="E123" i="84"/>
  <c r="N678" i="84"/>
  <c r="S104" i="84"/>
  <c r="R938" i="84"/>
  <c r="G45" i="84"/>
  <c r="S625" i="84"/>
  <c r="X629" i="84"/>
  <c r="L520" i="84"/>
  <c r="U787" i="84"/>
  <c r="J29" i="82"/>
  <c r="AA891" i="84"/>
  <c r="I11" i="84"/>
  <c r="N299" i="84"/>
  <c r="P883" i="84"/>
  <c r="T652" i="84"/>
  <c r="Q62" i="84"/>
  <c r="W78" i="84"/>
  <c r="S424" i="84"/>
  <c r="H689" i="84"/>
  <c r="G471" i="84"/>
  <c r="N728" i="84"/>
  <c r="F263" i="84"/>
  <c r="R121" i="84"/>
  <c r="H649" i="84"/>
  <c r="S34" i="84"/>
  <c r="G751" i="84"/>
  <c r="AF576" i="84"/>
  <c r="S334" i="84"/>
  <c r="V893" i="84"/>
  <c r="AE21" i="82"/>
  <c r="G753" i="84"/>
  <c r="J869" i="84"/>
  <c r="L153" i="84"/>
  <c r="T145" i="84"/>
  <c r="AA71" i="84"/>
  <c r="N185" i="84"/>
  <c r="S600" i="84"/>
  <c r="N145" i="84"/>
  <c r="N320" i="84"/>
  <c r="J133" i="84"/>
  <c r="N209" i="84"/>
  <c r="G10" i="82"/>
  <c r="H89" i="84"/>
  <c r="U526" i="84"/>
  <c r="H455" i="84"/>
  <c r="P237" i="84"/>
  <c r="U435" i="84"/>
  <c r="L512" i="84"/>
  <c r="K13" i="82"/>
  <c r="V459" i="84"/>
  <c r="Q359" i="84"/>
  <c r="E954" i="84"/>
  <c r="M15" i="82"/>
  <c r="R105" i="84"/>
  <c r="Q599" i="84"/>
  <c r="N506" i="84"/>
  <c r="R293" i="84"/>
  <c r="F869" i="84"/>
  <c r="O675" i="84"/>
  <c r="L576" i="84"/>
  <c r="L566" i="84"/>
  <c r="H547" i="84"/>
  <c r="R511" i="84"/>
  <c r="M359" i="84"/>
  <c r="S815" i="84"/>
  <c r="F233" i="84"/>
  <c r="Y497" i="84"/>
  <c r="O300" i="84"/>
  <c r="J483" i="84"/>
  <c r="Q181" i="84"/>
  <c r="E268" i="84"/>
  <c r="E720" i="84"/>
  <c r="P824" i="84"/>
  <c r="G60" i="84"/>
  <c r="Q72" i="84"/>
  <c r="Y83" i="84"/>
  <c r="O236" i="84"/>
  <c r="S621" i="84"/>
  <c r="V279" i="84"/>
  <c r="AA112" i="84"/>
  <c r="N588" i="84"/>
  <c r="U95" i="84"/>
  <c r="K330" i="84"/>
  <c r="T715" i="84"/>
  <c r="Y311" i="84"/>
  <c r="H710" i="84"/>
  <c r="L187" i="84"/>
  <c r="J757" i="84"/>
  <c r="T239" i="84"/>
  <c r="F392" i="84"/>
  <c r="O71" i="84"/>
  <c r="U77" i="84"/>
  <c r="AF780" i="84"/>
  <c r="F209" i="84"/>
  <c r="G54" i="84"/>
  <c r="L528" i="84"/>
  <c r="Z380" i="84"/>
  <c r="G448" i="84"/>
  <c r="W771" i="84"/>
  <c r="U671" i="84"/>
  <c r="M578" i="84"/>
  <c r="K597" i="84"/>
  <c r="J863" i="84"/>
  <c r="S756" i="84"/>
  <c r="AA555" i="84"/>
  <c r="V92" i="84"/>
  <c r="X25" i="84"/>
  <c r="U805" i="84"/>
  <c r="E511" i="84"/>
  <c r="Z668" i="84"/>
  <c r="O297" i="84"/>
  <c r="U58" i="84"/>
  <c r="U362" i="84"/>
  <c r="P966" i="84"/>
  <c r="AA523" i="84"/>
  <c r="P884" i="84"/>
  <c r="J511" i="84"/>
  <c r="G498" i="84"/>
  <c r="T454" i="84"/>
  <c r="N545" i="84"/>
  <c r="G930" i="84"/>
  <c r="S369" i="84"/>
  <c r="Z690" i="84"/>
  <c r="J716" i="84"/>
  <c r="L842" i="84"/>
  <c r="O121" i="84"/>
  <c r="D184" i="84"/>
  <c r="X96" i="84"/>
  <c r="P920" i="84"/>
  <c r="N424" i="84"/>
  <c r="U623" i="84"/>
  <c r="T691" i="84"/>
  <c r="E591" i="84"/>
  <c r="U151" i="84"/>
  <c r="X11" i="84"/>
  <c r="U411" i="84"/>
  <c r="T897" i="84"/>
  <c r="H674" i="84"/>
  <c r="V881" i="84"/>
  <c r="J276" i="84"/>
  <c r="L113" i="84"/>
  <c r="M692" i="84"/>
  <c r="F814" i="84"/>
  <c r="Q709" i="84"/>
  <c r="R302" i="84"/>
  <c r="AA219" i="84"/>
  <c r="Q814" i="84"/>
  <c r="E206" i="84"/>
  <c r="Q808" i="84"/>
  <c r="Y400" i="84"/>
  <c r="G790" i="84"/>
  <c r="U890" i="84"/>
  <c r="S762" i="84"/>
  <c r="I513" i="84"/>
  <c r="U701" i="84"/>
  <c r="X377" i="84"/>
  <c r="T311" i="84"/>
  <c r="A276" i="84"/>
  <c r="S535" i="84"/>
  <c r="I955" i="84"/>
  <c r="M34" i="82"/>
  <c r="G538" i="84"/>
  <c r="I353" i="84"/>
  <c r="K142" i="84"/>
  <c r="F843" i="84"/>
  <c r="T761" i="84"/>
  <c r="S314" i="84"/>
  <c r="H200" i="84"/>
  <c r="K38" i="82"/>
  <c r="R567" i="84"/>
  <c r="Q57" i="84"/>
  <c r="L197" i="84"/>
  <c r="R867" i="84"/>
  <c r="AS19" i="82"/>
  <c r="I45" i="82"/>
  <c r="J63" i="84"/>
  <c r="D620" i="84"/>
  <c r="G21" i="84"/>
  <c r="F51" i="84"/>
  <c r="A802" i="84"/>
  <c r="AA369" i="84"/>
  <c r="O276" i="84"/>
  <c r="L561" i="84"/>
  <c r="E743" i="84"/>
  <c r="O662" i="84"/>
  <c r="K27" i="82"/>
  <c r="V891" i="84"/>
  <c r="AZ24" i="82"/>
  <c r="AA281" i="84"/>
  <c r="E877" i="84"/>
  <c r="U469" i="84"/>
  <c r="T774" i="84"/>
  <c r="G221" i="84"/>
  <c r="H77" i="84"/>
  <c r="J550" i="84"/>
  <c r="X70" i="84"/>
  <c r="T32" i="84"/>
  <c r="O531" i="84"/>
  <c r="F322" i="84"/>
  <c r="W532" i="84"/>
  <c r="G895" i="84"/>
  <c r="L595" i="84"/>
  <c r="P160" i="84"/>
  <c r="R636" i="84"/>
  <c r="Q790" i="84"/>
  <c r="N737" i="84"/>
  <c r="E184" i="84"/>
  <c r="F102" i="84"/>
  <c r="AT16" i="82"/>
  <c r="M857" i="84"/>
  <c r="U146" i="84"/>
  <c r="D836" i="84"/>
  <c r="W326" i="84"/>
  <c r="A219" i="84"/>
  <c r="K478" i="84"/>
  <c r="T885" i="84"/>
  <c r="H642" i="84"/>
  <c r="T249" i="84"/>
  <c r="S689" i="84"/>
  <c r="T762" i="84"/>
  <c r="W615" i="84"/>
  <c r="N505" i="84"/>
  <c r="T340" i="84"/>
  <c r="Z861" i="84"/>
  <c r="W825" i="84"/>
  <c r="H41" i="84"/>
  <c r="R312" i="84"/>
  <c r="G34" i="84"/>
  <c r="Q942" i="84"/>
  <c r="U858" i="84"/>
  <c r="N536" i="84"/>
  <c r="AA847" i="84"/>
  <c r="U748" i="84"/>
  <c r="U621" i="84"/>
  <c r="F713" i="84"/>
  <c r="AT21" i="82"/>
  <c r="S185" i="84"/>
  <c r="U459" i="84"/>
  <c r="U25" i="84"/>
  <c r="U536" i="84"/>
  <c r="E611" i="84"/>
  <c r="N143" i="84"/>
  <c r="R513" i="84"/>
  <c r="AA179" i="84"/>
  <c r="G144" i="84"/>
  <c r="P135" i="84"/>
  <c r="J941" i="84"/>
  <c r="AQ27" i="82"/>
  <c r="P198" i="84"/>
  <c r="AN14" i="82"/>
  <c r="S243" i="84"/>
  <c r="O301" i="84"/>
  <c r="V260" i="84"/>
  <c r="Q941" i="84"/>
  <c r="R674" i="84"/>
  <c r="M283" i="84"/>
  <c r="AV35" i="82"/>
  <c r="W295" i="84"/>
  <c r="AF107" i="84"/>
  <c r="A384" i="84"/>
  <c r="O204" i="84"/>
  <c r="P37" i="84"/>
  <c r="F959" i="84"/>
  <c r="P501" i="84"/>
  <c r="G673" i="84"/>
  <c r="H299" i="84"/>
  <c r="P794" i="84"/>
  <c r="AF702" i="84"/>
  <c r="N705" i="84"/>
  <c r="Q369" i="84"/>
  <c r="Q42" i="82"/>
  <c r="S361" i="84"/>
  <c r="U111" i="84"/>
  <c r="J402" i="84"/>
  <c r="R682" i="84"/>
  <c r="V447" i="84"/>
  <c r="Q448" i="84"/>
  <c r="R196" i="84"/>
  <c r="W420" i="84"/>
  <c r="G279" i="84"/>
  <c r="N630" i="84"/>
  <c r="S11" i="84"/>
  <c r="S20" i="84"/>
  <c r="H481" i="84"/>
  <c r="AF439" i="84"/>
  <c r="X723" i="84"/>
  <c r="T89" i="84"/>
  <c r="AA40" i="84"/>
  <c r="G588" i="84"/>
  <c r="R614" i="84"/>
  <c r="O876" i="84"/>
  <c r="H714" i="84"/>
  <c r="P474" i="84"/>
  <c r="I16" i="82"/>
  <c r="M84" i="84"/>
  <c r="S166" i="84"/>
  <c r="Q364" i="84"/>
  <c r="M914" i="84"/>
  <c r="AM20" i="82"/>
  <c r="P382" i="84"/>
  <c r="U569" i="84"/>
  <c r="G42" i="82"/>
  <c r="J101" i="84"/>
  <c r="F954" i="84"/>
  <c r="I132" i="84"/>
  <c r="M381" i="84"/>
  <c r="I816" i="84"/>
  <c r="C585" i="84"/>
  <c r="P559" i="84"/>
  <c r="H823" i="84"/>
  <c r="O582" i="84"/>
  <c r="P36" i="84"/>
  <c r="E710" i="84"/>
  <c r="R171" i="84"/>
  <c r="U592" i="84"/>
  <c r="H372" i="84"/>
  <c r="Y700" i="84"/>
  <c r="AT40" i="82"/>
  <c r="AF924" i="84"/>
  <c r="U79" i="84"/>
  <c r="F396" i="84"/>
  <c r="O206" i="84"/>
  <c r="N438" i="84"/>
  <c r="AA330" i="84"/>
  <c r="R255" i="84"/>
  <c r="R962" i="84"/>
  <c r="M32" i="84"/>
  <c r="W541" i="84"/>
  <c r="V697" i="84"/>
  <c r="E441" i="84"/>
  <c r="Q309" i="84"/>
  <c r="P504" i="84"/>
  <c r="Q720" i="84"/>
  <c r="L296" i="84"/>
  <c r="T647" i="84"/>
  <c r="AX10" i="82"/>
  <c r="G730" i="84"/>
  <c r="W239" i="84"/>
  <c r="M415" i="84"/>
  <c r="C361" i="84"/>
  <c r="E849" i="84"/>
  <c r="K904" i="84"/>
  <c r="Q361" i="84"/>
  <c r="S491" i="84"/>
  <c r="U610" i="84"/>
  <c r="AL34" i="82"/>
  <c r="Q920" i="84"/>
  <c r="O267" i="84"/>
  <c r="Y439" i="84"/>
  <c r="Q237" i="84"/>
  <c r="R18" i="84"/>
  <c r="Y966" i="84"/>
  <c r="J491" i="84"/>
  <c r="AW10" i="82"/>
  <c r="S289" i="84"/>
  <c r="N480" i="84"/>
  <c r="O91" i="84"/>
  <c r="Q477" i="84"/>
  <c r="G532" i="84"/>
  <c r="T374" i="84"/>
  <c r="E284" i="84"/>
  <c r="H782" i="84"/>
  <c r="P828" i="84"/>
  <c r="N361" i="84"/>
  <c r="J348" i="84"/>
  <c r="Q641" i="84"/>
  <c r="O385" i="84"/>
  <c r="O648" i="84"/>
  <c r="M14" i="82"/>
  <c r="A879" i="84"/>
  <c r="N686" i="84"/>
  <c r="U657" i="84"/>
  <c r="G773" i="84"/>
  <c r="U174" i="84"/>
  <c r="AH41" i="82"/>
  <c r="O200" i="84"/>
  <c r="S746" i="84"/>
  <c r="BL16" i="82"/>
  <c r="N264" i="84"/>
  <c r="N35" i="84"/>
  <c r="M235" i="84"/>
  <c r="P801" i="84"/>
  <c r="C450" i="84"/>
  <c r="S530" i="84"/>
  <c r="J381" i="84"/>
  <c r="P714" i="84"/>
  <c r="Q551" i="84"/>
  <c r="E514" i="84"/>
  <c r="S649" i="84"/>
  <c r="E930" i="84"/>
  <c r="H857" i="84"/>
  <c r="Q322" i="84"/>
  <c r="H454" i="84"/>
  <c r="Z63" i="84"/>
  <c r="U349" i="84"/>
  <c r="K564" i="84"/>
  <c r="H373" i="84"/>
  <c r="R584" i="84"/>
  <c r="I373" i="84"/>
  <c r="P418" i="84"/>
  <c r="Q285" i="84"/>
  <c r="R310" i="84"/>
  <c r="AA109" i="84"/>
  <c r="V174" i="84"/>
  <c r="L867" i="84"/>
  <c r="T782" i="84"/>
  <c r="T295" i="84"/>
  <c r="K163" i="84"/>
  <c r="Q900" i="84"/>
  <c r="P296" i="84"/>
  <c r="P758" i="84"/>
  <c r="AQ9" i="82"/>
  <c r="U525" i="84"/>
  <c r="Q110" i="84"/>
  <c r="U277" i="84"/>
  <c r="Q696" i="84"/>
  <c r="M289" i="84"/>
  <c r="N461" i="84"/>
  <c r="X77" i="84"/>
  <c r="Y822" i="84"/>
  <c r="U829" i="84"/>
  <c r="M141" i="84"/>
  <c r="J681" i="84"/>
  <c r="G86" i="84"/>
  <c r="G457" i="84"/>
  <c r="N783" i="84"/>
  <c r="M626" i="84"/>
  <c r="T318" i="84"/>
  <c r="T680" i="84"/>
  <c r="H961" i="84"/>
  <c r="I593" i="84"/>
  <c r="N858" i="84"/>
  <c r="R895" i="84"/>
  <c r="Q522" i="84"/>
  <c r="S390" i="84"/>
  <c r="S335" i="84"/>
  <c r="G195" i="84"/>
  <c r="R720" i="84"/>
  <c r="S440" i="84"/>
  <c r="T369" i="84"/>
  <c r="AA222" i="84"/>
  <c r="S888" i="84"/>
  <c r="W472" i="84"/>
  <c r="W297" i="84"/>
  <c r="A106" i="84"/>
  <c r="W362" i="84"/>
  <c r="U492" i="84"/>
  <c r="X537" i="84"/>
  <c r="K89" i="84"/>
  <c r="O374" i="84"/>
  <c r="S258" i="84"/>
  <c r="G177" i="84"/>
  <c r="Q14" i="84"/>
  <c r="R155" i="84"/>
  <c r="Z282" i="84"/>
  <c r="F642" i="84"/>
  <c r="U313" i="84"/>
  <c r="L935" i="84"/>
  <c r="L743" i="84"/>
  <c r="J684" i="84"/>
  <c r="AP8" i="82"/>
  <c r="E655" i="84"/>
  <c r="E637" i="84"/>
  <c r="O742" i="84"/>
  <c r="Q140" i="84"/>
  <c r="H375" i="84"/>
  <c r="I425" i="84"/>
  <c r="T843" i="84"/>
  <c r="X577" i="84"/>
  <c r="S436" i="84"/>
  <c r="L541" i="84"/>
  <c r="M803" i="84"/>
  <c r="W773" i="84"/>
  <c r="O218" i="84"/>
  <c r="I764" i="84"/>
  <c r="X94" i="84"/>
  <c r="O535" i="84"/>
  <c r="Z325" i="84"/>
  <c r="Q331" i="84"/>
  <c r="AF100" i="84"/>
  <c r="J422" i="84"/>
  <c r="M176" i="84"/>
  <c r="N767" i="84"/>
  <c r="BC16" i="82"/>
  <c r="T50" i="84"/>
  <c r="E61" i="84"/>
  <c r="F591" i="84"/>
  <c r="W370" i="84"/>
  <c r="AA113" i="84"/>
  <c r="T92" i="84"/>
  <c r="U932" i="84"/>
  <c r="J396" i="84"/>
  <c r="Q638" i="84"/>
  <c r="S84" i="84"/>
  <c r="E262" i="84"/>
  <c r="K10" i="84"/>
  <c r="S879" i="84"/>
  <c r="E595" i="84"/>
  <c r="J383" i="84"/>
  <c r="S784" i="84"/>
  <c r="I533" i="84"/>
  <c r="AN26" i="82"/>
  <c r="Z626" i="84"/>
  <c r="T194" i="84"/>
  <c r="E72" i="84"/>
  <c r="J913" i="84"/>
  <c r="A195" i="84"/>
  <c r="M67" i="84"/>
  <c r="U930" i="84"/>
  <c r="V788" i="84"/>
  <c r="H347" i="84"/>
  <c r="P569" i="84"/>
  <c r="Q656" i="84"/>
  <c r="BG31" i="82"/>
  <c r="N66" i="84"/>
  <c r="L142" i="84"/>
  <c r="O545" i="84"/>
  <c r="O207" i="84"/>
  <c r="Y327" i="84"/>
  <c r="O355" i="84"/>
  <c r="I156" i="84"/>
  <c r="L46" i="82"/>
  <c r="T722" i="84"/>
  <c r="O750" i="84"/>
  <c r="P46" i="84"/>
  <c r="E787" i="84"/>
  <c r="L861" i="84"/>
  <c r="I372" i="84"/>
  <c r="S838" i="84"/>
  <c r="L31" i="84"/>
  <c r="R616" i="84"/>
  <c r="G787" i="84"/>
  <c r="AF11" i="82"/>
  <c r="E683" i="84"/>
  <c r="K344" i="84"/>
  <c r="O947" i="84"/>
  <c r="T397" i="84"/>
  <c r="R205" i="84"/>
  <c r="A694" i="84"/>
  <c r="R51" i="84"/>
  <c r="X386" i="84"/>
  <c r="P111" i="84"/>
  <c r="F376" i="84"/>
  <c r="O319" i="84"/>
  <c r="AF754" i="84"/>
  <c r="G509" i="84"/>
  <c r="P338" i="84"/>
  <c r="O361" i="84"/>
  <c r="V44" i="84"/>
  <c r="O601" i="84"/>
  <c r="V118" i="84"/>
  <c r="A101" i="84"/>
  <c r="S707" i="84"/>
  <c r="G249" i="84"/>
  <c r="G246" i="84"/>
  <c r="U519" i="84"/>
  <c r="H899" i="84"/>
  <c r="J538" i="84"/>
  <c r="O523" i="84"/>
  <c r="Q438" i="84"/>
  <c r="J474" i="84"/>
  <c r="F414" i="84"/>
  <c r="H489" i="84"/>
  <c r="F681" i="84"/>
  <c r="E575" i="84"/>
  <c r="P261" i="84"/>
  <c r="T549" i="84"/>
  <c r="E78" i="84"/>
  <c r="N102" i="84"/>
  <c r="J780" i="84"/>
  <c r="R835" i="84"/>
  <c r="X405" i="84"/>
  <c r="H841" i="84"/>
  <c r="U122" i="84"/>
  <c r="J148" i="84"/>
  <c r="M408" i="84"/>
  <c r="M581" i="84"/>
  <c r="F467" i="84"/>
  <c r="J773" i="84"/>
  <c r="O939" i="84"/>
  <c r="W861" i="84"/>
  <c r="Q445" i="84"/>
  <c r="P539" i="84"/>
  <c r="N829" i="84"/>
  <c r="R725" i="84"/>
  <c r="G610" i="84"/>
  <c r="N76" i="84"/>
  <c r="O588" i="84"/>
  <c r="U166" i="84"/>
  <c r="N775" i="84"/>
  <c r="U64" i="84"/>
  <c r="P812" i="84"/>
  <c r="O560" i="84"/>
  <c r="L555" i="84"/>
  <c r="Z789" i="84"/>
  <c r="S660" i="84"/>
  <c r="M490" i="84"/>
  <c r="J921" i="84"/>
  <c r="M164" i="84"/>
  <c r="S298" i="84"/>
  <c r="AE37" i="82"/>
  <c r="R495" i="84"/>
  <c r="H368" i="84"/>
  <c r="T412" i="84"/>
  <c r="R352" i="84"/>
  <c r="F807" i="84"/>
  <c r="Z918" i="84"/>
  <c r="H567" i="84"/>
  <c r="I790" i="84"/>
  <c r="L902" i="84"/>
  <c r="F565" i="84"/>
  <c r="X685" i="84"/>
  <c r="Q476" i="84"/>
  <c r="W593" i="84"/>
  <c r="J80" i="84"/>
  <c r="X12" i="84"/>
  <c r="R198" i="84"/>
  <c r="S434" i="84"/>
  <c r="J604" i="84"/>
  <c r="F472" i="84"/>
  <c r="H36" i="84"/>
  <c r="L742" i="84"/>
  <c r="H846" i="84"/>
  <c r="Q55" i="84"/>
  <c r="Z132" i="84"/>
  <c r="L355" i="84"/>
  <c r="J45" i="84"/>
  <c r="U158" i="84"/>
  <c r="S276" i="84"/>
  <c r="Q390" i="84"/>
  <c r="T34" i="82"/>
  <c r="J43" i="84"/>
  <c r="E87" i="84"/>
  <c r="P962" i="84"/>
  <c r="Q389" i="84"/>
  <c r="G119" i="84"/>
  <c r="S744" i="84"/>
  <c r="D662" i="84"/>
  <c r="N900" i="84"/>
  <c r="V135" i="84"/>
  <c r="AF723" i="84"/>
  <c r="H738" i="84"/>
  <c r="Q830" i="84"/>
  <c r="G755" i="84"/>
  <c r="P808" i="84"/>
  <c r="H12" i="84"/>
  <c r="BM39" i="82"/>
  <c r="R377" i="84"/>
  <c r="R270" i="84"/>
  <c r="E272" i="84"/>
  <c r="G235" i="84"/>
  <c r="Q478" i="84"/>
  <c r="R148" i="84"/>
  <c r="M396" i="84"/>
  <c r="R859" i="84"/>
  <c r="M540" i="84"/>
  <c r="F14" i="84"/>
  <c r="U274" i="84"/>
  <c r="U834" i="84"/>
  <c r="H580" i="84"/>
  <c r="F945" i="84"/>
  <c r="K14" i="84"/>
  <c r="S350" i="84"/>
  <c r="M551" i="84"/>
  <c r="H594" i="84"/>
  <c r="Z221" i="84"/>
  <c r="S173" i="84"/>
  <c r="Q527" i="84"/>
  <c r="BG26" i="82"/>
  <c r="L244" i="84"/>
  <c r="F375" i="84"/>
  <c r="E884" i="84"/>
  <c r="E686" i="84"/>
  <c r="L76" i="84"/>
  <c r="O606" i="84"/>
  <c r="B32" i="82"/>
  <c r="T535" i="84"/>
  <c r="T378" i="84"/>
  <c r="V364" i="84"/>
  <c r="H378" i="84"/>
  <c r="U245" i="84"/>
  <c r="Q710" i="84"/>
  <c r="N108" i="84"/>
  <c r="T191" i="84"/>
  <c r="R930" i="84"/>
  <c r="T619" i="84"/>
  <c r="S571" i="84"/>
  <c r="P576" i="84"/>
  <c r="E593" i="84"/>
  <c r="S175" i="84"/>
  <c r="G608" i="84"/>
  <c r="T493" i="84"/>
  <c r="AN19" i="82"/>
  <c r="H592" i="84"/>
  <c r="X247" i="84"/>
  <c r="BQ29" i="82"/>
  <c r="S128" i="84"/>
  <c r="K101" i="84"/>
  <c r="A328" i="84"/>
  <c r="Q849" i="84"/>
  <c r="J252" i="84"/>
  <c r="N568" i="84"/>
  <c r="R321" i="84"/>
  <c r="L826" i="84"/>
  <c r="M908" i="84"/>
  <c r="J318" i="84"/>
  <c r="G245" i="84"/>
  <c r="Z184" i="84"/>
  <c r="V328" i="84"/>
  <c r="N175" i="84"/>
  <c r="T865" i="84"/>
  <c r="AF841" i="84"/>
  <c r="U740" i="84"/>
  <c r="P42" i="84"/>
  <c r="G83" i="84"/>
  <c r="R484" i="84"/>
  <c r="Q735" i="84"/>
  <c r="F776" i="84"/>
  <c r="R820" i="84"/>
  <c r="S192" i="84"/>
  <c r="E26" i="82"/>
  <c r="N594" i="84"/>
  <c r="U200" i="84"/>
  <c r="R150" i="84"/>
  <c r="K742" i="84"/>
  <c r="P811" i="84"/>
  <c r="O520" i="84"/>
  <c r="H56" i="84"/>
  <c r="R412" i="84"/>
  <c r="Q93" i="84"/>
  <c r="O377" i="84"/>
  <c r="R21" i="84"/>
  <c r="R201" i="84"/>
  <c r="G12" i="82"/>
  <c r="K796" i="84"/>
  <c r="G222" i="84"/>
  <c r="Q257" i="84"/>
  <c r="V266" i="84"/>
  <c r="F335" i="84"/>
  <c r="H180" i="84"/>
  <c r="BE26" i="82"/>
  <c r="N816" i="84"/>
  <c r="M443" i="84"/>
  <c r="P311" i="84"/>
  <c r="R168" i="84"/>
  <c r="M710" i="84"/>
  <c r="N669" i="84"/>
  <c r="S800" i="84"/>
  <c r="W245" i="84"/>
  <c r="W546" i="84"/>
  <c r="R543" i="84"/>
  <c r="Q542" i="84"/>
  <c r="AY19" i="82"/>
  <c r="Q452" i="84"/>
  <c r="F411" i="84"/>
  <c r="E913" i="84"/>
  <c r="U819" i="84"/>
  <c r="R866" i="84"/>
  <c r="G173" i="84"/>
  <c r="AF265" i="84"/>
  <c r="J770" i="84"/>
  <c r="X370" i="84"/>
  <c r="Q155" i="84"/>
  <c r="W522" i="84"/>
  <c r="S618" i="84"/>
  <c r="S415" i="84"/>
  <c r="L937" i="84"/>
  <c r="U84" i="84"/>
  <c r="N491" i="84"/>
  <c r="U779" i="84"/>
  <c r="U955" i="84"/>
  <c r="U468" i="84"/>
  <c r="E644" i="84"/>
  <c r="H683" i="84"/>
  <c r="P636" i="84"/>
  <c r="Q128" i="84"/>
  <c r="AL9" i="82"/>
  <c r="N691" i="84"/>
  <c r="T893" i="84"/>
  <c r="E55" i="84"/>
  <c r="J137" i="84"/>
  <c r="R651" i="84"/>
  <c r="Z624" i="84"/>
  <c r="R430" i="84"/>
  <c r="J874" i="84"/>
  <c r="AF966" i="84"/>
  <c r="T429" i="84"/>
  <c r="G175" i="84"/>
  <c r="L470" i="84"/>
  <c r="T710" i="84"/>
  <c r="Q403" i="84"/>
  <c r="H19" i="84"/>
  <c r="U76" i="84"/>
  <c r="W390" i="84"/>
  <c r="O253" i="84"/>
  <c r="AF187" i="84"/>
  <c r="T134" i="84"/>
  <c r="Z175" i="84"/>
  <c r="L858" i="84"/>
  <c r="Z442" i="84"/>
  <c r="M798" i="84"/>
  <c r="L323" i="84"/>
  <c r="U891" i="84"/>
  <c r="T779" i="84"/>
  <c r="U41" i="84"/>
  <c r="N722" i="84"/>
  <c r="H826" i="84"/>
  <c r="AA565" i="84"/>
  <c r="T432" i="84"/>
  <c r="J751" i="84"/>
  <c r="AD45" i="82"/>
  <c r="T706" i="84"/>
  <c r="R864" i="84"/>
  <c r="Q882" i="84"/>
  <c r="X315" i="84"/>
  <c r="L672" i="84"/>
  <c r="P465" i="84"/>
  <c r="X806" i="84"/>
  <c r="R726" i="84"/>
  <c r="H478" i="84"/>
  <c r="Q18" i="84"/>
  <c r="N516" i="84"/>
  <c r="Z253" i="84"/>
  <c r="N723" i="84"/>
  <c r="H801" i="84"/>
  <c r="U846" i="84"/>
  <c r="R580" i="84"/>
  <c r="AR26" i="82"/>
  <c r="G964" i="84"/>
  <c r="P416" i="84"/>
  <c r="G899" i="84"/>
  <c r="R343" i="84"/>
  <c r="W948" i="84"/>
  <c r="G260" i="84"/>
  <c r="U281" i="84"/>
  <c r="P662" i="84"/>
  <c r="Q470" i="84"/>
  <c r="L533" i="84"/>
  <c r="S382" i="84"/>
  <c r="BM31" i="82"/>
  <c r="M469" i="84"/>
  <c r="S204" i="84"/>
  <c r="P410" i="84"/>
  <c r="T917" i="84"/>
  <c r="I769" i="84"/>
  <c r="Q764" i="84"/>
  <c r="T901" i="84"/>
  <c r="X915" i="84"/>
  <c r="P599" i="84"/>
  <c r="V387" i="84"/>
  <c r="E665" i="84"/>
  <c r="E810" i="84"/>
  <c r="T951" i="84"/>
  <c r="H883" i="84"/>
  <c r="H908" i="84"/>
  <c r="U67" i="84"/>
  <c r="N645" i="84"/>
  <c r="E408" i="84"/>
  <c r="AA402" i="84"/>
  <c r="L755" i="84"/>
  <c r="S366" i="84"/>
  <c r="O367" i="84"/>
  <c r="V841" i="84"/>
  <c r="V578" i="84"/>
  <c r="V717" i="84"/>
  <c r="O537" i="84"/>
  <c r="AI36" i="82"/>
  <c r="AF724" i="84"/>
  <c r="P199" i="84"/>
  <c r="H518" i="84"/>
  <c r="E682" i="84"/>
  <c r="R684" i="84"/>
  <c r="Q636" i="84"/>
  <c r="L592" i="84"/>
  <c r="F343" i="84"/>
  <c r="E68" i="84"/>
  <c r="H552" i="84"/>
  <c r="Q32" i="82"/>
  <c r="M40" i="84"/>
  <c r="J856" i="84"/>
  <c r="J658" i="84"/>
  <c r="AA694" i="84"/>
  <c r="AA26" i="82"/>
  <c r="F668" i="84"/>
  <c r="J363" i="84"/>
  <c r="A250" i="84"/>
  <c r="E622" i="84"/>
  <c r="M734" i="84"/>
  <c r="G349" i="84"/>
  <c r="W480" i="84"/>
  <c r="Q319" i="84"/>
  <c r="R817" i="84"/>
  <c r="AN18" i="82"/>
  <c r="Z875" i="84"/>
  <c r="H482" i="84"/>
  <c r="Q118" i="84"/>
  <c r="F325" i="84"/>
  <c r="F226" i="84"/>
  <c r="F801" i="84"/>
  <c r="P956" i="84"/>
  <c r="P555" i="84"/>
  <c r="R527" i="84"/>
  <c r="D871" i="84"/>
  <c r="O330" i="84"/>
  <c r="T627" i="84"/>
  <c r="AA22" i="84"/>
  <c r="S715" i="84"/>
  <c r="M143" i="84"/>
  <c r="U729" i="84"/>
  <c r="G757" i="84"/>
  <c r="U564" i="84"/>
  <c r="L304" i="84"/>
  <c r="R108" i="84"/>
  <c r="U210" i="84"/>
  <c r="C902" i="84"/>
  <c r="O151" i="84"/>
  <c r="W77" i="84"/>
  <c r="U263" i="84"/>
  <c r="T197" i="84"/>
  <c r="O282" i="84"/>
  <c r="O665" i="84"/>
  <c r="H452" i="84"/>
  <c r="Q125" i="84"/>
  <c r="J9" i="82"/>
  <c r="R868" i="84"/>
  <c r="T924" i="84"/>
  <c r="O581" i="84"/>
  <c r="U739" i="84"/>
  <c r="I956" i="84"/>
  <c r="O700" i="84"/>
  <c r="G428" i="84"/>
  <c r="W841" i="84"/>
  <c r="F743" i="84"/>
  <c r="Y803" i="84"/>
  <c r="R306" i="84"/>
  <c r="U695" i="84"/>
  <c r="BG38" i="82"/>
  <c r="K242" i="84"/>
  <c r="N291" i="84"/>
  <c r="P852" i="84"/>
  <c r="R158" i="84"/>
  <c r="N743" i="84"/>
  <c r="K20" i="84"/>
  <c r="C576" i="84"/>
  <c r="H141" i="84"/>
  <c r="L181" i="84"/>
  <c r="V111" i="84"/>
  <c r="R179" i="84"/>
  <c r="F888" i="84"/>
  <c r="N184" i="84"/>
  <c r="AA572" i="84"/>
  <c r="P747" i="84"/>
  <c r="P668" i="84"/>
  <c r="G841" i="84"/>
  <c r="F955" i="84"/>
  <c r="Y820" i="84"/>
  <c r="I282" i="84"/>
  <c r="G541" i="84"/>
  <c r="P526" i="84"/>
  <c r="H872" i="84"/>
  <c r="U546" i="84"/>
  <c r="AA302" i="84"/>
  <c r="O251" i="84"/>
  <c r="R14" i="82"/>
  <c r="J694" i="84"/>
  <c r="G284" i="84"/>
  <c r="R522" i="84"/>
  <c r="F630" i="84"/>
  <c r="V834" i="84"/>
  <c r="A420" i="84"/>
  <c r="U698" i="84"/>
  <c r="Y137" i="84"/>
  <c r="AX9" i="82"/>
  <c r="S148" i="84"/>
  <c r="U624" i="84"/>
  <c r="M379" i="84"/>
  <c r="U164" i="84"/>
  <c r="M938" i="84"/>
  <c r="M559" i="84"/>
  <c r="P666" i="84"/>
  <c r="Z343" i="84"/>
  <c r="H341" i="84"/>
  <c r="P627" i="84"/>
  <c r="O783" i="84"/>
  <c r="O896" i="84"/>
  <c r="AX11" i="82"/>
  <c r="J930" i="84"/>
  <c r="S735" i="84"/>
  <c r="N733" i="84"/>
  <c r="P154" i="84"/>
  <c r="O65" i="84"/>
  <c r="S375" i="84"/>
  <c r="L530" i="84"/>
  <c r="E225" i="84"/>
  <c r="H60" i="84"/>
  <c r="V449" i="84"/>
  <c r="T543" i="84"/>
  <c r="P671" i="84"/>
  <c r="P30" i="84"/>
  <c r="U708" i="84"/>
  <c r="K926" i="84"/>
  <c r="V101" i="84"/>
  <c r="S286" i="84"/>
  <c r="P7" i="84"/>
  <c r="K257" i="84"/>
  <c r="O163" i="84"/>
  <c r="E889" i="84"/>
  <c r="Y486" i="84"/>
  <c r="U626" i="84"/>
  <c r="Z369" i="84"/>
  <c r="R217" i="84"/>
  <c r="Z82" i="84"/>
  <c r="H624" i="84"/>
  <c r="E646" i="84"/>
  <c r="E674" i="84"/>
  <c r="L834" i="84"/>
  <c r="J196" i="84"/>
  <c r="U186" i="84"/>
  <c r="E600" i="84"/>
  <c r="R588" i="84"/>
  <c r="L15" i="84"/>
  <c r="T380" i="84"/>
  <c r="O51" i="84"/>
  <c r="R8" i="84"/>
  <c r="Q631" i="84"/>
  <c r="H858" i="84"/>
  <c r="J934" i="84"/>
  <c r="AK45" i="82"/>
  <c r="P844" i="84"/>
  <c r="D848" i="84"/>
  <c r="U429" i="84"/>
  <c r="J204" i="84"/>
  <c r="O539" i="84"/>
  <c r="H940" i="84"/>
  <c r="K828" i="84"/>
  <c r="G843" i="84"/>
  <c r="L384" i="84"/>
  <c r="O488" i="84"/>
  <c r="N449" i="84"/>
  <c r="W21" i="84"/>
  <c r="J112" i="84"/>
  <c r="R904" i="84"/>
  <c r="AP26" i="82"/>
  <c r="P87" i="84"/>
  <c r="H335" i="84"/>
  <c r="BF12" i="82"/>
  <c r="E42" i="82"/>
  <c r="T587" i="84"/>
  <c r="F569" i="84"/>
  <c r="P644" i="84"/>
  <c r="P518" i="84"/>
  <c r="F758" i="84"/>
  <c r="Q124" i="84"/>
  <c r="N530" i="84"/>
  <c r="Q950" i="84"/>
  <c r="P175" i="84"/>
  <c r="Q312" i="84"/>
  <c r="U207" i="84"/>
  <c r="U679" i="84"/>
  <c r="BD31" i="82"/>
  <c r="P250" i="84"/>
  <c r="Z471" i="84"/>
  <c r="Q89" i="84"/>
  <c r="R28" i="84"/>
  <c r="D14" i="82"/>
  <c r="U195" i="84"/>
  <c r="U380" i="84"/>
  <c r="AL11" i="82"/>
  <c r="Q940" i="84"/>
  <c r="N734" i="84"/>
  <c r="Q501" i="84"/>
  <c r="AA128" i="84"/>
  <c r="O298" i="84"/>
  <c r="S284" i="84"/>
  <c r="AS35" i="82"/>
  <c r="S9" i="82"/>
  <c r="AA941" i="84"/>
  <c r="Q95" i="84"/>
  <c r="Z933" i="84"/>
  <c r="A179" i="84"/>
  <c r="O834" i="84"/>
  <c r="T923" i="84"/>
  <c r="N151" i="84"/>
  <c r="R648" i="84"/>
  <c r="Q336" i="84"/>
  <c r="L740" i="84"/>
  <c r="G705" i="84"/>
  <c r="H616" i="84"/>
  <c r="N523" i="84"/>
  <c r="N353" i="84"/>
  <c r="S700" i="84"/>
  <c r="R386" i="84"/>
  <c r="Q36" i="84"/>
  <c r="T464" i="84"/>
  <c r="U715" i="84"/>
  <c r="T708" i="84"/>
  <c r="O30" i="82"/>
  <c r="O633" i="84"/>
  <c r="W258" i="84"/>
  <c r="Q569" i="84"/>
  <c r="AA812" i="84"/>
  <c r="L209" i="84"/>
  <c r="Q554" i="84"/>
  <c r="O159" i="84"/>
  <c r="G359" i="84"/>
  <c r="W815" i="84"/>
  <c r="G629" i="84"/>
  <c r="X878" i="84"/>
  <c r="A54" i="84"/>
  <c r="AA460" i="84"/>
  <c r="F632" i="84"/>
  <c r="Q916" i="84"/>
  <c r="Y324" i="84"/>
  <c r="G315" i="84"/>
  <c r="N964" i="84"/>
  <c r="J945" i="84"/>
  <c r="O888" i="84"/>
  <c r="L312" i="84"/>
  <c r="K42" i="84"/>
  <c r="U13" i="84"/>
  <c r="F83" i="84"/>
  <c r="G927" i="84"/>
  <c r="M9" i="84"/>
  <c r="G341" i="84"/>
  <c r="L98" i="84"/>
  <c r="Q809" i="84"/>
  <c r="N688" i="84"/>
  <c r="H768" i="84"/>
  <c r="H39" i="84"/>
  <c r="R860" i="84"/>
  <c r="W119" i="84"/>
  <c r="R134" i="84"/>
  <c r="W783" i="84"/>
  <c r="M242" i="84"/>
  <c r="T262" i="84"/>
  <c r="I561" i="84"/>
  <c r="G536" i="84"/>
  <c r="J230" i="84"/>
  <c r="M423" i="84"/>
  <c r="J797" i="84"/>
  <c r="Q792" i="84"/>
  <c r="S760" i="84"/>
  <c r="O242" i="84"/>
  <c r="J565" i="84"/>
  <c r="G579" i="84"/>
  <c r="I791" i="84"/>
  <c r="O464" i="84"/>
  <c r="T9" i="82"/>
  <c r="I677" i="84"/>
  <c r="P847" i="84"/>
  <c r="R611" i="84"/>
  <c r="J48" i="84"/>
  <c r="F896" i="84"/>
  <c r="Q646" i="84"/>
  <c r="T208" i="84"/>
  <c r="T480" i="84"/>
  <c r="V821" i="84"/>
  <c r="N865" i="84"/>
  <c r="R318" i="84"/>
  <c r="H734" i="84"/>
  <c r="D493" i="84"/>
  <c r="L823" i="84"/>
  <c r="I590" i="84"/>
  <c r="U516" i="84"/>
  <c r="S687" i="84"/>
  <c r="H402" i="84"/>
  <c r="H788" i="84"/>
  <c r="L540" i="84"/>
  <c r="L221" i="84"/>
  <c r="S874" i="84"/>
  <c r="T297" i="84"/>
  <c r="AS33" i="82"/>
  <c r="E315" i="84"/>
  <c r="I34" i="82"/>
  <c r="J305" i="84"/>
  <c r="R795" i="84"/>
  <c r="X462" i="84"/>
  <c r="P890" i="84"/>
  <c r="K302" i="84"/>
  <c r="Y446" i="84"/>
  <c r="L950" i="84"/>
  <c r="S869" i="84"/>
  <c r="I40" i="82"/>
  <c r="K92" i="84"/>
  <c r="W190" i="84"/>
  <c r="P775" i="84"/>
  <c r="K394" i="84"/>
  <c r="G10" i="84"/>
  <c r="V88" i="84"/>
  <c r="L832" i="84"/>
  <c r="D865" i="84"/>
  <c r="H575" i="84"/>
  <c r="P229" i="84"/>
  <c r="AA522" i="84"/>
  <c r="Z60" i="84"/>
  <c r="X595" i="84"/>
  <c r="S887" i="84"/>
  <c r="S751" i="84"/>
  <c r="F178" i="84"/>
  <c r="J798" i="84"/>
  <c r="M766" i="84"/>
  <c r="O239" i="84"/>
  <c r="AG38" i="82"/>
  <c r="S364" i="84"/>
  <c r="H321" i="84"/>
  <c r="M497" i="84"/>
  <c r="J788" i="84"/>
  <c r="J380" i="84"/>
  <c r="S116" i="84"/>
  <c r="C776" i="84"/>
  <c r="M811" i="84"/>
  <c r="N306" i="84"/>
  <c r="F936" i="84"/>
  <c r="G663" i="84"/>
  <c r="J844" i="84"/>
  <c r="S427" i="84"/>
  <c r="R163" i="84"/>
  <c r="A548" i="84"/>
  <c r="P905" i="84"/>
  <c r="N899" i="84"/>
  <c r="T592" i="84"/>
  <c r="F305" i="84"/>
  <c r="H707" i="84"/>
  <c r="M629" i="84"/>
  <c r="Q286" i="84"/>
  <c r="F615" i="84"/>
  <c r="T630" i="84"/>
  <c r="N791" i="84"/>
  <c r="R727" i="84"/>
  <c r="F695" i="84"/>
  <c r="V7" i="84"/>
  <c r="Q265" i="84"/>
  <c r="U737" i="84"/>
  <c r="E776" i="84"/>
  <c r="T692" i="84"/>
  <c r="O12" i="82"/>
  <c r="BM28" i="82"/>
  <c r="P554" i="84"/>
  <c r="R390" i="84"/>
  <c r="O910" i="84"/>
  <c r="T902" i="84"/>
  <c r="O244" i="84"/>
  <c r="AF40" i="84"/>
  <c r="AA22" i="82"/>
  <c r="W719" i="84"/>
  <c r="H696" i="84"/>
  <c r="U557" i="84"/>
  <c r="Z531" i="84"/>
  <c r="Z569" i="84"/>
  <c r="E837" i="84"/>
  <c r="BK254" i="84"/>
  <c r="T805" i="84"/>
  <c r="J7" i="84"/>
  <c r="Q643" i="84"/>
  <c r="I795" i="84"/>
  <c r="Q713" i="84"/>
  <c r="V501" i="84"/>
  <c r="AG9" i="82"/>
  <c r="G57" i="84"/>
  <c r="D924" i="84"/>
  <c r="I398" i="84"/>
  <c r="U170" i="84"/>
  <c r="S332" i="84"/>
  <c r="K590" i="84"/>
  <c r="Q65" i="84"/>
  <c r="G958" i="84"/>
  <c r="H279" i="84"/>
  <c r="AO24" i="82"/>
  <c r="O877" i="84"/>
  <c r="S99" i="84"/>
  <c r="U639" i="84"/>
  <c r="W188" i="84"/>
  <c r="G752" i="84"/>
  <c r="W274" i="84"/>
  <c r="N937" i="84"/>
  <c r="Z418" i="84"/>
  <c r="K353" i="84"/>
  <c r="V704" i="84"/>
  <c r="A14" i="84"/>
  <c r="R951" i="84"/>
  <c r="P563" i="84"/>
  <c r="P70" i="84"/>
  <c r="BZ32" i="82"/>
  <c r="V660" i="84"/>
  <c r="A406" i="84"/>
  <c r="T195" i="84"/>
  <c r="R935" i="84"/>
  <c r="Q815" i="84"/>
  <c r="F166" i="84"/>
  <c r="G261" i="84"/>
  <c r="T494" i="84"/>
  <c r="O483" i="84"/>
  <c r="I882" i="84"/>
  <c r="N59" i="84"/>
  <c r="R130" i="84"/>
  <c r="Q848" i="84"/>
  <c r="J426" i="84"/>
  <c r="BG22" i="82"/>
  <c r="M209" i="84"/>
  <c r="O278" i="84"/>
  <c r="T883" i="84"/>
  <c r="H461" i="84"/>
  <c r="T458" i="84"/>
  <c r="I923" i="84"/>
  <c r="X341" i="84"/>
  <c r="J397" i="84"/>
  <c r="H100" i="84"/>
  <c r="Q567" i="84"/>
  <c r="S340" i="84"/>
  <c r="L599" i="84"/>
  <c r="O942" i="84"/>
  <c r="O24" i="84"/>
  <c r="Z277" i="84"/>
  <c r="I519" i="84"/>
  <c r="P71" i="84"/>
  <c r="K859" i="84"/>
  <c r="T10" i="82"/>
  <c r="G162" i="84"/>
  <c r="L585" i="84"/>
  <c r="K284" i="84"/>
  <c r="I681" i="84"/>
  <c r="J857" i="84"/>
  <c r="X590" i="84"/>
  <c r="O252" i="84"/>
  <c r="G556" i="84"/>
  <c r="O685" i="84"/>
  <c r="G231" i="84"/>
  <c r="J51" i="84"/>
  <c r="J462" i="84"/>
  <c r="AY8" i="82"/>
  <c r="L661" i="84"/>
  <c r="V845" i="84"/>
  <c r="W868" i="84"/>
  <c r="H396" i="84"/>
  <c r="S763" i="84"/>
  <c r="Z829" i="84"/>
  <c r="A622" i="84"/>
  <c r="V448" i="84"/>
  <c r="S772" i="84"/>
  <c r="W401" i="84"/>
  <c r="T820" i="84"/>
  <c r="Z798" i="84"/>
  <c r="S832" i="84"/>
  <c r="T30" i="84"/>
  <c r="W533" i="84"/>
  <c r="F958" i="84"/>
  <c r="N780" i="84"/>
  <c r="H539" i="84"/>
  <c r="L633" i="84"/>
  <c r="H748" i="84"/>
  <c r="N310" i="84"/>
  <c r="O686" i="84"/>
  <c r="U817" i="84"/>
  <c r="H838" i="84"/>
  <c r="O86" i="84"/>
  <c r="V797" i="84"/>
  <c r="P954" i="84"/>
  <c r="AF876" i="84"/>
  <c r="T552" i="84"/>
  <c r="N309" i="84"/>
  <c r="F911" i="84"/>
  <c r="T738" i="84"/>
  <c r="J591" i="84"/>
  <c r="Z241" i="84"/>
  <c r="J134" i="84"/>
  <c r="R736" i="84"/>
  <c r="K23" i="84"/>
  <c r="AN37" i="82"/>
  <c r="J143" i="84"/>
  <c r="T830" i="84"/>
  <c r="J955" i="84"/>
  <c r="S199" i="84"/>
  <c r="BN12" i="82"/>
  <c r="X61" i="84"/>
  <c r="P446" i="84"/>
  <c r="F56" i="84"/>
  <c r="A275" i="84"/>
  <c r="J628" i="84"/>
  <c r="T583" i="84"/>
  <c r="R224" i="84"/>
  <c r="G623" i="84"/>
  <c r="C878" i="84"/>
  <c r="U127" i="84"/>
  <c r="Q36" i="82"/>
  <c r="G561" i="84"/>
  <c r="M509" i="84"/>
  <c r="N288" i="84"/>
  <c r="R144" i="84"/>
  <c r="L330" i="84"/>
  <c r="M539" i="84"/>
  <c r="U842" i="84"/>
  <c r="V161" i="84"/>
  <c r="O907" i="84"/>
  <c r="E635" i="84"/>
  <c r="O846" i="84"/>
  <c r="T624" i="84"/>
  <c r="AA15" i="82"/>
  <c r="E354" i="84"/>
  <c r="U330" i="84"/>
  <c r="H955" i="84"/>
  <c r="Q321" i="84"/>
  <c r="Z281" i="84"/>
  <c r="Q799" i="84"/>
  <c r="E533" i="84"/>
  <c r="J345" i="84"/>
  <c r="E288" i="84"/>
  <c r="Q163" i="84"/>
  <c r="O126" i="84"/>
  <c r="T748" i="84"/>
  <c r="S731" i="84"/>
  <c r="U850" i="84"/>
  <c r="H614" i="84"/>
  <c r="Q271" i="84"/>
  <c r="F70" i="84"/>
  <c r="G679" i="84"/>
  <c r="N581" i="84"/>
  <c r="Q789" i="84"/>
  <c r="E844" i="84"/>
  <c r="J492" i="84"/>
  <c r="H769" i="84"/>
  <c r="AA448" i="84"/>
  <c r="L644" i="84"/>
  <c r="S506" i="84"/>
  <c r="AA726" i="84"/>
  <c r="N125" i="84"/>
  <c r="E160" i="84"/>
  <c r="F37" i="82"/>
  <c r="AA264" i="84"/>
  <c r="W455" i="84"/>
  <c r="M273" i="84"/>
  <c r="N847" i="84"/>
  <c r="L205" i="84"/>
  <c r="AF420" i="84"/>
  <c r="S833" i="84"/>
  <c r="T95" i="84"/>
  <c r="U835" i="84"/>
  <c r="N910" i="84"/>
  <c r="T697" i="84"/>
  <c r="T896" i="84"/>
  <c r="N698" i="84"/>
  <c r="S426" i="84"/>
  <c r="P374" i="84"/>
  <c r="F673" i="84"/>
  <c r="I476" i="84"/>
  <c r="E267" i="84"/>
  <c r="AU24" i="82"/>
  <c r="S229" i="84"/>
  <c r="S736" i="84"/>
  <c r="AZ42" i="82"/>
  <c r="Z179" i="84"/>
  <c r="L359" i="84"/>
  <c r="T146" i="84"/>
  <c r="F941" i="84"/>
  <c r="G27" i="84"/>
  <c r="P745" i="84"/>
  <c r="U285" i="84"/>
  <c r="G35" i="84"/>
  <c r="V59" i="84"/>
  <c r="K647" i="84"/>
  <c r="E888" i="84"/>
  <c r="N552" i="84"/>
  <c r="H867" i="84"/>
  <c r="E238" i="84"/>
  <c r="U802" i="84"/>
  <c r="G635" i="84"/>
  <c r="T312" i="84"/>
  <c r="H773" i="84"/>
  <c r="Y862" i="84"/>
  <c r="Z693" i="84"/>
  <c r="AS36" i="82"/>
  <c r="R66" i="84"/>
  <c r="J637" i="84"/>
  <c r="S503" i="84"/>
  <c r="X713" i="84"/>
  <c r="A146" i="84"/>
  <c r="S882" i="84"/>
  <c r="G437" i="84"/>
  <c r="Q402" i="84"/>
  <c r="P289" i="84"/>
  <c r="W392" i="84"/>
  <c r="AO36" i="82"/>
  <c r="G378" i="84"/>
  <c r="AK35" i="82"/>
  <c r="O916" i="84"/>
  <c r="P766" i="84"/>
  <c r="I618" i="84"/>
  <c r="E500" i="84"/>
  <c r="J562" i="84"/>
  <c r="R43" i="84"/>
  <c r="F133" i="84"/>
  <c r="J295" i="84"/>
  <c r="T199" i="84"/>
  <c r="N764" i="84"/>
  <c r="K770" i="84"/>
  <c r="G297" i="84"/>
  <c r="G816" i="84"/>
  <c r="AA311" i="84"/>
  <c r="T7" i="84"/>
  <c r="R401" i="84"/>
  <c r="J810" i="84"/>
  <c r="N183" i="84"/>
  <c r="Z587" i="84"/>
  <c r="AN10" i="82"/>
  <c r="P50" i="84"/>
  <c r="Y785" i="84"/>
  <c r="H334" i="84"/>
  <c r="U773" i="84"/>
  <c r="T928" i="84"/>
  <c r="Q861" i="84"/>
  <c r="E296" i="84"/>
  <c r="G925" i="84"/>
  <c r="H966" i="84"/>
  <c r="U645" i="84"/>
  <c r="Y430" i="84"/>
  <c r="Q824" i="84"/>
  <c r="P349" i="84"/>
  <c r="S178" i="84"/>
  <c r="T70" i="84"/>
  <c r="H440" i="84"/>
  <c r="AF712" i="84"/>
  <c r="H771" i="84"/>
  <c r="F529" i="84"/>
  <c r="T526" i="84"/>
  <c r="J831" i="84"/>
  <c r="T649" i="84"/>
  <c r="V956" i="84"/>
  <c r="D653" i="84"/>
  <c r="S158" i="84"/>
  <c r="J898" i="84"/>
  <c r="E350" i="84"/>
  <c r="R138" i="84"/>
  <c r="U654" i="84"/>
  <c r="N533" i="84"/>
  <c r="S843" i="84"/>
  <c r="S798" i="84"/>
  <c r="O198" i="84"/>
  <c r="Q88" i="84"/>
  <c r="AT13" i="82"/>
  <c r="S936" i="84"/>
  <c r="P40" i="84"/>
  <c r="T575" i="84"/>
  <c r="Q382" i="84"/>
  <c r="J372" i="84"/>
  <c r="AW24" i="82"/>
  <c r="O15" i="84"/>
  <c r="N893" i="84"/>
  <c r="Z428" i="84"/>
  <c r="Q63" i="84"/>
  <c r="N926" i="84"/>
  <c r="P517" i="84"/>
  <c r="AA182" i="84"/>
  <c r="AF656" i="84"/>
  <c r="N349" i="84"/>
  <c r="R954" i="84"/>
  <c r="J633" i="84"/>
  <c r="Y537" i="84"/>
  <c r="M92" i="84"/>
  <c r="H190" i="84"/>
  <c r="R232" i="84"/>
  <c r="W797" i="84"/>
  <c r="AA717" i="84"/>
  <c r="H882" i="84"/>
  <c r="O176" i="84"/>
  <c r="Y635" i="84"/>
  <c r="S61" i="84"/>
  <c r="S663" i="84"/>
  <c r="O822" i="84"/>
  <c r="Q739" i="84"/>
  <c r="BN10" i="82"/>
  <c r="AV44" i="82"/>
  <c r="U547" i="84"/>
  <c r="L800" i="84"/>
  <c r="S260" i="84"/>
  <c r="AF142" i="84"/>
  <c r="AZ29" i="82"/>
  <c r="R239" i="84"/>
  <c r="O838" i="84"/>
  <c r="M34" i="84"/>
  <c r="F736" i="84"/>
  <c r="J192" i="84"/>
  <c r="N261" i="84"/>
  <c r="O270" i="84"/>
  <c r="E431" i="84"/>
  <c r="P357" i="84"/>
  <c r="T642" i="84"/>
  <c r="R391" i="84"/>
  <c r="Y891" i="84"/>
  <c r="H678" i="84"/>
  <c r="AA366" i="84"/>
  <c r="Z809" i="84"/>
  <c r="N836" i="84"/>
  <c r="U512" i="84"/>
  <c r="T211" i="84"/>
  <c r="Q637" i="84"/>
  <c r="J290" i="84"/>
  <c r="N26" i="82"/>
  <c r="BD23" i="82"/>
  <c r="L802" i="84"/>
  <c r="Z169" i="84"/>
  <c r="M40" i="82"/>
  <c r="T335" i="84"/>
  <c r="AA692" i="84"/>
  <c r="H178" i="84"/>
  <c r="R102" i="84"/>
  <c r="AF275" i="84"/>
  <c r="J868" i="84"/>
  <c r="E213" i="84"/>
  <c r="AF227" i="84"/>
  <c r="BJ284" i="84"/>
  <c r="Q377" i="84"/>
  <c r="O747" i="84"/>
  <c r="O764" i="84"/>
  <c r="Q262" i="84"/>
  <c r="R802" i="84"/>
  <c r="Z86" i="84"/>
  <c r="O226" i="84"/>
  <c r="R653" i="84"/>
  <c r="J197" i="84"/>
  <c r="R824" i="84"/>
  <c r="R365" i="84"/>
  <c r="S121" i="84"/>
  <c r="Q784" i="84"/>
  <c r="K219" i="84"/>
  <c r="J738" i="84"/>
  <c r="AA316" i="84"/>
  <c r="N75" i="84"/>
  <c r="O891" i="84"/>
  <c r="H150" i="84"/>
  <c r="S624" i="84"/>
  <c r="X931" i="84"/>
  <c r="Q706" i="84"/>
  <c r="Q46" i="84"/>
  <c r="L410" i="84"/>
  <c r="G931" i="84"/>
  <c r="R301" i="84"/>
  <c r="Y872" i="84"/>
  <c r="Q914" i="84"/>
  <c r="O885" i="84"/>
  <c r="N435" i="84"/>
  <c r="Q288" i="84"/>
  <c r="H637" i="84"/>
  <c r="AX8" i="82"/>
  <c r="G544" i="84"/>
  <c r="G546" i="84"/>
  <c r="Y809" i="84"/>
  <c r="G40" i="84"/>
  <c r="F601" i="84"/>
  <c r="P66" i="84"/>
  <c r="P215" i="84"/>
  <c r="F363" i="84"/>
  <c r="N462" i="84"/>
  <c r="O106" i="84"/>
  <c r="L193" i="84"/>
  <c r="R491" i="84"/>
  <c r="I36" i="82"/>
  <c r="K579" i="84"/>
  <c r="AA803" i="84"/>
  <c r="Z279" i="84"/>
  <c r="S793" i="84"/>
  <c r="U752" i="84"/>
  <c r="O281" i="84"/>
  <c r="Q600" i="84"/>
  <c r="T609" i="84"/>
  <c r="T485" i="84"/>
  <c r="X697" i="84"/>
  <c r="U108" i="84"/>
  <c r="O142" i="84"/>
  <c r="AJ18" i="82"/>
  <c r="E529" i="84"/>
  <c r="G719" i="84"/>
  <c r="X565" i="84"/>
  <c r="Z744" i="84"/>
  <c r="U485" i="84"/>
  <c r="W171" i="84"/>
  <c r="G845" i="84"/>
  <c r="L783" i="84"/>
  <c r="K234" i="84"/>
  <c r="R953" i="84"/>
  <c r="Q701" i="84"/>
  <c r="R733" i="84"/>
  <c r="M641" i="84"/>
  <c r="H944" i="84"/>
  <c r="N443" i="84"/>
  <c r="L712" i="84"/>
  <c r="Q708" i="84"/>
  <c r="J543" i="84"/>
  <c r="AO10" i="82"/>
  <c r="T43" i="84"/>
  <c r="Q304" i="84"/>
  <c r="F349" i="84"/>
  <c r="T763" i="84"/>
  <c r="G529" i="84"/>
  <c r="G671" i="84"/>
  <c r="L774" i="84"/>
  <c r="J20" i="82"/>
  <c r="H59" i="84"/>
  <c r="F928" i="84"/>
  <c r="N256" i="84"/>
  <c r="K93" i="84"/>
  <c r="J825" i="84"/>
  <c r="J632" i="84"/>
  <c r="E616" i="84"/>
  <c r="F872" i="84"/>
  <c r="T285" i="84"/>
  <c r="AW9" i="82"/>
  <c r="AQ44" i="82"/>
  <c r="P255" i="84"/>
  <c r="J350" i="84"/>
  <c r="J711" i="84"/>
  <c r="Y642" i="84"/>
  <c r="M208" i="84"/>
  <c r="P715" i="84"/>
  <c r="H115" i="84"/>
  <c r="AF28" i="82"/>
  <c r="J10" i="82"/>
  <c r="P381" i="84"/>
  <c r="S79" i="84"/>
  <c r="Q226" i="84"/>
  <c r="P598" i="84"/>
  <c r="G872" i="84"/>
  <c r="E474" i="84"/>
  <c r="T166" i="84"/>
  <c r="T172" i="84"/>
  <c r="I944" i="84"/>
  <c r="H879" i="84"/>
  <c r="P637" i="84"/>
  <c r="Y178" i="84"/>
  <c r="O21" i="84"/>
  <c r="E571" i="84"/>
  <c r="N681" i="84"/>
  <c r="AT8" i="82"/>
  <c r="G506" i="84"/>
  <c r="O118" i="84"/>
  <c r="C37" i="82"/>
  <c r="Y919" i="84"/>
  <c r="AF164" i="84"/>
  <c r="L753" i="84"/>
  <c r="P206" i="84"/>
  <c r="X365" i="84"/>
  <c r="H821" i="84"/>
  <c r="AI24" i="82"/>
  <c r="BZ45" i="82"/>
  <c r="A393" i="84"/>
  <c r="U504" i="84"/>
  <c r="Y281" i="84"/>
  <c r="R724" i="84"/>
  <c r="P900" i="84"/>
  <c r="X133" i="84"/>
  <c r="H36" i="82"/>
  <c r="V875" i="84"/>
  <c r="F932" i="84"/>
  <c r="U644" i="84"/>
  <c r="O634" i="84"/>
  <c r="A794" i="84"/>
  <c r="O791" i="84"/>
  <c r="Q926" i="84"/>
  <c r="R25" i="84"/>
  <c r="R711" i="84"/>
  <c r="X257" i="84"/>
  <c r="T252" i="84"/>
  <c r="R83" i="84"/>
  <c r="S215" i="84"/>
  <c r="F906" i="84"/>
  <c r="P950" i="84"/>
  <c r="T944" i="84"/>
  <c r="O719" i="84"/>
  <c r="N631" i="84"/>
  <c r="G726" i="84"/>
  <c r="R33" i="84"/>
  <c r="K37" i="82"/>
  <c r="T757" i="84"/>
  <c r="N86" i="84"/>
  <c r="Q930" i="84"/>
  <c r="J44" i="84"/>
  <c r="S423" i="84"/>
  <c r="N563" i="84"/>
  <c r="K834" i="84"/>
  <c r="Z681" i="84"/>
  <c r="U192" i="84"/>
  <c r="H475" i="84"/>
  <c r="L910" i="84"/>
  <c r="R350" i="84"/>
  <c r="K502" i="84"/>
  <c r="AF458" i="84"/>
  <c r="U670" i="84"/>
  <c r="H32" i="82"/>
  <c r="V403" i="84"/>
  <c r="Y610" i="84"/>
  <c r="AD31" i="82"/>
  <c r="A867" i="84"/>
  <c r="R486" i="84"/>
  <c r="T878" i="84"/>
  <c r="T116" i="84"/>
  <c r="V699" i="84"/>
  <c r="L468" i="84"/>
  <c r="R695" i="84"/>
  <c r="W419" i="84"/>
  <c r="H900" i="84"/>
  <c r="BQ41" i="82"/>
  <c r="C923" i="84"/>
  <c r="BZ31" i="82"/>
  <c r="N227" i="84"/>
  <c r="Y871" i="84"/>
  <c r="Z506" i="84"/>
  <c r="O767" i="84"/>
  <c r="F487" i="84"/>
  <c r="N19" i="84"/>
  <c r="K838" i="84"/>
  <c r="H577" i="84"/>
  <c r="AH25" i="82"/>
  <c r="I635" i="84"/>
  <c r="S240" i="84"/>
  <c r="P691" i="84"/>
  <c r="O295" i="84"/>
  <c r="V442" i="84"/>
  <c r="L684" i="84"/>
  <c r="N604" i="84"/>
  <c r="N242" i="84"/>
  <c r="Z129" i="84"/>
  <c r="U70" i="84"/>
  <c r="T324" i="84"/>
  <c r="M583" i="84"/>
  <c r="E81" i="84"/>
  <c r="V483" i="84"/>
  <c r="H333" i="84"/>
  <c r="C155" i="84"/>
  <c r="P895" i="84"/>
  <c r="Q268" i="84"/>
  <c r="R431" i="84"/>
  <c r="N123" i="84"/>
  <c r="U726" i="84"/>
  <c r="T936" i="84"/>
  <c r="G178" i="84"/>
  <c r="AF947" i="84"/>
  <c r="V475" i="84"/>
  <c r="Y233" i="84"/>
  <c r="G870" i="84"/>
  <c r="N197" i="84"/>
  <c r="H112" i="84"/>
  <c r="P865" i="84"/>
  <c r="H286" i="84"/>
  <c r="J277" i="84"/>
  <c r="H685" i="84"/>
  <c r="Z345" i="84"/>
  <c r="AA466" i="84"/>
  <c r="U464" i="84"/>
  <c r="F82" i="84"/>
  <c r="Q358" i="84"/>
  <c r="H948" i="84"/>
  <c r="W609" i="84"/>
  <c r="I573" i="84"/>
  <c r="O44" i="84"/>
  <c r="Y379" i="84"/>
  <c r="Q905" i="84"/>
  <c r="J655" i="84"/>
  <c r="X572" i="84"/>
  <c r="L691" i="84"/>
  <c r="R465" i="84"/>
  <c r="V791" i="84"/>
  <c r="H954" i="84"/>
  <c r="R906" i="84"/>
  <c r="X624" i="84"/>
  <c r="V234" i="84"/>
  <c r="X155" i="84"/>
  <c r="W550" i="84"/>
  <c r="T507" i="84"/>
  <c r="Q867" i="84"/>
  <c r="AR7" i="82"/>
  <c r="Z504" i="84"/>
  <c r="W703" i="84"/>
  <c r="N798" i="84"/>
  <c r="R417" i="84"/>
  <c r="N272" i="84"/>
  <c r="S376" i="84"/>
  <c r="S381" i="84"/>
  <c r="Q102" i="84"/>
  <c r="G183" i="84"/>
  <c r="U73" i="84"/>
  <c r="G764" i="84"/>
  <c r="S368" i="84"/>
  <c r="F337" i="84"/>
  <c r="H227" i="84"/>
  <c r="L231" i="84"/>
  <c r="Q394" i="84"/>
  <c r="R420" i="84"/>
  <c r="J851" i="84"/>
  <c r="H34" i="84"/>
  <c r="O286" i="84"/>
  <c r="J164" i="84"/>
  <c r="G594" i="84"/>
  <c r="AX29" i="82"/>
  <c r="P581" i="84"/>
  <c r="Z692" i="84"/>
  <c r="W863" i="84"/>
  <c r="P453" i="84"/>
  <c r="O502" i="84"/>
  <c r="BK601" i="84"/>
  <c r="U577" i="84"/>
  <c r="Y409" i="84"/>
  <c r="H153" i="84"/>
  <c r="AF496" i="84"/>
  <c r="X648" i="84"/>
  <c r="H600" i="84"/>
  <c r="E789" i="84"/>
  <c r="T69" i="84"/>
  <c r="U120" i="84"/>
  <c r="N165" i="84"/>
  <c r="X275" i="84"/>
  <c r="Q399" i="84"/>
  <c r="M489" i="84"/>
  <c r="Z90" i="84"/>
  <c r="E812" i="84"/>
  <c r="R50" i="84"/>
  <c r="Y870" i="84"/>
  <c r="H185" i="84"/>
  <c r="O449" i="84"/>
  <c r="R794" i="84"/>
  <c r="R423" i="84"/>
  <c r="K211" i="84"/>
  <c r="F388" i="84"/>
  <c r="Y827" i="84"/>
  <c r="P116" i="84"/>
  <c r="N17" i="82"/>
  <c r="E346" i="84"/>
  <c r="F937" i="84"/>
  <c r="Y962" i="84"/>
  <c r="AF931" i="84"/>
  <c r="BY16" i="82"/>
  <c r="AM40" i="82"/>
  <c r="N160" i="84"/>
  <c r="N229" i="84"/>
  <c r="V453" i="84"/>
  <c r="M506" i="84"/>
  <c r="G87" i="84"/>
  <c r="S263" i="84"/>
  <c r="S586" i="84"/>
  <c r="AA365" i="84"/>
  <c r="X229" i="84"/>
  <c r="G513" i="84"/>
  <c r="AF681" i="84"/>
  <c r="H603" i="84"/>
  <c r="N37" i="84"/>
  <c r="T626" i="84"/>
  <c r="X681" i="84"/>
  <c r="Q878" i="84"/>
  <c r="F506" i="84"/>
  <c r="X184" i="84"/>
  <c r="R626" i="84"/>
  <c r="P328" i="84"/>
  <c r="K720" i="84"/>
  <c r="W269" i="84"/>
  <c r="AF431" i="84"/>
  <c r="E724" i="84"/>
  <c r="M100" i="84"/>
  <c r="E938" i="84"/>
  <c r="J597" i="84"/>
  <c r="E15" i="84"/>
  <c r="BJ509" i="84"/>
  <c r="Z98" i="84"/>
  <c r="Y361" i="84"/>
  <c r="P28" i="82"/>
  <c r="R182" i="84"/>
  <c r="Y687" i="84"/>
  <c r="N21" i="84"/>
  <c r="S719" i="84"/>
  <c r="V829" i="84"/>
  <c r="S757" i="84"/>
  <c r="J289" i="84"/>
  <c r="W49" i="84"/>
  <c r="G192" i="84"/>
  <c r="F408" i="84"/>
  <c r="Q659" i="84"/>
  <c r="J69" i="84"/>
  <c r="O840" i="84"/>
  <c r="N463" i="84"/>
  <c r="G933" i="84"/>
  <c r="BC24" i="82"/>
  <c r="Z842" i="84"/>
  <c r="O867" i="84"/>
  <c r="S497" i="84"/>
  <c r="Z599" i="84"/>
  <c r="Z238" i="84"/>
  <c r="O773" i="84"/>
  <c r="D770" i="84"/>
  <c r="G24" i="84"/>
  <c r="H144" i="84"/>
  <c r="U94" i="84"/>
  <c r="G837" i="84"/>
  <c r="L360" i="84"/>
  <c r="BE32" i="82"/>
  <c r="F299" i="84"/>
  <c r="T754" i="84"/>
  <c r="X504" i="84"/>
  <c r="O644" i="84"/>
  <c r="F203" i="84"/>
  <c r="N254" i="84"/>
  <c r="P450" i="84"/>
  <c r="AA289" i="84"/>
  <c r="G636" i="84"/>
  <c r="O338" i="84"/>
  <c r="AQ34" i="82"/>
  <c r="H51" i="84"/>
  <c r="P90" i="84"/>
  <c r="O805" i="84"/>
  <c r="Y658" i="84"/>
  <c r="BJ341" i="84"/>
  <c r="G832" i="84"/>
  <c r="N763" i="84"/>
  <c r="F885" i="84"/>
  <c r="U275" i="84"/>
  <c r="M879" i="84"/>
  <c r="Q681" i="84"/>
  <c r="E475" i="84"/>
  <c r="W737" i="84"/>
  <c r="T646" i="84"/>
  <c r="J494" i="84"/>
  <c r="P379" i="84"/>
  <c r="N289" i="84"/>
  <c r="R756" i="84"/>
  <c r="Y308" i="84"/>
  <c r="AJ39" i="82"/>
  <c r="G323" i="84"/>
  <c r="H713" i="84"/>
  <c r="N60" i="84"/>
  <c r="L864" i="84"/>
  <c r="AA779" i="84"/>
  <c r="R288" i="84"/>
  <c r="R333" i="84"/>
  <c r="J607" i="84"/>
  <c r="H921" i="84"/>
  <c r="O354" i="84"/>
  <c r="J693" i="84"/>
  <c r="F860" i="84"/>
  <c r="S295" i="84"/>
  <c r="X410" i="84"/>
  <c r="E882" i="84"/>
  <c r="S105" i="84"/>
  <c r="I646" i="84"/>
  <c r="G923" i="84"/>
  <c r="H356" i="84"/>
  <c r="AY38" i="82"/>
  <c r="Q755" i="84"/>
  <c r="S182" i="84"/>
  <c r="J309" i="84"/>
  <c r="O247" i="84"/>
  <c r="Z582" i="84"/>
  <c r="T421" i="84"/>
  <c r="H217" i="84"/>
  <c r="K923" i="84"/>
  <c r="L14" i="82"/>
  <c r="X367" i="84"/>
  <c r="Z832" i="84"/>
  <c r="S19" i="84"/>
  <c r="H306" i="84"/>
  <c r="Y842" i="84"/>
  <c r="BL37" i="82"/>
  <c r="P601" i="84"/>
  <c r="P748" i="84"/>
  <c r="T278" i="84"/>
  <c r="S449" i="84"/>
  <c r="X940" i="84"/>
  <c r="R466" i="84"/>
  <c r="Q194" i="84"/>
  <c r="P460" i="84"/>
  <c r="W543" i="84"/>
  <c r="G906" i="84"/>
  <c r="T41" i="82"/>
  <c r="S124" i="84"/>
  <c r="H290" i="84"/>
  <c r="C901" i="84"/>
  <c r="L419" i="84"/>
  <c r="T540" i="84"/>
  <c r="O919" i="84"/>
  <c r="U136" i="84"/>
  <c r="A918" i="84"/>
  <c r="K952" i="84"/>
  <c r="L248" i="84"/>
  <c r="F962" i="84"/>
  <c r="N90" i="84"/>
  <c r="J796" i="84"/>
  <c r="C21" i="82"/>
  <c r="R438" i="84"/>
  <c r="N696" i="84"/>
  <c r="U351" i="84"/>
  <c r="O240" i="84"/>
  <c r="J173" i="84"/>
  <c r="H23" i="84"/>
  <c r="N204" i="84"/>
  <c r="C781" i="84"/>
  <c r="N692" i="84"/>
  <c r="M870" i="84"/>
  <c r="G268" i="84"/>
  <c r="R88" i="84"/>
  <c r="R921" i="84"/>
  <c r="P619" i="84"/>
  <c r="H909" i="84"/>
  <c r="Z894" i="84"/>
  <c r="N857" i="84"/>
  <c r="N395" i="84"/>
  <c r="J451" i="84"/>
  <c r="X598" i="84"/>
  <c r="N938" i="84"/>
  <c r="N818" i="84"/>
  <c r="N454" i="84"/>
  <c r="J826" i="84"/>
  <c r="O172" i="84"/>
  <c r="G187" i="84"/>
  <c r="V195" i="84"/>
  <c r="Z505" i="84"/>
  <c r="S845" i="84"/>
  <c r="S963" i="84"/>
  <c r="W191" i="84"/>
  <c r="S805" i="84"/>
  <c r="T477" i="84"/>
  <c r="S515" i="84"/>
  <c r="U895" i="84"/>
  <c r="R229" i="84"/>
  <c r="W328" i="84"/>
  <c r="AF387" i="84"/>
  <c r="U923" i="84"/>
  <c r="U948" i="84"/>
  <c r="U920" i="84"/>
  <c r="M212" i="84"/>
  <c r="H515" i="84"/>
  <c r="R177" i="84"/>
  <c r="AS23" i="82"/>
  <c r="E187" i="84"/>
  <c r="Z251" i="84"/>
  <c r="E467" i="84"/>
  <c r="H904" i="84"/>
  <c r="Q875" i="84"/>
  <c r="AF939" i="84"/>
  <c r="H156" i="84"/>
  <c r="J194" i="84"/>
  <c r="L663" i="84"/>
  <c r="G293" i="84"/>
  <c r="P557" i="84"/>
  <c r="V61" i="84"/>
  <c r="X468" i="84"/>
  <c r="Q371" i="84"/>
  <c r="J21" i="82"/>
  <c r="G339" i="84"/>
  <c r="AT38" i="82"/>
  <c r="M855" i="84"/>
  <c r="AF909" i="84"/>
  <c r="R76" i="84"/>
  <c r="AF43" i="82"/>
  <c r="T337" i="84"/>
  <c r="AA667" i="84"/>
  <c r="AW15" i="82"/>
  <c r="F382" i="84"/>
  <c r="T601" i="84"/>
  <c r="N876" i="84"/>
  <c r="E248" i="84"/>
  <c r="G204" i="84"/>
  <c r="C499" i="84"/>
  <c r="E779" i="84"/>
  <c r="S452" i="84"/>
  <c r="S568" i="84"/>
  <c r="O789" i="84"/>
  <c r="AA170" i="84"/>
  <c r="Y428" i="84"/>
  <c r="V757" i="84"/>
  <c r="N126" i="84"/>
  <c r="U562" i="84"/>
  <c r="F398" i="84"/>
  <c r="V507" i="84"/>
  <c r="N355" i="84"/>
  <c r="E859" i="84"/>
  <c r="T457" i="84"/>
  <c r="U394" i="84"/>
  <c r="AZ45" i="82"/>
  <c r="T434" i="84"/>
  <c r="S619" i="84"/>
  <c r="N318" i="84"/>
  <c r="I692" i="84"/>
  <c r="L34" i="82"/>
  <c r="AA55" i="84"/>
  <c r="E289" i="84"/>
  <c r="X768" i="84"/>
  <c r="T19" i="82"/>
  <c r="W486" i="84"/>
  <c r="BJ82" i="84"/>
  <c r="O960" i="84"/>
  <c r="R443" i="84"/>
  <c r="Y511" i="84"/>
  <c r="X304" i="84"/>
  <c r="R856" i="84"/>
  <c r="AQ14" i="82"/>
  <c r="H953" i="84"/>
  <c r="X486" i="84"/>
  <c r="AA438" i="84"/>
  <c r="Z795" i="84"/>
  <c r="O728" i="84"/>
  <c r="Q209" i="84"/>
  <c r="J719" i="84"/>
  <c r="K514" i="84"/>
  <c r="O331" i="84"/>
  <c r="Q325" i="84"/>
  <c r="AW45" i="82"/>
  <c r="AZ8" i="82"/>
  <c r="V67" i="84"/>
  <c r="E699" i="84"/>
  <c r="O958" i="84"/>
  <c r="T813" i="84"/>
  <c r="P868" i="84"/>
  <c r="G639" i="84"/>
  <c r="N814" i="84"/>
  <c r="R729" i="84"/>
  <c r="BE42" i="82"/>
  <c r="T261" i="84"/>
  <c r="I716" i="84"/>
  <c r="Y296" i="84"/>
  <c r="AF689" i="84"/>
  <c r="BK702" i="84"/>
  <c r="AA437" i="84"/>
  <c r="F750" i="84"/>
  <c r="V657" i="84"/>
  <c r="BY42" i="82"/>
  <c r="R346" i="84"/>
  <c r="V37" i="84"/>
  <c r="Q934" i="84"/>
  <c r="N554" i="84"/>
  <c r="R62" i="84"/>
  <c r="S717" i="84"/>
  <c r="P402" i="84"/>
  <c r="R475" i="84"/>
  <c r="P392" i="84"/>
  <c r="N70" i="84"/>
  <c r="E733" i="84"/>
  <c r="U672" i="84"/>
  <c r="M932" i="84"/>
  <c r="Q24" i="84"/>
  <c r="Z245" i="84"/>
  <c r="Q704" i="84"/>
  <c r="X712" i="84"/>
  <c r="R572" i="84"/>
  <c r="Q860" i="84"/>
  <c r="Z492" i="84"/>
  <c r="Q136" i="84"/>
  <c r="AV28" i="82"/>
  <c r="P525" i="84"/>
  <c r="S638" i="84"/>
  <c r="S297" i="84"/>
  <c r="AF68" i="84"/>
  <c r="T45" i="82"/>
  <c r="E200" i="84"/>
  <c r="R523" i="84"/>
  <c r="F119" i="84"/>
  <c r="R798" i="84"/>
  <c r="AA775" i="84"/>
  <c r="F36" i="82"/>
  <c r="G19" i="84"/>
  <c r="R415" i="84"/>
  <c r="T913" i="84"/>
  <c r="K874" i="84"/>
  <c r="AA926" i="84"/>
  <c r="J811" i="84"/>
  <c r="R7" i="84"/>
  <c r="U864" i="84"/>
  <c r="M51" i="84"/>
  <c r="O26" i="82"/>
  <c r="Y492" i="84"/>
  <c r="N196" i="84"/>
  <c r="L124" i="84"/>
  <c r="F304" i="84"/>
  <c r="AF45" i="84"/>
  <c r="W539" i="84"/>
  <c r="N180" i="84"/>
  <c r="L667" i="84"/>
  <c r="P421" i="84"/>
  <c r="K120" i="84"/>
  <c r="G98" i="84"/>
  <c r="AF19" i="84"/>
  <c r="T615" i="84"/>
  <c r="Q242" i="84"/>
  <c r="Y482" i="84"/>
  <c r="O484" i="84"/>
  <c r="J884" i="84"/>
  <c r="M871" i="84"/>
  <c r="T402" i="84"/>
  <c r="F934" i="84"/>
  <c r="T733" i="84"/>
  <c r="F722" i="84"/>
  <c r="U24" i="84"/>
  <c r="T714" i="84"/>
  <c r="Q724" i="84"/>
  <c r="W912" i="84"/>
  <c r="AF466" i="84"/>
  <c r="N393" i="84"/>
  <c r="E280" i="84"/>
  <c r="P51" i="84"/>
  <c r="H459" i="84"/>
  <c r="M646" i="84"/>
  <c r="A459" i="84"/>
  <c r="G460" i="84"/>
  <c r="H260" i="84"/>
  <c r="L116" i="84"/>
  <c r="I487" i="84"/>
  <c r="T589" i="84"/>
  <c r="H960" i="84"/>
  <c r="O68" i="84"/>
  <c r="O317" i="84"/>
  <c r="Z419" i="84"/>
  <c r="Z364" i="84"/>
  <c r="N685" i="84"/>
  <c r="S172" i="84"/>
  <c r="AA47" i="84"/>
  <c r="H92" i="84"/>
  <c r="Q590" i="84"/>
  <c r="K81" i="84"/>
  <c r="J670" i="84"/>
  <c r="S320" i="84"/>
  <c r="Q835" i="84"/>
  <c r="S862" i="84"/>
  <c r="V576" i="84"/>
  <c r="F455" i="84"/>
  <c r="J696" i="84"/>
  <c r="H764" i="84"/>
  <c r="P591" i="84"/>
  <c r="Y552" i="84"/>
  <c r="F182" i="84"/>
  <c r="Y850" i="84"/>
  <c r="H307" i="84"/>
  <c r="O611" i="84"/>
  <c r="AJ36" i="82"/>
  <c r="R80" i="84"/>
  <c r="O223" i="84"/>
  <c r="R444" i="84"/>
  <c r="H365" i="84"/>
  <c r="AA312" i="84"/>
  <c r="O131" i="84"/>
  <c r="G431" i="84"/>
  <c r="V114" i="84"/>
  <c r="Q213" i="84"/>
  <c r="AA440" i="84"/>
  <c r="W408" i="84"/>
  <c r="F593" i="84"/>
  <c r="Z864" i="84"/>
  <c r="Q414" i="84"/>
  <c r="C899" i="84"/>
  <c r="H165" i="84"/>
  <c r="BQ7" i="82"/>
  <c r="R632" i="84"/>
  <c r="O391" i="84"/>
  <c r="G483" i="84"/>
  <c r="G631" i="84"/>
  <c r="Q891" i="84"/>
  <c r="AO40" i="82"/>
  <c r="F656" i="84"/>
  <c r="L605" i="84"/>
  <c r="V228" i="84"/>
  <c r="X501" i="84"/>
  <c r="H726" i="84"/>
  <c r="E867" i="84"/>
  <c r="AA650" i="84"/>
  <c r="O710" i="84"/>
  <c r="X278" i="84"/>
  <c r="G893" i="84"/>
  <c r="F135" i="84"/>
  <c r="AF529" i="84"/>
  <c r="V416" i="84"/>
  <c r="Q178" i="84"/>
  <c r="U941" i="84"/>
  <c r="Z144" i="84"/>
  <c r="N776" i="84"/>
  <c r="AF662" i="84"/>
  <c r="G886" i="84"/>
  <c r="W667" i="84"/>
  <c r="F255" i="84"/>
  <c r="J586" i="84"/>
  <c r="T44" i="84"/>
  <c r="U810" i="84"/>
  <c r="H401" i="84"/>
  <c r="U22" i="84"/>
  <c r="E189" i="84"/>
  <c r="G275" i="84"/>
  <c r="L83" i="84"/>
  <c r="AA843" i="84"/>
  <c r="AA197" i="84"/>
  <c r="N129" i="84"/>
  <c r="T945" i="84"/>
  <c r="U247" i="84"/>
  <c r="O912" i="84"/>
  <c r="AA373" i="84"/>
  <c r="M684" i="84"/>
  <c r="F254" i="84"/>
  <c r="N525" i="84"/>
  <c r="C163" i="84"/>
  <c r="V397" i="84"/>
  <c r="Q22" i="82"/>
  <c r="Q810" i="84"/>
  <c r="AF616" i="84"/>
  <c r="E698" i="84"/>
  <c r="N593" i="84"/>
  <c r="Z841" i="84"/>
  <c r="R844" i="84"/>
  <c r="G148" i="84"/>
  <c r="D459" i="84"/>
  <c r="E910" i="84"/>
  <c r="N368" i="84"/>
  <c r="F188" i="84"/>
  <c r="H143" i="84"/>
  <c r="O356" i="84"/>
  <c r="AU22" i="82"/>
  <c r="O793" i="84"/>
  <c r="U491" i="84"/>
  <c r="T664" i="84"/>
  <c r="R368" i="84"/>
  <c r="J760" i="84"/>
  <c r="Y174" i="84"/>
  <c r="W508" i="84"/>
  <c r="S611" i="84"/>
  <c r="O716" i="84"/>
  <c r="A283" i="84"/>
  <c r="O287" i="84"/>
  <c r="Q255" i="84"/>
  <c r="T275" i="84"/>
  <c r="N553" i="84"/>
  <c r="R13" i="84"/>
  <c r="V57" i="84"/>
  <c r="K341" i="84"/>
  <c r="AF692" i="84"/>
  <c r="F631" i="84"/>
  <c r="F74" i="84"/>
  <c r="S459" i="84"/>
  <c r="P241" i="84"/>
  <c r="Y65" i="84"/>
  <c r="X593" i="84"/>
  <c r="G593" i="84"/>
  <c r="W462" i="84"/>
  <c r="O802" i="84"/>
  <c r="N225" i="84"/>
  <c r="K477" i="84"/>
  <c r="Q129" i="84"/>
  <c r="P484" i="84"/>
  <c r="V745" i="84"/>
  <c r="G680" i="84"/>
  <c r="V25" i="84"/>
  <c r="P31" i="84"/>
  <c r="R669" i="84"/>
  <c r="L455" i="84"/>
  <c r="F598" i="84"/>
  <c r="J646" i="84"/>
  <c r="N589" i="84"/>
  <c r="G442" i="84"/>
  <c r="U61" i="84"/>
  <c r="W388" i="84"/>
  <c r="BM34" i="82"/>
  <c r="E747" i="84"/>
  <c r="AA38" i="82"/>
  <c r="AF468" i="84"/>
  <c r="AF266" i="84"/>
  <c r="T611" i="84"/>
  <c r="AA290" i="84"/>
  <c r="J546" i="84"/>
  <c r="AA957" i="84"/>
  <c r="T161" i="84"/>
  <c r="U762" i="84"/>
  <c r="Z74" i="84"/>
  <c r="Z80" i="84"/>
  <c r="R559" i="84"/>
  <c r="R578" i="84"/>
  <c r="G799" i="84"/>
  <c r="AA404" i="84"/>
  <c r="AF823" i="84"/>
  <c r="AA702" i="84"/>
  <c r="T804" i="84"/>
  <c r="V376" i="84"/>
  <c r="Z214" i="84"/>
  <c r="G640" i="84"/>
  <c r="E67" i="84"/>
  <c r="W48" i="84"/>
  <c r="O468" i="84"/>
  <c r="O879" i="84"/>
  <c r="Q314" i="84"/>
  <c r="S514" i="84"/>
  <c r="O427" i="84"/>
  <c r="Y30" i="84"/>
  <c r="N853" i="84"/>
  <c r="E316" i="84"/>
  <c r="T835" i="84"/>
  <c r="L69" i="84"/>
  <c r="R57" i="84"/>
  <c r="T156" i="84"/>
  <c r="O610" i="84"/>
  <c r="S77" i="84"/>
  <c r="W11" i="84"/>
  <c r="U865" i="84"/>
  <c r="F229" i="84"/>
  <c r="U178" i="84"/>
  <c r="AS32" i="82"/>
  <c r="W457" i="84"/>
  <c r="N914" i="84"/>
  <c r="L20" i="84"/>
  <c r="G352" i="84"/>
  <c r="H11" i="84"/>
  <c r="F121" i="84"/>
  <c r="W935" i="84"/>
  <c r="N945" i="84"/>
  <c r="P843" i="84"/>
  <c r="Y317" i="84"/>
  <c r="E851" i="84"/>
  <c r="Y325" i="84"/>
  <c r="AQ23" i="82"/>
  <c r="F430" i="84"/>
  <c r="S33" i="82"/>
  <c r="K714" i="84"/>
  <c r="H931" i="84"/>
  <c r="L895" i="84"/>
  <c r="T61" i="84"/>
  <c r="I538" i="84"/>
  <c r="Z638" i="84"/>
  <c r="Z633" i="84"/>
  <c r="P108" i="84"/>
  <c r="A414" i="84"/>
  <c r="S937" i="84"/>
  <c r="L308" i="84"/>
  <c r="W100" i="84"/>
  <c r="T925" i="84"/>
  <c r="T590" i="84"/>
  <c r="H956" i="84"/>
  <c r="P318" i="84"/>
  <c r="G337" i="84"/>
  <c r="S881" i="84"/>
  <c r="E841" i="84"/>
  <c r="Q460" i="84"/>
  <c r="P934" i="84"/>
  <c r="Y733" i="84"/>
  <c r="N321" i="84"/>
  <c r="J541" i="84"/>
  <c r="Q571" i="84"/>
  <c r="Z120" i="84"/>
  <c r="Q533" i="84"/>
  <c r="E174" i="84"/>
  <c r="O280" i="84"/>
  <c r="S219" i="84"/>
  <c r="R907" i="84"/>
  <c r="Y297" i="84"/>
  <c r="L321" i="84"/>
  <c r="S819" i="84"/>
  <c r="AF441" i="84"/>
  <c r="G44" i="84"/>
  <c r="X136" i="84"/>
  <c r="AP19" i="82"/>
  <c r="V593" i="84"/>
  <c r="R361" i="84"/>
  <c r="Q603" i="84"/>
  <c r="F803" i="84"/>
  <c r="V646" i="84"/>
  <c r="X124" i="84"/>
  <c r="F623" i="84"/>
  <c r="E304" i="84"/>
  <c r="J692" i="84"/>
  <c r="L694" i="84"/>
  <c r="T725" i="84"/>
  <c r="Y601" i="84"/>
  <c r="N797" i="84"/>
  <c r="L166" i="84"/>
  <c r="J360" i="84"/>
  <c r="R440" i="84"/>
  <c r="P874" i="84"/>
  <c r="X73" i="84"/>
  <c r="AA964" i="84"/>
  <c r="U556" i="84"/>
  <c r="I166" i="84"/>
  <c r="S639" i="84"/>
  <c r="L920" i="84"/>
  <c r="V650" i="84"/>
  <c r="H686" i="84"/>
  <c r="E209" i="84"/>
  <c r="G290" i="84"/>
  <c r="V648" i="84"/>
  <c r="BE36" i="82"/>
  <c r="Q855" i="84"/>
  <c r="Q76" i="84"/>
  <c r="K324" i="84"/>
  <c r="A711" i="84"/>
  <c r="AF626" i="84"/>
  <c r="F805" i="84"/>
  <c r="J111" i="84"/>
  <c r="T778" i="84"/>
  <c r="C807" i="84"/>
  <c r="M728" i="84"/>
  <c r="O293" i="84"/>
  <c r="H213" i="84"/>
  <c r="E379" i="84"/>
  <c r="W372" i="84"/>
  <c r="L522" i="84"/>
  <c r="S311" i="84"/>
  <c r="U287" i="84"/>
  <c r="Z671" i="84"/>
  <c r="U544" i="84"/>
  <c r="Q8" i="82"/>
  <c r="G79" i="84"/>
  <c r="R569" i="84"/>
  <c r="Q524" i="84"/>
  <c r="G29" i="84"/>
  <c r="O755" i="84"/>
  <c r="J79" i="84"/>
  <c r="H816" i="84"/>
  <c r="X62" i="84"/>
  <c r="Q143" i="84"/>
  <c r="H45" i="82"/>
  <c r="N191" i="84"/>
  <c r="AA286" i="84"/>
  <c r="N417" i="84"/>
  <c r="Y634" i="84"/>
  <c r="E624" i="84"/>
  <c r="AH12" i="82"/>
  <c r="Z429" i="84"/>
  <c r="Q765" i="84"/>
  <c r="S417" i="84"/>
  <c r="Y503" i="84"/>
  <c r="J191" i="84"/>
  <c r="G96" i="84"/>
  <c r="I10" i="82"/>
  <c r="Y452" i="84"/>
  <c r="V40" i="84"/>
  <c r="J961" i="84"/>
  <c r="Z249" i="84"/>
  <c r="W817" i="84"/>
  <c r="U198" i="84"/>
  <c r="M620" i="84"/>
  <c r="BL46" i="82"/>
  <c r="X333" i="84"/>
  <c r="M825" i="84"/>
  <c r="W876" i="84"/>
  <c r="Z270" i="84"/>
  <c r="G252" i="84"/>
  <c r="U854" i="84"/>
  <c r="T566" i="84"/>
  <c r="Z21" i="84"/>
  <c r="AS18" i="82"/>
  <c r="U184" i="84"/>
  <c r="O393" i="84"/>
  <c r="Q240" i="84"/>
  <c r="Z478" i="84"/>
  <c r="E848" i="84"/>
  <c r="E592" i="84"/>
  <c r="N130" i="84"/>
  <c r="M447" i="84"/>
  <c r="R556" i="84"/>
  <c r="Y944" i="84"/>
  <c r="U649" i="84"/>
  <c r="U775" i="84"/>
  <c r="O751" i="84"/>
  <c r="E565" i="84"/>
  <c r="I772" i="84"/>
  <c r="S897" i="84"/>
  <c r="AA88" i="84"/>
  <c r="N556" i="84"/>
  <c r="T593" i="84"/>
  <c r="F13" i="84"/>
  <c r="G320" i="84"/>
  <c r="Z719" i="84"/>
  <c r="T317" i="84"/>
  <c r="L725" i="84"/>
  <c r="Y246" i="84"/>
  <c r="U431" i="84"/>
  <c r="Z46" i="84"/>
  <c r="Z255" i="84"/>
  <c r="AF591" i="84"/>
  <c r="U925" i="84"/>
  <c r="J833" i="84"/>
  <c r="N316" i="84"/>
  <c r="S331" i="84"/>
  <c r="Z154" i="84"/>
  <c r="G427" i="84"/>
  <c r="N396" i="84"/>
  <c r="G698" i="84"/>
  <c r="U603" i="84"/>
  <c r="O528" i="84"/>
  <c r="AA806" i="84"/>
  <c r="W582" i="84"/>
  <c r="AF424" i="84"/>
  <c r="U574" i="84"/>
  <c r="AF835" i="84"/>
  <c r="H889" i="84"/>
  <c r="E54" i="84"/>
  <c r="Z22" i="84"/>
  <c r="O504" i="84"/>
  <c r="G738" i="84"/>
  <c r="X50" i="84"/>
  <c r="N732" i="84"/>
  <c r="Q722" i="84"/>
  <c r="I31" i="82"/>
  <c r="J818" i="84"/>
  <c r="K868" i="84"/>
  <c r="J530" i="84"/>
  <c r="AT39" i="82"/>
  <c r="S111" i="84"/>
  <c r="G123" i="84"/>
  <c r="V784" i="84"/>
  <c r="E667" i="84"/>
  <c r="AD20" i="82"/>
  <c r="T489" i="84"/>
  <c r="G312" i="84"/>
  <c r="V29" i="84"/>
  <c r="Y406" i="84"/>
  <c r="G699" i="84"/>
  <c r="Q520" i="84"/>
  <c r="J573" i="84"/>
  <c r="R858" i="84"/>
  <c r="W277" i="84"/>
  <c r="E728" i="84"/>
  <c r="P315" i="84"/>
  <c r="O40" i="84"/>
  <c r="U162" i="84"/>
  <c r="E276" i="84"/>
  <c r="V126" i="84"/>
  <c r="G504" i="84"/>
  <c r="U677" i="84"/>
  <c r="V11" i="84"/>
  <c r="V510" i="84"/>
  <c r="BJ125" i="84"/>
  <c r="O346" i="84"/>
  <c r="R876" i="84"/>
  <c r="R206" i="84"/>
  <c r="N714" i="84"/>
  <c r="Q461" i="84"/>
  <c r="T233" i="84"/>
  <c r="N364" i="84"/>
  <c r="AP10" i="82"/>
  <c r="O135" i="84"/>
  <c r="G847" i="84"/>
  <c r="AC34" i="82"/>
  <c r="G39" i="82"/>
  <c r="H358" i="84"/>
  <c r="G174" i="84"/>
  <c r="H7" i="84"/>
  <c r="U262" i="84"/>
  <c r="Y762" i="84"/>
  <c r="F788" i="84"/>
  <c r="P67" i="84"/>
  <c r="O145" i="84"/>
  <c r="AF564" i="84"/>
  <c r="O419" i="84"/>
  <c r="H587" i="84"/>
  <c r="P282" i="84"/>
  <c r="R718" i="84"/>
  <c r="O232" i="84"/>
  <c r="Z740" i="84"/>
  <c r="U397" i="84"/>
  <c r="Q46" i="82"/>
  <c r="S561" i="84"/>
  <c r="AA888" i="84"/>
  <c r="AF30" i="82"/>
  <c r="R549" i="84"/>
  <c r="R16" i="84"/>
  <c r="S40" i="82"/>
  <c r="U781" i="84"/>
  <c r="N915" i="84"/>
  <c r="Q451" i="84"/>
  <c r="W827" i="84"/>
  <c r="F201" i="84"/>
  <c r="H725" i="84"/>
  <c r="L22" i="84"/>
  <c r="I607" i="84"/>
  <c r="J577" i="84"/>
  <c r="M77" i="84"/>
  <c r="V47" i="84"/>
  <c r="BM32" i="82"/>
  <c r="AG29" i="82"/>
  <c r="F57" i="84"/>
  <c r="Q458" i="84"/>
  <c r="J787" i="84"/>
  <c r="T842" i="84"/>
  <c r="H779" i="84"/>
  <c r="G208" i="84"/>
  <c r="R152" i="84"/>
  <c r="U445" i="84"/>
  <c r="W531" i="84"/>
  <c r="U521" i="84"/>
  <c r="F853" i="84"/>
  <c r="L135" i="84"/>
  <c r="Z649" i="84"/>
  <c r="T31" i="84"/>
  <c r="S765" i="84"/>
  <c r="G401" i="84"/>
  <c r="I334" i="84"/>
  <c r="AA31" i="82"/>
  <c r="W804" i="84"/>
  <c r="AI38" i="82"/>
  <c r="AU14" i="82"/>
  <c r="J124" i="84"/>
  <c r="T360" i="84"/>
  <c r="T364" i="84"/>
  <c r="G493" i="84"/>
  <c r="C393" i="84"/>
  <c r="U919" i="84"/>
  <c r="W502" i="84"/>
  <c r="R190" i="84"/>
  <c r="G784" i="84"/>
  <c r="X493" i="84"/>
  <c r="A424" i="84"/>
  <c r="N860" i="84"/>
  <c r="X179" i="84"/>
  <c r="M828" i="84"/>
  <c r="J259" i="84"/>
  <c r="S669" i="84"/>
  <c r="V844" i="84"/>
  <c r="O881" i="84"/>
  <c r="W468" i="84"/>
  <c r="G464" i="84"/>
  <c r="R500" i="84"/>
  <c r="O650" i="84"/>
  <c r="U652" i="84"/>
  <c r="O214" i="84"/>
  <c r="O67" i="84"/>
  <c r="K363" i="84"/>
  <c r="N360" i="84"/>
  <c r="AA20" i="84"/>
  <c r="A821" i="84"/>
  <c r="T443" i="84"/>
  <c r="X91" i="84"/>
  <c r="AF17" i="82"/>
  <c r="U586" i="84"/>
  <c r="U651" i="84"/>
  <c r="U68" i="84"/>
  <c r="AF867" i="84"/>
  <c r="T467" i="84"/>
  <c r="P246" i="84"/>
  <c r="K332" i="84"/>
  <c r="Z843" i="84"/>
  <c r="U443" i="84"/>
  <c r="Z264" i="84"/>
  <c r="D944" i="84"/>
  <c r="S226" i="84"/>
  <c r="G789" i="84"/>
  <c r="R122" i="84"/>
  <c r="H229" i="84"/>
  <c r="X747" i="84"/>
  <c r="P426" i="84"/>
  <c r="G716" i="84"/>
  <c r="N220" i="84"/>
  <c r="L141" i="84"/>
  <c r="AZ46" i="82"/>
  <c r="P271" i="84"/>
  <c r="AM26" i="82"/>
  <c r="Q807" i="84"/>
  <c r="Q31" i="84"/>
  <c r="H331" i="84"/>
  <c r="P26" i="84"/>
  <c r="AE15" i="82"/>
  <c r="U356" i="84"/>
  <c r="G566" i="84"/>
  <c r="N96" i="84"/>
  <c r="W276" i="84"/>
  <c r="G621" i="84"/>
  <c r="AL12" i="82"/>
  <c r="E675" i="84"/>
  <c r="AA607" i="84"/>
  <c r="AA39" i="84"/>
  <c r="R394" i="84"/>
  <c r="E370" i="84"/>
  <c r="N898" i="84"/>
  <c r="S290" i="84"/>
  <c r="W525" i="84"/>
  <c r="P129" i="84"/>
  <c r="T929" i="84"/>
  <c r="U232" i="84"/>
  <c r="X72" i="84"/>
  <c r="P61" i="84"/>
  <c r="W187" i="84"/>
  <c r="N664" i="84"/>
  <c r="T767" i="84"/>
  <c r="X160" i="84"/>
  <c r="T569" i="84"/>
  <c r="H561" i="84"/>
  <c r="O173" i="84"/>
  <c r="X434" i="84"/>
  <c r="AF920" i="84"/>
  <c r="S582" i="84"/>
  <c r="W701" i="84"/>
  <c r="AF757" i="84"/>
  <c r="N825" i="84"/>
  <c r="F390" i="84"/>
  <c r="AJ41" i="82"/>
  <c r="AM33" i="82"/>
  <c r="AA787" i="84"/>
  <c r="L279" i="84"/>
  <c r="AF177" i="84"/>
  <c r="Y49" i="84"/>
  <c r="AF219" i="84"/>
  <c r="R613" i="84"/>
  <c r="AY39" i="82"/>
  <c r="Q105" i="84"/>
  <c r="Q454" i="84"/>
  <c r="H928" i="84"/>
  <c r="N181" i="84"/>
  <c r="N590" i="84"/>
  <c r="Z862" i="84"/>
  <c r="O518" i="84"/>
  <c r="AF371" i="84"/>
  <c r="N408" i="84"/>
  <c r="Q514" i="84"/>
  <c r="F224" i="84"/>
  <c r="Z801" i="84"/>
  <c r="V52" i="84"/>
  <c r="V938" i="84"/>
  <c r="S127" i="84"/>
  <c r="AO14" i="82"/>
  <c r="L849" i="84"/>
  <c r="O156" i="84"/>
  <c r="Z509" i="84"/>
  <c r="AL20" i="82"/>
  <c r="T557" i="84"/>
  <c r="AF347" i="84"/>
  <c r="AA527" i="84"/>
  <c r="S896" i="84"/>
  <c r="T404" i="84"/>
  <c r="E506" i="84"/>
  <c r="U216" i="84"/>
  <c r="P829" i="84"/>
  <c r="AF651" i="84"/>
  <c r="X575" i="84"/>
  <c r="T539" i="84"/>
  <c r="Y663" i="84"/>
  <c r="P684" i="84"/>
  <c r="I468" i="84"/>
  <c r="M594" i="84"/>
  <c r="K875" i="84"/>
  <c r="J189" i="84"/>
  <c r="Y906" i="84"/>
  <c r="K80" i="84"/>
  <c r="V568" i="84"/>
  <c r="Z48" i="84"/>
  <c r="L688" i="84"/>
  <c r="U730" i="84"/>
  <c r="AX17" i="82"/>
  <c r="C922" i="84"/>
  <c r="J567" i="84"/>
  <c r="U731" i="84"/>
  <c r="W762" i="84"/>
  <c r="Z114" i="84"/>
  <c r="E162" i="84"/>
  <c r="V842" i="84"/>
  <c r="G722" i="84"/>
  <c r="F33" i="84"/>
  <c r="AB46" i="82"/>
  <c r="AA696" i="84"/>
  <c r="S469" i="84"/>
  <c r="T85" i="84"/>
  <c r="AA738" i="84"/>
  <c r="P658" i="84"/>
  <c r="V580" i="84"/>
  <c r="T791" i="84"/>
  <c r="V71" i="84"/>
  <c r="AA430" i="84"/>
  <c r="J727" i="84"/>
  <c r="T136" i="84"/>
  <c r="S43" i="84"/>
  <c r="V340" i="84"/>
  <c r="Z449" i="84"/>
  <c r="U197" i="84"/>
  <c r="N679" i="84"/>
  <c r="H733" i="84"/>
  <c r="Y285" i="84"/>
  <c r="V270" i="84"/>
  <c r="J221" i="84"/>
  <c r="P156" i="84"/>
  <c r="Q134" i="84"/>
  <c r="H388" i="84"/>
  <c r="M171" i="84"/>
  <c r="J460" i="84"/>
  <c r="W376" i="84"/>
  <c r="Z236" i="84"/>
  <c r="H168" i="84"/>
  <c r="G598" i="84"/>
  <c r="BG34" i="82"/>
  <c r="Y72" i="84"/>
  <c r="U160" i="84"/>
  <c r="L640" i="84"/>
  <c r="V519" i="84"/>
  <c r="Z134" i="84"/>
  <c r="Z404" i="84"/>
  <c r="BL39" i="82"/>
  <c r="F454" i="84"/>
  <c r="P645" i="84"/>
  <c r="AA85" i="84"/>
  <c r="BC31" i="82"/>
  <c r="O85" i="84"/>
  <c r="X664" i="84"/>
  <c r="F815" i="84"/>
  <c r="R814" i="84"/>
  <c r="Z921" i="84"/>
  <c r="P100" i="84"/>
  <c r="F457" i="84"/>
  <c r="AJ43" i="82"/>
  <c r="K19" i="82"/>
  <c r="V120" i="84"/>
  <c r="Q111" i="84"/>
  <c r="X887" i="84"/>
  <c r="N826" i="84"/>
  <c r="Z743" i="84"/>
  <c r="P251" i="84"/>
  <c r="Y171" i="84"/>
  <c r="Q306" i="84"/>
  <c r="AF231" i="84"/>
  <c r="N476" i="84"/>
  <c r="E140" i="84"/>
  <c r="E597" i="84"/>
  <c r="AR37" i="82"/>
  <c r="AA681" i="84"/>
  <c r="AH33" i="82"/>
  <c r="S919" i="84"/>
  <c r="U382" i="84"/>
  <c r="K367" i="84"/>
  <c r="Q872" i="84"/>
  <c r="Z593" i="84"/>
  <c r="AF308" i="84"/>
  <c r="AE30" i="82"/>
  <c r="V102" i="84"/>
  <c r="N700" i="84"/>
  <c r="U494" i="84"/>
  <c r="J552" i="84"/>
  <c r="R367" i="84"/>
  <c r="X650" i="84"/>
  <c r="Y549" i="84"/>
  <c r="E850" i="84"/>
  <c r="O442" i="84"/>
  <c r="U514" i="84"/>
  <c r="G750" i="84"/>
  <c r="S131" i="84"/>
  <c r="P33" i="84"/>
  <c r="N28" i="84"/>
  <c r="Q469" i="84"/>
  <c r="W595" i="84"/>
  <c r="AH46" i="82"/>
  <c r="G411" i="84"/>
  <c r="H870" i="84"/>
  <c r="N526" i="84"/>
  <c r="P885" i="84"/>
  <c r="P932" i="84"/>
  <c r="J168" i="84"/>
  <c r="H627" i="84"/>
  <c r="S898" i="84"/>
  <c r="U951" i="84"/>
  <c r="M680" i="84"/>
  <c r="F895" i="84"/>
  <c r="N956" i="84"/>
  <c r="U292" i="84"/>
  <c r="J922" i="84"/>
  <c r="P172" i="84"/>
  <c r="R30" i="84"/>
  <c r="Z652" i="84"/>
  <c r="J775" i="84"/>
  <c r="S10" i="84"/>
  <c r="O324" i="84"/>
  <c r="T323" i="84"/>
  <c r="U609" i="84"/>
  <c r="P850" i="84"/>
  <c r="M525" i="84"/>
  <c r="R926" i="84"/>
  <c r="G810" i="84"/>
  <c r="T669" i="84"/>
  <c r="O944" i="84"/>
  <c r="Y673" i="84"/>
  <c r="Z612" i="84"/>
  <c r="P480" i="84"/>
  <c r="V124" i="84"/>
  <c r="AA587" i="84"/>
  <c r="W512" i="84"/>
  <c r="R560" i="84"/>
  <c r="P914" i="84"/>
  <c r="AG12" i="82"/>
  <c r="A360" i="84"/>
  <c r="Y791" i="84"/>
  <c r="AO8" i="82"/>
  <c r="O446" i="84"/>
  <c r="X328" i="84"/>
  <c r="T444" i="84"/>
  <c r="E454" i="84"/>
  <c r="G676" i="84"/>
  <c r="P725" i="84"/>
  <c r="I151" i="84"/>
  <c r="J37" i="84"/>
  <c r="T720" i="84"/>
  <c r="J858" i="84"/>
  <c r="Q260" i="84"/>
  <c r="P800" i="84"/>
  <c r="G603" i="84"/>
  <c r="K602" i="84"/>
  <c r="E13" i="82"/>
  <c r="BK41" i="82"/>
  <c r="AT23" i="82"/>
  <c r="C283" i="84"/>
  <c r="G597" i="84"/>
  <c r="L798" i="84"/>
  <c r="T392" i="84"/>
  <c r="U280" i="84"/>
  <c r="S570" i="84"/>
  <c r="U202" i="84"/>
  <c r="V432" i="84"/>
  <c r="Z307" i="84"/>
  <c r="P711" i="84"/>
  <c r="R780" i="84"/>
  <c r="O903" i="84"/>
  <c r="N820" i="84"/>
  <c r="Z586" i="84"/>
  <c r="L201" i="84"/>
  <c r="Q866" i="84"/>
  <c r="H411" i="84"/>
  <c r="S30" i="84"/>
  <c r="X810" i="84"/>
  <c r="J97" i="84"/>
  <c r="E527" i="84"/>
  <c r="N57" i="84"/>
  <c r="T771" i="84"/>
  <c r="K178" i="84"/>
  <c r="L869" i="84"/>
  <c r="W746" i="84"/>
  <c r="J754" i="84"/>
  <c r="G452" i="84"/>
  <c r="O558" i="84"/>
  <c r="P376" i="84"/>
  <c r="Q881" i="84"/>
  <c r="L919" i="84"/>
  <c r="H901" i="84"/>
  <c r="N307" i="84"/>
  <c r="O38" i="82"/>
  <c r="N672" i="84"/>
  <c r="J106" i="84"/>
  <c r="G686" i="84"/>
  <c r="F397" i="84"/>
  <c r="W427" i="84"/>
  <c r="F881" i="84"/>
  <c r="R187" i="84"/>
  <c r="F22" i="84"/>
  <c r="E694" i="84"/>
  <c r="Y825" i="84"/>
  <c r="E217" i="84"/>
  <c r="V79" i="84"/>
  <c r="J531" i="84"/>
  <c r="S508" i="84"/>
  <c r="R269" i="84"/>
  <c r="Z730" i="84"/>
  <c r="N61" i="84"/>
  <c r="Q177" i="84"/>
  <c r="U410" i="84"/>
  <c r="AZ17" i="82"/>
  <c r="U665" i="84"/>
  <c r="L558" i="84"/>
  <c r="K158" i="84"/>
  <c r="S487" i="84"/>
  <c r="O874" i="84"/>
  <c r="S307" i="84"/>
  <c r="Q794" i="84"/>
  <c r="R631" i="84"/>
  <c r="R655" i="84"/>
  <c r="Q274" i="84"/>
  <c r="G340" i="84"/>
  <c r="P893" i="84"/>
  <c r="T758" i="84"/>
  <c r="W756" i="84"/>
  <c r="E139" i="84"/>
  <c r="Y573" i="84"/>
  <c r="R20" i="82"/>
  <c r="O866" i="84"/>
  <c r="E337" i="84"/>
  <c r="R846" i="84"/>
  <c r="E523" i="84"/>
  <c r="O775" i="84"/>
  <c r="K641" i="84"/>
  <c r="Z706" i="84"/>
  <c r="O108" i="84"/>
  <c r="G13" i="84"/>
  <c r="R872" i="84"/>
  <c r="L893" i="84"/>
  <c r="O727" i="84"/>
  <c r="U479" i="84"/>
  <c r="S141" i="84"/>
  <c r="E898" i="84"/>
  <c r="K666" i="84"/>
  <c r="S703" i="84"/>
  <c r="J827" i="84"/>
  <c r="O263" i="84"/>
  <c r="Q145" i="84"/>
  <c r="BY19" i="82"/>
  <c r="T461" i="84"/>
  <c r="F16" i="84"/>
  <c r="D7" i="82"/>
  <c r="M930" i="84"/>
  <c r="F138" i="84"/>
  <c r="Y843" i="84"/>
  <c r="K262" i="84"/>
  <c r="N278" i="84"/>
  <c r="I269" i="84"/>
  <c r="Y405" i="84"/>
  <c r="F301" i="84"/>
  <c r="Y826" i="84"/>
  <c r="F614" i="84"/>
  <c r="F147" i="84"/>
  <c r="L17" i="84"/>
  <c r="O570" i="84"/>
  <c r="AF836" i="84"/>
  <c r="H926" i="84"/>
  <c r="S248" i="84"/>
  <c r="S529" i="84"/>
  <c r="T329" i="84"/>
  <c r="V609" i="84"/>
  <c r="E271" i="84"/>
  <c r="G270" i="84"/>
  <c r="A379" i="84"/>
  <c r="U143" i="84"/>
  <c r="Q236" i="84"/>
  <c r="O210" i="84"/>
  <c r="N453" i="84"/>
  <c r="X234" i="84"/>
  <c r="X840" i="84"/>
  <c r="P516" i="84"/>
  <c r="G604" i="84"/>
  <c r="AI16" i="82"/>
  <c r="S626" i="84"/>
  <c r="H276" i="84"/>
  <c r="H107" i="84"/>
  <c r="E252" i="84"/>
  <c r="G577" i="84"/>
  <c r="AF598" i="84"/>
  <c r="Y256" i="84"/>
  <c r="Y155" i="84"/>
  <c r="N228" i="84"/>
  <c r="AA104" i="84"/>
  <c r="AF202" i="84"/>
  <c r="X125" i="84"/>
  <c r="X865" i="84"/>
  <c r="BD20" i="82"/>
  <c r="V862" i="84"/>
  <c r="W181" i="84"/>
  <c r="P218" i="84"/>
  <c r="S481" i="84"/>
  <c r="X933" i="84"/>
  <c r="Y243" i="84"/>
  <c r="AR16" i="82"/>
  <c r="P157" i="84"/>
  <c r="D529" i="84"/>
  <c r="H806" i="84"/>
  <c r="H869" i="84"/>
  <c r="S537" i="84"/>
  <c r="AF87" i="84"/>
  <c r="T661" i="84"/>
  <c r="G274" i="84"/>
  <c r="N186" i="84"/>
  <c r="X268" i="84"/>
  <c r="Q437" i="84"/>
  <c r="E793" i="84"/>
  <c r="O141" i="84"/>
  <c r="M520" i="84"/>
  <c r="T398" i="84"/>
  <c r="P28" i="84"/>
  <c r="N518" i="84"/>
  <c r="N936" i="84"/>
  <c r="G338" i="84"/>
  <c r="M835" i="84"/>
  <c r="AF688" i="84"/>
  <c r="F726" i="84"/>
  <c r="AQ20" i="82"/>
  <c r="F590" i="84"/>
  <c r="P566" i="84"/>
  <c r="L612" i="84"/>
  <c r="F27" i="84"/>
  <c r="N374" i="84"/>
  <c r="Q224" i="84"/>
  <c r="AA306" i="84"/>
  <c r="C941" i="84"/>
  <c r="O122" i="84"/>
  <c r="H339" i="84"/>
  <c r="T304" i="84"/>
  <c r="U874" i="84"/>
  <c r="L104" i="84"/>
  <c r="H597" i="84"/>
  <c r="R793" i="84"/>
  <c r="J606" i="84"/>
  <c r="F808" i="84"/>
  <c r="S501" i="84"/>
  <c r="E960" i="84"/>
  <c r="O602" i="84"/>
  <c r="N340" i="84"/>
  <c r="U559" i="84"/>
  <c r="E643" i="84"/>
  <c r="L18" i="82"/>
  <c r="H283" i="84"/>
  <c r="X306" i="84"/>
  <c r="R454" i="84"/>
  <c r="N29" i="84"/>
  <c r="S196" i="84"/>
  <c r="H318" i="84"/>
  <c r="U368" i="84"/>
  <c r="Z833" i="84"/>
  <c r="M965" i="84"/>
  <c r="G612" i="84"/>
  <c r="R518" i="84"/>
  <c r="A719" i="84"/>
  <c r="E411" i="84"/>
  <c r="G463" i="84"/>
  <c r="J626" i="84"/>
  <c r="AM41" i="82"/>
  <c r="R382" i="84"/>
  <c r="M30" i="82"/>
  <c r="R320" i="84"/>
  <c r="E471" i="84"/>
  <c r="K397" i="84"/>
  <c r="P272" i="84"/>
  <c r="S701" i="84"/>
  <c r="L957" i="84"/>
  <c r="K914" i="84"/>
  <c r="L86" i="84"/>
  <c r="J336" i="84"/>
  <c r="K310" i="84"/>
  <c r="U365" i="84"/>
  <c r="P864" i="84"/>
  <c r="N215" i="84"/>
  <c r="Q51" i="84"/>
  <c r="N163" i="84"/>
  <c r="AD18" i="82"/>
  <c r="W628" i="84"/>
  <c r="L89" i="84"/>
  <c r="K587" i="84"/>
  <c r="AA83" i="84"/>
  <c r="Y817" i="84"/>
  <c r="O542" i="84"/>
  <c r="U190" i="84"/>
  <c r="AF729" i="84"/>
  <c r="Z595" i="84"/>
  <c r="H661" i="84"/>
  <c r="O259" i="84"/>
  <c r="T560" i="84"/>
  <c r="R772" i="84"/>
  <c r="I130" i="84"/>
  <c r="O799" i="84"/>
  <c r="A164" i="84"/>
  <c r="O935" i="84"/>
  <c r="S550" i="84"/>
  <c r="K399" i="84"/>
  <c r="AA731" i="84"/>
  <c r="Y861" i="84"/>
  <c r="Z305" i="84"/>
  <c r="O73" i="84"/>
  <c r="AF934" i="84"/>
  <c r="U613" i="84"/>
  <c r="O614" i="84"/>
  <c r="AF542" i="84"/>
  <c r="F832" i="84"/>
  <c r="R462" i="84"/>
  <c r="G140" i="84"/>
  <c r="F836" i="84"/>
  <c r="X744" i="84"/>
  <c r="V319" i="84"/>
  <c r="R854" i="84"/>
  <c r="T632" i="84"/>
  <c r="N617" i="84"/>
  <c r="Y413" i="84"/>
  <c r="I220" i="84"/>
  <c r="Q301" i="84"/>
  <c r="S620" i="84"/>
  <c r="T610" i="84"/>
  <c r="U138" i="84"/>
  <c r="AA320" i="84"/>
  <c r="S346" i="84"/>
  <c r="G547" i="84"/>
  <c r="G316" i="84"/>
  <c r="O897" i="84"/>
  <c r="G550" i="84"/>
  <c r="O638" i="84"/>
  <c r="G447" i="84"/>
  <c r="U643" i="84"/>
  <c r="U434" i="84"/>
  <c r="E144" i="84"/>
  <c r="N694" i="84"/>
  <c r="G809" i="84"/>
  <c r="G539" i="84"/>
  <c r="E372" i="84"/>
  <c r="T114" i="84"/>
  <c r="Z524" i="84"/>
  <c r="R94" i="84"/>
  <c r="O129" i="84"/>
  <c r="E947" i="84"/>
  <c r="X150" i="84"/>
  <c r="P117" i="84"/>
  <c r="O632" i="84"/>
  <c r="Q90" i="84"/>
  <c r="Y950" i="84"/>
  <c r="AF562" i="84"/>
  <c r="R790" i="84"/>
  <c r="K644" i="84"/>
  <c r="BA10" i="82"/>
  <c r="G413" i="84"/>
  <c r="X966" i="84"/>
  <c r="O435" i="84"/>
  <c r="H564" i="84"/>
  <c r="J952" i="84"/>
  <c r="X657" i="84"/>
  <c r="A740" i="84"/>
  <c r="BG46" i="82"/>
  <c r="Q859" i="84"/>
  <c r="G93" i="84"/>
  <c r="Q456" i="84"/>
  <c r="P602" i="84"/>
  <c r="T411" i="84"/>
  <c r="O594" i="84"/>
  <c r="V737" i="84"/>
  <c r="O344" i="84"/>
  <c r="M859" i="84"/>
  <c r="G136" i="84"/>
  <c r="V39" i="84"/>
  <c r="AA729" i="84"/>
  <c r="V752" i="84"/>
  <c r="T786" i="84"/>
  <c r="J617" i="84"/>
  <c r="AA314" i="84"/>
  <c r="F202" i="84"/>
  <c r="AX22" i="82"/>
  <c r="E24" i="82"/>
  <c r="P352" i="84"/>
  <c r="Y698" i="84"/>
  <c r="R505" i="84"/>
  <c r="O29" i="84"/>
  <c r="N112" i="84"/>
  <c r="AA90" i="84"/>
  <c r="Q487" i="84"/>
  <c r="V173" i="84"/>
  <c r="S630" i="84"/>
  <c r="E601" i="84"/>
  <c r="Z924" i="84"/>
  <c r="W757" i="84"/>
  <c r="G830" i="84"/>
  <c r="Y183" i="84"/>
  <c r="Q385" i="84"/>
  <c r="H836" i="84"/>
  <c r="H629" i="84"/>
  <c r="Z435" i="84"/>
  <c r="F432" i="84"/>
  <c r="Z540" i="84"/>
  <c r="J310" i="84"/>
  <c r="X549" i="84"/>
  <c r="X881" i="84"/>
  <c r="T964" i="84"/>
  <c r="S771" i="84"/>
  <c r="N717" i="84"/>
  <c r="E228" i="84"/>
  <c r="G681" i="84"/>
  <c r="P287" i="84"/>
  <c r="BJ208" i="84"/>
  <c r="P54" i="84"/>
  <c r="N592" i="84"/>
  <c r="E16" i="84"/>
  <c r="N138" i="84"/>
  <c r="X32" i="84"/>
  <c r="T908" i="84"/>
  <c r="J749" i="84"/>
  <c r="V221" i="84"/>
  <c r="Y948" i="84"/>
  <c r="Z399" i="84"/>
  <c r="O64" i="84"/>
  <c r="T614" i="84"/>
  <c r="R547" i="84"/>
  <c r="S558" i="84"/>
  <c r="P23" i="84"/>
  <c r="J408" i="84"/>
  <c r="M802" i="84"/>
  <c r="N243" i="84"/>
  <c r="Y127" i="84"/>
  <c r="E218" i="84"/>
  <c r="R258" i="84"/>
  <c r="Y932" i="84"/>
  <c r="AH44" i="82"/>
  <c r="Y427" i="84"/>
  <c r="E151" i="84"/>
  <c r="O290" i="84"/>
  <c r="X594" i="84"/>
  <c r="V357" i="84"/>
  <c r="W122" i="84"/>
  <c r="G748" i="84"/>
  <c r="AU10" i="82"/>
  <c r="R165" i="84"/>
  <c r="W474" i="84"/>
  <c r="J86" i="84"/>
  <c r="P57" i="84"/>
  <c r="O516" i="84"/>
  <c r="AM17" i="82"/>
  <c r="O612" i="84"/>
  <c r="T207" i="84"/>
  <c r="P390" i="84"/>
  <c r="R188" i="84"/>
  <c r="U901" i="84"/>
  <c r="T962" i="84"/>
  <c r="P703" i="84"/>
  <c r="N844" i="84"/>
  <c r="Q843" i="84"/>
  <c r="W774" i="84"/>
  <c r="V540" i="84"/>
  <c r="J507" i="84"/>
  <c r="N345" i="84"/>
  <c r="E256" i="84"/>
  <c r="L615" i="84"/>
  <c r="R472" i="84"/>
  <c r="S901" i="84"/>
  <c r="Q775" i="84"/>
  <c r="S743" i="84"/>
  <c r="Q602" i="84"/>
  <c r="T631" i="84"/>
  <c r="K665" i="84"/>
  <c r="U722" i="84"/>
  <c r="J571" i="84"/>
  <c r="Y467" i="84"/>
  <c r="A791" i="84"/>
  <c r="AA250" i="84"/>
  <c r="V958" i="84"/>
  <c r="N25" i="84"/>
  <c r="W232" i="84"/>
  <c r="W207" i="84"/>
  <c r="Q408" i="84"/>
  <c r="X373" i="84"/>
  <c r="AO25" i="82"/>
  <c r="T635" i="84"/>
  <c r="N869" i="84"/>
  <c r="H671" i="84"/>
  <c r="S636" i="84"/>
  <c r="W557" i="84"/>
  <c r="S95" i="84"/>
  <c r="F29" i="82"/>
  <c r="X121" i="84"/>
  <c r="L572" i="84"/>
  <c r="J933" i="84"/>
  <c r="O92" i="84"/>
  <c r="BC7" i="82"/>
  <c r="P799" i="84"/>
  <c r="U49" i="84"/>
  <c r="O769" i="84"/>
  <c r="L527" i="84"/>
  <c r="S788" i="84"/>
  <c r="U148" i="84"/>
  <c r="L9" i="84"/>
  <c r="T503" i="84"/>
  <c r="Q230" i="84"/>
  <c r="M41" i="82"/>
  <c r="J821" i="84"/>
  <c r="T651" i="84"/>
  <c r="N522" i="84"/>
  <c r="U185" i="84"/>
  <c r="G372" i="84"/>
  <c r="Q645" i="84"/>
  <c r="U809" i="84"/>
  <c r="N140" i="84"/>
  <c r="N655" i="84"/>
  <c r="T463" i="84"/>
  <c r="M634" i="84"/>
  <c r="R202" i="84"/>
  <c r="N113" i="84"/>
  <c r="M9" i="82"/>
  <c r="J125" i="84"/>
  <c r="S519" i="84"/>
  <c r="E137" i="84"/>
  <c r="V202" i="84"/>
  <c r="L389" i="84"/>
  <c r="R359" i="84"/>
  <c r="K46" i="82"/>
  <c r="Y194" i="84"/>
  <c r="X465" i="84"/>
  <c r="P147" i="84"/>
  <c r="G161" i="84"/>
  <c r="W714" i="84"/>
  <c r="Q98" i="84"/>
  <c r="Z209" i="84"/>
  <c r="H920" i="84"/>
  <c r="V368" i="84"/>
  <c r="P926" i="84"/>
  <c r="K237" i="84"/>
  <c r="M612" i="84"/>
  <c r="Z420" i="84"/>
  <c r="G226" i="84"/>
  <c r="H605" i="84"/>
  <c r="Q690" i="84"/>
  <c r="E456" i="84"/>
  <c r="Y478" i="84"/>
  <c r="T496" i="84"/>
  <c r="E777" i="84"/>
  <c r="AA383" i="84"/>
  <c r="M308" i="84"/>
  <c r="F246" i="84"/>
  <c r="U862" i="84"/>
  <c r="U852" i="84"/>
  <c r="N625" i="84"/>
  <c r="K455" i="84"/>
  <c r="AY46" i="82"/>
  <c r="J886" i="84"/>
  <c r="S247" i="84"/>
  <c r="H745" i="84"/>
  <c r="J885" i="84"/>
  <c r="L24" i="82"/>
  <c r="Y856" i="84"/>
  <c r="Q615" i="84"/>
  <c r="R124" i="84"/>
  <c r="H704" i="84"/>
  <c r="Q201" i="84"/>
  <c r="M787" i="84"/>
  <c r="N531" i="84"/>
  <c r="T926" i="84"/>
  <c r="Y391" i="84"/>
  <c r="AG39" i="82"/>
  <c r="E691" i="84"/>
  <c r="W83" i="84"/>
  <c r="J413" i="84"/>
  <c r="G782" i="84"/>
  <c r="L63" i="84"/>
  <c r="R344" i="84"/>
  <c r="W396" i="84"/>
  <c r="AA875" i="84"/>
  <c r="AF678" i="84"/>
  <c r="F134" i="84"/>
  <c r="P133" i="84"/>
  <c r="E191" i="84"/>
  <c r="AF445" i="84"/>
  <c r="W73" i="84"/>
  <c r="BM25" i="82"/>
  <c r="Z67" i="84"/>
  <c r="E355" i="84"/>
  <c r="AF759" i="84"/>
  <c r="AF963" i="84"/>
  <c r="P158" i="84"/>
  <c r="Y550" i="84"/>
  <c r="Q694" i="84"/>
  <c r="G514" i="84"/>
  <c r="R687" i="84"/>
  <c r="U167" i="84"/>
  <c r="AA815" i="84"/>
  <c r="Q778" i="84"/>
  <c r="G788" i="84"/>
  <c r="G714" i="84"/>
  <c r="AV14" i="82"/>
  <c r="Y204" i="84"/>
  <c r="Q552" i="84"/>
  <c r="R432" i="84"/>
  <c r="S467" i="84"/>
  <c r="AA961" i="84"/>
  <c r="J25" i="82"/>
  <c r="Q931" i="84"/>
  <c r="V141" i="84"/>
  <c r="P867" i="84"/>
  <c r="P858" i="84"/>
  <c r="E566" i="84"/>
  <c r="P817" i="84"/>
  <c r="AF391" i="84"/>
  <c r="X313" i="84"/>
  <c r="E634" i="84"/>
  <c r="AF516" i="84"/>
  <c r="R715" i="84"/>
  <c r="T74" i="84"/>
  <c r="O137" i="84"/>
  <c r="X243" i="84"/>
  <c r="G103" i="84"/>
  <c r="W145" i="84"/>
  <c r="BJ577" i="84"/>
  <c r="P21" i="84"/>
  <c r="R499" i="84"/>
  <c r="E418" i="84"/>
  <c r="J13" i="82"/>
  <c r="F315" i="84"/>
  <c r="E623" i="84"/>
  <c r="E323" i="84"/>
  <c r="R933" i="84"/>
  <c r="W713" i="84"/>
  <c r="W669" i="84"/>
  <c r="Q152" i="84"/>
  <c r="S23" i="84"/>
  <c r="F817" i="84"/>
  <c r="AA441" i="84"/>
  <c r="F29" i="84"/>
  <c r="Q243" i="84"/>
  <c r="X232" i="84"/>
  <c r="BD25" i="82"/>
  <c r="P430" i="84"/>
  <c r="AA586" i="84"/>
  <c r="G749" i="84"/>
  <c r="Q932" i="84"/>
  <c r="T384" i="84"/>
  <c r="Z573" i="84"/>
  <c r="V622" i="84"/>
  <c r="T72" i="84"/>
  <c r="AA224" i="84"/>
  <c r="M621" i="84"/>
  <c r="P214" i="84"/>
  <c r="V192" i="84"/>
  <c r="O957" i="84"/>
  <c r="BJ571" i="84"/>
  <c r="F269" i="84"/>
  <c r="BK864" i="84"/>
  <c r="K750" i="84"/>
  <c r="BL29" i="82"/>
  <c r="Y63" i="84"/>
  <c r="W369" i="84"/>
  <c r="N613" i="84"/>
  <c r="Z944" i="84"/>
  <c r="BK649" i="84"/>
  <c r="Q130" i="84"/>
  <c r="Y799" i="84"/>
  <c r="U913" i="84"/>
  <c r="O31" i="84"/>
  <c r="Z698" i="84"/>
  <c r="BQ21" i="82"/>
  <c r="Z854" i="84"/>
  <c r="BJ468" i="84"/>
  <c r="AF21" i="84"/>
  <c r="S200" i="84"/>
  <c r="P938" i="84"/>
  <c r="Z302" i="84"/>
  <c r="T899" i="84"/>
  <c r="X475" i="84"/>
  <c r="S152" i="84"/>
  <c r="W942" i="84"/>
  <c r="R74" i="84"/>
  <c r="L936" i="84"/>
  <c r="U340" i="84"/>
  <c r="S389" i="84"/>
  <c r="Z527" i="84"/>
  <c r="Z192" i="84"/>
  <c r="O88" i="84"/>
  <c r="G836" i="84"/>
  <c r="E821" i="84"/>
  <c r="V365" i="84"/>
  <c r="N14" i="84"/>
  <c r="L7" i="82"/>
  <c r="X930" i="84"/>
  <c r="V667" i="84"/>
  <c r="AG42" i="82"/>
  <c r="AA32" i="84"/>
  <c r="N154" i="84"/>
  <c r="AK43" i="82"/>
  <c r="Y684" i="84"/>
  <c r="Q80" i="84"/>
  <c r="Y433" i="84"/>
  <c r="T747" i="84"/>
  <c r="E755" i="84"/>
  <c r="X922" i="84"/>
  <c r="F674" i="84"/>
  <c r="P436" i="84"/>
  <c r="N203" i="84"/>
  <c r="O191" i="84"/>
  <c r="P286" i="84"/>
  <c r="P933" i="84"/>
  <c r="AS21" i="82"/>
  <c r="AM11" i="82"/>
  <c r="AF321" i="84"/>
  <c r="L29" i="82"/>
  <c r="Z217" i="84"/>
  <c r="AI46" i="82"/>
  <c r="T634" i="84"/>
  <c r="N812" i="84"/>
  <c r="P616" i="84"/>
  <c r="F241" i="84"/>
  <c r="Q899" i="84"/>
  <c r="Q311" i="84"/>
  <c r="P669" i="84"/>
  <c r="R544" i="84"/>
  <c r="R253" i="84"/>
  <c r="Y501" i="84"/>
  <c r="E704" i="84"/>
  <c r="G950" i="84"/>
  <c r="O788" i="84"/>
  <c r="Z497" i="84"/>
  <c r="U713" i="84"/>
  <c r="Z688" i="84"/>
  <c r="O208" i="84"/>
  <c r="AF771" i="84"/>
  <c r="P252" i="84"/>
  <c r="Q465" i="84"/>
  <c r="AA736" i="84"/>
  <c r="Z858" i="84"/>
  <c r="Q635" i="84"/>
  <c r="Q20" i="82"/>
  <c r="X849" i="84"/>
  <c r="BJ196" i="84"/>
  <c r="O586" i="84"/>
  <c r="E897" i="84"/>
  <c r="F183" i="84"/>
  <c r="R34" i="82"/>
  <c r="J709" i="84"/>
  <c r="P904" i="84"/>
  <c r="T35" i="82"/>
  <c r="M904" i="84"/>
  <c r="R675" i="84"/>
  <c r="G300" i="84"/>
  <c r="Z468" i="84"/>
  <c r="M476" i="84"/>
  <c r="L930" i="84"/>
  <c r="BQ15" i="82"/>
  <c r="X221" i="84"/>
  <c r="G31" i="82"/>
  <c r="N656" i="84"/>
  <c r="Z324" i="84"/>
  <c r="L361" i="84"/>
  <c r="M737" i="84"/>
  <c r="T946" i="84"/>
  <c r="AA204" i="84"/>
  <c r="Y260" i="84"/>
  <c r="F570" i="84"/>
  <c r="U46" i="84"/>
  <c r="AA756" i="84"/>
  <c r="O758" i="84"/>
  <c r="N253" i="84"/>
  <c r="Z250" i="84"/>
  <c r="G491" i="84"/>
  <c r="AF515" i="84"/>
  <c r="P917" i="84"/>
  <c r="H916" i="84"/>
  <c r="Z113" i="84"/>
  <c r="J964" i="84"/>
  <c r="T298" i="84"/>
  <c r="R470" i="84"/>
  <c r="E216" i="84"/>
  <c r="R35" i="84"/>
  <c r="P836" i="84"/>
  <c r="Y716" i="84"/>
  <c r="AA436" i="84"/>
  <c r="X138" i="84"/>
  <c r="U59" i="84"/>
  <c r="N601" i="84"/>
  <c r="V308" i="84"/>
  <c r="S699" i="84"/>
  <c r="M948" i="84"/>
  <c r="O46" i="84"/>
  <c r="W853" i="84"/>
  <c r="F791" i="84"/>
  <c r="M507" i="84"/>
  <c r="H570" i="84"/>
  <c r="Y763" i="84"/>
  <c r="G563" i="84"/>
  <c r="U339" i="84"/>
  <c r="P306" i="84"/>
  <c r="T621" i="84"/>
  <c r="F490" i="84"/>
  <c r="AA137" i="84"/>
  <c r="BZ22" i="82"/>
  <c r="W822" i="84"/>
  <c r="U45" i="84"/>
  <c r="H963" i="84"/>
  <c r="H618" i="84"/>
  <c r="E785" i="84"/>
  <c r="U881" i="84"/>
  <c r="O460" i="84"/>
  <c r="P878" i="84"/>
  <c r="T13" i="82"/>
  <c r="P343" i="84"/>
  <c r="H643" i="84"/>
  <c r="X92" i="84"/>
  <c r="J942" i="84"/>
  <c r="W288" i="84"/>
  <c r="N684" i="84"/>
  <c r="Y481" i="84"/>
  <c r="R893" i="84"/>
  <c r="Z791" i="84"/>
  <c r="F705" i="84"/>
  <c r="N492" i="84"/>
  <c r="R305" i="84"/>
  <c r="P97" i="84"/>
  <c r="L748" i="84"/>
  <c r="A407" i="84"/>
  <c r="Q388" i="84"/>
  <c r="S15" i="84"/>
  <c r="AF637" i="84"/>
  <c r="R875" i="84"/>
  <c r="G23" i="84"/>
  <c r="Q685" i="84"/>
  <c r="S964" i="84"/>
  <c r="O17" i="84"/>
  <c r="AA614" i="84"/>
  <c r="Q947" i="84"/>
  <c r="N237" i="84"/>
  <c r="G130" i="84"/>
  <c r="R180" i="84"/>
  <c r="V812" i="84"/>
  <c r="R931" i="84"/>
  <c r="BK12" i="82"/>
  <c r="BK364" i="84"/>
  <c r="W39" i="84"/>
  <c r="BZ29" i="82"/>
  <c r="F866" i="84"/>
  <c r="E604" i="84"/>
  <c r="Z68" i="84"/>
  <c r="P667" i="84"/>
  <c r="P630" i="84"/>
  <c r="O16" i="82"/>
  <c r="Z219" i="84"/>
  <c r="E269" i="84"/>
  <c r="BJ721" i="84"/>
  <c r="AA386" i="84"/>
  <c r="Q721" i="84"/>
  <c r="G403" i="84"/>
  <c r="Q39" i="84"/>
  <c r="P520" i="84"/>
  <c r="O740" i="84"/>
  <c r="T250" i="84"/>
  <c r="S939" i="84"/>
  <c r="X740" i="84"/>
  <c r="R650" i="84"/>
  <c r="BK456" i="84"/>
  <c r="M862" i="84"/>
  <c r="AA531" i="84"/>
  <c r="K764" i="84"/>
  <c r="V633" i="84"/>
  <c r="S149" i="84"/>
  <c r="G450" i="84"/>
  <c r="S591" i="84"/>
  <c r="S448" i="84"/>
  <c r="AU12" i="82"/>
  <c r="Q13" i="82"/>
  <c r="E526" i="84"/>
  <c r="O676" i="84"/>
  <c r="AR24" i="82"/>
  <c r="F197" i="84"/>
  <c r="Q45" i="82"/>
  <c r="P239" i="84"/>
  <c r="J923" i="84"/>
  <c r="M46" i="82"/>
  <c r="X921" i="84"/>
  <c r="R673" i="84"/>
  <c r="Y855" i="84"/>
  <c r="S114" i="84"/>
  <c r="W488" i="84"/>
  <c r="AA526" i="84"/>
  <c r="V332" i="84"/>
  <c r="O127" i="84"/>
  <c r="AF304" i="84"/>
  <c r="U387" i="84"/>
  <c r="F87" i="84"/>
  <c r="Z657" i="84"/>
  <c r="L584" i="84"/>
  <c r="W67" i="84"/>
  <c r="R427" i="84"/>
  <c r="AP12" i="82"/>
  <c r="Z895" i="84"/>
  <c r="AA626" i="84"/>
  <c r="S97" i="84"/>
  <c r="E470" i="84"/>
  <c r="BJ647" i="84"/>
  <c r="L79" i="84"/>
  <c r="Z295" i="84"/>
  <c r="M426" i="84"/>
  <c r="P159" i="84"/>
  <c r="S29" i="82"/>
  <c r="G768" i="84"/>
  <c r="AA342" i="84"/>
  <c r="T704" i="84"/>
  <c r="W126" i="84"/>
  <c r="U145" i="84"/>
  <c r="M378" i="84"/>
  <c r="J939" i="84"/>
  <c r="Q665" i="84"/>
  <c r="E537" i="84"/>
  <c r="AA196" i="84"/>
  <c r="O426" i="84"/>
  <c r="U736" i="84"/>
  <c r="T325" i="84"/>
  <c r="E917" i="84"/>
  <c r="N595" i="84"/>
  <c r="W966" i="84"/>
  <c r="N25" i="82"/>
  <c r="W498" i="84"/>
  <c r="E481" i="84"/>
  <c r="N100" i="84"/>
  <c r="AF388" i="84"/>
  <c r="R770" i="84"/>
  <c r="AA655" i="84"/>
  <c r="M924" i="84"/>
  <c r="W664" i="84"/>
  <c r="J509" i="84"/>
  <c r="R878" i="84"/>
  <c r="E31" i="84"/>
  <c r="Q15" i="84"/>
  <c r="O422" i="84"/>
  <c r="Z533" i="84"/>
  <c r="AF777" i="84"/>
  <c r="AJ12" i="82"/>
  <c r="S349" i="84"/>
  <c r="H852" i="84"/>
  <c r="I735" i="84"/>
  <c r="S957" i="84"/>
  <c r="V159" i="84"/>
  <c r="S74" i="84"/>
  <c r="A457" i="84"/>
  <c r="Q198" i="84"/>
  <c r="W437" i="84"/>
  <c r="O246" i="84"/>
  <c r="AA595" i="84"/>
  <c r="L107" i="84"/>
  <c r="S68" i="84"/>
  <c r="G197" i="84"/>
  <c r="V94" i="84"/>
  <c r="G294" i="84"/>
  <c r="H582" i="84"/>
  <c r="I42" i="82"/>
  <c r="U402" i="84"/>
  <c r="Y166" i="84"/>
  <c r="J758" i="84"/>
  <c r="O9" i="82"/>
  <c r="Q19" i="82"/>
  <c r="F193" i="84"/>
  <c r="F206" i="84"/>
  <c r="U844" i="84"/>
  <c r="R25" i="82"/>
  <c r="V619" i="84"/>
  <c r="AF119" i="84"/>
  <c r="W285" i="84"/>
  <c r="AA482" i="84"/>
  <c r="V377" i="84"/>
  <c r="G949" i="84"/>
  <c r="X771" i="84"/>
  <c r="AH28" i="82"/>
  <c r="AA415" i="84"/>
  <c r="J593" i="84"/>
  <c r="Q38" i="84"/>
  <c r="F303" i="84"/>
  <c r="S946" i="84"/>
  <c r="Q674" i="84"/>
  <c r="W926" i="84"/>
  <c r="K36" i="82"/>
  <c r="N855" i="84"/>
  <c r="AF687" i="84"/>
  <c r="Y910" i="84"/>
  <c r="E100" i="84"/>
  <c r="G114" i="84"/>
  <c r="X947" i="84"/>
  <c r="F191" i="84"/>
  <c r="V564" i="84"/>
  <c r="V760" i="84"/>
  <c r="N381" i="84"/>
  <c r="U273" i="84"/>
  <c r="X24" i="84"/>
  <c r="N116" i="84"/>
  <c r="N44" i="82"/>
  <c r="O561" i="84"/>
  <c r="AM37" i="82"/>
  <c r="L412" i="84"/>
  <c r="T687" i="84"/>
  <c r="I27" i="82"/>
  <c r="E12" i="82"/>
  <c r="BK65" i="84"/>
  <c r="P538" i="84"/>
  <c r="W626" i="84"/>
  <c r="S547" i="84"/>
  <c r="F599" i="84"/>
  <c r="R170" i="84"/>
  <c r="T891" i="84"/>
  <c r="E64" i="84"/>
  <c r="BJ177" i="84"/>
  <c r="H312" i="84"/>
  <c r="Q146" i="84"/>
  <c r="L497" i="84"/>
  <c r="R96" i="84"/>
  <c r="S28" i="84"/>
  <c r="S654" i="84"/>
  <c r="Z425" i="84"/>
  <c r="X422" i="84"/>
  <c r="AU30" i="82"/>
  <c r="U156" i="84"/>
  <c r="AG25" i="82"/>
  <c r="AA778" i="84"/>
  <c r="AA921" i="84"/>
  <c r="Y198" i="84"/>
  <c r="P406" i="84"/>
  <c r="O66" i="84"/>
  <c r="Z818" i="84"/>
  <c r="W394" i="84"/>
  <c r="AQ19" i="82"/>
  <c r="AB24" i="82"/>
  <c r="X812" i="84"/>
  <c r="R937" i="84"/>
  <c r="J623" i="84"/>
  <c r="G867" i="84"/>
  <c r="L46" i="84"/>
  <c r="F13" i="82"/>
  <c r="H939" i="84"/>
  <c r="Y253" i="84"/>
  <c r="D559" i="84"/>
  <c r="U451" i="84"/>
  <c r="L51" i="84"/>
  <c r="Q20" i="84"/>
  <c r="U957" i="84"/>
  <c r="Q915" i="84"/>
  <c r="S842" i="84"/>
  <c r="G537" i="84"/>
  <c r="Y584" i="84"/>
  <c r="J609" i="84"/>
  <c r="E265" i="84"/>
  <c r="AA225" i="84"/>
  <c r="R39" i="84"/>
  <c r="F367" i="84"/>
  <c r="K469" i="84"/>
  <c r="Z664" i="84"/>
  <c r="A480" i="84"/>
  <c r="U751" i="84"/>
  <c r="P280" i="84"/>
  <c r="T603" i="84"/>
  <c r="U615" i="84"/>
  <c r="E35" i="82"/>
  <c r="R276" i="84"/>
  <c r="G569" i="84"/>
  <c r="E840" i="84"/>
  <c r="V763" i="84"/>
  <c r="H73" i="84"/>
  <c r="H67" i="84"/>
  <c r="L391" i="84"/>
  <c r="AA233" i="84"/>
  <c r="L487" i="84"/>
  <c r="G921" i="84"/>
  <c r="L173" i="84"/>
  <c r="AG27" i="82"/>
  <c r="E763" i="84"/>
  <c r="W798" i="84"/>
  <c r="Y800" i="84"/>
  <c r="E496" i="84"/>
  <c r="L440" i="84"/>
  <c r="Z232" i="84"/>
  <c r="T176" i="84"/>
  <c r="G554" i="84"/>
  <c r="U347" i="84"/>
  <c r="G966" i="84"/>
  <c r="S658" i="84"/>
  <c r="AC15" i="82"/>
  <c r="Z813" i="84"/>
  <c r="E14" i="84"/>
  <c r="J430" i="84"/>
  <c r="AA724" i="84"/>
  <c r="V491" i="84"/>
  <c r="O333" i="84"/>
  <c r="G42" i="84"/>
  <c r="R605" i="84"/>
  <c r="J838" i="84"/>
  <c r="U617" i="84"/>
  <c r="H17" i="84"/>
  <c r="W312" i="84"/>
  <c r="S66" i="84"/>
  <c r="Z479" i="84"/>
  <c r="AH21" i="82"/>
  <c r="R136" i="84"/>
  <c r="S787" i="84"/>
  <c r="S17" i="84"/>
  <c r="O243" i="84"/>
  <c r="J136" i="84"/>
  <c r="V563" i="84"/>
  <c r="G467" i="84"/>
  <c r="Z201" i="84"/>
  <c r="T801" i="84"/>
  <c r="N507" i="84"/>
  <c r="G181" i="84"/>
  <c r="AF271" i="84"/>
  <c r="F710" i="84"/>
  <c r="V693" i="84"/>
  <c r="O603" i="84"/>
  <c r="S527" i="84"/>
  <c r="Q316" i="84"/>
  <c r="X346" i="84"/>
  <c r="Z817" i="84"/>
  <c r="X190" i="84"/>
  <c r="R139" i="84"/>
  <c r="Y357" i="84"/>
  <c r="AA547" i="84"/>
  <c r="J55" i="84"/>
  <c r="H842" i="84"/>
  <c r="Y229" i="84"/>
  <c r="S556" i="84"/>
  <c r="U446" i="84"/>
  <c r="V74" i="84"/>
  <c r="W114" i="84"/>
  <c r="AA217" i="84"/>
  <c r="Z782" i="84"/>
  <c r="M753" i="84"/>
  <c r="T752" i="84"/>
  <c r="L722" i="84"/>
  <c r="O770" i="84"/>
  <c r="R44" i="82"/>
  <c r="AL40" i="82"/>
  <c r="T212" i="84"/>
  <c r="T556" i="84"/>
  <c r="P14" i="84"/>
  <c r="P685" i="84"/>
  <c r="AF169" i="84"/>
  <c r="Q642" i="84"/>
  <c r="H26" i="82"/>
  <c r="W266" i="84"/>
  <c r="G80" i="84"/>
  <c r="G632" i="84"/>
  <c r="S8" i="84"/>
  <c r="Q673" i="84"/>
  <c r="G416" i="84"/>
  <c r="O475" i="84"/>
  <c r="E701" i="84"/>
  <c r="R309" i="84"/>
  <c r="AA790" i="84"/>
  <c r="F296" i="84"/>
  <c r="Q432" i="84"/>
  <c r="AA816" i="84"/>
  <c r="X289" i="84"/>
  <c r="N173" i="84"/>
  <c r="E38" i="82"/>
  <c r="P603" i="84"/>
  <c r="O327" i="84"/>
  <c r="BK662" i="84"/>
  <c r="U714" i="84"/>
  <c r="E807" i="84"/>
  <c r="L253" i="84"/>
  <c r="BJ261" i="84"/>
  <c r="X323" i="84"/>
  <c r="Z269" i="84"/>
  <c r="Q538" i="84"/>
  <c r="Q903" i="84"/>
  <c r="R324" i="84"/>
  <c r="Y295" i="84"/>
  <c r="G861" i="84"/>
  <c r="F426" i="84"/>
  <c r="AA247" i="84"/>
  <c r="V338" i="84"/>
  <c r="E263" i="84"/>
  <c r="F727" i="84"/>
  <c r="G736" i="84"/>
  <c r="F764" i="84"/>
  <c r="U406" i="84"/>
  <c r="T346" i="84"/>
  <c r="X262" i="84"/>
  <c r="F540" i="84"/>
  <c r="AF33" i="84"/>
  <c r="Q532" i="84"/>
  <c r="AF521" i="84"/>
  <c r="R508" i="84"/>
  <c r="O107" i="84"/>
  <c r="G194" i="84"/>
  <c r="Z580" i="84"/>
  <c r="O305" i="84"/>
  <c r="O946" i="84"/>
  <c r="F952" i="84"/>
  <c r="Y395" i="84"/>
  <c r="E312" i="84"/>
  <c r="N77" i="84"/>
  <c r="K786" i="84"/>
  <c r="Y736" i="84"/>
  <c r="AA221" i="84"/>
  <c r="BJ556" i="84"/>
  <c r="L767" i="84"/>
  <c r="N319" i="84"/>
  <c r="AF605" i="84"/>
  <c r="O526" i="84"/>
  <c r="N618" i="84"/>
  <c r="X663" i="84"/>
  <c r="F479" i="84"/>
  <c r="G218" i="84"/>
  <c r="L169" i="84"/>
  <c r="AA732" i="84"/>
  <c r="J497" i="84"/>
  <c r="BK746" i="84"/>
  <c r="G12" i="84"/>
  <c r="N41" i="84"/>
  <c r="Q173" i="84"/>
  <c r="Q844" i="84"/>
  <c r="E109" i="84"/>
  <c r="H377" i="84"/>
  <c r="G609" i="84"/>
  <c r="L322" i="84"/>
  <c r="L921" i="84"/>
  <c r="Z648" i="84"/>
  <c r="G488" i="84"/>
  <c r="AP24" i="82"/>
  <c r="F436" i="84"/>
  <c r="AV17" i="82"/>
  <c r="M902" i="84"/>
  <c r="J502" i="84"/>
  <c r="P178" i="84"/>
  <c r="M585" i="84"/>
  <c r="G910" i="84"/>
  <c r="G22" i="84"/>
  <c r="E447" i="84"/>
  <c r="AB33" i="82"/>
  <c r="E746" i="84"/>
  <c r="U72" i="84"/>
  <c r="L362" i="84"/>
  <c r="N68" i="84"/>
  <c r="AF182" i="84"/>
  <c r="Y795" i="84"/>
  <c r="V396" i="84"/>
  <c r="L847" i="84"/>
  <c r="L257" i="84"/>
  <c r="O852" i="84"/>
  <c r="X903" i="84"/>
  <c r="P449" i="84"/>
  <c r="L883" i="84"/>
  <c r="G30" i="82"/>
  <c r="N311" i="84"/>
  <c r="BA44" i="82"/>
  <c r="BK414" i="84"/>
  <c r="BE14" i="82"/>
  <c r="N934" i="84"/>
  <c r="E414" i="84"/>
  <c r="AH7" i="82"/>
  <c r="O680" i="84"/>
  <c r="J399" i="84"/>
  <c r="N837" i="84"/>
  <c r="I287" i="84"/>
  <c r="Y754" i="84"/>
  <c r="J618" i="84"/>
  <c r="F898" i="84"/>
  <c r="U772" i="84"/>
  <c r="R277" i="84"/>
  <c r="Q731" i="84"/>
  <c r="H876" i="84"/>
  <c r="U629" i="84"/>
  <c r="M679" i="84"/>
  <c r="E731" i="84"/>
  <c r="Y957" i="84"/>
  <c r="N772" i="84"/>
  <c r="R478" i="84"/>
  <c r="F228" i="84"/>
  <c r="P106" i="84"/>
  <c r="O786" i="84"/>
  <c r="R558" i="84"/>
  <c r="W428" i="84"/>
  <c r="V579" i="84"/>
  <c r="N958" i="84"/>
  <c r="Y81" i="84"/>
  <c r="F295" i="84"/>
  <c r="BJ730" i="84"/>
  <c r="T916" i="84"/>
  <c r="Q372" i="84"/>
  <c r="H652" i="84"/>
  <c r="Y515" i="84"/>
  <c r="U15" i="84"/>
  <c r="X9" i="84"/>
  <c r="I879" i="84"/>
  <c r="U250" i="84"/>
  <c r="E449" i="84"/>
  <c r="G256" i="84"/>
  <c r="F793" i="84"/>
  <c r="Y466" i="84"/>
  <c r="Q228" i="84"/>
  <c r="R618" i="84"/>
  <c r="W647" i="84"/>
  <c r="G41" i="84"/>
  <c r="N508" i="84"/>
  <c r="N626" i="84"/>
  <c r="E826" i="84"/>
  <c r="R15" i="84"/>
  <c r="L854" i="84"/>
  <c r="BY41" i="82"/>
  <c r="X498" i="84"/>
  <c r="G417" i="84"/>
  <c r="AN8" i="82"/>
  <c r="K891" i="84"/>
  <c r="G117" i="84"/>
  <c r="R776" i="84"/>
  <c r="P706" i="84"/>
  <c r="G582" i="84"/>
  <c r="R242" i="84"/>
  <c r="AF912" i="84"/>
  <c r="V836" i="84"/>
  <c r="W262" i="84"/>
  <c r="H803" i="84"/>
  <c r="BJ224" i="84"/>
  <c r="K527" i="84"/>
  <c r="AO42" i="82"/>
  <c r="H586" i="84"/>
  <c r="F837" i="84"/>
  <c r="BC46" i="82"/>
  <c r="Q573" i="84"/>
  <c r="BZ7" i="82"/>
  <c r="AA322" i="84"/>
  <c r="K486" i="84"/>
  <c r="E517" i="84"/>
  <c r="M23" i="82"/>
  <c r="O553" i="84"/>
  <c r="F766" i="84"/>
  <c r="AB38" i="82"/>
  <c r="K30" i="84"/>
  <c r="U784" i="84"/>
  <c r="S249" i="84"/>
  <c r="Q965" i="84"/>
  <c r="Z224" i="84"/>
  <c r="U866" i="84"/>
  <c r="X639" i="84"/>
  <c r="Q651" i="84"/>
  <c r="W82" i="84"/>
  <c r="E727" i="84"/>
  <c r="H169" i="84"/>
  <c r="G754" i="84"/>
  <c r="Q854" i="84"/>
  <c r="Q281" i="84"/>
  <c r="S136" i="84"/>
  <c r="E73" i="84"/>
  <c r="E311" i="84"/>
  <c r="O597" i="84"/>
  <c r="H644" i="84"/>
  <c r="Q252" i="84"/>
  <c r="S201" i="84"/>
  <c r="Q595" i="84"/>
  <c r="I129" i="84"/>
  <c r="M363" i="84"/>
  <c r="U938" i="84"/>
  <c r="U177" i="84"/>
  <c r="AF155" i="84"/>
  <c r="R565" i="84"/>
  <c r="P936" i="84"/>
  <c r="Q831" i="84"/>
  <c r="V139" i="84"/>
  <c r="Z296" i="84"/>
  <c r="O209" i="84"/>
  <c r="Y94" i="84"/>
  <c r="O666" i="84"/>
  <c r="G599" i="84"/>
  <c r="G335" i="84"/>
  <c r="W383" i="84"/>
  <c r="AA944" i="84"/>
  <c r="S94" i="84"/>
  <c r="O609" i="84"/>
  <c r="AT34" i="82"/>
  <c r="Q299" i="84"/>
  <c r="V570" i="84"/>
  <c r="AA537" i="84"/>
  <c r="Z765" i="84"/>
  <c r="J249" i="84"/>
  <c r="N942" i="84"/>
  <c r="P492" i="84"/>
  <c r="BJ580" i="84"/>
  <c r="V292" i="84"/>
  <c r="Y60" i="84"/>
  <c r="E266" i="84"/>
  <c r="J478" i="84"/>
  <c r="Q865" i="84"/>
  <c r="J931" i="84"/>
  <c r="AE8" i="82"/>
  <c r="F965" i="84"/>
  <c r="AA491" i="84"/>
  <c r="F667" i="84"/>
  <c r="F328" i="84"/>
  <c r="BZ40" i="82"/>
  <c r="G124" i="84"/>
  <c r="U856" i="84"/>
  <c r="Y781" i="84"/>
  <c r="X692" i="84"/>
  <c r="AO31" i="82"/>
  <c r="N635" i="84"/>
  <c r="O213" i="84"/>
  <c r="O911" i="84"/>
  <c r="Z820" i="84"/>
  <c r="E43" i="84"/>
  <c r="F654" i="84"/>
  <c r="W651" i="84"/>
  <c r="H753" i="84"/>
  <c r="AF832" i="84"/>
  <c r="AA824" i="84"/>
  <c r="N709" i="84"/>
  <c r="AB39" i="82"/>
  <c r="O889" i="84"/>
  <c r="E887" i="84"/>
  <c r="AF106" i="84"/>
  <c r="V477" i="84"/>
  <c r="N477" i="84"/>
  <c r="AT7" i="82"/>
  <c r="R897" i="84"/>
  <c r="BJ677" i="84"/>
  <c r="W519" i="84"/>
  <c r="F693" i="84"/>
  <c r="N582" i="84"/>
  <c r="S359" i="84"/>
  <c r="AA859" i="84"/>
  <c r="X946" i="84"/>
  <c r="P783" i="84"/>
  <c r="N139" i="84"/>
  <c r="N386" i="84"/>
  <c r="T115" i="84"/>
  <c r="BJ903" i="84"/>
  <c r="E753" i="84"/>
  <c r="BK708" i="84"/>
  <c r="M560" i="84"/>
  <c r="Q649" i="84"/>
  <c r="H21" i="82"/>
  <c r="N79" i="84"/>
  <c r="E679" i="84"/>
  <c r="F921" i="84"/>
  <c r="F775" i="84"/>
  <c r="Y908" i="84"/>
  <c r="AA556" i="84"/>
  <c r="N839" i="84"/>
  <c r="S245" i="84"/>
  <c r="Y863" i="84"/>
  <c r="E376" i="84"/>
  <c r="X64" i="84"/>
  <c r="G135" i="84"/>
  <c r="V42" i="84"/>
  <c r="BD7" i="82"/>
  <c r="X716" i="84"/>
  <c r="G628" i="84"/>
  <c r="Z422" i="84"/>
  <c r="R603" i="84"/>
  <c r="N742" i="84"/>
  <c r="E235" i="84"/>
  <c r="J417" i="84"/>
  <c r="V165" i="84"/>
  <c r="S725" i="84"/>
  <c r="M961" i="84"/>
  <c r="Z398" i="84"/>
  <c r="I9" i="82"/>
  <c r="AH43" i="82"/>
  <c r="W345" i="84"/>
  <c r="AA934" i="84"/>
  <c r="M739" i="84"/>
  <c r="S455" i="84"/>
  <c r="V553" i="84"/>
  <c r="Y197" i="84"/>
  <c r="O69" i="84"/>
  <c r="G701" i="84"/>
  <c r="Q234" i="84"/>
  <c r="AA801" i="84"/>
  <c r="G614" i="84"/>
  <c r="N445" i="84"/>
  <c r="AZ13" i="82"/>
  <c r="S605" i="84"/>
  <c r="R106" i="84"/>
  <c r="AS27" i="82"/>
  <c r="R530" i="84"/>
  <c r="O54" i="84"/>
  <c r="P394" i="84"/>
  <c r="G898" i="84"/>
  <c r="E715" i="84"/>
  <c r="Q131" i="84"/>
  <c r="S460" i="84"/>
  <c r="R637" i="84"/>
  <c r="AN23" i="82"/>
  <c r="Y535" i="84"/>
  <c r="AF537" i="84"/>
  <c r="U458" i="84"/>
  <c r="F543" i="84"/>
  <c r="N226" i="84"/>
  <c r="BC33" i="82"/>
  <c r="G318" i="84"/>
  <c r="H813" i="84"/>
  <c r="AW41" i="82"/>
  <c r="AG41" i="82"/>
  <c r="O109" i="84"/>
  <c r="J209" i="84"/>
  <c r="C838" i="84"/>
  <c r="X287" i="84"/>
  <c r="Z669" i="84"/>
  <c r="F811" i="84"/>
  <c r="T600" i="84"/>
  <c r="S17" i="82"/>
  <c r="X680" i="84"/>
  <c r="E613" i="84"/>
  <c r="F19" i="84"/>
  <c r="L54" i="84"/>
  <c r="AW27" i="82"/>
  <c r="E208" i="84"/>
  <c r="BA15" i="82"/>
  <c r="W605" i="84"/>
  <c r="K460" i="84"/>
  <c r="P79" i="84"/>
  <c r="AA499" i="84"/>
  <c r="P804" i="84"/>
  <c r="K343" i="84"/>
  <c r="AA929" i="84"/>
  <c r="S83" i="84"/>
  <c r="V909" i="84"/>
  <c r="T498" i="84"/>
  <c r="N348" i="84"/>
  <c r="L217" i="84"/>
  <c r="T328" i="84"/>
  <c r="Y160" i="84"/>
  <c r="S312" i="84"/>
  <c r="T244" i="84"/>
  <c r="M456" i="84"/>
  <c r="O489" i="84"/>
  <c r="AF615" i="84"/>
  <c r="Z868" i="84"/>
  <c r="E864" i="84"/>
  <c r="R418" i="84"/>
  <c r="AE22" i="82"/>
  <c r="Z810" i="84"/>
  <c r="BK265" i="84"/>
  <c r="S502" i="84"/>
  <c r="J834" i="84"/>
  <c r="O797" i="84"/>
  <c r="Q188" i="84"/>
  <c r="AA467" i="84"/>
  <c r="V444" i="84"/>
  <c r="J320" i="84"/>
  <c r="H706" i="84"/>
  <c r="T554" i="84"/>
  <c r="G58" i="84"/>
  <c r="F838" i="84"/>
  <c r="Z439" i="84"/>
  <c r="T656" i="84"/>
  <c r="G23" i="82"/>
  <c r="O72" i="84"/>
  <c r="P467" i="84"/>
  <c r="G682" i="84"/>
  <c r="F677" i="84"/>
  <c r="H289" i="84"/>
  <c r="W504" i="84"/>
  <c r="BK236" i="84"/>
  <c r="R371" i="84"/>
  <c r="N648" i="84"/>
  <c r="O706" i="84"/>
  <c r="W745" i="84"/>
  <c r="F446" i="84"/>
  <c r="AY7" i="82"/>
  <c r="F825" i="84"/>
  <c r="Q597" i="84"/>
  <c r="F739" i="84"/>
  <c r="N187" i="84"/>
  <c r="X841" i="84"/>
  <c r="J678" i="84"/>
  <c r="N141" i="84"/>
  <c r="I242" i="84"/>
  <c r="Z115" i="84"/>
  <c r="Z925" i="84"/>
  <c r="V346" i="84"/>
  <c r="T699" i="84"/>
  <c r="R133" i="84"/>
  <c r="P738" i="84"/>
  <c r="F72" i="84"/>
  <c r="N421" i="84"/>
  <c r="AF9" i="82"/>
  <c r="J748" i="84"/>
  <c r="S908" i="84"/>
  <c r="F910" i="84"/>
  <c r="AA530" i="84"/>
  <c r="N195" i="84"/>
  <c r="F80" i="84"/>
  <c r="G691" i="84"/>
  <c r="S640" i="84"/>
  <c r="V445" i="84"/>
  <c r="T169" i="84"/>
  <c r="AB20" i="82"/>
  <c r="F141" i="84"/>
  <c r="AA504" i="84"/>
  <c r="Y563" i="84"/>
  <c r="K649" i="84"/>
  <c r="BA36" i="82"/>
  <c r="E868" i="84"/>
  <c r="F10" i="82"/>
  <c r="N749" i="84"/>
  <c r="J180" i="84"/>
  <c r="Z750" i="84"/>
  <c r="AA698" i="84"/>
  <c r="Y964" i="84"/>
  <c r="Y656" i="84"/>
  <c r="AA558" i="84"/>
  <c r="G38" i="84"/>
  <c r="V384" i="84"/>
  <c r="BJ541" i="84"/>
  <c r="Z779" i="84"/>
  <c r="Z70" i="84"/>
  <c r="AA733" i="84"/>
  <c r="J872" i="84"/>
  <c r="W397" i="84"/>
  <c r="F415" i="84"/>
  <c r="W208" i="84"/>
  <c r="J183" i="84"/>
  <c r="O525" i="84"/>
  <c r="V315" i="84"/>
  <c r="AV15" i="82"/>
  <c r="AF500" i="84"/>
  <c r="AA879" i="84"/>
  <c r="AA659" i="84"/>
  <c r="G39" i="84"/>
  <c r="H385" i="84"/>
  <c r="R110" i="84"/>
  <c r="S224" i="84"/>
  <c r="AF65" i="84"/>
  <c r="O583" i="84"/>
  <c r="X798" i="84"/>
  <c r="F785" i="84"/>
  <c r="V782" i="84"/>
  <c r="O730" i="84"/>
  <c r="S866" i="84"/>
  <c r="P927" i="84"/>
  <c r="Q511" i="84"/>
  <c r="AM34" i="82"/>
  <c r="AF204" i="84"/>
  <c r="BK563" i="84"/>
  <c r="AO20" i="82"/>
  <c r="J327" i="84"/>
  <c r="AA43" i="84"/>
  <c r="Q351" i="84"/>
  <c r="Z673" i="84"/>
  <c r="G948" i="84"/>
  <c r="V407" i="84"/>
  <c r="P880" i="84"/>
  <c r="P680" i="84"/>
  <c r="L120" i="84"/>
  <c r="R743" i="84"/>
  <c r="P910" i="84"/>
  <c r="BK31" i="84"/>
  <c r="I121" i="84"/>
  <c r="I365" i="84"/>
  <c r="S513" i="84"/>
  <c r="S941" i="84"/>
  <c r="N312" i="84"/>
  <c r="E146" i="84"/>
  <c r="F403" i="84"/>
  <c r="P31" i="82"/>
  <c r="R509" i="84"/>
  <c r="Z446" i="84"/>
  <c r="J440" i="84"/>
  <c r="Q747" i="84"/>
  <c r="Y134" i="84"/>
  <c r="P64" i="84"/>
  <c r="G104" i="84"/>
  <c r="E202" i="84"/>
  <c r="BJ161" i="84"/>
  <c r="AA581" i="84"/>
  <c r="W137" i="84"/>
  <c r="E535" i="84"/>
  <c r="Y752" i="84"/>
  <c r="L127" i="84"/>
  <c r="N48" i="84"/>
  <c r="J151" i="84"/>
  <c r="BJ835" i="84"/>
  <c r="N950" i="84"/>
  <c r="F316" i="84"/>
  <c r="N753" i="84"/>
  <c r="U379" i="84"/>
  <c r="R246" i="84"/>
  <c r="J720" i="84"/>
  <c r="Z508" i="84"/>
  <c r="N843" i="84"/>
  <c r="Q441" i="84"/>
  <c r="AF862" i="84"/>
  <c r="P447" i="84"/>
  <c r="Q387" i="84"/>
  <c r="F511" i="84"/>
  <c r="U549" i="84"/>
  <c r="AD13" i="82"/>
  <c r="F583" i="84"/>
  <c r="F666" i="84"/>
  <c r="W611" i="84"/>
  <c r="G519" i="84"/>
  <c r="P195" i="84"/>
  <c r="AA220" i="84"/>
  <c r="U374" i="84"/>
  <c r="G900" i="84"/>
  <c r="G584" i="84"/>
  <c r="T703" i="84"/>
  <c r="AF707" i="84"/>
  <c r="E791" i="84"/>
  <c r="W526" i="84"/>
  <c r="G90" i="84"/>
  <c r="S549" i="84"/>
  <c r="T158" i="84"/>
  <c r="Z470" i="84"/>
  <c r="O178" i="84"/>
  <c r="G760" i="84"/>
  <c r="W899" i="84"/>
  <c r="Z79" i="84"/>
  <c r="J36" i="84"/>
  <c r="K960" i="84"/>
  <c r="AZ14" i="82"/>
  <c r="V947" i="84"/>
  <c r="S496" i="84"/>
  <c r="U899" i="84"/>
  <c r="P809" i="84"/>
  <c r="AH42" i="82"/>
  <c r="F831" i="84"/>
  <c r="Q419" i="84"/>
  <c r="Z784" i="84"/>
  <c r="H111" i="84"/>
  <c r="AF885" i="84"/>
  <c r="R37" i="84"/>
  <c r="E9" i="82"/>
  <c r="P389" i="84"/>
  <c r="F548" i="84"/>
  <c r="X902" i="84"/>
  <c r="AF220" i="84"/>
  <c r="O555" i="84"/>
  <c r="Q295" i="84"/>
  <c r="O93" i="84"/>
  <c r="AF452" i="84"/>
  <c r="I385" i="84"/>
  <c r="A120" i="84"/>
  <c r="S450" i="84"/>
  <c r="N52" i="84"/>
  <c r="P63" i="84"/>
  <c r="O216" i="84"/>
  <c r="AF67" i="84"/>
  <c r="V566" i="84"/>
  <c r="T783" i="84"/>
  <c r="H274" i="84"/>
  <c r="BQ35" i="82"/>
  <c r="G353" i="84"/>
  <c r="V429" i="84"/>
  <c r="F125" i="84"/>
  <c r="J128" i="84"/>
  <c r="AA432" i="84"/>
  <c r="AF31" i="84"/>
  <c r="J280" i="84"/>
  <c r="Z257" i="84"/>
  <c r="P324" i="84"/>
  <c r="W374" i="84"/>
  <c r="Q367" i="84"/>
  <c r="C808" i="84"/>
  <c r="T659" i="84"/>
  <c r="V420" i="84"/>
  <c r="E726" i="84"/>
  <c r="J951" i="84"/>
  <c r="Y627" i="84"/>
  <c r="U898" i="84"/>
  <c r="A738" i="84"/>
  <c r="E340" i="84"/>
  <c r="S876" i="84"/>
  <c r="F920" i="84"/>
  <c r="S773" i="84"/>
  <c r="W407" i="84"/>
  <c r="L768" i="84"/>
  <c r="O807" i="84"/>
  <c r="H766" i="84"/>
  <c r="W891" i="84"/>
  <c r="R697" i="84"/>
  <c r="K576" i="84"/>
  <c r="F298" i="84"/>
  <c r="AA819" i="84"/>
  <c r="P194" i="84"/>
  <c r="P533" i="84"/>
  <c r="G615" i="84"/>
  <c r="O480" i="84"/>
  <c r="P305" i="84"/>
  <c r="R548" i="84"/>
  <c r="G472" i="84"/>
  <c r="S88" i="84"/>
  <c r="Q10" i="82"/>
  <c r="F949" i="84"/>
  <c r="Y743" i="84"/>
  <c r="G502" i="84"/>
  <c r="X520" i="84"/>
  <c r="O664" i="84"/>
  <c r="G394" i="84"/>
  <c r="Q30" i="82"/>
  <c r="G889" i="84"/>
  <c r="Y195" i="84"/>
  <c r="R836" i="84"/>
  <c r="Z529" i="84"/>
  <c r="F402" i="84"/>
  <c r="AA853" i="84"/>
  <c r="U826" i="84"/>
  <c r="Y767" i="84"/>
  <c r="R402" i="84"/>
  <c r="D918" i="84"/>
  <c r="P892" i="84"/>
  <c r="G560" i="84"/>
  <c r="T882" i="84"/>
  <c r="H409" i="84"/>
  <c r="W264" i="84"/>
  <c r="H164" i="84"/>
  <c r="W260" i="84"/>
  <c r="S783" i="84"/>
  <c r="O345" i="84"/>
  <c r="S680" i="84"/>
  <c r="S678" i="84"/>
  <c r="J704" i="84"/>
  <c r="AA578" i="84"/>
  <c r="R448" i="84"/>
  <c r="M709" i="84"/>
  <c r="AP41" i="82"/>
  <c r="BJ866" i="84"/>
  <c r="E631" i="84"/>
  <c r="AN11" i="82"/>
  <c r="Y107" i="84"/>
  <c r="Z360" i="84"/>
  <c r="S646" i="84"/>
  <c r="V226" i="84"/>
  <c r="F268" i="84"/>
  <c r="W612" i="84"/>
  <c r="S193" i="84"/>
  <c r="Z378" i="84"/>
  <c r="P679" i="84"/>
  <c r="K858" i="84"/>
  <c r="AO44" i="82"/>
  <c r="BK944" i="84"/>
  <c r="W646" i="84"/>
  <c r="V731" i="84"/>
  <c r="O850" i="84"/>
  <c r="G237" i="84"/>
  <c r="X834" i="84"/>
  <c r="Z950" i="84"/>
  <c r="Y264" i="84"/>
  <c r="AF668" i="84"/>
  <c r="O905" i="84"/>
  <c r="AA820" i="84"/>
  <c r="AA161" i="84"/>
  <c r="Z906" i="84"/>
  <c r="Q231" i="84"/>
  <c r="Y290" i="84"/>
  <c r="E830" i="84"/>
  <c r="J225" i="84"/>
  <c r="O265" i="84"/>
  <c r="O152" i="84"/>
  <c r="Q450" i="84"/>
  <c r="Y815" i="84"/>
  <c r="R700" i="84"/>
  <c r="BD46" i="82"/>
  <c r="Y392" i="84"/>
  <c r="P856" i="84"/>
  <c r="X173" i="84"/>
  <c r="R787" i="84"/>
  <c r="S21" i="84"/>
  <c r="Q553" i="84"/>
  <c r="R31" i="82"/>
  <c r="Z424" i="84"/>
  <c r="T152" i="84"/>
  <c r="Y858" i="84"/>
  <c r="E71" i="84"/>
  <c r="AF285" i="84"/>
  <c r="F132" i="84"/>
  <c r="O895" i="84"/>
  <c r="S133" i="84"/>
  <c r="L963" i="84"/>
  <c r="W520" i="84"/>
  <c r="F724" i="84"/>
  <c r="U85" i="84"/>
  <c r="L513" i="84"/>
  <c r="H159" i="84"/>
  <c r="X847" i="84"/>
  <c r="J361" i="84"/>
  <c r="E783" i="84"/>
  <c r="AX35" i="82"/>
  <c r="Q507" i="84"/>
  <c r="V30" i="84"/>
  <c r="O402" i="84"/>
  <c r="R290" i="84"/>
  <c r="Y534" i="84"/>
  <c r="J15" i="82"/>
  <c r="K584" i="84"/>
  <c r="BZ20" i="82"/>
  <c r="E47" i="84"/>
  <c r="AN40" i="82"/>
  <c r="Z54" i="84"/>
  <c r="V749" i="84"/>
  <c r="R538" i="84"/>
  <c r="V918" i="84"/>
  <c r="Q497" i="84"/>
  <c r="G839" i="84"/>
  <c r="R264" i="84"/>
  <c r="V963" i="84"/>
  <c r="W907" i="84"/>
  <c r="AQ16" i="82"/>
  <c r="X366" i="84"/>
  <c r="AA389" i="84"/>
  <c r="S526" i="84"/>
  <c r="T922" i="84"/>
  <c r="O27" i="84"/>
  <c r="R146" i="84"/>
  <c r="AA723" i="84"/>
  <c r="E185" i="84"/>
  <c r="N46" i="84"/>
  <c r="AX32" i="82"/>
  <c r="S37" i="84"/>
  <c r="F595" i="84"/>
  <c r="F310" i="84"/>
  <c r="O432" i="84"/>
  <c r="P655" i="84"/>
  <c r="Z613" i="84"/>
  <c r="V305" i="84"/>
  <c r="AA525" i="84"/>
  <c r="L739" i="84"/>
  <c r="AF18" i="84"/>
  <c r="BJ105" i="84"/>
  <c r="AF258" i="84"/>
  <c r="BK35" i="84"/>
  <c r="AA933" i="84"/>
  <c r="J600" i="84"/>
  <c r="W103" i="84"/>
  <c r="T900" i="84"/>
  <c r="V681" i="84"/>
  <c r="X672" i="84"/>
  <c r="V473" i="84"/>
  <c r="BJ195" i="84"/>
  <c r="X824" i="84"/>
  <c r="T363" i="84"/>
  <c r="N168" i="84"/>
  <c r="S138" i="84"/>
  <c r="W354" i="84"/>
  <c r="J214" i="84"/>
  <c r="N442" i="84"/>
  <c r="J654" i="84"/>
  <c r="Y455" i="84"/>
  <c r="S668" i="84"/>
  <c r="Q127" i="84"/>
  <c r="P657" i="84"/>
  <c r="W479" i="84"/>
  <c r="Z710" i="84"/>
  <c r="R461" i="84"/>
  <c r="G737" i="84"/>
  <c r="BK348" i="84"/>
  <c r="AA892" i="84"/>
  <c r="AE18" i="82"/>
  <c r="AF310" i="84"/>
  <c r="Q547" i="84"/>
  <c r="E313" i="84"/>
  <c r="AG43" i="82"/>
  <c r="O196" i="84"/>
  <c r="T330" i="84"/>
  <c r="F580" i="84"/>
  <c r="A728" i="84"/>
  <c r="K817" i="84"/>
  <c r="AF342" i="84"/>
  <c r="AF331" i="84"/>
  <c r="E113" i="84"/>
  <c r="H205" i="84"/>
  <c r="E195" i="84"/>
  <c r="Y510" i="84"/>
  <c r="E554" i="84"/>
  <c r="J911" i="84"/>
  <c r="W794" i="84"/>
  <c r="AU43" i="82"/>
  <c r="P273" i="84"/>
  <c r="S461" i="84"/>
  <c r="Y587" i="84"/>
  <c r="F701" i="84"/>
  <c r="E865" i="84"/>
  <c r="T478" i="84"/>
  <c r="T551" i="84"/>
  <c r="U947" i="84"/>
  <c r="P736" i="84"/>
  <c r="AA48" i="84"/>
  <c r="W178" i="84"/>
  <c r="G127" i="84"/>
  <c r="E192" i="84"/>
  <c r="V402" i="84"/>
  <c r="P609" i="84"/>
  <c r="G25" i="84"/>
  <c r="T930" i="84"/>
  <c r="W463" i="84"/>
  <c r="G512" i="84"/>
  <c r="T629" i="84"/>
  <c r="O568" i="84"/>
  <c r="AF30" i="84"/>
  <c r="BY21" i="82"/>
  <c r="AF319" i="84"/>
  <c r="BJ66" i="84"/>
  <c r="Q667" i="84"/>
  <c r="BE10" i="82"/>
  <c r="L314" i="84"/>
  <c r="BQ30" i="82"/>
  <c r="R181" i="84"/>
  <c r="AC42" i="82"/>
  <c r="AF66" i="84"/>
  <c r="P136" i="84"/>
  <c r="E63" i="84"/>
  <c r="P879" i="84"/>
  <c r="Q763" i="84"/>
  <c r="R251" i="84"/>
  <c r="E905" i="84"/>
  <c r="M90" i="84"/>
  <c r="R896" i="84"/>
  <c r="AA130" i="84"/>
  <c r="O40" i="82"/>
  <c r="X638" i="84"/>
  <c r="X592" i="84"/>
  <c r="AM38" i="82"/>
  <c r="P700" i="84"/>
  <c r="U558" i="84"/>
  <c r="Z675" i="84"/>
  <c r="S181" i="84"/>
  <c r="M361" i="84"/>
  <c r="T934" i="84"/>
  <c r="Q335" i="84"/>
  <c r="H927" i="84"/>
  <c r="BQ43" i="82"/>
  <c r="V227" i="84"/>
  <c r="Q749" i="84"/>
  <c r="R399" i="84"/>
  <c r="K462" i="84"/>
  <c r="C558" i="84"/>
  <c r="N819" i="84"/>
  <c r="N519" i="84"/>
  <c r="AF149" i="84"/>
  <c r="U669" i="84"/>
  <c r="Q939" i="84"/>
  <c r="L850" i="84"/>
  <c r="N762" i="84"/>
  <c r="T650" i="84"/>
  <c r="Z349" i="84"/>
  <c r="V446" i="84"/>
  <c r="L717" i="84"/>
  <c r="AF361" i="84"/>
  <c r="I441" i="84"/>
  <c r="BJ400" i="84"/>
  <c r="R17" i="84"/>
  <c r="G527" i="84"/>
  <c r="BD17" i="82"/>
  <c r="Q949" i="84"/>
  <c r="E931" i="84"/>
  <c r="Q87" i="84"/>
  <c r="T12" i="84"/>
  <c r="H814" i="84"/>
  <c r="H448" i="84"/>
  <c r="T806" i="84"/>
  <c r="P187" i="84"/>
  <c r="R961" i="84"/>
  <c r="P772" i="84"/>
  <c r="K614" i="84"/>
  <c r="R884" i="84"/>
  <c r="S194" i="84"/>
  <c r="S927" i="84"/>
  <c r="K111" i="84"/>
  <c r="V467" i="84"/>
  <c r="N713" i="84"/>
  <c r="N269" i="84"/>
  <c r="F41" i="82"/>
  <c r="R120" i="84"/>
  <c r="O898" i="84"/>
  <c r="S391" i="84"/>
  <c r="O503" i="84"/>
  <c r="J769" i="84"/>
  <c r="AF133" i="84"/>
  <c r="AO9" i="82"/>
  <c r="R428" i="84"/>
  <c r="G59" i="84"/>
  <c r="AK12" i="82"/>
  <c r="U684" i="84"/>
  <c r="R919" i="84"/>
  <c r="P288" i="84"/>
  <c r="R14" i="84"/>
  <c r="Z722" i="84"/>
  <c r="AA610" i="84"/>
  <c r="T501" i="84"/>
  <c r="P944" i="84"/>
  <c r="AF428" i="84"/>
  <c r="O479" i="84"/>
  <c r="AF869" i="84"/>
  <c r="P435" i="84"/>
  <c r="S16" i="82"/>
  <c r="V347" i="84"/>
  <c r="P965" i="84"/>
  <c r="E562" i="84"/>
  <c r="AA163" i="84"/>
  <c r="X38" i="84"/>
  <c r="T735" i="84"/>
  <c r="Y288" i="84"/>
  <c r="E145" i="84"/>
  <c r="U359" i="84"/>
  <c r="W116" i="84"/>
  <c r="Y388" i="84"/>
  <c r="R21" i="82"/>
  <c r="G345" i="84"/>
  <c r="H38" i="82"/>
  <c r="W330" i="84"/>
  <c r="P607" i="84"/>
  <c r="X245" i="84"/>
  <c r="V379" i="84"/>
  <c r="G311" i="84"/>
  <c r="N947" i="84"/>
  <c r="T109" i="84"/>
  <c r="BJ460" i="84"/>
  <c r="W608" i="84"/>
  <c r="M22" i="82"/>
  <c r="BA25" i="82"/>
  <c r="P308" i="84"/>
  <c r="Z679" i="84"/>
  <c r="Z825" i="84"/>
  <c r="O84" i="84"/>
  <c r="AF851" i="84"/>
  <c r="W384" i="84"/>
  <c r="Q357" i="84"/>
  <c r="AJ34" i="82"/>
  <c r="V611" i="84"/>
  <c r="P851" i="84"/>
  <c r="E630" i="84"/>
  <c r="V649" i="84"/>
  <c r="P360" i="84"/>
  <c r="V123" i="84"/>
  <c r="P420" i="84"/>
  <c r="V746" i="84"/>
  <c r="BJ395" i="84"/>
  <c r="I32" i="82"/>
  <c r="U92" i="84"/>
  <c r="W90" i="84"/>
  <c r="V398" i="84"/>
  <c r="F648" i="84"/>
  <c r="G410" i="84"/>
  <c r="S235" i="84"/>
  <c r="X401" i="84"/>
  <c r="W607" i="84"/>
  <c r="V499" i="84"/>
  <c r="P743" i="84"/>
  <c r="O577" i="84"/>
  <c r="AA712" i="84"/>
  <c r="O593" i="84"/>
  <c r="N252" i="84"/>
  <c r="M614" i="84"/>
  <c r="Z597" i="84"/>
  <c r="X193" i="84"/>
  <c r="U936" i="84"/>
  <c r="L586" i="84"/>
  <c r="S809" i="84"/>
  <c r="X143" i="84"/>
  <c r="F850" i="84"/>
  <c r="Z87" i="84"/>
  <c r="M343" i="84"/>
  <c r="E806" i="84"/>
  <c r="O418" i="84"/>
  <c r="S73" i="84"/>
  <c r="V33" i="84"/>
  <c r="X446" i="84"/>
  <c r="F143" i="84"/>
  <c r="R816" i="84"/>
  <c r="E652" i="84"/>
  <c r="Q86" i="84"/>
  <c r="J598" i="84"/>
  <c r="S12" i="84"/>
  <c r="F761" i="84"/>
  <c r="L43" i="82"/>
  <c r="S67" i="84"/>
  <c r="Y463" i="84"/>
  <c r="P99" i="84"/>
  <c r="M42" i="82"/>
  <c r="F899" i="84"/>
  <c r="AP9" i="82"/>
  <c r="R805" i="84"/>
  <c r="P361" i="84"/>
  <c r="O950" i="84"/>
  <c r="Z607" i="84"/>
  <c r="O436" i="84"/>
  <c r="P10" i="82"/>
  <c r="U183" i="84"/>
  <c r="AD16" i="82"/>
  <c r="U711" i="84"/>
  <c r="R656" i="84"/>
  <c r="V41" i="84"/>
  <c r="N699" i="84"/>
  <c r="W901" i="84"/>
  <c r="Z117" i="84"/>
  <c r="U820" i="84"/>
  <c r="X44" i="84"/>
  <c r="AA708" i="84"/>
  <c r="W236" i="84"/>
  <c r="N746" i="84"/>
  <c r="X764" i="84"/>
  <c r="K264" i="84"/>
  <c r="O872" i="84"/>
  <c r="M586" i="84"/>
  <c r="O820" i="84"/>
  <c r="Z500" i="84"/>
  <c r="G475" i="84"/>
  <c r="I14" i="82"/>
  <c r="U318" i="84"/>
  <c r="Y640" i="84"/>
  <c r="N391" i="84"/>
  <c r="E51" i="84"/>
  <c r="A602" i="84"/>
  <c r="AQ26" i="82"/>
  <c r="AF865" i="84"/>
  <c r="R698" i="84"/>
  <c r="X110" i="84"/>
  <c r="T170" i="84"/>
  <c r="X521" i="84"/>
  <c r="N868" i="84"/>
  <c r="Q142" i="84"/>
  <c r="Z441" i="84"/>
  <c r="O378" i="84"/>
  <c r="M202" i="84"/>
  <c r="U527" i="84"/>
  <c r="Q426" i="84"/>
  <c r="G583" i="84"/>
  <c r="O41" i="82"/>
  <c r="Q84" i="84"/>
  <c r="J75" i="84"/>
  <c r="Q695" i="84"/>
  <c r="S268" i="84"/>
  <c r="X749" i="84"/>
  <c r="H663" i="84"/>
  <c r="X290" i="84"/>
  <c r="W772" i="84"/>
  <c r="F115" i="84"/>
  <c r="O16" i="84"/>
  <c r="Y740" i="84"/>
  <c r="Z306" i="84"/>
  <c r="AR27" i="82"/>
  <c r="E553" i="84"/>
  <c r="Z656" i="84"/>
  <c r="H798" i="84"/>
  <c r="H943" i="84"/>
  <c r="Y363" i="84"/>
  <c r="AF659" i="84"/>
  <c r="O906" i="84"/>
  <c r="S814" i="84"/>
  <c r="G380" i="84"/>
  <c r="H932" i="84"/>
  <c r="L543" i="84"/>
  <c r="G812" i="84"/>
  <c r="Q135" i="84"/>
  <c r="T183" i="84"/>
  <c r="T702" i="84"/>
  <c r="G543" i="84"/>
  <c r="X430" i="84"/>
  <c r="F150" i="84"/>
  <c r="Q404" i="84"/>
  <c r="J64" i="84"/>
  <c r="AA540" i="84"/>
  <c r="AA134" i="84"/>
  <c r="N488" i="84"/>
  <c r="O157" i="84"/>
  <c r="M124" i="84"/>
  <c r="R963" i="84"/>
  <c r="AA810" i="84"/>
  <c r="Y685" i="84"/>
  <c r="W665" i="84"/>
  <c r="G451" i="84"/>
  <c r="P618" i="84"/>
  <c r="K152" i="84"/>
  <c r="L687" i="84"/>
  <c r="A837" i="84"/>
  <c r="P60" i="84"/>
  <c r="J15" i="84"/>
  <c r="F950" i="84"/>
  <c r="H583" i="84"/>
  <c r="F359" i="84"/>
  <c r="U535" i="84"/>
  <c r="V544" i="84"/>
  <c r="H797" i="84"/>
  <c r="Z149" i="84"/>
  <c r="N499" i="84"/>
  <c r="J580" i="84"/>
  <c r="N632" i="84"/>
  <c r="R214" i="84"/>
  <c r="H25" i="84"/>
  <c r="O953" i="84"/>
  <c r="X732" i="84"/>
  <c r="X509" i="84"/>
  <c r="W730" i="84"/>
  <c r="V604" i="84"/>
  <c r="K631" i="84"/>
  <c r="F729" i="84"/>
  <c r="Z410" i="84"/>
  <c r="BA46" i="82"/>
  <c r="L785" i="84"/>
  <c r="L744" i="84"/>
  <c r="AF148" i="84"/>
  <c r="I23" i="82"/>
  <c r="Z609" i="84"/>
  <c r="AF276" i="84"/>
  <c r="AF33" i="82"/>
  <c r="Z726" i="84"/>
  <c r="H7" i="82"/>
  <c r="W910" i="84"/>
  <c r="Q258" i="84"/>
  <c r="W721" i="84"/>
  <c r="AF380" i="84"/>
  <c r="J53" i="84"/>
  <c r="I830" i="84"/>
  <c r="J629" i="84"/>
  <c r="N644" i="84"/>
  <c r="L839" i="84"/>
  <c r="Y879" i="84"/>
  <c r="W332" i="84"/>
  <c r="Q714" i="84"/>
  <c r="O43" i="84"/>
  <c r="P771" i="84"/>
  <c r="F747" i="84"/>
  <c r="R676" i="84"/>
  <c r="F856" i="84"/>
  <c r="AE32" i="82"/>
  <c r="Z205" i="84"/>
  <c r="O322" i="84"/>
  <c r="S966" i="84"/>
  <c r="O828" i="84"/>
  <c r="U302" i="84"/>
  <c r="N346" i="84"/>
  <c r="Y653" i="84"/>
  <c r="N585" i="84"/>
  <c r="AI9" i="82"/>
  <c r="AQ38" i="82"/>
  <c r="P670" i="84"/>
  <c r="P109" i="84"/>
  <c r="V406" i="84"/>
  <c r="AL10" i="82"/>
  <c r="S352" i="84"/>
  <c r="W754" i="84"/>
  <c r="BZ37" i="82"/>
  <c r="Z618" i="84"/>
  <c r="P907" i="84"/>
  <c r="R706" i="84"/>
  <c r="N500" i="84"/>
  <c r="N668" i="84"/>
  <c r="W75" i="84"/>
  <c r="R731" i="84"/>
  <c r="AF457" i="84"/>
  <c r="T17" i="82"/>
  <c r="F387" i="84"/>
  <c r="C877" i="84"/>
  <c r="U904" i="84"/>
  <c r="F840" i="84"/>
  <c r="J503" i="84"/>
  <c r="L564" i="84"/>
  <c r="O48" i="84"/>
  <c r="V758" i="84"/>
  <c r="O100" i="84"/>
  <c r="L631" i="84"/>
  <c r="D237" i="84"/>
  <c r="BN43" i="82"/>
  <c r="U843" i="84"/>
  <c r="E639" i="84"/>
  <c r="AA94" i="84"/>
  <c r="T18" i="84"/>
  <c r="U922" i="84"/>
  <c r="F368" i="84"/>
  <c r="T940" i="84"/>
  <c r="X101" i="84"/>
  <c r="R541" i="84"/>
  <c r="BF31" i="82"/>
  <c r="AA699" i="84"/>
  <c r="N411" i="84"/>
  <c r="H796" i="84"/>
  <c r="U744" i="84"/>
  <c r="U385" i="84"/>
  <c r="W418" i="84"/>
  <c r="BC22" i="82"/>
  <c r="N895" i="84"/>
  <c r="G116" i="84"/>
  <c r="AS41" i="82"/>
  <c r="O821" i="84"/>
  <c r="S474" i="84"/>
  <c r="BE31" i="82"/>
  <c r="F7" i="84"/>
  <c r="Q728" i="84"/>
  <c r="L600" i="84"/>
  <c r="P38" i="84"/>
  <c r="X293" i="84"/>
  <c r="G624" i="84"/>
  <c r="U522" i="84"/>
  <c r="Y509" i="84"/>
  <c r="U742" i="84"/>
  <c r="BD10" i="82"/>
  <c r="AF703" i="84"/>
  <c r="Q759" i="84"/>
  <c r="I810" i="84"/>
  <c r="L45" i="82"/>
  <c r="F245" i="84"/>
  <c r="E615" i="84"/>
  <c r="Q106" i="84"/>
  <c r="F704" i="84"/>
  <c r="Y952" i="84"/>
  <c r="O754" i="84"/>
  <c r="AF716" i="84"/>
  <c r="AF456" i="84"/>
  <c r="J296" i="84"/>
  <c r="H121" i="84"/>
  <c r="X533" i="84"/>
  <c r="BJ916" i="84"/>
  <c r="V899" i="84"/>
  <c r="AO29" i="82"/>
  <c r="Q9" i="84"/>
  <c r="X463" i="84"/>
  <c r="R162" i="84"/>
  <c r="L47" i="84"/>
  <c r="Z575" i="84"/>
  <c r="E120" i="84"/>
  <c r="BA13" i="82"/>
  <c r="F532" i="84"/>
  <c r="J529" i="84"/>
  <c r="O835" i="84"/>
  <c r="Q545" i="84"/>
  <c r="BJ668" i="84"/>
  <c r="W215" i="84"/>
  <c r="P692" i="84"/>
  <c r="O847" i="84"/>
  <c r="Z20" i="84"/>
  <c r="AF649" i="84"/>
  <c r="AA705" i="84"/>
  <c r="U367" i="84"/>
  <c r="BK654" i="84"/>
  <c r="X18" i="84"/>
  <c r="F75" i="84"/>
  <c r="W12" i="84"/>
  <c r="Y649" i="84"/>
  <c r="T749" i="84"/>
  <c r="G55" i="84"/>
  <c r="H297" i="84"/>
  <c r="W357" i="84"/>
  <c r="R213" i="84"/>
  <c r="U636" i="84"/>
  <c r="G355" i="84"/>
  <c r="F274" i="84"/>
  <c r="G707" i="84"/>
  <c r="BK955" i="84"/>
  <c r="W142" i="84"/>
  <c r="AA911" i="84"/>
  <c r="P661" i="84"/>
  <c r="O771" i="84"/>
  <c r="AF907" i="84"/>
  <c r="F160" i="84"/>
  <c r="Z447" i="84"/>
  <c r="O248" i="84"/>
  <c r="S921" i="84"/>
  <c r="R247" i="84"/>
  <c r="Y681" i="84"/>
  <c r="AV12" i="82"/>
  <c r="G426" i="84"/>
  <c r="W453" i="84"/>
  <c r="W666" i="84"/>
  <c r="V882" i="84"/>
  <c r="V925" i="84"/>
  <c r="BJ604" i="84"/>
  <c r="J812" i="84"/>
  <c r="AF556" i="84"/>
  <c r="Q826" i="84"/>
  <c r="AI15" i="82"/>
  <c r="N15" i="82"/>
  <c r="X188" i="84"/>
  <c r="H304" i="84"/>
  <c r="P186" i="84"/>
  <c r="Z84" i="84"/>
  <c r="S795" i="84"/>
  <c r="X597" i="84"/>
  <c r="W870" i="84"/>
  <c r="S205" i="84"/>
  <c r="F240" i="84"/>
  <c r="U83" i="84"/>
  <c r="W415" i="84"/>
  <c r="W889" i="84"/>
  <c r="AF560" i="84"/>
  <c r="E878" i="84"/>
  <c r="Z204" i="84"/>
  <c r="T484" i="84"/>
  <c r="X56" i="84"/>
  <c r="L450" i="84"/>
  <c r="G586" i="84"/>
  <c r="G8" i="84"/>
  <c r="U346" i="84"/>
  <c r="G14" i="84"/>
  <c r="G247" i="84"/>
  <c r="X838" i="84"/>
  <c r="J835" i="84"/>
  <c r="AA173" i="84"/>
  <c r="AF535" i="84"/>
  <c r="Y8" i="84"/>
  <c r="Z331" i="84"/>
  <c r="AX37" i="82"/>
  <c r="G17" i="84"/>
  <c r="S733" i="84"/>
  <c r="U632" i="84"/>
  <c r="Y211" i="84"/>
  <c r="AV26" i="82"/>
  <c r="S92" i="84"/>
  <c r="R485" i="84"/>
  <c r="AF903" i="84"/>
  <c r="J547" i="84"/>
  <c r="AA782" i="84"/>
  <c r="BQ17" i="82"/>
  <c r="AA423" i="84"/>
  <c r="P960" i="84"/>
  <c r="P561" i="84"/>
  <c r="AS29" i="82"/>
  <c r="M380" i="84"/>
  <c r="V388" i="84"/>
  <c r="BQ26" i="82"/>
  <c r="Y874" i="84"/>
  <c r="AF423" i="84"/>
  <c r="AA24" i="84"/>
  <c r="T154" i="84"/>
  <c r="BN28" i="82"/>
  <c r="AF915" i="84"/>
  <c r="N605" i="84"/>
  <c r="AA619" i="84"/>
  <c r="AF610" i="84"/>
  <c r="Y499" i="84"/>
  <c r="AC28" i="82"/>
  <c r="AA651" i="84"/>
  <c r="W99" i="84"/>
  <c r="P442" i="84"/>
  <c r="AF852" i="84"/>
  <c r="BK699" i="84"/>
  <c r="E750" i="84"/>
  <c r="G713" i="84"/>
  <c r="O824" i="84"/>
  <c r="T492" i="84"/>
  <c r="F839" i="84"/>
  <c r="Y358" i="84"/>
  <c r="N67" i="84"/>
  <c r="O19" i="82"/>
  <c r="E222" i="84"/>
  <c r="T125" i="84"/>
  <c r="O749" i="84"/>
  <c r="J496" i="84"/>
  <c r="AF669" i="84"/>
  <c r="BM20" i="82"/>
  <c r="P498" i="84"/>
  <c r="BG28" i="82"/>
  <c r="Q680" i="84"/>
  <c r="G171" i="84"/>
  <c r="AF426" i="84"/>
  <c r="E557" i="84"/>
  <c r="Z957" i="84"/>
  <c r="Y299" i="84"/>
  <c r="Q397" i="84"/>
  <c r="V767" i="84"/>
  <c r="G368" i="84"/>
  <c r="F806" i="84"/>
  <c r="N738" i="84"/>
  <c r="P417" i="84"/>
  <c r="U616" i="84"/>
  <c r="Q834" i="84"/>
  <c r="A676" i="84"/>
  <c r="M945" i="84"/>
  <c r="O19" i="84"/>
  <c r="E445" i="84"/>
  <c r="Z89" i="84"/>
  <c r="Y655" i="84"/>
  <c r="E229" i="84"/>
  <c r="H117" i="84"/>
  <c r="Q356" i="84"/>
  <c r="G961" i="84"/>
  <c r="S947" i="84"/>
  <c r="S504" i="84"/>
  <c r="R966" i="84"/>
  <c r="D43" i="82"/>
  <c r="U900" i="84"/>
  <c r="Q610" i="84"/>
  <c r="N178" i="84"/>
  <c r="R388" i="84"/>
  <c r="S965" i="84"/>
  <c r="W583" i="84"/>
  <c r="N423" i="84"/>
  <c r="W657" i="84"/>
  <c r="Y335" i="84"/>
  <c r="G370" i="84"/>
  <c r="L577" i="84"/>
  <c r="AF291" i="84"/>
  <c r="AH32" i="82"/>
  <c r="K171" i="84"/>
  <c r="AZ39" i="82"/>
  <c r="Z411" i="84"/>
  <c r="F904" i="84"/>
  <c r="F378" i="84"/>
  <c r="Z542" i="84"/>
  <c r="AA132" i="84"/>
  <c r="O938" i="84"/>
  <c r="G286" i="84"/>
  <c r="T472" i="84"/>
  <c r="O404" i="84"/>
  <c r="R22" i="82"/>
  <c r="BY46" i="82"/>
  <c r="O388" i="84"/>
  <c r="BK876" i="84"/>
  <c r="V936" i="84"/>
  <c r="E9" i="84"/>
  <c r="AF130" i="84"/>
  <c r="BK765" i="84"/>
  <c r="P205" i="84"/>
  <c r="P20" i="84"/>
  <c r="BK94" i="84"/>
  <c r="AF486" i="84"/>
  <c r="AF624" i="84"/>
  <c r="V86" i="84"/>
  <c r="R43" i="82"/>
  <c r="E364" i="84"/>
  <c r="AA371" i="84"/>
  <c r="G831" i="84"/>
  <c r="E104" i="84"/>
  <c r="W683" i="84"/>
  <c r="BD21" i="82"/>
  <c r="O15" i="82"/>
  <c r="F723" i="84"/>
  <c r="O532" i="84"/>
  <c r="G213" i="84"/>
  <c r="X527" i="84"/>
  <c r="AA813" i="84"/>
  <c r="N486" i="84"/>
  <c r="X718" i="84"/>
  <c r="Q779" i="84"/>
  <c r="O746" i="84"/>
  <c r="W684" i="84"/>
  <c r="AF305" i="84"/>
  <c r="M339" i="84"/>
  <c r="H33" i="82"/>
  <c r="AA783" i="84"/>
  <c r="Q50" i="84"/>
  <c r="F512" i="84"/>
  <c r="BZ23" i="82"/>
  <c r="F136" i="84"/>
  <c r="AF338" i="84"/>
  <c r="AW12" i="82"/>
  <c r="Z519" i="84"/>
  <c r="V705" i="84"/>
  <c r="AF929" i="84"/>
  <c r="F508" i="84"/>
  <c r="AF49" i="84"/>
  <c r="E919" i="84"/>
  <c r="X774" i="84"/>
  <c r="R923" i="84"/>
  <c r="E39" i="84"/>
  <c r="BY33" i="82"/>
  <c r="L830" i="84"/>
  <c r="L711" i="84"/>
  <c r="W586" i="84"/>
  <c r="Y301" i="84"/>
  <c r="Q928" i="84"/>
  <c r="F616" i="84"/>
  <c r="X815" i="84"/>
  <c r="AL35" i="82"/>
  <c r="L507" i="84"/>
  <c r="Y143" i="84"/>
  <c r="G291" i="84"/>
  <c r="H13" i="82"/>
  <c r="Q12" i="82"/>
  <c r="U706" i="84"/>
  <c r="X162" i="84"/>
  <c r="W307" i="84"/>
  <c r="BJ289" i="84"/>
  <c r="Z227" i="84"/>
  <c r="BM17" i="82"/>
  <c r="AA645" i="84"/>
  <c r="AF154" i="84"/>
  <c r="F181" i="84"/>
  <c r="K12" i="82"/>
  <c r="Z583" i="84"/>
  <c r="S505" i="84"/>
  <c r="U69" i="84"/>
  <c r="AA176" i="84"/>
  <c r="BZ35" i="82"/>
  <c r="O857" i="84"/>
  <c r="AF222" i="84"/>
  <c r="AA53" i="84"/>
  <c r="AA326" i="84"/>
  <c r="F377" i="84"/>
  <c r="Z840" i="84"/>
  <c r="Z871" i="84"/>
  <c r="R52" i="84"/>
  <c r="F873" i="84"/>
  <c r="AF24" i="84"/>
  <c r="G334" i="84"/>
  <c r="AA743" i="84"/>
  <c r="O814" i="84"/>
  <c r="R55" i="84"/>
  <c r="N302" i="84"/>
  <c r="W368" i="84"/>
  <c r="E295" i="84"/>
  <c r="E940" i="84"/>
  <c r="Q468" i="84"/>
  <c r="E7" i="82"/>
  <c r="AF665" i="84"/>
  <c r="O882" i="84"/>
  <c r="X301" i="84"/>
  <c r="N467" i="84"/>
  <c r="Q504" i="84"/>
  <c r="Q639" i="84"/>
  <c r="Z290" i="84"/>
  <c r="N62" i="84"/>
  <c r="BD29" i="82"/>
  <c r="N179" i="84"/>
  <c r="F380" i="84"/>
  <c r="P43" i="82"/>
  <c r="Z510" i="84"/>
  <c r="F451" i="84"/>
  <c r="N840" i="84"/>
  <c r="N287" i="84"/>
  <c r="BJ958" i="84"/>
  <c r="AF539" i="84"/>
  <c r="W514" i="84"/>
  <c r="J389" i="84"/>
  <c r="Q543" i="84"/>
  <c r="AA739" i="84"/>
  <c r="O190" i="84"/>
  <c r="F876" i="84"/>
  <c r="BF21" i="82"/>
  <c r="J873" i="84"/>
  <c r="G477" i="84"/>
  <c r="W659" i="84"/>
  <c r="P664" i="84"/>
  <c r="AA427" i="84"/>
  <c r="AF619" i="84"/>
  <c r="W758" i="84"/>
  <c r="AT12" i="82"/>
  <c r="J516" i="84"/>
  <c r="T254" i="84"/>
  <c r="W458" i="84"/>
  <c r="W113" i="84"/>
  <c r="U264" i="84"/>
  <c r="O228" i="84"/>
  <c r="AA267" i="84"/>
  <c r="AV19" i="82"/>
  <c r="BJ607" i="84"/>
  <c r="W265" i="84"/>
  <c r="V850" i="84"/>
  <c r="Q18" i="82"/>
  <c r="BZ10" i="82"/>
  <c r="V424" i="84"/>
  <c r="AA205" i="84"/>
  <c r="BK93" i="84"/>
  <c r="N405" i="84"/>
  <c r="W816" i="84"/>
  <c r="X679" i="84"/>
  <c r="BF33" i="82"/>
  <c r="V792" i="84"/>
  <c r="O318" i="84"/>
  <c r="AA215" i="84"/>
  <c r="O294" i="84"/>
  <c r="G879" i="84"/>
  <c r="F394" i="84"/>
  <c r="AA323" i="84"/>
  <c r="P428" i="84"/>
  <c r="Y179" i="84"/>
  <c r="T88" i="84"/>
  <c r="AF795" i="84"/>
  <c r="P139" i="84"/>
  <c r="AA91" i="84"/>
  <c r="N503" i="84"/>
  <c r="V933" i="84"/>
  <c r="J28" i="84"/>
  <c r="S928" i="84"/>
  <c r="O651" i="84"/>
  <c r="G400" i="84"/>
  <c r="Z406" i="84"/>
  <c r="W954" i="84"/>
  <c r="AF472" i="84"/>
  <c r="BK614" i="84"/>
  <c r="Z88" i="84"/>
  <c r="G590" i="84"/>
  <c r="Y639" i="84"/>
  <c r="E141" i="84"/>
  <c r="Z408" i="84"/>
  <c r="AF122" i="84"/>
  <c r="O469" i="84"/>
  <c r="O96" i="84"/>
  <c r="H905" i="84"/>
  <c r="U181" i="84"/>
  <c r="E955" i="84"/>
  <c r="N661" i="84"/>
  <c r="P362" i="84"/>
  <c r="D11" i="82"/>
  <c r="Z762" i="84"/>
  <c r="M536" i="84"/>
  <c r="F669" i="84"/>
  <c r="O826" i="84"/>
  <c r="G31" i="84"/>
  <c r="S854" i="84"/>
  <c r="O760" i="84"/>
  <c r="BY13" i="82"/>
  <c r="AH13" i="82"/>
  <c r="X559" i="84"/>
  <c r="N356" i="84"/>
  <c r="O608" i="84"/>
  <c r="Z208" i="84"/>
  <c r="M632" i="84"/>
  <c r="N575" i="84"/>
  <c r="AR9" i="82"/>
  <c r="U634" i="84"/>
  <c r="BN45" i="82"/>
  <c r="F253" i="84"/>
  <c r="S749" i="84"/>
  <c r="Q206" i="84"/>
  <c r="BJ711" i="84"/>
  <c r="AF940" i="84"/>
  <c r="O21" i="82"/>
  <c r="AS20" i="82"/>
  <c r="N81" i="84"/>
  <c r="Y556" i="84"/>
  <c r="X919" i="84"/>
  <c r="Y814" i="84"/>
  <c r="F422" i="84"/>
  <c r="AF570" i="84"/>
  <c r="Z459" i="84"/>
  <c r="P796" i="84"/>
  <c r="G712" i="84"/>
  <c r="M572" i="84"/>
  <c r="AA287" i="84"/>
  <c r="Z196" i="84"/>
  <c r="V651" i="84"/>
  <c r="Y188" i="84"/>
  <c r="W289" i="84"/>
  <c r="R297" i="84"/>
  <c r="H353" i="84"/>
  <c r="O817" i="84"/>
  <c r="V265" i="84"/>
  <c r="AA608" i="84"/>
  <c r="F120" i="84"/>
  <c r="U700" i="84"/>
  <c r="R645" i="84"/>
  <c r="BC29" i="82"/>
  <c r="F24" i="84"/>
  <c r="F92" i="84"/>
  <c r="BC35" i="82"/>
  <c r="AH14" i="82"/>
  <c r="V293" i="84"/>
  <c r="BJ648" i="84"/>
  <c r="M818" i="84"/>
  <c r="Y326" i="84"/>
  <c r="V692" i="84"/>
  <c r="M39" i="84"/>
  <c r="Q196" i="84"/>
  <c r="V904" i="84"/>
  <c r="AA789" i="84"/>
  <c r="AA953" i="84"/>
  <c r="S792" i="84"/>
  <c r="X260" i="84"/>
  <c r="L22" i="82"/>
  <c r="BJ234" i="84"/>
  <c r="W31" i="84"/>
  <c r="F334" i="84"/>
  <c r="Z229" i="84"/>
  <c r="AM36" i="82"/>
  <c r="Z732" i="84"/>
  <c r="M722" i="84"/>
  <c r="AA49" i="84"/>
  <c r="Z112" i="84"/>
  <c r="W764" i="84"/>
  <c r="X249" i="84"/>
  <c r="Y525" i="84"/>
  <c r="Y353" i="84"/>
  <c r="AF115" i="84"/>
  <c r="W858" i="84"/>
  <c r="S608" i="84"/>
  <c r="O444" i="84"/>
  <c r="AA315" i="84"/>
  <c r="O514" i="84"/>
  <c r="BK469" i="84"/>
  <c r="H673" i="84"/>
  <c r="Y135" i="84"/>
  <c r="T488" i="84"/>
  <c r="Y779" i="84"/>
  <c r="O795" i="84"/>
  <c r="P553" i="84"/>
  <c r="Q379" i="84"/>
  <c r="W97" i="84"/>
  <c r="G409" i="84"/>
  <c r="P221" i="84"/>
  <c r="AA695" i="84"/>
  <c r="P304" i="84"/>
  <c r="W623" i="84"/>
  <c r="O625" i="84"/>
  <c r="S673" i="84"/>
  <c r="AA99" i="84"/>
  <c r="BK630" i="84"/>
  <c r="D38" i="82"/>
  <c r="AF695" i="84"/>
  <c r="J110" i="84"/>
  <c r="V916" i="84"/>
  <c r="G804" i="84"/>
  <c r="F879" i="84"/>
  <c r="O36" i="82"/>
  <c r="Y304" i="84"/>
  <c r="W413" i="84"/>
  <c r="M161" i="84"/>
  <c r="Q548" i="84"/>
  <c r="T851" i="84"/>
  <c r="N841" i="84"/>
  <c r="O334" i="84"/>
  <c r="P411" i="84"/>
  <c r="U539" i="84"/>
  <c r="P722" i="84"/>
  <c r="L53" i="84"/>
  <c r="H550" i="84"/>
  <c r="AF686" i="84"/>
  <c r="Z916" i="84"/>
  <c r="V496" i="84"/>
  <c r="X651" i="84"/>
  <c r="S384" i="84"/>
  <c r="V538" i="84"/>
  <c r="Z376" i="84"/>
  <c r="AL45" i="82"/>
  <c r="BC19" i="82"/>
  <c r="AF21" i="82"/>
  <c r="N214" i="84"/>
  <c r="AM23" i="82"/>
  <c r="H105" i="84"/>
  <c r="Y688" i="84"/>
  <c r="AA632" i="84"/>
  <c r="Y771" i="84"/>
  <c r="F326" i="84"/>
  <c r="E233" i="84"/>
  <c r="N251" i="84"/>
  <c r="X500" i="84"/>
  <c r="V21" i="84"/>
  <c r="T47" i="84"/>
  <c r="U871" i="84"/>
  <c r="V527" i="84"/>
  <c r="AA878" i="84"/>
  <c r="AS9" i="82"/>
  <c r="BL19" i="82"/>
  <c r="AF401" i="84"/>
  <c r="Z713" i="84"/>
  <c r="O57" i="84"/>
  <c r="BG20" i="82"/>
  <c r="S923" i="84"/>
  <c r="Z93" i="84"/>
  <c r="Z570" i="84"/>
  <c r="AA721" i="84"/>
  <c r="BN32" i="82"/>
  <c r="S464" i="84"/>
  <c r="V670" i="84"/>
  <c r="G878" i="84"/>
  <c r="AA367" i="84"/>
  <c r="Y866" i="84"/>
  <c r="Q877" i="84"/>
  <c r="T400" i="84"/>
  <c r="W556" i="84"/>
  <c r="AA210" i="84"/>
  <c r="AF327" i="84"/>
  <c r="X635" i="84"/>
  <c r="W564" i="84"/>
  <c r="F469" i="84"/>
  <c r="AF859" i="84"/>
  <c r="Y230" i="84"/>
  <c r="E625" i="84"/>
  <c r="X482" i="84"/>
  <c r="G118" i="84"/>
  <c r="T16" i="84"/>
  <c r="P611" i="84"/>
  <c r="F184" i="84"/>
  <c r="X258" i="84"/>
  <c r="U404" i="84"/>
  <c r="F17" i="82"/>
  <c r="I759" i="84"/>
  <c r="P723" i="84"/>
  <c r="L699" i="84"/>
  <c r="S399" i="84"/>
  <c r="G342" i="84"/>
  <c r="G170" i="84"/>
  <c r="AF622" i="84"/>
  <c r="G7" i="82"/>
  <c r="W616" i="84"/>
  <c r="G24" i="82"/>
  <c r="S438" i="84"/>
  <c r="AA149" i="84"/>
  <c r="X936" i="84"/>
  <c r="AA118" i="84"/>
  <c r="G281" i="84"/>
  <c r="BK143" i="84"/>
  <c r="Z37" i="84"/>
  <c r="R338" i="84"/>
  <c r="F441" i="84"/>
  <c r="AT32" i="82"/>
  <c r="G429" i="84"/>
  <c r="H811" i="84"/>
  <c r="X388" i="84"/>
  <c r="O694" i="84"/>
  <c r="BJ198" i="84"/>
  <c r="AH15" i="82"/>
  <c r="W699" i="84"/>
  <c r="R749" i="84"/>
  <c r="AA435" i="84"/>
  <c r="AY31" i="82"/>
  <c r="U173" i="84"/>
  <c r="S713" i="84"/>
  <c r="H142" i="84"/>
  <c r="AC46" i="82"/>
  <c r="J890" i="84"/>
  <c r="M815" i="84"/>
  <c r="S528" i="84"/>
  <c r="Y805" i="84"/>
  <c r="T521" i="84"/>
  <c r="S541" i="84"/>
  <c r="AA25" i="82"/>
  <c r="H66" i="84"/>
  <c r="Q378" i="84"/>
  <c r="Q401" i="84"/>
  <c r="H553" i="84"/>
  <c r="BD37" i="82"/>
  <c r="R453" i="84"/>
  <c r="H175" i="84"/>
  <c r="Y257" i="84"/>
  <c r="AF315" i="84"/>
  <c r="V456" i="84"/>
  <c r="I12" i="82"/>
  <c r="G146" i="84"/>
  <c r="AN16" i="82"/>
  <c r="X879" i="84"/>
  <c r="AF55" i="84"/>
  <c r="W680" i="84"/>
  <c r="U857" i="84"/>
  <c r="O408" i="84"/>
  <c r="AA9" i="82"/>
  <c r="S261" i="84"/>
  <c r="AA956" i="84"/>
  <c r="AY44" i="82"/>
  <c r="AF813" i="84"/>
  <c r="X686" i="84"/>
  <c r="Q406" i="84"/>
  <c r="S802" i="84"/>
  <c r="N457" i="84"/>
  <c r="S19" i="82"/>
  <c r="K832" i="84"/>
  <c r="L888" i="84"/>
  <c r="Y849" i="84"/>
  <c r="AO7" i="82"/>
  <c r="N878" i="84"/>
  <c r="AH40" i="82"/>
  <c r="BJ639" i="84"/>
  <c r="Q455" i="84"/>
  <c r="Y92" i="84"/>
  <c r="T892" i="84"/>
  <c r="S486" i="84"/>
  <c r="Z544" i="84"/>
  <c r="E108" i="84"/>
  <c r="AA355" i="84"/>
  <c r="F95" i="84"/>
  <c r="F481" i="84"/>
  <c r="E368" i="84"/>
  <c r="O358" i="84"/>
  <c r="N606" i="84"/>
  <c r="Y68" i="84"/>
  <c r="Y659" i="84"/>
  <c r="E246" i="84"/>
  <c r="O495" i="84"/>
  <c r="G864" i="84"/>
  <c r="R828" i="84"/>
  <c r="J932" i="84"/>
  <c r="J854" i="84"/>
  <c r="AF416" i="84"/>
  <c r="W759" i="84"/>
  <c r="AF88" i="84"/>
  <c r="AN43" i="82"/>
  <c r="T933" i="84"/>
  <c r="G516" i="84"/>
  <c r="F28" i="84"/>
  <c r="N49" i="84"/>
  <c r="F550" i="84"/>
  <c r="O309" i="84"/>
  <c r="AF809" i="84"/>
  <c r="X628" i="84"/>
  <c r="AA463" i="84"/>
  <c r="X790" i="84"/>
  <c r="U633" i="84"/>
  <c r="N45" i="84"/>
  <c r="W824" i="84"/>
  <c r="F247" i="84"/>
  <c r="X660" i="84"/>
  <c r="AA464" i="84"/>
  <c r="W38" i="84"/>
  <c r="V405" i="84"/>
  <c r="V940" i="84"/>
  <c r="K512" i="84"/>
  <c r="O803" i="84"/>
  <c r="N207" i="84"/>
  <c r="V110" i="84"/>
  <c r="V54" i="84"/>
  <c r="Y399" i="84"/>
  <c r="P759" i="84"/>
  <c r="G565" i="84"/>
  <c r="W125" i="84"/>
  <c r="E908" i="84"/>
  <c r="AF860" i="84"/>
  <c r="J39" i="82"/>
  <c r="AA831" i="84"/>
  <c r="AY26" i="82"/>
  <c r="Y216" i="84"/>
  <c r="N651" i="84"/>
  <c r="BK402" i="84"/>
  <c r="BK170" i="84"/>
  <c r="Z448" i="84"/>
  <c r="R238" i="84"/>
  <c r="W727" i="84"/>
  <c r="E154" i="84"/>
  <c r="AA414" i="84"/>
  <c r="AN39" i="82"/>
  <c r="U135" i="84"/>
  <c r="P475" i="84"/>
  <c r="V408" i="84"/>
  <c r="AI12" i="82"/>
  <c r="AA178" i="84"/>
  <c r="U234" i="84"/>
  <c r="N904" i="84"/>
  <c r="AA850" i="84"/>
  <c r="R126" i="84"/>
  <c r="Z287" i="84"/>
  <c r="F672" i="84"/>
  <c r="Z486" i="84"/>
  <c r="Z528" i="84"/>
  <c r="BK478" i="84"/>
  <c r="AO30" i="82"/>
  <c r="AF531" i="84"/>
  <c r="AN42" i="82"/>
  <c r="K496" i="84"/>
  <c r="Q33" i="82"/>
  <c r="G155" i="84"/>
  <c r="O734" i="84"/>
  <c r="E66" i="84"/>
  <c r="AF447" i="84"/>
  <c r="X144" i="84"/>
  <c r="Y739" i="84"/>
  <c r="Q171" i="84"/>
  <c r="E335" i="84"/>
  <c r="X954" i="84"/>
  <c r="X832" i="84"/>
  <c r="G438" i="84"/>
  <c r="O410" i="84"/>
  <c r="P181" i="84"/>
  <c r="Z635" i="84"/>
  <c r="Y526" i="84"/>
  <c r="O372" i="84"/>
  <c r="F287" i="84"/>
  <c r="F756" i="84"/>
  <c r="G436" i="84"/>
  <c r="U893" i="84"/>
  <c r="Z194" i="84"/>
  <c r="N597" i="84"/>
  <c r="N39" i="84"/>
  <c r="W962" i="84"/>
  <c r="X490" i="84"/>
  <c r="N760" i="84"/>
  <c r="N219" i="84"/>
  <c r="AA837" i="84"/>
  <c r="BK37" i="84"/>
  <c r="BK434" i="84"/>
  <c r="BJ857" i="84"/>
  <c r="S954" i="84"/>
  <c r="AL39" i="82"/>
  <c r="X856" i="84"/>
  <c r="AF609" i="84"/>
  <c r="BK682" i="84"/>
  <c r="O645" i="84"/>
  <c r="AA192" i="84"/>
  <c r="G678" i="84"/>
  <c r="AS22" i="82"/>
  <c r="F841" i="84"/>
  <c r="V928" i="84"/>
  <c r="R351" i="84"/>
  <c r="G953" i="84"/>
  <c r="X248" i="84"/>
  <c r="A535" i="84"/>
  <c r="AL25" i="82"/>
  <c r="Y237" i="84"/>
  <c r="R915" i="84"/>
  <c r="G386" i="84"/>
  <c r="Y885" i="84"/>
  <c r="R129" i="84"/>
  <c r="X265" i="84"/>
  <c r="H370" i="84"/>
  <c r="Q519" i="84"/>
  <c r="BK27" i="84"/>
  <c r="AH37" i="82"/>
  <c r="V462" i="84"/>
  <c r="X181" i="84"/>
  <c r="F39" i="84"/>
  <c r="P649" i="84"/>
  <c r="O712" i="84"/>
  <c r="AA443" i="84"/>
  <c r="AF714" i="84"/>
  <c r="AA928" i="84"/>
  <c r="J805" i="84"/>
  <c r="AF382" i="84"/>
  <c r="Y577" i="84"/>
  <c r="X562" i="84"/>
  <c r="BK586" i="84"/>
  <c r="AA857" i="84"/>
  <c r="L302" i="84"/>
  <c r="Y207" i="84"/>
  <c r="V744" i="84"/>
  <c r="AF352" i="84"/>
  <c r="E25" i="84"/>
  <c r="AJ44" i="82"/>
  <c r="X479" i="84"/>
  <c r="O871" i="84"/>
  <c r="F545" i="84"/>
  <c r="AF827" i="84"/>
  <c r="J34" i="84"/>
  <c r="T225" i="84"/>
  <c r="F797" i="84"/>
  <c r="W66" i="84"/>
  <c r="E91" i="84"/>
  <c r="AA802" i="84"/>
  <c r="U11" i="84"/>
  <c r="U123" i="84"/>
  <c r="O414" i="84"/>
  <c r="E788" i="84"/>
  <c r="T448" i="84"/>
  <c r="C917" i="84"/>
  <c r="BK949" i="84"/>
  <c r="AH34" i="82"/>
  <c r="U905" i="84"/>
  <c r="S632" i="84"/>
  <c r="AA363" i="84"/>
  <c r="W563" i="84"/>
  <c r="E231" i="84"/>
  <c r="AF369" i="84"/>
  <c r="X616" i="84"/>
  <c r="W143" i="84"/>
  <c r="N16" i="82"/>
  <c r="N283" i="84"/>
  <c r="F604" i="84"/>
  <c r="AT26" i="82"/>
  <c r="AA337" i="84"/>
  <c r="AF247" i="84"/>
  <c r="P179" i="84"/>
  <c r="V864" i="84"/>
  <c r="P476" i="84"/>
  <c r="T198" i="84"/>
  <c r="W739" i="84"/>
  <c r="BG44" i="82"/>
  <c r="L289" i="84"/>
  <c r="X775" i="84"/>
  <c r="L325" i="84"/>
  <c r="BF38" i="82"/>
  <c r="Y235" i="84"/>
  <c r="H258" i="84"/>
  <c r="X151" i="84"/>
  <c r="Q626" i="84"/>
  <c r="Z870" i="84"/>
  <c r="P162" i="84"/>
  <c r="S952" i="84"/>
  <c r="N9" i="82"/>
  <c r="Q702" i="84"/>
  <c r="R109" i="84"/>
  <c r="X886" i="84"/>
  <c r="AF592" i="84"/>
  <c r="V62" i="84"/>
  <c r="P204" i="84"/>
  <c r="Q313" i="84"/>
  <c r="AA492" i="84"/>
  <c r="R347" i="84"/>
  <c r="U442" i="84"/>
  <c r="BK582" i="84"/>
  <c r="E391" i="84"/>
  <c r="S329" i="84"/>
  <c r="N787" i="84"/>
  <c r="L343" i="84"/>
  <c r="I215" i="84"/>
  <c r="O925" i="84"/>
  <c r="AK19" i="82"/>
  <c r="P253" i="84"/>
  <c r="N881" i="84"/>
  <c r="W134" i="84"/>
  <c r="Q669" i="84"/>
  <c r="P298" i="84"/>
  <c r="Q897" i="84"/>
  <c r="G811" i="84"/>
  <c r="AF764" i="84"/>
  <c r="F453" i="84"/>
  <c r="P806" i="84"/>
  <c r="G219" i="84"/>
  <c r="N548" i="84"/>
  <c r="N646" i="84"/>
  <c r="BZ24" i="82"/>
  <c r="Q744" i="84"/>
  <c r="R272" i="84"/>
  <c r="L439" i="84"/>
  <c r="Z932" i="84"/>
  <c r="E198" i="84"/>
  <c r="P132" i="84"/>
  <c r="Y271" i="84"/>
  <c r="AF80" i="84"/>
  <c r="F416" i="84"/>
  <c r="G374" i="84"/>
  <c r="K708" i="84"/>
  <c r="Z600" i="84"/>
  <c r="BQ20" i="82"/>
  <c r="O825" i="84"/>
  <c r="P404" i="84"/>
  <c r="N490" i="84"/>
  <c r="Q327" i="84"/>
  <c r="V948" i="84"/>
  <c r="S188" i="84"/>
  <c r="Z417" i="84"/>
  <c r="F956" i="84"/>
  <c r="E150" i="84"/>
  <c r="W712" i="84"/>
  <c r="W356" i="84"/>
  <c r="M750" i="84"/>
  <c r="AF814" i="84"/>
  <c r="L52" i="84"/>
  <c r="S657" i="84"/>
  <c r="R243" i="84"/>
  <c r="P124" i="84"/>
  <c r="T568" i="84"/>
  <c r="P142" i="84"/>
  <c r="G495" i="84"/>
  <c r="AF25" i="84"/>
  <c r="Q863" i="84"/>
  <c r="X417" i="84"/>
  <c r="O762" i="84"/>
  <c r="E739" i="84"/>
  <c r="E956" i="84"/>
  <c r="M530" i="84"/>
  <c r="T300" i="84"/>
  <c r="AF756" i="84"/>
  <c r="AP38" i="82"/>
  <c r="F308" i="84"/>
  <c r="W700" i="84"/>
  <c r="U471" i="84"/>
  <c r="AA773" i="84"/>
  <c r="AK7" i="82"/>
  <c r="Z382" i="84"/>
  <c r="BJ144" i="84"/>
  <c r="BG15" i="82"/>
  <c r="T660" i="84"/>
  <c r="J906" i="84"/>
  <c r="L817" i="84"/>
  <c r="X273" i="84"/>
  <c r="S945" i="84"/>
  <c r="Y380" i="84"/>
  <c r="T210" i="84"/>
  <c r="W890" i="84"/>
  <c r="E13" i="84"/>
  <c r="R274" i="84"/>
  <c r="T755" i="84"/>
  <c r="AP44" i="82"/>
  <c r="J30" i="82"/>
  <c r="G700" i="84"/>
  <c r="F771" i="84"/>
  <c r="AV37" i="82"/>
  <c r="W304" i="84"/>
  <c r="X478" i="84"/>
  <c r="F365" i="84"/>
  <c r="Z696" i="84"/>
  <c r="G198" i="84"/>
  <c r="H496" i="84"/>
  <c r="O623" i="84"/>
  <c r="O423" i="84"/>
  <c r="AA660" i="84"/>
  <c r="E241" i="84"/>
  <c r="AV36" i="82"/>
  <c r="G324" i="84"/>
  <c r="E498" i="84"/>
  <c r="Y947" i="84"/>
  <c r="V824" i="84"/>
  <c r="O292" i="84"/>
  <c r="V606" i="84"/>
  <c r="T491" i="84"/>
  <c r="P235" i="84"/>
  <c r="BD28" i="82"/>
  <c r="Q329" i="84"/>
  <c r="Z834" i="84"/>
  <c r="Z741" i="84"/>
  <c r="Y152" i="84"/>
  <c r="Q879" i="84"/>
  <c r="P59" i="84"/>
  <c r="Q703" i="84"/>
  <c r="E402" i="84"/>
  <c r="AA23" i="82"/>
  <c r="T684" i="84"/>
  <c r="AA751" i="84"/>
  <c r="F383" i="84"/>
  <c r="Q757" i="84"/>
  <c r="E942" i="84"/>
  <c r="S451" i="84"/>
  <c r="R477" i="84"/>
  <c r="X235" i="84"/>
  <c r="AA854" i="84"/>
  <c r="G43" i="84"/>
  <c r="X467" i="84"/>
  <c r="BK224" i="84"/>
  <c r="N517" i="84"/>
  <c r="P94" i="84"/>
  <c r="Z27" i="84"/>
  <c r="AA16" i="82"/>
  <c r="W923" i="84"/>
  <c r="X118" i="84"/>
  <c r="BK386" i="84"/>
  <c r="Q474" i="84"/>
  <c r="O89" i="84"/>
  <c r="F696" i="84"/>
  <c r="D15" i="82"/>
  <c r="Q148" i="84"/>
  <c r="S447" i="84"/>
  <c r="N909" i="84"/>
  <c r="D776" i="84"/>
  <c r="U964" i="84"/>
  <c r="G607" i="84"/>
  <c r="V49" i="84"/>
  <c r="H936" i="84"/>
  <c r="F285" i="84"/>
  <c r="Q762" i="84"/>
  <c r="AP36" i="82"/>
  <c r="N192" i="84"/>
  <c r="G255" i="84"/>
  <c r="L443" i="84"/>
  <c r="G106" i="84"/>
  <c r="Y722" i="84"/>
  <c r="V164" i="84"/>
  <c r="F687" i="84"/>
  <c r="S285" i="84"/>
  <c r="G397" i="84"/>
  <c r="J804" i="84"/>
  <c r="L232" i="84"/>
  <c r="Y571" i="84"/>
  <c r="N790" i="84"/>
  <c r="E734" i="84"/>
  <c r="V415" i="84"/>
  <c r="U475" i="84"/>
  <c r="BF34" i="82"/>
  <c r="V677" i="84"/>
  <c r="G369" i="84"/>
  <c r="U763" i="84"/>
  <c r="M11" i="82"/>
  <c r="W309" i="84"/>
  <c r="G77" i="84"/>
  <c r="W291" i="84"/>
  <c r="N539" i="84"/>
  <c r="L844" i="84"/>
  <c r="H691" i="84"/>
  <c r="L375" i="84"/>
  <c r="Z689" i="84"/>
  <c r="X905" i="84"/>
  <c r="BK191" i="84"/>
  <c r="L115" i="84"/>
  <c r="P393" i="84"/>
  <c r="X564" i="84"/>
  <c r="W654" i="84"/>
  <c r="E29" i="82"/>
  <c r="G942" i="84"/>
  <c r="V924" i="84"/>
  <c r="T693" i="84"/>
  <c r="X581" i="84"/>
  <c r="F629" i="84"/>
  <c r="Y228" i="84"/>
  <c r="AF631" i="84"/>
  <c r="E797" i="84"/>
  <c r="G227" i="84"/>
  <c r="BJ126" i="84"/>
  <c r="X17" i="84"/>
  <c r="P629" i="84"/>
  <c r="BJ407" i="84"/>
  <c r="AX26" i="82"/>
  <c r="AW11" i="82"/>
  <c r="T872" i="84"/>
  <c r="W854" i="84"/>
  <c r="W101" i="84"/>
  <c r="R278" i="84"/>
  <c r="BD42" i="82"/>
  <c r="N674" i="84"/>
  <c r="S163" i="84"/>
  <c r="AA268" i="84"/>
  <c r="S419" i="84"/>
  <c r="R789" i="84"/>
  <c r="X167" i="84"/>
  <c r="S691" i="84"/>
  <c r="Z28" i="84"/>
  <c r="Z836" i="84"/>
  <c r="S160" i="84"/>
  <c r="Z327" i="84"/>
  <c r="Z865" i="84"/>
  <c r="V809" i="84"/>
  <c r="Q41" i="82"/>
  <c r="AF7" i="84"/>
  <c r="Y104" i="84"/>
  <c r="U237" i="84"/>
  <c r="J908" i="84"/>
  <c r="P45" i="84"/>
  <c r="J744" i="84"/>
  <c r="O849" i="84"/>
  <c r="L131" i="84"/>
  <c r="E157" i="84"/>
  <c r="O887" i="84"/>
  <c r="U333" i="84"/>
  <c r="V50" i="84"/>
  <c r="Q752" i="84"/>
  <c r="G278" i="84"/>
  <c r="M780" i="84"/>
  <c r="Y931" i="84"/>
  <c r="AG13" i="82"/>
  <c r="F562" i="84"/>
  <c r="Q31" i="82"/>
  <c r="S422" i="84"/>
  <c r="AF189" i="84"/>
  <c r="O123" i="84"/>
  <c r="W170" i="84"/>
  <c r="Q589" i="84"/>
  <c r="F152" i="84"/>
  <c r="AA399" i="84"/>
  <c r="Z839" i="84"/>
  <c r="Y880" i="84"/>
  <c r="V729" i="84"/>
  <c r="AF370" i="84"/>
  <c r="P370" i="84"/>
  <c r="AD14" i="82"/>
  <c r="N706" i="84"/>
  <c r="AF922" i="84"/>
  <c r="AB15" i="82"/>
  <c r="F401" i="84"/>
  <c r="X423" i="84"/>
  <c r="M922" i="84"/>
  <c r="T731" i="84"/>
  <c r="M106" i="84"/>
  <c r="L718" i="84"/>
  <c r="X484" i="84"/>
  <c r="V389" i="84"/>
  <c r="BY14" i="82"/>
  <c r="A503" i="84"/>
  <c r="BZ13" i="82"/>
  <c r="L287" i="84"/>
  <c r="Q248" i="84"/>
  <c r="R411" i="84"/>
  <c r="Y565" i="84"/>
  <c r="V318" i="84"/>
  <c r="E169" i="84"/>
  <c r="N949" i="84"/>
  <c r="E545" i="84"/>
  <c r="Q825" i="84"/>
  <c r="AJ35" i="82"/>
  <c r="S542" i="84"/>
  <c r="O441" i="84"/>
  <c r="I317" i="84"/>
  <c r="Q58" i="84"/>
  <c r="X360" i="84"/>
  <c r="F535" i="84"/>
  <c r="U694" i="84"/>
  <c r="Z431" i="84"/>
  <c r="R590" i="84"/>
  <c r="L657" i="84"/>
  <c r="F755" i="84"/>
  <c r="Y886" i="84"/>
  <c r="X419" i="84"/>
  <c r="Y332" i="84"/>
  <c r="R615" i="84"/>
  <c r="E741" i="84"/>
  <c r="AP29" i="82"/>
  <c r="P127" i="84"/>
  <c r="F690" i="84"/>
  <c r="E86" i="84"/>
  <c r="O836" i="84"/>
  <c r="F584" i="84"/>
  <c r="E186" i="84"/>
  <c r="AC7" i="82"/>
  <c r="E420" i="84"/>
  <c r="L729" i="84"/>
  <c r="P500" i="84"/>
  <c r="E442" i="84"/>
  <c r="AA898" i="84"/>
  <c r="T671" i="84"/>
  <c r="P35" i="82"/>
  <c r="Z121" i="84"/>
  <c r="F698" i="84"/>
  <c r="X538" i="84"/>
  <c r="Q530" i="84"/>
  <c r="P585" i="84"/>
  <c r="Z464" i="84"/>
  <c r="Z700" i="84"/>
  <c r="AV39" i="82"/>
  <c r="BJ271" i="84"/>
  <c r="W411" i="84"/>
  <c r="Y273" i="84"/>
  <c r="G435" i="84"/>
  <c r="AH39" i="82"/>
  <c r="V201" i="84"/>
  <c r="R268" i="84"/>
  <c r="Q893" i="84"/>
  <c r="BK929" i="84"/>
  <c r="O274" i="84"/>
  <c r="W17" i="84"/>
  <c r="P534" i="84"/>
  <c r="R730" i="84"/>
  <c r="W799" i="84"/>
  <c r="J429" i="84"/>
  <c r="AA777" i="84"/>
  <c r="AF12" i="84"/>
  <c r="P297" i="84"/>
  <c r="F450" i="84"/>
  <c r="J687" i="84"/>
  <c r="H762" i="84"/>
  <c r="U278" i="84"/>
  <c r="H657" i="84"/>
  <c r="O434" i="84"/>
  <c r="BK339" i="84"/>
  <c r="P640" i="84"/>
  <c r="Q40" i="82"/>
  <c r="I20" i="82"/>
  <c r="V294" i="84"/>
  <c r="V464" i="84"/>
  <c r="AF121" i="84"/>
  <c r="O351" i="84"/>
  <c r="BJ720" i="84"/>
  <c r="O853" i="84"/>
  <c r="Z310" i="84"/>
  <c r="F444" i="84"/>
  <c r="U228" i="84"/>
  <c r="U476" i="84"/>
  <c r="V941" i="84"/>
  <c r="Q293" i="84"/>
  <c r="BG17" i="82"/>
  <c r="P19" i="82"/>
  <c r="BJ366" i="84"/>
  <c r="Y860" i="84"/>
  <c r="X670" i="84"/>
  <c r="X811" i="84"/>
  <c r="G44" i="82"/>
  <c r="J279" i="84"/>
  <c r="T469" i="84"/>
  <c r="AW43" i="82"/>
  <c r="W839" i="84"/>
  <c r="A857" i="84"/>
  <c r="F528" i="84"/>
  <c r="S264" i="84"/>
  <c r="U800" i="84"/>
  <c r="V360" i="84"/>
  <c r="N786" i="84"/>
  <c r="N901" i="84"/>
  <c r="O304" i="84"/>
  <c r="AA920" i="84"/>
  <c r="G897" i="84"/>
  <c r="R766" i="84"/>
  <c r="S781" i="84"/>
  <c r="Y788" i="84"/>
  <c r="BJ315" i="84"/>
  <c r="AF788" i="84"/>
  <c r="BJ589" i="84"/>
  <c r="P902" i="84"/>
  <c r="L733" i="84"/>
  <c r="BC32" i="82"/>
  <c r="Y77" i="84"/>
  <c r="Z362" i="84"/>
  <c r="Z19" i="84"/>
  <c r="R526" i="84"/>
  <c r="AA588" i="84"/>
  <c r="S171" i="84"/>
  <c r="N110" i="84"/>
  <c r="F23" i="82"/>
  <c r="F284" i="84"/>
  <c r="G153" i="84"/>
  <c r="E965" i="84"/>
  <c r="Z35" i="84"/>
  <c r="O183" i="84"/>
  <c r="E516" i="84"/>
  <c r="S385" i="84"/>
  <c r="AR39" i="82"/>
  <c r="U271" i="84"/>
  <c r="BM33" i="82"/>
  <c r="E860" i="84"/>
  <c r="Z806" i="84"/>
  <c r="S14" i="82"/>
  <c r="G932" i="84"/>
  <c r="X738" i="84"/>
  <c r="U827" i="84"/>
  <c r="O880" i="84"/>
  <c r="AR42" i="82"/>
  <c r="W214" i="84"/>
  <c r="E422" i="84"/>
  <c r="Y575" i="84"/>
  <c r="BJ727" i="84"/>
  <c r="J38" i="82"/>
  <c r="T845" i="84"/>
  <c r="J212" i="84"/>
  <c r="M45" i="82"/>
  <c r="AF255" i="84"/>
  <c r="F236" i="84"/>
  <c r="G688" i="84"/>
  <c r="AF713" i="84"/>
  <c r="O596" i="84"/>
  <c r="F792" i="84"/>
  <c r="Q418" i="84"/>
  <c r="N769" i="84"/>
  <c r="V724" i="84"/>
  <c r="U771" i="84"/>
  <c r="AD43" i="82"/>
  <c r="N458" i="84"/>
  <c r="N515" i="84"/>
  <c r="Y417" i="84"/>
  <c r="X853" i="84"/>
  <c r="T499" i="84"/>
  <c r="X927" i="84"/>
  <c r="Q655" i="84"/>
  <c r="P452" i="84"/>
  <c r="Y205" i="84"/>
  <c r="Z413" i="84"/>
  <c r="D10" i="82"/>
  <c r="Q481" i="84"/>
  <c r="Y16" i="84"/>
  <c r="N198" i="84"/>
  <c r="N459" i="84"/>
  <c r="AA253" i="84"/>
  <c r="F208" i="84"/>
  <c r="R90" i="84"/>
  <c r="BK753" i="84"/>
  <c r="N410" i="84"/>
  <c r="V652" i="84"/>
  <c r="AR14" i="82"/>
  <c r="BK672" i="84"/>
  <c r="J765" i="84"/>
  <c r="AF861" i="84"/>
  <c r="P622" i="84"/>
  <c r="O458" i="84"/>
  <c r="S730" i="84"/>
  <c r="E935" i="84"/>
  <c r="W199" i="84"/>
  <c r="Q489" i="84"/>
  <c r="Y937" i="84"/>
  <c r="E835" i="84"/>
  <c r="O646" i="84"/>
  <c r="P497" i="84"/>
  <c r="L34" i="84"/>
  <c r="U375" i="84"/>
  <c r="Q373" i="84"/>
  <c r="AY12" i="82"/>
  <c r="E950" i="84"/>
  <c r="H37" i="82"/>
  <c r="H490" i="84"/>
  <c r="H167" i="84"/>
  <c r="N18" i="84"/>
  <c r="G348" i="84"/>
  <c r="N397" i="84"/>
  <c r="R38" i="82"/>
  <c r="P419" i="84"/>
  <c r="X112" i="84"/>
  <c r="E497" i="84"/>
  <c r="D196" i="84"/>
  <c r="AA251" i="84"/>
  <c r="S785" i="84"/>
  <c r="U903" i="84"/>
  <c r="L574" i="84"/>
  <c r="O320" i="84"/>
  <c r="V399" i="84"/>
  <c r="G507" i="84"/>
  <c r="E792" i="84"/>
  <c r="H467" i="84"/>
  <c r="W183" i="84"/>
  <c r="AZ11" i="82"/>
  <c r="S348" i="84"/>
  <c r="E824" i="84"/>
  <c r="H221" i="84"/>
  <c r="Z185" i="84"/>
  <c r="N362" i="84"/>
  <c r="J371" i="84"/>
  <c r="Q828" i="84"/>
  <c r="W361" i="84"/>
  <c r="BJ438" i="84"/>
  <c r="Q876" i="84"/>
  <c r="U723" i="84"/>
  <c r="X561" i="84"/>
  <c r="S892" i="84"/>
  <c r="V22" i="84"/>
  <c r="J664" i="84"/>
  <c r="BJ786" i="84"/>
  <c r="N761" i="84"/>
  <c r="AA536" i="84"/>
  <c r="E360" i="84"/>
  <c r="S274" i="84"/>
  <c r="AY24" i="82"/>
  <c r="F260" i="84"/>
  <c r="I29" i="84"/>
  <c r="Y730" i="84"/>
  <c r="E106" i="84"/>
  <c r="V194" i="84"/>
  <c r="Y168" i="84"/>
  <c r="V932" i="84"/>
  <c r="A279" i="84"/>
  <c r="Y719" i="84"/>
  <c r="X883" i="84"/>
  <c r="AF706" i="84"/>
  <c r="Z914" i="84"/>
  <c r="BJ735" i="84"/>
  <c r="S317" i="84"/>
  <c r="N721" i="84"/>
  <c r="BQ37" i="82"/>
  <c r="E660" i="84"/>
  <c r="T873" i="84"/>
  <c r="AA228" i="84"/>
  <c r="X327" i="84"/>
  <c r="N600" i="84"/>
  <c r="S915" i="84"/>
  <c r="E190" i="84"/>
  <c r="F248" i="84"/>
  <c r="U134" i="84"/>
  <c r="G109" i="84"/>
  <c r="V637" i="84"/>
  <c r="W186" i="84"/>
  <c r="N866" i="84"/>
  <c r="A254" i="84"/>
  <c r="X459" i="84"/>
  <c r="Z739" i="84"/>
  <c r="S327" i="84"/>
  <c r="Z403" i="84"/>
  <c r="F217" i="84"/>
  <c r="G207" i="84"/>
  <c r="X753" i="84"/>
  <c r="AG45" i="82"/>
  <c r="BK113" i="84"/>
  <c r="G796" i="84"/>
  <c r="AA771" i="84"/>
  <c r="F914" i="84"/>
  <c r="Y186" i="84"/>
  <c r="AA832" i="84"/>
  <c r="F821" i="84"/>
  <c r="Z193" i="84"/>
  <c r="J732" i="84"/>
  <c r="H563" i="84"/>
  <c r="V158" i="84"/>
  <c r="V458" i="84"/>
  <c r="T827" i="84"/>
  <c r="G289" i="84"/>
  <c r="V43" i="84"/>
  <c r="X141" i="84"/>
  <c r="Z660" i="84"/>
  <c r="G654" i="84"/>
  <c r="F286" i="84"/>
  <c r="AA882" i="84"/>
  <c r="E32" i="82"/>
  <c r="P432" i="84"/>
  <c r="E556" i="84"/>
  <c r="AA354" i="84"/>
  <c r="BF13" i="82"/>
  <c r="O256" i="84"/>
  <c r="O726" i="84"/>
  <c r="X375" i="84"/>
  <c r="V539" i="84"/>
  <c r="O98" i="84"/>
  <c r="R910" i="84"/>
  <c r="F782" i="84"/>
  <c r="U888" i="84"/>
  <c r="N863" i="84"/>
  <c r="Y144" i="84"/>
  <c r="Q315" i="84"/>
  <c r="Q503" i="84"/>
  <c r="P478" i="84"/>
  <c r="Q475" i="84"/>
  <c r="Q846" i="84"/>
  <c r="G484" i="84"/>
  <c r="J576" i="84"/>
  <c r="Y340" i="84"/>
  <c r="Q467" i="84"/>
  <c r="AA324" i="84"/>
  <c r="P345" i="84"/>
  <c r="Z602" i="84"/>
  <c r="T904" i="84"/>
  <c r="BN35" i="82"/>
  <c r="J772" i="84"/>
  <c r="Q232" i="84"/>
  <c r="Y735" i="84"/>
  <c r="BQ14" i="82"/>
  <c r="Y415" i="84"/>
  <c r="Z248" i="84"/>
  <c r="S789" i="84"/>
  <c r="W436" i="84"/>
  <c r="AS11" i="82"/>
  <c r="BG14" i="82"/>
  <c r="E396" i="84"/>
  <c r="Y21" i="84"/>
  <c r="H495" i="84"/>
  <c r="E230" i="84"/>
  <c r="Y136" i="84"/>
  <c r="AJ42" i="82"/>
  <c r="AU38" i="82"/>
  <c r="E483" i="84"/>
  <c r="H355" i="84"/>
  <c r="E572" i="84"/>
  <c r="E176" i="84"/>
  <c r="R408" i="84"/>
  <c r="H822" i="84"/>
  <c r="H742" i="84"/>
  <c r="P27" i="84"/>
  <c r="Q622" i="84"/>
  <c r="E450" i="84"/>
  <c r="E343" i="84"/>
  <c r="E909" i="84"/>
  <c r="W382" i="84"/>
  <c r="R779" i="84"/>
  <c r="E583" i="84"/>
  <c r="R741" i="84"/>
  <c r="S631" i="84"/>
  <c r="W107" i="84"/>
  <c r="N12" i="84"/>
  <c r="G11" i="82"/>
  <c r="AJ45" i="82"/>
  <c r="Q791" i="84"/>
  <c r="AF284" i="84"/>
  <c r="N103" i="84"/>
  <c r="N755" i="84"/>
  <c r="BJ710" i="84"/>
  <c r="E617" i="84"/>
  <c r="AS24" i="82"/>
  <c r="X157" i="84"/>
  <c r="Z547" i="84"/>
  <c r="F106" i="84"/>
  <c r="W273" i="84"/>
  <c r="Y242" i="84"/>
  <c r="BY44" i="82"/>
  <c r="AA502" i="84"/>
  <c r="Y835" i="84"/>
  <c r="X839" i="84"/>
  <c r="V142" i="84"/>
  <c r="O827" i="84"/>
  <c r="K516" i="84"/>
  <c r="J434" i="84"/>
  <c r="O855" i="84"/>
  <c r="X128" i="84"/>
  <c r="F459" i="84"/>
  <c r="T319" i="84"/>
  <c r="O936" i="84"/>
  <c r="H805" i="84"/>
  <c r="X54" i="84"/>
  <c r="N233" i="84"/>
  <c r="BK726" i="84"/>
  <c r="N258" i="84"/>
  <c r="X397" i="84"/>
  <c r="W347" i="84"/>
  <c r="Y578" i="84"/>
  <c r="W495" i="84"/>
  <c r="O790" i="84"/>
  <c r="AF280" i="84"/>
  <c r="X309" i="84"/>
  <c r="BK268" i="84"/>
  <c r="X510" i="84"/>
  <c r="Z333" i="84"/>
  <c r="V645" i="84"/>
  <c r="AF557" i="84"/>
  <c r="AW29" i="82"/>
  <c r="X783" i="84"/>
  <c r="N415" i="84"/>
  <c r="G262" i="84"/>
  <c r="AU27" i="82"/>
  <c r="Z244" i="84"/>
  <c r="H349" i="84"/>
  <c r="Y746" i="84"/>
  <c r="AK39" i="82"/>
  <c r="Y588" i="84"/>
  <c r="R328" i="84"/>
  <c r="O99" i="84"/>
  <c r="N832" i="84"/>
  <c r="T751" i="84"/>
  <c r="E331" i="84"/>
  <c r="W202" i="84"/>
  <c r="P638" i="84"/>
  <c r="P401" i="84"/>
  <c r="O878" i="84"/>
  <c r="AF904" i="84"/>
  <c r="BJ356" i="84"/>
  <c r="AV34" i="82"/>
  <c r="N171" i="84"/>
  <c r="Q842" i="84"/>
  <c r="X860" i="84"/>
  <c r="W459" i="84"/>
  <c r="Z273" i="84"/>
  <c r="W869" i="84"/>
  <c r="AF523" i="84"/>
  <c r="Y465" i="84"/>
  <c r="N273" i="84"/>
  <c r="S225" i="84"/>
  <c r="Z259" i="84"/>
  <c r="V323" i="84"/>
  <c r="F913" i="84"/>
  <c r="V679" i="84"/>
  <c r="O337" i="84"/>
  <c r="W945" i="84"/>
  <c r="P942" i="84"/>
  <c r="Z308" i="84"/>
  <c r="H130" i="84"/>
  <c r="Z143" i="84"/>
  <c r="AF549" i="84"/>
  <c r="Z278" i="84"/>
  <c r="F31" i="84"/>
  <c r="G485" i="84"/>
  <c r="W594" i="84"/>
  <c r="E653" i="84"/>
  <c r="AA303" i="84"/>
  <c r="M910" i="84"/>
  <c r="H11" i="82"/>
  <c r="T284" i="84"/>
  <c r="BK805" i="84"/>
  <c r="U315" i="84"/>
  <c r="F923" i="84"/>
  <c r="G873" i="84"/>
  <c r="BA18" i="82"/>
  <c r="N170" i="84"/>
  <c r="W184" i="84"/>
  <c r="F787" i="84"/>
  <c r="P837" i="84"/>
  <c r="L226" i="84"/>
  <c r="F891" i="84"/>
  <c r="Y225" i="84"/>
  <c r="AF954" i="84"/>
  <c r="AE28" i="82"/>
  <c r="J22" i="82"/>
  <c r="AA138" i="84"/>
  <c r="V366" i="84"/>
  <c r="AO43" i="82"/>
  <c r="AR13" i="82"/>
  <c r="L318" i="84"/>
  <c r="N456" i="84"/>
  <c r="O653" i="84"/>
  <c r="Q647" i="84"/>
  <c r="S566" i="84"/>
  <c r="O703" i="84"/>
  <c r="V373" i="84"/>
  <c r="AF511" i="84"/>
  <c r="N41" i="82"/>
  <c r="BK39" i="82"/>
  <c r="T508" i="84"/>
  <c r="P330" i="84"/>
  <c r="AU15" i="82"/>
  <c r="Z402" i="84"/>
  <c r="G241" i="84"/>
  <c r="F621" i="84"/>
  <c r="U845" i="84"/>
  <c r="E287" i="84"/>
  <c r="H30" i="82"/>
  <c r="H97" i="84"/>
  <c r="G479" i="84"/>
  <c r="E22" i="82"/>
  <c r="X617" i="84"/>
  <c r="BK890" i="84"/>
  <c r="N551" i="84"/>
  <c r="K9" i="82"/>
  <c r="Q804" i="84"/>
  <c r="AF13" i="84"/>
  <c r="AF657" i="84"/>
  <c r="H119" i="84"/>
  <c r="O566" i="84"/>
  <c r="F504" i="84"/>
  <c r="R818" i="84"/>
  <c r="Q566" i="84"/>
  <c r="V497" i="84"/>
  <c r="BM19" i="82"/>
  <c r="AR34" i="82"/>
  <c r="G145" i="84"/>
  <c r="F176" i="84"/>
  <c r="AA550" i="84"/>
  <c r="P770" i="84"/>
  <c r="J400" i="84"/>
  <c r="W59" i="84"/>
  <c r="T35" i="84"/>
  <c r="AW28" i="82"/>
  <c r="X311" i="84"/>
  <c r="X822" i="84"/>
  <c r="AY16" i="82"/>
  <c r="BJ219" i="84"/>
  <c r="T416" i="84"/>
  <c r="L264" i="84"/>
  <c r="G500" i="84"/>
  <c r="N439" i="84"/>
  <c r="E128" i="84"/>
  <c r="R707" i="84"/>
  <c r="AA900" i="84"/>
  <c r="A581" i="84"/>
  <c r="F171" i="84"/>
  <c r="R806" i="84"/>
  <c r="AI30" i="82"/>
  <c r="G783" i="84"/>
  <c r="Y846" i="84"/>
  <c r="AQ45" i="82"/>
  <c r="K70" i="84"/>
  <c r="BN41" i="82"/>
  <c r="AY34" i="82"/>
  <c r="E348" i="84"/>
  <c r="T495" i="84"/>
  <c r="S893" i="84"/>
  <c r="Y494" i="84"/>
  <c r="Y615" i="84"/>
  <c r="N166" i="84"/>
  <c r="T947" i="84"/>
  <c r="AW33" i="82"/>
  <c r="P27" i="82"/>
  <c r="P786" i="84"/>
  <c r="G99" i="84"/>
  <c r="AF565" i="84"/>
  <c r="P737" i="84"/>
  <c r="V863" i="84"/>
  <c r="F907" i="84"/>
  <c r="W761" i="84"/>
  <c r="O927" i="84"/>
  <c r="G17" i="82"/>
  <c r="AA77" i="84"/>
  <c r="R23" i="84"/>
  <c r="Z421" i="84"/>
  <c r="W121" i="84"/>
  <c r="AK9" i="82"/>
  <c r="F354" i="84"/>
  <c r="U591" i="84"/>
  <c r="AU20" i="82"/>
  <c r="F938" i="84"/>
  <c r="E181" i="84"/>
  <c r="AY42" i="82"/>
  <c r="AF913" i="84"/>
  <c r="Y488" i="84"/>
  <c r="U807" i="84"/>
  <c r="J414" i="84"/>
  <c r="F391" i="84"/>
  <c r="R837" i="84"/>
  <c r="AA431" i="84"/>
  <c r="I262" i="84"/>
  <c r="F77" i="84"/>
  <c r="BD24" i="82"/>
  <c r="E550" i="84"/>
  <c r="BY17" i="82"/>
  <c r="U792" i="84"/>
  <c r="E124" i="84"/>
  <c r="AF259" i="84"/>
  <c r="AF888" i="84"/>
  <c r="Q508" i="84"/>
  <c r="Z330" i="84"/>
  <c r="N925" i="84"/>
  <c r="Q727" i="84"/>
  <c r="Z165" i="84"/>
  <c r="AF705" i="84"/>
  <c r="BK542" i="84"/>
  <c r="BK84" i="84"/>
  <c r="S616" i="84"/>
  <c r="P654" i="84"/>
  <c r="E722" i="84"/>
  <c r="R435" i="84"/>
  <c r="Y322" i="84"/>
  <c r="Y89" i="84"/>
  <c r="P170" i="84"/>
  <c r="Q277" i="84"/>
  <c r="N570" i="84"/>
  <c r="W293" i="84"/>
  <c r="V532" i="84"/>
  <c r="AJ21" i="82"/>
  <c r="Q870" i="84"/>
  <c r="N327" i="84"/>
  <c r="O659" i="84"/>
  <c r="I15" i="82"/>
  <c r="BN33" i="82"/>
  <c r="W636" i="84"/>
  <c r="Y778" i="84"/>
  <c r="AQ35" i="82"/>
  <c r="W722" i="84"/>
  <c r="AA589" i="84"/>
  <c r="O349" i="84"/>
  <c r="AF854" i="84"/>
  <c r="F519" i="84"/>
  <c r="G234" i="84"/>
  <c r="AF294" i="84"/>
  <c r="P245" i="84"/>
  <c r="Z107" i="84"/>
  <c r="AF19" i="82"/>
  <c r="X960" i="84"/>
  <c r="Y667" i="84"/>
  <c r="E33" i="82"/>
  <c r="AF672" i="84"/>
  <c r="Z301" i="84"/>
  <c r="AF411" i="84"/>
  <c r="F880" i="84"/>
  <c r="Q961" i="84"/>
  <c r="F216" i="84"/>
  <c r="W627" i="84"/>
  <c r="S421" i="84"/>
  <c r="W673" i="84"/>
  <c r="L825" i="84"/>
  <c r="J533" i="84"/>
  <c r="AA343" i="84"/>
  <c r="BM18" i="82"/>
  <c r="F731" i="84"/>
  <c r="P441" i="84"/>
  <c r="E345" i="84"/>
  <c r="AP45" i="82"/>
  <c r="R463" i="84"/>
  <c r="X647" i="84"/>
  <c r="F28" i="82"/>
  <c r="AA863" i="84"/>
  <c r="E437" i="84"/>
  <c r="AF894" i="84"/>
  <c r="U660" i="84"/>
  <c r="Y626" i="84"/>
  <c r="AD42" i="82"/>
  <c r="AF749" i="84"/>
  <c r="X793" i="84"/>
  <c r="Q139" i="84"/>
  <c r="W385" i="84"/>
  <c r="Q506" i="84"/>
  <c r="Q922" i="84"/>
  <c r="BJ464" i="84"/>
  <c r="O923" i="84"/>
  <c r="R369" i="84"/>
  <c r="E277" i="84"/>
  <c r="S840" i="84"/>
  <c r="G721" i="84"/>
  <c r="H687" i="84"/>
  <c r="AK23" i="82"/>
  <c r="F356" i="84"/>
  <c r="G508" i="84"/>
  <c r="L569" i="84"/>
  <c r="AF781" i="84"/>
  <c r="BJ180" i="84"/>
  <c r="P309" i="84"/>
  <c r="AF48" i="84"/>
  <c r="V815" i="84"/>
  <c r="Q549" i="84"/>
  <c r="K655" i="84"/>
  <c r="BG45" i="82"/>
  <c r="N475" i="84"/>
  <c r="BK523" i="84"/>
  <c r="AA19" i="84"/>
  <c r="V291" i="84"/>
  <c r="V673" i="84"/>
  <c r="G876" i="84"/>
  <c r="BC38" i="82"/>
  <c r="V695" i="84"/>
  <c r="V418" i="84"/>
  <c r="AA574" i="84"/>
  <c r="Q164" i="84"/>
  <c r="S242" i="84"/>
  <c r="G762" i="84"/>
  <c r="X760" i="84"/>
  <c r="AF540" i="84"/>
  <c r="AF201" i="84"/>
  <c r="R799" i="84"/>
  <c r="Y883" i="84"/>
  <c r="AA569" i="84"/>
  <c r="T20" i="82"/>
  <c r="AF174" i="84"/>
  <c r="T567" i="84"/>
  <c r="Z903" i="84"/>
  <c r="AA840" i="84"/>
  <c r="Z372" i="84"/>
  <c r="V774" i="84"/>
  <c r="X461" i="84"/>
  <c r="U921" i="84"/>
  <c r="Q473" i="84"/>
  <c r="P727" i="84"/>
  <c r="E714" i="84"/>
  <c r="X911" i="84"/>
  <c r="X363" i="84"/>
  <c r="O166" i="84"/>
  <c r="Q107" i="84"/>
  <c r="E721" i="84"/>
  <c r="O451" i="84"/>
  <c r="S353" i="84"/>
  <c r="Q424" i="84"/>
  <c r="X115" i="84"/>
  <c r="L210" i="84"/>
  <c r="X576" i="84"/>
  <c r="W471" i="84"/>
  <c r="V708" i="84"/>
  <c r="P665" i="84"/>
  <c r="M17" i="82"/>
  <c r="V435" i="84"/>
  <c r="P881" i="84"/>
  <c r="S602" i="84"/>
  <c r="Y496" i="84"/>
  <c r="Y490" i="84"/>
  <c r="V374" i="84"/>
  <c r="P424" i="84"/>
  <c r="Q887" i="84"/>
  <c r="Q400" i="84"/>
  <c r="X585" i="84"/>
  <c r="E822" i="84"/>
  <c r="T730" i="84"/>
  <c r="AO28" i="82"/>
  <c r="V58" i="84"/>
  <c r="N284" i="84"/>
  <c r="AA959" i="84"/>
  <c r="G600" i="84"/>
  <c r="S851" i="84"/>
  <c r="BF11" i="82"/>
  <c r="AF397" i="84"/>
  <c r="O534" i="84"/>
  <c r="R81" i="84"/>
  <c r="R803" i="84"/>
  <c r="X276" i="84"/>
  <c r="F179" i="84"/>
  <c r="S380" i="84"/>
  <c r="O27" i="82"/>
  <c r="BA33" i="82"/>
  <c r="G922" i="84"/>
  <c r="O369" i="84"/>
  <c r="H625" i="84"/>
  <c r="F360" i="84"/>
  <c r="V589" i="84"/>
  <c r="W216" i="84"/>
  <c r="T406" i="84"/>
  <c r="W551" i="84"/>
  <c r="E53" i="84"/>
  <c r="AG8" i="82"/>
  <c r="P632" i="84"/>
  <c r="Z526" i="84"/>
  <c r="AE29" i="82"/>
  <c r="P903" i="84"/>
  <c r="J116" i="84"/>
  <c r="P854" i="84"/>
  <c r="Z164" i="84"/>
  <c r="AF545" i="84"/>
  <c r="Z118" i="84"/>
  <c r="Q898" i="84"/>
  <c r="P130" i="84"/>
  <c r="E237" i="84"/>
  <c r="S597" i="84"/>
  <c r="E602" i="84"/>
  <c r="BM11" i="82"/>
  <c r="V800" i="84"/>
  <c r="J813" i="84"/>
  <c r="G510" i="84"/>
  <c r="F554" i="84"/>
  <c r="BF16" i="82"/>
  <c r="BJ253" i="84"/>
  <c r="J602" i="84"/>
  <c r="F21" i="84"/>
  <c r="AA420" i="84"/>
  <c r="S269" i="84"/>
  <c r="O722" i="84"/>
  <c r="AF22" i="84"/>
  <c r="N629" i="84"/>
  <c r="X599" i="84"/>
  <c r="O215" i="84"/>
  <c r="U786" i="84"/>
  <c r="AA489" i="84"/>
  <c r="AF286" i="84"/>
  <c r="AP7" i="82"/>
  <c r="E125" i="84"/>
  <c r="AF197" i="84"/>
  <c r="BJ416" i="84"/>
  <c r="N342" i="84"/>
  <c r="Y797" i="84"/>
  <c r="H533" i="84"/>
  <c r="V160" i="84"/>
  <c r="S583" i="84"/>
  <c r="BJ370" i="84"/>
  <c r="X941" i="84"/>
  <c r="G911" i="84"/>
  <c r="G518" i="84"/>
  <c r="U21" i="84"/>
  <c r="R127" i="84"/>
  <c r="AF474" i="84"/>
  <c r="U589" i="84"/>
  <c r="H282" i="84"/>
  <c r="BK500" i="84"/>
  <c r="E322" i="84"/>
  <c r="R956" i="84"/>
  <c r="O370" i="84"/>
  <c r="K821" i="84"/>
  <c r="X279" i="84"/>
  <c r="N301" i="84"/>
  <c r="P193" i="84"/>
  <c r="R849" i="84"/>
  <c r="AE45" i="82"/>
  <c r="W283" i="84"/>
  <c r="AF561" i="84"/>
  <c r="Z501" i="84"/>
  <c r="Y829" i="84"/>
  <c r="G76" i="84"/>
  <c r="N756" i="84"/>
  <c r="BJ940" i="84"/>
  <c r="R17" i="82"/>
  <c r="V820" i="84"/>
  <c r="N83" i="84"/>
  <c r="AF168" i="84"/>
  <c r="O368" i="84"/>
  <c r="R300" i="84"/>
  <c r="G710" i="84"/>
  <c r="N419" i="84"/>
  <c r="Y694" i="84"/>
  <c r="Z397" i="84"/>
  <c r="V273" i="84"/>
  <c r="O405" i="84"/>
  <c r="Y522" i="84"/>
  <c r="Y220" i="84"/>
  <c r="P590" i="84"/>
  <c r="K280" i="84"/>
  <c r="G553" i="84"/>
  <c r="O143" i="84"/>
  <c r="V251" i="84"/>
  <c r="F822" i="84"/>
  <c r="Q966" i="84"/>
  <c r="BJ917" i="84"/>
  <c r="AO22" i="82"/>
  <c r="H502" i="84"/>
  <c r="O13" i="84"/>
  <c r="Y7" i="84"/>
  <c r="N534" i="84"/>
  <c r="Q444" i="84"/>
  <c r="AA9" i="84"/>
  <c r="W98" i="84"/>
  <c r="AV16" i="82"/>
  <c r="E227" i="84"/>
  <c r="P41" i="82"/>
  <c r="E281" i="84"/>
  <c r="Z292" i="84"/>
  <c r="E874" i="84"/>
  <c r="P444" i="84"/>
  <c r="AA36" i="82"/>
  <c r="W80" i="84"/>
  <c r="Z777" i="84"/>
  <c r="Z38" i="84"/>
  <c r="R510" i="84"/>
  <c r="G458" i="84"/>
  <c r="AA725" i="84"/>
  <c r="U507" i="84"/>
  <c r="V597" i="84"/>
  <c r="E34" i="82"/>
  <c r="O11" i="82"/>
  <c r="V107" i="84"/>
  <c r="L587" i="84"/>
  <c r="X230" i="84"/>
  <c r="E243" i="84"/>
  <c r="E748" i="84"/>
  <c r="X675" i="84"/>
  <c r="AY21" i="82"/>
  <c r="Y604" i="84"/>
  <c r="AX21" i="82"/>
  <c r="A796" i="84"/>
  <c r="F36" i="84"/>
  <c r="T127" i="84"/>
  <c r="Z752" i="84"/>
  <c r="G302" i="84"/>
  <c r="X877" i="84"/>
  <c r="AA409" i="84"/>
  <c r="AS46" i="82"/>
  <c r="P839" i="84"/>
  <c r="V870" i="84"/>
  <c r="AA335" i="84"/>
  <c r="E489" i="84"/>
  <c r="G854" i="84"/>
  <c r="AP11" i="82"/>
  <c r="X191" i="84"/>
  <c r="AA96" i="84"/>
  <c r="G453" i="84"/>
  <c r="S585" i="84"/>
  <c r="G389" i="84"/>
  <c r="W166" i="84"/>
  <c r="X440" i="84"/>
  <c r="L896" i="84"/>
  <c r="P782" i="84"/>
  <c r="Z65" i="84"/>
  <c r="R545" i="84"/>
  <c r="N20" i="82"/>
  <c r="Y151" i="84"/>
  <c r="P849" i="84"/>
  <c r="AF260" i="84"/>
  <c r="T355" i="84"/>
  <c r="X621" i="84"/>
  <c r="AF778" i="84"/>
  <c r="X217" i="84"/>
  <c r="E479" i="84"/>
  <c r="P592" i="84"/>
  <c r="S865" i="84"/>
  <c r="AA35" i="84"/>
  <c r="V773" i="84"/>
  <c r="Y598" i="84"/>
  <c r="BJ537" i="84"/>
  <c r="Z717" i="84"/>
  <c r="X380" i="84"/>
  <c r="T121" i="84"/>
  <c r="Z339" i="84"/>
  <c r="V945" i="84"/>
  <c r="O194" i="84"/>
  <c r="F332" i="84"/>
  <c r="BK213" i="84"/>
  <c r="E582" i="84"/>
  <c r="N509" i="84"/>
  <c r="G781" i="84"/>
  <c r="W298" i="84"/>
  <c r="N29" i="82"/>
  <c r="N921" i="84"/>
  <c r="Q429" i="84"/>
  <c r="X82" i="84"/>
  <c r="T452" i="84"/>
  <c r="J328" i="84"/>
  <c r="O261" i="84"/>
  <c r="P459" i="84"/>
  <c r="S161" i="84"/>
  <c r="X35" i="84"/>
  <c r="S299" i="84"/>
  <c r="V920" i="84"/>
  <c r="Q296" i="84"/>
  <c r="Z837" i="84"/>
  <c r="Z579" i="84"/>
  <c r="Q560" i="84"/>
  <c r="BJ936" i="84"/>
  <c r="BM12" i="82"/>
  <c r="R528" i="84"/>
  <c r="X929" i="84"/>
  <c r="O389" i="84"/>
  <c r="V530" i="84"/>
  <c r="E43" i="82"/>
  <c r="G433" i="84"/>
  <c r="P682" i="84"/>
  <c r="BK823" i="84"/>
  <c r="AA952" i="84"/>
  <c r="Z890" i="84"/>
  <c r="Y695" i="84"/>
  <c r="F883" i="84"/>
  <c r="Z712" i="84"/>
  <c r="E914" i="84"/>
  <c r="AF708" i="84"/>
  <c r="L942" i="84"/>
  <c r="Z180" i="84"/>
  <c r="W833" i="84"/>
  <c r="T185" i="84"/>
  <c r="F851" i="84"/>
  <c r="V572" i="84"/>
  <c r="X443" i="84"/>
  <c r="S900" i="84"/>
  <c r="O124" i="84"/>
  <c r="Y755" i="84"/>
  <c r="T229" i="84"/>
  <c r="T800" i="84"/>
  <c r="I223" i="84"/>
  <c r="F602" i="84"/>
  <c r="H708" i="84"/>
  <c r="AY41" i="82"/>
  <c r="F575" i="84"/>
  <c r="N720" i="84"/>
  <c r="F635" i="84"/>
  <c r="W883" i="84"/>
  <c r="E948" i="84"/>
  <c r="Y652" i="84"/>
  <c r="Q707" i="84"/>
  <c r="BE29" i="82"/>
  <c r="Q510" i="84"/>
  <c r="F389" i="84"/>
  <c r="AF120" i="84"/>
  <c r="BF27" i="82"/>
  <c r="AA457" i="84"/>
  <c r="X876" i="84"/>
  <c r="O862" i="84"/>
  <c r="U28" i="84"/>
  <c r="Y590" i="84"/>
  <c r="R586" i="84"/>
  <c r="AV32" i="82"/>
  <c r="R296" i="84"/>
  <c r="BG21" i="82"/>
  <c r="AT18" i="82"/>
  <c r="S228" i="84"/>
  <c r="BF40" i="82"/>
  <c r="AA275" i="84"/>
  <c r="G905" i="84"/>
  <c r="V855" i="84"/>
  <c r="Z329" i="84"/>
  <c r="Y938" i="84"/>
  <c r="X610" i="84"/>
  <c r="F42" i="84"/>
  <c r="X722" i="84"/>
  <c r="F41" i="84"/>
  <c r="H313" i="84"/>
  <c r="S7" i="82"/>
  <c r="BC40" i="82"/>
  <c r="Y748" i="84"/>
  <c r="AA12" i="82"/>
  <c r="AA628" i="84"/>
  <c r="BF10" i="82"/>
  <c r="O360" i="84"/>
  <c r="Y570" i="84"/>
  <c r="Y928" i="84"/>
  <c r="E803" i="84"/>
  <c r="N510" i="84"/>
  <c r="AA474" i="84"/>
  <c r="Q907" i="84"/>
  <c r="E854" i="84"/>
  <c r="W733" i="84"/>
  <c r="V586" i="84"/>
  <c r="AA364" i="84"/>
  <c r="Y280" i="84"/>
  <c r="X448" i="84"/>
  <c r="AS30" i="82"/>
  <c r="BJ557" i="84"/>
  <c r="Y227" i="84"/>
  <c r="AW31" i="82"/>
  <c r="T38" i="82"/>
  <c r="K325" i="84"/>
  <c r="AA938" i="84"/>
  <c r="BJ884" i="84"/>
  <c r="Z733" i="84"/>
  <c r="D39" i="82"/>
  <c r="AA867" i="84"/>
  <c r="T895" i="84"/>
  <c r="X369" i="84"/>
  <c r="G684" i="84"/>
  <c r="R407" i="84"/>
  <c r="K532" i="84"/>
  <c r="O424" i="84"/>
  <c r="BK379" i="84"/>
  <c r="V946" i="84"/>
  <c r="N437" i="84"/>
  <c r="AA185" i="84"/>
  <c r="Q557" i="84"/>
  <c r="AA688" i="84"/>
  <c r="AA257" i="84"/>
  <c r="R227" i="84"/>
  <c r="AE27" i="82"/>
  <c r="V31" i="84"/>
  <c r="T545" i="84"/>
  <c r="AF131" i="84"/>
  <c r="M400" i="84"/>
  <c r="O44" i="82"/>
  <c r="V801" i="84"/>
  <c r="AX13" i="82"/>
  <c r="P104" i="84"/>
  <c r="N336" i="84"/>
  <c r="K672" i="84"/>
  <c r="AB30" i="82"/>
  <c r="AM45" i="82"/>
  <c r="AF513" i="84"/>
  <c r="AA255" i="84"/>
  <c r="Z736" i="84"/>
  <c r="O929" i="84"/>
  <c r="W836" i="84"/>
  <c r="N280" i="84"/>
  <c r="O701" i="84"/>
  <c r="I28" i="82"/>
  <c r="AA116" i="84"/>
  <c r="T14" i="82"/>
  <c r="V196" i="84"/>
  <c r="Y830" i="84"/>
  <c r="Z358" i="84"/>
  <c r="J439" i="84"/>
  <c r="Z458" i="84"/>
  <c r="F733" i="84"/>
  <c r="AR12" i="82"/>
  <c r="Y259" i="84"/>
  <c r="Z318" i="84"/>
  <c r="O661" i="84"/>
  <c r="E70" i="84"/>
  <c r="AF96" i="84"/>
  <c r="F91" i="84"/>
  <c r="U457" i="84"/>
  <c r="N270" i="84"/>
  <c r="W784" i="84"/>
  <c r="I21" i="82"/>
  <c r="BN15" i="82"/>
  <c r="L28" i="82"/>
  <c r="Y34" i="84"/>
  <c r="V761" i="84"/>
  <c r="N471" i="84"/>
  <c r="E333" i="84"/>
  <c r="V125" i="84"/>
  <c r="G963" i="84"/>
  <c r="V233" i="84"/>
  <c r="X751" i="84"/>
  <c r="X132" i="84"/>
  <c r="E332" i="84"/>
  <c r="O955" i="84"/>
  <c r="F111" i="84"/>
  <c r="Y602" i="84"/>
  <c r="AW37" i="82"/>
  <c r="X913" i="84"/>
  <c r="BK920" i="84"/>
  <c r="G68" i="84"/>
  <c r="S909" i="84"/>
  <c r="BK317" i="84"/>
  <c r="AI21" i="82"/>
  <c r="S418" i="84"/>
  <c r="Y540" i="84"/>
  <c r="AA259" i="84"/>
  <c r="AA407" i="84"/>
  <c r="M869" i="84"/>
  <c r="V76" i="84"/>
  <c r="Z64" i="84"/>
  <c r="C542" i="84"/>
  <c r="AF128" i="84"/>
  <c r="V957" i="84"/>
  <c r="Z41" i="84"/>
  <c r="AF393" i="84"/>
  <c r="BJ451" i="84"/>
  <c r="BK88" i="84"/>
  <c r="AF533" i="84"/>
  <c r="AT31" i="82"/>
  <c r="X163" i="84"/>
  <c r="Q45" i="84"/>
  <c r="D44" i="82"/>
  <c r="G70" i="84"/>
  <c r="R680" i="84"/>
  <c r="Y32" i="84"/>
  <c r="BK882" i="84"/>
  <c r="L158" i="84"/>
  <c r="O670" i="84"/>
  <c r="S115" i="84"/>
  <c r="BJ665" i="84"/>
  <c r="R691" i="84"/>
  <c r="AF830" i="84"/>
  <c r="X153" i="84"/>
  <c r="AA50" i="84"/>
  <c r="Z469" i="84"/>
  <c r="X619" i="84"/>
  <c r="W902" i="84"/>
  <c r="BJ948" i="84"/>
  <c r="G384" i="84"/>
  <c r="AD9" i="82"/>
  <c r="Y555" i="84"/>
  <c r="Z371" i="84"/>
  <c r="Z125" i="84"/>
  <c r="P464" i="84"/>
  <c r="V534" i="84"/>
  <c r="AF365" i="84"/>
  <c r="X795" i="84"/>
  <c r="Y102" i="84"/>
  <c r="BK29" i="84"/>
  <c r="Z584" i="84"/>
  <c r="X797" i="84"/>
  <c r="W389" i="84"/>
  <c r="O456" i="84"/>
  <c r="E749" i="84"/>
  <c r="AI39" i="82"/>
  <c r="X269" i="84"/>
  <c r="AF816" i="84"/>
  <c r="AA828" i="84"/>
  <c r="P558" i="84"/>
  <c r="R909" i="84"/>
  <c r="G798" i="84"/>
  <c r="W18" i="84"/>
  <c r="BJ879" i="84"/>
  <c r="R591" i="84"/>
  <c r="W708" i="84"/>
  <c r="P819" i="84"/>
  <c r="E417" i="84"/>
  <c r="Y154" i="84"/>
  <c r="AA687" i="84"/>
  <c r="P341" i="84"/>
  <c r="AF883" i="84"/>
  <c r="AC33" i="82"/>
  <c r="AA297" i="84"/>
  <c r="Q94" i="84"/>
  <c r="BK752" i="84"/>
  <c r="Y557" i="84"/>
  <c r="BK260" i="84"/>
  <c r="Q457" i="84"/>
  <c r="R898" i="84"/>
  <c r="T46" i="82"/>
  <c r="Y875" i="84"/>
  <c r="Q885" i="84"/>
  <c r="N206" i="84"/>
  <c r="E476" i="84"/>
  <c r="Z352" i="84"/>
  <c r="E751" i="84"/>
  <c r="N487" i="84"/>
  <c r="W681" i="84"/>
  <c r="Q275" i="84"/>
  <c r="T529" i="84"/>
  <c r="Q488" i="84"/>
  <c r="L606" i="84"/>
  <c r="O20" i="84"/>
  <c r="Q182" i="84"/>
  <c r="T588" i="84"/>
  <c r="BK964" i="84"/>
  <c r="F697" i="84"/>
  <c r="Q320" i="84"/>
  <c r="V676" i="84"/>
  <c r="AF594" i="84"/>
  <c r="Z940" i="84"/>
  <c r="Z313" i="84"/>
  <c r="BJ570" i="84"/>
  <c r="AF604" i="84"/>
  <c r="BJ338" i="84"/>
  <c r="H72" i="84"/>
  <c r="R104" i="84"/>
  <c r="Q383" i="84"/>
  <c r="R550" i="84"/>
  <c r="R89" i="84"/>
  <c r="R834" i="84"/>
  <c r="T759" i="84"/>
  <c r="G399" i="84"/>
  <c r="U552" i="84"/>
  <c r="V104" i="84"/>
  <c r="N296" i="84"/>
  <c r="G724" i="84"/>
  <c r="O592" i="84"/>
  <c r="K390" i="84"/>
  <c r="G742" i="84"/>
  <c r="P678" i="84"/>
  <c r="M687" i="84"/>
  <c r="N874" i="84"/>
  <c r="AI25" i="82"/>
  <c r="AN34" i="82"/>
  <c r="X591" i="84"/>
  <c r="G273" i="84"/>
  <c r="AO39" i="82"/>
  <c r="O403" i="84"/>
  <c r="AF879" i="84"/>
  <c r="Y796" i="84"/>
  <c r="AA903" i="84"/>
  <c r="R282" i="84"/>
  <c r="W939" i="84"/>
  <c r="N793" i="84"/>
  <c r="D34" i="82"/>
  <c r="U180" i="84"/>
  <c r="L436" i="84"/>
  <c r="Y123" i="84"/>
  <c r="F289" i="84"/>
  <c r="Q204" i="84"/>
  <c r="AF925" i="84"/>
  <c r="E845" i="84"/>
  <c r="U498" i="84"/>
  <c r="V335" i="84"/>
  <c r="AC11" i="82"/>
  <c r="P74" i="84"/>
  <c r="K134" i="84"/>
  <c r="P329" i="84"/>
  <c r="R773" i="84"/>
  <c r="V149" i="84"/>
  <c r="BM14" i="82"/>
  <c r="Q671" i="84"/>
  <c r="Q912" i="84"/>
  <c r="Z807" i="84"/>
  <c r="M13" i="82"/>
  <c r="G405" i="84"/>
  <c r="AX43" i="82"/>
  <c r="BJ505" i="84"/>
  <c r="T430" i="84"/>
  <c r="Y284" i="84"/>
  <c r="BK513" i="84"/>
  <c r="P825" i="84"/>
  <c r="BK249" i="84"/>
  <c r="V163" i="84"/>
  <c r="V417" i="84"/>
  <c r="X522" i="84"/>
  <c r="E80" i="84"/>
  <c r="BK246" i="84"/>
  <c r="E697" i="84"/>
  <c r="AA133" i="84"/>
  <c r="AF473" i="84"/>
  <c r="Y37" i="84"/>
  <c r="V934" i="84"/>
  <c r="Z653" i="84"/>
  <c r="Z672" i="84"/>
  <c r="O842" i="84"/>
  <c r="V832" i="84"/>
  <c r="Y766" i="84"/>
  <c r="BA42" i="82"/>
  <c r="V965" i="84"/>
  <c r="P753" i="84"/>
  <c r="G793" i="84"/>
  <c r="AA252" i="84"/>
  <c r="N380" i="84"/>
  <c r="O695" i="84"/>
  <c r="G126" i="84"/>
  <c r="L30" i="82"/>
  <c r="AF127" i="84"/>
  <c r="X382" i="84"/>
  <c r="AK18" i="82"/>
  <c r="AA131" i="84"/>
  <c r="Q923" i="84"/>
  <c r="E658" i="84"/>
  <c r="Q28" i="82"/>
  <c r="G128" i="84"/>
  <c r="E883" i="84"/>
  <c r="F746" i="84"/>
  <c r="E188" i="84"/>
  <c r="E273" i="84"/>
  <c r="S741" i="84"/>
  <c r="X512" i="84"/>
  <c r="AA825" i="84"/>
  <c r="O394" i="84"/>
  <c r="V272" i="84"/>
  <c r="F659" i="84"/>
  <c r="Z886" i="84"/>
  <c r="Q151" i="84"/>
  <c r="AH10" i="82"/>
  <c r="P277" i="84"/>
  <c r="AX20" i="82"/>
  <c r="G846" i="84"/>
  <c r="X963" i="84"/>
  <c r="E577" i="84"/>
  <c r="N38" i="84"/>
  <c r="F438" i="84"/>
  <c r="Y88" i="84"/>
  <c r="E876" i="84"/>
  <c r="E41" i="84"/>
  <c r="Q689" i="84"/>
  <c r="O515" i="84"/>
  <c r="Z704" i="84"/>
  <c r="V655" i="84"/>
  <c r="V439" i="84"/>
  <c r="R563" i="84"/>
  <c r="W342" i="84"/>
  <c r="G487" i="84"/>
  <c r="G367" i="84"/>
  <c r="N87" i="84"/>
  <c r="W561" i="84"/>
  <c r="AF27" i="84"/>
  <c r="BJ437" i="84"/>
  <c r="W416" i="84"/>
  <c r="P674" i="84"/>
  <c r="Y343" i="84"/>
  <c r="R483" i="84"/>
  <c r="P818" i="84"/>
  <c r="F460" i="84"/>
  <c r="P742" i="84"/>
  <c r="R267" i="84"/>
  <c r="U944" i="84"/>
  <c r="P24" i="82"/>
  <c r="Z639" i="84"/>
  <c r="BY32" i="82"/>
  <c r="AA763" i="84"/>
  <c r="W92" i="84"/>
  <c r="BF28" i="82"/>
  <c r="O148" i="84"/>
  <c r="G857" i="84"/>
  <c r="H604" i="84"/>
  <c r="AA834" i="84"/>
  <c r="AM25" i="82"/>
  <c r="O255" i="84"/>
  <c r="R703" i="84"/>
  <c r="W8" i="84"/>
  <c r="F270" i="84"/>
  <c r="T126" i="84"/>
  <c r="Z948" i="84"/>
  <c r="K600" i="84"/>
  <c r="X224" i="84"/>
  <c r="BA41" i="82"/>
  <c r="X412" i="84"/>
  <c r="Z401" i="84"/>
  <c r="S387" i="84"/>
  <c r="E924" i="84"/>
  <c r="F264" i="84"/>
  <c r="E735" i="84"/>
  <c r="Z887" i="84"/>
  <c r="X22" i="84"/>
  <c r="S675" i="84"/>
  <c r="V309" i="84"/>
  <c r="E586" i="84"/>
  <c r="I415" i="84"/>
  <c r="U137" i="84"/>
  <c r="V571" i="84"/>
  <c r="C940" i="84"/>
  <c r="E532" i="84"/>
  <c r="N711" i="84"/>
  <c r="E693" i="84"/>
  <c r="V718" i="84"/>
  <c r="W19" i="84"/>
  <c r="D21" i="82"/>
  <c r="M919" i="84"/>
  <c r="X354" i="84"/>
  <c r="Z760" i="84"/>
  <c r="P242" i="84"/>
  <c r="S776" i="84"/>
  <c r="AM27" i="82"/>
  <c r="O238" i="84"/>
  <c r="W10" i="84"/>
  <c r="E585" i="84"/>
  <c r="T559" i="84"/>
  <c r="F249" i="84"/>
  <c r="AA35" i="82"/>
  <c r="U260" i="84"/>
  <c r="V457" i="84"/>
  <c r="Y905" i="84"/>
  <c r="AA835" i="84"/>
  <c r="V77" i="84"/>
  <c r="AA449" i="84"/>
  <c r="P316" i="84"/>
  <c r="I689" i="84"/>
  <c r="Y309" i="84"/>
  <c r="E212" i="84"/>
  <c r="S135" i="84"/>
  <c r="Y958" i="84"/>
  <c r="X535" i="84"/>
  <c r="N358" i="84"/>
  <c r="O140" i="84"/>
  <c r="AF238" i="84"/>
  <c r="S357" i="84"/>
  <c r="W228" i="84"/>
  <c r="AF10" i="84"/>
  <c r="E247" i="84"/>
  <c r="N929" i="84"/>
  <c r="AD25" i="82"/>
  <c r="W826" i="84"/>
  <c r="G309" i="84"/>
  <c r="AC39" i="82"/>
  <c r="K965" i="84"/>
  <c r="P326" i="84"/>
  <c r="F311" i="84"/>
  <c r="P115" i="84"/>
  <c r="E83" i="84"/>
  <c r="G937" i="84"/>
  <c r="V262" i="84"/>
  <c r="BK454" i="84"/>
  <c r="G863" i="84"/>
  <c r="AU8" i="82"/>
  <c r="T405" i="84"/>
  <c r="AF485" i="84"/>
  <c r="Q812" i="84"/>
  <c r="F706" i="84"/>
  <c r="J384" i="84"/>
  <c r="G63" i="84"/>
  <c r="BK145" i="84"/>
  <c r="AF478" i="84"/>
  <c r="V741" i="84"/>
  <c r="X427" i="84"/>
  <c r="BJ616" i="84"/>
  <c r="G815" i="84"/>
  <c r="P439" i="84"/>
  <c r="AH18" i="82"/>
  <c r="AQ39" i="82"/>
  <c r="Z176" i="84"/>
  <c r="AF110" i="84"/>
  <c r="AA332" i="84"/>
  <c r="AA590" i="84"/>
  <c r="S710" i="84"/>
  <c r="Z183" i="84"/>
  <c r="F407" i="84"/>
  <c r="Q723" i="84"/>
  <c r="P605" i="84"/>
  <c r="Z309" i="84"/>
  <c r="Y133" i="84"/>
  <c r="F909" i="84"/>
  <c r="AF200" i="84"/>
  <c r="AF578" i="84"/>
  <c r="T637" i="84"/>
  <c r="J237" i="84"/>
  <c r="O112" i="84"/>
  <c r="L106" i="84"/>
  <c r="H81" i="84"/>
  <c r="P565" i="84"/>
  <c r="R705" i="84"/>
  <c r="Y737" i="84"/>
  <c r="AF554" i="84"/>
  <c r="AF602" i="84"/>
  <c r="S28" i="82"/>
  <c r="U71" i="84"/>
  <c r="O375" i="84"/>
  <c r="G800" i="84"/>
  <c r="P26" i="82"/>
  <c r="AA10" i="82"/>
  <c r="W168" i="84"/>
  <c r="Y9" i="84"/>
  <c r="Z562" i="84"/>
  <c r="AA158" i="84"/>
  <c r="AA350" i="84"/>
  <c r="BE46" i="82"/>
  <c r="Z42" i="84"/>
  <c r="R409" i="84"/>
  <c r="J479" i="84"/>
  <c r="G9" i="84"/>
  <c r="P749" i="84"/>
  <c r="G371" i="84"/>
  <c r="AF443" i="84"/>
  <c r="V520" i="84"/>
  <c r="G120" i="84"/>
  <c r="O314" i="84"/>
  <c r="C815" i="84"/>
  <c r="Z919" i="84"/>
  <c r="BM16" i="82"/>
  <c r="W637" i="84"/>
  <c r="AA30" i="82"/>
  <c r="S825" i="84"/>
  <c r="J582" i="84"/>
  <c r="AF866" i="84"/>
  <c r="V585" i="84"/>
  <c r="O654" i="84"/>
  <c r="AL28" i="82"/>
  <c r="E685" i="84"/>
  <c r="P260" i="84"/>
  <c r="P739" i="84"/>
  <c r="V952" i="84"/>
  <c r="AF787" i="84"/>
  <c r="T954" i="84"/>
  <c r="O119" i="84"/>
  <c r="X758" i="84"/>
  <c r="BJ558" i="84"/>
  <c r="BJ709" i="84"/>
  <c r="AX14" i="82"/>
  <c r="Z243" i="84"/>
  <c r="X809" i="84"/>
  <c r="AF509" i="84"/>
  <c r="O864" i="84"/>
  <c r="AA240" i="84"/>
  <c r="Z735" i="84"/>
  <c r="L277" i="84"/>
  <c r="Y476" i="84"/>
  <c r="Y236" i="84"/>
  <c r="AG32" i="82"/>
  <c r="J445" i="84"/>
  <c r="S551" i="84"/>
  <c r="U282" i="84"/>
  <c r="AA62" i="84"/>
  <c r="F790" i="84"/>
  <c r="D561" i="84"/>
  <c r="R840" i="84"/>
  <c r="N565" i="84"/>
  <c r="T37" i="82"/>
  <c r="AS44" i="82"/>
  <c r="N623" i="84"/>
  <c r="J8" i="82"/>
  <c r="R660" i="84"/>
  <c r="U804" i="84"/>
  <c r="W674" i="84"/>
  <c r="H880" i="84"/>
  <c r="E521" i="84"/>
  <c r="P290" i="84"/>
  <c r="W461" i="84"/>
  <c r="J518" i="84"/>
  <c r="J103" i="84"/>
  <c r="E541" i="84"/>
  <c r="AF743" i="84"/>
  <c r="X231" i="84"/>
  <c r="AA737" i="84"/>
  <c r="X316" i="84"/>
  <c r="O373" i="84"/>
  <c r="E257" i="84"/>
  <c r="K730" i="84"/>
  <c r="AA273" i="84"/>
  <c r="P82" i="84"/>
  <c r="Z686" i="84"/>
  <c r="Q483" i="84"/>
  <c r="E863" i="84"/>
  <c r="BK373" i="84"/>
  <c r="W857" i="84"/>
  <c r="G756" i="84"/>
  <c r="BY30" i="82"/>
  <c r="E12" i="84"/>
  <c r="BK618" i="84"/>
  <c r="V127" i="84"/>
  <c r="F947" i="84"/>
  <c r="BD9" i="82"/>
  <c r="X671" i="84"/>
  <c r="V203" i="84"/>
  <c r="O924" i="84"/>
  <c r="K23" i="82"/>
  <c r="T33" i="84"/>
  <c r="P957" i="84"/>
  <c r="Y506" i="84"/>
  <c r="Z355" i="84"/>
  <c r="Y546" i="84"/>
  <c r="Q197" i="84"/>
  <c r="N27" i="82"/>
  <c r="P81" i="84"/>
  <c r="S615" i="84"/>
  <c r="AA635" i="84"/>
  <c r="G808" i="84"/>
  <c r="AA447" i="84"/>
  <c r="W856" i="84"/>
  <c r="G965" i="84"/>
  <c r="AS34" i="82"/>
  <c r="X65" i="84"/>
  <c r="Q746" i="84"/>
  <c r="W618" i="84"/>
  <c r="X457" i="84"/>
  <c r="U766" i="84"/>
  <c r="BJ848" i="84"/>
  <c r="Y441" i="84"/>
  <c r="Q272" i="84"/>
  <c r="F637" i="84"/>
  <c r="P138" i="84"/>
  <c r="V687" i="84"/>
  <c r="L778" i="84"/>
  <c r="R492" i="84"/>
  <c r="X324" i="84"/>
  <c r="BJ877" i="84"/>
  <c r="R777" i="84"/>
  <c r="F67" i="84"/>
  <c r="Z434" i="84"/>
  <c r="Z473" i="84"/>
  <c r="R372" i="84"/>
  <c r="V220" i="84"/>
  <c r="F600" i="84"/>
  <c r="AA836" i="84"/>
  <c r="E398" i="84"/>
  <c r="BG29" i="82"/>
  <c r="Z405" i="84"/>
  <c r="S837" i="84"/>
  <c r="BJ159" i="84"/>
  <c r="X957" i="84"/>
  <c r="S740" i="84"/>
  <c r="V728" i="84"/>
  <c r="X98" i="84"/>
  <c r="R775" i="84"/>
  <c r="Z445" i="84"/>
  <c r="W517" i="84"/>
  <c r="R169" i="84"/>
  <c r="Y106" i="84"/>
  <c r="W707" i="84"/>
  <c r="V478" i="84"/>
  <c r="H608" i="84"/>
  <c r="W534" i="84"/>
  <c r="BJ543" i="84"/>
  <c r="X889" i="84"/>
  <c r="P940" i="84"/>
  <c r="R291" i="84"/>
  <c r="Y420" i="84"/>
  <c r="AT42" i="82"/>
  <c r="BZ26" i="82"/>
  <c r="W585" i="84"/>
  <c r="AA119" i="84"/>
  <c r="P803" i="84"/>
  <c r="Q715" i="84"/>
  <c r="T581" i="84"/>
  <c r="AA784" i="84"/>
  <c r="BK785" i="84"/>
  <c r="N7" i="82"/>
  <c r="R189" i="84"/>
  <c r="P105" i="84"/>
  <c r="P110" i="84"/>
  <c r="P448" i="84"/>
  <c r="E546" i="84"/>
  <c r="S38" i="82"/>
  <c r="F624" i="84"/>
  <c r="Q23" i="82"/>
  <c r="V290" i="84"/>
  <c r="Z375" i="84"/>
  <c r="G298" i="84"/>
  <c r="BM8" i="82"/>
  <c r="T937" i="84"/>
  <c r="AF289" i="84"/>
  <c r="W946" i="84"/>
  <c r="BK712" i="84"/>
  <c r="BG24" i="82"/>
  <c r="G390" i="84"/>
  <c r="Z927" i="84"/>
  <c r="AF887" i="84"/>
  <c r="T140" i="84"/>
  <c r="AP25" i="82"/>
  <c r="N598" i="84"/>
  <c r="F957" i="84"/>
  <c r="F342" i="84"/>
  <c r="AD24" i="82"/>
  <c r="F943" i="84"/>
  <c r="V854" i="84"/>
  <c r="X198" i="84"/>
  <c r="AF693" i="84"/>
  <c r="T138" i="84"/>
  <c r="F922" i="84"/>
  <c r="X606" i="84"/>
  <c r="AH27" i="82"/>
  <c r="T417" i="84"/>
  <c r="N217" i="84"/>
  <c r="Z537" i="84"/>
  <c r="F482" i="84"/>
  <c r="N452" i="84"/>
  <c r="E580" i="84"/>
  <c r="P145" i="84"/>
  <c r="AA960" i="84"/>
  <c r="AA885" i="84"/>
  <c r="F26" i="82"/>
  <c r="S811" i="84"/>
  <c r="AA642" i="84"/>
  <c r="AV38" i="82"/>
  <c r="Y31" i="84"/>
  <c r="BJ583" i="84"/>
  <c r="AN12" i="82"/>
  <c r="AA291" i="84"/>
  <c r="N882" i="84"/>
  <c r="T24" i="84"/>
  <c r="X845" i="84"/>
  <c r="F173" i="84"/>
  <c r="Y562" i="84"/>
  <c r="N276" i="84"/>
  <c r="F514" i="84"/>
  <c r="N473" i="84"/>
  <c r="T13" i="84"/>
  <c r="N757" i="84"/>
  <c r="Z158" i="84"/>
  <c r="Y939" i="84"/>
  <c r="J861" i="84"/>
  <c r="V628" i="84"/>
  <c r="Q666" i="84"/>
  <c r="R450" i="84"/>
  <c r="L290" i="84"/>
  <c r="W316" i="84"/>
  <c r="E499" i="84"/>
  <c r="V244" i="84"/>
  <c r="W278" i="84"/>
  <c r="E473" i="84"/>
  <c r="Z965" i="84"/>
  <c r="BN25" i="82"/>
  <c r="Z108" i="84"/>
  <c r="N359" i="84"/>
  <c r="Q933" i="84"/>
  <c r="L698" i="84"/>
  <c r="AA227" i="84"/>
  <c r="N794" i="84"/>
  <c r="AJ16" i="82"/>
  <c r="AF281" i="84"/>
  <c r="O18" i="84"/>
  <c r="Z289" i="84"/>
  <c r="BG39" i="82"/>
  <c r="Y708" i="84"/>
  <c r="Y61" i="84"/>
  <c r="J278" i="84"/>
  <c r="AF629" i="84"/>
  <c r="U219" i="84"/>
  <c r="AF262" i="84"/>
  <c r="Z611" i="84"/>
  <c r="W364" i="84"/>
  <c r="V675" i="84"/>
  <c r="O557" i="84"/>
  <c r="X10" i="84"/>
  <c r="P780" i="84"/>
  <c r="BY18" i="82"/>
  <c r="X342" i="84"/>
  <c r="AA914" i="84"/>
  <c r="W818" i="84"/>
  <c r="S333" i="84"/>
  <c r="P114" i="84"/>
  <c r="AS40" i="82"/>
  <c r="T474" i="84"/>
  <c r="AC9" i="82"/>
  <c r="E299" i="84"/>
  <c r="AA755" i="84"/>
  <c r="N960" i="84"/>
  <c r="Y884" i="84"/>
  <c r="T266" i="84"/>
  <c r="J342" i="84"/>
  <c r="G32" i="84"/>
  <c r="W831" i="84"/>
  <c r="AA276" i="84"/>
  <c r="BD39" i="82"/>
  <c r="W765" i="84"/>
  <c r="Z135" i="84"/>
  <c r="N73" i="84"/>
  <c r="U448" i="84"/>
  <c r="X180" i="84"/>
  <c r="F139" i="84"/>
  <c r="W922" i="84"/>
  <c r="BK30" i="84"/>
  <c r="BK573" i="84"/>
  <c r="AF717" i="84"/>
  <c r="N334" i="84"/>
  <c r="O578" i="84"/>
  <c r="BK116" i="84"/>
  <c r="Y493" i="84"/>
  <c r="J19" i="82"/>
  <c r="U883" i="84"/>
  <c r="E899" i="84"/>
  <c r="BD34" i="82"/>
  <c r="T689" i="84"/>
  <c r="G605" i="84"/>
  <c r="Z701" i="84"/>
  <c r="X645" i="84"/>
  <c r="Z104" i="84"/>
  <c r="L114" i="84"/>
  <c r="AF297" i="84"/>
  <c r="AA395" i="84"/>
  <c r="AI28" i="82"/>
  <c r="U587" i="84"/>
  <c r="D17" i="82"/>
  <c r="E654" i="84"/>
  <c r="N864" i="84"/>
  <c r="E847" i="84"/>
  <c r="BK958" i="84"/>
  <c r="F863" i="84"/>
  <c r="V345" i="84"/>
  <c r="G901" i="84"/>
  <c r="N43" i="82"/>
  <c r="X436" i="84"/>
  <c r="AW22" i="82"/>
  <c r="E205" i="84"/>
  <c r="F887" i="84"/>
  <c r="W438" i="84"/>
  <c r="AO19" i="82"/>
  <c r="G169" i="84"/>
  <c r="N24" i="84"/>
  <c r="AF335" i="84"/>
  <c r="U248" i="84"/>
  <c r="P11" i="82"/>
  <c r="F151" i="84"/>
  <c r="R943" i="84"/>
  <c r="P383" i="84"/>
  <c r="U415" i="84"/>
  <c r="Z265" i="84"/>
  <c r="AA444" i="84"/>
  <c r="Q104" i="84"/>
  <c r="AF944" i="84"/>
  <c r="P726" i="84"/>
  <c r="Z891" i="84"/>
  <c r="R11" i="82"/>
  <c r="W782" i="84"/>
  <c r="H427" i="84"/>
  <c r="AF677" i="84"/>
  <c r="O708" i="84"/>
  <c r="R91" i="84"/>
  <c r="P169" i="84"/>
  <c r="R160" i="84"/>
  <c r="X416" i="84"/>
  <c r="Q857" i="84"/>
  <c r="BF8" i="82"/>
  <c r="AA351" i="84"/>
  <c r="F338" i="84"/>
  <c r="AW36" i="82"/>
  <c r="R61" i="84"/>
  <c r="L42" i="82"/>
  <c r="V259" i="84"/>
  <c r="Z536" i="84"/>
  <c r="AF930" i="84"/>
  <c r="G201" i="84"/>
  <c r="Y275" i="84"/>
  <c r="Y22" i="84"/>
  <c r="BK481" i="84"/>
  <c r="BK135" i="84"/>
  <c r="N923" i="84"/>
  <c r="F609" i="84"/>
  <c r="AV31" i="82"/>
  <c r="S37" i="82"/>
  <c r="J376" i="84"/>
  <c r="W124" i="84"/>
  <c r="Y892" i="84"/>
  <c r="W339" i="84"/>
  <c r="Y153" i="84"/>
  <c r="J871" i="84"/>
  <c r="V443" i="84"/>
  <c r="X270" i="84"/>
  <c r="E862" i="84"/>
  <c r="H122" i="84"/>
  <c r="Y900" i="84"/>
  <c r="F486" i="84"/>
  <c r="F610" i="84"/>
  <c r="W711" i="84"/>
  <c r="N370" i="84"/>
  <c r="O347" i="84"/>
  <c r="W706" i="84"/>
  <c r="P831" i="84"/>
  <c r="BK714" i="84"/>
  <c r="W801" i="84"/>
  <c r="AA42" i="82"/>
  <c r="N30" i="82"/>
  <c r="AL19" i="82"/>
  <c r="BK491" i="84"/>
  <c r="AF794" i="84"/>
  <c r="G708" i="84"/>
  <c r="AA455" i="84"/>
  <c r="U794" i="84"/>
  <c r="N558" i="84"/>
  <c r="N676" i="84"/>
  <c r="O631" i="84"/>
  <c r="AF355" i="84"/>
  <c r="AF558" i="84"/>
  <c r="O713" i="84"/>
  <c r="AF550" i="84"/>
  <c r="BJ861" i="84"/>
  <c r="BK514" i="84"/>
  <c r="F130" i="84"/>
  <c r="D33" i="82"/>
  <c r="W133" i="84"/>
  <c r="V8" i="84"/>
  <c r="Q654" i="84"/>
  <c r="BJ55" i="84"/>
  <c r="W789" i="84"/>
  <c r="T42" i="82"/>
  <c r="AB31" i="82"/>
  <c r="BJ24" i="84"/>
  <c r="AF345" i="84"/>
  <c r="K213" i="84"/>
  <c r="G402" i="84"/>
  <c r="AF572" i="84"/>
  <c r="AA560" i="84"/>
  <c r="N611" i="84"/>
  <c r="K831" i="84"/>
  <c r="R642" i="84"/>
  <c r="AF362" i="84"/>
  <c r="P319" i="84"/>
  <c r="AA899" i="84"/>
  <c r="AA710" i="84"/>
  <c r="T546" i="84"/>
  <c r="S938" i="84"/>
  <c r="BC17" i="82"/>
  <c r="G492" i="84"/>
  <c r="N596" i="84"/>
  <c r="O45" i="82"/>
  <c r="AF872" i="84"/>
  <c r="BM40" i="82"/>
  <c r="AA554" i="84"/>
  <c r="G131" i="84"/>
  <c r="Y963" i="84"/>
  <c r="T344" i="84"/>
  <c r="AF582" i="84"/>
  <c r="P41" i="84"/>
  <c r="M26" i="82"/>
  <c r="Z31" i="84"/>
  <c r="N97" i="84"/>
  <c r="H723" i="84"/>
  <c r="Q853" i="84"/>
  <c r="U732" i="84"/>
  <c r="F534" i="84"/>
  <c r="AA285" i="84"/>
  <c r="R778" i="84"/>
  <c r="AF791" i="84"/>
  <c r="F46" i="84"/>
  <c r="AZ33" i="82"/>
  <c r="O203" i="84"/>
  <c r="AF623" i="84"/>
  <c r="Y329" i="84"/>
  <c r="Y111" i="84"/>
  <c r="BK140" i="84"/>
  <c r="BA32" i="82"/>
  <c r="T769" i="84"/>
  <c r="W690" i="84"/>
  <c r="Z170" i="84"/>
  <c r="X398" i="84"/>
  <c r="AP32" i="82"/>
  <c r="W553" i="84"/>
  <c r="E116" i="84"/>
  <c r="W205" i="84"/>
  <c r="BA22" i="82"/>
  <c r="N495" i="84"/>
  <c r="S198" i="84"/>
  <c r="AA766" i="84"/>
  <c r="AF501" i="84"/>
  <c r="AB14" i="82"/>
  <c r="AF683" i="84"/>
  <c r="F951" i="84"/>
  <c r="U681" i="84"/>
  <c r="F406" i="84"/>
  <c r="Q908" i="84"/>
  <c r="AF317" i="84"/>
  <c r="T20" i="84"/>
  <c r="O499" i="84"/>
  <c r="F732" i="84"/>
  <c r="V848" i="84"/>
  <c r="P281" i="84"/>
  <c r="R762" i="84"/>
  <c r="W735" i="84"/>
  <c r="H138" i="84"/>
  <c r="F823" i="84"/>
  <c r="Q25" i="84"/>
  <c r="R521" i="84"/>
  <c r="BK291" i="84"/>
  <c r="AF863" i="84"/>
  <c r="AF402" i="84"/>
  <c r="V167" i="84"/>
  <c r="AG19" i="82"/>
  <c r="AD12" i="82"/>
  <c r="R566" i="84"/>
  <c r="Y255" i="84"/>
  <c r="AF831" i="84"/>
  <c r="X43" i="84"/>
  <c r="N823" i="84"/>
  <c r="Z267" i="84"/>
  <c r="AF956" i="84"/>
  <c r="E872" i="84"/>
  <c r="AF905" i="84"/>
  <c r="BJ9" i="84"/>
  <c r="R211" i="84"/>
  <c r="Z644" i="84"/>
  <c r="Q634" i="84"/>
  <c r="AA670" i="84"/>
  <c r="S824" i="84"/>
  <c r="Y189" i="84"/>
  <c r="P207" i="84"/>
  <c r="Z548" i="84"/>
  <c r="AC31" i="82"/>
  <c r="AF175" i="84"/>
  <c r="S545" i="84"/>
  <c r="Z218" i="84"/>
  <c r="F489" i="84"/>
  <c r="X623" i="84"/>
  <c r="AA680" i="84"/>
  <c r="V115" i="84"/>
  <c r="W398" i="84"/>
  <c r="K335" i="84"/>
  <c r="F711" i="84"/>
  <c r="R157" i="84"/>
  <c r="G191" i="84"/>
  <c r="N218" i="84"/>
  <c r="H177" i="84"/>
  <c r="BK197" i="84"/>
  <c r="P832" i="84"/>
  <c r="Z772" i="84"/>
  <c r="Z409" i="84"/>
  <c r="AF818" i="84"/>
  <c r="O497" i="84"/>
  <c r="W84" i="84"/>
  <c r="V599" i="84"/>
  <c r="F476" i="84"/>
  <c r="F765" i="84"/>
  <c r="O892" i="84"/>
  <c r="Q769" i="84"/>
  <c r="F43" i="82"/>
  <c r="J254" i="84"/>
  <c r="Z415" i="84"/>
  <c r="BJ72" i="84"/>
  <c r="AO27" i="82"/>
  <c r="Y734" i="84"/>
  <c r="X317" i="84"/>
  <c r="AF849" i="84"/>
  <c r="V339" i="84"/>
  <c r="F660" i="84"/>
  <c r="T274" i="84"/>
  <c r="J356" i="84"/>
  <c r="Z623" i="84"/>
  <c r="X698" i="84"/>
  <c r="Q657" i="84"/>
  <c r="X633" i="84"/>
  <c r="BM10" i="82"/>
  <c r="Y354" i="84"/>
  <c r="R331" i="84"/>
  <c r="R315" i="84"/>
  <c r="T251" i="84"/>
  <c r="G763" i="84"/>
  <c r="P821" i="84"/>
  <c r="J42" i="82"/>
  <c r="N784" i="84"/>
  <c r="P14" i="82"/>
  <c r="P388" i="84"/>
  <c r="BK647" i="84"/>
  <c r="G385" i="84"/>
  <c r="V833" i="84"/>
  <c r="H743" i="84"/>
  <c r="O381" i="84"/>
  <c r="AF251" i="84"/>
  <c r="N58" i="84"/>
  <c r="Z907" i="84"/>
  <c r="W835" i="84"/>
  <c r="BK779" i="84"/>
  <c r="E21" i="82"/>
  <c r="R230" i="84"/>
  <c r="A372" i="84"/>
  <c r="BK272" i="84"/>
  <c r="P888" i="84"/>
  <c r="BK175" i="84"/>
  <c r="Y382" i="84"/>
  <c r="T348" i="84"/>
  <c r="W349" i="84"/>
  <c r="L505" i="84"/>
  <c r="P889" i="84"/>
  <c r="K218" i="84"/>
  <c r="G662" i="84"/>
  <c r="Y161" i="84"/>
  <c r="F31" i="82"/>
  <c r="N328" i="84"/>
  <c r="I18" i="82"/>
  <c r="Y23" i="84"/>
  <c r="AF9" i="84"/>
  <c r="V701" i="84"/>
  <c r="X117" i="84"/>
  <c r="BK344" i="84"/>
  <c r="N260" i="84"/>
  <c r="Z396" i="84"/>
  <c r="Z81" i="84"/>
  <c r="F108" i="84"/>
  <c r="BJ28" i="84"/>
  <c r="AA772" i="84"/>
  <c r="H451" i="84"/>
  <c r="AY37" i="82"/>
  <c r="P350" i="84"/>
  <c r="Y431" i="84"/>
  <c r="V426" i="84"/>
  <c r="W736" i="84"/>
  <c r="Y507" i="84"/>
  <c r="H602" i="84"/>
  <c r="V726" i="84"/>
  <c r="P8" i="82"/>
  <c r="Q780" i="84"/>
  <c r="V762" i="84"/>
  <c r="AF134" i="84"/>
  <c r="X515" i="84"/>
  <c r="H697" i="84"/>
  <c r="R581" i="84"/>
  <c r="AF638" i="84"/>
  <c r="G282" i="84"/>
  <c r="V819" i="84"/>
  <c r="J300" i="84"/>
  <c r="AC13" i="82"/>
  <c r="E164" i="84"/>
  <c r="BK653" i="84"/>
  <c r="W219" i="84"/>
  <c r="Y249" i="84"/>
  <c r="M43" i="82"/>
  <c r="J120" i="84"/>
  <c r="V772" i="84"/>
  <c r="Y367" i="84"/>
  <c r="AF156" i="84"/>
  <c r="E250" i="84"/>
  <c r="O787" i="84"/>
  <c r="BK395" i="84"/>
  <c r="Y559" i="84"/>
  <c r="BJ481" i="84"/>
  <c r="J853" i="84"/>
  <c r="R748" i="84"/>
  <c r="Z962" i="84"/>
  <c r="F657" i="84"/>
  <c r="Q496" i="84"/>
  <c r="BK296" i="84"/>
  <c r="AF157" i="84"/>
  <c r="T931" i="84"/>
  <c r="N497" i="84"/>
  <c r="Y85" i="84"/>
  <c r="N827" i="84"/>
  <c r="AA958" i="84"/>
  <c r="W52" i="84"/>
  <c r="W697" i="84"/>
  <c r="F42" i="82"/>
  <c r="Q43" i="82"/>
  <c r="AA907" i="84"/>
  <c r="G580" i="84"/>
  <c r="Y362" i="84"/>
  <c r="Y576" i="84"/>
  <c r="AA633" i="84"/>
  <c r="AA905" i="84"/>
  <c r="Y620" i="84"/>
  <c r="Q817" i="84"/>
  <c r="Z423" i="84"/>
  <c r="Y182" i="84"/>
  <c r="Y516" i="84"/>
  <c r="W660" i="84"/>
  <c r="W164" i="84"/>
  <c r="AU42" i="82"/>
  <c r="P746" i="84"/>
  <c r="AT41" i="82"/>
  <c r="Z755" i="84"/>
  <c r="Y176" i="84"/>
  <c r="P122" i="84"/>
  <c r="Y847" i="84"/>
  <c r="N434" i="84"/>
  <c r="K32" i="82"/>
  <c r="S283" i="84"/>
  <c r="U352" i="84"/>
  <c r="Y124" i="84"/>
  <c r="AE20" i="82"/>
  <c r="X210" i="84"/>
  <c r="G232" i="84"/>
  <c r="F816" i="84"/>
  <c r="T390" i="84"/>
  <c r="AA359" i="84"/>
  <c r="F835" i="84"/>
  <c r="G188" i="84"/>
  <c r="AF295" i="84"/>
  <c r="T62" i="84"/>
  <c r="AU28" i="82"/>
  <c r="R16" i="82"/>
  <c r="N234" i="84"/>
  <c r="U377" i="84"/>
  <c r="G659" i="84"/>
  <c r="H287" i="84"/>
  <c r="T821" i="84"/>
  <c r="BD36" i="82"/>
  <c r="AD38" i="82"/>
  <c r="Q584" i="84"/>
  <c r="J370" i="84"/>
  <c r="S408" i="84"/>
  <c r="AF124" i="84"/>
  <c r="G486" i="84"/>
  <c r="O571" i="84"/>
  <c r="A79" i="84"/>
  <c r="AA368" i="84"/>
  <c r="R325" i="84"/>
  <c r="P641" i="84"/>
  <c r="AF400" i="84"/>
  <c r="N877" i="84"/>
  <c r="AA381" i="84"/>
  <c r="D30" i="82"/>
  <c r="S922" i="84"/>
  <c r="BK21" i="84"/>
  <c r="W303" i="84"/>
  <c r="O260" i="84"/>
  <c r="AX45" i="82"/>
  <c r="V668" i="84"/>
  <c r="U255" i="84"/>
  <c r="K871" i="84"/>
  <c r="Z775" i="84"/>
  <c r="Y764" i="84"/>
  <c r="S397" i="84"/>
  <c r="BF30" i="82"/>
  <c r="F702" i="84"/>
  <c r="U31" i="84"/>
  <c r="F212" i="84"/>
  <c r="AY33" i="82"/>
  <c r="BK267" i="84"/>
  <c r="P301" i="84"/>
  <c r="F563" i="84"/>
  <c r="AV9" i="82"/>
  <c r="Q183" i="84"/>
  <c r="AF408" i="84"/>
  <c r="G826" i="84"/>
  <c r="N22" i="82"/>
  <c r="BK403" i="84"/>
  <c r="E303" i="84"/>
  <c r="Q754" i="84"/>
  <c r="P254" i="84"/>
  <c r="F55" i="84"/>
  <c r="Z961" i="84"/>
  <c r="AK46" i="82"/>
  <c r="G25" i="82"/>
  <c r="W507" i="84"/>
  <c r="AF607" i="84"/>
  <c r="AF135" i="84"/>
  <c r="Z627" i="84"/>
  <c r="R502" i="84"/>
  <c r="F256" i="84"/>
  <c r="BE39" i="82"/>
  <c r="AF61" i="84"/>
  <c r="AF448" i="84"/>
  <c r="BJ287" i="84"/>
  <c r="AF283" i="84"/>
  <c r="BJ661" i="84"/>
  <c r="S256" i="84"/>
  <c r="V880" i="84"/>
  <c r="Z751" i="84"/>
  <c r="AF471" i="84"/>
  <c r="G862" i="84"/>
  <c r="H211" i="84"/>
  <c r="E764" i="84"/>
  <c r="S162" i="84"/>
  <c r="E576" i="84"/>
  <c r="Z856" i="84"/>
  <c r="Q561" i="84"/>
  <c r="AA155" i="84"/>
  <c r="BK651" i="84"/>
  <c r="N704" i="84"/>
  <c r="BJ96" i="84"/>
  <c r="BZ11" i="82"/>
  <c r="F372" i="84"/>
  <c r="AF173" i="84"/>
  <c r="AF216" i="84"/>
  <c r="X588" i="84"/>
  <c r="P755" i="84"/>
  <c r="U320" i="84"/>
  <c r="Y364" i="84"/>
  <c r="E52" i="84"/>
  <c r="W139" i="84"/>
  <c r="T558" i="84"/>
  <c r="X308" i="84"/>
  <c r="W874" i="84"/>
  <c r="BE13" i="82"/>
  <c r="T875" i="84"/>
  <c r="P468" i="84"/>
  <c r="AF635" i="84"/>
  <c r="AN25" i="82"/>
  <c r="A891" i="84"/>
  <c r="Z684" i="84"/>
  <c r="AA620" i="84"/>
  <c r="J549" i="84"/>
  <c r="Z776" i="84"/>
  <c r="Z373" i="84"/>
  <c r="Z189" i="84"/>
  <c r="T613" i="84"/>
  <c r="AS31" i="82"/>
  <c r="AF419" i="84"/>
  <c r="P560" i="84"/>
  <c r="Q658" i="84"/>
  <c r="Y199" i="84"/>
  <c r="Y772" i="84"/>
  <c r="AI7" i="82"/>
  <c r="V907" i="84"/>
  <c r="E40" i="82"/>
  <c r="P240" i="84"/>
  <c r="X781" i="84"/>
  <c r="X97" i="84"/>
  <c r="P913" i="84"/>
  <c r="L335" i="84"/>
  <c r="W803" i="84"/>
  <c r="N119" i="84"/>
  <c r="G50" i="84"/>
  <c r="W141" i="84"/>
  <c r="BE18" i="82"/>
  <c r="P810" i="84"/>
  <c r="F781" i="84"/>
  <c r="V128" i="84"/>
  <c r="E62" i="84"/>
  <c r="BJ14" i="84"/>
  <c r="U474" i="84"/>
  <c r="BJ54" i="84"/>
  <c r="X28" i="84"/>
  <c r="AJ25" i="82"/>
  <c r="Y674" i="84"/>
  <c r="N292" i="84"/>
  <c r="G592" i="84"/>
  <c r="BK97" i="84"/>
  <c r="F12" i="84"/>
  <c r="AF735" i="84"/>
  <c r="Z577" i="84"/>
  <c r="V759" i="84"/>
  <c r="E502" i="84"/>
  <c r="P75" i="84"/>
  <c r="E361" i="84"/>
  <c r="Y951" i="84"/>
  <c r="AF151" i="84"/>
  <c r="BJ691" i="84"/>
  <c r="S90" i="84"/>
  <c r="AA475" i="84"/>
  <c r="O12" i="84"/>
  <c r="N902" i="84"/>
  <c r="J436" i="84"/>
  <c r="BC34" i="82"/>
  <c r="AF691" i="84"/>
  <c r="O439" i="84"/>
  <c r="E383" i="84"/>
  <c r="BJ801" i="84"/>
  <c r="S684" i="84"/>
  <c r="I25" i="82"/>
  <c r="AI43" i="82"/>
  <c r="X450" i="84"/>
  <c r="P256" i="84"/>
  <c r="F894" i="84"/>
  <c r="N546" i="84"/>
  <c r="AA666" i="84"/>
  <c r="Z826" i="84"/>
  <c r="AC23" i="82"/>
  <c r="Q100" i="84"/>
  <c r="E852" i="84"/>
  <c r="J636" i="84"/>
  <c r="O177" i="84"/>
  <c r="AA18" i="82"/>
  <c r="G903" i="84"/>
  <c r="BK271" i="84"/>
  <c r="X640" i="84"/>
  <c r="T301" i="84"/>
  <c r="F738" i="84"/>
  <c r="BK583" i="84"/>
  <c r="E469" i="84"/>
  <c r="BK545" i="84"/>
  <c r="W430" i="84"/>
  <c r="Z920" i="84"/>
  <c r="X194" i="84"/>
  <c r="L809" i="84"/>
  <c r="J62" i="84"/>
  <c r="BK833" i="84"/>
  <c r="X584" i="84"/>
  <c r="Y603" i="84"/>
  <c r="X454" i="84"/>
  <c r="N466" i="84"/>
  <c r="P166" i="84"/>
  <c r="N675" i="84"/>
  <c r="BJ594" i="84"/>
  <c r="AA61" i="84"/>
  <c r="K33" i="82"/>
  <c r="BJ891" i="84"/>
  <c r="T253" i="84"/>
  <c r="X489" i="84"/>
  <c r="S606" i="84"/>
  <c r="F278" i="84"/>
  <c r="F745" i="84"/>
  <c r="K17" i="82"/>
  <c r="X48" i="84"/>
  <c r="U376" i="84"/>
  <c r="W351" i="84"/>
  <c r="L855" i="84"/>
  <c r="O595" i="84"/>
  <c r="N708" i="84"/>
  <c r="AA564" i="84"/>
  <c r="E925" i="84"/>
  <c r="S603" i="84"/>
  <c r="E347" i="84"/>
  <c r="V87" i="84"/>
  <c r="BJ210" i="84"/>
  <c r="AA200" i="84"/>
  <c r="AF252" i="84"/>
  <c r="AA400" i="84"/>
  <c r="Y156" i="84"/>
  <c r="P151" i="84"/>
  <c r="J17" i="82"/>
  <c r="AF381" i="84"/>
  <c r="F15" i="84"/>
  <c r="V441" i="84"/>
  <c r="BK861" i="84"/>
  <c r="BJ529" i="84"/>
  <c r="P368" i="84"/>
  <c r="E378" i="84"/>
  <c r="G645" i="84"/>
  <c r="AF58" i="84"/>
  <c r="Z202" i="84"/>
  <c r="V100" i="84"/>
  <c r="S202" i="84"/>
  <c r="W788" i="84"/>
  <c r="Y517" i="84"/>
  <c r="AE38" i="82"/>
  <c r="E407" i="84"/>
  <c r="V505" i="84"/>
  <c r="Q945" i="84"/>
  <c r="V440" i="84"/>
  <c r="H249" i="84"/>
  <c r="U648" i="84"/>
  <c r="E458" i="84"/>
  <c r="R874" i="84"/>
  <c r="AF211" i="84"/>
  <c r="O717" i="84"/>
  <c r="R670" i="84"/>
  <c r="X389" i="84"/>
  <c r="Q405" i="84"/>
  <c r="X186" i="84"/>
  <c r="Y464" i="84"/>
  <c r="BJ11" i="84"/>
  <c r="BG18" i="82"/>
  <c r="F966" i="84"/>
  <c r="Q726" i="84"/>
  <c r="BJ562" i="84"/>
  <c r="W299" i="84"/>
  <c r="R905" i="84"/>
  <c r="F192" i="84"/>
  <c r="T226" i="84"/>
  <c r="W335" i="84"/>
  <c r="Z390" i="84"/>
  <c r="E400" i="84"/>
  <c r="P477" i="84"/>
  <c r="L489" i="84"/>
  <c r="G616" i="84"/>
  <c r="Q544" i="84"/>
  <c r="U224" i="84"/>
  <c r="W576" i="84"/>
  <c r="BZ43" i="82"/>
  <c r="F109" i="84"/>
  <c r="BK846" i="84"/>
  <c r="T165" i="84"/>
  <c r="BD33" i="82"/>
  <c r="E795" i="84"/>
  <c r="Y262" i="84"/>
  <c r="AG34" i="82"/>
  <c r="V436" i="84"/>
  <c r="Q26" i="84"/>
  <c r="X950" i="84"/>
  <c r="T475" i="84"/>
  <c r="AF730" i="84"/>
  <c r="Q133" i="84"/>
  <c r="AA14" i="82"/>
  <c r="R12" i="82"/>
  <c r="O221" i="84"/>
  <c r="F105" i="84"/>
  <c r="O711" i="84"/>
  <c r="O562" i="84"/>
  <c r="R796" i="84"/>
  <c r="G952" i="84"/>
  <c r="U63" i="84"/>
  <c r="Z709" i="84"/>
  <c r="AA915" i="84"/>
  <c r="E561" i="84"/>
  <c r="L23" i="82"/>
  <c r="AE17" i="82"/>
  <c r="K34" i="82"/>
  <c r="O556" i="84"/>
  <c r="T129" i="84"/>
  <c r="Z195" i="84"/>
  <c r="P606" i="84"/>
  <c r="AA503" i="84"/>
  <c r="G189" i="84"/>
  <c r="V710" i="84"/>
  <c r="BJ23" i="84"/>
  <c r="BK590" i="84"/>
  <c r="AA168" i="84"/>
  <c r="W150" i="84"/>
  <c r="W475" i="84"/>
  <c r="Z461" i="84"/>
  <c r="AA177" i="84"/>
  <c r="N652" i="84"/>
  <c r="N751" i="84"/>
  <c r="V627" i="84"/>
  <c r="AN45" i="82"/>
  <c r="W136" i="84"/>
  <c r="W74" i="84"/>
  <c r="T21" i="84"/>
  <c r="H219" i="84"/>
  <c r="AA46" i="84"/>
  <c r="Y119" i="84"/>
  <c r="R841" i="84"/>
  <c r="E168" i="84"/>
  <c r="F717" i="84"/>
  <c r="S543" i="84"/>
  <c r="Z359" i="84"/>
  <c r="BK9" i="84"/>
  <c r="R924" i="84"/>
  <c r="X528" i="84"/>
  <c r="N572" i="84"/>
  <c r="M531" i="84"/>
  <c r="AA107" i="84"/>
  <c r="K449" i="84"/>
  <c r="R151" i="84"/>
  <c r="F413" i="84"/>
  <c r="BK902" i="84"/>
  <c r="AF153" i="84"/>
  <c r="V189" i="84"/>
  <c r="N821" i="84"/>
  <c r="X955" i="84"/>
  <c r="O956" i="84"/>
  <c r="V911" i="84"/>
  <c r="V198" i="84"/>
  <c r="AF566" i="84"/>
  <c r="AA318" i="84"/>
  <c r="U840" i="84"/>
  <c r="J605" i="84"/>
  <c r="Z831" i="84"/>
  <c r="G581" i="84"/>
  <c r="AA81" i="84"/>
  <c r="Y276" i="84"/>
  <c r="F300" i="84"/>
  <c r="F547" i="84"/>
  <c r="Q189" i="84"/>
  <c r="AF961" i="84"/>
  <c r="N277" i="84"/>
  <c r="W22" i="84"/>
  <c r="Y485" i="84"/>
  <c r="R553" i="84"/>
  <c r="O682" i="84"/>
  <c r="Q396" i="84"/>
  <c r="X784" i="84"/>
  <c r="W731" i="84"/>
  <c r="N239" i="84"/>
  <c r="V549" i="84"/>
  <c r="N24" i="82"/>
  <c r="P545" i="84"/>
  <c r="G535" i="84"/>
  <c r="L775" i="84"/>
  <c r="V156" i="84"/>
  <c r="BJ814" i="84"/>
  <c r="T314" i="84"/>
  <c r="Z271" i="84"/>
  <c r="BJ348" i="84"/>
  <c r="Q26" i="82"/>
  <c r="O416" i="84"/>
  <c r="V257" i="84"/>
  <c r="BJ587" i="84"/>
  <c r="G567" i="84"/>
  <c r="N182" i="84"/>
  <c r="Y286" i="84"/>
  <c r="P556" i="84"/>
  <c r="R349" i="84"/>
  <c r="R210" i="84"/>
  <c r="U910" i="84"/>
  <c r="O171" i="84"/>
  <c r="X589" i="84"/>
  <c r="O809" i="84"/>
  <c r="N831" i="84"/>
  <c r="AA313" i="84"/>
  <c r="BK413" i="84"/>
  <c r="E461" i="84"/>
  <c r="Q550" i="84"/>
  <c r="AW19" i="82"/>
  <c r="BK297" i="84"/>
  <c r="Z797" i="84"/>
  <c r="BQ44" i="82"/>
  <c r="AA60" i="84"/>
  <c r="N759" i="84"/>
  <c r="Z62" i="84"/>
  <c r="Y103" i="84"/>
  <c r="BJ26" i="84"/>
  <c r="N916" i="84"/>
  <c r="N905" i="84"/>
  <c r="E964" i="84"/>
  <c r="S672" i="84"/>
  <c r="R360" i="84"/>
  <c r="X750" i="84"/>
  <c r="I274" i="84"/>
  <c r="BK416" i="84"/>
  <c r="Y585" i="84"/>
  <c r="BJ810" i="84"/>
  <c r="Y646" i="84"/>
  <c r="N142" i="84"/>
  <c r="AF897" i="84"/>
  <c r="G924" i="84"/>
  <c r="N23" i="82"/>
  <c r="E666" i="84"/>
  <c r="T133" i="84"/>
  <c r="AL38" i="82"/>
  <c r="AR36" i="82"/>
  <c r="W29" i="84"/>
  <c r="E142" i="84"/>
  <c r="U155" i="84"/>
  <c r="Z616" i="84"/>
  <c r="K757" i="84"/>
  <c r="AS25" i="82"/>
  <c r="F587" i="84"/>
  <c r="BJ326" i="84"/>
  <c r="BK138" i="84"/>
  <c r="O411" i="84"/>
  <c r="AA701" i="84"/>
  <c r="X298" i="84"/>
  <c r="F393" i="84"/>
  <c r="AF601" i="84"/>
  <c r="H500" i="84"/>
  <c r="U495" i="84"/>
  <c r="N93" i="84"/>
  <c r="AA266" i="84"/>
  <c r="P244" i="84"/>
  <c r="R672" i="84"/>
  <c r="AP33" i="82"/>
  <c r="BK533" i="84"/>
  <c r="G365" i="84"/>
  <c r="F312" i="84"/>
  <c r="BJ746" i="84"/>
  <c r="X123" i="84"/>
  <c r="H158" i="84"/>
  <c r="N773" i="84"/>
  <c r="N211" i="84"/>
  <c r="W477" i="84"/>
  <c r="Y895" i="84"/>
  <c r="BJ275" i="84"/>
  <c r="X322" i="84"/>
  <c r="AV11" i="82"/>
  <c r="BK697" i="84"/>
  <c r="T456" i="84"/>
  <c r="Z482" i="84"/>
  <c r="J845" i="84"/>
  <c r="BK195" i="84"/>
  <c r="P49" i="84"/>
  <c r="F477" i="84"/>
  <c r="O863" i="84"/>
  <c r="N469" i="84"/>
  <c r="BK422" i="84"/>
  <c r="N852" i="84"/>
  <c r="T104" i="84"/>
  <c r="F492" i="84"/>
  <c r="U450" i="84"/>
  <c r="F423" i="84"/>
  <c r="F180" i="84"/>
  <c r="BK917" i="84"/>
  <c r="G653" i="84"/>
  <c r="V143" i="84"/>
  <c r="E19" i="84"/>
  <c r="AF208" i="84"/>
  <c r="P9" i="84"/>
  <c r="Q341" i="84"/>
  <c r="AA484" i="84"/>
  <c r="AO32" i="82"/>
  <c r="Y278" i="84"/>
  <c r="AA260" i="84"/>
  <c r="X218" i="84"/>
  <c r="M159" i="84"/>
  <c r="V793" i="84"/>
  <c r="L928" i="84"/>
  <c r="V230" i="84"/>
  <c r="G689" i="84"/>
  <c r="N84" i="84"/>
  <c r="Z92" i="84"/>
  <c r="V494" i="84"/>
  <c r="W132" i="84"/>
  <c r="Q276" i="84"/>
  <c r="G531" i="84"/>
  <c r="U307" i="84"/>
  <c r="O34" i="84"/>
  <c r="AA157" i="84"/>
  <c r="AF44" i="82"/>
  <c r="Z456" i="84"/>
  <c r="BK791" i="84"/>
  <c r="BJ92" i="84"/>
  <c r="V531" i="84"/>
  <c r="Z11" i="84"/>
  <c r="Q512" i="84"/>
  <c r="G230" i="84"/>
  <c r="O120" i="84"/>
  <c r="S102" i="84"/>
  <c r="R244" i="84"/>
  <c r="O667" i="84"/>
  <c r="AQ30" i="82"/>
  <c r="X93" i="84"/>
  <c r="F663" i="84"/>
  <c r="P123" i="84"/>
  <c r="S705" i="84"/>
  <c r="Z530" i="84"/>
  <c r="N425" i="84"/>
  <c r="AA27" i="84"/>
  <c r="X348" i="84"/>
  <c r="AA13" i="82"/>
  <c r="E759" i="84"/>
  <c r="L326" i="84"/>
  <c r="Q184" i="84"/>
  <c r="AF293" i="84"/>
  <c r="AF955" i="84"/>
  <c r="R44" i="84"/>
  <c r="U112" i="84"/>
  <c r="AA870" i="84"/>
  <c r="W243" i="84"/>
  <c r="O308" i="84"/>
  <c r="N879" i="84"/>
  <c r="W379" i="84"/>
  <c r="X182" i="84"/>
  <c r="X146" i="84"/>
  <c r="S721" i="84"/>
  <c r="Y244" i="84"/>
  <c r="E306" i="84"/>
  <c r="AA780" i="84"/>
  <c r="T512" i="84"/>
  <c r="Y904" i="84"/>
  <c r="R68" i="84"/>
  <c r="E530" i="84"/>
  <c r="Y460" i="84"/>
  <c r="AA749" i="84"/>
  <c r="D491" i="84"/>
  <c r="Z213" i="84"/>
  <c r="U838" i="84"/>
  <c r="AA583" i="84"/>
  <c r="Y672" i="84"/>
  <c r="BY9" i="82"/>
  <c r="P676" i="84"/>
  <c r="N935" i="84"/>
  <c r="AA909" i="84"/>
  <c r="M20" i="82"/>
  <c r="P544" i="84"/>
  <c r="AA627" i="84"/>
  <c r="V64" i="84"/>
  <c r="V153" i="84"/>
  <c r="G892" i="84"/>
  <c r="BK211" i="84"/>
  <c r="W882" i="84"/>
  <c r="X823" i="84"/>
  <c r="T389" i="84"/>
  <c r="K45" i="82"/>
  <c r="E574" i="84"/>
  <c r="W670" i="84"/>
  <c r="X166" i="84"/>
  <c r="E293" i="84"/>
  <c r="AV40" i="82"/>
  <c r="W559" i="84"/>
  <c r="H756" i="84"/>
  <c r="V470" i="84"/>
  <c r="BK80" i="84"/>
  <c r="E642" i="84"/>
  <c r="U571" i="84"/>
  <c r="G823" i="84"/>
  <c r="Q67" i="84"/>
  <c r="N193" i="84"/>
  <c r="BJ623" i="84"/>
  <c r="X476" i="84"/>
  <c r="Z662" i="84"/>
  <c r="BK570" i="84"/>
  <c r="V117" i="84"/>
  <c r="N111" i="84"/>
  <c r="AP37" i="82"/>
  <c r="W518" i="84"/>
  <c r="F114" i="84"/>
  <c r="E668" i="84"/>
  <c r="X943" i="84"/>
  <c r="H40" i="82"/>
  <c r="Z321" i="84"/>
  <c r="L831" i="84"/>
  <c r="F199" i="84"/>
  <c r="AF868" i="84"/>
  <c r="W157" i="84"/>
  <c r="BK147" i="84"/>
  <c r="AA214" i="84"/>
  <c r="O587" i="84"/>
  <c r="Y561" i="84"/>
  <c r="Z888" i="84"/>
  <c r="BD26" i="82"/>
  <c r="AA643" i="84"/>
  <c r="BK453" i="84"/>
  <c r="V919" i="84"/>
  <c r="E285" i="84"/>
  <c r="W847" i="84"/>
  <c r="P457" i="84"/>
  <c r="V929" i="84"/>
  <c r="Y608" i="84"/>
  <c r="AF430" i="84"/>
  <c r="AF848" i="84"/>
  <c r="AF815" i="84"/>
  <c r="T30" i="82"/>
  <c r="N482" i="84"/>
  <c r="Y365" i="84"/>
  <c r="AF750" i="84"/>
  <c r="R832" i="84"/>
  <c r="G440" i="84"/>
  <c r="V471" i="84"/>
  <c r="AI17" i="82"/>
  <c r="W717" i="84"/>
  <c r="AF18" i="82"/>
  <c r="BJ599" i="84"/>
  <c r="AF728" i="84"/>
  <c r="Y768" i="84"/>
  <c r="E540" i="84"/>
  <c r="K808" i="84"/>
  <c r="V535" i="84"/>
  <c r="W535" i="84"/>
  <c r="BK536" i="84"/>
  <c r="X900" i="84"/>
  <c r="N450" i="84"/>
  <c r="G729" i="84"/>
  <c r="BJ816" i="84"/>
  <c r="O428" i="84"/>
  <c r="E838" i="84"/>
  <c r="N332" i="84"/>
  <c r="AF599" i="84"/>
  <c r="O679" i="84"/>
  <c r="X107" i="84"/>
  <c r="BK505" i="84"/>
  <c r="G233" i="84"/>
  <c r="BK585" i="84"/>
  <c r="M813" i="84"/>
  <c r="O873" i="84"/>
  <c r="Y208" i="84"/>
  <c r="AX30" i="82"/>
  <c r="R39" i="82"/>
  <c r="F946" i="84"/>
  <c r="BK425" i="84"/>
  <c r="F834" i="84"/>
  <c r="AW13" i="82"/>
  <c r="BK711" i="84"/>
  <c r="M10" i="82"/>
  <c r="F577" i="84"/>
  <c r="BK723" i="84"/>
  <c r="BJ702" i="84"/>
  <c r="BJ413" i="84"/>
  <c r="Z426" i="84"/>
  <c r="W872" i="84"/>
  <c r="N201" i="84"/>
  <c r="U276" i="84"/>
  <c r="AU25" i="82"/>
  <c r="V623" i="84"/>
  <c r="I291" i="84"/>
  <c r="BJ487" i="84"/>
  <c r="AA183" i="84"/>
  <c r="Q161" i="84"/>
  <c r="BK292" i="84"/>
  <c r="N666" i="84"/>
  <c r="E74" i="84"/>
  <c r="Y911" i="84"/>
  <c r="AA753" i="84"/>
  <c r="AF282" i="84"/>
  <c r="BJ223" i="84"/>
  <c r="X503" i="84"/>
  <c r="V785" i="84"/>
  <c r="AO23" i="82"/>
  <c r="X13" i="84"/>
  <c r="W602" i="84"/>
  <c r="F953" i="84"/>
  <c r="Y238" i="84"/>
  <c r="BK663" i="84"/>
  <c r="Z393" i="84"/>
  <c r="R589" i="84"/>
  <c r="Z122" i="84"/>
  <c r="Z467" i="84"/>
  <c r="E36" i="84"/>
  <c r="AF178" i="84"/>
  <c r="G792" i="84"/>
  <c r="BG40" i="82"/>
  <c r="P183" i="84"/>
  <c r="N891" i="84"/>
  <c r="Z764" i="84"/>
  <c r="V330" i="84"/>
  <c r="R192" i="84"/>
  <c r="BG13" i="82"/>
  <c r="BK859" i="84"/>
  <c r="BK628" i="84"/>
  <c r="O138" i="84"/>
  <c r="Q346" i="84"/>
  <c r="W509" i="84"/>
  <c r="Q338" i="84"/>
  <c r="BK736" i="84"/>
  <c r="W958" i="84"/>
  <c r="AF311" i="84"/>
  <c r="V890" i="84"/>
  <c r="AF937" i="84"/>
  <c r="W391" i="84"/>
  <c r="N667" i="84"/>
  <c r="F53" i="84"/>
  <c r="O153" i="84"/>
  <c r="Y432" i="84"/>
  <c r="L931" i="84"/>
  <c r="AM21" i="82"/>
  <c r="E464" i="84"/>
  <c r="N913" i="84"/>
  <c r="Y836" i="84"/>
  <c r="AF644" i="84"/>
  <c r="AA31" i="84"/>
  <c r="Y131" i="84"/>
  <c r="U157" i="84"/>
  <c r="E773" i="84"/>
  <c r="V267" i="84"/>
  <c r="E603" i="84"/>
  <c r="P43" i="84"/>
  <c r="F11" i="84"/>
  <c r="AA120" i="84"/>
  <c r="Y200" i="84"/>
  <c r="S31" i="84"/>
  <c r="AB35" i="82"/>
  <c r="E569" i="84"/>
  <c r="X164" i="84"/>
  <c r="H681" i="84"/>
  <c r="V859" i="84"/>
  <c r="BK82" i="84"/>
  <c r="BJ202" i="84"/>
  <c r="M16" i="82"/>
  <c r="E823" i="84"/>
  <c r="BK26" i="84"/>
  <c r="S720" i="84"/>
  <c r="V781" i="84"/>
  <c r="BK748" i="84"/>
  <c r="D35" i="82"/>
  <c r="P407" i="84"/>
  <c r="AF505" i="84"/>
  <c r="BN22" i="82"/>
  <c r="Z124" i="84"/>
  <c r="O657" i="84"/>
  <c r="AF38" i="84"/>
  <c r="AI19" i="82"/>
  <c r="J57" i="84"/>
  <c r="Z619" i="84"/>
  <c r="V698" i="84"/>
  <c r="I95" i="84"/>
  <c r="X787" i="84"/>
  <c r="S140" i="84"/>
  <c r="Z889" i="84"/>
  <c r="Q539" i="84"/>
  <c r="Y724" i="84"/>
  <c r="R9" i="82"/>
  <c r="E223" i="84"/>
  <c r="AA896" i="84"/>
  <c r="V451" i="84"/>
  <c r="Y616" i="84"/>
  <c r="V412" i="84"/>
  <c r="W162" i="84"/>
  <c r="Y699" i="84"/>
  <c r="L344" i="84"/>
  <c r="E711" i="84"/>
  <c r="R322" i="84"/>
  <c r="N892" i="84"/>
  <c r="N807" i="84"/>
  <c r="P912" i="84"/>
  <c r="X271" i="84"/>
  <c r="BJ390" i="84"/>
  <c r="L915" i="84"/>
  <c r="P540" i="84"/>
  <c r="BK621" i="84"/>
  <c r="X494" i="84"/>
  <c r="V921" i="84"/>
  <c r="Y148" i="84"/>
  <c r="Z25" i="84"/>
  <c r="BK202" i="84"/>
  <c r="AX36" i="82"/>
  <c r="N326" i="84"/>
  <c r="S300" i="84"/>
  <c r="W693" i="84"/>
  <c r="K840" i="84"/>
  <c r="X281" i="84"/>
  <c r="K18" i="82"/>
  <c r="J27" i="82"/>
  <c r="AF261" i="84"/>
  <c r="F748" i="84"/>
  <c r="BK930" i="84"/>
  <c r="Y581" i="84"/>
  <c r="O279" i="84"/>
  <c r="AP17" i="82"/>
  <c r="BK764" i="84"/>
  <c r="P827" i="84"/>
  <c r="Z705" i="84"/>
  <c r="G16" i="84"/>
  <c r="P485" i="84"/>
  <c r="AF506" i="84"/>
  <c r="T576" i="84"/>
  <c r="M915" i="84"/>
  <c r="S595" i="84"/>
  <c r="S363" i="84"/>
  <c r="T713" i="84"/>
  <c r="U378" i="84"/>
  <c r="BJ178" i="84"/>
  <c r="P405" i="84"/>
  <c r="AA8" i="84"/>
  <c r="AA797" i="84"/>
  <c r="AA18" i="84"/>
  <c r="N468" i="84"/>
  <c r="AA634" i="84"/>
  <c r="Y710" i="84"/>
  <c r="Y638" i="84"/>
  <c r="AW39" i="82"/>
  <c r="AQ12" i="82"/>
  <c r="Z481" i="84"/>
  <c r="BK338" i="84"/>
  <c r="AF76" i="84"/>
  <c r="AA100" i="84"/>
  <c r="W653" i="84"/>
  <c r="Y351" i="84"/>
  <c r="W105" i="84"/>
  <c r="N357" i="84"/>
  <c r="U441" i="84"/>
  <c r="E290" i="84"/>
  <c r="Y813" i="84"/>
  <c r="BJ608" i="84"/>
  <c r="V352" i="84"/>
  <c r="F273" i="84"/>
  <c r="K776" i="84"/>
  <c r="F452" i="84"/>
  <c r="S873" i="84"/>
  <c r="R193" i="84"/>
  <c r="P365" i="84"/>
  <c r="AE40" i="82"/>
  <c r="R419" i="84"/>
  <c r="W43" i="84"/>
  <c r="M404" i="84"/>
  <c r="K416" i="84"/>
  <c r="O167" i="84"/>
  <c r="Z539" i="84"/>
  <c r="BA29" i="82"/>
  <c r="AA29" i="82"/>
  <c r="R873" i="84"/>
  <c r="S34" i="82"/>
  <c r="V696" i="84"/>
  <c r="U226" i="84"/>
  <c r="G418" i="84"/>
  <c r="AF532" i="84"/>
  <c r="V356" i="84"/>
  <c r="AA27" i="82"/>
  <c r="AF41" i="84"/>
  <c r="V130" i="84"/>
  <c r="AF242" i="84"/>
  <c r="X917" i="84"/>
  <c r="T724" i="84"/>
  <c r="P322" i="84"/>
  <c r="S174" i="84"/>
  <c r="G490" i="84"/>
  <c r="BE9" i="82"/>
  <c r="AA327" i="84"/>
  <c r="N314" i="84"/>
  <c r="O35" i="82"/>
  <c r="J315" i="84"/>
  <c r="V879" i="84"/>
  <c r="G347" i="84"/>
  <c r="V702" i="84"/>
  <c r="X220" i="84"/>
  <c r="V258" i="84"/>
  <c r="Q68" i="84"/>
  <c r="AF145" i="84"/>
  <c r="G465" i="84"/>
  <c r="W446" i="84"/>
  <c r="P875" i="84"/>
  <c r="F146" i="84"/>
  <c r="T797" i="84"/>
  <c r="F513" i="84"/>
  <c r="V193" i="84"/>
  <c r="W644" i="84"/>
  <c r="G687" i="84"/>
  <c r="AA943" i="84"/>
  <c r="AF8" i="84"/>
  <c r="E858" i="84"/>
  <c r="BK153" i="84"/>
  <c r="X777" i="84"/>
  <c r="V525" i="84"/>
  <c r="E649" i="84"/>
  <c r="BK694" i="84"/>
  <c r="W620" i="84"/>
  <c r="AO46" i="82"/>
  <c r="W760" i="84"/>
  <c r="Z571" i="84"/>
  <c r="S617" i="84"/>
  <c r="E621" i="84"/>
  <c r="N19" i="82"/>
  <c r="BN14" i="82"/>
  <c r="AG31" i="82"/>
  <c r="AF245" i="84"/>
  <c r="G711" i="84"/>
  <c r="AE12" i="82"/>
  <c r="AF936" i="84"/>
  <c r="AA288" i="84"/>
  <c r="U896" i="84"/>
  <c r="F862" i="84"/>
  <c r="Z753" i="84"/>
  <c r="X111" i="84"/>
  <c r="W23" i="84"/>
  <c r="AF296" i="84"/>
  <c r="AF733" i="84"/>
  <c r="U17" i="84"/>
  <c r="Z356" i="84"/>
  <c r="F926" i="84"/>
  <c r="S850" i="84"/>
  <c r="Z655" i="84"/>
  <c r="Z254" i="84"/>
  <c r="S546" i="84"/>
  <c r="W702" i="84"/>
  <c r="G916" i="84"/>
  <c r="X916" i="84"/>
  <c r="T316" i="84"/>
  <c r="O893" i="84"/>
  <c r="AP13" i="82"/>
  <c r="P247" i="84"/>
  <c r="BK444" i="84"/>
  <c r="N39" i="82"/>
  <c r="BJ52" i="84"/>
  <c r="Q805" i="84"/>
  <c r="AF614" i="84"/>
  <c r="W185" i="84"/>
  <c r="BK625" i="84"/>
  <c r="BK248" i="84"/>
  <c r="AA172" i="84"/>
  <c r="E36" i="82"/>
  <c r="V208" i="84"/>
  <c r="W838" i="84"/>
  <c r="N540" i="84"/>
  <c r="P276" i="84"/>
  <c r="F789" i="84"/>
  <c r="P575" i="84"/>
  <c r="E880" i="84"/>
  <c r="R568" i="84"/>
  <c r="BJ821" i="84"/>
  <c r="Z796" i="84"/>
  <c r="BK325" i="84"/>
  <c r="G19" i="82"/>
  <c r="AF783" i="84"/>
  <c r="Q880" i="84"/>
  <c r="T356" i="84"/>
  <c r="V184" i="84"/>
  <c r="AR19" i="82"/>
  <c r="S852" i="84"/>
  <c r="W306" i="84"/>
  <c r="AF469" i="84"/>
  <c r="Y894" i="84"/>
  <c r="BK912" i="84"/>
  <c r="AD27" i="82"/>
  <c r="Q156" i="84"/>
  <c r="X113" i="84"/>
  <c r="P15" i="82"/>
  <c r="BK884" i="84"/>
  <c r="AO16" i="82"/>
  <c r="BJ257" i="84"/>
  <c r="AF292" i="84"/>
  <c r="AF94" i="84"/>
  <c r="F440" i="84"/>
  <c r="AA212" i="84"/>
  <c r="AE35" i="82"/>
  <c r="AA740" i="84"/>
  <c r="BJ169" i="84"/>
  <c r="R167" i="84"/>
  <c r="Y631" i="84"/>
  <c r="Z105" i="84"/>
  <c r="AF517" i="84"/>
  <c r="G215" i="84"/>
  <c r="BJ722" i="84"/>
  <c r="R184" i="84"/>
  <c r="G740" i="84"/>
  <c r="N770" i="84"/>
  <c r="AA573" i="84"/>
  <c r="E56" i="84"/>
  <c r="E121" i="84"/>
  <c r="O268" i="84"/>
  <c r="R479" i="84"/>
  <c r="P22" i="82"/>
  <c r="AA7" i="82"/>
  <c r="Y808" i="84"/>
  <c r="Z328" i="84"/>
  <c r="BK829" i="84"/>
  <c r="Y373" i="84"/>
  <c r="AF820" i="84"/>
  <c r="V896" i="84"/>
  <c r="AL24" i="82"/>
  <c r="F21" i="82"/>
  <c r="AA913" i="84"/>
  <c r="Z835" i="84"/>
  <c r="L598" i="84"/>
  <c r="V671" i="84"/>
  <c r="BK637" i="84"/>
  <c r="Z601" i="84"/>
  <c r="Y221" i="84"/>
  <c r="Q491" i="84"/>
  <c r="T470" i="84"/>
  <c r="W523" i="84"/>
  <c r="P695" i="84"/>
  <c r="AA54" i="84"/>
  <c r="E815" i="84"/>
  <c r="Q126" i="84"/>
  <c r="AF179" i="84"/>
  <c r="V180" i="84"/>
  <c r="S780" i="84"/>
  <c r="V722" i="84"/>
  <c r="D707" i="84"/>
  <c r="AS26" i="82"/>
  <c r="P689" i="84"/>
  <c r="AA52" i="84"/>
  <c r="Y547" i="84"/>
  <c r="V150" i="84"/>
  <c r="P918" i="84"/>
  <c r="BN29" i="82"/>
  <c r="AF908" i="84"/>
  <c r="W377" i="84"/>
  <c r="S801" i="84"/>
  <c r="Z145" i="84"/>
  <c r="V210" i="84"/>
  <c r="BJ812" i="84"/>
  <c r="Y821" i="84"/>
  <c r="AZ20" i="82"/>
  <c r="BM42" i="82"/>
  <c r="G33" i="84"/>
  <c r="X495" i="84"/>
  <c r="Q585" i="84"/>
  <c r="V823" i="84"/>
  <c r="BK399" i="84"/>
  <c r="BK758" i="84"/>
  <c r="E902" i="84"/>
  <c r="AF13" i="82"/>
  <c r="Y543" i="84"/>
  <c r="X472" i="84"/>
  <c r="N542" i="84"/>
  <c r="Y529" i="84"/>
  <c r="J78" i="84"/>
  <c r="V608" i="84"/>
  <c r="R23" i="82"/>
  <c r="G503" i="84"/>
  <c r="S14" i="84"/>
  <c r="Z770" i="84"/>
  <c r="AA762" i="84"/>
  <c r="W820" i="84"/>
  <c r="Z838" i="84"/>
  <c r="N485" i="84"/>
  <c r="X666" i="84"/>
  <c r="N754" i="84"/>
  <c r="O445" i="84"/>
  <c r="E30" i="82"/>
  <c r="U321" i="84"/>
  <c r="Q324" i="84"/>
  <c r="R561" i="84"/>
  <c r="Z110" i="84"/>
  <c r="N557" i="84"/>
  <c r="AF253" i="84"/>
  <c r="V739" i="84"/>
  <c r="E662" i="84"/>
  <c r="V953" i="84"/>
  <c r="Y41" i="84"/>
  <c r="Q96" i="84"/>
  <c r="X604" i="84"/>
  <c r="P798" i="84"/>
  <c r="U949" i="84"/>
  <c r="F734" i="84"/>
  <c r="AA548" i="84"/>
  <c r="W254" i="84"/>
  <c r="N712" i="84"/>
  <c r="F617" i="84"/>
  <c r="E894" i="84"/>
  <c r="AR35" i="82"/>
  <c r="V930" i="84"/>
  <c r="O447" i="84"/>
  <c r="AA461" i="84"/>
  <c r="E941" i="84"/>
  <c r="AF796" i="84"/>
  <c r="F627" i="84"/>
  <c r="AF793" i="84"/>
  <c r="BK415" i="84"/>
  <c r="X241" i="84"/>
  <c r="L77" i="84"/>
  <c r="T819" i="84"/>
  <c r="S15" i="82"/>
  <c r="W371" i="84"/>
  <c r="E438" i="84"/>
  <c r="M31" i="82"/>
  <c r="N944" i="84"/>
  <c r="Q412" i="84"/>
  <c r="O461" i="84"/>
  <c r="S666" i="84"/>
  <c r="U354" i="84"/>
  <c r="V70" i="84"/>
  <c r="F503" i="84"/>
  <c r="N279" i="84"/>
  <c r="BK385" i="84"/>
  <c r="BN23" i="82"/>
  <c r="AF881" i="84"/>
  <c r="BK795" i="84"/>
  <c r="Y114" i="84"/>
  <c r="P567" i="84"/>
  <c r="AM30" i="82"/>
  <c r="P768" i="84"/>
  <c r="P409" i="84"/>
  <c r="L453" i="84"/>
  <c r="W217" i="84"/>
  <c r="AF374" i="84"/>
  <c r="O90" i="84"/>
  <c r="AF254" i="84"/>
  <c r="E342" i="84"/>
  <c r="AA141" i="84"/>
  <c r="Q531" i="84"/>
  <c r="W110" i="84"/>
  <c r="BJ869" i="84"/>
  <c r="F204" i="84"/>
  <c r="Q132" i="84"/>
  <c r="AG37" i="82"/>
  <c r="W28" i="84"/>
  <c r="G528" i="84"/>
  <c r="E264" i="84"/>
  <c r="R763" i="84"/>
  <c r="Y912" i="84"/>
  <c r="W222" i="84"/>
  <c r="BK665" i="84"/>
  <c r="AF172" i="84"/>
  <c r="T645" i="84"/>
  <c r="BJ188" i="84"/>
  <c r="O858" i="84"/>
  <c r="L256" i="84"/>
  <c r="L962" i="84"/>
  <c r="W160" i="84"/>
  <c r="R752" i="84"/>
  <c r="U759" i="84"/>
  <c r="Z239" i="84"/>
  <c r="O420" i="84"/>
  <c r="AF163" i="84"/>
  <c r="F933" i="84"/>
  <c r="BJ559" i="84"/>
  <c r="AS37" i="82"/>
  <c r="S754" i="84"/>
  <c r="R797" i="84"/>
  <c r="V581" i="84"/>
  <c r="H50" i="84"/>
  <c r="Q559" i="84"/>
  <c r="O348" i="84"/>
  <c r="T685" i="84"/>
  <c r="AF951" i="84"/>
  <c r="R728" i="84"/>
  <c r="BK879" i="84"/>
  <c r="Y56" i="84"/>
  <c r="AF563" i="84"/>
  <c r="E633" i="84"/>
  <c r="AF339" i="84"/>
  <c r="W549" i="84"/>
  <c r="X910" i="84"/>
  <c r="X437" i="84"/>
  <c r="Q568" i="84"/>
  <c r="N718" i="84"/>
  <c r="AW34" i="82"/>
  <c r="K24" i="82"/>
  <c r="R595" i="84"/>
  <c r="X338" i="84"/>
  <c r="Y339" i="84"/>
  <c r="X237" i="84"/>
  <c r="F59" i="84"/>
  <c r="BJ120" i="84"/>
  <c r="AA776" i="84"/>
  <c r="J926" i="84"/>
  <c r="K745" i="84"/>
  <c r="W777" i="84"/>
  <c r="I44" i="82"/>
  <c r="F689" i="84"/>
  <c r="Y346" i="84"/>
  <c r="AA559" i="84"/>
  <c r="BJ479" i="84"/>
  <c r="N564" i="84"/>
  <c r="W748" i="84"/>
  <c r="Y122" i="84"/>
  <c r="Z516" i="84"/>
  <c r="O31" i="82"/>
  <c r="P777" i="84"/>
  <c r="N267" i="84"/>
  <c r="Q745" i="84"/>
  <c r="AF425" i="84"/>
  <c r="X485" i="84"/>
  <c r="V122" i="84"/>
  <c r="BJ286" i="84"/>
  <c r="AR8" i="82"/>
  <c r="Z392" i="84"/>
  <c r="J944" i="84"/>
  <c r="J50" i="84"/>
  <c r="O932" i="84"/>
  <c r="E648" i="84"/>
  <c r="N38" i="82"/>
  <c r="X803" i="84"/>
  <c r="R203" i="84"/>
  <c r="AA788" i="84"/>
  <c r="BJ953" i="84"/>
  <c r="AF613" i="84"/>
  <c r="T247" i="84"/>
  <c r="V434" i="84"/>
  <c r="W422" i="84"/>
  <c r="AF384" i="84"/>
  <c r="BJ134" i="84"/>
  <c r="T84" i="84"/>
  <c r="S39" i="82"/>
  <c r="BJ83" i="84"/>
  <c r="X299" i="84"/>
  <c r="P648" i="84"/>
  <c r="W229" i="84"/>
  <c r="P375" i="84"/>
  <c r="V488" i="84"/>
  <c r="BJ950" i="84"/>
  <c r="N654" i="84"/>
  <c r="Z636" i="84"/>
  <c r="AF826" i="84"/>
  <c r="AF648" i="84"/>
  <c r="F306" i="84"/>
  <c r="X779" i="84"/>
  <c r="BK10" i="84"/>
  <c r="AF720" i="84"/>
  <c r="Q492" i="84"/>
  <c r="Y67" i="84"/>
  <c r="O816" i="84"/>
  <c r="AA429" i="84"/>
  <c r="Q536" i="84"/>
  <c r="X242" i="84"/>
  <c r="BJ155" i="84"/>
  <c r="F783" i="84"/>
  <c r="U601" i="84"/>
  <c r="U929" i="84"/>
  <c r="X200" i="84"/>
  <c r="W510" i="84"/>
  <c r="R154" i="84"/>
  <c r="U199" i="84"/>
  <c r="S278" i="84"/>
  <c r="W341" i="84"/>
  <c r="Z389" i="84"/>
  <c r="V218" i="84"/>
  <c r="S676" i="84"/>
  <c r="AA187" i="84"/>
  <c r="Y949" i="84"/>
  <c r="AW38" i="82"/>
  <c r="T577" i="84"/>
  <c r="AN31" i="82"/>
  <c r="V869" i="84"/>
  <c r="BK871" i="84"/>
  <c r="P521" i="84"/>
  <c r="AI20" i="82"/>
  <c r="AK15" i="82"/>
  <c r="O97" i="84"/>
  <c r="X909" i="84"/>
  <c r="AS42" i="82"/>
  <c r="X914" i="84"/>
  <c r="E334" i="84"/>
  <c r="M12" i="82"/>
  <c r="BK547" i="84"/>
  <c r="Y491" i="84"/>
  <c r="T745" i="84"/>
  <c r="V414" i="84"/>
  <c r="G319" i="84"/>
  <c r="E183" i="84"/>
  <c r="AH22" i="82"/>
  <c r="Y744" i="84"/>
  <c r="Z598" i="84"/>
  <c r="M7" i="82"/>
  <c r="S46" i="82"/>
  <c r="J842" i="84"/>
  <c r="Y946" i="84"/>
  <c r="E327" i="84"/>
  <c r="BN34" i="82"/>
  <c r="P757" i="84"/>
  <c r="BK848" i="84"/>
  <c r="V883" i="84"/>
  <c r="N155" i="84"/>
  <c r="I11" i="82"/>
  <c r="U398" i="84"/>
  <c r="W386" i="84"/>
  <c r="BK58" i="84"/>
  <c r="S553" i="84"/>
  <c r="O765" i="84"/>
  <c r="O180" i="84"/>
  <c r="S916" i="84"/>
  <c r="AF460" i="84"/>
  <c r="P762" i="84"/>
  <c r="N249" i="84"/>
  <c r="V626" i="84"/>
  <c r="N943" i="84"/>
  <c r="Q49" i="84"/>
  <c r="P12" i="82"/>
  <c r="AD19" i="82"/>
  <c r="E99" i="84"/>
  <c r="BJ754" i="84"/>
  <c r="F30" i="84"/>
  <c r="BK556" i="84"/>
  <c r="Y648" i="84"/>
  <c r="R286" i="84"/>
  <c r="E689" i="84"/>
  <c r="W91" i="84"/>
  <c r="X425" i="84"/>
  <c r="AB18" i="82"/>
  <c r="Z451" i="84"/>
  <c r="X214" i="84"/>
  <c r="AA336" i="84"/>
  <c r="W395" i="84"/>
  <c r="Y310" i="84"/>
  <c r="Q624" i="84"/>
  <c r="AF586" i="84"/>
  <c r="V312" i="84"/>
  <c r="AZ43" i="82"/>
  <c r="X170" i="84"/>
  <c r="Y729" i="84"/>
  <c r="L514" i="84"/>
  <c r="AJ46" i="82"/>
  <c r="E440" i="84"/>
  <c r="X852" i="84"/>
  <c r="Y342" i="84"/>
  <c r="O233" i="84"/>
  <c r="S812" i="84"/>
  <c r="Y832" i="84"/>
  <c r="P489" i="84"/>
  <c r="T676" i="84"/>
  <c r="L37" i="82"/>
  <c r="E745" i="84"/>
  <c r="J862" i="84"/>
  <c r="AA580" i="84"/>
  <c r="AF718" i="84"/>
  <c r="Q264" i="84"/>
  <c r="AA80" i="84"/>
  <c r="P192" i="84"/>
  <c r="V509" i="84"/>
  <c r="V612" i="84"/>
  <c r="Y287" i="84"/>
  <c r="G20" i="84"/>
  <c r="E110" i="84"/>
  <c r="R819" i="84"/>
  <c r="BJ204" i="84"/>
  <c r="Q910" i="84"/>
  <c r="Z30" i="84"/>
  <c r="R608" i="84"/>
  <c r="Z56" i="84"/>
  <c r="AA665" i="84"/>
  <c r="P963" i="84"/>
  <c r="N680" i="84"/>
  <c r="N796" i="84"/>
  <c r="N54" i="84"/>
  <c r="E102" i="84"/>
  <c r="G350" i="84"/>
  <c r="Y632" i="84"/>
  <c r="S442" i="84"/>
  <c r="L797" i="84"/>
  <c r="W742" i="84"/>
  <c r="X358" i="84"/>
  <c r="AT17" i="82"/>
  <c r="BZ17" i="82"/>
  <c r="AA239" i="84"/>
  <c r="BC43" i="82"/>
  <c r="O598" i="84"/>
  <c r="V716" i="84"/>
  <c r="J918" i="84"/>
  <c r="E274" i="84"/>
  <c r="AA517" i="84"/>
  <c r="Y621" i="84"/>
  <c r="BJ737" i="84"/>
  <c r="O182" i="84"/>
  <c r="W871" i="84"/>
  <c r="K44" i="82"/>
  <c r="O732" i="84"/>
  <c r="S573" i="84"/>
  <c r="Y954" i="84"/>
  <c r="Y623" i="84"/>
  <c r="AA849" i="84"/>
  <c r="G883" i="84"/>
  <c r="X765" i="84"/>
  <c r="Y180" i="84"/>
  <c r="Z303" i="84"/>
  <c r="X799" i="84"/>
  <c r="Y312" i="84"/>
  <c r="Q279" i="84"/>
  <c r="N854" i="84"/>
  <c r="AT30" i="82"/>
  <c r="S470" i="84"/>
  <c r="Q700" i="84"/>
  <c r="BJ216" i="84"/>
  <c r="AB8" i="82"/>
  <c r="N547" i="84"/>
  <c r="E221" i="84"/>
  <c r="F857" i="84"/>
  <c r="BJ302" i="84"/>
  <c r="H379" i="84"/>
  <c r="O721" i="84"/>
  <c r="AJ28" i="82"/>
  <c r="BA37" i="82"/>
  <c r="Y338" i="84"/>
  <c r="AA14" i="84"/>
  <c r="U719" i="84"/>
  <c r="X719" i="84"/>
  <c r="Y636" i="84"/>
  <c r="BJ635" i="84"/>
  <c r="P951" i="84"/>
  <c r="AF41" i="82"/>
  <c r="BM44" i="82"/>
  <c r="E122" i="84"/>
  <c r="Q411" i="84"/>
  <c r="P112" i="84"/>
  <c r="V285" i="84"/>
  <c r="T59" i="84"/>
  <c r="Q845" i="84"/>
  <c r="BF7" i="82"/>
  <c r="X395" i="84"/>
  <c r="AD28" i="82"/>
  <c r="W621" i="84"/>
  <c r="U229" i="84"/>
  <c r="F425" i="84"/>
  <c r="G73" i="84"/>
  <c r="N919" i="84"/>
  <c r="X870" i="84"/>
  <c r="AF453" i="84"/>
  <c r="Q909" i="84"/>
  <c r="AA562" i="84"/>
  <c r="W932" i="84"/>
  <c r="E690" i="84"/>
  <c r="O951" i="84"/>
  <c r="AA203" i="84"/>
  <c r="X532" i="84"/>
  <c r="AA851" i="84"/>
  <c r="V690" i="84"/>
  <c r="AA598" i="84"/>
  <c r="H93" i="84"/>
  <c r="V90" i="84"/>
  <c r="BG7" i="82"/>
  <c r="AA757" i="84"/>
  <c r="BA30" i="82"/>
  <c r="AF309" i="84"/>
  <c r="Q14" i="82"/>
  <c r="AU36" i="82"/>
  <c r="L42" i="84"/>
  <c r="Y728" i="84"/>
  <c r="X89" i="84"/>
  <c r="AA728" i="84"/>
  <c r="AA742" i="84"/>
  <c r="Z876" i="84"/>
  <c r="BJ59" i="84"/>
  <c r="Z532" i="84"/>
  <c r="G936" i="84"/>
  <c r="F586" i="84"/>
  <c r="N378" i="84"/>
  <c r="V277" i="84"/>
  <c r="X337" i="84"/>
  <c r="F525" i="84"/>
  <c r="S564" i="84"/>
  <c r="BJ411" i="84"/>
  <c r="W454" i="84"/>
  <c r="E501" i="84"/>
  <c r="Y530" i="84"/>
  <c r="F561" i="84"/>
  <c r="T420" i="84"/>
  <c r="Y313" i="84"/>
  <c r="Z811" i="84"/>
  <c r="AF580" i="84"/>
  <c r="AF959" i="84"/>
  <c r="X161" i="84"/>
  <c r="Z966" i="84"/>
  <c r="P152" i="84"/>
  <c r="M25" i="82"/>
  <c r="Z912" i="84"/>
  <c r="N85" i="84"/>
  <c r="BJ332" i="84"/>
  <c r="E578" i="84"/>
  <c r="BJ590" i="84"/>
  <c r="F491" i="84"/>
  <c r="T29" i="82"/>
  <c r="Z75" i="84"/>
  <c r="BK841" i="84"/>
  <c r="F778" i="84"/>
  <c r="BK875" i="84"/>
  <c r="R575" i="84"/>
  <c r="X866" i="84"/>
  <c r="G761" i="84"/>
  <c r="AF546" i="84"/>
  <c r="U463" i="84"/>
  <c r="AA230" i="84"/>
  <c r="X757" i="84"/>
  <c r="O147" i="84"/>
  <c r="E688" i="84"/>
  <c r="W491" i="84"/>
  <c r="BJ71" i="84"/>
  <c r="BG33" i="82"/>
  <c r="AL13" i="82"/>
  <c r="AA493" i="84"/>
  <c r="BK51" i="84"/>
  <c r="AT25" i="82"/>
  <c r="P188" i="84"/>
  <c r="W431" i="84"/>
  <c r="N159" i="84"/>
  <c r="F523" i="84"/>
  <c r="G652" i="84"/>
  <c r="J325" i="84"/>
  <c r="P491" i="84"/>
  <c r="BK48" i="84"/>
  <c r="X654" i="84"/>
  <c r="AF632" i="84"/>
  <c r="Y613" i="84"/>
  <c r="V868" i="84"/>
  <c r="AF337" i="84"/>
  <c r="AF372" i="84"/>
  <c r="O641" i="84"/>
  <c r="AA165" i="84"/>
  <c r="R903" i="84"/>
  <c r="T939" i="84"/>
  <c r="Z45" i="84"/>
  <c r="BQ19" i="82"/>
  <c r="F437" i="84"/>
  <c r="AA127" i="84"/>
  <c r="R257" i="84"/>
  <c r="T683" i="84"/>
  <c r="T542" i="84"/>
  <c r="G184" i="84"/>
  <c r="Y337" i="84"/>
  <c r="F735" i="84"/>
  <c r="F395" i="84"/>
  <c r="U733" i="84"/>
  <c r="W752" i="84"/>
  <c r="BK931" i="84"/>
  <c r="AY32" i="82"/>
  <c r="P687" i="84"/>
  <c r="O241" i="84"/>
  <c r="R115" i="84"/>
  <c r="D28" i="82"/>
  <c r="Z904" i="84"/>
  <c r="BJ951" i="84"/>
  <c r="BC13" i="82"/>
  <c r="F680" i="84"/>
  <c r="Q856" i="84"/>
  <c r="BK351" i="84"/>
  <c r="P86" i="84"/>
  <c r="BE30" i="82"/>
  <c r="F20" i="82"/>
  <c r="G734" i="84"/>
  <c r="U323" i="84"/>
  <c r="F369" i="84"/>
  <c r="J897" i="84"/>
  <c r="S808" i="84"/>
  <c r="H16" i="82"/>
  <c r="N569" i="84"/>
  <c r="G376" i="84"/>
  <c r="X432" i="84"/>
  <c r="BK722" i="84"/>
  <c r="G78" i="84"/>
  <c r="X51" i="84"/>
  <c r="Z55" i="84"/>
  <c r="U758" i="84"/>
  <c r="X172" i="84"/>
  <c r="F886" i="84"/>
  <c r="Z774" i="84"/>
  <c r="AF171" i="84"/>
  <c r="G95" i="84"/>
  <c r="G697" i="84"/>
  <c r="F323" i="84"/>
  <c r="E392" i="84"/>
  <c r="P456" i="84"/>
  <c r="AA384" i="84"/>
  <c r="W263" i="84"/>
  <c r="Z172" i="84"/>
  <c r="BJ108" i="84"/>
  <c r="F257" i="84"/>
  <c r="E75" i="84"/>
  <c r="N799" i="84"/>
  <c r="Z936" i="84"/>
  <c r="Z674" i="84"/>
  <c r="Y424" i="84"/>
  <c r="W900" i="84"/>
  <c r="F901" i="84"/>
  <c r="O18" i="82"/>
  <c r="E684" i="84"/>
  <c r="O536" i="84"/>
  <c r="BJ603" i="84"/>
  <c r="E782" i="84"/>
  <c r="Q78" i="84"/>
  <c r="R679" i="84"/>
  <c r="V751" i="84"/>
  <c r="S27" i="84"/>
  <c r="S58" i="84"/>
  <c r="P225" i="84"/>
  <c r="Y449" i="84"/>
  <c r="X456" i="84"/>
  <c r="Z808" i="84"/>
  <c r="P7" i="82"/>
  <c r="Y302" i="84"/>
  <c r="E486" i="84"/>
  <c r="H291" i="84"/>
  <c r="X627" i="84"/>
  <c r="AF470" i="84"/>
  <c r="AF740" i="84"/>
  <c r="Y105" i="84"/>
  <c r="P642" i="84"/>
  <c r="Y202" i="84"/>
  <c r="N657" i="84"/>
  <c r="Y751" i="84"/>
  <c r="E182" i="84"/>
  <c r="V577" i="84"/>
  <c r="S803" i="84"/>
  <c r="S563" i="84"/>
  <c r="Q729" i="84"/>
  <c r="N69" i="84"/>
  <c r="BK806" i="84"/>
  <c r="X625" i="84"/>
  <c r="P897" i="84"/>
  <c r="N941" i="84"/>
  <c r="I29" i="82"/>
  <c r="U753" i="84"/>
  <c r="W601" i="84"/>
  <c r="T23" i="84"/>
  <c r="O185" i="84"/>
  <c r="E459" i="84"/>
  <c r="H24" i="82"/>
  <c r="N889" i="84"/>
  <c r="Y213" i="84"/>
  <c r="H187" i="84"/>
  <c r="G818" i="84"/>
  <c r="Y898" i="84"/>
  <c r="Q564" i="84"/>
  <c r="V658" i="84"/>
  <c r="W661" i="84"/>
  <c r="N199" i="84"/>
  <c r="K253" i="84"/>
  <c r="P945" i="84"/>
  <c r="P222" i="84"/>
  <c r="R751" i="84"/>
  <c r="Q147" i="84"/>
  <c r="J26" i="82"/>
  <c r="P656" i="84"/>
  <c r="E130" i="84"/>
  <c r="V242" i="84"/>
  <c r="Z159" i="84"/>
  <c r="BJ402" i="84"/>
  <c r="H39" i="82"/>
  <c r="G461" i="84"/>
  <c r="O630" i="84"/>
  <c r="X843" i="84"/>
  <c r="W344" i="84"/>
  <c r="AF150" i="84"/>
  <c r="P744" i="84"/>
  <c r="E363" i="84"/>
  <c r="F495" i="84"/>
  <c r="Y564" i="84"/>
  <c r="W213" i="84"/>
  <c r="E522" i="84"/>
  <c r="X882" i="84"/>
  <c r="R41" i="82"/>
  <c r="BK539" i="84"/>
  <c r="F708" i="84"/>
  <c r="BK645" i="84"/>
  <c r="BK330" i="84"/>
  <c r="AF298" i="84"/>
  <c r="AM18" i="82"/>
  <c r="R771" i="84"/>
  <c r="R681" i="84"/>
  <c r="BK817" i="84"/>
  <c r="Z630" i="84"/>
  <c r="AZ9" i="82"/>
  <c r="W913" i="84"/>
  <c r="X255" i="84"/>
  <c r="BJ226" i="84"/>
  <c r="E737" i="84"/>
  <c r="AF95" i="84"/>
  <c r="R627" i="84"/>
  <c r="BJ227" i="84"/>
  <c r="BZ21" i="82"/>
  <c r="Y657" i="84"/>
  <c r="N541" i="84"/>
  <c r="X264" i="84"/>
  <c r="R178" i="84"/>
  <c r="O658" i="84"/>
  <c r="AH36" i="82"/>
  <c r="W313" i="84"/>
  <c r="AB44" i="82"/>
  <c r="AJ13" i="82"/>
  <c r="G647" i="84"/>
  <c r="X263" i="84"/>
  <c r="O549" i="84"/>
  <c r="AF911" i="84"/>
  <c r="Z76" i="84"/>
  <c r="Y218" i="84"/>
  <c r="E640" i="84"/>
  <c r="BJ360" i="84"/>
  <c r="AA490" i="84"/>
  <c r="AU44" i="82"/>
  <c r="F44" i="82"/>
  <c r="E567" i="84"/>
  <c r="F809" i="84"/>
  <c r="F712" i="84"/>
  <c r="R887" i="84"/>
  <c r="R900" i="84"/>
  <c r="T534" i="84"/>
  <c r="AF761" i="84"/>
  <c r="W887" i="84"/>
  <c r="BK426" i="84"/>
  <c r="BD11" i="82"/>
  <c r="F73" i="84"/>
  <c r="W280" i="84"/>
  <c r="R75" i="84"/>
  <c r="T623" i="84"/>
  <c r="U242" i="84"/>
  <c r="P89" i="84"/>
  <c r="Y158" i="84"/>
  <c r="O170" i="84"/>
  <c r="AJ17" i="82"/>
  <c r="E45" i="82"/>
  <c r="O76" i="84"/>
  <c r="Y586" i="84"/>
  <c r="G251" i="84"/>
  <c r="BK767" i="84"/>
  <c r="X894" i="84"/>
  <c r="AF776" i="84"/>
  <c r="R45" i="82"/>
  <c r="AF639" i="84"/>
  <c r="Y859" i="84"/>
  <c r="AZ25" i="82"/>
  <c r="E808" i="84"/>
  <c r="W614" i="84"/>
  <c r="J841" i="84"/>
  <c r="R40" i="84"/>
  <c r="BE37" i="82"/>
  <c r="AF547" i="84"/>
  <c r="N40" i="82"/>
  <c r="N176" i="84"/>
  <c r="S176" i="84"/>
  <c r="P153" i="84"/>
  <c r="Z845" i="84"/>
  <c r="Y109" i="84"/>
  <c r="F919" i="84"/>
  <c r="Y393" i="84"/>
  <c r="V288" i="84"/>
  <c r="J84" i="84"/>
  <c r="N583" i="84"/>
  <c r="N65" i="84"/>
  <c r="AN13" i="82"/>
  <c r="F100" i="84"/>
  <c r="G64" i="84"/>
  <c r="AL32" i="82"/>
  <c r="H256" i="84"/>
  <c r="Q692" i="84"/>
  <c r="AF612" i="84"/>
  <c r="BY22" i="82"/>
  <c r="Z943" i="84"/>
  <c r="S281" i="84"/>
  <c r="R901" i="84"/>
  <c r="F431" i="84"/>
  <c r="V176" i="84"/>
  <c r="AG17" i="82"/>
  <c r="L300" i="84"/>
  <c r="Q120" i="84"/>
  <c r="O705" i="84"/>
  <c r="Y810" i="84"/>
  <c r="P317" i="84"/>
  <c r="BK845" i="84"/>
  <c r="O288" i="84"/>
  <c r="T15" i="82"/>
  <c r="X466" i="84"/>
  <c r="W840" i="84"/>
  <c r="O744" i="84"/>
  <c r="G263" i="84"/>
  <c r="BK881" i="84"/>
  <c r="Z588" i="84"/>
  <c r="T573" i="84"/>
  <c r="BQ25" i="82"/>
  <c r="AF165" i="84"/>
  <c r="V36" i="84"/>
  <c r="Z262" i="84"/>
  <c r="T941" i="84"/>
  <c r="Q664" i="84"/>
  <c r="G129" i="84"/>
  <c r="AF949" i="84"/>
  <c r="E866" i="84"/>
  <c r="AA333" i="84"/>
  <c r="T719" i="84"/>
  <c r="AA511" i="84"/>
  <c r="E428" i="84"/>
  <c r="E677" i="84"/>
  <c r="F207" i="84"/>
  <c r="X700" i="84"/>
  <c r="P180" i="84"/>
  <c r="W165" i="84"/>
  <c r="S816" i="84"/>
  <c r="BK114" i="84"/>
  <c r="N10" i="82"/>
  <c r="T957" i="84"/>
  <c r="Q833" i="84"/>
  <c r="AD17" i="82"/>
  <c r="AF234" i="84"/>
  <c r="P887" i="84"/>
  <c r="Y625" i="84"/>
  <c r="AA621" i="84"/>
  <c r="U612" i="84"/>
  <c r="Z742" i="84"/>
  <c r="X959" i="84"/>
  <c r="G723" i="84"/>
  <c r="AF700" i="84"/>
  <c r="Y241" i="84"/>
  <c r="O508" i="84"/>
  <c r="BK15" i="84"/>
  <c r="BZ8" i="82"/>
  <c r="BK818" i="84"/>
  <c r="BK597" i="84"/>
  <c r="E49" i="84"/>
  <c r="BJ478" i="84"/>
  <c r="V26" i="84"/>
  <c r="AY43" i="82"/>
  <c r="Y758" i="84"/>
  <c r="X297" i="84"/>
  <c r="BF23" i="82"/>
  <c r="W544" i="84"/>
  <c r="Q60" i="84"/>
  <c r="BJ19" i="84"/>
  <c r="AY10" i="82"/>
  <c r="V469" i="84"/>
  <c r="O201" i="84"/>
  <c r="Y40" i="84"/>
  <c r="F576" i="84"/>
  <c r="W629" i="84"/>
  <c r="Y959" i="84"/>
  <c r="O168" i="84"/>
  <c r="Z610" i="84"/>
  <c r="BJ741" i="84"/>
  <c r="O485" i="84"/>
  <c r="AQ25" i="82"/>
  <c r="AJ23" i="82"/>
  <c r="O235" i="84"/>
  <c r="AF829" i="84"/>
  <c r="L288" i="84"/>
  <c r="U470" i="84"/>
  <c r="Q186" i="84"/>
  <c r="O467" i="84"/>
  <c r="BJ545" i="84"/>
  <c r="BJ220" i="84"/>
  <c r="T25" i="82"/>
  <c r="W270" i="84"/>
  <c r="BJ221" i="84"/>
  <c r="Z460" i="84"/>
  <c r="G37" i="82"/>
  <c r="BJ777" i="84"/>
  <c r="Z174" i="84"/>
  <c r="BK564" i="84"/>
  <c r="AA349" i="84"/>
  <c r="BJ865" i="84"/>
  <c r="Z568" i="84"/>
  <c r="AF322" i="84"/>
  <c r="R451" i="84"/>
  <c r="R119" i="84"/>
  <c r="BK540" i="84"/>
  <c r="E366" i="84"/>
  <c r="BK943" i="84"/>
  <c r="BJ442" i="84"/>
  <c r="BK269" i="84"/>
  <c r="N422" i="84"/>
  <c r="N566" i="84"/>
  <c r="Y477" i="84"/>
  <c r="Y792" i="84"/>
  <c r="Y848" i="84"/>
  <c r="Q365" i="84"/>
  <c r="V588" i="84"/>
  <c r="S555" i="84"/>
  <c r="BK381" i="84"/>
  <c r="V723" i="84"/>
  <c r="AA419" i="84"/>
  <c r="BJ278" i="84"/>
  <c r="BM46" i="82"/>
  <c r="E906" i="84"/>
  <c r="AA385" i="84"/>
  <c r="G30" i="84"/>
  <c r="F812" i="84"/>
  <c r="H498" i="84"/>
  <c r="S847" i="84"/>
  <c r="BJ897" i="84"/>
  <c r="AF889" i="84"/>
  <c r="N156" i="84"/>
  <c r="Z857" i="84"/>
  <c r="Y703" i="84"/>
  <c r="F420" i="84"/>
  <c r="Z109" i="84"/>
  <c r="J635" i="84"/>
  <c r="BJ806" i="84"/>
  <c r="X519" i="84"/>
  <c r="Q892" i="84"/>
  <c r="AF479" i="84"/>
  <c r="BJ632" i="84"/>
  <c r="X347" i="84"/>
  <c r="AA258" i="84"/>
  <c r="AV46" i="82"/>
  <c r="BK290" i="84"/>
  <c r="BJ397" i="84"/>
  <c r="F81" i="84"/>
  <c r="BK435" i="84"/>
  <c r="W624" i="84"/>
  <c r="S41" i="82"/>
  <c r="O937" i="84"/>
  <c r="N612" i="84"/>
  <c r="S955" i="84"/>
  <c r="BJ734" i="84"/>
  <c r="BJ952" i="84"/>
  <c r="BK333" i="84"/>
  <c r="BJ433" i="84"/>
  <c r="G946" i="84"/>
  <c r="P17" i="82"/>
  <c r="Q21" i="82"/>
  <c r="Z141" i="84"/>
  <c r="J175" i="84"/>
  <c r="R323" i="84"/>
  <c r="BK387" i="84"/>
  <c r="X205" i="84"/>
  <c r="F371" i="84"/>
  <c r="O899" i="84"/>
  <c r="G568" i="84"/>
  <c r="N677" i="84"/>
  <c r="AA169" i="84"/>
  <c r="G670" i="84"/>
  <c r="Y96" i="84"/>
  <c r="BK515" i="84"/>
  <c r="AF855" i="84"/>
  <c r="AA111" i="84"/>
  <c r="BK223" i="84"/>
  <c r="O580" i="84"/>
  <c r="AS12" i="82"/>
  <c r="BK490" i="84"/>
  <c r="G819" i="84"/>
  <c r="W591" i="84"/>
  <c r="Y605" i="84"/>
  <c r="AL30" i="82"/>
  <c r="AF237" i="84"/>
  <c r="Y321" i="84"/>
  <c r="AA21" i="82"/>
  <c r="AA358" i="84"/>
  <c r="L38" i="82"/>
  <c r="AA114" i="84"/>
  <c r="V372" i="84"/>
  <c r="V732" i="84"/>
  <c r="P795" i="84"/>
  <c r="U655" i="84"/>
  <c r="N884" i="84"/>
  <c r="AF559" i="84"/>
  <c r="T580" i="84"/>
  <c r="AA893" i="84"/>
  <c r="M19" i="82"/>
  <c r="Q446" i="84"/>
  <c r="AA761" i="84"/>
  <c r="Y582" i="84"/>
  <c r="G425" i="84"/>
  <c r="Q435" i="84"/>
  <c r="X942" i="84"/>
  <c r="L697" i="84"/>
  <c r="AF129" i="84"/>
  <c r="N951" i="84"/>
  <c r="V786" i="84"/>
  <c r="F43" i="84"/>
  <c r="Z137" i="84"/>
  <c r="G446" i="84"/>
  <c r="T837" i="84"/>
  <c r="F113" i="84"/>
  <c r="AF798" i="84"/>
  <c r="Y27" i="84"/>
  <c r="Q917" i="84"/>
  <c r="Y282" i="84"/>
  <c r="BG36" i="82"/>
  <c r="V75" i="84"/>
  <c r="BK360" i="84"/>
  <c r="AZ22" i="82"/>
  <c r="P268" i="84"/>
  <c r="F589" i="84"/>
  <c r="R38" i="84"/>
  <c r="E493" i="84"/>
  <c r="X891" i="84"/>
  <c r="AS14" i="82"/>
  <c r="G299" i="84"/>
  <c r="Q927" i="84"/>
  <c r="V647" i="84"/>
  <c r="E861" i="84"/>
  <c r="T370" i="84"/>
  <c r="BJ868" i="84"/>
  <c r="AA826" i="84"/>
  <c r="N430" i="84"/>
  <c r="N37" i="82"/>
  <c r="V324" i="84"/>
  <c r="V725" i="84"/>
  <c r="H314" i="84"/>
  <c r="E210" i="84"/>
  <c r="Y320" i="84"/>
  <c r="Z33" i="84"/>
  <c r="AF914" i="84"/>
  <c r="R19" i="82"/>
  <c r="BK156" i="84"/>
  <c r="AD15" i="82"/>
  <c r="G193" i="84"/>
  <c r="Z261" i="84"/>
  <c r="X215" i="84"/>
  <c r="N559" i="84"/>
  <c r="Q946" i="84"/>
  <c r="E510" i="84"/>
  <c r="Q736" i="84"/>
  <c r="P537" i="84"/>
  <c r="AA362" i="84"/>
  <c r="W117" i="84"/>
  <c r="O130" i="84"/>
  <c r="N246" i="84"/>
  <c r="M403" i="84"/>
  <c r="T224" i="84"/>
  <c r="Z230" i="84"/>
  <c r="R326" i="84"/>
  <c r="F86" i="84"/>
  <c r="AJ27" i="82"/>
  <c r="V204" i="84"/>
  <c r="E842" i="84"/>
  <c r="D24" i="82"/>
  <c r="W780" i="84"/>
  <c r="AT15" i="82"/>
  <c r="V860" i="84"/>
  <c r="Z507" i="84"/>
  <c r="AS28" i="82"/>
  <c r="Z900" i="84"/>
  <c r="R723" i="84"/>
  <c r="Y50" i="84"/>
  <c r="W432" i="84"/>
  <c r="R539" i="84"/>
  <c r="U253" i="84"/>
  <c r="BK830" i="84"/>
  <c r="E607" i="84"/>
  <c r="T52" i="84"/>
  <c r="V926" i="84"/>
  <c r="E594" i="84"/>
  <c r="X455" i="84"/>
  <c r="V337" i="84"/>
  <c r="X603" i="84"/>
  <c r="BK122" i="84"/>
  <c r="G354" i="84"/>
  <c r="AF406" i="84"/>
  <c r="Z101" i="84"/>
  <c r="S734" i="84"/>
  <c r="Z203" i="84"/>
  <c r="W310" i="84"/>
  <c r="K711" i="84"/>
  <c r="U444" i="84"/>
  <c r="AA827" i="84"/>
  <c r="P621" i="84"/>
  <c r="Z95" i="84"/>
  <c r="H240" i="84"/>
  <c r="AF792" i="84"/>
  <c r="AA7" i="84"/>
  <c r="AR44" i="82"/>
  <c r="BC10" i="82"/>
  <c r="O387" i="84"/>
  <c r="O229" i="84"/>
  <c r="AF489" i="84"/>
  <c r="BN18" i="82"/>
  <c r="Z666" i="84"/>
  <c r="P646" i="84"/>
  <c r="W318" i="84"/>
  <c r="Y713" i="84"/>
  <c r="T40" i="82"/>
  <c r="W880" i="84"/>
  <c r="E890" i="84"/>
  <c r="Z51" i="84"/>
  <c r="BK55" i="84"/>
  <c r="V730" i="84"/>
  <c r="BJ780" i="84"/>
  <c r="Z288" i="84"/>
  <c r="AF910" i="84"/>
  <c r="BJ512" i="84"/>
  <c r="W227" i="84"/>
  <c r="BJ873" i="84"/>
  <c r="E641" i="84"/>
  <c r="R531" i="84"/>
  <c r="BJ354" i="84"/>
  <c r="AA514" i="84"/>
  <c r="X449" i="84"/>
  <c r="AF136" i="84"/>
  <c r="AF755" i="84"/>
  <c r="AG22" i="82"/>
  <c r="AD33" i="82"/>
  <c r="W859" i="84"/>
  <c r="I903" i="84"/>
  <c r="Z590" i="84"/>
  <c r="AZ15" i="82"/>
  <c r="W147" i="84"/>
  <c r="J548" i="84"/>
  <c r="Y802" i="84"/>
  <c r="AA963" i="84"/>
  <c r="P493" i="84"/>
  <c r="O222" i="84"/>
  <c r="AF436" i="84"/>
  <c r="P380" i="84"/>
  <c r="W917" i="84"/>
  <c r="BM27" i="82"/>
  <c r="X314" i="84"/>
  <c r="BJ688" i="84"/>
  <c r="BK215" i="84"/>
  <c r="BJ600" i="84"/>
  <c r="O128" i="84"/>
  <c r="Z523" i="84"/>
  <c r="O585" i="84"/>
  <c r="W13" i="84"/>
  <c r="V271" i="84"/>
  <c r="X393" i="84"/>
  <c r="W331" i="84"/>
  <c r="BK661" i="84"/>
  <c r="BK130" i="84"/>
  <c r="Q691" i="84"/>
  <c r="F279" i="84"/>
  <c r="BK687" i="84"/>
  <c r="R845" i="84"/>
  <c r="AS16" i="82"/>
  <c r="BJ961" i="84"/>
  <c r="W9" i="84"/>
  <c r="R185" i="84"/>
  <c r="AA338" i="84"/>
  <c r="AF797" i="84"/>
  <c r="Z863" i="84"/>
  <c r="BK70" i="84"/>
  <c r="W26" i="84"/>
  <c r="F871" i="84"/>
  <c r="F844" i="84"/>
  <c r="P546" i="84"/>
  <c r="AA269" i="84"/>
  <c r="V170" i="84"/>
  <c r="L9" i="82"/>
  <c r="Z941" i="84"/>
  <c r="W366" i="84"/>
  <c r="BJ183" i="84"/>
  <c r="BK32" i="84"/>
  <c r="O649" i="84"/>
  <c r="J375" i="84"/>
  <c r="N15" i="84"/>
  <c r="BJ643" i="84"/>
  <c r="E896" i="84"/>
  <c r="BK110" i="84"/>
  <c r="Z670" i="84"/>
  <c r="Z13" i="84"/>
  <c r="BK802" i="84"/>
  <c r="X920" i="84"/>
  <c r="X109" i="84"/>
  <c r="F795" i="84"/>
  <c r="AA765" i="84"/>
  <c r="AA262" i="84"/>
  <c r="BN26" i="82"/>
  <c r="Z15" i="84"/>
  <c r="AX25" i="82"/>
  <c r="AF272" i="84"/>
  <c r="AE43" i="82"/>
  <c r="BJ733" i="84"/>
  <c r="BJ895" i="84"/>
  <c r="Q54" i="84"/>
  <c r="W287" i="84"/>
  <c r="P841" i="84"/>
  <c r="V253" i="84"/>
  <c r="S604" i="84"/>
  <c r="V423" i="84"/>
  <c r="AJ40" i="82"/>
  <c r="V333" i="84"/>
  <c r="V618" i="84"/>
  <c r="S63" i="84"/>
  <c r="BY40" i="82"/>
  <c r="BK907" i="84"/>
  <c r="AA585" i="84"/>
  <c r="BJ39" i="84"/>
  <c r="BJ526" i="84"/>
  <c r="W367" i="84"/>
  <c r="P46" i="82"/>
  <c r="W848" i="84"/>
  <c r="O530" i="84"/>
  <c r="Z391" i="84"/>
  <c r="O406" i="84"/>
  <c r="V663" i="84"/>
  <c r="P859" i="84"/>
  <c r="V129" i="84"/>
  <c r="BJ684" i="84"/>
  <c r="E813" i="84"/>
  <c r="AF514" i="84"/>
  <c r="N95" i="84"/>
  <c r="X714" i="84"/>
  <c r="P364" i="84"/>
  <c r="BY38" i="82"/>
  <c r="S13" i="84"/>
  <c r="N643" i="84"/>
  <c r="N388" i="84"/>
  <c r="K525" i="84"/>
  <c r="F744" i="84"/>
  <c r="Z676" i="84"/>
  <c r="O61" i="84"/>
  <c r="W888" i="84"/>
  <c r="V567" i="84"/>
  <c r="E702" i="84"/>
  <c r="F581" i="84"/>
  <c r="AZ16" i="82"/>
  <c r="G849" i="84"/>
  <c r="AA617" i="84"/>
  <c r="H528" i="84"/>
  <c r="N8" i="84"/>
  <c r="O660" i="84"/>
  <c r="W953" i="84"/>
  <c r="E134" i="84"/>
  <c r="AZ40" i="82"/>
  <c r="Z407" i="84"/>
  <c r="Y965" i="84"/>
  <c r="AA930" i="84"/>
  <c r="Z242" i="84"/>
  <c r="AF203" i="84"/>
  <c r="E44" i="82"/>
  <c r="W589" i="84"/>
  <c r="AF617" i="84"/>
  <c r="V121" i="84"/>
  <c r="G775" i="84"/>
  <c r="BK624" i="84"/>
  <c r="V214" i="84"/>
  <c r="V241" i="84"/>
  <c r="F741" i="84"/>
  <c r="O24" i="82"/>
  <c r="Q59" i="84"/>
  <c r="Q955" i="84"/>
  <c r="R46" i="84"/>
  <c r="X808" i="84"/>
  <c r="F777" i="84"/>
  <c r="AD8" i="82"/>
  <c r="BJ508" i="84"/>
  <c r="R604" i="84"/>
  <c r="AX38" i="82"/>
  <c r="X178" i="84"/>
  <c r="R917" i="84"/>
  <c r="O837" i="84"/>
  <c r="Q34" i="82"/>
  <c r="AF811" i="84"/>
  <c r="E700" i="84"/>
  <c r="W36" i="84"/>
  <c r="V605" i="84"/>
  <c r="AM46" i="82"/>
  <c r="G496" i="84"/>
  <c r="AE16" i="82"/>
  <c r="BK754" i="84"/>
  <c r="Q47" i="84"/>
  <c r="Y459" i="84"/>
  <c r="T672" i="84"/>
  <c r="BK603" i="84"/>
  <c r="AA74" i="84"/>
  <c r="AA678" i="84"/>
  <c r="Y201" i="84"/>
  <c r="BJ469" i="84"/>
  <c r="H24" i="84"/>
  <c r="X558" i="84"/>
  <c r="S246" i="84"/>
  <c r="R555" i="84"/>
  <c r="G718" i="84"/>
  <c r="X767" i="84"/>
  <c r="W62" i="84"/>
  <c r="AW42" i="82"/>
  <c r="M36" i="82"/>
  <c r="T385" i="84"/>
  <c r="AT43" i="82"/>
  <c r="Z766" i="84"/>
  <c r="BK468" i="84"/>
  <c r="AA135" i="84"/>
  <c r="AJ7" i="82"/>
  <c r="AD22" i="82"/>
  <c r="E412" i="84"/>
  <c r="BK627" i="84"/>
  <c r="Q774" i="84"/>
  <c r="BK940" i="84"/>
  <c r="AX46" i="82"/>
  <c r="X524" i="84"/>
  <c r="N147" i="84"/>
  <c r="N371" i="84"/>
  <c r="AN38" i="82"/>
  <c r="X618" i="84"/>
  <c r="F419" i="84"/>
  <c r="AA538" i="84"/>
  <c r="BJ114" i="84"/>
  <c r="P486" i="84"/>
  <c r="AA855" i="84"/>
  <c r="N842" i="84"/>
  <c r="Z928" i="84"/>
  <c r="R285" i="84"/>
  <c r="N331" i="84"/>
  <c r="AF603" i="84"/>
  <c r="N365" i="84"/>
  <c r="R262" i="84"/>
  <c r="BJ586" i="84"/>
  <c r="Q851" i="84"/>
  <c r="BJ809" i="84"/>
  <c r="X222" i="84"/>
  <c r="Q101" i="84"/>
  <c r="O741" i="84"/>
  <c r="BJ382" i="84"/>
  <c r="AA486" i="84"/>
  <c r="S446" i="84"/>
  <c r="Q290" i="84"/>
  <c r="BK424" i="84"/>
  <c r="Y462" i="84"/>
  <c r="AL21" i="82"/>
  <c r="BJ60" i="84"/>
  <c r="G779" i="84"/>
  <c r="X772" i="84"/>
  <c r="AA830" i="84"/>
  <c r="J46" i="82"/>
  <c r="W177" i="84"/>
  <c r="Y474" i="84"/>
  <c r="E31" i="82"/>
  <c r="E671" i="84"/>
  <c r="F319" i="84"/>
  <c r="Z785" i="84"/>
  <c r="AA38" i="84"/>
  <c r="E528" i="84"/>
  <c r="E468" i="84"/>
  <c r="X102" i="84"/>
  <c r="H862" i="84"/>
  <c r="F427" i="84"/>
  <c r="BJ100" i="84"/>
  <c r="H22" i="84"/>
  <c r="W805" i="84"/>
  <c r="V492" i="84"/>
  <c r="AA411" i="84"/>
  <c r="BN16" i="82"/>
  <c r="R939" i="84"/>
  <c r="AF819" i="84"/>
  <c r="O125" i="84"/>
  <c r="F652" i="84"/>
  <c r="BK201" i="84"/>
  <c r="W301" i="84"/>
  <c r="Q889" i="84"/>
  <c r="O693" i="84"/>
  <c r="G661" i="84"/>
  <c r="F214" i="84"/>
  <c r="AF962" i="84"/>
  <c r="AA940" i="84"/>
  <c r="AF555" i="84"/>
  <c r="S414" i="84"/>
  <c r="N300" i="84"/>
  <c r="W691" i="84"/>
  <c r="G871" i="84"/>
  <c r="F884" i="84"/>
  <c r="T921" i="84"/>
  <c r="AA939" i="84"/>
  <c r="K662" i="84"/>
  <c r="AV29" i="82"/>
  <c r="V526" i="84"/>
  <c r="BJ782" i="84"/>
  <c r="E855" i="84"/>
  <c r="L763" i="84"/>
  <c r="N747" i="84"/>
  <c r="G944" i="84"/>
  <c r="AI29" i="82"/>
  <c r="Y36" i="84"/>
  <c r="AF60" i="84"/>
  <c r="BJ605" i="84"/>
  <c r="F848" i="84"/>
  <c r="AA829" i="84"/>
  <c r="AF31" i="82"/>
  <c r="V452" i="84"/>
  <c r="W896" i="84"/>
  <c r="BJ706" i="84"/>
  <c r="O640" i="84"/>
  <c r="AF800" i="84"/>
  <c r="AF933" i="84"/>
  <c r="W466" i="84"/>
  <c r="BK324" i="84"/>
  <c r="X414" i="84"/>
  <c r="P862" i="84"/>
  <c r="AF198" i="84"/>
  <c r="AF766" i="84"/>
  <c r="T32" i="82"/>
  <c r="AB45" i="82"/>
  <c r="O696" i="84"/>
  <c r="W873" i="84"/>
  <c r="F916" i="84"/>
  <c r="L400" i="84"/>
  <c r="X626" i="84"/>
  <c r="L97" i="84"/>
  <c r="W630" i="84"/>
  <c r="Z103" i="84"/>
  <c r="AK21" i="82"/>
  <c r="AK24" i="82"/>
  <c r="AJ24" i="82"/>
  <c r="R332" i="84"/>
  <c r="V616" i="84"/>
  <c r="X284" i="84"/>
  <c r="E560" i="84"/>
  <c r="T21" i="82"/>
  <c r="V770" i="84"/>
  <c r="BK757" i="84"/>
  <c r="O443" i="84"/>
  <c r="AF824" i="84"/>
  <c r="BK163" i="84"/>
  <c r="P542" i="84"/>
  <c r="T153" i="84"/>
  <c r="F9" i="82"/>
  <c r="AA618" i="84"/>
  <c r="BD30" i="82"/>
  <c r="BK429" i="84"/>
  <c r="AF367" i="84"/>
  <c r="V546" i="84"/>
  <c r="BK565" i="84"/>
  <c r="F339" i="84"/>
  <c r="BJ659" i="84"/>
  <c r="C29" i="82"/>
  <c r="P470" i="84"/>
  <c r="R341" i="84"/>
  <c r="F218" i="84"/>
  <c r="BJ510" i="84"/>
  <c r="Y583" i="84"/>
  <c r="V493" i="84"/>
  <c r="BE24" i="82"/>
  <c r="BJ239" i="84"/>
  <c r="BN46" i="82"/>
  <c r="F250" i="84"/>
  <c r="Y644" i="84"/>
  <c r="V775" i="84"/>
  <c r="P690" i="84"/>
  <c r="Z334" i="84"/>
  <c r="BJ58" i="84"/>
  <c r="O165" i="84"/>
  <c r="BK226" i="84"/>
  <c r="AA730" i="84"/>
  <c r="O158" i="84"/>
  <c r="X216" i="84"/>
  <c r="F163" i="84"/>
  <c r="N63" i="84"/>
  <c r="Z884" i="84"/>
  <c r="R781" i="84"/>
  <c r="W562" i="84"/>
  <c r="BK72" i="84"/>
  <c r="Y801" i="84"/>
  <c r="J16" i="82"/>
  <c r="E920" i="84"/>
  <c r="O417" i="84"/>
  <c r="N766" i="84"/>
  <c r="W500" i="84"/>
  <c r="U439" i="84"/>
  <c r="Y696" i="84"/>
  <c r="G395" i="84"/>
  <c r="BJ837" i="84"/>
  <c r="BJ12" i="84"/>
  <c r="BJ932" i="84"/>
  <c r="BJ285" i="84"/>
  <c r="R422" i="84"/>
  <c r="F412" i="84"/>
  <c r="E596" i="84"/>
  <c r="P314" i="84"/>
  <c r="X898" i="84"/>
  <c r="G112" i="84"/>
  <c r="X546" i="84"/>
  <c r="AF152" i="84"/>
  <c r="Z637" i="84"/>
  <c r="Y19" i="84"/>
  <c r="Y355" i="84"/>
  <c r="BK557" i="84"/>
  <c r="W64" i="84"/>
  <c r="N729" i="84"/>
  <c r="BK521" i="84"/>
  <c r="AF207" i="84"/>
  <c r="AF218" i="84"/>
  <c r="P33" i="82"/>
  <c r="W218" i="84"/>
  <c r="BK487" i="84"/>
  <c r="BK814" i="84"/>
  <c r="E472" i="84"/>
  <c r="AQ21" i="82"/>
  <c r="W810" i="84"/>
  <c r="X869" i="84"/>
  <c r="V561" i="84"/>
  <c r="G205" i="84"/>
  <c r="Z718" i="84"/>
  <c r="W677" i="84"/>
  <c r="Z432" i="84"/>
  <c r="V68" i="84"/>
  <c r="T409" i="84"/>
  <c r="O931" i="84"/>
  <c r="X291" i="84"/>
  <c r="H885" i="84"/>
  <c r="AF57" i="84"/>
  <c r="X415" i="84"/>
  <c r="G27" i="82"/>
  <c r="BJ560" i="84"/>
  <c r="AF895" i="84"/>
  <c r="E410" i="84"/>
  <c r="BJ818" i="84"/>
  <c r="Y66" i="84"/>
  <c r="F546" i="84"/>
  <c r="U447" i="84"/>
  <c r="W662" i="84"/>
  <c r="N501" i="84"/>
  <c r="Y212" i="84"/>
  <c r="L15" i="82"/>
  <c r="Y319" i="84"/>
  <c r="V51" i="84"/>
  <c r="F381" i="84"/>
  <c r="P13" i="82"/>
  <c r="X746" i="84"/>
  <c r="Z61" i="84"/>
  <c r="O647" i="84"/>
  <c r="X729" i="84"/>
  <c r="N806" i="84"/>
  <c r="X158" i="84"/>
  <c r="BK397" i="84"/>
  <c r="G666" i="84"/>
  <c r="L762" i="84"/>
  <c r="P29" i="84"/>
  <c r="V814" i="84"/>
  <c r="AA451" i="84"/>
  <c r="Q167" i="84"/>
  <c r="J14" i="82"/>
  <c r="BJ775" i="84"/>
  <c r="AA552" i="84"/>
  <c r="W323" i="84"/>
  <c r="S587" i="84"/>
  <c r="AF449" i="84"/>
  <c r="AA519" i="84"/>
  <c r="BY23" i="82"/>
  <c r="BC12" i="82"/>
  <c r="E112" i="84"/>
  <c r="W482" i="84"/>
  <c r="AP28" i="82"/>
  <c r="O353" i="84"/>
  <c r="X407" i="84"/>
  <c r="O673" i="84"/>
  <c r="AE26" i="82"/>
  <c r="J517" i="84"/>
  <c r="U114" i="84"/>
  <c r="T591" i="84"/>
  <c r="AA767" i="84"/>
  <c r="Y376" i="84"/>
  <c r="W47" i="84"/>
  <c r="N144" i="84"/>
  <c r="BJ638" i="84"/>
  <c r="Q748" i="84"/>
  <c r="P35" i="84"/>
  <c r="BK486" i="84"/>
  <c r="BJ263" i="84"/>
  <c r="BJ467" i="84"/>
  <c r="H275" i="84"/>
  <c r="E712" i="84"/>
  <c r="X770" i="84"/>
  <c r="J377" i="84"/>
  <c r="F521" i="84"/>
  <c r="Z235" i="84"/>
  <c r="BJ593" i="84"/>
  <c r="R710" i="84"/>
  <c r="AK42" i="82"/>
  <c r="X368" i="84"/>
  <c r="E397" i="84"/>
  <c r="BJ86" i="84"/>
  <c r="AA942" i="84"/>
  <c r="AP23" i="82"/>
  <c r="BJ165" i="84"/>
  <c r="F645" i="84"/>
  <c r="AA818" i="84"/>
  <c r="U499" i="84"/>
  <c r="X817" i="84"/>
  <c r="BJ748" i="84"/>
  <c r="X318" i="84"/>
  <c r="BJ483" i="84"/>
  <c r="BE25" i="82"/>
  <c r="Q523" i="84"/>
  <c r="O884" i="84"/>
  <c r="N745" i="84"/>
  <c r="AR17" i="82"/>
  <c r="Z738" i="84"/>
  <c r="AF137" i="84"/>
  <c r="W435" i="84"/>
  <c r="AI18" i="82"/>
  <c r="BJ218" i="84"/>
  <c r="Z138" i="84"/>
  <c r="AF772" i="84"/>
  <c r="O917" i="84"/>
  <c r="BK897" i="84"/>
  <c r="Y882" i="84"/>
  <c r="BQ46" i="82"/>
  <c r="Y316" i="84"/>
  <c r="AA245" i="84"/>
  <c r="AF46" i="84"/>
  <c r="U541" i="84"/>
  <c r="V425" i="84"/>
  <c r="AA211" i="84"/>
  <c r="V720" i="84"/>
  <c r="W943" i="84"/>
  <c r="BJ248" i="84"/>
  <c r="V476" i="84"/>
  <c r="Y421" i="84"/>
  <c r="G589" i="84"/>
  <c r="BK346" i="84"/>
  <c r="Y347" i="84"/>
  <c r="AA508" i="84"/>
  <c r="Q963" i="84"/>
  <c r="AF873" i="84"/>
  <c r="W678" i="84"/>
  <c r="BK904" i="84"/>
  <c r="F449" i="84"/>
  <c r="R717" i="84"/>
  <c r="BK251" i="84"/>
  <c r="X261" i="84"/>
  <c r="N624" i="84"/>
  <c r="W89" i="84"/>
  <c r="E916" i="84"/>
  <c r="BJ538" i="84"/>
  <c r="F439" i="84"/>
  <c r="X227" i="84"/>
  <c r="D23" i="82"/>
  <c r="BJ846" i="84"/>
  <c r="V915" i="84"/>
  <c r="O831" i="84"/>
  <c r="T31" i="82"/>
  <c r="F243" i="84"/>
  <c r="S565" i="84"/>
  <c r="AX23" i="82"/>
  <c r="X580" i="84"/>
  <c r="AE33" i="82"/>
  <c r="V342" i="84"/>
  <c r="L44" i="82"/>
  <c r="X696" i="84"/>
  <c r="W548" i="84"/>
  <c r="AU21" i="82"/>
  <c r="S44" i="82"/>
  <c r="P223" i="84"/>
  <c r="Z77" i="84"/>
  <c r="W715" i="84"/>
  <c r="E328" i="84"/>
  <c r="Y190" i="84"/>
  <c r="J33" i="82"/>
  <c r="E966" i="84"/>
  <c r="AF625" i="84"/>
  <c r="BK281" i="84"/>
  <c r="BJ424" i="84"/>
  <c r="BJ769" i="84"/>
  <c r="G82" i="84"/>
  <c r="W729" i="84"/>
  <c r="W675" i="84"/>
  <c r="AF650" i="84"/>
  <c r="E197" i="84"/>
  <c r="O366" i="84"/>
  <c r="AA886" i="84"/>
  <c r="Z851" i="84"/>
  <c r="W406" i="84"/>
  <c r="BC9" i="82"/>
  <c r="N414" i="84"/>
  <c r="BK961" i="84"/>
  <c r="S804" i="84"/>
  <c r="Z85" i="84"/>
  <c r="Q354" i="84"/>
  <c r="Q850" i="84"/>
  <c r="AF46" i="82"/>
  <c r="W88" i="84"/>
  <c r="V93" i="84"/>
  <c r="AO26" i="82"/>
  <c r="Y806" i="84"/>
  <c r="P163" i="84"/>
  <c r="BK568" i="84"/>
  <c r="R496" i="84"/>
  <c r="X653" i="84"/>
  <c r="AA539" i="84"/>
  <c r="N120" i="84"/>
  <c r="BQ38" i="82"/>
  <c r="AY30" i="82"/>
  <c r="E480" i="84"/>
  <c r="U405" i="84"/>
  <c r="Y706" i="84"/>
  <c r="BJ244" i="84"/>
  <c r="AA637" i="84"/>
  <c r="AF573" i="84"/>
  <c r="AV20" i="82"/>
  <c r="Q38" i="82"/>
  <c r="BJ827" i="84"/>
  <c r="E870" i="84"/>
  <c r="P226" i="84"/>
  <c r="G49" i="84"/>
  <c r="Z952" i="84"/>
  <c r="V206" i="84"/>
  <c r="V157" i="84"/>
  <c r="Z427" i="84"/>
  <c r="D20" i="82"/>
  <c r="F824" i="84"/>
  <c r="BJ358" i="84"/>
  <c r="R265" i="84"/>
  <c r="N376" i="84"/>
  <c r="BK423" i="84"/>
  <c r="AA673" i="84"/>
  <c r="AK38" i="82"/>
  <c r="X438" i="84"/>
  <c r="Z206" i="84"/>
  <c r="AA110" i="84"/>
  <c r="BJ528" i="84"/>
  <c r="BK473" i="84"/>
  <c r="V600" i="84"/>
  <c r="Y411" i="84"/>
  <c r="AF373" i="84"/>
  <c r="AQ32" i="82"/>
  <c r="X473" i="84"/>
  <c r="W317" i="84"/>
  <c r="F104" i="84"/>
  <c r="Y789" i="84"/>
  <c r="AF29" i="84"/>
  <c r="AL27" i="82"/>
  <c r="AA13" i="84"/>
  <c r="X471" i="84"/>
  <c r="BK504" i="84"/>
  <c r="BQ8" i="82"/>
  <c r="V391" i="84"/>
  <c r="X703" i="84"/>
  <c r="BK474" i="84"/>
  <c r="AX15" i="82"/>
  <c r="BZ39" i="82"/>
  <c r="AT11" i="82"/>
  <c r="BJ371" i="84"/>
  <c r="T728" i="84"/>
  <c r="AF927" i="84"/>
  <c r="F566" i="84"/>
  <c r="W444" i="84"/>
  <c r="V385" i="84"/>
  <c r="X742" i="84"/>
  <c r="AA735" i="84"/>
  <c r="BK231" i="84"/>
  <c r="BJ826" i="84"/>
  <c r="X114" i="84"/>
  <c r="AA795" i="84"/>
  <c r="AF376" i="84"/>
  <c r="AF767" i="84"/>
  <c r="X897" i="84"/>
  <c r="BK792" i="84"/>
  <c r="E375" i="84"/>
  <c r="BK913" i="84"/>
  <c r="BJ924" i="84"/>
  <c r="Y35" i="84"/>
  <c r="G618" i="84"/>
  <c r="E148" i="84"/>
  <c r="X206" i="84"/>
  <c r="W928" i="84"/>
  <c r="R459" i="84"/>
  <c r="O512" i="84"/>
  <c r="W115" i="84"/>
  <c r="Y53" i="84"/>
  <c r="X145" i="84"/>
  <c r="W936" i="84"/>
  <c r="AF344" i="84"/>
  <c r="BK678" i="84"/>
  <c r="AA160" i="84"/>
  <c r="AF890" i="84"/>
  <c r="AU16" i="82"/>
  <c r="U466" i="84"/>
  <c r="G392" i="84"/>
  <c r="G888" i="84"/>
  <c r="Z715" i="84"/>
  <c r="F22" i="82"/>
  <c r="Z665" i="84"/>
  <c r="AF675" i="84"/>
  <c r="AN30" i="82"/>
  <c r="N255" i="84"/>
  <c r="T750" i="84"/>
  <c r="E590" i="84"/>
  <c r="BE38" i="82"/>
  <c r="AX40" i="82"/>
  <c r="T8" i="82"/>
  <c r="V810" i="84"/>
  <c r="G257" i="84"/>
  <c r="X683" i="84"/>
  <c r="V632" i="84"/>
  <c r="X352" i="84"/>
  <c r="P233" i="84"/>
  <c r="BJ713" i="84"/>
  <c r="BD45" i="82"/>
  <c r="V97" i="84"/>
  <c r="V32" i="84"/>
  <c r="P367" i="84"/>
  <c r="X786" i="84"/>
  <c r="G47" i="84"/>
  <c r="Z283" i="84"/>
  <c r="X154" i="84"/>
  <c r="R335" i="84"/>
  <c r="E193" i="84"/>
  <c r="X573" i="84"/>
  <c r="AF553" i="84"/>
  <c r="AF268" i="84"/>
  <c r="AF660" i="84"/>
  <c r="Z556" i="84"/>
  <c r="AA11" i="84"/>
  <c r="F466" i="84"/>
  <c r="AG11" i="82"/>
  <c r="AA535" i="84"/>
  <c r="X694" i="84"/>
  <c r="F751" i="84"/>
  <c r="BK760" i="84"/>
  <c r="X487" i="84"/>
  <c r="X884" i="84"/>
  <c r="Z939" i="84"/>
  <c r="R195" i="84"/>
  <c r="P816" i="84"/>
  <c r="X312" i="84"/>
  <c r="X668" i="84"/>
  <c r="W592" i="84"/>
  <c r="Y210" i="84"/>
  <c r="BJ792" i="84"/>
  <c r="O412" i="84"/>
  <c r="AA42" i="84"/>
  <c r="X895" i="84"/>
  <c r="O37" i="82"/>
  <c r="X433" i="84"/>
  <c r="S218" i="84"/>
  <c r="G591" i="84"/>
  <c r="X409" i="84"/>
  <c r="BJ254" i="84"/>
  <c r="AF779" i="84"/>
  <c r="AF538" i="84"/>
  <c r="F763" i="84"/>
  <c r="BJ881" i="84"/>
  <c r="BQ39" i="82"/>
  <c r="R945" i="84"/>
  <c r="BJ686" i="84"/>
  <c r="BK259" i="84"/>
  <c r="F767" i="84"/>
  <c r="G802" i="84"/>
  <c r="AF495" i="84"/>
  <c r="Z190" i="84"/>
  <c r="BK126" i="84"/>
  <c r="BK355" i="84"/>
  <c r="T785" i="84"/>
  <c r="Q802" i="84"/>
  <c r="X390" i="84"/>
  <c r="X305" i="84"/>
  <c r="Y614" i="84"/>
  <c r="AC25" i="82"/>
  <c r="F290" i="84"/>
  <c r="F471" i="84"/>
  <c r="E856" i="84"/>
  <c r="W645" i="84"/>
  <c r="Y867" i="84"/>
  <c r="AG15" i="82"/>
  <c r="BJ567" i="84"/>
  <c r="F538" i="84"/>
  <c r="N614" i="84"/>
  <c r="AF878" i="84"/>
  <c r="AF170" i="84"/>
  <c r="T696" i="84"/>
  <c r="P702" i="84"/>
  <c r="R271" i="84"/>
  <c r="BK629" i="84"/>
  <c r="BF24" i="82"/>
  <c r="O844" i="84"/>
  <c r="AY20" i="82"/>
  <c r="G780" i="84"/>
  <c r="U924" i="84"/>
  <c r="W375" i="84"/>
  <c r="W470" i="84"/>
  <c r="W950" i="84"/>
  <c r="BK794" i="84"/>
  <c r="BK89" i="84"/>
  <c r="X734" i="84"/>
  <c r="Y489" i="84"/>
  <c r="AF454" i="84"/>
  <c r="AF634" i="84"/>
  <c r="AF147" i="84"/>
  <c r="Z946" i="84"/>
  <c r="AF429" i="84"/>
  <c r="F567" i="84"/>
  <c r="BK607" i="84"/>
  <c r="V490" i="84"/>
  <c r="Q421" i="84"/>
  <c r="S659" i="84"/>
  <c r="E439" i="84"/>
  <c r="V240" i="84"/>
  <c r="BJ582" i="84"/>
  <c r="AF358" i="84"/>
  <c r="V283" i="84"/>
  <c r="W695" i="84"/>
  <c r="BG41" i="82"/>
  <c r="F694" i="84"/>
  <c r="V777" i="84"/>
  <c r="Z824" i="84"/>
  <c r="AF138" i="84"/>
  <c r="Y757" i="84"/>
  <c r="X236" i="84"/>
  <c r="Z934" i="84"/>
  <c r="BK924" i="84"/>
  <c r="X135" i="84"/>
  <c r="Y665" i="84"/>
  <c r="W832" i="84"/>
  <c r="AF28" i="84"/>
  <c r="H736" i="84"/>
  <c r="N118" i="84"/>
  <c r="Z368" i="84"/>
  <c r="S650" i="84"/>
  <c r="F633" i="84"/>
  <c r="K919" i="84"/>
  <c r="AF884" i="84"/>
  <c r="BJ714" i="84"/>
  <c r="AF199" i="84"/>
  <c r="BJ319" i="84"/>
  <c r="AA485" i="84"/>
  <c r="AY15" i="82"/>
  <c r="N74" i="84"/>
  <c r="AA604" i="84"/>
  <c r="AW14" i="82"/>
  <c r="BK196" i="84"/>
  <c r="R40" i="82"/>
  <c r="R53" i="84"/>
  <c r="E138" i="84"/>
  <c r="E831" i="84"/>
  <c r="H35" i="82"/>
  <c r="F829" i="84"/>
  <c r="BK189" i="84"/>
  <c r="W302" i="84"/>
  <c r="R37" i="82"/>
  <c r="BJ957" i="84"/>
  <c r="BK206" i="84"/>
  <c r="AC38" i="82"/>
  <c r="E314" i="84"/>
  <c r="Y140" i="84"/>
  <c r="AI45" i="82"/>
  <c r="Z749" i="84"/>
  <c r="Q737" i="84"/>
  <c r="AA105" i="84"/>
  <c r="O437" i="84"/>
  <c r="V917" i="84"/>
  <c r="Z622" i="84"/>
  <c r="S46" i="84"/>
  <c r="T858" i="84"/>
  <c r="P40" i="82"/>
  <c r="P323" i="84"/>
  <c r="E729" i="84"/>
  <c r="E927" i="84"/>
  <c r="W843" i="84"/>
  <c r="E934" i="84"/>
  <c r="K851" i="84"/>
  <c r="BK580" i="84"/>
  <c r="R15" i="82"/>
  <c r="AA509" i="84"/>
  <c r="Z298" i="84"/>
  <c r="Z237" i="84"/>
  <c r="AA679" i="84"/>
  <c r="BK660" i="84"/>
  <c r="N137" i="84"/>
  <c r="AA646" i="84"/>
  <c r="AF299" i="84"/>
  <c r="O13" i="82"/>
  <c r="V134" i="84"/>
  <c r="BK546" i="84"/>
  <c r="V910" i="84"/>
  <c r="W294" i="84"/>
  <c r="BJ833" i="84"/>
  <c r="AR23" i="82"/>
  <c r="V472" i="84"/>
  <c r="Y291" i="84"/>
  <c r="AA671" i="84"/>
  <c r="X83" i="84"/>
  <c r="T789" i="84"/>
  <c r="AF921" i="84"/>
  <c r="V603" i="84"/>
  <c r="AA153" i="84"/>
  <c r="AF583" i="84"/>
  <c r="V769" i="84"/>
  <c r="E253" i="84"/>
  <c r="W212" i="84"/>
  <c r="AA412" i="84"/>
  <c r="E901" i="84"/>
  <c r="X828" i="84"/>
  <c r="X428" i="84"/>
  <c r="V311" i="84"/>
  <c r="N822" i="84"/>
  <c r="BZ38" i="82"/>
  <c r="Z759" i="84"/>
  <c r="Z231" i="84"/>
  <c r="W947" i="84"/>
  <c r="X596" i="84"/>
  <c r="P519" i="84"/>
  <c r="S849" i="84"/>
  <c r="Z908" i="84"/>
  <c r="BK371" i="84"/>
  <c r="BD14" i="82"/>
  <c r="W433" i="84"/>
  <c r="BJ683" i="84"/>
  <c r="BK38" i="84"/>
  <c r="T564" i="84"/>
  <c r="W284" i="84"/>
  <c r="BJ858" i="84"/>
  <c r="G727" i="84"/>
  <c r="G336" i="84"/>
  <c r="BK216" i="84"/>
  <c r="S49" i="84"/>
  <c r="AA566" i="84"/>
  <c r="Y934" i="84"/>
  <c r="Y838" i="84"/>
  <c r="W327" i="84"/>
  <c r="W37" i="84"/>
  <c r="V866" i="84"/>
  <c r="X850" i="84"/>
  <c r="F162" i="84"/>
  <c r="BJ624" i="84"/>
  <c r="R24" i="82"/>
  <c r="Y269" i="84"/>
  <c r="V82" i="84"/>
  <c r="F58" i="84"/>
  <c r="W619" i="84"/>
  <c r="F210" i="84"/>
  <c r="E167" i="84"/>
  <c r="F868" i="84"/>
  <c r="X939" i="84"/>
  <c r="W198" i="84"/>
  <c r="AF698" i="84"/>
  <c r="BJ256" i="84"/>
  <c r="AA98" i="84"/>
  <c r="AA58" i="84"/>
  <c r="O335" i="84"/>
  <c r="BK534" i="84"/>
  <c r="E309" i="84"/>
  <c r="BJ798" i="84"/>
  <c r="AA36" i="84"/>
  <c r="Y819" i="84"/>
  <c r="P423" i="84"/>
  <c r="BK314" i="84"/>
  <c r="AF892" i="84"/>
  <c r="O8" i="82"/>
  <c r="AA282" i="84"/>
  <c r="BJ760" i="84"/>
  <c r="F903" i="84"/>
  <c r="AM7" i="82"/>
  <c r="V960" i="84"/>
  <c r="H40" i="84"/>
  <c r="Z153" i="84"/>
  <c r="BJ131" i="84"/>
  <c r="F578" i="84"/>
  <c r="E426" i="84"/>
  <c r="Y306" i="84"/>
  <c r="P134" i="84"/>
  <c r="W740" i="84"/>
  <c r="O819" i="84"/>
  <c r="O493" i="84"/>
  <c r="AF112" i="84"/>
  <c r="AF679" i="84"/>
  <c r="R460" i="84"/>
  <c r="Z344" i="84"/>
  <c r="N18" i="82"/>
  <c r="V381" i="84"/>
  <c r="O392" i="84"/>
  <c r="Y206" i="84"/>
  <c r="BJ640" i="84"/>
  <c r="W927" i="84"/>
  <c r="V16" i="84"/>
  <c r="G677" i="84"/>
  <c r="D25" i="82"/>
  <c r="AP40" i="82"/>
  <c r="BJ135" i="84"/>
  <c r="Y542" i="84"/>
  <c r="F96" i="84"/>
  <c r="BK685" i="84"/>
  <c r="Y404" i="84"/>
  <c r="Z723" i="84"/>
  <c r="P34" i="84"/>
  <c r="Z49" i="84"/>
  <c r="BD12" i="82"/>
  <c r="W412" i="84"/>
  <c r="V155" i="84"/>
  <c r="BJ723" i="84"/>
  <c r="F8" i="82"/>
  <c r="V24" i="84"/>
  <c r="E15" i="82"/>
  <c r="BK553" i="84"/>
  <c r="O533" i="84"/>
  <c r="T306" i="84"/>
  <c r="P118" i="84"/>
  <c r="P911" i="84"/>
  <c r="F804" i="84"/>
  <c r="BK965" i="84"/>
  <c r="BJ379" i="84"/>
  <c r="F463" i="84"/>
  <c r="X116" i="84"/>
  <c r="X814" i="84"/>
  <c r="AA534" i="84"/>
  <c r="AN22" i="82"/>
  <c r="BK686" i="84"/>
  <c r="W749" i="84"/>
  <c r="X689" i="84"/>
  <c r="G228" i="84"/>
  <c r="AF530" i="84"/>
  <c r="O813" i="84"/>
  <c r="AK16" i="82"/>
  <c r="BJ139" i="84"/>
  <c r="BK115" i="84"/>
  <c r="BK67" i="84"/>
  <c r="E416" i="84"/>
  <c r="Q874" i="84"/>
  <c r="U251" i="84"/>
  <c r="Y193" i="84"/>
  <c r="BJ235" i="84"/>
  <c r="W879" i="84"/>
  <c r="Z805" i="84"/>
  <c r="Y873" i="84"/>
  <c r="Q563" i="84"/>
  <c r="BN44" i="82"/>
  <c r="D45" i="82"/>
  <c r="BK809" i="84"/>
  <c r="E24" i="84"/>
  <c r="BK683" i="84"/>
  <c r="E300" i="84"/>
  <c r="M723" i="84"/>
  <c r="AJ37" i="82"/>
  <c r="G828" i="84"/>
  <c r="V886" i="84"/>
  <c r="R850" i="84"/>
  <c r="E46" i="84"/>
  <c r="O636" i="84"/>
  <c r="V790" i="84"/>
  <c r="BJ634" i="84"/>
  <c r="Q413" i="84"/>
  <c r="G866" i="84"/>
  <c r="N426" i="84"/>
  <c r="AA69" i="84"/>
  <c r="BJ298" i="84"/>
  <c r="AG26" i="82"/>
  <c r="AF433" i="84"/>
  <c r="W251" i="84"/>
  <c r="AF126" i="84"/>
  <c r="BL14" i="82"/>
  <c r="AF901" i="84"/>
  <c r="AL44" i="82"/>
  <c r="Y533" i="84"/>
  <c r="V63" i="84"/>
  <c r="P549" i="84"/>
  <c r="BJ296" i="84"/>
  <c r="O725" i="84"/>
  <c r="V28" i="84"/>
  <c r="G776" i="84"/>
  <c r="BJ871" i="84"/>
  <c r="BJ331" i="84"/>
  <c r="AA567" i="84"/>
  <c r="S21" i="82"/>
  <c r="V500" i="84"/>
  <c r="AM35" i="82"/>
  <c r="BC45" i="82"/>
  <c r="G439" i="84"/>
  <c r="AA456" i="84"/>
  <c r="Y55" i="84"/>
  <c r="AA279" i="84"/>
  <c r="AA310" i="84"/>
  <c r="K43" i="82"/>
  <c r="W127" i="84"/>
  <c r="BK562" i="84"/>
  <c r="AB23" i="82"/>
  <c r="W766" i="84"/>
  <c r="Y682" i="84"/>
  <c r="Q594" i="84"/>
  <c r="V901" i="84"/>
  <c r="BJ77" i="84"/>
  <c r="BK75" i="84"/>
  <c r="AF856" i="84"/>
  <c r="Q266" i="84"/>
  <c r="Y396" i="84"/>
  <c r="BK816" i="84"/>
  <c r="J23" i="82"/>
  <c r="F768" i="84"/>
  <c r="BJ269" i="84"/>
  <c r="V89" i="84"/>
  <c r="X766" i="84"/>
  <c r="BJ308" i="84"/>
  <c r="E131" i="84"/>
  <c r="AB26" i="82"/>
  <c r="W155" i="84"/>
  <c r="Z804" i="84"/>
  <c r="AF763" i="84"/>
  <c r="V735" i="84"/>
  <c r="BL20" i="82"/>
  <c r="E539" i="84"/>
  <c r="BJ531" i="84"/>
  <c r="BJ779" i="84"/>
  <c r="W439" i="84"/>
  <c r="Y709" i="84"/>
  <c r="P257" i="84"/>
  <c r="BK369" i="84"/>
  <c r="AA860" i="84"/>
  <c r="AF300" i="84"/>
  <c r="W634" i="84"/>
  <c r="BJ918" i="84"/>
  <c r="BK530" i="84"/>
  <c r="S409" i="84"/>
  <c r="BK898" i="84"/>
  <c r="P348" i="84"/>
  <c r="X615" i="84"/>
  <c r="BN42" i="82"/>
  <c r="AA78" i="84"/>
  <c r="X424" i="84"/>
  <c r="AF858" i="84"/>
  <c r="BC20" i="82"/>
  <c r="E89" i="84"/>
  <c r="W793" i="84"/>
  <c r="C40" i="82"/>
  <c r="BN11" i="82"/>
  <c r="Y683" i="84"/>
  <c r="N402" i="84"/>
  <c r="Y914" i="84"/>
  <c r="BJ344" i="84"/>
  <c r="U950" i="84"/>
  <c r="J12" i="82"/>
  <c r="V554" i="84"/>
  <c r="BK855" i="84"/>
  <c r="G926" i="84"/>
  <c r="X706" i="84"/>
  <c r="AN7" i="82"/>
  <c r="AA33" i="84"/>
  <c r="BJ784" i="84"/>
  <c r="AN44" i="82"/>
  <c r="AD44" i="82"/>
  <c r="AA799" i="84"/>
  <c r="D41" i="82"/>
  <c r="O622" i="84"/>
  <c r="G35" i="82"/>
  <c r="AA592" i="84"/>
  <c r="L43" i="84"/>
  <c r="J91" i="84"/>
  <c r="Y215" i="84"/>
  <c r="BJ796" i="84"/>
  <c r="H902" i="84"/>
  <c r="D27" i="82"/>
  <c r="T376" i="84"/>
  <c r="G121" i="84"/>
  <c r="Q670" i="84"/>
  <c r="N908" i="84"/>
  <c r="X79" i="84"/>
  <c r="X944" i="84"/>
  <c r="E963" i="84"/>
  <c r="F65" i="84"/>
  <c r="BK393" i="84"/>
  <c r="W96" i="84"/>
  <c r="W403" i="84"/>
  <c r="O683" i="84"/>
  <c r="AA884" i="84"/>
  <c r="E270" i="84"/>
  <c r="BK698" i="84"/>
  <c r="R746" i="84"/>
  <c r="W807" i="84"/>
  <c r="Y691" i="84"/>
  <c r="Y686" i="84"/>
  <c r="O380" i="84"/>
  <c r="N621" i="84"/>
  <c r="F779" i="84"/>
  <c r="BK935" i="84"/>
  <c r="V638" i="84"/>
  <c r="E92" i="84"/>
  <c r="D37" i="82"/>
  <c r="X491" i="84"/>
  <c r="R387" i="84"/>
  <c r="AF37" i="84"/>
  <c r="F20" i="84"/>
  <c r="Y375" i="84"/>
  <c r="AA309" i="84"/>
  <c r="W70" i="84"/>
  <c r="E495" i="84"/>
  <c r="Z727" i="84"/>
  <c r="N383" i="84"/>
  <c r="BM9" i="82"/>
  <c r="BK117" i="84"/>
  <c r="V537" i="84"/>
  <c r="AA237" i="84"/>
  <c r="BK252" i="84"/>
  <c r="V709" i="84"/>
  <c r="T455" i="84"/>
  <c r="L677" i="84"/>
  <c r="V215" i="84"/>
  <c r="BY12" i="82"/>
  <c r="Z960" i="84"/>
  <c r="L582" i="84"/>
  <c r="E245" i="84"/>
  <c r="BJ359" i="84"/>
  <c r="AF588" i="84"/>
  <c r="N779" i="84"/>
  <c r="T956" i="84"/>
  <c r="Z499" i="84"/>
  <c r="AT37" i="82"/>
  <c r="R861" i="84"/>
  <c r="BJ759" i="84"/>
  <c r="E490" i="84"/>
  <c r="W809" i="84"/>
  <c r="U914" i="84"/>
  <c r="AA218" i="84"/>
  <c r="BJ844" i="84"/>
  <c r="BG10" i="82"/>
  <c r="G469" i="84"/>
  <c r="BK905" i="84"/>
  <c r="AA446" i="84"/>
  <c r="X168" i="84"/>
  <c r="H23" i="82"/>
  <c r="F606" i="84"/>
  <c r="T36" i="82"/>
  <c r="W545" i="84"/>
  <c r="AA764" i="84"/>
  <c r="N50" i="84"/>
  <c r="N268" i="84"/>
  <c r="BJ581" i="84"/>
  <c r="T321" i="84"/>
  <c r="BK541" i="84"/>
  <c r="P332" i="84"/>
  <c r="W633" i="84"/>
  <c r="O628" i="84"/>
  <c r="X85" i="84"/>
  <c r="V766" i="84"/>
  <c r="R442" i="84"/>
  <c r="BE35" i="82"/>
  <c r="BK700" i="84"/>
  <c r="D46" i="82"/>
  <c r="AA280" i="84"/>
  <c r="E705" i="84"/>
  <c r="AL36" i="82"/>
  <c r="T209" i="84"/>
  <c r="W487" i="84"/>
  <c r="BJ787" i="84"/>
  <c r="W493" i="84"/>
  <c r="BK446" i="84"/>
  <c r="E875" i="84"/>
  <c r="T112" i="84"/>
  <c r="AM28" i="82"/>
  <c r="AF392" i="84"/>
  <c r="BK656" i="84"/>
  <c r="BK442" i="84"/>
  <c r="T739" i="84"/>
  <c r="T27" i="82"/>
  <c r="BK419" i="84"/>
  <c r="W686" i="84"/>
  <c r="AF853" i="84"/>
  <c r="BK883" i="84"/>
  <c r="BK45" i="84"/>
  <c r="BK129" i="84"/>
  <c r="Z872" i="84"/>
  <c r="BK899" i="84"/>
  <c r="T561" i="84"/>
  <c r="AA510" i="84"/>
  <c r="V523" i="84"/>
  <c r="K517" i="84"/>
  <c r="BK264" i="84"/>
  <c r="V133" i="84"/>
  <c r="Y453" i="84"/>
  <c r="Z828" i="84"/>
  <c r="R686" i="84"/>
  <c r="AC24" i="82"/>
  <c r="Y423" i="84"/>
  <c r="Z366" i="84"/>
  <c r="AA418" i="84"/>
  <c r="Z823" i="84"/>
  <c r="N481" i="84"/>
  <c r="T532" i="84"/>
  <c r="BJ872" i="84"/>
  <c r="E107" i="84"/>
  <c r="BK354" i="84"/>
  <c r="O364" i="84"/>
  <c r="AA887" i="84"/>
  <c r="G333" i="84"/>
  <c r="W718" i="84"/>
  <c r="AF493" i="84"/>
  <c r="H46" i="82"/>
  <c r="Y167" i="84"/>
  <c r="Y844" i="84"/>
  <c r="O17" i="82"/>
  <c r="J72" i="84"/>
  <c r="P588" i="84"/>
  <c r="H29" i="82"/>
  <c r="P600" i="84"/>
  <c r="Z394" i="84"/>
  <c r="V827" i="84"/>
  <c r="BK892" i="84"/>
  <c r="X33" i="84"/>
  <c r="N810" i="84"/>
  <c r="BC27" i="82"/>
  <c r="G296" i="84"/>
  <c r="U966" i="84"/>
  <c r="AA513" i="84"/>
  <c r="O62" i="84"/>
  <c r="G822" i="84"/>
  <c r="V482" i="84"/>
  <c r="Q75" i="84"/>
  <c r="G332" i="84"/>
  <c r="AV10" i="82"/>
  <c r="AF290" i="84"/>
  <c r="F700" i="84"/>
  <c r="N352" i="84"/>
  <c r="BK194" i="84"/>
  <c r="AE36" i="82"/>
  <c r="V183" i="84"/>
  <c r="Q32" i="84"/>
  <c r="E926" i="84"/>
  <c r="V654" i="84"/>
  <c r="F517" i="84"/>
  <c r="S867" i="84"/>
  <c r="P473" i="84"/>
  <c r="N928" i="84"/>
  <c r="V369" i="84"/>
  <c r="W334" i="84"/>
  <c r="X614" i="84"/>
  <c r="S929" i="84"/>
  <c r="F691" i="84"/>
  <c r="AA162" i="84"/>
  <c r="BK787" i="84"/>
  <c r="H746" i="84"/>
  <c r="F818" i="84"/>
  <c r="F155" i="84"/>
  <c r="L827" i="84"/>
  <c r="N562" i="84"/>
  <c r="AC36" i="82"/>
  <c r="V569" i="84"/>
  <c r="P334" i="84"/>
  <c r="O155" i="84"/>
  <c r="R142" i="84"/>
  <c r="R93" i="84"/>
  <c r="AZ10" i="82"/>
  <c r="N922" i="84"/>
  <c r="N532" i="84"/>
  <c r="X460" i="84"/>
  <c r="R504" i="84"/>
  <c r="Y536" i="84"/>
  <c r="T269" i="84"/>
  <c r="AK10" i="82"/>
  <c r="S30" i="82"/>
  <c r="V485" i="84"/>
  <c r="X923" i="84"/>
  <c r="Y679" i="84"/>
  <c r="F15" i="82"/>
  <c r="AD35" i="82"/>
  <c r="Z182" i="84"/>
  <c r="F447" i="84"/>
  <c r="AM31" i="82"/>
  <c r="AF498" i="84"/>
  <c r="O961" i="84"/>
  <c r="Y769" i="84"/>
  <c r="BJ361" i="84"/>
  <c r="H680" i="84"/>
  <c r="E37" i="82"/>
  <c r="BL12" i="82"/>
  <c r="BK320" i="84"/>
  <c r="BK54" i="84"/>
  <c r="V116" i="84"/>
  <c r="AF464" i="84"/>
  <c r="Y643" i="84"/>
  <c r="F280" i="84"/>
  <c r="P203" i="84"/>
  <c r="G38" i="82"/>
  <c r="Y59" i="84"/>
  <c r="Y222" i="84"/>
  <c r="F798" i="84"/>
  <c r="R628" i="84"/>
  <c r="BK335" i="84"/>
  <c r="G462" i="84"/>
  <c r="BJ830" i="84"/>
  <c r="F198" i="84"/>
  <c r="AA936" i="84"/>
  <c r="H186" i="84"/>
  <c r="W494" i="84"/>
  <c r="G7" i="84"/>
  <c r="AF37" i="82"/>
  <c r="Q298" i="84"/>
  <c r="G587" i="84"/>
  <c r="BJ462" i="84"/>
  <c r="AT24" i="82"/>
  <c r="BK856" i="84"/>
  <c r="AM16" i="82"/>
  <c r="X403" i="84"/>
  <c r="X737" i="84"/>
  <c r="Y451" i="84"/>
  <c r="Y366" i="84"/>
  <c r="AY23" i="82"/>
  <c r="Z353" i="84"/>
  <c r="F262" i="84"/>
  <c r="G960" i="84"/>
  <c r="BJ301" i="84"/>
  <c r="AA591" i="84"/>
  <c r="G108" i="84"/>
  <c r="X804" i="84"/>
  <c r="AO38" i="82"/>
  <c r="Z338" i="84"/>
  <c r="I631" i="84"/>
  <c r="Q192" i="84"/>
  <c r="T675" i="84"/>
  <c r="BQ22" i="82"/>
  <c r="N28" i="82"/>
  <c r="BJ629" i="84"/>
  <c r="AH8" i="82"/>
  <c r="AW17" i="82"/>
  <c r="S433" i="84"/>
  <c r="O466" i="84"/>
  <c r="AA37" i="82"/>
  <c r="X791" i="84"/>
  <c r="G706" i="84"/>
  <c r="R56" i="84"/>
  <c r="BJ346" i="84"/>
  <c r="U656" i="84"/>
  <c r="Y723" i="84"/>
  <c r="G522" i="84"/>
  <c r="F107" i="84"/>
  <c r="G138" i="84"/>
  <c r="Q269" i="84"/>
  <c r="L26" i="82"/>
  <c r="Y784" i="84"/>
  <c r="BJ174" i="84"/>
  <c r="X893" i="84"/>
  <c r="BJ534" i="84"/>
  <c r="Z640" i="84"/>
  <c r="W203" i="84"/>
  <c r="Y925" i="84"/>
  <c r="X695" i="84"/>
  <c r="AA73" i="84"/>
  <c r="R880" i="84"/>
  <c r="BA23" i="82"/>
  <c r="AF75" i="84"/>
  <c r="AF919" i="84"/>
  <c r="N190" i="84"/>
  <c r="E463" i="84"/>
  <c r="W106" i="84"/>
  <c r="L45" i="84"/>
  <c r="R117" i="84"/>
  <c r="N768" i="84"/>
  <c r="F662" i="84"/>
  <c r="M942" i="84"/>
  <c r="BK549" i="84"/>
  <c r="BJ118" i="84"/>
  <c r="BK670" i="84"/>
  <c r="F61" i="84"/>
  <c r="AA357" i="84"/>
  <c r="Y553" i="84"/>
  <c r="BQ28" i="82"/>
  <c r="AV25" i="82"/>
  <c r="BJ707" i="84"/>
  <c r="E305" i="84"/>
  <c r="F353" i="84"/>
  <c r="O616" i="84"/>
  <c r="BZ33" i="82"/>
  <c r="BK230" i="84"/>
  <c r="AF751" i="84"/>
  <c r="G955" i="84"/>
  <c r="F915" i="84"/>
  <c r="AA319" i="84"/>
  <c r="BJ236" i="84"/>
  <c r="V301" i="84"/>
  <c r="AF893" i="84"/>
  <c r="E118" i="84"/>
  <c r="BK33" i="84"/>
  <c r="F346" i="84"/>
  <c r="W918" i="84"/>
  <c r="BJ449" i="84"/>
  <c r="Q768" i="84"/>
  <c r="O552" i="84"/>
  <c r="W704" i="84"/>
  <c r="AD41" i="82"/>
  <c r="O162" i="84"/>
  <c r="AE44" i="82"/>
  <c r="BK305" i="84"/>
  <c r="F177" i="84"/>
  <c r="Y75" i="84"/>
  <c r="X376" i="84"/>
  <c r="BC21" i="82"/>
  <c r="X66" i="84"/>
  <c r="Y505" i="84"/>
  <c r="Y126" i="84"/>
  <c r="V481" i="84"/>
  <c r="AA117" i="84"/>
  <c r="Z130" i="84"/>
  <c r="AK22" i="82"/>
  <c r="AF225" i="84"/>
  <c r="BK517" i="84"/>
  <c r="P331" i="84"/>
  <c r="O584" i="84"/>
  <c r="R355" i="84"/>
  <c r="BJ855" i="84"/>
  <c r="E488" i="84"/>
  <c r="BJ283" i="84"/>
  <c r="BJ398" i="84"/>
  <c r="U666" i="84"/>
  <c r="AF52" i="84"/>
  <c r="AF786" i="84"/>
  <c r="BK380" i="84"/>
  <c r="AA428" i="84"/>
  <c r="X42" i="84"/>
  <c r="Y760" i="84"/>
  <c r="W210" i="84"/>
  <c r="Q259" i="84"/>
  <c r="O794" i="84"/>
  <c r="AF214" i="84"/>
  <c r="AA858" i="84"/>
  <c r="AF834" i="84"/>
  <c r="AG28" i="82"/>
  <c r="V433" i="84"/>
  <c r="R294" i="84"/>
  <c r="X202" i="84"/>
  <c r="Z475" i="84"/>
  <c r="P55" i="84"/>
  <c r="AA184" i="84"/>
  <c r="G743" i="84"/>
  <c r="Y890" i="84"/>
  <c r="V46" i="84"/>
  <c r="L546" i="84"/>
  <c r="R234" i="84"/>
  <c r="BK374" i="84"/>
  <c r="AF244" i="84"/>
  <c r="BK276" i="84"/>
  <c r="BK512" i="84"/>
  <c r="F223" i="84"/>
  <c r="BK936" i="84"/>
  <c r="X511" i="84"/>
  <c r="BJ222" i="84"/>
  <c r="O697" i="84"/>
  <c r="Q427" i="84"/>
  <c r="P292" i="84"/>
  <c r="S779" i="84"/>
  <c r="V275" i="84"/>
  <c r="AF193" i="84"/>
  <c r="AA685" i="84"/>
  <c r="E171" i="84"/>
  <c r="Z621" i="84"/>
  <c r="BJ157" i="84"/>
  <c r="BK482" i="84"/>
  <c r="BK858" i="84"/>
  <c r="Z819" i="84"/>
  <c r="V639" i="84"/>
  <c r="AE24" i="82"/>
  <c r="X612" i="84"/>
  <c r="Y165" i="84"/>
  <c r="X477" i="84"/>
  <c r="Z412" i="84"/>
  <c r="P939" i="84"/>
  <c r="BF46" i="82"/>
  <c r="P434" i="84"/>
  <c r="G648" i="84"/>
  <c r="O254" i="84"/>
  <c r="BK238" i="84"/>
  <c r="W46" i="84"/>
  <c r="O928" i="84"/>
  <c r="W886" i="84"/>
  <c r="W934" i="84"/>
  <c r="BK266" i="84"/>
  <c r="BC36" i="82"/>
  <c r="BD13" i="82"/>
  <c r="AZ27" i="82"/>
  <c r="E943" i="84"/>
  <c r="O548" i="84"/>
  <c r="BF42" i="82"/>
  <c r="X833" i="84"/>
  <c r="Z769" i="84"/>
  <c r="P479" i="84"/>
  <c r="N800" i="84"/>
  <c r="E465" i="84"/>
  <c r="AA704" i="84"/>
  <c r="S483" i="84"/>
  <c r="BK294" i="84"/>
  <c r="BK584" i="84"/>
  <c r="F221" i="84"/>
  <c r="P422" i="84"/>
  <c r="W192" i="84"/>
  <c r="AQ22" i="82"/>
  <c r="X294" i="84"/>
  <c r="BJ831" i="84"/>
  <c r="Y909" i="84"/>
  <c r="BM13" i="82"/>
  <c r="BY27" i="82"/>
  <c r="AB42" i="82"/>
  <c r="AG46" i="82"/>
  <c r="O36" i="84"/>
  <c r="AF569" i="84"/>
  <c r="Y902" i="84"/>
  <c r="BK243" i="84"/>
  <c r="E65" i="84"/>
  <c r="Z581" i="84"/>
  <c r="G943" i="84"/>
  <c r="Y607" i="84"/>
  <c r="O341" i="84"/>
  <c r="AR21" i="82"/>
  <c r="P487" i="84"/>
  <c r="AF105" i="84"/>
  <c r="BK510" i="84"/>
  <c r="Y48" i="84"/>
  <c r="V190" i="84"/>
  <c r="AA87" i="84"/>
  <c r="X934" i="84"/>
  <c r="V565" i="84"/>
  <c r="BK253" i="84"/>
  <c r="O14" i="84"/>
  <c r="AA95" i="84"/>
  <c r="N647" i="84"/>
  <c r="BK17" i="84"/>
  <c r="BY7" i="82"/>
  <c r="P24" i="84"/>
  <c r="AE23" i="82"/>
  <c r="W393" i="84"/>
  <c r="V113" i="84"/>
  <c r="G817" i="84"/>
  <c r="F112" i="84"/>
  <c r="BJ930" i="84"/>
  <c r="E531" i="84"/>
  <c r="W380" i="84"/>
  <c r="F116" i="84"/>
  <c r="AA770" i="84"/>
  <c r="BJ747" i="84"/>
  <c r="E8" i="82"/>
  <c r="X429" i="84"/>
  <c r="V727" i="84"/>
  <c r="BK105" i="84"/>
  <c r="Z34" i="84"/>
  <c r="BJ902" i="84"/>
  <c r="F522" i="84"/>
  <c r="BJ694" i="84"/>
  <c r="Y936" i="84"/>
  <c r="W55" i="84"/>
  <c r="AB32" i="82"/>
  <c r="N659" i="84"/>
  <c r="BJ347" i="84"/>
  <c r="P551" i="84"/>
  <c r="S904" i="84"/>
  <c r="P397" i="84"/>
  <c r="H31" i="82"/>
  <c r="P321" i="84"/>
  <c r="X776" i="84"/>
  <c r="BJ704" i="84"/>
  <c r="V642" i="84"/>
  <c r="X854" i="84"/>
  <c r="BK177" i="84"/>
  <c r="BJ697" i="84"/>
  <c r="Y961" i="84"/>
  <c r="X862" i="84"/>
  <c r="X185" i="84"/>
  <c r="BJ491" i="84"/>
  <c r="BA39" i="82"/>
  <c r="Y381" i="84"/>
  <c r="AA684" i="84"/>
  <c r="AF581" i="84"/>
  <c r="E695" i="84"/>
  <c r="AJ10" i="82"/>
  <c r="T256" i="84"/>
  <c r="X661" i="84"/>
  <c r="Y46" i="84"/>
  <c r="E11" i="82"/>
  <c r="BJ494" i="84"/>
  <c r="AA479" i="84"/>
  <c r="BK461" i="84"/>
  <c r="AR33" i="82"/>
  <c r="V410" i="84"/>
  <c r="BK101" i="84"/>
  <c r="BJ162" i="84"/>
  <c r="X34" i="84"/>
  <c r="S214" i="84"/>
  <c r="Z685" i="84"/>
  <c r="Y426" i="84"/>
  <c r="F291" i="84"/>
  <c r="X517" i="84"/>
  <c r="Z917" i="84"/>
  <c r="F878" i="84"/>
  <c r="BJ439" i="84"/>
  <c r="BK885" i="84"/>
  <c r="F400" i="84"/>
  <c r="W642" i="84"/>
  <c r="BK321" i="84"/>
  <c r="Z140" i="84"/>
  <c r="E42" i="84"/>
  <c r="N31" i="82"/>
  <c r="BJ42" i="84"/>
  <c r="AM24" i="82"/>
  <c r="Z763" i="84"/>
  <c r="T802" i="84"/>
  <c r="W363" i="84"/>
  <c r="BK131" i="84"/>
  <c r="AF744" i="84"/>
  <c r="Q392" i="84"/>
  <c r="BK407" i="84"/>
  <c r="F902" i="84"/>
  <c r="V624" i="84"/>
  <c r="Y130" i="84"/>
  <c r="Q280" i="84"/>
  <c r="V136" i="84"/>
  <c r="D36" i="82"/>
  <c r="P789" i="84"/>
  <c r="H350" i="84"/>
  <c r="V371" i="84"/>
  <c r="R240" i="84"/>
  <c r="F190" i="84"/>
  <c r="AC12" i="82"/>
  <c r="AU41" i="82"/>
  <c r="BK516" i="84"/>
  <c r="S523" i="84"/>
  <c r="Z207" i="84"/>
  <c r="AF596" i="84"/>
  <c r="Y71" i="84"/>
  <c r="BJ834" i="84"/>
  <c r="E380" i="84"/>
  <c r="O429" i="84"/>
  <c r="W920" i="84"/>
  <c r="BK526" i="84"/>
  <c r="W248" i="84"/>
  <c r="AA434" i="84"/>
  <c r="F670" i="84"/>
  <c r="BK531" i="84"/>
  <c r="Q730" i="84"/>
  <c r="W800" i="84"/>
  <c r="G34" i="82"/>
  <c r="V19" i="84"/>
  <c r="BJ357" i="84"/>
  <c r="X452" i="84"/>
  <c r="BJ459" i="84"/>
  <c r="E341" i="84"/>
  <c r="G152" i="84"/>
  <c r="Q771" i="84"/>
  <c r="M28" i="82"/>
  <c r="AF882" i="84"/>
  <c r="N906" i="84"/>
  <c r="G777" i="84"/>
  <c r="BY10" i="82"/>
  <c r="X938" i="84"/>
  <c r="V914" i="84"/>
  <c r="AF221" i="84"/>
  <c r="X906" i="84"/>
  <c r="V734" i="84"/>
  <c r="Q211" i="84"/>
  <c r="T938" i="84"/>
  <c r="AA524" i="84"/>
  <c r="T605" i="84"/>
  <c r="W747" i="84"/>
  <c r="BK23" i="84"/>
  <c r="BK633" i="84"/>
  <c r="V942" i="84"/>
  <c r="BJ150" i="84"/>
  <c r="S875" i="84"/>
  <c r="V853" i="84"/>
  <c r="W558" i="84"/>
  <c r="AY11" i="82"/>
  <c r="BK322" i="84"/>
  <c r="BK941" i="84"/>
  <c r="J248" i="84"/>
  <c r="P872" i="84"/>
  <c r="E657" i="84"/>
  <c r="X95" i="84"/>
  <c r="AF775" i="84"/>
  <c r="Y650" i="84"/>
  <c r="Y79" i="84"/>
  <c r="BA14" i="82"/>
  <c r="X637" i="84"/>
  <c r="O193" i="84"/>
  <c r="F664" i="84"/>
  <c r="AA844" i="84"/>
  <c r="R279" i="84"/>
  <c r="BK737" i="84"/>
  <c r="Z682" i="84"/>
  <c r="BK600" i="84"/>
  <c r="AK44" i="82"/>
  <c r="F231" i="84"/>
  <c r="H741" i="84"/>
  <c r="N335" i="84"/>
  <c r="AF508" i="84"/>
  <c r="R641" i="84"/>
  <c r="M618" i="84"/>
  <c r="H463" i="84"/>
  <c r="V281" i="84"/>
  <c r="R765" i="84"/>
  <c r="BJ657" i="84"/>
  <c r="BJ776" i="84"/>
  <c r="F646" i="84"/>
  <c r="W261" i="84"/>
  <c r="N924" i="84"/>
  <c r="H337" i="84"/>
  <c r="BN36" i="82"/>
  <c r="V661" i="84"/>
  <c r="S303" i="84"/>
  <c r="W325" i="84"/>
  <c r="N286" i="84"/>
  <c r="BJ790" i="84"/>
  <c r="G36" i="82"/>
  <c r="AF415" i="84"/>
  <c r="Y436" i="84"/>
  <c r="E301" i="84"/>
  <c r="L204" i="84"/>
  <c r="BK489" i="84"/>
  <c r="E41" i="82"/>
  <c r="BK19" i="84"/>
  <c r="X778" i="84"/>
  <c r="V684" i="84"/>
  <c r="AW26" i="82"/>
  <c r="X652" i="84"/>
  <c r="AA754" i="84"/>
  <c r="BJ568" i="84"/>
  <c r="AF481" i="84"/>
  <c r="BJ466" i="84"/>
  <c r="W123" i="84"/>
  <c r="V811" i="84"/>
  <c r="W963" i="84"/>
  <c r="G52" i="84"/>
  <c r="AF491" i="84"/>
  <c r="W862" i="84"/>
  <c r="BE27" i="82"/>
  <c r="AO33" i="82"/>
  <c r="BK932" i="84"/>
  <c r="X122" i="84"/>
  <c r="S871" i="84"/>
  <c r="Y484" i="84"/>
  <c r="T75" i="84"/>
  <c r="O940" i="84"/>
  <c r="AA391" i="84"/>
  <c r="Q618" i="84"/>
  <c r="BK193" i="84"/>
  <c r="Y162" i="84"/>
  <c r="W296" i="84"/>
  <c r="O55" i="84"/>
  <c r="AF77" i="84"/>
  <c r="BD18" i="82"/>
  <c r="P791" i="84"/>
  <c r="AA295" i="84"/>
  <c r="W604" i="84"/>
  <c r="Y18" i="84"/>
  <c r="V336" i="84"/>
  <c r="G709" i="84"/>
  <c r="P761" i="84"/>
  <c r="Y330" i="84"/>
  <c r="S157" i="84"/>
  <c r="Z252" i="84"/>
  <c r="AA529" i="84"/>
  <c r="BK664" i="84"/>
  <c r="G102" i="84"/>
  <c r="X356" i="84"/>
  <c r="D19" i="82"/>
  <c r="O395" i="84"/>
  <c r="V573" i="84"/>
  <c r="F374" i="84"/>
  <c r="AS38" i="82"/>
  <c r="V847" i="84"/>
  <c r="W350" i="84"/>
  <c r="AC43" i="82"/>
  <c r="AA584" i="84"/>
  <c r="V178" i="84"/>
  <c r="F769" i="84"/>
  <c r="T144" i="84"/>
  <c r="Y448" i="84"/>
  <c r="N961" i="84"/>
  <c r="T259" i="84"/>
  <c r="BK334" i="84"/>
  <c r="G154" i="84"/>
  <c r="BZ42" i="82"/>
  <c r="T237" i="84"/>
  <c r="X7" i="84"/>
  <c r="E627" i="84"/>
  <c r="AN20" i="82"/>
  <c r="W671" i="84"/>
  <c r="O205" i="84"/>
  <c r="G206" i="84"/>
  <c r="X212" i="84"/>
  <c r="AF357" i="84"/>
  <c r="Z901" i="84"/>
  <c r="AF158" i="84"/>
  <c r="Z222" i="84"/>
  <c r="T36" i="84"/>
  <c r="E538" i="84"/>
  <c r="E17" i="82"/>
  <c r="U595" i="84"/>
  <c r="BK327" i="84"/>
  <c r="AA544" i="84"/>
  <c r="BJ899" i="84"/>
  <c r="F333" i="84"/>
  <c r="W631" i="84"/>
  <c r="AT14" i="82"/>
  <c r="P176" i="84"/>
  <c r="Z756" i="84"/>
  <c r="BK148" i="84"/>
  <c r="Q112" i="84"/>
  <c r="Y531" i="84"/>
  <c r="AN17" i="82"/>
  <c r="BA26" i="82"/>
  <c r="E453" i="84"/>
  <c r="W555" i="84"/>
  <c r="Y532" i="84"/>
  <c r="X175" i="84"/>
  <c r="BJ87" i="84"/>
  <c r="BJ328" i="84"/>
  <c r="BK337" i="84"/>
  <c r="BK205" i="84"/>
  <c r="N136" i="84"/>
  <c r="X330" i="84"/>
  <c r="H147" i="84"/>
  <c r="BJ247" i="84"/>
  <c r="P815" i="84"/>
  <c r="V148" i="84"/>
  <c r="Y157" i="84"/>
  <c r="R883" i="84"/>
  <c r="BJ103" i="84"/>
  <c r="AB10" i="82"/>
  <c r="W211" i="84"/>
  <c r="K15" i="82"/>
  <c r="BJ515" i="84"/>
  <c r="BK825" i="84"/>
  <c r="W720" i="84"/>
  <c r="BK157" i="84"/>
  <c r="W76" i="84"/>
  <c r="BK508" i="84"/>
  <c r="W610" i="84"/>
  <c r="W560" i="84"/>
  <c r="Z285" i="84"/>
  <c r="BJ51" i="84"/>
  <c r="AF899" i="84"/>
  <c r="F350" i="84"/>
  <c r="E805" i="84"/>
  <c r="AL8" i="82"/>
  <c r="E568" i="84"/>
  <c r="X300" i="84"/>
  <c r="S598" i="84"/>
  <c r="Q386" i="84"/>
  <c r="AF185" i="84"/>
  <c r="R370" i="84"/>
  <c r="AA722" i="84"/>
  <c r="X481" i="84"/>
  <c r="O154" i="84"/>
  <c r="Q17" i="82"/>
  <c r="BK502" i="84"/>
  <c r="Z855" i="84"/>
  <c r="V355" i="84"/>
  <c r="Z367" i="84"/>
  <c r="S899" i="84"/>
  <c r="Y568" i="84"/>
  <c r="BJ523" i="84"/>
  <c r="AB19" i="82"/>
  <c r="BD38" i="82"/>
  <c r="AZ26" i="82"/>
  <c r="N35" i="82"/>
  <c r="BK144" i="84"/>
  <c r="R862" i="84"/>
  <c r="AF316" i="84"/>
  <c r="T618" i="84"/>
  <c r="G573" i="84"/>
  <c r="BK452" i="84"/>
  <c r="O517" i="84"/>
  <c r="AA951" i="84"/>
  <c r="V84" i="84"/>
  <c r="BJ731" i="84"/>
  <c r="W587" i="84"/>
  <c r="BK773" i="84"/>
  <c r="G473" i="84"/>
  <c r="AF467" i="84"/>
  <c r="W452" i="84"/>
  <c r="BJ781" i="84"/>
  <c r="F347" i="84"/>
  <c r="X394" i="84"/>
  <c r="BQ27" i="82"/>
  <c r="AF870" i="84"/>
  <c r="AA579" i="84"/>
  <c r="X702" i="84"/>
  <c r="E259" i="84"/>
  <c r="W490" i="84"/>
  <c r="Z954" i="84"/>
  <c r="AZ36" i="82"/>
  <c r="BQ9" i="82"/>
  <c r="H662" i="84"/>
  <c r="O860" i="84"/>
  <c r="P924" i="84"/>
  <c r="N731" i="84"/>
  <c r="X177" i="84"/>
  <c r="BJ962" i="84"/>
  <c r="BJ329" i="84"/>
  <c r="AJ29" i="82"/>
  <c r="AA563" i="84"/>
  <c r="Z258" i="84"/>
  <c r="X855" i="84"/>
  <c r="X192" i="84"/>
  <c r="BJ630" i="84"/>
  <c r="AF906" i="84"/>
  <c r="V750" i="84"/>
  <c r="Y389" i="84"/>
  <c r="BK476" i="84"/>
  <c r="S791" i="84"/>
  <c r="V528" i="84"/>
  <c r="BJ386" i="84"/>
  <c r="E732" i="84"/>
  <c r="BK190" i="84"/>
  <c r="X582" i="84"/>
  <c r="Q515" i="84"/>
  <c r="BK234" i="84"/>
  <c r="X39" i="84"/>
  <c r="E39" i="82"/>
  <c r="T373" i="84"/>
  <c r="Q273" i="84"/>
  <c r="BJ555" i="84"/>
  <c r="X835" i="84"/>
  <c r="S435" i="84"/>
  <c r="X137" i="84"/>
  <c r="Y248" i="84"/>
  <c r="T756" i="84"/>
  <c r="F639" i="84"/>
  <c r="Y125" i="84"/>
  <c r="AA21" i="84"/>
  <c r="F786" i="84"/>
  <c r="Z707" i="84"/>
  <c r="BJ718" i="84"/>
  <c r="BK721" i="84"/>
  <c r="BE8" i="82"/>
  <c r="BJ385" i="84"/>
  <c r="F605" i="84"/>
  <c r="BA21" i="82"/>
  <c r="F556" i="84"/>
  <c r="Q479" i="84"/>
  <c r="BK734" i="84"/>
  <c r="BK741" i="84"/>
  <c r="U518" i="84"/>
  <c r="F683" i="84"/>
  <c r="V413" i="84"/>
  <c r="AA150" i="84"/>
  <c r="V849" i="84"/>
  <c r="J187" i="84"/>
  <c r="AA325" i="84"/>
  <c r="Z119" i="84"/>
  <c r="Y121" i="84"/>
  <c r="F410" i="84"/>
  <c r="G807" i="84"/>
  <c r="W24" i="84"/>
  <c r="P391" i="84"/>
  <c r="Z535" i="84"/>
  <c r="O20" i="82"/>
  <c r="BK750" i="84"/>
  <c r="F559" i="84"/>
  <c r="N907" i="84"/>
  <c r="P826" i="84"/>
  <c r="N44" i="84"/>
  <c r="U664" i="84"/>
  <c r="W682" i="84"/>
  <c r="BJ511" i="84"/>
  <c r="BK596" i="84"/>
  <c r="AF330" i="84"/>
  <c r="X239" i="84"/>
  <c r="AI31" i="82"/>
  <c r="AF752" i="84"/>
  <c r="BJ363" i="84"/>
  <c r="N131" i="84"/>
  <c r="Y91" i="84"/>
  <c r="AA472" i="84"/>
  <c r="V55" i="84"/>
  <c r="F679" i="84"/>
  <c r="V108" i="84"/>
  <c r="W521" i="84"/>
  <c r="V209" i="84"/>
  <c r="F16" i="82"/>
  <c r="Q819" i="84"/>
  <c r="BK62" i="84"/>
  <c r="AC16" i="82"/>
  <c r="T24" i="82"/>
  <c r="W424" i="84"/>
  <c r="V715" i="84"/>
  <c r="W511" i="84"/>
  <c r="AX42" i="82"/>
  <c r="E752" i="84"/>
  <c r="X553" i="84"/>
  <c r="V927" i="84"/>
  <c r="F475" i="84"/>
  <c r="AF407" i="84"/>
  <c r="F930" i="84"/>
  <c r="AR43" i="82"/>
  <c r="BJ29" i="84"/>
  <c r="Z550" i="84"/>
  <c r="V331" i="84"/>
  <c r="AW20" i="82"/>
  <c r="G15" i="84"/>
  <c r="Q200" i="84"/>
  <c r="G533" i="84"/>
  <c r="W577" i="84"/>
  <c r="AO13" i="82"/>
  <c r="BJ27" i="84"/>
  <c r="N602" i="84"/>
  <c r="BK626" i="84"/>
  <c r="R516" i="84"/>
  <c r="AF487" i="84"/>
  <c r="P103" i="84"/>
  <c r="AF480" i="84"/>
  <c r="V421" i="84"/>
  <c r="P472" i="84"/>
  <c r="BK759" i="84"/>
  <c r="AF918" i="84"/>
  <c r="X350" i="84"/>
  <c r="BK671" i="84"/>
  <c r="Q688" i="84"/>
  <c r="X826" i="84"/>
  <c r="W249" i="84"/>
  <c r="Z319" i="84"/>
  <c r="E542" i="84"/>
  <c r="P39" i="84"/>
  <c r="A727" i="84"/>
  <c r="C39" i="82"/>
  <c r="BK725" i="84"/>
  <c r="Y899" i="84"/>
  <c r="G665" i="84"/>
  <c r="AA865" i="84"/>
  <c r="W373" i="84"/>
  <c r="Y64" i="84"/>
  <c r="Z387" i="84"/>
  <c r="AA44" i="84"/>
  <c r="Q604" i="84"/>
  <c r="BK632" i="84"/>
  <c r="AF144" i="84"/>
  <c r="W649" i="84"/>
  <c r="G421" i="84"/>
  <c r="AB9" i="82"/>
  <c r="G265" i="84"/>
  <c r="BK652" i="84"/>
  <c r="Z553" i="84"/>
  <c r="R46" i="82"/>
  <c r="AH20" i="82"/>
  <c r="BK302" i="84"/>
  <c r="X741" i="84"/>
  <c r="X868" i="84"/>
  <c r="BJ696" i="84"/>
  <c r="W846" i="84"/>
  <c r="N504" i="84"/>
  <c r="V247" i="84"/>
  <c r="BJ925" i="84"/>
  <c r="BJ900" i="84"/>
  <c r="BJ896" i="84"/>
  <c r="F925" i="84"/>
  <c r="T18" i="82"/>
  <c r="P173" i="84"/>
  <c r="C799" i="84"/>
  <c r="E356" i="84"/>
  <c r="E871" i="84"/>
  <c r="F579" i="84"/>
  <c r="N72" i="84"/>
  <c r="Z541" i="84"/>
  <c r="R490" i="84"/>
  <c r="AA640" i="84"/>
  <c r="Y747" i="84"/>
  <c r="Z91" i="84"/>
  <c r="BJ419" i="84"/>
  <c r="U738" i="84"/>
  <c r="Z874" i="84"/>
  <c r="AF73" i="84"/>
  <c r="Y279" i="84"/>
  <c r="Z395" i="84"/>
  <c r="V186" i="84"/>
  <c r="BC23" i="82"/>
  <c r="P146" i="84"/>
  <c r="N897" i="84"/>
  <c r="Y943" i="84"/>
  <c r="F19" i="82"/>
  <c r="L39" i="82"/>
  <c r="V264" i="84"/>
  <c r="AF196" i="84"/>
  <c r="R532" i="84"/>
  <c r="G881" i="84"/>
  <c r="W481" i="84"/>
  <c r="Z747" i="84"/>
  <c r="Y254" i="84"/>
  <c r="Y960" i="84"/>
  <c r="AA760" i="84"/>
  <c r="Z812" i="84"/>
  <c r="W308" i="84"/>
  <c r="AQ46" i="82"/>
  <c r="P535" i="84"/>
  <c r="Y888" i="84"/>
  <c r="BJ116" i="84"/>
  <c r="AA862" i="84"/>
  <c r="AK36" i="82"/>
  <c r="BJ405" i="84"/>
  <c r="X861" i="84"/>
  <c r="Z922" i="84"/>
  <c r="AA293" i="84"/>
  <c r="P167" i="84"/>
  <c r="BA16" i="82"/>
  <c r="AA140" i="84"/>
  <c r="AA263" i="84"/>
  <c r="Y624" i="84"/>
  <c r="Y597" i="84"/>
  <c r="BJ753" i="84"/>
  <c r="W15" i="84"/>
  <c r="BK378" i="84"/>
  <c r="Y579" i="84"/>
  <c r="BJ245" i="84"/>
  <c r="V146" i="84"/>
  <c r="W790" i="84"/>
  <c r="Y100" i="84"/>
  <c r="Z24" i="84"/>
  <c r="AF806" i="84"/>
  <c r="BM43" i="82"/>
  <c r="N695" i="84"/>
  <c r="V98" i="84"/>
  <c r="Y307" i="84"/>
  <c r="Z830" i="84"/>
  <c r="Q16" i="84"/>
  <c r="J232" i="84"/>
  <c r="AU17" i="82"/>
  <c r="N107" i="84"/>
  <c r="BD32" i="82"/>
  <c r="AF699" i="84"/>
  <c r="Y149" i="84"/>
  <c r="R507" i="84"/>
  <c r="V787" i="84"/>
  <c r="AF857" i="84"/>
  <c r="T28" i="82"/>
  <c r="V511" i="84"/>
  <c r="AA609" i="84"/>
  <c r="P830" i="84"/>
  <c r="K704" i="84"/>
  <c r="Z614" i="84"/>
  <c r="BK837" i="84"/>
  <c r="Q160" i="84"/>
  <c r="N513" i="84"/>
  <c r="E10" i="84"/>
  <c r="F336" i="84"/>
  <c r="Y266" i="84"/>
  <c r="V765" i="84"/>
  <c r="Y57" i="84"/>
  <c r="U194" i="84"/>
  <c r="Z188" i="84"/>
  <c r="N26" i="84"/>
  <c r="AF524" i="84"/>
  <c r="E638" i="84"/>
  <c r="AS39" i="82"/>
  <c r="AF346" i="84"/>
  <c r="AK25" i="82"/>
  <c r="Z848" i="84"/>
  <c r="W44" i="84"/>
  <c r="AF318" i="84"/>
  <c r="BK494" i="84"/>
  <c r="AF844" i="84"/>
  <c r="W225" i="84"/>
  <c r="AA454" i="84"/>
  <c r="J354" i="84"/>
  <c r="BJ692" i="84"/>
  <c r="BK591" i="84"/>
  <c r="BJ800" i="84"/>
  <c r="Z316" i="84"/>
  <c r="V484" i="84"/>
  <c r="N440" i="84"/>
  <c r="F552" i="84"/>
  <c r="R847" i="84"/>
  <c r="BK922" i="84"/>
  <c r="N603" i="84"/>
  <c r="AF494" i="84"/>
  <c r="Z99" i="84"/>
  <c r="E769" i="84"/>
  <c r="BJ853" i="84"/>
  <c r="R27" i="82"/>
  <c r="AA39" i="82"/>
  <c r="AA64" i="84"/>
  <c r="P185" i="84"/>
  <c r="Y175" i="84"/>
  <c r="AF23" i="84"/>
  <c r="AA747" i="84"/>
  <c r="BK172" i="84"/>
  <c r="BJ473" i="84"/>
  <c r="AA159" i="84"/>
  <c r="BJ617" i="84"/>
  <c r="V171" i="84"/>
  <c r="X75" i="84"/>
  <c r="R194" i="84"/>
  <c r="O272" i="84"/>
  <c r="Y504" i="84"/>
  <c r="AY25" i="82"/>
  <c r="V674" i="84"/>
  <c r="Y881" i="84"/>
  <c r="BN8" i="82"/>
  <c r="V325" i="84"/>
  <c r="E23" i="82"/>
  <c r="H9" i="82"/>
  <c r="BJ387" i="84"/>
  <c r="AN24" i="82"/>
  <c r="X547" i="84"/>
  <c r="C891" i="84"/>
  <c r="N511" i="84"/>
  <c r="Z365" i="84"/>
  <c r="F596" i="84"/>
  <c r="BK901" i="84"/>
  <c r="AA164" i="84"/>
  <c r="Y790" i="84"/>
  <c r="X36" i="84"/>
  <c r="W506" i="84"/>
  <c r="L720" i="84"/>
  <c r="BY29" i="82"/>
  <c r="E632" i="84"/>
  <c r="E393" i="84"/>
  <c r="Y839" i="84"/>
  <c r="O9" i="84"/>
  <c r="V556" i="84"/>
  <c r="X904" i="84"/>
  <c r="O101" i="84"/>
  <c r="BK891" i="84"/>
  <c r="BJ288" i="84"/>
  <c r="N257" i="84"/>
  <c r="V394" i="84"/>
  <c r="E802" i="84"/>
  <c r="W359" i="84"/>
  <c r="AF78" i="84"/>
  <c r="F784" i="84"/>
  <c r="AA630" i="84"/>
  <c r="U816" i="84"/>
  <c r="V168" i="84"/>
  <c r="AF123" i="84"/>
  <c r="O618" i="84"/>
  <c r="W329" i="84"/>
  <c r="C45" i="82"/>
  <c r="U317" i="84"/>
  <c r="AY36" i="82"/>
  <c r="X254" i="84"/>
  <c r="I30" i="82"/>
  <c r="AA545" i="84"/>
  <c r="AA181" i="84"/>
  <c r="E302" i="84"/>
  <c r="AP30" i="82"/>
  <c r="Q391" i="84"/>
  <c r="BK762" i="84"/>
  <c r="X130" i="84"/>
  <c r="Z223" i="84"/>
  <c r="Z781" i="84"/>
  <c r="T612" i="84"/>
  <c r="BJ667" i="84"/>
  <c r="BJ418" i="84"/>
  <c r="Q53" i="84"/>
  <c r="AA376" i="84"/>
  <c r="N149" i="84"/>
  <c r="Y551" i="84"/>
  <c r="S216" i="84"/>
  <c r="W536" i="84"/>
  <c r="Z902" i="84"/>
  <c r="V685" i="84"/>
  <c r="Z955" i="84"/>
  <c r="G223" i="84"/>
  <c r="E18" i="84"/>
  <c r="BJ551" i="84"/>
  <c r="AR32" i="82"/>
  <c r="T856" i="84"/>
  <c r="X816" i="84"/>
  <c r="R597" i="84"/>
  <c r="F682" i="84"/>
  <c r="F265" i="84"/>
  <c r="W135" i="84"/>
  <c r="V245" i="84"/>
  <c r="I39" i="82"/>
  <c r="W426" i="84"/>
  <c r="AE46" i="82"/>
  <c r="BJ867" i="84"/>
  <c r="W429" i="84"/>
  <c r="Q35" i="82"/>
  <c r="O14" i="82"/>
  <c r="E329" i="84"/>
  <c r="G168" i="84"/>
  <c r="E436" i="84"/>
  <c r="Y956" i="84"/>
  <c r="AF462" i="84"/>
  <c r="X567" i="84"/>
  <c r="E201" i="84"/>
  <c r="S782" i="84"/>
  <c r="N638" i="84"/>
  <c r="X763" i="84"/>
  <c r="BJ633" i="84"/>
  <c r="AB22" i="82"/>
  <c r="O476" i="84"/>
  <c r="AZ32" i="82"/>
  <c r="J172" i="84"/>
  <c r="E809" i="84"/>
  <c r="BJ167" i="84"/>
  <c r="AF902" i="84"/>
  <c r="E155" i="84"/>
  <c r="BJ48" i="84"/>
  <c r="AA57" i="84"/>
  <c r="Q25" i="82"/>
  <c r="AO21" i="82"/>
  <c r="F309" i="84"/>
  <c r="BK329" i="84"/>
  <c r="Z634" i="84"/>
  <c r="AF519" i="84"/>
  <c r="X896" i="84"/>
  <c r="P833" i="84"/>
  <c r="W842" i="84"/>
  <c r="AF235" i="84"/>
  <c r="BK535" i="84"/>
  <c r="F60" i="84"/>
  <c r="R801" i="84"/>
  <c r="AL43" i="82"/>
  <c r="AF240" i="84"/>
  <c r="W724" i="84"/>
  <c r="Z947" i="84"/>
  <c r="G695" i="84"/>
  <c r="AU29" i="82"/>
  <c r="M638" i="84"/>
  <c r="AQ10" i="82"/>
  <c r="W469" i="84"/>
  <c r="N642" i="84"/>
  <c r="W656" i="84"/>
  <c r="AQ28" i="82"/>
  <c r="P713" i="84"/>
  <c r="V902" i="84"/>
  <c r="E158" i="84"/>
  <c r="AF807" i="84"/>
  <c r="W802" i="84"/>
  <c r="P928" i="84"/>
  <c r="BY20" i="82"/>
  <c r="AA639" i="84"/>
  <c r="AF846" i="84"/>
  <c r="H149" i="84"/>
  <c r="Z768" i="84"/>
  <c r="W663" i="84"/>
  <c r="BJ588" i="84"/>
  <c r="AJ15" i="82"/>
  <c r="E892" i="84"/>
  <c r="X705" i="84"/>
  <c r="Y701" i="84"/>
  <c r="BK154" i="84"/>
  <c r="BK569" i="84"/>
  <c r="BM7" i="82"/>
  <c r="Z36" i="84"/>
  <c r="AA576" i="84"/>
  <c r="BJ563" i="84"/>
  <c r="W476" i="84"/>
  <c r="AA918" i="84"/>
  <c r="Y637" i="84"/>
  <c r="BJ890" i="84"/>
  <c r="AF652" i="84"/>
  <c r="G328" i="84"/>
  <c r="W300" i="84"/>
  <c r="P196" i="84"/>
  <c r="AL42" i="82"/>
  <c r="BJ641" i="84"/>
  <c r="R654" i="84"/>
  <c r="K29" i="82"/>
  <c r="Q818" i="84"/>
  <c r="AF269" i="84"/>
  <c r="X225" i="84"/>
  <c r="E166" i="84"/>
  <c r="X147" i="84"/>
  <c r="BK274" i="84"/>
  <c r="P279" i="84"/>
  <c r="W320" i="84"/>
  <c r="O83" i="84"/>
  <c r="AF307" i="84"/>
  <c r="D12" i="82"/>
  <c r="E923" i="84"/>
  <c r="V808" i="84"/>
  <c r="F855" i="84"/>
  <c r="BJ480" i="84"/>
  <c r="V912" i="84"/>
  <c r="AA156" i="84"/>
  <c r="AL26" i="82"/>
  <c r="P216" i="84"/>
  <c r="R35" i="82"/>
  <c r="F345" i="84"/>
  <c r="BK376" i="84"/>
  <c r="X602" i="84"/>
  <c r="U530" i="84"/>
  <c r="X859" i="84"/>
  <c r="G885" i="84"/>
  <c r="BJ671" i="84"/>
  <c r="AT35" i="82"/>
  <c r="Z615" i="84"/>
  <c r="E799" i="84"/>
  <c r="AF146" i="84"/>
  <c r="V962" i="84"/>
  <c r="E199" i="84"/>
  <c r="BK598" i="84"/>
  <c r="AA866" i="84"/>
  <c r="AA600" i="84"/>
  <c r="O792" i="84"/>
  <c r="Y662" i="84"/>
  <c r="P164" i="84"/>
  <c r="F187" i="84"/>
  <c r="AP16" i="82"/>
  <c r="BM45" i="82"/>
  <c r="BJ507" i="84"/>
  <c r="AF769" i="84"/>
  <c r="V908" i="84"/>
  <c r="G351" i="84"/>
  <c r="V943" i="84"/>
  <c r="X336" i="84"/>
  <c r="O50" i="84"/>
  <c r="W421" i="84"/>
  <c r="Q395" i="84"/>
  <c r="Z905" i="84"/>
  <c r="Y833" i="84"/>
  <c r="BJ374" i="84"/>
  <c r="P615" i="84"/>
  <c r="F159" i="84"/>
  <c r="Z177" i="84"/>
  <c r="AD39" i="82"/>
  <c r="AA256" i="84"/>
  <c r="X557" i="84"/>
  <c r="E508" i="84"/>
  <c r="P568" i="84"/>
  <c r="Z346" i="84"/>
  <c r="F71" i="84"/>
  <c r="BK615" i="84"/>
  <c r="Y945" i="84"/>
  <c r="AA612" i="84"/>
  <c r="W153" i="84"/>
  <c r="Z745" i="84"/>
  <c r="P604" i="84"/>
  <c r="F707" i="84"/>
  <c r="E172" i="84"/>
  <c r="BJ851" i="84"/>
  <c r="G18" i="84"/>
  <c r="O28" i="82"/>
  <c r="BK280" i="84"/>
  <c r="Y678" i="84"/>
  <c r="N464" i="84"/>
  <c r="M774" i="84"/>
  <c r="I8" i="82"/>
  <c r="BJ336" i="84"/>
  <c r="O111" i="84"/>
  <c r="E650" i="84"/>
  <c r="BK61" i="84"/>
  <c r="X736" i="84"/>
  <c r="AJ22" i="82"/>
  <c r="BK784" i="84"/>
  <c r="E194" i="84"/>
  <c r="X99" i="84"/>
  <c r="G22" i="82"/>
  <c r="R36" i="82"/>
  <c r="BK824" i="84"/>
  <c r="X961" i="84"/>
  <c r="W897" i="84"/>
  <c r="I66" i="84"/>
  <c r="F195" i="84"/>
  <c r="E725" i="84"/>
  <c r="BJ323" i="84"/>
  <c r="N428" i="84"/>
  <c r="Y500" i="84"/>
  <c r="E236" i="84"/>
  <c r="R10" i="84"/>
  <c r="Z877" i="84"/>
  <c r="P698" i="84"/>
  <c r="X371" i="84"/>
  <c r="Y725" i="84"/>
  <c r="BK412" i="84"/>
  <c r="AW8" i="82"/>
  <c r="BJ143" i="84"/>
  <c r="H295" i="84"/>
  <c r="Y593" i="84"/>
  <c r="X755" i="84"/>
  <c r="Q251" i="84"/>
  <c r="E962" i="84"/>
  <c r="BK684" i="84"/>
  <c r="BJ836" i="84"/>
  <c r="H670" i="84"/>
  <c r="BJ273" i="84"/>
  <c r="BE43" i="82"/>
  <c r="V466" i="84"/>
  <c r="AA922" i="84"/>
  <c r="BJ456" i="84"/>
  <c r="P503" i="84"/>
  <c r="Y544" i="84"/>
  <c r="X513" i="84"/>
  <c r="V474" i="84"/>
  <c r="BK319" i="84"/>
  <c r="BK83" i="84"/>
  <c r="W909" i="84"/>
  <c r="AA889" i="84"/>
  <c r="O600" i="84"/>
  <c r="BK377" i="84"/>
  <c r="BJ250" i="84"/>
  <c r="BK342" i="84"/>
  <c r="E114" i="84"/>
  <c r="AA393" i="84"/>
  <c r="BK537" i="84"/>
  <c r="R13" i="82"/>
  <c r="Z268" i="84"/>
  <c r="L922" i="84"/>
  <c r="V34" i="84"/>
  <c r="AF440" i="84"/>
  <c r="Z859" i="84"/>
  <c r="AF368" i="84"/>
  <c r="BJ774" i="84"/>
  <c r="Z247" i="84"/>
  <c r="BJ212" i="84"/>
  <c r="X444" i="84"/>
  <c r="O105" i="84"/>
  <c r="AY40" i="82"/>
  <c r="X529" i="84"/>
  <c r="Z314" i="84"/>
  <c r="BK240" i="84"/>
  <c r="X687" i="84"/>
  <c r="P908" i="84"/>
  <c r="BK763" i="84"/>
  <c r="Z168" i="84"/>
  <c r="BK152" i="84"/>
  <c r="T527" i="84"/>
  <c r="F37" i="84"/>
  <c r="AF340" i="84"/>
  <c r="S377" i="84"/>
  <c r="Y770" i="84"/>
  <c r="S11" i="82"/>
  <c r="BK842" i="84"/>
  <c r="AW16" i="82"/>
  <c r="F730" i="84"/>
  <c r="W45" i="84"/>
  <c r="BK111" i="84"/>
  <c r="BK635" i="84"/>
  <c r="X88" i="84"/>
  <c r="AG35" i="82"/>
  <c r="X748" i="84"/>
  <c r="O43" i="82"/>
  <c r="P672" i="84"/>
  <c r="P165" i="84"/>
  <c r="BJ471" i="84"/>
  <c r="Y718" i="84"/>
  <c r="AF527" i="84"/>
  <c r="X149" i="84"/>
  <c r="W726" i="84"/>
  <c r="V805" i="84"/>
  <c r="G236" i="84"/>
  <c r="P400" i="84"/>
  <c r="AF465" i="84"/>
  <c r="W400" i="84"/>
  <c r="J37" i="82"/>
  <c r="X794" i="84"/>
  <c r="W417" i="84"/>
  <c r="BJ350" i="84"/>
  <c r="F35" i="82"/>
  <c r="BK109" i="84"/>
  <c r="S373" i="84"/>
  <c r="AA244" i="84"/>
  <c r="BK642" i="84"/>
  <c r="AZ18" i="82"/>
  <c r="G186" i="84"/>
  <c r="Z937" i="84"/>
  <c r="BY37" i="82"/>
  <c r="G625" i="84"/>
  <c r="F361" i="84"/>
  <c r="BJ320" i="84"/>
  <c r="G361" i="84"/>
  <c r="X189" i="84"/>
  <c r="X739" i="84"/>
  <c r="Z846" i="84"/>
  <c r="BA19" i="82"/>
  <c r="BJ414" i="84"/>
  <c r="X693" i="84"/>
  <c r="AK14" i="82"/>
  <c r="X655" i="84"/>
  <c r="BJ474" i="84"/>
  <c r="V620" i="84"/>
  <c r="T218" i="84"/>
  <c r="W409" i="84"/>
  <c r="V213" i="84"/>
  <c r="A599" i="84"/>
  <c r="AA403" i="84"/>
  <c r="Z291" i="84"/>
  <c r="N741" i="84"/>
  <c r="H789" i="84"/>
  <c r="BJ384" i="84"/>
  <c r="V27" i="84"/>
  <c r="F314" i="84"/>
  <c r="N538" i="84"/>
  <c r="W515" i="84"/>
  <c r="AH38" i="82"/>
  <c r="O810" i="84"/>
  <c r="R562" i="84"/>
  <c r="V640" i="84"/>
  <c r="BK279" i="84"/>
  <c r="AO35" i="82"/>
  <c r="X213" i="84"/>
  <c r="AA478" i="84"/>
  <c r="K546" i="84"/>
  <c r="F27" i="82"/>
  <c r="V386" i="84"/>
  <c r="AF301" i="84"/>
  <c r="BJ45" i="84"/>
  <c r="X14" i="84"/>
  <c r="L8" i="82"/>
  <c r="O39" i="82"/>
  <c r="F658" i="84"/>
  <c r="BK219" i="84"/>
  <c r="BK771" i="84"/>
  <c r="BJ882" i="84"/>
  <c r="Y418" i="84"/>
  <c r="AA669" i="84"/>
  <c r="E513" i="84"/>
  <c r="BK14" i="84"/>
  <c r="BK925" i="84"/>
  <c r="W378" i="84"/>
  <c r="AF680" i="84"/>
  <c r="X935" i="84"/>
  <c r="BK744" i="84"/>
  <c r="BK212" i="84"/>
  <c r="AA582" i="84"/>
  <c r="V321" i="84"/>
  <c r="N32" i="82"/>
  <c r="BJ209" i="84"/>
  <c r="X846" i="84"/>
  <c r="X949" i="84"/>
  <c r="BK207" i="84"/>
  <c r="AO45" i="82"/>
  <c r="Z525" i="84"/>
  <c r="BJ431" i="84"/>
  <c r="R941" i="84"/>
  <c r="G520" i="84"/>
  <c r="P785" i="84"/>
  <c r="AF785" i="84"/>
  <c r="Z212" i="84"/>
  <c r="AA426" i="84"/>
  <c r="R33" i="82"/>
  <c r="BK127" i="84"/>
  <c r="AA298" i="84"/>
  <c r="F46" i="82"/>
  <c r="L27" i="82"/>
  <c r="W655" i="84"/>
  <c r="BY39" i="82"/>
  <c r="X451" i="84"/>
  <c r="AR30" i="82"/>
  <c r="F434" i="84"/>
  <c r="L876" i="84"/>
  <c r="W146" i="84"/>
  <c r="F721" i="84"/>
  <c r="AF741" i="84"/>
  <c r="Y594" i="84"/>
  <c r="E170" i="84"/>
  <c r="Y274" i="84"/>
  <c r="F341" i="84"/>
  <c r="N795" i="84"/>
  <c r="N707" i="84"/>
  <c r="W672" i="84"/>
  <c r="U533" i="84"/>
  <c r="V950" i="84"/>
  <c r="F870" i="84"/>
  <c r="E278" i="84"/>
  <c r="BK12" i="84"/>
  <c r="Y629" i="84"/>
  <c r="G313" i="84"/>
  <c r="Y676" i="84"/>
  <c r="F714" i="84"/>
  <c r="R598" i="84"/>
  <c r="G250" i="84"/>
  <c r="R159" i="84"/>
  <c r="BK705" i="84"/>
  <c r="AF82" i="84"/>
  <c r="Z816" i="84"/>
  <c r="E279" i="84"/>
  <c r="BJ21" i="84"/>
  <c r="R22" i="84"/>
  <c r="N399" i="84"/>
  <c r="BJ276" i="84"/>
  <c r="BJ655" i="84"/>
  <c r="BJ111" i="84"/>
  <c r="P877" i="84"/>
  <c r="BK797" i="84"/>
  <c r="P265" i="84"/>
  <c r="E283" i="84"/>
  <c r="BJ613" i="84"/>
  <c r="BK447" i="84"/>
  <c r="BK840" i="84"/>
  <c r="BJ840" i="84"/>
  <c r="BJ310" i="84"/>
  <c r="V274" i="84"/>
  <c r="K40" i="82"/>
  <c r="BQ23" i="82"/>
  <c r="X752" i="84"/>
  <c r="S147" i="84"/>
  <c r="AA520" i="84"/>
  <c r="Z357" i="84"/>
  <c r="P624" i="84"/>
  <c r="P291" i="84"/>
  <c r="BK948" i="84"/>
  <c r="BJ490" i="84"/>
  <c r="H810" i="84"/>
  <c r="BK448" i="84"/>
  <c r="BK640" i="84"/>
  <c r="V922" i="84"/>
  <c r="BK704" i="84"/>
  <c r="F330" i="84"/>
  <c r="BG42" i="82"/>
  <c r="M458" i="84"/>
  <c r="X418" i="84"/>
  <c r="AF618" i="84"/>
  <c r="V362" i="84"/>
  <c r="S924" i="84"/>
  <c r="F827" i="84"/>
  <c r="X26" i="84"/>
  <c r="Z453" i="84"/>
  <c r="P840" i="84"/>
  <c r="AF51" i="84"/>
  <c r="AK31" i="82"/>
  <c r="U859" i="84"/>
  <c r="R362" i="84"/>
  <c r="AU11" i="82"/>
  <c r="E491" i="84"/>
  <c r="X27" i="84"/>
  <c r="O474" i="84"/>
  <c r="AA10" i="84"/>
  <c r="W451" i="84"/>
  <c r="X754" i="84"/>
  <c r="X53" i="84"/>
  <c r="AF257" i="84"/>
  <c r="S347" i="84"/>
  <c r="O804" i="84"/>
  <c r="E811" i="84"/>
  <c r="M58" i="84"/>
  <c r="Y807" i="84"/>
  <c r="O589" i="84"/>
  <c r="W501" i="84"/>
  <c r="X60" i="84"/>
  <c r="BJ214" i="84"/>
  <c r="Y169" i="84"/>
  <c r="P552" i="84"/>
  <c r="W56" i="84"/>
  <c r="O848" i="84"/>
  <c r="E681" i="84"/>
  <c r="F428" i="84"/>
  <c r="BA31" i="82"/>
  <c r="W169" i="84"/>
  <c r="G574" i="84"/>
  <c r="W792" i="84"/>
  <c r="AA209" i="84"/>
  <c r="BJ628" i="84"/>
  <c r="G16" i="82"/>
  <c r="W914" i="84"/>
  <c r="V254" i="84"/>
  <c r="X251" i="84"/>
  <c r="AA329" i="84"/>
  <c r="N703" i="84"/>
  <c r="G89" i="84"/>
  <c r="P550" i="84"/>
  <c r="N121" i="84"/>
  <c r="Q901" i="84"/>
  <c r="U614" i="84"/>
  <c r="J965" i="84"/>
  <c r="P385" i="84"/>
  <c r="W399" i="84"/>
  <c r="BF25" i="82"/>
  <c r="N493" i="84"/>
  <c r="BF37" i="82"/>
  <c r="AF585" i="84"/>
  <c r="F194" i="84"/>
  <c r="Y146" i="84"/>
  <c r="V498" i="84"/>
  <c r="V361" i="84"/>
  <c r="Q434" i="84"/>
  <c r="AF85" i="84"/>
  <c r="V562" i="84"/>
  <c r="AF256" i="84"/>
  <c r="Y933" i="84"/>
  <c r="W25" i="84"/>
  <c r="AA34" i="84"/>
  <c r="AA904" i="84"/>
  <c r="F424" i="84"/>
  <c r="AA629" i="84"/>
  <c r="G912" i="84"/>
  <c r="Z643" i="84"/>
  <c r="BJ453" i="84"/>
  <c r="D42" i="82"/>
  <c r="AF630" i="84"/>
  <c r="G772" i="84"/>
  <c r="S755" i="84"/>
  <c r="V512" i="84"/>
  <c r="BK313" i="84"/>
  <c r="AF845" i="84"/>
  <c r="E101" i="84"/>
  <c r="AF880" i="84"/>
  <c r="G225" i="84"/>
  <c r="E949" i="84"/>
  <c r="Y726" i="84"/>
  <c r="BJ445" i="84"/>
  <c r="O776" i="84"/>
  <c r="BM26" i="82"/>
  <c r="AA693" i="84"/>
  <c r="Z731" i="84"/>
  <c r="AD11" i="82"/>
  <c r="T781" i="84"/>
  <c r="E670" i="84"/>
  <c r="Q813" i="84"/>
  <c r="G664" i="84"/>
  <c r="Z543" i="84"/>
  <c r="AZ21" i="82"/>
  <c r="E548" i="84"/>
  <c r="P463" i="84"/>
  <c r="BK921" i="84"/>
  <c r="AO17" i="82"/>
  <c r="Q829" i="84"/>
  <c r="W951" i="84"/>
  <c r="Z923" i="84"/>
  <c r="AF91" i="84"/>
  <c r="X131" i="84"/>
  <c r="W319" i="84"/>
  <c r="N235" i="84"/>
  <c r="N870" i="84"/>
  <c r="AA321" i="84"/>
  <c r="AA713" i="84"/>
  <c r="O949" i="84"/>
  <c r="R813" i="84"/>
  <c r="AA675" i="84"/>
  <c r="BJ403" i="84"/>
  <c r="Y29" i="84"/>
  <c r="Z73" i="84"/>
  <c r="S463" i="84"/>
  <c r="W94" i="84"/>
  <c r="AA317" i="84"/>
  <c r="G558" i="84"/>
  <c r="S383" i="84"/>
  <c r="AF56" i="84"/>
  <c r="F560" i="84"/>
  <c r="X223" i="84"/>
  <c r="E536" i="84"/>
  <c r="W542" i="84"/>
  <c r="E349" i="84"/>
  <c r="W925" i="84"/>
  <c r="BM15" i="82"/>
  <c r="BJ314" i="84"/>
  <c r="N591" i="84"/>
  <c r="X392" i="84"/>
  <c r="AA271" i="84"/>
  <c r="W58" i="84"/>
  <c r="BA8" i="82"/>
  <c r="AE10" i="82"/>
  <c r="BK409" i="84"/>
  <c r="BJ492" i="84"/>
  <c r="AA498" i="84"/>
  <c r="E520" i="84"/>
  <c r="Z878" i="84"/>
  <c r="AF125" i="84"/>
  <c r="AA549" i="84"/>
  <c r="A855" i="84"/>
  <c r="W652" i="84"/>
  <c r="Z100" i="84"/>
  <c r="AF871" i="84"/>
  <c r="Y356" i="84"/>
  <c r="Q613" i="84"/>
  <c r="P846" i="84"/>
  <c r="O509" i="84"/>
  <c r="F275" i="84"/>
  <c r="N744" i="84"/>
  <c r="X908" i="84"/>
  <c r="AF63" i="84"/>
  <c r="BJ372" i="84"/>
  <c r="AP39" i="82"/>
  <c r="AA413" i="84"/>
  <c r="X76" i="84"/>
  <c r="AM13" i="82"/>
  <c r="L596" i="84"/>
  <c r="X958" i="84"/>
  <c r="BJ870" i="84"/>
  <c r="BA7" i="82"/>
  <c r="E767" i="84"/>
  <c r="AA380" i="84"/>
  <c r="P834" i="84"/>
  <c r="F678" i="84"/>
  <c r="BK831" i="84"/>
  <c r="V344" i="84"/>
  <c r="AC40" i="82"/>
  <c r="W617" i="84"/>
  <c r="Y645" i="84"/>
  <c r="E834" i="84"/>
  <c r="Y422" i="84"/>
  <c r="P155" i="84"/>
  <c r="P681" i="84"/>
  <c r="P531" i="84"/>
  <c r="W574" i="84"/>
  <c r="F478" i="84"/>
  <c r="Z186" i="84"/>
  <c r="F11" i="82"/>
  <c r="X71" i="84"/>
  <c r="Z94" i="84"/>
  <c r="P805" i="84"/>
  <c r="G842" i="84"/>
  <c r="L837" i="84"/>
  <c r="X646" i="84"/>
  <c r="X912" i="84"/>
  <c r="AB16" i="82"/>
  <c r="AF642" i="84"/>
  <c r="AF24" i="82"/>
  <c r="W540" i="84"/>
  <c r="Q409" i="84"/>
  <c r="AA11" i="82"/>
  <c r="P882" i="84"/>
  <c r="BJ246" i="84"/>
  <c r="BJ415" i="84"/>
  <c r="A569" i="84"/>
  <c r="Z694" i="84"/>
  <c r="P339" i="84"/>
  <c r="F157" i="84"/>
  <c r="G203" i="84"/>
  <c r="Q343" i="84"/>
  <c r="E357" i="84"/>
  <c r="BJ585" i="84"/>
  <c r="BK781" i="84"/>
  <c r="W41" i="84"/>
  <c r="E525" i="84"/>
  <c r="Q326" i="84"/>
  <c r="AF29" i="82"/>
  <c r="R842" i="84"/>
  <c r="N158" i="84"/>
  <c r="AE9" i="82"/>
  <c r="AF348" i="84"/>
  <c r="W464" i="84"/>
  <c r="BJ646" i="84"/>
  <c r="O133" i="84"/>
  <c r="V825" i="84"/>
  <c r="AF727" i="84"/>
  <c r="AA207" i="84"/>
  <c r="H747" i="84"/>
  <c r="AA115" i="84"/>
  <c r="AA398" i="84"/>
  <c r="AZ38" i="82"/>
  <c r="BJ536" i="84"/>
  <c r="Y97" i="84"/>
  <c r="H653" i="84"/>
  <c r="Z157" i="84"/>
  <c r="Y661" i="84"/>
  <c r="W895" i="84"/>
  <c r="Q33" i="84"/>
  <c r="W247" i="84"/>
  <c r="AA805" i="84"/>
  <c r="R283" i="84"/>
  <c r="V629" i="84"/>
  <c r="BK710" i="84"/>
  <c r="Z476" i="84"/>
  <c r="X497" i="84"/>
  <c r="AA171" i="84"/>
  <c r="AF62" i="84"/>
  <c r="E403" i="84"/>
  <c r="V700" i="84"/>
  <c r="P9" i="82"/>
  <c r="P191" i="84"/>
  <c r="BK96" i="84"/>
  <c r="AA86" i="84"/>
  <c r="BK357" i="84"/>
  <c r="Z361" i="84"/>
  <c r="V547" i="84"/>
  <c r="G40" i="82"/>
  <c r="BJ151" i="84"/>
  <c r="Y918" i="84"/>
  <c r="P547" i="84"/>
  <c r="N940" i="84"/>
  <c r="X496" i="84"/>
  <c r="BK933" i="84"/>
  <c r="AA711" i="84"/>
  <c r="X867" i="84"/>
  <c r="Y520" i="84"/>
  <c r="F88" i="84"/>
  <c r="BK181" i="84"/>
  <c r="V711" i="84"/>
  <c r="V278" i="84"/>
  <c r="BQ24" i="82"/>
  <c r="X339" i="84"/>
  <c r="X345" i="84"/>
  <c r="BK811" i="84"/>
  <c r="W465" i="84"/>
  <c r="BK139" i="84"/>
  <c r="BA28" i="82"/>
  <c r="K41" i="82"/>
  <c r="BK309" i="84"/>
  <c r="Z538" i="84"/>
  <c r="W180" i="84"/>
  <c r="AA662" i="84"/>
  <c r="Y877" i="84"/>
  <c r="Y901" i="84"/>
  <c r="E419" i="84"/>
  <c r="G840" i="84"/>
  <c r="X100" i="84"/>
  <c r="F429" i="84"/>
  <c r="X613" i="84"/>
  <c r="AA638" i="84"/>
  <c r="AF375" i="84"/>
  <c r="G362" i="84"/>
  <c r="X21" i="84"/>
  <c r="BJ426" i="84"/>
  <c r="BZ14" i="82"/>
  <c r="BJ504" i="84"/>
  <c r="P845" i="84"/>
  <c r="W322" i="84"/>
  <c r="I35" i="82"/>
  <c r="BK950" i="84"/>
  <c r="AF15" i="84"/>
  <c r="W565" i="84"/>
  <c r="AX7" i="82"/>
  <c r="T299" i="84"/>
  <c r="AF113" i="84"/>
  <c r="BJ880" i="84"/>
  <c r="F379" i="84"/>
  <c r="BJ539" i="84"/>
  <c r="E232" i="84"/>
  <c r="Z821" i="84"/>
  <c r="AG14" i="82"/>
  <c r="R464" i="84"/>
  <c r="F852" i="84"/>
  <c r="M32" i="82"/>
  <c r="AA346" i="84"/>
  <c r="V706" i="84"/>
  <c r="Z342" i="84"/>
  <c r="E673" i="84"/>
  <c r="V923" i="84"/>
  <c r="AB17" i="82"/>
  <c r="AF140" i="84"/>
  <c r="BJ839" i="84"/>
  <c r="Q821" i="84"/>
  <c r="Q218" i="84"/>
  <c r="Z703" i="84"/>
  <c r="W140" i="84"/>
  <c r="AA606" i="84"/>
  <c r="E294" i="84"/>
  <c r="Y263" i="84"/>
  <c r="BJ475" i="84"/>
  <c r="Y834" i="84"/>
  <c r="O796" i="84"/>
  <c r="W696" i="84"/>
  <c r="R596" i="84"/>
  <c r="X45" i="84"/>
  <c r="BK169" i="84"/>
  <c r="V559" i="84"/>
  <c r="W738" i="84"/>
  <c r="S203" i="84"/>
  <c r="N21" i="82"/>
  <c r="Y331" i="84"/>
  <c r="P823" i="84"/>
  <c r="X721" i="84"/>
  <c r="O521" i="84"/>
  <c r="Q37" i="82"/>
  <c r="F890" i="84"/>
  <c r="P451" i="84"/>
  <c r="N683" i="84"/>
  <c r="T700" i="84"/>
  <c r="O332" i="84"/>
  <c r="Q499" i="84"/>
  <c r="BK650" i="84"/>
  <c r="Y689" i="84"/>
  <c r="W193" i="84"/>
  <c r="X788" i="84"/>
  <c r="L10" i="82"/>
  <c r="BK221" i="84"/>
  <c r="Y370" i="84"/>
  <c r="AA925" i="84"/>
  <c r="Z462" i="84"/>
  <c r="O692" i="84"/>
  <c r="AF42" i="84"/>
  <c r="X329" i="84"/>
  <c r="BK244" i="84"/>
  <c r="W755" i="84"/>
  <c r="Y732" i="84"/>
  <c r="W109" i="84"/>
  <c r="BK125" i="84"/>
  <c r="Z617" i="84"/>
  <c r="W151" i="84"/>
  <c r="BK237" i="84"/>
  <c r="AF953" i="84"/>
  <c r="BK485" i="84"/>
  <c r="O781" i="84"/>
  <c r="AR38" i="82"/>
  <c r="G602" i="84"/>
  <c r="BK22" i="84"/>
  <c r="W641" i="84"/>
  <c r="BJ129" i="84"/>
  <c r="V53" i="84"/>
  <c r="O908" i="84"/>
  <c r="P8" i="84"/>
  <c r="AA690" i="84"/>
  <c r="BJ194" i="84"/>
  <c r="W445" i="84"/>
  <c r="BK150" i="84"/>
  <c r="X964" i="84"/>
  <c r="E448" i="84"/>
  <c r="F474" i="84"/>
  <c r="BJ832" i="84"/>
  <c r="BJ318" i="84"/>
  <c r="E374" i="84"/>
  <c r="AC26" i="82"/>
  <c r="BZ16" i="82"/>
  <c r="V179" i="84"/>
  <c r="O801" i="84"/>
  <c r="X439" i="84"/>
  <c r="X426" i="84"/>
  <c r="AW46" i="82"/>
  <c r="AA817" i="84"/>
  <c r="S179" i="84"/>
  <c r="N27" i="84"/>
  <c r="W622" i="84"/>
  <c r="Z498" i="84"/>
  <c r="L32" i="82"/>
  <c r="Q123" i="84"/>
  <c r="F25" i="84"/>
  <c r="BK128" i="84"/>
  <c r="AC17" i="82"/>
  <c r="Y52" i="84"/>
  <c r="AA238" i="84"/>
  <c r="G214" i="84"/>
  <c r="N813" i="84"/>
  <c r="BK350" i="84"/>
  <c r="F340" i="84"/>
  <c r="AF898" i="84"/>
  <c r="BK657" i="84"/>
  <c r="W845" i="84"/>
  <c r="BK91" i="84"/>
  <c r="BZ9" i="82"/>
  <c r="U384" i="84"/>
  <c r="BJ888" i="84"/>
  <c r="BJ163" i="84"/>
  <c r="BJ292" i="84"/>
  <c r="E18" i="82"/>
  <c r="AF249" i="84"/>
  <c r="Y876" i="84"/>
  <c r="AF697" i="84"/>
  <c r="AA433" i="84"/>
  <c r="BK141" i="84"/>
  <c r="F939" i="84"/>
  <c r="Y258" i="84"/>
  <c r="O189" i="84"/>
  <c r="O572" i="84"/>
  <c r="E30" i="84"/>
  <c r="N240" i="84"/>
  <c r="X548" i="84"/>
  <c r="BJ91" i="84"/>
  <c r="BJ956" i="84"/>
  <c r="AF522" i="84"/>
  <c r="E405" i="84"/>
  <c r="X326" i="84"/>
  <c r="W588" i="84"/>
  <c r="BK398" i="84"/>
  <c r="BK641" i="84"/>
  <c r="Y298" i="84"/>
  <c r="V229" i="84"/>
  <c r="BK42" i="84"/>
  <c r="AA910" i="84"/>
  <c r="AA946" i="84"/>
  <c r="AR11" i="82"/>
  <c r="AF54" i="84"/>
  <c r="X187" i="84"/>
  <c r="Z485" i="84"/>
  <c r="AF654" i="84"/>
  <c r="D18" i="82"/>
  <c r="R334" i="84"/>
  <c r="Y574" i="84"/>
  <c r="BK227" i="84"/>
  <c r="AP42" i="82"/>
  <c r="X30" i="84"/>
  <c r="F230" i="84"/>
  <c r="G685" i="84"/>
  <c r="AA194" i="84"/>
  <c r="G217" i="84"/>
  <c r="AF636" i="84"/>
  <c r="O513" i="84"/>
  <c r="O605" i="84"/>
  <c r="Q425" i="84"/>
  <c r="BK171" i="84"/>
  <c r="AF97" i="84"/>
  <c r="P733" i="84"/>
  <c r="Y214" i="84"/>
  <c r="E255" i="84"/>
  <c r="V592" i="84"/>
  <c r="AA603" i="84"/>
  <c r="S170" i="84"/>
  <c r="AZ34" i="82"/>
  <c r="BK807" i="84"/>
  <c r="AF270" i="84"/>
  <c r="BK658" i="84"/>
  <c r="X789" i="84"/>
  <c r="C46" i="82"/>
  <c r="S395" i="84"/>
  <c r="AF671" i="84"/>
  <c r="T753" i="84"/>
  <c r="R425" i="84"/>
  <c r="W569" i="84"/>
  <c r="Q598" i="84"/>
  <c r="AF102" i="84"/>
  <c r="AY22" i="82"/>
  <c r="S35" i="84"/>
  <c r="E147" i="84"/>
  <c r="O845" i="84"/>
  <c r="AK11" i="82"/>
  <c r="Z351" i="84"/>
  <c r="Y611" i="84"/>
  <c r="Z320" i="84"/>
  <c r="V367" i="84"/>
  <c r="O187" i="84"/>
  <c r="AA56" i="84"/>
  <c r="N247" i="84"/>
  <c r="AF736" i="84"/>
  <c r="W128" i="84"/>
  <c r="Y440" i="84"/>
  <c r="W489" i="84"/>
  <c r="V536" i="84"/>
  <c r="E136" i="84"/>
  <c r="W167" i="84"/>
  <c r="BA45" i="82"/>
  <c r="Y372" i="84"/>
  <c r="W819" i="84"/>
  <c r="BK676" i="84"/>
  <c r="AF739" i="84"/>
  <c r="E784" i="84"/>
  <c r="BK188" i="84"/>
  <c r="AA653" i="84"/>
  <c r="BK471" i="84"/>
  <c r="O350" i="84"/>
  <c r="X587" i="84"/>
  <c r="E589" i="84"/>
  <c r="S316" i="84"/>
  <c r="AL31" i="82"/>
  <c r="F144" i="84"/>
  <c r="Y868" i="84"/>
  <c r="AF932" i="84"/>
  <c r="AF877" i="84"/>
  <c r="J715" i="84"/>
  <c r="X282" i="84"/>
  <c r="E885" i="84"/>
  <c r="V162" i="84"/>
  <c r="F688" i="84"/>
  <c r="G277" i="84"/>
  <c r="AA501" i="84"/>
  <c r="V392" i="84"/>
  <c r="O615" i="84"/>
  <c r="E90" i="84"/>
  <c r="V370" i="84"/>
  <c r="V828" i="84"/>
  <c r="E716" i="84"/>
  <c r="Y42" i="84"/>
  <c r="T26" i="82"/>
  <c r="T528" i="84"/>
  <c r="X800" i="84"/>
  <c r="F239" i="84"/>
  <c r="X108" i="84"/>
  <c r="U386" i="84"/>
  <c r="W877" i="84"/>
  <c r="U418" i="84"/>
  <c r="W552" i="84"/>
  <c r="O22" i="82"/>
  <c r="AA746" i="84"/>
  <c r="AQ17" i="82"/>
  <c r="V712" i="84"/>
  <c r="BJ669" i="84"/>
  <c r="S394" i="84"/>
  <c r="O321" i="84"/>
  <c r="J43" i="82"/>
  <c r="Y352" i="84"/>
  <c r="E669" i="84"/>
  <c r="BK613" i="84"/>
  <c r="Z963" i="84"/>
  <c r="AF721" i="84"/>
  <c r="Y786" i="84"/>
  <c r="J603" i="84"/>
  <c r="X285" i="84"/>
  <c r="BJ396" i="84"/>
  <c r="AF50" i="84"/>
  <c r="BJ783" i="84"/>
  <c r="Y374" i="84"/>
  <c r="BJ64" i="84"/>
  <c r="X932" i="84"/>
  <c r="R791" i="84"/>
  <c r="AF916" i="84"/>
  <c r="O639" i="84"/>
  <c r="F9" i="84"/>
  <c r="Y651" i="84"/>
  <c r="Z495" i="84"/>
  <c r="X880" i="84"/>
  <c r="AF510" i="84"/>
  <c r="AA193" i="84"/>
  <c r="BJ764" i="84"/>
  <c r="Y15" i="84"/>
  <c r="BJ242" i="84"/>
  <c r="Z691" i="84"/>
  <c r="AP35" i="82"/>
  <c r="X813" i="84"/>
  <c r="X586" i="84"/>
  <c r="AF645" i="84"/>
  <c r="AA97" i="84"/>
  <c r="F940" i="84"/>
  <c r="Z663" i="84"/>
  <c r="AF86" i="84"/>
  <c r="N716" i="84"/>
  <c r="Y666" i="84"/>
  <c r="AF459" i="84"/>
  <c r="F613" i="84"/>
  <c r="R32" i="82"/>
  <c r="V393" i="84"/>
  <c r="Y73" i="84"/>
  <c r="E224" i="84"/>
  <c r="E738" i="84"/>
  <c r="V306" i="84"/>
  <c r="BJ199" i="84"/>
  <c r="R275" i="84"/>
  <c r="R807" i="84"/>
  <c r="D29" i="82"/>
  <c r="D16" i="82"/>
  <c r="G767" i="84"/>
  <c r="AA881" i="84"/>
  <c r="Q493" i="84"/>
  <c r="Y811" i="84"/>
  <c r="E254" i="84"/>
  <c r="F882" i="84"/>
  <c r="N634" i="84"/>
  <c r="AA28" i="84"/>
  <c r="T839" i="84"/>
  <c r="AN33" i="82"/>
  <c r="X820" i="84"/>
  <c r="T25" i="84"/>
  <c r="W456" i="84"/>
  <c r="AH23" i="82"/>
  <c r="BK620" i="84"/>
  <c r="W414" i="84"/>
  <c r="AA458" i="84"/>
  <c r="BK770" i="84"/>
  <c r="V144" i="84"/>
  <c r="P217" i="84"/>
  <c r="Q122" i="84"/>
  <c r="P384" i="84"/>
  <c r="G668" i="84"/>
  <c r="F520" i="84"/>
  <c r="Y940" i="84"/>
  <c r="S738" i="84"/>
  <c r="AF44" i="84"/>
  <c r="X829" i="84"/>
  <c r="P224" i="84"/>
  <c r="R524" i="84"/>
  <c r="AA125" i="84"/>
  <c r="V595" i="84"/>
  <c r="Z280" i="84"/>
  <c r="BJ211" i="84"/>
  <c r="H244" i="84"/>
  <c r="BA12" i="82"/>
  <c r="AY13" i="82"/>
  <c r="BK167" i="84"/>
  <c r="V296" i="84"/>
  <c r="BK36" i="84"/>
  <c r="C273" i="84"/>
  <c r="AK40" i="82"/>
  <c r="M564" i="84"/>
  <c r="W259" i="84"/>
  <c r="W537" i="84"/>
  <c r="Y252" i="84"/>
  <c r="N13" i="82"/>
  <c r="BJ652" i="84"/>
  <c r="W795" i="84"/>
  <c r="Y442" i="84"/>
  <c r="AA93" i="84"/>
  <c r="V874" i="84"/>
  <c r="N33" i="82"/>
  <c r="BJ901" i="84"/>
  <c r="E768" i="84"/>
  <c r="Z128" i="84"/>
  <c r="O541" i="84"/>
  <c r="R85" i="84"/>
  <c r="AF263" i="84"/>
  <c r="Q758" i="84"/>
  <c r="M35" i="82"/>
  <c r="X552" i="84"/>
  <c r="AO41" i="82"/>
  <c r="BQ32" i="82"/>
  <c r="Y527" i="84"/>
  <c r="BK100" i="84"/>
  <c r="AA15" i="84"/>
  <c r="R237" i="84"/>
  <c r="G935" i="84"/>
  <c r="O915" i="84"/>
  <c r="V885" i="84"/>
  <c r="BK66" i="84"/>
  <c r="BJ30" i="84"/>
  <c r="AP18" i="82"/>
  <c r="E730" i="84"/>
  <c r="BM37" i="82"/>
  <c r="Y677" i="84"/>
  <c r="Y775" i="84"/>
  <c r="AA877" i="84"/>
  <c r="F760" i="84"/>
  <c r="E487" i="84"/>
  <c r="F39" i="82"/>
  <c r="Y745" i="84"/>
  <c r="AA686" i="84"/>
  <c r="P584" i="84"/>
  <c r="Z225" i="84"/>
  <c r="X288" i="84"/>
  <c r="V295" i="84"/>
  <c r="Z852" i="84"/>
  <c r="AA294" i="84"/>
  <c r="BK361" i="84"/>
  <c r="Y224" i="84"/>
  <c r="BK813" i="84"/>
  <c r="AU35" i="82"/>
  <c r="P148" i="84"/>
  <c r="G733" i="84"/>
  <c r="Z335" i="84"/>
  <c r="BK878" i="84"/>
  <c r="BJ340" i="84"/>
  <c r="BK162" i="84"/>
  <c r="AH24" i="82"/>
  <c r="F867" i="84"/>
  <c r="W635" i="84"/>
  <c r="W528" i="84"/>
  <c r="F123" i="84"/>
  <c r="Y277" i="84"/>
  <c r="BJ146" i="84"/>
  <c r="BJ964" i="84"/>
  <c r="W156" i="84"/>
  <c r="P813" i="84"/>
  <c r="P45" i="82"/>
  <c r="BM36" i="82"/>
  <c r="Y893" i="84"/>
  <c r="AE13" i="82"/>
  <c r="C965" i="84"/>
  <c r="F927" i="84"/>
  <c r="F110" i="84"/>
  <c r="Z761" i="84"/>
  <c r="X364" i="84"/>
  <c r="G441" i="84"/>
  <c r="AA65" i="84"/>
  <c r="BJ465" i="84"/>
  <c r="Y922" i="84"/>
  <c r="BJ137" i="84"/>
  <c r="X256" i="84"/>
  <c r="W63" i="84"/>
  <c r="V913" i="84"/>
  <c r="X676" i="84"/>
  <c r="F592" i="84"/>
  <c r="Z793" i="84"/>
  <c r="S774" i="84"/>
  <c r="G505" i="84"/>
  <c r="AN15" i="82"/>
  <c r="BK755" i="84"/>
  <c r="O42" i="82"/>
  <c r="AT9" i="82"/>
  <c r="AA68" i="84"/>
  <c r="W131" i="84"/>
  <c r="BJ277" i="84"/>
  <c r="N835" i="84"/>
  <c r="T838" i="84"/>
  <c r="W483" i="84"/>
  <c r="BN37" i="82"/>
  <c r="BK159" i="84"/>
  <c r="BE22" i="82"/>
  <c r="AF484" i="84"/>
  <c r="P853" i="84"/>
  <c r="AF81" i="84"/>
  <c r="W906" i="84"/>
  <c r="O729" i="84"/>
  <c r="BJ452" i="84"/>
  <c r="N451" i="84"/>
  <c r="P201" i="84"/>
  <c r="R153" i="84"/>
  <c r="AX41" i="82"/>
  <c r="F49" i="84"/>
  <c r="BJ432" i="84"/>
  <c r="AE39" i="82"/>
  <c r="AF664" i="84"/>
  <c r="Z246" i="84"/>
  <c r="BJ883" i="84"/>
  <c r="BK610" i="84"/>
  <c r="O25" i="82"/>
  <c r="V200" i="84"/>
  <c r="Y475" i="84"/>
  <c r="X507" i="84"/>
  <c r="AA28" i="82"/>
  <c r="W648" i="84"/>
  <c r="N954" i="84"/>
  <c r="AL33" i="82"/>
  <c r="N489" i="84"/>
  <c r="P921" i="84"/>
  <c r="F69" i="84"/>
  <c r="AA166" i="84"/>
  <c r="X785" i="84"/>
  <c r="BJ25" i="84"/>
  <c r="AA79" i="84"/>
  <c r="Y697" i="84"/>
  <c r="Q9" i="82"/>
  <c r="BK803" i="84"/>
  <c r="BJ171" i="84"/>
  <c r="O933" i="84"/>
  <c r="W195" i="84"/>
  <c r="BJ928" i="84"/>
  <c r="X674" i="84"/>
  <c r="BK874" i="84"/>
  <c r="W527" i="84"/>
  <c r="BK218" i="84"/>
  <c r="Z585" i="84"/>
  <c r="V906" i="84"/>
  <c r="Y715" i="84"/>
  <c r="F129" i="84"/>
  <c r="Z606" i="84"/>
  <c r="AA296" i="84"/>
  <c r="N671" i="84"/>
  <c r="N586" i="84"/>
  <c r="G321" i="84"/>
  <c r="V669" i="84"/>
  <c r="V72" i="84"/>
  <c r="X682" i="84"/>
  <c r="F94" i="84"/>
  <c r="E758" i="84"/>
  <c r="R493" i="84"/>
  <c r="Z866" i="84"/>
  <c r="V95" i="84"/>
  <c r="V197" i="84"/>
  <c r="X129" i="84"/>
  <c r="T497" i="84"/>
  <c r="U399" i="84"/>
  <c r="Y707" i="84"/>
  <c r="Z522" i="84"/>
  <c r="N404" i="84"/>
  <c r="E430" i="84"/>
  <c r="S516" i="84"/>
  <c r="F485" i="84"/>
  <c r="BY45" i="82"/>
  <c r="X90" i="84"/>
  <c r="S411" i="84"/>
  <c r="Y702" i="84"/>
  <c r="BJ272" i="84"/>
  <c r="BJ325" i="84"/>
  <c r="BJ904" i="84"/>
  <c r="BJ258" i="84"/>
  <c r="O538" i="84"/>
  <c r="O136" i="84"/>
  <c r="V105" i="84"/>
  <c r="N109" i="84"/>
  <c r="BJ752" i="84"/>
  <c r="P716" i="84"/>
  <c r="P353" i="84"/>
  <c r="BJ74" i="84"/>
  <c r="AX19" i="82"/>
  <c r="O777" i="84"/>
  <c r="Y841" i="84"/>
  <c r="W908" i="84"/>
  <c r="BJ892" i="84"/>
  <c r="BK552" i="84"/>
  <c r="W785" i="84"/>
  <c r="BJ381" i="84"/>
  <c r="Y113" i="84"/>
  <c r="BM29" i="82"/>
  <c r="X727" i="84"/>
  <c r="AF228" i="84"/>
  <c r="AF7" i="82"/>
  <c r="O780" i="84"/>
  <c r="S861" i="84"/>
  <c r="BJ672" i="84"/>
  <c r="AA506" i="84"/>
  <c r="AA532" i="84"/>
  <c r="Y787" i="84"/>
  <c r="X677" i="84"/>
  <c r="BJ732" i="84"/>
  <c r="N888" i="84"/>
  <c r="O440" i="84"/>
  <c r="R629" i="84"/>
  <c r="N524" i="84"/>
  <c r="AD34" i="82"/>
  <c r="O954" i="84"/>
  <c r="AF935" i="84"/>
  <c r="X769" i="84"/>
  <c r="P693" i="84"/>
  <c r="R857" i="84"/>
  <c r="T666" i="84"/>
  <c r="Y897" i="84"/>
  <c r="Q267" i="84"/>
  <c r="X745" i="84"/>
  <c r="Y24" i="84"/>
  <c r="Z792" i="84"/>
  <c r="G167" i="84"/>
  <c r="O397" i="84"/>
  <c r="AA277" i="84"/>
  <c r="BK396" i="84"/>
  <c r="BN40" i="82"/>
  <c r="AA931" i="84"/>
  <c r="F505" i="84"/>
  <c r="X678" i="84"/>
  <c r="G694" i="84"/>
  <c r="BQ42" i="82"/>
  <c r="AA798" i="84"/>
  <c r="S953" i="84"/>
  <c r="BK690" i="84"/>
  <c r="BK34" i="84"/>
  <c r="BK225" i="84"/>
  <c r="BK275" i="84"/>
  <c r="O363" i="84"/>
  <c r="P528" i="84"/>
  <c r="BJ705" i="84"/>
  <c r="S370" i="84"/>
  <c r="BJ274" i="84"/>
  <c r="P701" i="84"/>
  <c r="E958" i="84"/>
  <c r="AP15" i="82"/>
  <c r="V152" i="84"/>
  <c r="Y12" i="84"/>
  <c r="F35" i="84"/>
  <c r="BK853" i="84"/>
  <c r="E220" i="84"/>
  <c r="R259" i="84"/>
  <c r="BD44" i="82"/>
  <c r="V843" i="84"/>
  <c r="BK179" i="84"/>
  <c r="W834" i="84"/>
  <c r="X851" i="84"/>
  <c r="O698" i="84"/>
  <c r="AA868" i="84"/>
  <c r="AF804" i="84"/>
  <c r="AA496" i="84"/>
  <c r="S859" i="84"/>
  <c r="R594" i="84"/>
  <c r="BK232" i="84"/>
  <c r="P249" i="84"/>
  <c r="H641" i="84"/>
  <c r="F655" i="84"/>
  <c r="AU40" i="82"/>
  <c r="V455" i="84"/>
  <c r="AV42" i="82"/>
  <c r="AY27" i="82"/>
  <c r="Q485" i="84"/>
  <c r="BK720" i="84"/>
  <c r="V248" i="84"/>
  <c r="Z12" i="84"/>
  <c r="R808" i="84"/>
  <c r="AR31" i="82"/>
  <c r="P481" i="84"/>
  <c r="R421" i="84"/>
  <c r="U650" i="84"/>
  <c r="BJ334" i="84"/>
  <c r="AF42" i="82"/>
  <c r="BK79" i="84"/>
  <c r="Z443" i="84"/>
  <c r="Z711" i="84"/>
  <c r="Z416" i="84"/>
  <c r="V81" i="84"/>
  <c r="J735" i="84"/>
  <c r="O688" i="84"/>
  <c r="V789" i="84"/>
  <c r="Y447" i="84"/>
  <c r="Q168" i="84"/>
  <c r="V12" i="84"/>
  <c r="BJ689" i="84"/>
  <c r="W102" i="84"/>
  <c r="X730" i="84"/>
  <c r="W881" i="84"/>
  <c r="AF574" i="84"/>
  <c r="W632" i="84"/>
  <c r="BK623" i="84"/>
  <c r="X283" i="84"/>
  <c r="BF18" i="82"/>
  <c r="AM42" i="82"/>
  <c r="BG35" i="82"/>
  <c r="R879" i="84"/>
  <c r="V591" i="84"/>
  <c r="BJ454" i="84"/>
  <c r="X951" i="84"/>
  <c r="F651" i="84"/>
  <c r="W844" i="84"/>
  <c r="T11" i="82"/>
  <c r="BJ611" i="84"/>
  <c r="W516" i="84"/>
  <c r="G271" i="84"/>
  <c r="N862" i="84"/>
  <c r="AA644" i="84"/>
  <c r="V733" i="84"/>
  <c r="N579" i="84"/>
  <c r="BJ145" i="84"/>
  <c r="AF132" i="84"/>
  <c r="R26" i="82"/>
  <c r="BJ875" i="84"/>
  <c r="F740" i="84"/>
  <c r="BK867" i="84"/>
  <c r="Y711" i="84"/>
  <c r="V236" i="84"/>
  <c r="E423" i="84"/>
  <c r="AF206" i="84"/>
  <c r="G482" i="84"/>
  <c r="N871" i="84"/>
  <c r="E879" i="84"/>
  <c r="Z322" i="84"/>
  <c r="AA792" i="84"/>
  <c r="V109" i="84"/>
  <c r="W176" i="84"/>
  <c r="W567" i="84"/>
  <c r="G622" i="84"/>
  <c r="AF628" i="84"/>
  <c r="BK648" i="84"/>
  <c r="V959" i="84"/>
  <c r="Y854" i="84"/>
  <c r="BK208" i="84"/>
  <c r="M756" i="84"/>
  <c r="G959" i="84"/>
  <c r="W441" i="84"/>
  <c r="AF726" i="84"/>
  <c r="W938" i="84"/>
  <c r="BK71" i="84"/>
  <c r="Z147" i="84"/>
  <c r="V876" i="84"/>
  <c r="AF427" i="84"/>
  <c r="P189" i="84"/>
  <c r="W547" i="84"/>
  <c r="W340" i="84"/>
  <c r="AF274" i="84"/>
  <c r="BK356" i="84"/>
  <c r="BJ913" i="84"/>
  <c r="V659" i="84"/>
  <c r="BK679" i="84"/>
  <c r="V680" i="84"/>
  <c r="F889" i="84"/>
  <c r="H20" i="82"/>
  <c r="W450" i="84"/>
  <c r="K30" i="82"/>
  <c r="BK483" i="84"/>
  <c r="AX31" i="82"/>
  <c r="BJ168" i="84"/>
  <c r="AA124" i="84"/>
  <c r="Q256" i="84"/>
  <c r="AF731" i="84"/>
  <c r="W267" i="84"/>
  <c r="Z173" i="84"/>
  <c r="P915" i="84"/>
  <c r="X49" i="84"/>
  <c r="BJ362" i="84"/>
  <c r="Z754" i="84"/>
  <c r="BK942" i="84"/>
  <c r="BG8" i="82"/>
  <c r="F362" i="84"/>
  <c r="G703" i="84"/>
  <c r="W71" i="84"/>
  <c r="W272" i="84"/>
  <c r="P21" i="82"/>
  <c r="E846" i="84"/>
  <c r="E424" i="84"/>
  <c r="N834" i="84"/>
  <c r="W20" i="84"/>
  <c r="R132" i="84"/>
  <c r="BZ36" i="82"/>
  <c r="AA786" i="84"/>
  <c r="C42" i="82"/>
  <c r="O687" i="84"/>
  <c r="V422" i="84"/>
  <c r="V738" i="84"/>
  <c r="BJ923" i="84"/>
  <c r="X207" i="84"/>
  <c r="K26" i="82"/>
  <c r="BJ520" i="84"/>
  <c r="O365" i="84"/>
  <c r="O269" i="84"/>
  <c r="BK866" i="84"/>
  <c r="V662" i="84"/>
  <c r="T657" i="84"/>
  <c r="BK688" i="84"/>
  <c r="F302" i="84"/>
  <c r="BK937" i="84"/>
  <c r="BK951" i="84"/>
  <c r="BJ619" i="84"/>
  <c r="AF314" i="84"/>
  <c r="P141" i="84"/>
  <c r="Q449" i="84"/>
  <c r="N174" i="84"/>
  <c r="X611" i="84"/>
  <c r="BJ113" i="84"/>
  <c r="BK745" i="84"/>
  <c r="E509" i="84"/>
  <c r="BZ12" i="82"/>
  <c r="N16" i="84"/>
  <c r="X139" i="84"/>
  <c r="Y116" i="84"/>
  <c r="AA616" i="84"/>
  <c r="E614" i="84"/>
  <c r="BK733" i="84"/>
  <c r="Z565" i="84"/>
  <c r="H543" i="84"/>
  <c r="Y704" i="84"/>
  <c r="BJ264" i="84"/>
  <c r="Y548" i="84"/>
  <c r="F671" i="84"/>
  <c r="Q29" i="82"/>
  <c r="BJ69" i="84"/>
  <c r="X84" i="84"/>
  <c r="Z658" i="84"/>
  <c r="O851" i="84"/>
  <c r="Z374" i="84"/>
  <c r="Z323" i="84"/>
  <c r="AF455" i="84"/>
  <c r="P65" i="84"/>
  <c r="X731" i="84"/>
  <c r="Y82" i="84"/>
  <c r="E371" i="84"/>
  <c r="V343" i="84"/>
  <c r="AA546" i="84"/>
  <c r="Z680" i="84"/>
  <c r="BC39" i="82"/>
  <c r="F644" i="84"/>
  <c r="Y664" i="84"/>
  <c r="C44" i="82"/>
  <c r="P140" i="84"/>
  <c r="G66" i="84"/>
  <c r="BJ117" i="84"/>
  <c r="BJ695" i="84"/>
  <c r="AA822" i="84"/>
  <c r="O621" i="84"/>
  <c r="V889" i="84"/>
  <c r="T427" i="84"/>
  <c r="BZ30" i="82"/>
  <c r="X796" i="84"/>
  <c r="BK636" i="84"/>
  <c r="BJ807" i="84"/>
  <c r="E900" i="84"/>
  <c r="AU19" i="82"/>
  <c r="F97" i="84"/>
  <c r="A309" i="84"/>
  <c r="E676" i="84"/>
  <c r="Q19" i="84"/>
  <c r="G133" i="84"/>
  <c r="N788" i="84"/>
  <c r="Z433" i="84"/>
  <c r="Z646" i="84"/>
  <c r="F719" i="84"/>
  <c r="W484" i="84"/>
  <c r="E219" i="84"/>
  <c r="V151" i="84"/>
  <c r="O482" i="84"/>
  <c r="W268" i="84"/>
  <c r="W449" i="84"/>
  <c r="BK239" i="84"/>
  <c r="BJ680" i="84"/>
  <c r="AF26" i="82"/>
  <c r="S280" i="84"/>
  <c r="AF302" i="84"/>
  <c r="BK56" i="84"/>
  <c r="BK332" i="84"/>
  <c r="E564" i="84"/>
  <c r="X583" i="84"/>
  <c r="X632" i="84"/>
  <c r="V884" i="84"/>
  <c r="I43" i="82"/>
  <c r="G657" i="84"/>
  <c r="BJ486" i="84"/>
  <c r="AD21" i="82"/>
  <c r="BK819" i="84"/>
  <c r="BE21" i="82"/>
  <c r="BK182" i="84"/>
  <c r="BK578" i="84"/>
  <c r="BK775" i="84"/>
  <c r="Z786" i="84"/>
  <c r="U308" i="84"/>
  <c r="O736" i="84"/>
  <c r="W246" i="84"/>
  <c r="Z491" i="84"/>
  <c r="V831" i="84"/>
  <c r="F24" i="82"/>
  <c r="W282" i="84"/>
  <c r="X873" i="84"/>
  <c r="AA676" i="84"/>
  <c r="F531" i="84"/>
  <c r="H15" i="82"/>
  <c r="M24" i="82"/>
  <c r="BK730" i="84"/>
  <c r="O413" i="84"/>
  <c r="Z215" i="84"/>
  <c r="AA345" i="84"/>
  <c r="AF476" i="84"/>
  <c r="G254" i="84"/>
  <c r="R745" i="84"/>
  <c r="AF383" i="84"/>
  <c r="Z956" i="84"/>
  <c r="BJ123" i="84"/>
  <c r="BJ501" i="84"/>
  <c r="BJ282" i="84"/>
  <c r="BK893" i="84"/>
  <c r="AA270" i="84"/>
  <c r="W492" i="84"/>
  <c r="BK527" i="84"/>
  <c r="AF303" i="84"/>
  <c r="BJ225" i="84"/>
  <c r="BJ601" i="84"/>
  <c r="AF377" i="84"/>
  <c r="X636" i="84"/>
  <c r="BJ133" i="84"/>
  <c r="Y782" i="84"/>
  <c r="E177" i="84"/>
  <c r="BJ265" i="84"/>
  <c r="E34" i="84"/>
  <c r="AF180" i="84"/>
  <c r="AV23" i="82"/>
  <c r="Y498" i="84"/>
  <c r="Z487" i="84"/>
  <c r="BJ333" i="84"/>
  <c r="W524" i="84"/>
  <c r="S29" i="84"/>
  <c r="AP46" i="82"/>
  <c r="AQ7" i="82"/>
  <c r="BJ575" i="84"/>
  <c r="F318" i="84"/>
  <c r="Z363" i="84"/>
  <c r="Z198" i="84"/>
  <c r="F131" i="84"/>
  <c r="E27" i="82"/>
  <c r="N313" i="84"/>
  <c r="AF435" i="84"/>
  <c r="Y591" i="84"/>
  <c r="W358" i="84"/>
  <c r="Z697" i="84"/>
  <c r="BJ550" i="84"/>
  <c r="BJ299" i="84"/>
  <c r="X506" i="84"/>
  <c r="I19" i="82"/>
  <c r="V574" i="84"/>
  <c r="N385" i="84"/>
  <c r="E484" i="84"/>
  <c r="BK918" i="84"/>
  <c r="AF79" i="84"/>
  <c r="W271" i="84"/>
  <c r="BK203" i="84"/>
  <c r="Z493" i="84"/>
  <c r="AF394" i="84"/>
  <c r="BK43" i="84"/>
  <c r="AA677" i="84"/>
  <c r="BK538" i="84"/>
  <c r="E390" i="84"/>
  <c r="O965" i="84"/>
  <c r="AF332" i="84"/>
  <c r="Y101" i="84"/>
  <c r="BK790" i="84"/>
  <c r="O590" i="84"/>
  <c r="W538" i="84"/>
  <c r="O46" i="82"/>
  <c r="Y378" i="84"/>
  <c r="BK241" i="84"/>
  <c r="AZ19" i="82"/>
  <c r="J35" i="82"/>
  <c r="Y384" i="84"/>
  <c r="BJ7" i="84"/>
  <c r="BL18" i="82"/>
  <c r="N628" i="84"/>
  <c r="AF386" i="84"/>
  <c r="V656" i="84"/>
  <c r="Q756" i="84"/>
  <c r="AF551" i="84"/>
  <c r="X343" i="84"/>
  <c r="BJ476" i="84"/>
  <c r="Y150" i="84"/>
  <c r="Y93" i="84"/>
  <c r="BK20" i="82"/>
  <c r="BJ207" i="84"/>
  <c r="S118" i="84"/>
  <c r="BJ497" i="84"/>
  <c r="BJ698" i="84"/>
  <c r="Y508" i="84"/>
  <c r="Z708" i="84"/>
  <c r="AF98" i="84"/>
  <c r="BK185" i="84"/>
  <c r="BK229" i="84"/>
  <c r="BK826" i="84"/>
  <c r="P873" i="84"/>
  <c r="BZ25" i="82"/>
  <c r="BK331" i="84"/>
  <c r="W79" i="84"/>
  <c r="AF239" i="84"/>
  <c r="X488" i="84"/>
  <c r="BJ142" i="84"/>
  <c r="BK136" i="84"/>
  <c r="Y524" i="84"/>
  <c r="E387" i="84"/>
  <c r="O546" i="84"/>
  <c r="AA781" i="84"/>
  <c r="AA229" i="84"/>
  <c r="W867" i="84"/>
  <c r="AF802" i="84"/>
  <c r="G745" i="84"/>
  <c r="BJ90" i="84"/>
  <c r="Q157" i="84"/>
  <c r="G938" i="84"/>
  <c r="BJ193" i="84"/>
  <c r="BK847" i="84"/>
  <c r="T525" i="84"/>
  <c r="BK50" i="84"/>
  <c r="BK822" i="84"/>
  <c r="O926" i="84"/>
  <c r="F588" i="84"/>
  <c r="Y261" i="84"/>
  <c r="AF264" i="84"/>
  <c r="Y39" i="84"/>
  <c r="W410" i="84"/>
  <c r="X848" i="84"/>
  <c r="AF442" i="84"/>
  <c r="AA235" i="84"/>
  <c r="AA146" i="84"/>
  <c r="Z909" i="84"/>
  <c r="I26" i="82"/>
  <c r="W944" i="84"/>
  <c r="Z266" i="84"/>
  <c r="BJ838" i="84"/>
  <c r="AF53" i="84"/>
  <c r="BD19" i="82"/>
  <c r="Q684" i="84"/>
  <c r="BK836" i="84"/>
  <c r="BK119" i="84"/>
  <c r="E388" i="84"/>
  <c r="AF47" i="84"/>
  <c r="AF390" i="84"/>
  <c r="G325" i="84"/>
  <c r="X435" i="84"/>
  <c r="F78" i="84"/>
  <c r="F802" i="84"/>
  <c r="BZ15" i="82"/>
  <c r="AA656" i="84"/>
  <c r="N42" i="82"/>
  <c r="AI26" i="82"/>
  <c r="R946" i="84"/>
  <c r="BJ17" i="84"/>
  <c r="AA75" i="84"/>
  <c r="G728" i="84"/>
  <c r="S345" i="84"/>
  <c r="BK475" i="84"/>
  <c r="BD41" i="82"/>
  <c r="V634" i="84"/>
  <c r="V665" i="84"/>
  <c r="W885" i="84"/>
  <c r="Z465" i="84"/>
  <c r="BJ304" i="84"/>
  <c r="AA641" i="84"/>
  <c r="BJ944" i="84"/>
  <c r="X551" i="84"/>
  <c r="Y753" i="84"/>
  <c r="Z274" i="84"/>
  <c r="Y437" i="84"/>
  <c r="H129" i="84"/>
  <c r="G884" i="84"/>
  <c r="AF414" i="84"/>
  <c r="BK727" i="84"/>
  <c r="F84" i="84"/>
  <c r="AA406" i="84"/>
  <c r="F501" i="84"/>
  <c r="W182" i="84"/>
  <c r="F931" i="84"/>
  <c r="H224" i="84"/>
  <c r="G650" i="84"/>
  <c r="AF250" i="84"/>
  <c r="AA40" i="82"/>
  <c r="H8" i="82"/>
  <c r="O237" i="84"/>
  <c r="E135" i="84"/>
  <c r="AH16" i="82"/>
  <c r="C35" i="82"/>
  <c r="S42" i="82"/>
  <c r="X888" i="84"/>
  <c r="BJ663" i="84"/>
  <c r="BJ813" i="84"/>
  <c r="BJ823" i="84"/>
  <c r="V431" i="84"/>
  <c r="X140" i="84"/>
  <c r="X52" i="84"/>
  <c r="K10" i="82"/>
  <c r="BJ410" i="84"/>
  <c r="P774" i="84"/>
  <c r="O674" i="84"/>
  <c r="W255" i="84"/>
  <c r="S52" i="84"/>
  <c r="BJ429" i="84"/>
  <c r="J217" i="84"/>
  <c r="BJ75" i="84"/>
  <c r="BK718" i="84"/>
  <c r="AF461" i="84"/>
  <c r="G874" i="84"/>
  <c r="W596" i="84"/>
  <c r="AE34" i="82"/>
  <c r="S400" i="84"/>
  <c r="V320" i="84"/>
  <c r="BK245" i="84"/>
  <c r="S273" i="84"/>
  <c r="BJ80" i="84"/>
  <c r="BK799" i="84"/>
  <c r="AJ33" i="82"/>
  <c r="Q11" i="84"/>
  <c r="BJ700" i="84"/>
  <c r="W581" i="84"/>
  <c r="X578" i="84"/>
  <c r="AA716" i="84"/>
  <c r="BJ455" i="84"/>
  <c r="BE41" i="82"/>
  <c r="BK178" i="84"/>
  <c r="F484" i="84"/>
  <c r="Y461" i="84"/>
  <c r="BJ939" i="84"/>
  <c r="P582" i="84"/>
  <c r="W209" i="84"/>
  <c r="Z724" i="84"/>
  <c r="P587" i="84"/>
  <c r="V807" i="84"/>
  <c r="BJ61" i="84"/>
  <c r="Z304" i="84"/>
  <c r="U934" i="84"/>
  <c r="Z605" i="84"/>
  <c r="F468" i="84"/>
  <c r="V672" i="84"/>
  <c r="E324" i="84"/>
  <c r="BK273" i="84"/>
  <c r="X46" i="84"/>
  <c r="AF600" i="84"/>
  <c r="Y240" i="84"/>
  <c r="F352" i="84"/>
  <c r="W336" i="84"/>
  <c r="BJ738" i="84"/>
  <c r="BK717" i="84"/>
  <c r="Y647" i="84"/>
  <c r="G445" i="84"/>
  <c r="BK336" i="84"/>
  <c r="X87" i="84"/>
  <c r="D9" i="82"/>
  <c r="E196" i="84"/>
  <c r="O139" i="84"/>
  <c r="BJ444" i="84"/>
  <c r="F161" i="84"/>
  <c r="X728" i="84"/>
  <c r="BK801" i="84"/>
  <c r="W787" i="84"/>
  <c r="G778" i="84"/>
  <c r="Z228" i="84"/>
  <c r="F833" i="84"/>
  <c r="T518" i="84"/>
  <c r="Z714" i="84"/>
  <c r="J24" i="84"/>
  <c r="BJ389" i="84"/>
  <c r="E117" i="84"/>
  <c r="AC30" i="82"/>
  <c r="F661" i="84"/>
  <c r="AA906" i="84"/>
  <c r="F18" i="84"/>
  <c r="AA102" i="84"/>
  <c r="Q869" i="84"/>
  <c r="X199" i="84"/>
  <c r="Z47" i="84"/>
  <c r="E719" i="84"/>
  <c r="BJ673" i="84"/>
  <c r="F603" i="84"/>
  <c r="Y394" i="84"/>
  <c r="AA198" i="84"/>
  <c r="O23" i="84"/>
  <c r="S60" i="84"/>
  <c r="Y231" i="84"/>
  <c r="AA791" i="84"/>
  <c r="N815" i="84"/>
  <c r="V816" i="84"/>
  <c r="AF503" i="84"/>
  <c r="Z720" i="84"/>
  <c r="N615" i="84"/>
  <c r="BF19" i="82"/>
  <c r="BK349" i="84"/>
  <c r="AF403" i="84"/>
  <c r="E478" i="84"/>
  <c r="BK693" i="84"/>
  <c r="AA186" i="84"/>
  <c r="BK732" i="84"/>
  <c r="BJ435" i="84"/>
  <c r="V897" i="84"/>
  <c r="AO11" i="82"/>
  <c r="AF194" i="84"/>
  <c r="BN13" i="82"/>
  <c r="AA873" i="84"/>
  <c r="Y824" i="84"/>
  <c r="F170" i="84"/>
  <c r="P541" i="84"/>
  <c r="BJ200" i="84"/>
  <c r="AA442" i="84"/>
  <c r="F45" i="82"/>
  <c r="G398" i="84"/>
  <c r="Y328" i="84"/>
  <c r="W250" i="84"/>
  <c r="U107" i="84"/>
  <c r="BJ68" i="84"/>
  <c r="BY8" i="82"/>
  <c r="BN38" i="82"/>
  <c r="V297" i="84"/>
  <c r="BK420" i="84"/>
  <c r="X59" i="84"/>
  <c r="P784" i="84"/>
  <c r="P901" i="84"/>
  <c r="N447" i="84"/>
  <c r="AW35" i="82"/>
  <c r="Q340" i="84"/>
  <c r="J7" i="82"/>
  <c r="E555" i="84"/>
  <c r="BK11" i="84"/>
  <c r="BK389" i="84"/>
  <c r="F684" i="84"/>
  <c r="BK646" i="84"/>
  <c r="BJ98" i="84"/>
  <c r="AF412" i="84"/>
  <c r="AA706" i="84"/>
  <c r="BK868" i="84"/>
  <c r="AA82" i="84"/>
  <c r="Y90" i="84"/>
  <c r="BJ112" i="84"/>
  <c r="BJ440" i="84"/>
  <c r="S12" i="82"/>
  <c r="R7" i="82"/>
  <c r="AM12" i="82"/>
  <c r="AA382" i="84"/>
  <c r="V255" i="84"/>
  <c r="AA189" i="84"/>
  <c r="O115" i="84"/>
  <c r="W16" i="84"/>
  <c r="M21" i="82"/>
  <c r="Y292" i="84"/>
  <c r="G704" i="84"/>
  <c r="X379" i="84"/>
  <c r="O257" i="84"/>
  <c r="BJ921" i="84"/>
  <c r="F154" i="84"/>
  <c r="Z942" i="84"/>
  <c r="X310" i="84"/>
  <c r="Q827" i="84"/>
  <c r="P760" i="84"/>
  <c r="P686" i="84"/>
  <c r="BJ908" i="84"/>
  <c r="BG30" i="82"/>
  <c r="F8" i="84"/>
  <c r="E800" i="84"/>
  <c r="S209" i="84"/>
  <c r="BJ789" i="84"/>
  <c r="Q953" i="84"/>
  <c r="AA401" i="84"/>
  <c r="AA838" i="84"/>
  <c r="BJ651" i="84"/>
  <c r="BJ500" i="84"/>
  <c r="O220" i="84"/>
  <c r="AA897" i="84"/>
  <c r="AP34" i="82"/>
  <c r="BK954" i="84"/>
  <c r="G829" i="84"/>
  <c r="AY45" i="82"/>
  <c r="Z935" i="84"/>
  <c r="BK551" i="84"/>
  <c r="BJ15" i="84"/>
  <c r="BK555" i="84"/>
  <c r="O671" i="84"/>
  <c r="AA785" i="84"/>
  <c r="Y731" i="84"/>
  <c r="F200" i="84"/>
  <c r="BK220" i="84"/>
  <c r="BK343" i="84"/>
  <c r="X470" i="84"/>
  <c r="Z645" i="84"/>
  <c r="W440" i="84"/>
  <c r="N777" i="84"/>
  <c r="W405" i="84"/>
  <c r="H531" i="84"/>
  <c r="AB25" i="82"/>
  <c r="BJ147" i="84"/>
  <c r="W898" i="84"/>
  <c r="Z167" i="84"/>
  <c r="Z220" i="84"/>
  <c r="BN7" i="82"/>
  <c r="X756" i="84"/>
  <c r="T12" i="82"/>
  <c r="X569" i="84"/>
  <c r="AF103" i="84"/>
  <c r="BK669" i="84"/>
  <c r="E492" i="84"/>
  <c r="N347" i="84"/>
  <c r="BJ887" i="84"/>
  <c r="Z151" i="84"/>
  <c r="F847" i="84"/>
  <c r="Z275" i="84"/>
  <c r="BJ367" i="84"/>
  <c r="V351" i="84"/>
  <c r="BJ13" i="84"/>
  <c r="O559" i="84"/>
  <c r="V316" i="84"/>
  <c r="X357" i="84"/>
  <c r="BY34" i="82"/>
  <c r="F864" i="84"/>
  <c r="AF192" i="84"/>
  <c r="W315" i="84"/>
  <c r="S745" i="84"/>
  <c r="BJ530" i="84"/>
  <c r="BJ238" i="84"/>
  <c r="P174" i="84"/>
  <c r="AA727" i="84"/>
  <c r="T33" i="82"/>
  <c r="AA136" i="84"/>
  <c r="V224" i="84"/>
  <c r="P790" i="84"/>
  <c r="BJ743" i="84"/>
  <c r="BJ233" i="84"/>
  <c r="Y457" i="84"/>
  <c r="BE44" i="82"/>
  <c r="H666" i="84"/>
  <c r="E351" i="84"/>
  <c r="BJ37" i="84"/>
  <c r="BK870" i="84"/>
  <c r="BK872" i="84"/>
  <c r="E307" i="84"/>
  <c r="F370" i="84"/>
  <c r="V211" i="84"/>
  <c r="W781" i="84"/>
  <c r="G267" i="84"/>
  <c r="E399" i="84"/>
  <c r="P358" i="84"/>
  <c r="F33" i="82"/>
  <c r="T907" i="84"/>
  <c r="E406" i="84"/>
  <c r="F799" i="84"/>
  <c r="AA234" i="84"/>
  <c r="N639" i="84"/>
  <c r="Q233" i="84"/>
  <c r="X267" i="84"/>
  <c r="BJ878" i="84"/>
  <c r="G803" i="84"/>
  <c r="F846" i="84"/>
  <c r="J940" i="84"/>
  <c r="V621" i="84"/>
  <c r="Y512" i="84"/>
  <c r="V806" i="84"/>
  <c r="O753" i="84"/>
  <c r="F234" i="84"/>
  <c r="BK532" i="84"/>
  <c r="G459" i="84"/>
  <c r="Z240" i="84"/>
  <c r="BK164" i="84"/>
  <c r="W233" i="84"/>
  <c r="G904" i="84"/>
  <c r="BK812" i="84"/>
  <c r="W860" i="84"/>
  <c r="Z631" i="84"/>
  <c r="F443" i="84"/>
  <c r="AA473" i="84"/>
  <c r="E427" i="84"/>
  <c r="Y95" i="84"/>
  <c r="S372" i="84"/>
  <c r="BK729" i="84"/>
  <c r="BJ850" i="84"/>
  <c r="N351" i="84"/>
  <c r="BJ31" i="84"/>
  <c r="BK666" i="84"/>
  <c r="AA624" i="84"/>
  <c r="V502" i="84"/>
  <c r="N389" i="84"/>
  <c r="O921" i="84"/>
  <c r="BK199" i="84"/>
  <c r="AF948" i="84"/>
  <c r="W643" i="84"/>
  <c r="X69" i="84"/>
  <c r="N931" i="84"/>
  <c r="Z576" i="84"/>
  <c r="BJ793" i="84"/>
  <c r="F892" i="84"/>
  <c r="P571" i="84"/>
  <c r="X563" i="84"/>
  <c r="BK827" i="84"/>
  <c r="G61" i="84"/>
  <c r="I7" i="82"/>
  <c r="Y916" i="84"/>
  <c r="BJ447" i="84"/>
  <c r="AF323" i="84"/>
  <c r="Y438" i="84"/>
  <c r="N285" i="84"/>
  <c r="V779" i="84"/>
  <c r="BK262" i="84"/>
  <c r="X656" i="84"/>
  <c r="Y17" i="84"/>
  <c r="W933" i="84"/>
  <c r="BJ81" i="84"/>
  <c r="Y43" i="84"/>
  <c r="Z677" i="84"/>
  <c r="BK639" i="84"/>
  <c r="W796" i="84"/>
  <c r="Z883" i="84"/>
  <c r="S560" i="84"/>
  <c r="AA500" i="84"/>
  <c r="BC18" i="82"/>
  <c r="BK247" i="84"/>
  <c r="AF43" i="84"/>
  <c r="BJ642" i="84"/>
  <c r="BY31" i="82"/>
  <c r="BJ321" i="84"/>
  <c r="Z234" i="84"/>
  <c r="BJ489" i="84"/>
  <c r="F399" i="84"/>
  <c r="W54" i="84"/>
  <c r="V966" i="84"/>
  <c r="Y383" i="84"/>
  <c r="AF10" i="82"/>
  <c r="BK782" i="84"/>
  <c r="Z116" i="84"/>
  <c r="BD27" i="82"/>
  <c r="AF451" i="84"/>
  <c r="Y115" i="84"/>
  <c r="P769" i="84"/>
  <c r="E28" i="82"/>
  <c r="P366" i="84"/>
  <c r="Y761" i="84"/>
  <c r="Y693" i="84"/>
  <c r="N221" i="84"/>
  <c r="AS10" i="82"/>
  <c r="AA305" i="84"/>
  <c r="BZ18" i="82"/>
  <c r="BJ252" i="84"/>
  <c r="AA807" i="84"/>
  <c r="BK617" i="84"/>
  <c r="Y554" i="84"/>
  <c r="G856" i="84"/>
  <c r="V460" i="84"/>
  <c r="BJ392" i="84"/>
  <c r="V602" i="84"/>
  <c r="O430" i="84"/>
  <c r="N232" i="84"/>
  <c r="L40" i="82"/>
  <c r="AA387" i="84"/>
  <c r="X844" i="84"/>
  <c r="AF101" i="84"/>
  <c r="BJ101" i="84"/>
  <c r="Y720" i="84"/>
  <c r="P377" i="84"/>
  <c r="G644" i="84"/>
  <c r="Y334" i="84"/>
  <c r="R30" i="82"/>
  <c r="N918" i="84"/>
  <c r="V185" i="84"/>
  <c r="BK134" i="84"/>
  <c r="BJ425" i="84"/>
  <c r="BZ44" i="82"/>
  <c r="BG27" i="82"/>
  <c r="Z97" i="84"/>
  <c r="BJ373" i="84"/>
  <c r="C34" i="82"/>
  <c r="S271" i="84"/>
  <c r="AV43" i="82"/>
  <c r="BJ825" i="84"/>
  <c r="Q11" i="82"/>
  <c r="BJ606" i="84"/>
  <c r="AL14" i="82"/>
  <c r="Y913" i="84"/>
  <c r="F549" i="84"/>
  <c r="Q114" i="84"/>
  <c r="M670" i="84"/>
  <c r="BJ728" i="84"/>
  <c r="BK235" i="84"/>
  <c r="S656" i="84"/>
  <c r="Y480" i="84"/>
  <c r="AA195" i="84"/>
  <c r="W197" i="84"/>
  <c r="Z647" i="84"/>
  <c r="AA139" i="84"/>
  <c r="V119" i="84"/>
  <c r="Y660" i="84"/>
  <c r="BJ22" i="84"/>
  <c r="BK934" i="84"/>
  <c r="BC42" i="82"/>
  <c r="BJ610" i="84"/>
  <c r="BK910" i="84"/>
  <c r="J946" i="84"/>
  <c r="BK815" i="84"/>
  <c r="P536" i="84"/>
  <c r="O53" i="84"/>
  <c r="O540" i="84"/>
  <c r="X514" i="84"/>
  <c r="AB29" i="82"/>
  <c r="BK307" i="84"/>
  <c r="V964" i="84"/>
  <c r="AA356" i="84"/>
  <c r="Q97" i="84"/>
  <c r="AA652" i="84"/>
  <c r="BK359" i="84"/>
  <c r="T43" i="82"/>
  <c r="P209" i="84"/>
  <c r="S23" i="82"/>
  <c r="W625" i="84"/>
  <c r="AF950" i="84"/>
  <c r="BJ773" i="84"/>
  <c r="AR45" i="82"/>
  <c r="BK544" i="84"/>
  <c r="AK20" i="82"/>
  <c r="N616" i="84"/>
  <c r="BK619" i="84"/>
  <c r="Q44" i="82"/>
  <c r="W230" i="84"/>
  <c r="F38" i="84"/>
  <c r="Y513" i="84"/>
  <c r="Z377" i="84"/>
  <c r="BK316" i="84"/>
  <c r="E606" i="84"/>
  <c r="P720" i="84"/>
  <c r="AF84" i="84"/>
  <c r="S826" i="84"/>
  <c r="Q902" i="84"/>
  <c r="AA439" i="84"/>
  <c r="BJ544" i="84"/>
  <c r="BK677" i="84"/>
  <c r="S403" i="84"/>
  <c r="AA487" i="84"/>
  <c r="BJ966" i="84"/>
  <c r="BJ35" i="84"/>
  <c r="O487" i="84"/>
  <c r="P42" i="82"/>
  <c r="V380" i="84"/>
  <c r="BK462" i="84"/>
  <c r="W231" i="84"/>
  <c r="AA497" i="84"/>
  <c r="E20" i="84"/>
  <c r="W728" i="84"/>
  <c r="F404" i="84"/>
  <c r="F728" i="84"/>
  <c r="BK460" i="84"/>
  <c r="AN32" i="82"/>
  <c r="Z384" i="84"/>
  <c r="BJ933" i="84"/>
  <c r="BY25" i="82"/>
  <c r="C31" i="82"/>
  <c r="Y528" i="84"/>
  <c r="V495" i="84"/>
  <c r="E579" i="84"/>
  <c r="AF325" i="84"/>
  <c r="AA871" i="84"/>
  <c r="Z297" i="84"/>
  <c r="BK865" i="84"/>
  <c r="X320" i="84"/>
  <c r="BK519" i="84"/>
  <c r="W964" i="84"/>
  <c r="W305" i="84"/>
  <c r="BK87" i="84"/>
  <c r="W814" i="84"/>
  <c r="AF343" i="84"/>
  <c r="AA59" i="84"/>
  <c r="E211" i="84"/>
  <c r="V839" i="84"/>
  <c r="BJ493" i="84"/>
  <c r="G769" i="84"/>
  <c r="AA649" i="84"/>
  <c r="F149" i="84"/>
  <c r="BJ750" i="84"/>
  <c r="BK60" i="84"/>
  <c r="S863" i="84"/>
  <c r="BJ799" i="84"/>
  <c r="Y609" i="84"/>
  <c r="H25" i="82"/>
  <c r="C30" i="82"/>
  <c r="BJ448" i="84"/>
  <c r="Y887" i="84"/>
  <c r="P415" i="84"/>
  <c r="E133" i="84"/>
  <c r="AA557" i="84"/>
  <c r="BJ636" i="84"/>
  <c r="BQ10" i="82"/>
  <c r="F794" i="84"/>
  <c r="Y869" i="84"/>
  <c r="Z477" i="84"/>
  <c r="F172" i="84"/>
  <c r="BJ566" i="84"/>
  <c r="E451" i="84"/>
  <c r="AC41" i="82"/>
  <c r="V20" i="84"/>
  <c r="BJ364" i="84"/>
  <c r="O38" i="84"/>
  <c r="W50" i="84"/>
  <c r="BA27" i="82"/>
  <c r="BJ862" i="84"/>
  <c r="H10" i="82"/>
  <c r="BK184" i="84"/>
  <c r="BF45" i="82"/>
  <c r="BJ517" i="84"/>
  <c r="F219" i="84"/>
  <c r="BJ893" i="84"/>
  <c r="I38" i="82"/>
  <c r="BJ768" i="84"/>
  <c r="AG33" i="82"/>
  <c r="V601" i="84"/>
  <c r="W496" i="84"/>
  <c r="BK98" i="84"/>
  <c r="V713" i="84"/>
  <c r="E587" i="84"/>
  <c r="BJ192" i="84"/>
  <c r="BK192" i="84"/>
  <c r="BK796" i="84"/>
  <c r="X956" i="84"/>
  <c r="X907" i="84"/>
  <c r="AA248" i="84"/>
  <c r="BK293" i="84"/>
  <c r="T16" i="82"/>
  <c r="E836" i="84"/>
  <c r="D31" i="82"/>
  <c r="BK108" i="84"/>
  <c r="X704" i="84"/>
  <c r="BK308" i="84"/>
  <c r="Y267" i="84"/>
  <c r="BK158" i="84"/>
  <c r="X836" i="84"/>
  <c r="S355" i="84"/>
  <c r="AA344" i="84"/>
  <c r="E455" i="84"/>
  <c r="X176" i="84"/>
  <c r="BK367" i="84"/>
  <c r="BJ564" i="84"/>
  <c r="BY36" i="82"/>
  <c r="AK34" i="82"/>
  <c r="BK604" i="84"/>
  <c r="N781" i="84"/>
  <c r="AA848" i="84"/>
  <c r="BJ898" i="84"/>
  <c r="V900" i="84"/>
  <c r="AA615" i="84"/>
  <c r="Z8" i="84"/>
  <c r="AF942" i="84"/>
  <c r="AA636" i="84"/>
  <c r="Y147" i="84"/>
  <c r="AA63" i="84"/>
  <c r="BC28" i="82"/>
  <c r="O629" i="84"/>
  <c r="AA796" i="84"/>
  <c r="P190" i="84"/>
  <c r="AA833" i="84"/>
  <c r="AB34" i="82"/>
  <c r="T130" i="84"/>
  <c r="AA602" i="84"/>
  <c r="V401" i="84"/>
  <c r="V45" i="84"/>
  <c r="S231" i="84"/>
  <c r="AA142" i="84"/>
  <c r="O438" i="84"/>
  <c r="AL17" i="82"/>
  <c r="Z873" i="84"/>
  <c r="V13" i="84"/>
  <c r="N167" i="84"/>
  <c r="AF287" i="84"/>
  <c r="BJ907" i="84"/>
  <c r="BK298" i="84"/>
  <c r="Y272" i="84"/>
  <c r="Q141" i="84"/>
  <c r="BK938" i="84"/>
  <c r="BK77" i="84"/>
  <c r="F828" i="84"/>
  <c r="P835" i="84"/>
  <c r="T128" i="84"/>
  <c r="V707" i="84"/>
  <c r="AT33" i="82"/>
  <c r="AY28" i="82"/>
  <c r="P302" i="84"/>
  <c r="AC10" i="82"/>
  <c r="BJ546" i="84"/>
  <c r="AM32" i="82"/>
  <c r="Y742" i="84"/>
  <c r="X536" i="84"/>
  <c r="F749" i="84"/>
  <c r="BK558" i="84"/>
  <c r="F709" i="84"/>
  <c r="AA191" i="84"/>
  <c r="BK946" i="84"/>
  <c r="P848" i="84"/>
  <c r="X228" i="84"/>
  <c r="Y816" i="84"/>
  <c r="F518" i="84"/>
  <c r="X453" i="84"/>
  <c r="AF676" i="84"/>
  <c r="BK908" i="84"/>
  <c r="F103" i="84"/>
  <c r="W830" i="84"/>
  <c r="S371" i="84"/>
  <c r="BJ785" i="84"/>
  <c r="Y99" i="84"/>
  <c r="AK17" i="82"/>
  <c r="BE34" i="82"/>
  <c r="E240" i="84"/>
  <c r="AF92" i="84"/>
  <c r="F780" i="84"/>
  <c r="AA664" i="84"/>
  <c r="E286" i="84"/>
  <c r="AC44" i="82"/>
  <c r="BJ365" i="84"/>
  <c r="BK183" i="84"/>
  <c r="F900" i="84"/>
  <c r="BJ625" i="84"/>
  <c r="BG16" i="82"/>
  <c r="Y14" i="84"/>
  <c r="Y641" i="84"/>
  <c r="U154" i="84"/>
  <c r="BK41" i="84"/>
  <c r="Z642" i="84"/>
  <c r="W961" i="84"/>
  <c r="AA408" i="84"/>
  <c r="AA19" i="82"/>
  <c r="F551" i="84"/>
  <c r="BK743" i="84"/>
  <c r="V60" i="84"/>
  <c r="F384" i="84"/>
  <c r="BJ399" i="84"/>
  <c r="G578" i="84"/>
  <c r="AF213" i="84"/>
  <c r="E38" i="84"/>
  <c r="V349" i="84"/>
  <c r="V515" i="84"/>
  <c r="V169" i="84"/>
  <c r="V199" i="84"/>
  <c r="BJ739" i="84"/>
  <c r="BK404" i="84"/>
  <c r="E944" i="84"/>
  <c r="E115" i="84"/>
  <c r="O459" i="84"/>
  <c r="BK631" i="84"/>
  <c r="W916" i="84"/>
  <c r="W343" i="84"/>
  <c r="F685" i="84"/>
  <c r="F313" i="84"/>
  <c r="BK165" i="84"/>
  <c r="BG9" i="82"/>
  <c r="AF64" i="84"/>
  <c r="BK318" i="84"/>
  <c r="AA226" i="84"/>
  <c r="F924" i="84"/>
  <c r="BJ251" i="84"/>
  <c r="S18" i="84"/>
  <c r="N599" i="84"/>
  <c r="O8" i="84"/>
  <c r="M33" i="82"/>
  <c r="BK384" i="84"/>
  <c r="BJ412" i="84"/>
  <c r="R517" i="84"/>
  <c r="O945" i="84"/>
  <c r="Z123" i="84"/>
  <c r="N446" i="84"/>
  <c r="BE16" i="82"/>
  <c r="AF224" i="84"/>
  <c r="S627" i="84"/>
  <c r="BF26" i="82"/>
  <c r="AF16" i="82"/>
  <c r="Z200" i="84"/>
  <c r="F686" i="84"/>
  <c r="AA331" i="84"/>
  <c r="G158" i="84"/>
  <c r="N324" i="84"/>
  <c r="BJ552" i="84"/>
  <c r="Q937" i="84"/>
  <c r="AF620" i="84"/>
  <c r="F433" i="84"/>
  <c r="AF437" i="84"/>
  <c r="X924" i="84"/>
  <c r="BK611" i="84"/>
  <c r="Q513" i="84"/>
  <c r="AA954" i="84"/>
  <c r="H581" i="84"/>
  <c r="AF595" i="84"/>
  <c r="W68" i="84"/>
  <c r="X120" i="84"/>
  <c r="BJ579" i="84"/>
  <c r="F865" i="84"/>
  <c r="AG30" i="82"/>
  <c r="F877" i="84"/>
  <c r="Z783" i="84"/>
  <c r="H14" i="82"/>
  <c r="BK810" i="84"/>
  <c r="BJ770" i="84"/>
  <c r="X545" i="84"/>
  <c r="X550" i="84"/>
  <c r="V317" i="84"/>
  <c r="AF864" i="84"/>
  <c r="AP21" i="82"/>
  <c r="Y401" i="84"/>
  <c r="Z161" i="84"/>
  <c r="BC30" i="82"/>
  <c r="X928" i="84"/>
  <c r="V857" i="84"/>
  <c r="P431" i="84"/>
  <c r="F502" i="84"/>
  <c r="AA272" i="84"/>
  <c r="AA70" i="84"/>
  <c r="AF821" i="84"/>
  <c r="F541" i="84"/>
  <c r="BK465" i="84"/>
  <c r="X691" i="84"/>
  <c r="X469" i="84"/>
  <c r="G929" i="84"/>
  <c r="BJ408" i="84"/>
  <c r="BK592" i="84"/>
  <c r="L17" i="82"/>
  <c r="D40" i="82"/>
  <c r="BK394" i="84"/>
  <c r="AA123" i="84"/>
  <c r="W779" i="84"/>
  <c r="BJ130" i="84"/>
  <c r="T654" i="84"/>
  <c r="T773" i="84"/>
  <c r="BK707" i="84"/>
  <c r="AE41" i="82"/>
  <c r="BJ609" i="84"/>
  <c r="G211" i="84"/>
  <c r="X631" i="84"/>
  <c r="S130" i="84"/>
  <c r="Y953" i="84"/>
  <c r="S45" i="82"/>
  <c r="AA894" i="84"/>
  <c r="Y170" i="84"/>
  <c r="W238" i="84"/>
  <c r="E893" i="84"/>
  <c r="Z661" i="84"/>
  <c r="W159" i="84"/>
  <c r="S853" i="84"/>
  <c r="O573" i="84"/>
  <c r="W590" i="84"/>
  <c r="Y250" i="84"/>
  <c r="AF341" i="84"/>
  <c r="L456" i="84"/>
  <c r="S24" i="82"/>
  <c r="Y668" i="84"/>
  <c r="G672" i="84"/>
  <c r="BK783" i="84"/>
  <c r="AA34" i="82"/>
  <c r="X156" i="84"/>
  <c r="O32" i="84"/>
  <c r="X37" i="84"/>
  <c r="AA216" i="84"/>
  <c r="Y410" i="84"/>
  <c r="BK95" i="84"/>
  <c r="N271" i="84"/>
  <c r="AS17" i="82"/>
  <c r="AX24" i="82"/>
  <c r="P633" i="84"/>
  <c r="Q919" i="84"/>
  <c r="Q56" i="84"/>
  <c r="G408" i="84"/>
  <c r="V341" i="84"/>
  <c r="BC44" i="82"/>
  <c r="BJ266" i="84"/>
  <c r="AE19" i="82"/>
  <c r="A781" i="84"/>
  <c r="M555" i="84"/>
  <c r="AF673" i="84"/>
  <c r="W965" i="84"/>
  <c r="BK926" i="84"/>
  <c r="Y397" i="84"/>
  <c r="BK548" i="84"/>
  <c r="Y314" i="84"/>
  <c r="BJ654" i="84"/>
  <c r="AA370" i="84"/>
  <c r="P458" i="84"/>
  <c r="W467" i="84"/>
  <c r="P508" i="84"/>
  <c r="BK509" i="84"/>
  <c r="E443" i="84"/>
  <c r="Y680" i="84"/>
  <c r="O861" i="84"/>
  <c r="N663" i="84"/>
  <c r="E718" i="84"/>
  <c r="O739" i="84"/>
  <c r="Z594" i="84"/>
  <c r="Z561" i="84"/>
  <c r="AF782" i="84"/>
  <c r="C38" i="82"/>
  <c r="BK362" i="84"/>
  <c r="W32" i="84"/>
  <c r="BJ300" i="84"/>
  <c r="AF475" i="84"/>
  <c r="BJ715" i="84"/>
  <c r="F493" i="84"/>
  <c r="N294" i="84"/>
  <c r="N432" i="84"/>
  <c r="E161" i="84"/>
  <c r="BK655" i="84"/>
  <c r="BY26" i="82"/>
  <c r="F66" i="84"/>
  <c r="BK133" i="84"/>
  <c r="G43" i="82"/>
  <c r="BJ99" i="84"/>
  <c r="Z171" i="84"/>
  <c r="AK8" i="82"/>
  <c r="BJ708" i="84"/>
  <c r="G387" i="84"/>
  <c r="AA622" i="84"/>
  <c r="BJ717" i="84"/>
  <c r="AZ23" i="82"/>
  <c r="BK173" i="84"/>
  <c r="BK772" i="84"/>
  <c r="N633" i="84"/>
  <c r="F34" i="82"/>
  <c r="BK895" i="84"/>
  <c r="W72" i="84"/>
  <c r="Y921" i="84"/>
  <c r="T853" i="84"/>
  <c r="X353" i="84"/>
  <c r="BK180" i="84"/>
  <c r="BK696" i="84"/>
  <c r="AA623" i="84"/>
  <c r="AC45" i="82"/>
  <c r="N363" i="84"/>
  <c r="X662" i="84"/>
  <c r="F174" i="84"/>
  <c r="BN30" i="82"/>
  <c r="AA518" i="84"/>
  <c r="M306" i="84"/>
  <c r="W65" i="84"/>
  <c r="Z7" i="84"/>
  <c r="BJ313" i="84"/>
  <c r="E929" i="84"/>
  <c r="E814" i="84"/>
  <c r="S596" i="84"/>
  <c r="AW25" i="82"/>
  <c r="F252" i="84"/>
  <c r="V437" i="84"/>
  <c r="AF719" i="84"/>
  <c r="U370" i="84"/>
  <c r="V747" i="84"/>
  <c r="R666" i="84"/>
  <c r="F442" i="84"/>
  <c r="F142" i="84"/>
  <c r="N152" i="84"/>
  <c r="Y479" i="84"/>
  <c r="BK622" i="84"/>
  <c r="AF482" i="84"/>
  <c r="AQ11" i="82"/>
  <c r="AA453" i="84"/>
  <c r="BJ941" i="84"/>
  <c r="AA51" i="84"/>
  <c r="BJ206" i="84"/>
  <c r="W894" i="84"/>
  <c r="AF104" i="84"/>
  <c r="Q617" i="84"/>
  <c r="Z9" i="84"/>
  <c r="BK363" i="84"/>
  <c r="Z311" i="84"/>
  <c r="X762" i="84"/>
  <c r="AA30" i="84"/>
  <c r="R69" i="84"/>
  <c r="V837" i="84"/>
  <c r="F961" i="84"/>
  <c r="BJ20" i="84"/>
  <c r="O544" i="84"/>
  <c r="BK450" i="84"/>
  <c r="V231" i="84"/>
  <c r="W244" i="84"/>
  <c r="BJ935" i="84"/>
  <c r="E239" i="84"/>
  <c r="V951" i="84"/>
  <c r="P378" i="84"/>
  <c r="BK492" i="84"/>
  <c r="Q83" i="84"/>
  <c r="BJ189" i="84"/>
  <c r="L781" i="84"/>
  <c r="G627" i="84"/>
  <c r="W823" i="84"/>
  <c r="BJ874" i="84"/>
  <c r="BJ409" i="84"/>
  <c r="Z437" i="84"/>
  <c r="AA480" i="84"/>
  <c r="P925" i="84"/>
  <c r="AF725" i="84"/>
  <c r="AF518" i="84"/>
  <c r="W529" i="84"/>
  <c r="V584" i="84"/>
  <c r="BJ38" i="84"/>
  <c r="AA596" i="84"/>
  <c r="V778" i="84"/>
  <c r="G613" i="84"/>
  <c r="AF70" i="84"/>
  <c r="V363" i="84"/>
  <c r="X502" i="84"/>
  <c r="V582" i="84"/>
  <c r="AF483" i="84"/>
  <c r="X560" i="84"/>
  <c r="BK740" i="84"/>
  <c r="BG37" i="82"/>
  <c r="W599" i="84"/>
  <c r="BK844" i="84"/>
  <c r="AF328" i="84"/>
  <c r="F692" i="84"/>
  <c r="W130" i="84"/>
  <c r="N379" i="84"/>
  <c r="BJ771" i="84"/>
  <c r="Z545" i="84"/>
  <c r="V653" i="84"/>
  <c r="Y385" i="84"/>
  <c r="X127" i="84"/>
  <c r="BK282" i="84"/>
  <c r="BJ355" i="84"/>
  <c r="R449" i="84"/>
  <c r="AA864" i="84"/>
  <c r="BK577" i="84"/>
  <c r="BK73" i="84"/>
  <c r="AF336" i="84"/>
  <c r="H28" i="82"/>
  <c r="AA249" i="84"/>
  <c r="AD30" i="82"/>
  <c r="P336" i="84"/>
  <c r="W850" i="84"/>
  <c r="AF943" i="84"/>
  <c r="AF422" i="84"/>
  <c r="BK166" i="84"/>
  <c r="V419" i="84"/>
  <c r="AU18" i="82"/>
  <c r="AF492" i="84"/>
  <c r="Y234" i="84"/>
  <c r="AA483" i="84"/>
  <c r="X204" i="84"/>
  <c r="N622" i="84"/>
  <c r="V903" i="84"/>
  <c r="X554" i="84"/>
  <c r="BG19" i="82"/>
  <c r="AA515" i="84"/>
  <c r="W95" i="84"/>
  <c r="BK300" i="84"/>
  <c r="AU26" i="82"/>
  <c r="BK8" i="84"/>
  <c r="J24" i="82"/>
  <c r="E921" i="84"/>
  <c r="AF746" i="84"/>
  <c r="Z69" i="84"/>
  <c r="V631" i="84"/>
  <c r="Q158" i="84"/>
  <c r="BK277" i="84"/>
  <c r="Y472" i="84"/>
  <c r="P313" i="84"/>
  <c r="T607" i="84"/>
  <c r="W598" i="84"/>
  <c r="W221" i="84"/>
  <c r="AI35" i="82"/>
  <c r="AF745" i="84"/>
  <c r="F7" i="82"/>
  <c r="X252" i="84"/>
  <c r="AF385" i="84"/>
  <c r="S22" i="82"/>
  <c r="C841" i="84"/>
  <c r="D8" i="82"/>
  <c r="Q960" i="84"/>
  <c r="Q220" i="84"/>
  <c r="P259" i="84"/>
  <c r="V334" i="84"/>
  <c r="Z226" i="84"/>
  <c r="BN20" i="82"/>
  <c r="R573" i="84"/>
  <c r="BK609" i="84"/>
  <c r="BJ262" i="84"/>
  <c r="Y344" i="84"/>
  <c r="E97" i="84"/>
  <c r="X165" i="84"/>
  <c r="S31" i="82"/>
  <c r="BJ311" i="84"/>
  <c r="BK522" i="84"/>
  <c r="Z729" i="84"/>
  <c r="AF83" i="84"/>
  <c r="E605" i="84"/>
  <c r="G559" i="84"/>
  <c r="N245" i="84"/>
  <c r="Y671" i="84"/>
  <c r="R498" i="84"/>
  <c r="BJ160" i="84"/>
  <c r="G322" i="84"/>
  <c r="J367" i="84"/>
  <c r="O132" i="84"/>
  <c r="O32" i="82"/>
  <c r="Z383" i="84"/>
  <c r="H22" i="82"/>
  <c r="BJ620" i="84"/>
  <c r="AF488" i="84"/>
  <c r="O25" i="84"/>
  <c r="W776" i="84"/>
  <c r="E936" i="84"/>
  <c r="Z14" i="84"/>
  <c r="AF734" i="84"/>
  <c r="X499" i="84"/>
  <c r="Y818" i="84"/>
  <c r="Z57" i="84"/>
  <c r="J11" i="82"/>
  <c r="E588" i="84"/>
  <c r="Y566" i="84"/>
  <c r="V558" i="84"/>
  <c r="BK919" i="84"/>
  <c r="O400" i="84"/>
  <c r="E518" i="84"/>
  <c r="O114" i="84"/>
  <c r="W204" i="84"/>
  <c r="G940" i="84"/>
  <c r="Z721" i="84"/>
  <c r="AB36" i="82"/>
  <c r="BF9" i="82"/>
  <c r="BJ231" i="84"/>
  <c r="O23" i="82"/>
  <c r="BK86" i="84"/>
  <c r="AA16" i="84"/>
  <c r="AF587" i="84"/>
  <c r="G920" i="84"/>
  <c r="AF267" i="84"/>
  <c r="AA741" i="84"/>
  <c r="G81" i="84"/>
  <c r="AF544" i="84"/>
  <c r="AA375" i="84"/>
  <c r="Y184" i="84"/>
  <c r="O547" i="84"/>
  <c r="S20" i="82"/>
  <c r="V480" i="84"/>
  <c r="X413" i="84"/>
  <c r="BK372" i="84"/>
  <c r="AA568" i="84"/>
  <c r="BQ31" i="82"/>
  <c r="BJ740" i="84"/>
  <c r="BJ73" i="84"/>
  <c r="AF248" i="84"/>
  <c r="V327" i="84"/>
  <c r="Y412" i="84"/>
  <c r="AF682" i="84"/>
  <c r="W144" i="84"/>
  <c r="F348" i="84"/>
  <c r="BJ573" i="84"/>
  <c r="BJ664" i="84"/>
  <c r="V298" i="84"/>
  <c r="E628" i="84"/>
  <c r="BJ376" i="84"/>
  <c r="E524" i="84"/>
  <c r="BJ596" i="84"/>
  <c r="F85" i="84"/>
  <c r="X55" i="84"/>
  <c r="AW44" i="82"/>
  <c r="Z300" i="84"/>
  <c r="AF444" i="84"/>
  <c r="P625" i="84"/>
  <c r="BJ187" i="84"/>
  <c r="P710" i="84"/>
  <c r="AF666" i="84"/>
  <c r="Y630" i="84"/>
  <c r="AA462" i="84"/>
  <c r="V894" i="84"/>
  <c r="V838" i="84"/>
  <c r="BK470" i="84"/>
  <c r="BJ176" i="84"/>
  <c r="G825" i="84"/>
  <c r="AF896" i="84"/>
  <c r="F79" i="84"/>
  <c r="G476" i="84"/>
  <c r="V506" i="84"/>
  <c r="BN21" i="82"/>
  <c r="Y386" i="84"/>
  <c r="Z603" i="84"/>
  <c r="V15" i="84"/>
  <c r="E433" i="84"/>
  <c r="O627" i="84"/>
  <c r="AI11" i="82"/>
  <c r="N867" i="84"/>
  <c r="E37" i="84"/>
  <c r="AF230" i="84"/>
  <c r="AF413" i="84"/>
  <c r="Y845" i="84"/>
  <c r="U707" i="84"/>
  <c r="T7" i="82"/>
  <c r="BK477" i="84"/>
  <c r="AF621" i="84"/>
  <c r="S59" i="84"/>
  <c r="F620" i="84"/>
  <c r="W570" i="84"/>
  <c r="E203" i="84"/>
  <c r="AV22" i="82"/>
  <c r="X620" i="84"/>
  <c r="Z40" i="84"/>
  <c r="V489" i="84"/>
  <c r="AA750" i="84"/>
  <c r="BJ618" i="84"/>
  <c r="P208" i="84"/>
  <c r="Z557" i="84"/>
  <c r="BJ802" i="84"/>
  <c r="X827" i="84"/>
  <c r="W821" i="84"/>
  <c r="W710" i="84"/>
  <c r="BJ521" i="84"/>
  <c r="AA654" i="84"/>
  <c r="AA962" i="84"/>
  <c r="AF23" i="82"/>
  <c r="H18" i="82"/>
  <c r="BJ316" i="84"/>
  <c r="Y776" i="84"/>
  <c r="O890" i="84"/>
  <c r="AF958" i="84"/>
  <c r="BK176" i="84"/>
  <c r="Z156" i="84"/>
  <c r="V753" i="84"/>
  <c r="BJ89" i="84"/>
  <c r="AF378" i="84"/>
  <c r="BK888" i="84"/>
  <c r="S489" i="84"/>
  <c r="Z53" i="84"/>
  <c r="AQ37" i="82"/>
  <c r="Y924" i="84"/>
  <c r="Y521" i="84"/>
  <c r="BK780" i="84"/>
  <c r="AF39" i="84"/>
  <c r="AF176" i="84"/>
  <c r="V644" i="84"/>
  <c r="V840" i="84"/>
  <c r="X340" i="84"/>
  <c r="BJ803" i="84"/>
  <c r="O841" i="84"/>
  <c r="W638" i="84"/>
  <c r="F772" i="84"/>
  <c r="BK341" i="84"/>
  <c r="R476" i="84"/>
  <c r="BK731" i="84"/>
  <c r="O59" i="84"/>
  <c r="X296" i="84"/>
  <c r="AF840" i="84"/>
  <c r="Q516" i="84"/>
  <c r="AA625" i="84"/>
  <c r="G288" i="84"/>
  <c r="N11" i="82"/>
  <c r="V861" i="84"/>
  <c r="O186" i="84"/>
  <c r="F185" i="84"/>
  <c r="AF117" i="84"/>
  <c r="V796" i="84"/>
  <c r="G517" i="84"/>
  <c r="M726" i="84"/>
  <c r="N520" i="84"/>
  <c r="AU9" i="82"/>
  <c r="AA154" i="84"/>
  <c r="G919" i="84"/>
  <c r="T440" i="84"/>
  <c r="P440" i="84"/>
  <c r="AN35" i="82"/>
  <c r="BJ614" i="84"/>
  <c r="AF685" i="84"/>
  <c r="BK851" i="84"/>
  <c r="AF627" i="84"/>
  <c r="V590" i="84"/>
  <c r="BJ749" i="84"/>
  <c r="E19" i="82"/>
  <c r="BJ679" i="84"/>
  <c r="Z625" i="84"/>
  <c r="W404" i="84"/>
  <c r="BK749" i="84"/>
  <c r="BJ660" i="84"/>
  <c r="AF45" i="82"/>
  <c r="N333" i="84"/>
  <c r="Y690" i="84"/>
  <c r="F585" i="84"/>
  <c r="E703" i="84"/>
  <c r="G814" i="84"/>
  <c r="BK608" i="84"/>
  <c r="AY17" i="82"/>
  <c r="BJ778" i="84"/>
  <c r="AF504" i="84"/>
  <c r="V931" i="84"/>
  <c r="BK923" i="84"/>
  <c r="F754" i="84"/>
  <c r="AC35" i="82"/>
  <c r="AF812" i="84"/>
  <c r="F626" i="84"/>
  <c r="T815" i="84"/>
  <c r="E696" i="84"/>
  <c r="N42" i="84"/>
  <c r="E790" i="84"/>
  <c r="W566" i="84"/>
  <c r="F942" i="84"/>
  <c r="Q235" i="84"/>
  <c r="Y618" i="84"/>
  <c r="M38" i="82"/>
  <c r="S237" i="84"/>
  <c r="E385" i="84"/>
  <c r="H410" i="84"/>
  <c r="V949" i="84"/>
  <c r="BJ78" i="84"/>
  <c r="BJ712" i="84"/>
  <c r="Z496" i="84"/>
  <c r="N955" i="84"/>
  <c r="Z964" i="84"/>
  <c r="H42" i="82"/>
  <c r="G9" i="82"/>
  <c r="V106" i="84"/>
  <c r="Z853" i="84"/>
  <c r="W903" i="84"/>
  <c r="AQ33" i="82"/>
  <c r="W960" i="84"/>
  <c r="AF71" i="84"/>
  <c r="AA876" i="84"/>
  <c r="G865" i="84"/>
  <c r="AZ37" i="82"/>
  <c r="AV13" i="82"/>
  <c r="Q203" i="84"/>
  <c r="F98" i="84"/>
  <c r="AP14" i="82"/>
  <c r="F582" i="84"/>
  <c r="AF20" i="84"/>
  <c r="G182" i="84"/>
  <c r="F282" i="84"/>
  <c r="Z455" i="84"/>
  <c r="BJ856" i="84"/>
  <c r="T585" i="84"/>
  <c r="Z546" i="84"/>
  <c r="BK74" i="84"/>
  <c r="AF923" i="84"/>
  <c r="BK137" i="84"/>
  <c r="P427" i="84"/>
  <c r="BJ859" i="84"/>
  <c r="N802" i="84"/>
  <c r="H952" i="84"/>
  <c r="W732" i="84"/>
  <c r="P398" i="84"/>
  <c r="Y596" i="84"/>
  <c r="V664" i="84"/>
  <c r="N36" i="84"/>
  <c r="AL29" i="82"/>
  <c r="BJ197" i="84"/>
  <c r="Y619" i="84"/>
  <c r="W639" i="84"/>
  <c r="AJ31" i="82"/>
  <c r="BJ255" i="84"/>
  <c r="G797" i="84"/>
  <c r="BK909" i="84"/>
  <c r="BK900" i="84"/>
  <c r="BE11" i="82"/>
  <c r="BK960" i="84"/>
  <c r="F813" i="84"/>
  <c r="X63" i="84"/>
  <c r="AW40" i="82"/>
  <c r="BY24" i="82"/>
  <c r="R853" i="84"/>
  <c r="N427" i="84"/>
  <c r="T313" i="84"/>
  <c r="BK952" i="84"/>
  <c r="E126" i="84"/>
  <c r="Z216" i="84"/>
  <c r="X321" i="84"/>
  <c r="E180" i="84"/>
  <c r="Q462" i="84"/>
  <c r="Z341" i="84"/>
  <c r="AJ11" i="82"/>
  <c r="Y54" i="84"/>
  <c r="AQ42" i="82"/>
  <c r="BK242" i="84"/>
  <c r="E242" i="84"/>
  <c r="Z699" i="84"/>
  <c r="X359" i="84"/>
  <c r="AF246" i="84"/>
  <c r="V529" i="84"/>
  <c r="BJ482" i="84"/>
  <c r="AF209" i="84"/>
  <c r="BK375" i="84"/>
  <c r="AN9" i="82"/>
  <c r="AA715" i="84"/>
  <c r="BJ949" i="84"/>
  <c r="AF191" i="84"/>
  <c r="E798" i="84"/>
  <c r="Z71" i="84"/>
  <c r="G791" i="84"/>
  <c r="AF72" i="84"/>
  <c r="AF732" i="84"/>
  <c r="BJ280" i="84"/>
  <c r="N550" i="84"/>
  <c r="Y117" i="84"/>
  <c r="BK400" i="84"/>
  <c r="R437" i="84"/>
  <c r="E581" i="84"/>
  <c r="P295" i="84"/>
  <c r="E394" i="84"/>
  <c r="BJ179" i="84"/>
  <c r="S26" i="82"/>
  <c r="L31" i="82"/>
  <c r="AV24" i="82"/>
  <c r="N222" i="84"/>
  <c r="L36" i="82"/>
  <c r="AA405" i="84"/>
  <c r="W513" i="84"/>
  <c r="O77" i="84"/>
  <c r="X383" i="84"/>
  <c r="W61" i="84"/>
  <c r="G499" i="84"/>
  <c r="BK472" i="84"/>
  <c r="BJ955" i="84"/>
  <c r="S829" i="84"/>
  <c r="F90" i="84"/>
  <c r="G26" i="84"/>
  <c r="AA129" i="84"/>
  <c r="BJ592" i="84"/>
  <c r="Q640" i="84"/>
  <c r="V813" i="84"/>
  <c r="N45" i="82"/>
  <c r="BK455" i="84"/>
  <c r="AF210" i="84"/>
  <c r="I17" i="82"/>
  <c r="AA543" i="84"/>
  <c r="Z757" i="84"/>
  <c r="N470" i="84"/>
  <c r="J47" i="84"/>
  <c r="E765" i="84"/>
  <c r="W337" i="84"/>
  <c r="L529" i="84"/>
  <c r="BQ36" i="82"/>
  <c r="BK793" i="84"/>
  <c r="X335" i="84"/>
  <c r="AF825" i="84"/>
  <c r="Y669" i="84"/>
  <c r="AR29" i="82"/>
  <c r="F244" i="84"/>
  <c r="BN17" i="82"/>
  <c r="AM8" i="82"/>
  <c r="AM22" i="82"/>
  <c r="P85" i="84"/>
  <c r="X717" i="84"/>
  <c r="AK13" i="82"/>
  <c r="AC22" i="82"/>
  <c r="E291" i="84"/>
  <c r="O455" i="84"/>
  <c r="E421" i="84"/>
  <c r="AA274" i="84"/>
  <c r="V736" i="84"/>
  <c r="AF333" i="84"/>
  <c r="Y471" i="84"/>
  <c r="E932" i="84"/>
  <c r="X782" i="84"/>
  <c r="Z773" i="84"/>
  <c r="W111" i="84"/>
  <c r="BG32" i="82"/>
  <c r="F445" i="84"/>
  <c r="X720" i="84"/>
  <c r="G48" i="84"/>
  <c r="X715" i="84"/>
  <c r="Y268" i="84"/>
  <c r="BK703" i="84"/>
  <c r="X40" i="84"/>
  <c r="F277" i="84"/>
  <c r="AF952" i="84"/>
  <c r="AA208" i="84"/>
  <c r="X780" i="84"/>
  <c r="Y315" i="84"/>
  <c r="AA512" i="84"/>
  <c r="M254" i="84"/>
  <c r="BJ34" i="84"/>
  <c r="AA308" i="84"/>
  <c r="BJ931" i="84"/>
  <c r="E404" i="84"/>
  <c r="AA811" i="84"/>
  <c r="Z332" i="84"/>
  <c r="BJ791" i="84"/>
  <c r="X152" i="84"/>
  <c r="G305" i="84"/>
  <c r="Q952" i="84"/>
  <c r="BK896" i="84"/>
  <c r="AI41" i="82"/>
  <c r="Y289" i="84"/>
  <c r="F625" i="84"/>
  <c r="Y443" i="84"/>
  <c r="E780" i="84"/>
  <c r="AA378" i="84"/>
  <c r="N431" i="84"/>
  <c r="G176" i="84"/>
  <c r="BK155" i="84"/>
  <c r="BK667" i="84"/>
  <c r="AR10" i="82"/>
  <c r="W575" i="84"/>
  <c r="AA719" i="84"/>
  <c r="BK506" i="84"/>
  <c r="V703" i="84"/>
  <c r="X240" i="84"/>
  <c r="Q517" i="84"/>
  <c r="Y798" i="84"/>
  <c r="U728" i="84"/>
  <c r="Z256" i="84"/>
  <c r="R533" i="84"/>
  <c r="BK768" i="84"/>
  <c r="BJ863" i="84"/>
  <c r="X508" i="84"/>
  <c r="X381" i="84"/>
  <c r="W769" i="84"/>
  <c r="AZ28" i="82"/>
  <c r="BJ687" i="84"/>
  <c r="BE17" i="82"/>
  <c r="AA175" i="84"/>
  <c r="Y903" i="84"/>
  <c r="AV7" i="82"/>
  <c r="Z178" i="84"/>
  <c r="BF29" i="82"/>
  <c r="BJ726" i="84"/>
  <c r="AF663" i="84"/>
  <c r="BK345" i="84"/>
  <c r="F774" i="84"/>
  <c r="Q596" i="84"/>
  <c r="AA283" i="84"/>
  <c r="O384" i="84"/>
  <c r="G696" i="84"/>
  <c r="G209" i="84"/>
  <c r="AF279" i="84"/>
  <c r="BK278" i="84"/>
  <c r="Y812" i="84"/>
  <c r="T44" i="82"/>
  <c r="AA44" i="82"/>
  <c r="O677" i="84"/>
  <c r="AX18" i="82"/>
  <c r="BJ650" i="84"/>
  <c r="BJ203" i="84"/>
  <c r="BJ763" i="84"/>
  <c r="Z58" i="84"/>
  <c r="G18" i="82"/>
  <c r="W286" i="84"/>
  <c r="BJ670" i="84"/>
  <c r="BJ158" i="84"/>
  <c r="H126" i="84"/>
  <c r="BJ797" i="84"/>
  <c r="L16" i="82"/>
  <c r="BJ656" i="84"/>
  <c r="Y749" i="84"/>
  <c r="N12" i="82"/>
  <c r="V191" i="84"/>
  <c r="AF709" i="84"/>
  <c r="BK595" i="84"/>
  <c r="W855" i="84"/>
  <c r="AE25" i="82"/>
  <c r="X447" i="84"/>
  <c r="F189" i="84"/>
  <c r="E534" i="84"/>
  <c r="W941" i="84"/>
  <c r="AM43" i="82"/>
  <c r="W348" i="84"/>
  <c r="F205" i="84"/>
  <c r="L866" i="84"/>
  <c r="Z552" i="84"/>
  <c r="S18" i="82"/>
  <c r="BM22" i="82"/>
  <c r="BK463" i="84"/>
  <c r="BK820" i="84"/>
  <c r="E953" i="84"/>
  <c r="Y84" i="84"/>
  <c r="Z790" i="84"/>
  <c r="BJ106" i="84"/>
  <c r="BJ808" i="84"/>
  <c r="X277" i="84"/>
  <c r="F826" i="84"/>
  <c r="V182" i="84"/>
  <c r="BK49" i="84"/>
  <c r="BJ228" i="84"/>
  <c r="AA647" i="84"/>
  <c r="BK962" i="84"/>
  <c r="AK33" i="82"/>
  <c r="Q528" i="84"/>
  <c r="V587" i="84"/>
  <c r="E552" i="84"/>
  <c r="W346" i="84"/>
  <c r="J44" i="82"/>
  <c r="N560" i="84"/>
  <c r="BK295" i="84"/>
  <c r="F725" i="84"/>
  <c r="J470" i="84"/>
  <c r="AA570" i="84"/>
  <c r="C41" i="82"/>
  <c r="BM24" i="82"/>
  <c r="Z199" i="84"/>
  <c r="BK326" i="84"/>
  <c r="BJ499" i="84"/>
  <c r="X525" i="84"/>
  <c r="P899" i="84"/>
  <c r="BJ690" i="84"/>
  <c r="G954" i="84"/>
  <c r="V877" i="84"/>
  <c r="X634" i="84"/>
  <c r="F830" i="84"/>
  <c r="AA243" i="84"/>
  <c r="P712" i="84"/>
  <c r="BJ488" i="84"/>
  <c r="Z629" i="84"/>
  <c r="AA201" i="84"/>
  <c r="AF34" i="82"/>
  <c r="BK368" i="84"/>
  <c r="BK680" i="84"/>
  <c r="Y414" i="84"/>
  <c r="E543" i="84"/>
  <c r="G474" i="84"/>
  <c r="BA38" i="82"/>
  <c r="BJ472" i="84"/>
  <c r="Y617" i="84"/>
  <c r="AK29" i="82"/>
  <c r="W179" i="84"/>
  <c r="W600" i="84"/>
  <c r="BK255" i="84"/>
  <c r="V428" i="84"/>
  <c r="BK405" i="84"/>
  <c r="BJ420" i="84"/>
  <c r="X334" i="84"/>
  <c r="X801" i="84"/>
  <c r="BJ615" i="84"/>
  <c r="AP22" i="82"/>
  <c r="AA190" i="84"/>
  <c r="T667" i="84"/>
  <c r="N330" i="84"/>
  <c r="V188" i="84"/>
  <c r="F44" i="84"/>
  <c r="T361" i="84"/>
  <c r="X19" i="84"/>
  <c r="F497" i="84"/>
  <c r="O576" i="84"/>
  <c r="Z589" i="84"/>
  <c r="E760" i="84"/>
  <c r="AF611" i="84"/>
  <c r="X837" i="84"/>
  <c r="AF432" i="84"/>
  <c r="X492" i="84"/>
  <c r="W676" i="84"/>
  <c r="T826" i="84"/>
  <c r="BJ213" i="84"/>
  <c r="BK24" i="84"/>
  <c r="BJ290" i="84"/>
  <c r="F462" i="84"/>
  <c r="E20" i="82"/>
  <c r="Y187" i="84"/>
  <c r="F145" i="84"/>
  <c r="E32" i="84"/>
  <c r="X709" i="84"/>
  <c r="X523" i="84"/>
  <c r="BK417" i="84"/>
  <c r="G497" i="84"/>
  <c r="X272" i="84"/>
  <c r="G21" i="82"/>
  <c r="BK849" i="84"/>
  <c r="G530" i="84"/>
  <c r="Z162" i="84"/>
  <c r="BJ885" i="84"/>
  <c r="BK877" i="84"/>
  <c r="BK567" i="84"/>
  <c r="AA845" i="84"/>
  <c r="BJ911" i="84"/>
  <c r="F137" i="84"/>
  <c r="BJ513" i="84"/>
  <c r="O772" i="84"/>
  <c r="BK146" i="84"/>
  <c r="G97" i="84"/>
  <c r="F465" i="84"/>
  <c r="P395" i="84"/>
  <c r="AF320" i="84"/>
  <c r="V175" i="84"/>
  <c r="J461" i="84"/>
  <c r="AF799" i="84"/>
  <c r="AO18" i="82"/>
  <c r="BJ443" i="84"/>
  <c r="Y837" i="84"/>
  <c r="AQ29" i="82"/>
  <c r="BJ295" i="84"/>
  <c r="P344" i="84"/>
  <c r="BJ886" i="84"/>
  <c r="Q627" i="84"/>
  <c r="Y759" i="84"/>
  <c r="BJ598" i="84"/>
  <c r="S85" i="84"/>
  <c r="BK85" i="84"/>
  <c r="BJ79" i="84"/>
  <c r="G343" i="84"/>
  <c r="AZ44" i="82"/>
  <c r="Y270" i="84"/>
  <c r="AU39" i="82"/>
  <c r="BJ201" i="84"/>
  <c r="F344" i="84"/>
  <c r="G601" i="84"/>
  <c r="BJ522" i="84"/>
  <c r="Y592" i="84"/>
  <c r="G735" i="84"/>
  <c r="V694" i="84"/>
  <c r="Z52" i="84"/>
  <c r="V239" i="84"/>
  <c r="BK852" i="84"/>
  <c r="X159" i="84"/>
  <c r="V103" i="84"/>
  <c r="W237" i="84"/>
  <c r="X355" i="84"/>
  <c r="Q263" i="84"/>
  <c r="R226" i="84"/>
  <c r="O689" i="84"/>
  <c r="BM21" i="82"/>
  <c r="BJ922" i="84"/>
  <c r="R759" i="84"/>
  <c r="X211" i="84"/>
  <c r="Z337" i="84"/>
  <c r="Z386" i="84"/>
  <c r="AG20" i="82"/>
  <c r="AA895" i="84"/>
  <c r="W200" i="84"/>
  <c r="AC18" i="82"/>
  <c r="L291" i="84"/>
  <c r="N735" i="84"/>
  <c r="X362" i="84"/>
  <c r="O563" i="84"/>
  <c r="V78" i="84"/>
  <c r="X807" i="84"/>
  <c r="Y173" i="84"/>
  <c r="X183" i="84"/>
  <c r="Z931" i="84"/>
  <c r="Y738" i="84"/>
  <c r="AF742" i="84"/>
  <c r="N715" i="84"/>
  <c r="L25" i="82"/>
  <c r="BY15" i="82"/>
  <c r="BJ516" i="84"/>
  <c r="Y10" i="84"/>
  <c r="BJ170" i="84"/>
  <c r="O371" i="84"/>
  <c r="BK701" i="84"/>
  <c r="E796" i="84"/>
  <c r="AF363" i="84"/>
  <c r="BF22" i="82"/>
  <c r="Z10" i="84"/>
  <c r="M44" i="82"/>
  <c r="Y58" i="84"/>
  <c r="T644" i="84"/>
  <c r="BJ498" i="84"/>
  <c r="W252" i="84"/>
  <c r="BE12" i="82"/>
  <c r="Z503" i="84"/>
  <c r="S796" i="84"/>
  <c r="N719" i="84"/>
  <c r="AA45" i="84"/>
  <c r="O886" i="84"/>
  <c r="W786" i="84"/>
  <c r="X842" i="84"/>
  <c r="R468" i="84"/>
  <c r="V686" i="84"/>
  <c r="BJ852" i="84"/>
  <c r="BK441" i="84"/>
  <c r="BK39" i="84"/>
  <c r="BJ148" i="84"/>
  <c r="Y435" i="84"/>
  <c r="BK709" i="84"/>
  <c r="Z641" i="84"/>
  <c r="BJ243" i="84"/>
  <c r="G725" i="84"/>
  <c r="BJ191" i="84"/>
  <c r="BC15" i="82"/>
  <c r="N830" i="84"/>
  <c r="X726" i="84"/>
  <c r="Z83" i="84"/>
  <c r="BK716" i="84"/>
  <c r="AV18" i="82"/>
  <c r="AA20" i="82"/>
  <c r="Q494" i="84"/>
  <c r="H34" i="82"/>
  <c r="W360" i="84"/>
  <c r="H849" i="84"/>
  <c r="P660" i="84"/>
  <c r="V802" i="84"/>
  <c r="X516" i="84"/>
  <c r="F507" i="84"/>
  <c r="D32" i="82"/>
  <c r="AA927" i="84"/>
  <c r="W365" i="84"/>
  <c r="BJ761" i="84"/>
  <c r="Q162" i="84"/>
  <c r="T807" i="84"/>
  <c r="AA477" i="84"/>
  <c r="BK258" i="84"/>
  <c r="F351" i="84"/>
  <c r="BK498" i="84"/>
  <c r="AB37" i="82"/>
  <c r="AH45" i="82"/>
  <c r="AA236" i="84"/>
  <c r="W40" i="84"/>
  <c r="G382" i="84"/>
  <c r="Y765" i="84"/>
  <c r="BK501" i="84"/>
  <c r="F317" i="84"/>
  <c r="V463" i="84"/>
  <c r="G848" i="84"/>
  <c r="E339" i="84"/>
  <c r="V268" i="84"/>
  <c r="BJ270" i="84"/>
  <c r="BE28" i="82"/>
  <c r="AA45" i="82"/>
  <c r="BK440" i="84"/>
  <c r="X480" i="84"/>
  <c r="BK168" i="84"/>
  <c r="Z102" i="84"/>
  <c r="AI37" i="82"/>
  <c r="X106" i="84"/>
  <c r="BK392" i="84"/>
  <c r="W104" i="84"/>
  <c r="BJ503" i="84"/>
  <c r="AF195" i="84"/>
  <c r="G414" i="84"/>
  <c r="O325" i="84"/>
  <c r="T578" i="84"/>
  <c r="G41" i="82"/>
  <c r="BK550" i="84"/>
  <c r="P919" i="84"/>
  <c r="P778" i="84"/>
  <c r="F153" i="84"/>
  <c r="AF243" i="84"/>
  <c r="V287" i="84"/>
  <c r="AA691" i="84"/>
  <c r="W849" i="84"/>
  <c r="BK681" i="84"/>
  <c r="BK499" i="84"/>
  <c r="AL18" i="82"/>
  <c r="BD40" i="82"/>
  <c r="BK161" i="84"/>
  <c r="W568" i="84"/>
  <c r="W478" i="84"/>
  <c r="P860" i="84"/>
  <c r="BN31" i="82"/>
  <c r="X41" i="84"/>
  <c r="P943" i="84"/>
  <c r="AR28" i="82"/>
  <c r="W173" i="84"/>
  <c r="BJ811" i="84"/>
  <c r="E60" i="84"/>
  <c r="C36" i="82"/>
  <c r="G882" i="84"/>
  <c r="E485" i="84"/>
  <c r="Y567" i="84"/>
  <c r="E319" i="84"/>
  <c r="X384" i="84"/>
  <c r="X761" i="84"/>
  <c r="P773" i="84"/>
  <c r="F25" i="82"/>
  <c r="G852" i="84"/>
  <c r="F859" i="84"/>
  <c r="P532" i="84"/>
  <c r="S576" i="84"/>
  <c r="S13" i="82"/>
  <c r="N917" i="84"/>
  <c r="V799" i="84"/>
  <c r="BJ496" i="84"/>
  <c r="Y177" i="84"/>
  <c r="BJ303" i="84"/>
  <c r="F358" i="84"/>
  <c r="N886" i="84"/>
  <c r="Z847" i="84"/>
  <c r="W257" i="84"/>
  <c r="AF14" i="82"/>
  <c r="AF789" i="84"/>
  <c r="S962" i="84"/>
  <c r="T449" i="84"/>
  <c r="AE31" i="82"/>
  <c r="N727" i="84"/>
  <c r="AF655" i="84"/>
  <c r="Z385" i="84"/>
  <c r="H17" i="82"/>
  <c r="G202" i="84"/>
  <c r="BM41" i="82"/>
  <c r="V282" i="84"/>
  <c r="R223" i="84"/>
  <c r="P729" i="84"/>
  <c r="X649" i="84"/>
  <c r="V542" i="84"/>
  <c r="BQ11" i="82"/>
  <c r="AF417" i="84"/>
  <c r="F770" i="84"/>
  <c r="BK589" i="84"/>
  <c r="P937" i="84"/>
  <c r="AF552" i="84"/>
  <c r="BJ121" i="84"/>
  <c r="F650" i="84"/>
  <c r="AF160" i="84"/>
  <c r="Z882" i="84"/>
  <c r="Z892" i="84"/>
  <c r="AF875" i="84"/>
  <c r="E29" i="84"/>
  <c r="G855" i="84"/>
  <c r="BJ330" i="84"/>
  <c r="F515" i="84"/>
  <c r="AA901" i="84"/>
  <c r="Y78" i="84"/>
  <c r="BJ693" i="84"/>
  <c r="AA594" i="84"/>
  <c r="X197" i="84"/>
  <c r="BJ240" i="84"/>
  <c r="Y318" i="84"/>
  <c r="V714" i="84"/>
  <c r="N527" i="84"/>
  <c r="BJ36" i="84"/>
  <c r="V38" i="84"/>
  <c r="AA856" i="84"/>
  <c r="AJ20" i="82"/>
  <c r="Q348" i="84"/>
  <c r="BK406" i="84"/>
  <c r="BK18" i="84"/>
  <c r="S65" i="84"/>
  <c r="L282" i="84"/>
  <c r="N36" i="82"/>
  <c r="E358" i="84"/>
  <c r="AA199" i="84"/>
  <c r="BK673" i="84"/>
  <c r="BK63" i="84"/>
  <c r="W573" i="84"/>
  <c r="P593" i="84"/>
  <c r="AF810" i="84"/>
  <c r="AF143" i="84"/>
  <c r="BJ755" i="84"/>
  <c r="W201" i="84"/>
  <c r="AA17" i="82"/>
  <c r="AA72" i="84"/>
  <c r="O875" i="84"/>
  <c r="AF356" i="84"/>
  <c r="BE23" i="82"/>
  <c r="X344" i="84"/>
  <c r="V243" i="84"/>
  <c r="Y333" i="84"/>
  <c r="W292" i="84"/>
  <c r="BJ954" i="84"/>
  <c r="N887" i="84"/>
  <c r="AX39" i="82"/>
  <c r="BK388" i="84"/>
  <c r="P228" i="84"/>
  <c r="E336" i="84"/>
  <c r="AF35" i="84"/>
  <c r="E317" i="84"/>
  <c r="Y896" i="84"/>
  <c r="BJ185" i="84"/>
  <c r="AF760" i="84"/>
  <c r="E165" i="84"/>
  <c r="O296" i="84"/>
  <c r="W791" i="84"/>
  <c r="F897" i="84"/>
  <c r="O174" i="84"/>
  <c r="AF886" i="84"/>
  <c r="W448" i="84"/>
  <c r="BK312" i="84"/>
  <c r="W206" i="84"/>
  <c r="W503" i="84"/>
  <c r="BK256" i="84"/>
  <c r="BJ404" i="84"/>
  <c r="BJ119" i="84"/>
  <c r="AL41" i="82"/>
  <c r="V610" i="84"/>
  <c r="N230" i="84"/>
  <c r="S36" i="82"/>
  <c r="G366" i="84"/>
  <c r="Y360" i="84"/>
  <c r="AU46" i="82"/>
  <c r="R248" i="84"/>
  <c r="BK99" i="84"/>
  <c r="BJ127" i="84"/>
  <c r="AF641" i="84"/>
  <c r="BJ353" i="84"/>
  <c r="P562" i="84"/>
  <c r="Q103" i="84"/>
  <c r="V409" i="84"/>
  <c r="G51" i="84"/>
  <c r="AF16" i="84"/>
  <c r="AN28" i="82"/>
  <c r="BD16" i="82"/>
  <c r="W741" i="84"/>
  <c r="O901" i="84"/>
  <c r="G216" i="84"/>
  <c r="Y519" i="84"/>
  <c r="AF593" i="84"/>
  <c r="BJ937" i="84"/>
  <c r="Y387" i="84"/>
  <c r="J713" i="84"/>
  <c r="BJ237" i="84"/>
  <c r="F175" i="84"/>
  <c r="BQ16" i="82"/>
  <c r="X286" i="84"/>
  <c r="AA631" i="84"/>
  <c r="G634" i="84"/>
  <c r="V450" i="84"/>
  <c r="N833" i="84"/>
  <c r="V269" i="84"/>
  <c r="Z23" i="84"/>
  <c r="AF212" i="84"/>
  <c r="X568" i="84"/>
  <c r="Q683" i="84"/>
  <c r="BK449" i="84"/>
  <c r="G303" i="84"/>
  <c r="P494" i="84"/>
  <c r="BJ297" i="84"/>
  <c r="E409" i="84"/>
  <c r="G770" i="84"/>
  <c r="BJ345" i="84"/>
  <c r="AF577" i="84"/>
  <c r="AA121" i="84"/>
  <c r="BK421" i="84"/>
  <c r="W725" i="84"/>
  <c r="W194" i="84"/>
  <c r="L239" i="84"/>
  <c r="X134" i="84"/>
  <c r="AX12" i="82"/>
  <c r="BA20" i="82"/>
  <c r="BF41" i="82"/>
  <c r="W931" i="84"/>
  <c r="Y823" i="84"/>
  <c r="F297" i="84"/>
  <c r="U538" i="84"/>
  <c r="BK301" i="84"/>
  <c r="E740" i="84"/>
  <c r="G557" i="84"/>
  <c r="BJ427" i="84"/>
  <c r="X539" i="84"/>
  <c r="Y33" i="84"/>
  <c r="X58" i="84"/>
  <c r="W423" i="84"/>
  <c r="E249" i="84"/>
  <c r="P363" i="84"/>
  <c r="Z430" i="84"/>
  <c r="BJ342" i="84"/>
  <c r="BJ572" i="84"/>
  <c r="BY43" i="82"/>
  <c r="AA657" i="84"/>
  <c r="BK566" i="84"/>
  <c r="BJ828" i="84"/>
  <c r="Z650" i="84"/>
  <c r="X374" i="84"/>
  <c r="BK659" i="84"/>
  <c r="E94" i="84"/>
  <c r="BJ56" i="84"/>
  <c r="AA912" i="84"/>
  <c r="F417" i="84"/>
  <c r="BK634" i="84"/>
  <c r="BK53" i="84"/>
  <c r="O904" i="84"/>
  <c r="BJ864" i="84"/>
  <c r="S878" i="84"/>
  <c r="AA945" i="84"/>
  <c r="Q574" i="84"/>
  <c r="BK880" i="84"/>
  <c r="X23" i="84"/>
  <c r="Y853" i="84"/>
  <c r="Y80" i="84"/>
  <c r="AF226" i="84"/>
  <c r="BE20" i="82"/>
  <c r="BJ124" i="84"/>
  <c r="Q16" i="82"/>
  <c r="W763" i="84"/>
  <c r="BK496" i="84"/>
  <c r="D13" i="82"/>
  <c r="E98" i="84"/>
  <c r="AA661" i="84"/>
  <c r="AA148" i="84"/>
  <c r="AT27" i="82"/>
  <c r="BJ725" i="84"/>
  <c r="F17" i="84"/>
  <c r="Z748" i="84"/>
  <c r="BK142" i="84"/>
  <c r="AF17" i="84"/>
  <c r="Y20" i="84"/>
  <c r="E477" i="84"/>
  <c r="BJ804" i="84"/>
  <c r="P756" i="84"/>
  <c r="P961" i="84"/>
  <c r="R345" i="84"/>
  <c r="E119" i="84"/>
  <c r="V867" i="84"/>
  <c r="P719" i="84"/>
  <c r="R694" i="84"/>
  <c r="E96" i="84"/>
  <c r="AD29" i="82"/>
  <c r="V858" i="84"/>
  <c r="L13" i="82"/>
  <c r="AQ41" i="82"/>
  <c r="E84" i="84"/>
  <c r="T168" i="84"/>
  <c r="V358" i="84"/>
  <c r="X421" i="84"/>
  <c r="W878" i="84"/>
  <c r="BJ945" i="84"/>
  <c r="BJ524" i="84"/>
  <c r="BK839" i="84"/>
  <c r="BK525" i="84"/>
  <c r="BF44" i="82"/>
  <c r="AF965" i="84"/>
  <c r="AF90" i="84"/>
  <c r="Y217" i="84"/>
  <c r="E460" i="84"/>
  <c r="AF398" i="84"/>
  <c r="V954" i="84"/>
  <c r="AW7" i="82"/>
  <c r="BM23" i="82"/>
  <c r="AA452" i="84"/>
  <c r="BK493" i="84"/>
  <c r="F18" i="82"/>
  <c r="E386" i="84"/>
  <c r="S27" i="82"/>
  <c r="AF670" i="84"/>
  <c r="R644" i="84"/>
  <c r="AO15" i="82"/>
  <c r="S8" i="82"/>
  <c r="BK438" i="84"/>
  <c r="P527" i="84"/>
  <c r="Y831" i="84"/>
  <c r="BK401" i="84"/>
  <c r="BJ322" i="84"/>
  <c r="BK353" i="84"/>
  <c r="BK467" i="84"/>
  <c r="BK411" i="84"/>
  <c r="Z929" i="84"/>
  <c r="G858" i="84"/>
  <c r="AA468" i="84"/>
  <c r="AA800" i="84"/>
  <c r="AF964" i="84"/>
  <c r="AI42" i="82"/>
  <c r="AD10" i="82"/>
  <c r="Z788" i="84"/>
  <c r="G656" i="84"/>
  <c r="AF838" i="84"/>
  <c r="AF768" i="84"/>
  <c r="BK616" i="84"/>
  <c r="AA759" i="84"/>
  <c r="W161" i="84"/>
  <c r="BJ574" i="84"/>
  <c r="Y336" i="84"/>
  <c r="S709" i="84"/>
  <c r="BJ230" i="84"/>
  <c r="X825" i="84"/>
  <c r="BJ156" i="84"/>
  <c r="BJ591" i="84"/>
  <c r="Y132" i="84"/>
  <c r="AF236" i="84"/>
  <c r="BK605" i="84"/>
  <c r="BK561" i="84"/>
  <c r="H43" i="82"/>
  <c r="T563" i="84"/>
  <c r="BJ963" i="84"/>
  <c r="Y172" i="84"/>
  <c r="F127" i="84"/>
  <c r="BK497" i="84"/>
  <c r="V683" i="84"/>
  <c r="R585" i="84"/>
  <c r="AF215" i="84"/>
  <c r="AA794" i="84"/>
  <c r="AT20" i="82"/>
  <c r="BK863" i="84"/>
  <c r="AA151" i="84"/>
  <c r="AF643" i="84"/>
  <c r="AA955" i="84"/>
  <c r="Y628" i="84"/>
  <c r="BK90" i="84"/>
  <c r="E663" i="84"/>
  <c r="AU34" i="82"/>
  <c r="Y612" i="84"/>
  <c r="W499" i="84"/>
  <c r="BK963" i="84"/>
  <c r="X605" i="84"/>
  <c r="BK838" i="84"/>
  <c r="BJ97" i="84"/>
  <c r="BJ946" i="84"/>
  <c r="R233" i="84"/>
  <c r="AF874" i="84"/>
  <c r="P327" i="84"/>
  <c r="V138" i="84"/>
  <c r="BK956" i="84"/>
  <c r="AF801" i="84"/>
  <c r="BK715" i="84"/>
  <c r="Z483" i="84"/>
  <c r="O362" i="84"/>
  <c r="Z336" i="84"/>
  <c r="BK209" i="84"/>
  <c r="W402" i="84"/>
  <c r="V304" i="84"/>
  <c r="BJ421" i="84"/>
  <c r="BJ229" i="84"/>
  <c r="W224" i="84"/>
  <c r="O7" i="82"/>
  <c r="BJ565" i="84"/>
  <c r="BJ368" i="84"/>
  <c r="Y600" i="84"/>
  <c r="E903" i="84"/>
  <c r="P953" i="84"/>
  <c r="E912" i="84"/>
  <c r="AF118" i="84"/>
  <c r="AA541" i="84"/>
  <c r="J823" i="84"/>
  <c r="BK559" i="84"/>
  <c r="W778" i="84"/>
  <c r="BJ461" i="84"/>
  <c r="T879" i="84"/>
  <c r="AF917" i="84"/>
  <c r="G833" i="84"/>
  <c r="BK430" i="84"/>
  <c r="BJ742" i="84"/>
  <c r="V17" i="84"/>
  <c r="BJ485" i="84"/>
  <c r="BK873" i="84"/>
  <c r="X858" i="84"/>
  <c r="BK464" i="84"/>
  <c r="BK68" i="84"/>
  <c r="BJ965" i="84"/>
  <c r="X505" i="84"/>
  <c r="BK106" i="84"/>
  <c r="BK228" i="84"/>
  <c r="AM44" i="82"/>
  <c r="BJ33" i="84"/>
  <c r="BC11" i="82"/>
  <c r="BJ772" i="84"/>
  <c r="V641" i="84"/>
  <c r="V219" i="84"/>
  <c r="Q339" i="84"/>
  <c r="V132" i="84"/>
  <c r="BJ666" i="84"/>
  <c r="Z737" i="84"/>
  <c r="G8" i="82"/>
  <c r="BJ293" i="84"/>
  <c r="BJ495" i="84"/>
  <c r="W716" i="84"/>
  <c r="R471" i="84"/>
  <c r="AF324" i="84"/>
  <c r="F608" i="84"/>
  <c r="Y303" i="84"/>
  <c r="Y239" i="84"/>
  <c r="BK428" i="84"/>
  <c r="F643" i="84"/>
  <c r="BJ653" i="84"/>
  <c r="X925" i="84"/>
  <c r="F796" i="84"/>
  <c r="W442" i="84"/>
  <c r="BK738" i="84"/>
  <c r="P284" i="84"/>
  <c r="BJ85" i="84"/>
  <c r="W108" i="84"/>
  <c r="V487" i="84"/>
  <c r="Z166" i="84"/>
  <c r="O310" i="84"/>
  <c r="V583" i="84"/>
  <c r="BJ8" i="84"/>
  <c r="Y599" i="84"/>
  <c r="BJ484" i="84"/>
  <c r="O962" i="84"/>
  <c r="J935" i="84"/>
  <c r="O745" i="84"/>
  <c r="AA421" i="84"/>
  <c r="AF233" i="84"/>
  <c r="W597" i="84"/>
  <c r="T238" i="84"/>
  <c r="O690" i="84"/>
  <c r="T466" i="84"/>
  <c r="X15" i="84"/>
  <c r="I46" i="82"/>
  <c r="E77" i="84"/>
  <c r="Z272" i="84"/>
  <c r="E945" i="84"/>
  <c r="AD23" i="82"/>
  <c r="N420" i="84"/>
  <c r="Y927" i="84"/>
  <c r="Z746" i="84"/>
  <c r="R489" i="84"/>
  <c r="K8" i="82"/>
  <c r="BJ751" i="84"/>
  <c r="Y407" i="84"/>
  <c r="X219" i="84"/>
  <c r="BK675" i="84"/>
  <c r="O409" i="84"/>
  <c r="S210" i="84"/>
  <c r="AA445" i="84"/>
  <c r="F242" i="84"/>
  <c r="BK789" i="84"/>
  <c r="BJ699" i="84"/>
  <c r="Q698" i="84"/>
  <c r="BK103" i="84"/>
  <c r="Z463" i="84"/>
  <c r="BM30" i="82"/>
  <c r="Z787" i="84"/>
  <c r="Y907" i="84"/>
  <c r="E143" i="84"/>
  <c r="BJ10" i="84"/>
  <c r="AA668" i="84"/>
  <c r="AF188" i="84"/>
  <c r="N885" i="84"/>
  <c r="AA924" i="84"/>
  <c r="AF640" i="84"/>
  <c r="S25" i="82"/>
  <c r="BK906" i="84"/>
  <c r="AF396" i="84"/>
  <c r="Z155" i="84"/>
  <c r="X400" i="84"/>
  <c r="V755" i="84"/>
  <c r="BK911" i="84"/>
  <c r="AA935" i="84"/>
  <c r="AF40" i="82"/>
  <c r="Q471" i="84"/>
  <c r="AC14" i="82"/>
  <c r="N687" i="84"/>
  <c r="O494" i="84"/>
  <c r="N846" i="84"/>
  <c r="E709" i="84"/>
  <c r="AF354" i="84"/>
  <c r="BK310" i="84"/>
  <c r="BJ423" i="84"/>
  <c r="W694" i="84"/>
  <c r="M435" i="84"/>
  <c r="AF217" i="84"/>
  <c r="N387" i="84"/>
  <c r="G381" i="84"/>
  <c r="S139" i="84"/>
  <c r="BK602" i="84"/>
  <c r="Z604" i="84"/>
  <c r="AA265" i="84"/>
  <c r="AF74" i="84"/>
  <c r="X464" i="84"/>
  <c r="BK217" i="84"/>
  <c r="F935" i="84"/>
  <c r="H173" i="84"/>
  <c r="W851" i="84"/>
  <c r="R602" i="84"/>
  <c r="N127" i="84"/>
  <c r="AA143" i="84"/>
  <c r="X280" i="84"/>
  <c r="BK691" i="84"/>
  <c r="O599" i="84"/>
  <c r="BK606" i="84"/>
  <c r="AA353" i="84"/>
  <c r="BK479" i="84"/>
  <c r="BK214" i="84"/>
  <c r="BK587" i="84"/>
  <c r="P513" i="84"/>
  <c r="R621" i="84"/>
  <c r="Q579" i="84"/>
  <c r="Z687" i="84"/>
  <c r="R918" i="84"/>
  <c r="BM35" i="82"/>
  <c r="BJ621" i="84"/>
  <c r="W223" i="84"/>
  <c r="BK800" i="84"/>
  <c r="X831" i="84"/>
  <c r="O565" i="84"/>
  <c r="BJ929" i="84"/>
  <c r="R29" i="84"/>
  <c r="BK263" i="84"/>
  <c r="T241" i="84"/>
  <c r="R579" i="84"/>
  <c r="AF409" i="84"/>
  <c r="R784" i="84"/>
  <c r="Y425" i="84"/>
  <c r="V743" i="84"/>
  <c r="N13" i="84"/>
  <c r="R281" i="84"/>
  <c r="BG43" i="82"/>
  <c r="V18" i="84"/>
  <c r="U358" i="84"/>
  <c r="N172" i="84"/>
  <c r="G253" i="84"/>
  <c r="W172" i="84"/>
  <c r="Q34" i="84"/>
  <c r="O45" i="84"/>
  <c r="F321" i="84"/>
  <c r="BE15" i="82"/>
  <c r="BK458" i="84"/>
  <c r="P728" i="84"/>
  <c r="F964" i="84"/>
  <c r="BJ49" i="84"/>
  <c r="AA663" i="84"/>
  <c r="F718" i="84"/>
  <c r="BK886" i="84"/>
  <c r="V794" i="84"/>
  <c r="BJ685" i="84"/>
  <c r="BJ141" i="84"/>
  <c r="AA101" i="84"/>
  <c r="S759" i="84"/>
  <c r="Z564" i="84"/>
  <c r="X201" i="84"/>
  <c r="F716" i="84"/>
  <c r="W174" i="84"/>
  <c r="O492" i="84"/>
  <c r="P48" i="84"/>
  <c r="W69" i="84"/>
  <c r="Y514" i="84"/>
  <c r="BK459" i="84"/>
  <c r="AF502" i="84"/>
  <c r="AA299" i="84"/>
  <c r="BJ533" i="84"/>
  <c r="F568" i="84"/>
  <c r="X441" i="84"/>
  <c r="BJ757" i="84"/>
  <c r="BK529" i="84"/>
  <c r="X708" i="84"/>
  <c r="BJ644" i="84"/>
  <c r="BJ637" i="84"/>
  <c r="Z574" i="84"/>
  <c r="Y717" i="84"/>
  <c r="E599" i="84"/>
  <c r="AF20" i="82"/>
  <c r="AF773" i="84"/>
  <c r="E853" i="84"/>
  <c r="Y915" i="84"/>
  <c r="E742" i="84"/>
  <c r="AF99" i="84"/>
  <c r="AF960" i="84"/>
  <c r="AC29" i="82"/>
  <c r="AA339" i="84"/>
  <c r="Y25" i="84"/>
  <c r="AA674" i="84"/>
  <c r="K42" i="82"/>
  <c r="E819" i="84"/>
  <c r="AF111" i="84"/>
  <c r="Y454" i="84"/>
  <c r="BK843" i="84"/>
  <c r="BJ32" i="84"/>
  <c r="F542" i="84"/>
  <c r="AA542" i="84"/>
  <c r="BJ417" i="84"/>
  <c r="AA948" i="84"/>
  <c r="X607" i="84"/>
  <c r="BK466" i="84"/>
  <c r="AA658" i="84"/>
  <c r="P30" i="82"/>
  <c r="U203" i="84"/>
  <c r="AA231" i="84"/>
  <c r="BK390" i="84"/>
  <c r="H27" i="82"/>
  <c r="BJ428" i="84"/>
  <c r="V252" i="84"/>
  <c r="BJ701" i="84"/>
  <c r="H537" i="84"/>
  <c r="F156" i="84"/>
  <c r="V682" i="84"/>
  <c r="P19" i="84"/>
  <c r="AF349" i="84"/>
  <c r="AA593" i="84"/>
  <c r="BJ519" i="84"/>
  <c r="E152" i="84"/>
  <c r="G26" i="82"/>
  <c r="F533" i="84"/>
  <c r="BK857" i="84"/>
  <c r="W949" i="84"/>
  <c r="E618" i="84"/>
  <c r="M958" i="84"/>
  <c r="N135" i="84"/>
  <c r="AF842" i="84"/>
  <c r="R877" i="84"/>
  <c r="AA328" i="84"/>
  <c r="AS43" i="82"/>
  <c r="X387" i="84"/>
  <c r="Z414" i="84"/>
  <c r="N266" i="84"/>
  <c r="V354" i="84"/>
  <c r="E344" i="84"/>
  <c r="F456" i="84"/>
  <c r="W957" i="84"/>
  <c r="BK431" i="84"/>
  <c r="F89" i="84"/>
  <c r="W314" i="84"/>
  <c r="F30" i="82"/>
  <c r="V299" i="84"/>
  <c r="Q353" i="84"/>
  <c r="V427" i="84"/>
  <c r="BK315" i="84"/>
  <c r="BK869" i="84"/>
  <c r="Z187" i="84"/>
  <c r="BK766" i="84"/>
  <c r="V479" i="84"/>
  <c r="BJ457" i="84"/>
  <c r="E10" i="82"/>
  <c r="E395" i="84"/>
  <c r="Y580" i="84"/>
  <c r="BJ436" i="84"/>
  <c r="BK64" i="84"/>
  <c r="BJ377" i="84"/>
  <c r="BJ232" i="84"/>
  <c r="E619" i="84"/>
  <c r="Z897" i="84"/>
  <c r="Q73" i="84"/>
  <c r="P96" i="84"/>
  <c r="O379" i="84"/>
  <c r="Y251" i="84"/>
  <c r="W154" i="84"/>
  <c r="Q895" i="84"/>
  <c r="Y196" i="84"/>
  <c r="N32" i="84"/>
  <c r="AF241" i="84"/>
  <c r="V205" i="84"/>
  <c r="E382" i="84"/>
  <c r="BJ62" i="84"/>
  <c r="AF843" i="84"/>
  <c r="BJ724" i="84"/>
  <c r="V454" i="84"/>
  <c r="W53" i="84"/>
  <c r="BJ894" i="84"/>
  <c r="AA744" i="84"/>
  <c r="AA966" i="84"/>
  <c r="AF353" i="84"/>
  <c r="Z106" i="84"/>
  <c r="Q587" i="84"/>
  <c r="BJ46" i="84"/>
  <c r="BJ122" i="84"/>
  <c r="Y76" i="84"/>
  <c r="Z131" i="84"/>
  <c r="F68" i="84"/>
  <c r="V878" i="84"/>
  <c r="BK288" i="84"/>
  <c r="R212" i="84"/>
  <c r="F32" i="82"/>
  <c r="AA707" i="84"/>
  <c r="X332" i="84"/>
  <c r="V721" i="84"/>
  <c r="AA965" i="84"/>
  <c r="BQ45" i="82"/>
  <c r="Z348" i="84"/>
  <c r="AA23" i="84"/>
  <c r="J828" i="84"/>
  <c r="F165" i="84"/>
  <c r="T39" i="82"/>
  <c r="V771" i="84"/>
  <c r="BJ458" i="84"/>
  <c r="N803" i="84"/>
  <c r="BK916" i="84"/>
  <c r="BJ84" i="84"/>
  <c r="AF590" i="84"/>
  <c r="G947" i="84"/>
  <c r="W679" i="84"/>
  <c r="F409" i="84"/>
  <c r="AL46" i="82"/>
  <c r="AU32" i="82"/>
  <c r="X209" i="84"/>
  <c r="AE11" i="82"/>
  <c r="BK132" i="84"/>
  <c r="G200" i="84"/>
  <c r="V873" i="84"/>
  <c r="Y192" i="84"/>
  <c r="AY9" i="82"/>
  <c r="Y283" i="84"/>
  <c r="BJ380" i="84"/>
  <c r="AF360" i="84"/>
  <c r="BK808" i="84"/>
  <c r="X404" i="84"/>
  <c r="Y444" i="84"/>
  <c r="BK777" i="84"/>
  <c r="V172" i="84"/>
  <c r="Y371" i="84"/>
  <c r="O501" i="84"/>
  <c r="Q22" i="84"/>
  <c r="Y523" i="84"/>
  <c r="AP20" i="82"/>
  <c r="S169" i="84"/>
  <c r="Q7" i="84"/>
  <c r="W911" i="84"/>
  <c r="X899" i="84"/>
  <c r="H387" i="84"/>
  <c r="AB13" i="82"/>
  <c r="AF350" i="84"/>
  <c r="Y403" i="84"/>
  <c r="BJ95" i="84"/>
  <c r="V207" i="84"/>
  <c r="BJ719" i="84"/>
  <c r="AF277" i="84"/>
  <c r="M305" i="84"/>
  <c r="BY28" i="82"/>
  <c r="F293" i="84"/>
  <c r="AA89" i="84"/>
  <c r="W33" i="84"/>
  <c r="H945" i="84"/>
  <c r="R952" i="84"/>
  <c r="G774" i="84"/>
  <c r="V533" i="84"/>
  <c r="Z898" i="84"/>
  <c r="AF167" i="84"/>
  <c r="F488" i="84"/>
  <c r="BK123" i="84"/>
  <c r="Y232" i="84"/>
  <c r="BJ281" i="84"/>
  <c r="F421" i="84"/>
  <c r="BL25" i="82"/>
  <c r="N838" i="84"/>
  <c r="AL16" i="82"/>
  <c r="AA947" i="84"/>
  <c r="R363" i="84"/>
  <c r="BK947" i="84"/>
  <c r="V598" i="84"/>
  <c r="V246" i="84"/>
  <c r="X962" i="84"/>
  <c r="AF366" i="84"/>
  <c r="E915" i="84"/>
  <c r="BJ905" i="84"/>
  <c r="BJ53" i="84"/>
  <c r="O95" i="84"/>
  <c r="AB28" i="82"/>
  <c r="AA8" i="82"/>
  <c r="BK786" i="84"/>
  <c r="BK443" i="84"/>
  <c r="AA352" i="84"/>
  <c r="W603" i="84"/>
  <c r="BK366" i="84"/>
  <c r="V147" i="84"/>
  <c r="BJ765" i="84"/>
  <c r="G329" i="84"/>
  <c r="AF926" i="84"/>
  <c r="N177" i="84"/>
  <c r="BG11" i="82"/>
  <c r="P732" i="84"/>
  <c r="P677" i="84"/>
  <c r="AF364" i="84"/>
  <c r="BK689" i="84"/>
  <c r="Y87" i="84"/>
  <c r="G887" i="84"/>
  <c r="AC8" i="82"/>
  <c r="F875" i="84"/>
  <c r="BK643" i="84"/>
  <c r="AF548" i="84"/>
  <c r="BJ434" i="84"/>
  <c r="BK560" i="84"/>
  <c r="AF26" i="84"/>
  <c r="AF891" i="84"/>
  <c r="BK706" i="84"/>
  <c r="G956" i="84"/>
  <c r="Z799" i="84"/>
  <c r="X642" i="84"/>
  <c r="BK78" i="84"/>
  <c r="V955" i="84"/>
  <c r="Q682" i="84"/>
  <c r="BJ841" i="84"/>
  <c r="X857" i="84"/>
  <c r="BJ595" i="84"/>
  <c r="BJ788" i="84"/>
  <c r="BQ13" i="82"/>
  <c r="V256" i="84"/>
  <c r="X542" i="84"/>
  <c r="BK311" i="84"/>
  <c r="X710" i="84"/>
  <c r="G72" i="84"/>
  <c r="X196" i="84"/>
  <c r="AF399" i="84"/>
  <c r="X684" i="84"/>
  <c r="BK20" i="84"/>
  <c r="BK299" i="84"/>
  <c r="X391" i="84"/>
  <c r="Y209" i="84"/>
  <c r="E519" i="84"/>
  <c r="V48" i="84"/>
  <c r="AF379" i="84"/>
  <c r="AF312" i="84"/>
  <c r="Q195" i="84"/>
  <c r="BK594" i="84"/>
  <c r="K39" i="82"/>
  <c r="BK761" i="84"/>
  <c r="X372" i="84"/>
  <c r="BK432" i="84"/>
  <c r="BK599" i="84"/>
  <c r="G914" i="84"/>
  <c r="S723" i="84"/>
  <c r="BJ914" i="84"/>
  <c r="AF69" i="84"/>
  <c r="BK828" i="84"/>
  <c r="E918" i="84"/>
  <c r="BJ815" i="84"/>
  <c r="AX33" i="82"/>
  <c r="BN39" i="82"/>
  <c r="F99" i="84"/>
  <c r="G377" i="84"/>
  <c r="AF758" i="84"/>
  <c r="X571" i="84"/>
  <c r="X534" i="84"/>
  <c r="H44" i="82"/>
  <c r="P412" i="84"/>
  <c r="F498" i="84"/>
  <c r="BJ44" i="84"/>
  <c r="X518" i="84"/>
  <c r="J41" i="82"/>
  <c r="Y293" i="84"/>
  <c r="BJ758" i="84"/>
  <c r="AA24" i="82"/>
  <c r="X81" i="84"/>
  <c r="Z850" i="84"/>
  <c r="BJ662" i="84"/>
  <c r="BJ463" i="84"/>
  <c r="BQ18" i="82"/>
  <c r="X208" i="84"/>
  <c r="W705" i="84"/>
  <c r="BK572" i="84"/>
  <c r="BJ63" i="84"/>
  <c r="V250" i="84"/>
  <c r="BK436" i="84"/>
  <c r="BJ291" i="84"/>
  <c r="Z822" i="84"/>
  <c r="K21" i="82"/>
  <c r="E907" i="84"/>
  <c r="V66" i="84"/>
  <c r="W723" i="84"/>
  <c r="R965" i="84"/>
  <c r="O181" i="84"/>
  <c r="X266" i="84"/>
  <c r="P506" i="84"/>
  <c r="F164" i="84"/>
  <c r="BJ876" i="84"/>
  <c r="BJ186" i="84"/>
  <c r="X952" i="84"/>
  <c r="BK347" i="84"/>
  <c r="AW23" i="82"/>
  <c r="BK959" i="84"/>
  <c r="H807" i="84"/>
  <c r="N341" i="84"/>
  <c r="BK543" i="84"/>
  <c r="J45" i="82"/>
  <c r="G801" i="84"/>
  <c r="X759" i="84"/>
  <c r="AA92" i="84"/>
  <c r="V513" i="84"/>
  <c r="W668" i="84"/>
  <c r="W689" i="84"/>
  <c r="X226" i="84"/>
  <c r="AF606" i="84"/>
  <c r="AF181" i="84"/>
  <c r="AT45" i="82"/>
  <c r="X667" i="84"/>
  <c r="AA180" i="84"/>
  <c r="BJ391" i="84"/>
  <c r="Z885" i="84"/>
  <c r="BZ46" i="82"/>
  <c r="Y38" i="84"/>
  <c r="BA9" i="82"/>
  <c r="BK488" i="84"/>
  <c r="R235" i="84"/>
  <c r="Y159" i="84"/>
  <c r="X544" i="84"/>
  <c r="F259" i="84"/>
  <c r="AA521" i="84"/>
  <c r="Q787" i="84"/>
  <c r="BK340" i="84"/>
  <c r="N194" i="84"/>
  <c r="R732" i="84"/>
  <c r="AA397" i="84"/>
  <c r="BJ602" i="84"/>
  <c r="BK778" i="84"/>
  <c r="AA599" i="84"/>
  <c r="F619" i="84"/>
  <c r="V856" i="84"/>
  <c r="BJ128" i="84"/>
  <c r="BJ910" i="84"/>
  <c r="W27" i="84"/>
  <c r="Z515" i="84"/>
  <c r="O669" i="84"/>
  <c r="BK352" i="84"/>
  <c r="W387" i="84"/>
  <c r="V865" i="84"/>
  <c r="O396" i="84"/>
  <c r="O626" i="84"/>
  <c r="AG44" i="82"/>
  <c r="P721" i="84"/>
  <c r="E178" i="84"/>
  <c r="BK107" i="84"/>
  <c r="AA469" i="84"/>
  <c r="Z438" i="84"/>
  <c r="P300" i="84"/>
  <c r="BJ327" i="84"/>
  <c r="N263" i="84"/>
  <c r="P77" i="84"/>
  <c r="X945" i="84"/>
  <c r="Y705" i="84"/>
  <c r="AA872" i="84"/>
  <c r="BJ561" i="84"/>
  <c r="AF186" i="84"/>
  <c r="P652" i="84"/>
  <c r="AV27" i="82"/>
  <c r="AF528" i="84"/>
  <c r="V73" i="84"/>
  <c r="W7" i="84"/>
  <c r="G917" i="84"/>
  <c r="E320" i="84"/>
  <c r="R630" i="84"/>
  <c r="S250" i="84"/>
  <c r="AA809" i="84"/>
  <c r="Z472" i="84"/>
  <c r="BJ938" i="84"/>
  <c r="Z567" i="84"/>
  <c r="W253" i="84"/>
  <c r="G314" i="84"/>
  <c r="AF957" i="84"/>
  <c r="AA388" i="84"/>
  <c r="Y929" i="84"/>
  <c r="F628" i="84"/>
  <c r="T236" i="84"/>
  <c r="F34" i="84"/>
  <c r="Y47" i="84"/>
  <c r="AA301" i="84"/>
  <c r="X57" i="84"/>
  <c r="D718" i="84"/>
  <c r="AF114" i="84"/>
  <c r="BK303" i="84"/>
  <c r="E843" i="84"/>
  <c r="AA390" i="84"/>
  <c r="BD22" i="82"/>
  <c r="F93" i="84"/>
  <c r="BJ241" i="84"/>
  <c r="X555" i="84"/>
  <c r="X665" i="84"/>
  <c r="BN24" i="82"/>
  <c r="T732" i="84"/>
  <c r="BK270" i="84"/>
  <c r="AC20" i="82"/>
  <c r="BJ681" i="84"/>
  <c r="Z263" i="84"/>
  <c r="BK69" i="84"/>
  <c r="BA35" i="82"/>
  <c r="BK575" i="84"/>
  <c r="E226" i="84"/>
  <c r="R601" i="84"/>
  <c r="AR40" i="82"/>
  <c r="O34" i="82"/>
  <c r="F665" i="84"/>
  <c r="BK520" i="84"/>
  <c r="AD37" i="82"/>
  <c r="W129" i="84"/>
  <c r="P294" i="84"/>
  <c r="V284" i="84"/>
  <c r="Y108" i="84"/>
  <c r="N578" i="84"/>
  <c r="E173" i="84"/>
  <c r="AF837" i="84"/>
  <c r="BK283" i="84"/>
  <c r="Z26" i="84"/>
  <c r="Z683" i="84"/>
  <c r="Z566" i="84"/>
  <c r="N47" i="84"/>
  <c r="BJ548" i="84"/>
  <c r="BY35" i="82"/>
  <c r="Y185" i="84"/>
  <c r="G824" i="84"/>
  <c r="BJ576" i="84"/>
  <c r="Y86" i="84"/>
  <c r="BJ842" i="84"/>
  <c r="AC32" i="82"/>
  <c r="V817" i="84"/>
  <c r="AF597" i="84"/>
  <c r="BJ217" i="84"/>
  <c r="BK187" i="84"/>
  <c r="X644" i="84"/>
  <c r="Z596" i="84"/>
  <c r="N407" i="84"/>
  <c r="W952" i="84"/>
  <c r="Z480" i="84"/>
  <c r="Y141" i="84"/>
  <c r="E415" i="84"/>
  <c r="Y917" i="84"/>
  <c r="BJ819" i="84"/>
  <c r="BK28" i="84"/>
  <c r="AA470" i="84"/>
  <c r="P125" i="84"/>
  <c r="K35" i="82"/>
  <c r="G143" i="84"/>
  <c r="S511" i="84"/>
  <c r="AF395" i="84"/>
  <c r="AU37" i="82"/>
  <c r="E933" i="84"/>
  <c r="BJ267" i="84"/>
  <c r="BE33" i="82"/>
  <c r="AA145" i="84"/>
  <c r="O224" i="84"/>
  <c r="Z139" i="84"/>
  <c r="V543" i="84"/>
  <c r="U309" i="84"/>
  <c r="W852" i="84"/>
  <c r="L19" i="82"/>
  <c r="W85" i="84"/>
  <c r="P68" i="84"/>
  <c r="BJ138" i="84"/>
  <c r="V395" i="84"/>
  <c r="Y26" i="84"/>
  <c r="AA188" i="84"/>
  <c r="E204" i="84"/>
  <c r="Z860" i="84"/>
  <c r="AF711" i="84"/>
  <c r="Z513" i="84"/>
  <c r="AX44" i="82"/>
  <c r="BJ549" i="84"/>
  <c r="AF507" i="84"/>
  <c r="G552" i="84"/>
  <c r="G941" i="84"/>
  <c r="Y402" i="84"/>
  <c r="BJ960" i="84"/>
  <c r="G357" i="84"/>
  <c r="U249" i="84"/>
  <c r="F148" i="84"/>
  <c r="Z454" i="84"/>
  <c r="AB27" i="82"/>
  <c r="BK774" i="84"/>
  <c r="AK27" i="82"/>
  <c r="Y828" i="84"/>
  <c r="R638" i="84"/>
  <c r="BK588" i="84"/>
  <c r="Z695" i="84"/>
  <c r="S572" i="84"/>
  <c r="P814" i="84"/>
  <c r="BJ450" i="84"/>
  <c r="AQ31" i="82"/>
  <c r="Z210" i="84"/>
  <c r="AT22" i="82"/>
  <c r="W584" i="84"/>
  <c r="C887" i="84"/>
  <c r="Q349" i="84"/>
  <c r="X295" i="84"/>
  <c r="P608" i="84"/>
  <c r="Y128" i="84"/>
  <c r="AA528" i="84"/>
  <c r="F329" i="84"/>
  <c r="U962" i="84"/>
  <c r="AA410" i="84"/>
  <c r="V552" i="84"/>
  <c r="BC8" i="82"/>
  <c r="BJ249" i="84"/>
  <c r="V322" i="84"/>
  <c r="AF828" i="84"/>
  <c r="BJ175" i="84"/>
  <c r="X86" i="84"/>
  <c r="V826" i="84"/>
  <c r="W937" i="84"/>
  <c r="AF25" i="82"/>
  <c r="BJ889" i="84"/>
  <c r="O564" i="84"/>
  <c r="W613" i="84"/>
  <c r="W93" i="84"/>
  <c r="Z400" i="84"/>
  <c r="F292" i="84"/>
  <c r="X20" i="84"/>
  <c r="O473" i="84"/>
  <c r="N567" i="84"/>
  <c r="AA152" i="84"/>
  <c r="AA242" i="84"/>
  <c r="E179" i="84"/>
  <c r="BJ422" i="84"/>
  <c r="F364" i="84"/>
  <c r="V541" i="84"/>
  <c r="BK860" i="84"/>
  <c r="Q27" i="82"/>
  <c r="AD26" i="82"/>
  <c r="BJ47" i="84"/>
  <c r="X830" i="84"/>
  <c r="BK798" i="84"/>
  <c r="Q154" i="84"/>
  <c r="K20" i="82"/>
  <c r="P372" i="84"/>
  <c r="AZ30" i="82"/>
  <c r="Y889" i="84"/>
  <c r="N101" i="84"/>
  <c r="BK719" i="84"/>
  <c r="F40" i="84"/>
  <c r="O315" i="84"/>
  <c r="E781" i="84"/>
  <c r="R73" i="84"/>
  <c r="AF945" i="84"/>
  <c r="R577" i="84"/>
  <c r="BK939" i="84"/>
  <c r="V795" i="84"/>
  <c r="W955" i="84"/>
  <c r="R231" i="84"/>
  <c r="N758" i="84"/>
  <c r="P399" i="84"/>
  <c r="AA76" i="84"/>
  <c r="G185" i="84"/>
  <c r="BJ822" i="84"/>
  <c r="V615" i="84"/>
  <c r="BJ578" i="84"/>
  <c r="X103" i="84"/>
  <c r="BK724" i="84"/>
  <c r="W893" i="84"/>
  <c r="BJ766" i="84"/>
  <c r="Z326" i="84"/>
  <c r="BJ65" i="84"/>
  <c r="P438" i="84"/>
  <c r="AF34" i="84"/>
  <c r="AB11" i="82"/>
  <c r="BK149" i="84"/>
  <c r="AQ24" i="82"/>
  <c r="BK46" i="84"/>
  <c r="BJ107" i="84"/>
  <c r="BJ40" i="84"/>
  <c r="BQ40" i="82"/>
  <c r="BJ349" i="84"/>
  <c r="E645" i="84"/>
  <c r="C32" i="82"/>
  <c r="Q113" i="84"/>
  <c r="BJ394" i="84"/>
  <c r="AU31" i="82"/>
  <c r="AJ30" i="82"/>
  <c r="Z815" i="84"/>
  <c r="F524" i="84"/>
  <c r="Z388" i="84"/>
  <c r="Z910" i="84"/>
  <c r="G951" i="84"/>
  <c r="P707" i="84"/>
  <c r="BJ172" i="84"/>
  <c r="E559" i="84"/>
  <c r="E507" i="84"/>
  <c r="T22" i="82"/>
  <c r="BJ514" i="84"/>
  <c r="Y138" i="84"/>
  <c r="Z869" i="84"/>
  <c r="BQ12" i="82"/>
  <c r="BJ506" i="84"/>
  <c r="AL37" i="82"/>
  <c r="BK638" i="84"/>
  <c r="V404" i="84"/>
  <c r="Y864" i="84"/>
  <c r="AO37" i="82"/>
  <c r="AB41" i="82"/>
  <c r="E381" i="84"/>
  <c r="O52" i="84"/>
  <c r="AF139" i="84"/>
  <c r="BJ703" i="84"/>
  <c r="E462" i="84"/>
  <c r="X104" i="84"/>
  <c r="BJ658" i="84"/>
  <c r="G834" i="84"/>
  <c r="F448" i="84"/>
  <c r="E310" i="84"/>
  <c r="AO12" i="82"/>
  <c r="Y398" i="84"/>
  <c r="W175" i="84"/>
  <c r="V846" i="84"/>
  <c r="BK92" i="84"/>
  <c r="BK257" i="84"/>
  <c r="BK571" i="84"/>
  <c r="Y569" i="84"/>
  <c r="BK104" i="84"/>
  <c r="BJ279" i="84"/>
  <c r="BJ729" i="84"/>
  <c r="W443" i="84"/>
  <c r="V887" i="84"/>
  <c r="R261" i="84"/>
  <c r="AA425" i="84"/>
  <c r="E88" i="84"/>
  <c r="AF850" i="84"/>
  <c r="Y45" i="84"/>
  <c r="AF847" i="84"/>
  <c r="BJ645" i="84"/>
  <c r="Z800" i="84"/>
  <c r="E149" i="84"/>
  <c r="Y670" i="84"/>
  <c r="AA459" i="84"/>
  <c r="T597" i="84"/>
  <c r="F473" i="84"/>
  <c r="X16" i="84"/>
  <c r="V575" i="84"/>
  <c r="BJ915" i="84"/>
  <c r="E318" i="84"/>
  <c r="G570" i="84"/>
  <c r="AF822" i="84"/>
  <c r="O29" i="82"/>
  <c r="BN27" i="82"/>
  <c r="O10" i="82"/>
  <c r="I41" i="82"/>
  <c r="BK581" i="84"/>
  <c r="Z608" i="84"/>
  <c r="BJ149" i="84"/>
  <c r="W381" i="84"/>
  <c r="BJ927" i="84"/>
  <c r="X171" i="84"/>
  <c r="G287" i="84"/>
  <c r="E816" i="84"/>
  <c r="BA40" i="82"/>
  <c r="W163" i="84"/>
  <c r="E959" i="84"/>
  <c r="G375" i="84"/>
  <c r="BJ682" i="84"/>
  <c r="D26" i="82"/>
  <c r="N390" i="84"/>
  <c r="AE42" i="82"/>
  <c r="G649" i="84"/>
  <c r="BE19" i="82"/>
  <c r="O336" i="84"/>
  <c r="F237" i="84"/>
  <c r="Z654" i="84"/>
  <c r="AV33" i="82"/>
  <c r="Y98" i="84"/>
  <c r="P32" i="82"/>
  <c r="X773" i="84"/>
  <c r="N377" i="84"/>
  <c r="BZ19" i="82"/>
  <c r="AF534" i="84"/>
  <c r="BK76" i="84"/>
  <c r="BJ351" i="84"/>
  <c r="X918" i="84"/>
  <c r="O506" i="84"/>
  <c r="W959" i="84"/>
  <c r="BJ554" i="84"/>
  <c r="V524" i="84"/>
  <c r="X901" i="84"/>
  <c r="AF59" i="84"/>
  <c r="AF770" i="84"/>
  <c r="W256" i="84"/>
  <c r="Q795" i="84"/>
  <c r="V249" i="84"/>
  <c r="AA476" i="84"/>
  <c r="AM15" i="82"/>
  <c r="F251" i="84"/>
  <c r="BJ132" i="84"/>
  <c r="AA553" i="84"/>
  <c r="S57" i="84"/>
  <c r="BK112" i="84"/>
  <c r="V594" i="84"/>
  <c r="AF351" i="84"/>
  <c r="Z490" i="84"/>
  <c r="BJ860" i="84"/>
  <c r="O959" i="84"/>
  <c r="BJ470" i="84"/>
  <c r="T816" i="84"/>
  <c r="E446" i="84"/>
  <c r="BK507" i="84"/>
  <c r="AF39" i="82"/>
  <c r="X483" i="84"/>
  <c r="AM9" i="82"/>
  <c r="AF839" i="84"/>
  <c r="E629" i="84"/>
  <c r="F757" i="84"/>
  <c r="BJ631" i="84"/>
  <c r="BK612" i="84"/>
  <c r="AD36" i="82"/>
  <c r="AC19" i="82"/>
  <c r="AI10" i="82"/>
  <c r="BD15" i="82"/>
  <c r="J947" i="84"/>
  <c r="N607" i="84"/>
  <c r="E16" i="82"/>
  <c r="AB43" i="82"/>
  <c r="V830" i="84"/>
  <c r="AA29" i="84"/>
  <c r="BK186" i="84"/>
  <c r="W884" i="84"/>
  <c r="AT28" i="82"/>
  <c r="G630" i="84"/>
  <c r="AF704" i="84"/>
  <c r="V551" i="84"/>
  <c r="AA839" i="84"/>
  <c r="AA334" i="84"/>
  <c r="O643" i="84"/>
  <c r="BY11" i="82"/>
  <c r="F52" i="84"/>
  <c r="W768" i="84"/>
  <c r="N824" i="84"/>
  <c r="BL22" i="82"/>
  <c r="X864" i="84"/>
  <c r="Y572" i="84"/>
  <c r="BK365" i="84"/>
  <c r="AK37" i="82"/>
  <c r="BK306" i="84"/>
  <c r="Z39" i="84"/>
  <c r="C33" i="82"/>
  <c r="BJ43" i="84"/>
  <c r="Z142" i="84"/>
  <c r="BJ532" i="84"/>
  <c r="F638" i="84"/>
  <c r="J34" i="82"/>
  <c r="BJ268" i="84"/>
  <c r="BJ762" i="84"/>
  <c r="BK328" i="84"/>
  <c r="Z867" i="84"/>
  <c r="E708" i="84"/>
  <c r="V818" i="84"/>
  <c r="R172" i="84"/>
  <c r="BK674" i="84"/>
  <c r="G423" i="84"/>
  <c r="X818" i="84"/>
  <c r="Z949" i="84"/>
  <c r="AS15" i="82"/>
  <c r="AI27" i="82"/>
  <c r="V289" i="84"/>
  <c r="N535" i="84"/>
  <c r="I22" i="82"/>
  <c r="P37" i="82"/>
  <c r="W813" i="84"/>
  <c r="E367" i="84"/>
  <c r="AA12" i="84"/>
  <c r="Y468" i="84"/>
  <c r="BK174" i="84"/>
  <c r="O678" i="84"/>
  <c r="N670" i="84"/>
  <c r="W864" i="84"/>
  <c r="P149" i="84"/>
  <c r="W915" i="84"/>
  <c r="V222" i="84"/>
  <c r="Y445" i="84"/>
  <c r="BJ744" i="84"/>
  <c r="AM29" i="82"/>
  <c r="X819" i="84"/>
  <c r="BJ184" i="84"/>
  <c r="V935" i="84"/>
  <c r="Z563" i="84"/>
  <c r="W698" i="84"/>
  <c r="W497" i="84"/>
  <c r="V382" i="84"/>
  <c r="AZ35" i="82"/>
  <c r="E771" i="84"/>
  <c r="W812" i="84"/>
  <c r="Z938" i="84"/>
  <c r="AF38" i="82"/>
  <c r="N290" i="84"/>
  <c r="W355" i="84"/>
  <c r="BF20" i="82"/>
  <c r="Z78" i="84"/>
  <c r="E774" i="84"/>
  <c r="X566" i="84"/>
  <c r="BK198" i="84"/>
  <c r="Y794" i="84"/>
  <c r="BJ215" i="84"/>
  <c r="AF11" i="84"/>
  <c r="AA861" i="84"/>
  <c r="AA284" i="84"/>
  <c r="V872" i="84"/>
  <c r="AA361" i="84"/>
  <c r="BJ849" i="84"/>
  <c r="W806" i="84"/>
  <c r="AF35" i="82"/>
  <c r="AA507" i="84"/>
  <c r="M29" i="82"/>
  <c r="BK928" i="84"/>
  <c r="E59" i="84"/>
  <c r="AA923" i="84"/>
  <c r="P34" i="82"/>
  <c r="AU45" i="82"/>
  <c r="BK695" i="84"/>
  <c r="V280" i="84"/>
  <c r="G172" i="84"/>
  <c r="F845" i="84"/>
  <c r="W352" i="84"/>
  <c r="O26" i="84"/>
  <c r="W658" i="84"/>
  <c r="G307" i="84"/>
  <c r="E659" i="84"/>
  <c r="BN19" i="82"/>
  <c r="W578" i="84"/>
  <c r="W60" i="84"/>
  <c r="BF39" i="82"/>
  <c r="F918" i="84"/>
  <c r="AK32" i="82"/>
  <c r="E46" i="82"/>
  <c r="BK832" i="84"/>
  <c r="F47" i="84"/>
  <c r="Y345" i="84"/>
  <c r="Z44" i="84"/>
  <c r="BK160" i="84"/>
  <c r="X526" i="84"/>
  <c r="AW18" i="82"/>
  <c r="X325" i="84"/>
  <c r="G827" i="84"/>
  <c r="T918" i="84"/>
  <c r="BK915" i="84"/>
  <c r="E45" i="84"/>
  <c r="V780" i="84"/>
  <c r="BJ959" i="84"/>
  <c r="W425" i="84"/>
  <c r="P177" i="84"/>
  <c r="W220" i="84"/>
  <c r="F307" i="84"/>
  <c r="J32" i="82"/>
  <c r="AM14" i="82"/>
  <c r="N248" i="84"/>
  <c r="AF748" i="84"/>
  <c r="BK524" i="84"/>
  <c r="U674" i="84"/>
  <c r="P947" i="84"/>
  <c r="Z127" i="84"/>
  <c r="BJ110" i="84"/>
  <c r="BJ540" i="84"/>
  <c r="BJ337" i="84"/>
  <c r="W687" i="84"/>
  <c r="Q433" i="84"/>
  <c r="V607" i="84"/>
  <c r="F640" i="84"/>
  <c r="Y483" i="84"/>
  <c r="Y429" i="84"/>
  <c r="AF184" i="84"/>
  <c r="AF805" i="84"/>
  <c r="W904" i="84"/>
  <c r="AA348" i="84"/>
  <c r="S569" i="84"/>
  <c r="H941" i="84"/>
  <c r="Z911" i="84"/>
  <c r="AF166" i="84"/>
  <c r="V748" i="84"/>
  <c r="BK576" i="84"/>
  <c r="W290" i="84"/>
  <c r="BJ584" i="84"/>
  <c r="G571" i="84"/>
  <c r="BJ181" i="84"/>
  <c r="G150" i="84"/>
  <c r="W734" i="84"/>
  <c r="P663" i="84"/>
  <c r="F917" i="84"/>
  <c r="BJ502" i="84"/>
  <c r="BJ854" i="84"/>
  <c r="R389" i="84"/>
  <c r="Z211" i="84"/>
  <c r="BK953" i="84"/>
  <c r="AA37" i="84"/>
  <c r="M39" i="82"/>
  <c r="AF715" i="84"/>
  <c r="BJ102" i="84"/>
  <c r="AF162" i="84"/>
  <c r="M196" i="84"/>
  <c r="S479" i="84"/>
  <c r="E127" i="84"/>
  <c r="AM10" i="82"/>
  <c r="O833" i="84"/>
  <c r="X74" i="84"/>
  <c r="AA937" i="84"/>
  <c r="Y804" i="84"/>
  <c r="N30" i="84"/>
  <c r="V486" i="84"/>
  <c r="AF108" i="84"/>
  <c r="F23" i="84"/>
  <c r="BC37" i="82"/>
  <c r="BJ260" i="84"/>
  <c r="AF690" i="84"/>
  <c r="AB40" i="82"/>
  <c r="BK751" i="84"/>
  <c r="BJ535" i="84"/>
  <c r="F50" i="84"/>
  <c r="BA24" i="82"/>
  <c r="Y935" i="84"/>
  <c r="BK457" i="84"/>
  <c r="BJ518" i="84"/>
  <c r="BK528" i="84"/>
  <c r="E373" i="84"/>
  <c r="AA880" i="84"/>
  <c r="S251" i="84"/>
  <c r="U188" i="84"/>
  <c r="P213" i="84"/>
  <c r="O829" i="84"/>
  <c r="R8" i="82"/>
  <c r="W919" i="84"/>
  <c r="G280" i="84"/>
  <c r="H416" i="84"/>
  <c r="V550" i="84"/>
  <c r="Q466" i="84"/>
  <c r="AS7" i="82"/>
  <c r="BK382" i="84"/>
  <c r="X126" i="84"/>
  <c r="BJ756" i="84"/>
  <c r="BK644" i="84"/>
  <c r="F516" i="84"/>
  <c r="E48" i="84"/>
  <c r="BK735" i="84"/>
  <c r="D22" i="82"/>
  <c r="AA254" i="84"/>
  <c r="Z591" i="84"/>
  <c r="P857" i="84"/>
  <c r="AF14" i="84"/>
  <c r="X169" i="84"/>
  <c r="BJ115" i="84"/>
  <c r="W275" i="84"/>
  <c r="X274" i="84"/>
  <c r="F40" i="82"/>
  <c r="U943" i="84"/>
  <c r="F571" i="84"/>
  <c r="Z667" i="84"/>
  <c r="AA340" i="84"/>
  <c r="AB12" i="82"/>
  <c r="AF434" i="84"/>
  <c r="BK728" i="84"/>
  <c r="O340" i="84"/>
  <c r="V892" i="84"/>
  <c r="Y181" i="84"/>
  <c r="Z702" i="84"/>
  <c r="AK30" i="82"/>
  <c r="BK120" i="84"/>
  <c r="F908" i="84"/>
  <c r="Y247" i="84"/>
  <c r="BK47" i="84"/>
  <c r="BJ906" i="84"/>
  <c r="V461" i="84"/>
  <c r="V166" i="84"/>
  <c r="X926" i="84"/>
  <c r="AQ40" i="82"/>
  <c r="W118" i="84"/>
  <c r="Y450" i="84"/>
  <c r="AF450" i="84"/>
  <c r="X78" i="84"/>
  <c r="V742" i="84"/>
  <c r="X319" i="84"/>
  <c r="F235" i="84"/>
  <c r="V263" i="84"/>
  <c r="N375" i="84"/>
  <c r="W148" i="84"/>
  <c r="Z555" i="84"/>
  <c r="E756" i="84"/>
  <c r="P509" i="84"/>
  <c r="O390" i="84"/>
  <c r="F676" i="84"/>
  <c r="F636" i="84"/>
  <c r="I37" i="82"/>
  <c r="BJ569" i="84"/>
  <c r="F169" i="84"/>
  <c r="BJ716" i="84"/>
  <c r="AA718" i="84"/>
  <c r="X246" i="84"/>
  <c r="X690" i="84"/>
  <c r="BJ675" i="84"/>
  <c r="W485" i="84"/>
  <c r="N478" i="84"/>
  <c r="W606" i="84"/>
  <c r="P337" i="84"/>
  <c r="AI44" i="82"/>
  <c r="AA206" i="84"/>
  <c r="H665" i="84"/>
  <c r="AW21" i="82"/>
  <c r="V154" i="84"/>
  <c r="F14" i="82"/>
  <c r="X396" i="84"/>
  <c r="J270" i="84"/>
  <c r="Z299" i="84"/>
  <c r="BJ50" i="84"/>
  <c r="AV41" i="82"/>
  <c r="AA571" i="84"/>
  <c r="P751" i="84"/>
  <c r="BJ847" i="84"/>
  <c r="Y851" i="84"/>
  <c r="U954" i="84"/>
  <c r="BK437" i="84"/>
  <c r="AA533" i="84"/>
  <c r="Y390" i="84"/>
  <c r="BM38" i="82"/>
  <c r="AI23" i="82"/>
  <c r="W692" i="84"/>
  <c r="Z315" i="84"/>
  <c r="X600" i="84"/>
  <c r="Z728" i="84"/>
  <c r="BC41" i="82"/>
  <c r="X67" i="84"/>
  <c r="V438" i="84"/>
  <c r="AF223" i="84"/>
  <c r="X658" i="84"/>
  <c r="BK284" i="84"/>
  <c r="BK668" i="84"/>
  <c r="W196" i="84"/>
  <c r="BK427" i="84"/>
  <c r="BK451" i="84"/>
  <c r="W14" i="84"/>
  <c r="AF389" i="84"/>
  <c r="BK957" i="84"/>
  <c r="N23" i="84"/>
  <c r="Z440" i="84"/>
  <c r="AF833" i="84"/>
  <c r="G239" i="84"/>
  <c r="Z578" i="84"/>
  <c r="V411" i="84"/>
  <c r="W767" i="84"/>
  <c r="AA377" i="84"/>
  <c r="BJ152" i="84"/>
  <c r="BJ18" i="84"/>
  <c r="V83" i="84"/>
  <c r="AF543" i="84"/>
  <c r="Y142" i="84"/>
  <c r="Y942" i="84"/>
  <c r="Z734" i="84"/>
  <c r="AK28" i="82"/>
  <c r="BK742" i="84"/>
  <c r="X406" i="84"/>
  <c r="Z72" i="84"/>
  <c r="AF36" i="84"/>
  <c r="BJ626" i="84"/>
  <c r="BJ795" i="84"/>
  <c r="W751" i="84"/>
  <c r="E766" i="84"/>
  <c r="O144" i="84"/>
  <c r="AA246" i="84"/>
  <c r="R364" i="84"/>
  <c r="O211" i="84"/>
  <c r="R197" i="84"/>
  <c r="AU7" i="82"/>
  <c r="G107" i="84"/>
  <c r="BK323" i="84"/>
  <c r="AK26" i="82"/>
  <c r="X699" i="84"/>
  <c r="G480" i="84"/>
  <c r="BJ794" i="84"/>
  <c r="BJ430" i="84"/>
  <c r="BK52" i="84"/>
  <c r="Y777" i="84"/>
  <c r="Z794" i="84"/>
  <c r="AF404" i="84"/>
  <c r="AA611" i="84"/>
  <c r="O491" i="84"/>
  <c r="AA714" i="84"/>
  <c r="K723" i="84"/>
  <c r="G33" i="82"/>
  <c r="F564" i="84"/>
  <c r="O82" i="84"/>
  <c r="Y727" i="84"/>
  <c r="AF334" i="84"/>
  <c r="BK25" i="84"/>
  <c r="BJ383" i="84"/>
  <c r="AF667" i="84"/>
  <c r="AI8" i="82"/>
  <c r="N78" i="84"/>
  <c r="BJ627" i="84"/>
  <c r="BK250" i="84"/>
  <c r="BK445" i="84"/>
  <c r="R709" i="84"/>
  <c r="BJ93" i="84"/>
  <c r="P299" i="84"/>
  <c r="BJ401" i="84"/>
  <c r="BK854" i="84"/>
  <c r="AA874" i="84"/>
  <c r="F649" i="84"/>
  <c r="BJ136" i="84"/>
  <c r="BJ388" i="84"/>
  <c r="AX34" i="82"/>
  <c r="BK480" i="84"/>
  <c r="Y28" i="84"/>
  <c r="Y595" i="84"/>
  <c r="V666" i="84"/>
  <c r="AN41" i="82"/>
  <c r="O756" i="84"/>
  <c r="W640" i="84"/>
  <c r="V56" i="84"/>
  <c r="BJ942" i="84"/>
  <c r="V177" i="84"/>
  <c r="V216" i="84"/>
  <c r="N406" i="84"/>
  <c r="AF571" i="84"/>
  <c r="I13" i="82"/>
  <c r="M27" i="82"/>
  <c r="Y857" i="84"/>
  <c r="BJ190" i="84"/>
  <c r="E28" i="84"/>
  <c r="Z518" i="84"/>
  <c r="AA304" i="84"/>
  <c r="W226" i="84"/>
  <c r="AF525" i="84"/>
  <c r="Y359" i="84"/>
  <c r="F842" i="84"/>
  <c r="BK518" i="84"/>
  <c r="R760" i="84"/>
  <c r="T79" i="84"/>
  <c r="AF159" i="84"/>
  <c r="P320" i="84"/>
  <c r="S319" i="84"/>
  <c r="X259" i="84"/>
  <c r="Z899" i="84"/>
  <c r="P44" i="82"/>
  <c r="BZ28" i="82"/>
  <c r="BJ919" i="84"/>
  <c r="AU33" i="82"/>
  <c r="Y226" i="84"/>
  <c r="BK370" i="84"/>
  <c r="BK439" i="84"/>
  <c r="BK289" i="84"/>
  <c r="Z678" i="84"/>
  <c r="E881" i="84"/>
  <c r="E159" i="84"/>
  <c r="F186" i="84"/>
  <c r="AF658" i="84"/>
  <c r="AU23" i="82"/>
  <c r="X608" i="84"/>
  <c r="G53" i="84"/>
  <c r="Y219" i="84"/>
  <c r="V888" i="84"/>
  <c r="N8" i="82"/>
  <c r="L11" i="82"/>
  <c r="Y139" i="84"/>
  <c r="BC26" i="82"/>
  <c r="X142" i="84"/>
  <c r="U565" i="84"/>
  <c r="AA883" i="84"/>
  <c r="AF661" i="84"/>
  <c r="G29" i="82"/>
  <c r="N693" i="84"/>
  <c r="F597" i="84"/>
  <c r="Y51" i="84"/>
  <c r="E244" i="84"/>
  <c r="AL15" i="82"/>
  <c r="BJ527" i="84"/>
  <c r="W829" i="84"/>
  <c r="P25" i="82"/>
  <c r="F929" i="84"/>
  <c r="BJ678" i="84"/>
  <c r="Z136" i="84"/>
  <c r="BJ829" i="84"/>
  <c r="BK769" i="84"/>
  <c r="AF329" i="84"/>
  <c r="V400" i="84"/>
  <c r="AF520" i="84"/>
  <c r="O289" i="84"/>
  <c r="BK593" i="84"/>
  <c r="AF410" i="84"/>
  <c r="AF306" i="84"/>
  <c r="Y539" i="84"/>
  <c r="AA347" i="84"/>
  <c r="Y164" i="84"/>
  <c r="BK894" i="84"/>
  <c r="BJ745" i="84"/>
  <c r="W837" i="84"/>
  <c r="AQ43" i="82"/>
  <c r="L33" i="82"/>
  <c r="X711" i="84"/>
  <c r="N295" i="84"/>
  <c r="BK418" i="84"/>
  <c r="P39" i="82"/>
  <c r="X579" i="84"/>
  <c r="O684" i="84"/>
  <c r="X29" i="84"/>
  <c r="BK495" i="84"/>
  <c r="Y487" i="84"/>
  <c r="G918" i="84"/>
  <c r="Y470" i="84"/>
  <c r="C43" i="82"/>
  <c r="AA601" i="84"/>
  <c r="BK16" i="84"/>
  <c r="BK261" i="84"/>
  <c r="Z379" i="84"/>
  <c r="P137" i="84"/>
  <c r="Z592" i="84"/>
  <c r="AF589" i="84"/>
  <c r="BK151" i="84"/>
  <c r="BJ140" i="84"/>
  <c r="E214" i="84"/>
  <c r="Z32" i="84"/>
  <c r="Y865" i="84"/>
  <c r="O620" i="84"/>
  <c r="X543" i="84"/>
  <c r="S287" i="84"/>
  <c r="Z111" i="84"/>
  <c r="X885" i="84"/>
  <c r="AR15" i="82"/>
  <c r="G501" i="84"/>
  <c r="G422" i="84"/>
  <c r="W138" i="84"/>
  <c r="BJ312" i="84"/>
  <c r="Z444" i="84"/>
  <c r="R41" i="84"/>
  <c r="BJ736" i="84"/>
  <c r="Z802" i="84"/>
  <c r="BK574" i="84"/>
  <c r="AP43" i="82"/>
  <c r="G626" i="84"/>
  <c r="E570" i="84"/>
  <c r="R821" i="84"/>
  <c r="E494" i="84"/>
  <c r="G741" i="84"/>
  <c r="AW32" i="82"/>
  <c r="X244" i="84"/>
  <c r="X725" i="84"/>
  <c r="Z951" i="84"/>
  <c r="S622" i="84"/>
  <c r="P16" i="82"/>
  <c r="BK102" i="84"/>
  <c r="X378" i="84"/>
  <c r="Y469" i="84"/>
  <c r="AF568" i="84"/>
  <c r="J867" i="84"/>
  <c r="BK233" i="84"/>
  <c r="AA417" i="84"/>
  <c r="BJ612" i="84"/>
  <c r="S609" i="84"/>
  <c r="AF326" i="84"/>
  <c r="V375" i="84"/>
  <c r="X195" i="84"/>
  <c r="AF722" i="84"/>
  <c r="BJ820" i="84"/>
  <c r="BJ542" i="84"/>
  <c r="Y70" i="84"/>
  <c r="BG23" i="82"/>
  <c r="BE7" i="82"/>
  <c r="AF928" i="84"/>
  <c r="N932" i="84"/>
  <c r="T281" i="84"/>
  <c r="R487" i="84"/>
  <c r="W311" i="84"/>
  <c r="BJ393" i="84"/>
  <c r="Y458" i="84"/>
  <c r="O613" i="84"/>
  <c r="X474" i="84"/>
  <c r="T287" i="84"/>
  <c r="AE7" i="82"/>
  <c r="AA908" i="84"/>
  <c r="Y712" i="84"/>
  <c r="V65" i="84"/>
  <c r="V131" i="84"/>
  <c r="BJ441" i="84"/>
  <c r="J31" i="82"/>
  <c r="Y223" i="84"/>
  <c r="V905" i="84"/>
  <c r="BJ109" i="84"/>
  <c r="BJ339" i="84"/>
  <c r="X119" i="84"/>
  <c r="BK945" i="84"/>
  <c r="BJ205" i="84"/>
  <c r="W235" i="84"/>
  <c r="AA516" i="84"/>
  <c r="AF694" i="84"/>
  <c r="V516" i="84"/>
  <c r="Y714" i="84"/>
  <c r="R708" i="84"/>
  <c r="BJ317" i="84"/>
  <c r="O37" i="84"/>
  <c r="F26" i="84"/>
  <c r="AP31" i="82"/>
  <c r="BJ305" i="84"/>
  <c r="BK554" i="84"/>
  <c r="U152" i="84"/>
  <c r="N966" i="84"/>
  <c r="Z43" i="84"/>
  <c r="V468" i="84"/>
  <c r="X871" i="84"/>
  <c r="Y923" i="84"/>
  <c r="BJ378" i="84"/>
  <c r="BK118" i="84"/>
  <c r="G406" i="84"/>
  <c r="AA32" i="82"/>
  <c r="O737" i="84"/>
  <c r="W158" i="84"/>
  <c r="AX27" i="82"/>
  <c r="AF753" i="84"/>
  <c r="AF141" i="84"/>
  <c r="BJ920" i="84"/>
  <c r="AF205" i="84"/>
  <c r="AT44" i="82"/>
  <c r="BK287" i="84"/>
  <c r="G525" i="84"/>
  <c r="T41" i="84"/>
  <c r="P161" i="84"/>
  <c r="Y541" i="84"/>
  <c r="Y163" i="84"/>
  <c r="BK966" i="84"/>
  <c r="W189" i="84"/>
  <c r="F641" i="84"/>
  <c r="Q816" i="84"/>
  <c r="X701" i="84"/>
  <c r="BF14" i="82"/>
  <c r="F225" i="84"/>
  <c r="BK433" i="84"/>
  <c r="W473" i="84"/>
  <c r="Y750" i="84"/>
  <c r="BJ912" i="84"/>
  <c r="BK200" i="84"/>
  <c r="G74" i="84"/>
  <c r="AF512" i="84"/>
  <c r="BK835" i="84"/>
  <c r="AA597" i="84"/>
  <c r="AF526" i="84"/>
  <c r="BJ525" i="84"/>
  <c r="V798" i="84"/>
  <c r="BK914" i="84"/>
  <c r="P23" i="82"/>
  <c r="BJ767" i="84"/>
  <c r="BJ41" i="84"/>
  <c r="K25" i="82"/>
  <c r="E551" i="84"/>
  <c r="BK121" i="84"/>
  <c r="E401" i="84"/>
  <c r="N514" i="84"/>
  <c r="N571" i="84"/>
  <c r="BK747" i="84"/>
  <c r="BJ70" i="84"/>
  <c r="P38" i="82"/>
  <c r="AX16" i="82"/>
  <c r="L41" i="82"/>
  <c r="O421" i="84"/>
  <c r="O785" i="84"/>
  <c r="N774" i="84"/>
  <c r="BJ817" i="84"/>
  <c r="AQ18" i="82"/>
  <c r="N34" i="82"/>
  <c r="E69" i="84"/>
  <c r="AF161" i="84"/>
  <c r="Y793" i="84"/>
  <c r="AD46" i="82"/>
  <c r="BK834" i="84"/>
  <c r="AF790" i="84"/>
  <c r="AA223" i="84"/>
  <c r="V851" i="84"/>
  <c r="AN21" i="82"/>
  <c r="P870" i="84"/>
  <c r="T150" i="84"/>
  <c r="BK11" i="82"/>
  <c r="Z502" i="84"/>
  <c r="P512" i="84"/>
  <c r="X724" i="84"/>
  <c r="X531" i="84"/>
  <c r="BJ805" i="84"/>
  <c r="AF647" i="84"/>
  <c r="W152" i="84"/>
  <c r="J36" i="82"/>
  <c r="AA471" i="84"/>
  <c r="E14" i="82"/>
  <c r="BJ335" i="84"/>
  <c r="AF941" i="84"/>
  <c r="R661" i="84"/>
  <c r="BJ76" i="84"/>
  <c r="X641" i="84"/>
  <c r="G794" i="84"/>
  <c r="AG10" i="82"/>
  <c r="Q811" i="84"/>
  <c r="Z827" i="84"/>
  <c r="X937" i="84"/>
  <c r="Q144" i="84"/>
  <c r="S195" i="84"/>
  <c r="E156" i="84"/>
  <c r="BJ294" i="84"/>
  <c r="T108" i="84"/>
  <c r="BK692" i="84"/>
  <c r="AC21" i="82"/>
  <c r="AF229" i="84"/>
  <c r="Z559" i="84"/>
  <c r="X875" i="84"/>
  <c r="F572" i="84"/>
  <c r="AA379" i="84"/>
  <c r="Y408" i="84"/>
  <c r="X707" i="84"/>
  <c r="AA672" i="84"/>
  <c r="P202" i="84"/>
  <c r="H362" i="84"/>
  <c r="S562" i="84"/>
  <c r="O930" i="84"/>
  <c r="V939" i="84"/>
  <c r="BJ824" i="84"/>
  <c r="V232" i="84"/>
  <c r="Y191" i="84"/>
  <c r="Q24" i="82"/>
  <c r="AA950" i="84"/>
  <c r="BK57" i="84"/>
  <c r="AA374" i="84"/>
  <c r="Z514" i="84"/>
  <c r="BK889" i="84"/>
  <c r="O306" i="84"/>
  <c r="X743" i="84"/>
  <c r="S918" i="84"/>
  <c r="Y538" i="84"/>
  <c r="BK81" i="84"/>
  <c r="Z450" i="84"/>
  <c r="BQ33" i="82"/>
  <c r="BJ845" i="84"/>
  <c r="AA106" i="84"/>
  <c r="BK408" i="84"/>
  <c r="BJ547" i="84"/>
  <c r="N710" i="84"/>
  <c r="F63" i="84"/>
  <c r="AA846" i="84"/>
  <c r="G46" i="82"/>
  <c r="E359" i="84"/>
  <c r="BJ88" i="84"/>
  <c r="S120" i="84"/>
  <c r="E692" i="84"/>
  <c r="AF89" i="84"/>
  <c r="O511" i="84"/>
  <c r="AA26" i="84"/>
  <c r="AI40" i="82"/>
  <c r="V99" i="84"/>
  <c r="X399" i="84"/>
  <c r="Y518" i="84"/>
  <c r="T504" i="84"/>
  <c r="BJ182" i="84"/>
  <c r="R940" i="84"/>
  <c r="AF463" i="84"/>
  <c r="AF22" i="82"/>
  <c r="F634" i="84"/>
  <c r="AF684" i="84"/>
  <c r="P708" i="84"/>
  <c r="Y348" i="84"/>
  <c r="BJ94" i="84"/>
  <c r="F324" i="84"/>
  <c r="Y606" i="84"/>
  <c r="BJ943" i="84"/>
  <c r="Y878" i="84"/>
  <c r="O656" i="84"/>
  <c r="S32" i="82"/>
  <c r="AA869" i="84"/>
  <c r="S834" i="84"/>
  <c r="BJ909" i="84"/>
  <c r="W924" i="84"/>
  <c r="BJ164" i="84"/>
  <c r="S9" i="84"/>
  <c r="BK756" i="84"/>
  <c r="Y589" i="84"/>
  <c r="V895" i="84"/>
  <c r="BJ446" i="84"/>
  <c r="V636" i="84"/>
  <c r="Y368" i="84"/>
  <c r="Q21" i="84"/>
  <c r="Y416" i="84"/>
  <c r="AF762" i="84"/>
  <c r="BK713" i="84"/>
  <c r="BJ926" i="84"/>
  <c r="AX28" i="82"/>
  <c r="X622" i="84"/>
  <c r="L891" i="84"/>
  <c r="BJ553" i="84"/>
  <c r="BK285" i="84"/>
  <c r="V545" i="84"/>
  <c r="Z293" i="84"/>
  <c r="O457" i="84"/>
  <c r="AI13" i="82"/>
  <c r="BK850" i="84"/>
  <c r="Z958" i="84"/>
  <c r="BJ622" i="84"/>
  <c r="Z930" i="84"/>
  <c r="AF232" i="84"/>
  <c r="BK40" i="84"/>
  <c r="Y11" i="84"/>
  <c r="X253" i="84"/>
  <c r="BJ259" i="84"/>
  <c r="F435" i="84"/>
  <c r="G717" i="84"/>
  <c r="BK204" i="84"/>
  <c r="AA392" i="84"/>
  <c r="BJ324" i="84"/>
  <c r="E928" i="84"/>
  <c r="AA494" i="84"/>
  <c r="W353" i="84"/>
  <c r="N122" i="84"/>
  <c r="Y558" i="84"/>
  <c r="AI34" i="82"/>
  <c r="BG12" i="82"/>
  <c r="AF497" i="84"/>
  <c r="P650" i="84"/>
  <c r="Z520" i="84"/>
  <c r="AA41" i="82"/>
  <c r="AR41" i="82"/>
  <c r="F222" i="84"/>
  <c r="X688" i="84"/>
  <c r="BJ477" i="84"/>
  <c r="BJ649" i="84"/>
  <c r="T594" i="84"/>
  <c r="R501" i="84"/>
  <c r="S708" i="84"/>
  <c r="BF43" i="82"/>
  <c r="Y13" i="84"/>
  <c r="BK804" i="84"/>
  <c r="W688" i="84"/>
  <c r="H19" i="82"/>
  <c r="BK579" i="84"/>
  <c r="X673" i="84"/>
  <c r="BK358" i="84"/>
  <c r="BK887" i="84"/>
  <c r="N911" i="84"/>
  <c r="V835" i="84"/>
  <c r="U570" i="84"/>
  <c r="AF116" i="84"/>
  <c r="AF765" i="84"/>
  <c r="X458" i="84"/>
  <c r="E297" i="84"/>
  <c r="N262" i="84"/>
  <c r="Z880" i="84"/>
  <c r="W242" i="84"/>
  <c r="AJ14" i="82"/>
  <c r="BJ597" i="84"/>
  <c r="W240" i="84"/>
  <c r="U515" i="84"/>
  <c r="Z191" i="84"/>
  <c r="AF93" i="84"/>
  <c r="AF109" i="84"/>
  <c r="N627" i="84"/>
  <c r="AN46" i="82"/>
  <c r="V359" i="84"/>
  <c r="S10" i="82"/>
  <c r="Y305" i="84"/>
  <c r="BK903" i="84"/>
  <c r="BK776" i="84"/>
  <c r="X442" i="84"/>
  <c r="Y145" i="84"/>
  <c r="BZ41" i="82"/>
  <c r="H12" i="82"/>
  <c r="V635" i="84"/>
  <c r="BK44" i="84"/>
  <c r="AF446" i="84"/>
  <c r="U506" i="84"/>
  <c r="E258" i="84"/>
  <c r="O75" i="84"/>
  <c r="E25" i="82"/>
  <c r="BN9" i="82"/>
  <c r="W234" i="84"/>
  <c r="BK59" i="84"/>
  <c r="BJ57" i="84"/>
  <c r="W42" i="84"/>
  <c r="U635" i="84"/>
  <c r="BK286" i="84"/>
  <c r="BJ166" i="84"/>
  <c r="W149" i="84"/>
  <c r="AA108" i="84"/>
  <c r="V518" i="84"/>
  <c r="P264" i="84"/>
  <c r="AA768" i="84"/>
  <c r="AF817" i="84"/>
  <c r="U960" i="84"/>
  <c r="AF536" i="84"/>
  <c r="Z572" i="84"/>
  <c r="AF499" i="84"/>
  <c r="X802" i="84"/>
  <c r="N778" i="84"/>
  <c r="O359" i="84"/>
  <c r="S690" i="84"/>
  <c r="W86" i="84"/>
  <c r="E27" i="84"/>
  <c r="X872" i="84"/>
  <c r="Z620" i="84"/>
  <c r="Y456" i="84"/>
  <c r="P408" i="84"/>
  <c r="BK7" i="84"/>
  <c r="Y654" i="84"/>
  <c r="W505" i="84"/>
  <c r="AD7" i="82"/>
  <c r="BK383" i="84"/>
  <c r="W753" i="84"/>
  <c r="Z276" i="84"/>
  <c r="BK739" i="84"/>
  <c r="N94" i="84"/>
  <c r="AH35" i="82"/>
  <c r="AF405" i="84"/>
  <c r="X148" i="84"/>
  <c r="BJ375" i="84"/>
  <c r="BJ309" i="84"/>
  <c r="V521" i="84"/>
  <c r="P916" i="84"/>
  <c r="Z814" i="84"/>
  <c r="V23" i="84"/>
  <c r="G844" i="84"/>
  <c r="BK511" i="84"/>
  <c r="BJ676" i="84"/>
  <c r="R783" i="84"/>
  <c r="AF710" i="84"/>
  <c r="BJ947" i="84"/>
  <c r="E794" i="84"/>
  <c r="U403" i="84"/>
  <c r="V803" i="84"/>
  <c r="BK304" i="84"/>
  <c r="U422" i="84"/>
  <c r="Y675" i="84"/>
  <c r="BJ16" i="84"/>
  <c r="AA424" i="84"/>
  <c r="AH29" i="82"/>
  <c r="F737" i="84"/>
  <c r="F526" i="84"/>
  <c r="V764" i="84"/>
  <c r="BK484" i="84"/>
  <c r="W35" i="84"/>
  <c r="BJ934" i="84"/>
  <c r="Y62" i="84"/>
  <c r="AF183" i="84"/>
  <c r="BJ67" i="84"/>
  <c r="X31" i="84"/>
  <c r="S777" i="84"/>
  <c r="BK124" i="84"/>
  <c r="E105" i="84"/>
  <c r="Q962" i="84"/>
  <c r="G179" i="84"/>
  <c r="AA575" i="84"/>
  <c r="W87" i="84"/>
  <c r="W956" i="84"/>
  <c r="AA66" i="84"/>
  <c r="G913" i="84"/>
  <c r="BK821" i="84"/>
  <c r="J860" i="84"/>
  <c r="AF273" i="84"/>
  <c r="N265" i="84"/>
  <c r="V508" i="84"/>
  <c r="AV8" i="82"/>
  <c r="S813" i="84"/>
  <c r="V557" i="84"/>
  <c r="AA682" i="84"/>
  <c r="V237" i="84"/>
  <c r="V430" i="84"/>
  <c r="Y783" i="84"/>
  <c r="V555" i="84"/>
  <c r="W571" i="84"/>
  <c r="AA890" i="84"/>
  <c r="V614" i="84"/>
  <c r="F213" i="84"/>
  <c r="I33" i="82"/>
  <c r="AF946" i="84"/>
  <c r="BJ104" i="84"/>
  <c r="BJ306" i="84"/>
  <c r="M546" i="84"/>
  <c r="AF567" i="84"/>
  <c r="V390" i="84"/>
  <c r="BK503" i="84"/>
  <c r="AG23" i="82"/>
  <c r="O160" i="84"/>
  <c r="BJ352" i="84"/>
  <c r="Z844" i="84"/>
  <c r="BA17" i="82"/>
  <c r="Z452" i="84"/>
  <c r="F480" i="84"/>
  <c r="T332" i="84"/>
  <c r="AA748" i="84"/>
  <c r="W744" i="84"/>
  <c r="V898" i="84"/>
  <c r="R433" i="84"/>
  <c r="AA394" i="84"/>
  <c r="O883" i="84"/>
  <c r="Z317" i="84"/>
  <c r="BJ674" i="84"/>
  <c r="AA147" i="84"/>
  <c r="BK788" i="84"/>
  <c r="G720" i="84"/>
  <c r="R42" i="82"/>
  <c r="W333" i="84"/>
  <c r="AY29" i="82"/>
  <c r="BJ406" i="84"/>
  <c r="O868" i="84"/>
  <c r="X431" i="84"/>
  <c r="O702" i="84"/>
  <c r="AF477" i="84"/>
  <c r="F211" i="84"/>
  <c r="BJ154" i="84"/>
  <c r="BK391" i="84"/>
  <c r="Z945" i="84"/>
  <c r="BJ843" i="84"/>
  <c r="V35" i="84"/>
  <c r="BK927" i="84"/>
  <c r="X556" i="84"/>
  <c r="F858" i="84"/>
  <c r="BK410" i="84"/>
  <c r="BJ307" i="84"/>
  <c r="BD8" i="82"/>
  <c r="BJ153" i="84"/>
  <c r="F752" i="84"/>
  <c r="BK210" i="84"/>
  <c r="E7" i="84"/>
  <c r="BG25" i="82"/>
  <c r="BJ173" i="84"/>
  <c r="Y741" i="84"/>
  <c r="Y69" i="84"/>
  <c r="N31" i="84"/>
  <c r="AA561" i="84"/>
  <c r="E298" i="84"/>
  <c r="O212" i="84"/>
  <c r="Z725" i="84"/>
  <c r="AF278" i="84"/>
  <c r="E76" i="84"/>
  <c r="N305" i="84"/>
  <c r="BK13" i="84"/>
  <c r="N46" i="82"/>
  <c r="AF12" i="82"/>
  <c r="AN29" i="82"/>
  <c r="Z436" i="84"/>
  <c r="X349" i="84"/>
  <c r="F405" i="84"/>
  <c r="W57" i="84"/>
  <c r="X892" i="84"/>
  <c r="AJ9" i="82"/>
  <c r="E425" i="84"/>
  <c r="BJ343" i="84"/>
  <c r="N200" i="84"/>
  <c r="O357" i="84"/>
  <c r="BK862" i="84"/>
  <c r="W530" i="84"/>
  <c r="P505" i="84"/>
  <c r="AF418" i="84"/>
  <c r="N965" i="84"/>
  <c r="BK222" i="84"/>
  <c r="AA46" i="82"/>
  <c r="AJ38" i="82"/>
  <c r="Z632" i="84"/>
  <c r="BJ369" i="84"/>
  <c r="Z560" i="84"/>
  <c r="AA43" i="82"/>
  <c r="AC965" i="84" l="1"/>
  <c r="AC200" i="84"/>
  <c r="BB29" i="82"/>
  <c r="BH12" i="82"/>
  <c r="BI12" i="82"/>
  <c r="AC305" i="84"/>
  <c r="AC31" i="84"/>
  <c r="AC265" i="84"/>
  <c r="AC94" i="84"/>
  <c r="D47" i="87" a="1"/>
  <c r="D47" i="87" s="1"/>
  <c r="S47" i="87" a="1"/>
  <c r="S47" i="87" s="1"/>
  <c r="B47" i="87" a="1"/>
  <c r="B47" i="87" s="1"/>
  <c r="C47" i="87" a="1"/>
  <c r="C47" i="87" s="1"/>
  <c r="AC778" i="84"/>
  <c r="BB46" i="82"/>
  <c r="AC627" i="84"/>
  <c r="AC262" i="84"/>
  <c r="AC911" i="84"/>
  <c r="AC122" i="84"/>
  <c r="BI22" i="82"/>
  <c r="BH22" i="82"/>
  <c r="Y46" i="82"/>
  <c r="V46" i="82"/>
  <c r="U46" i="82"/>
  <c r="W46" i="82"/>
  <c r="X46" i="82"/>
  <c r="AC710" i="84"/>
  <c r="BB21" i="82"/>
  <c r="AC774" i="84"/>
  <c r="Z41" i="82"/>
  <c r="AC571" i="84"/>
  <c r="AC514" i="84"/>
  <c r="AC966" i="84"/>
  <c r="AC932" i="84"/>
  <c r="AC295" i="84"/>
  <c r="Z33" i="82"/>
  <c r="AC693" i="84"/>
  <c r="Z11" i="82"/>
  <c r="AC406" i="84"/>
  <c r="BB41" i="82"/>
  <c r="AC78" i="84"/>
  <c r="W33" i="82"/>
  <c r="U33" i="82"/>
  <c r="Y33" i="82"/>
  <c r="V33" i="82"/>
  <c r="X33" i="82"/>
  <c r="AC23" i="84"/>
  <c r="AC478" i="84"/>
  <c r="AC375" i="84"/>
  <c r="AC30" i="84"/>
  <c r="AC248" i="84"/>
  <c r="BI35" i="82"/>
  <c r="BJ35" i="82"/>
  <c r="BH35" i="82"/>
  <c r="AC290" i="84"/>
  <c r="BI38" i="82"/>
  <c r="BJ38" i="82"/>
  <c r="BH38" i="82"/>
  <c r="AC670" i="84"/>
  <c r="AC535" i="84"/>
  <c r="AC824" i="84"/>
  <c r="AC607" i="84"/>
  <c r="BJ39" i="82"/>
  <c r="BI39" i="82"/>
  <c r="BH39" i="82"/>
  <c r="AC377" i="84"/>
  <c r="AC390" i="84"/>
  <c r="AC758" i="84"/>
  <c r="AC101" i="84"/>
  <c r="AC567" i="84"/>
  <c r="BI25" i="82"/>
  <c r="BH25" i="82"/>
  <c r="AI887" i="84"/>
  <c r="AG887" i="84"/>
  <c r="Z19" i="82"/>
  <c r="AC407" i="84"/>
  <c r="AC47" i="84"/>
  <c r="AC578" i="84"/>
  <c r="AC263" i="84"/>
  <c r="AC194" i="84"/>
  <c r="AC341" i="84"/>
  <c r="AC177" i="84"/>
  <c r="AC838" i="84"/>
  <c r="AC803" i="84"/>
  <c r="AC32" i="84"/>
  <c r="AC266" i="84"/>
  <c r="AC135" i="84"/>
  <c r="BI20" i="82"/>
  <c r="BH20" i="82"/>
  <c r="AC172" i="84"/>
  <c r="AC13" i="84"/>
  <c r="AC127" i="84"/>
  <c r="AC387" i="84"/>
  <c r="AC846" i="84"/>
  <c r="AC687" i="84"/>
  <c r="BH40" i="82"/>
  <c r="BJ40" i="82"/>
  <c r="BI40" i="82"/>
  <c r="AC885" i="84"/>
  <c r="AC420" i="84"/>
  <c r="Z13" i="82"/>
  <c r="AC833" i="84"/>
  <c r="BB28" i="82"/>
  <c r="AC230" i="84"/>
  <c r="AC887" i="84"/>
  <c r="AC527" i="84"/>
  <c r="AC727" i="84"/>
  <c r="BI14" i="82"/>
  <c r="BH14" i="82"/>
  <c r="AC886" i="84"/>
  <c r="AC917" i="84"/>
  <c r="X41" i="82"/>
  <c r="W41" i="82"/>
  <c r="Y41" i="82"/>
  <c r="V41" i="82"/>
  <c r="U41" i="82"/>
  <c r="AC830" i="84"/>
  <c r="AC719" i="84"/>
  <c r="Z25" i="82"/>
  <c r="AC715" i="84"/>
  <c r="AC735" i="84"/>
  <c r="AC330" i="84"/>
  <c r="BH34" i="82"/>
  <c r="BJ34" i="82"/>
  <c r="BI34" i="82"/>
  <c r="AC560" i="84"/>
  <c r="Z16" i="82"/>
  <c r="AC431" i="84"/>
  <c r="AC470" i="84"/>
  <c r="Z36" i="82"/>
  <c r="AC222" i="84"/>
  <c r="Z31" i="82"/>
  <c r="AC550" i="84"/>
  <c r="BB9" i="82"/>
  <c r="AC427" i="84"/>
  <c r="AC36" i="84"/>
  <c r="AC802" i="84"/>
  <c r="AC955" i="84"/>
  <c r="AC42" i="84"/>
  <c r="AC333" i="84"/>
  <c r="BH45" i="82"/>
  <c r="BJ45" i="82"/>
  <c r="BI45" i="82"/>
  <c r="BB35" i="82"/>
  <c r="AC520" i="84"/>
  <c r="BI23" i="82"/>
  <c r="BH23" i="82"/>
  <c r="AC867" i="84"/>
  <c r="AC245" i="84"/>
  <c r="AI841" i="84"/>
  <c r="AG841" i="84"/>
  <c r="AC622" i="84"/>
  <c r="AC379" i="84"/>
  <c r="AC152" i="84"/>
  <c r="AC363" i="84"/>
  <c r="AC633" i="84"/>
  <c r="W43" i="82"/>
  <c r="U43" i="82"/>
  <c r="V43" i="82"/>
  <c r="Y43" i="82"/>
  <c r="X43" i="82"/>
  <c r="AC432" i="84"/>
  <c r="AC294" i="84"/>
  <c r="AC663" i="84"/>
  <c r="AE781" i="84"/>
  <c r="AC271" i="84"/>
  <c r="Z17" i="82"/>
  <c r="AC324" i="84"/>
  <c r="BI16" i="82"/>
  <c r="BH16" i="82"/>
  <c r="AC446" i="84"/>
  <c r="AC599" i="84"/>
  <c r="AC167" i="84"/>
  <c r="AC781" i="84"/>
  <c r="BB32" i="82"/>
  <c r="AC616" i="84"/>
  <c r="AC918" i="84"/>
  <c r="Z40" i="82"/>
  <c r="AC232" i="84"/>
  <c r="AC221" i="84"/>
  <c r="BH10" i="82"/>
  <c r="BI10" i="82"/>
  <c r="AC285" i="84"/>
  <c r="AC931" i="84"/>
  <c r="AC389" i="84"/>
  <c r="AC351" i="84"/>
  <c r="AC639" i="84"/>
  <c r="AC347" i="84"/>
  <c r="AC777" i="84"/>
  <c r="AC447" i="84"/>
  <c r="AC615" i="84"/>
  <c r="AC815" i="84"/>
  <c r="AC628" i="84"/>
  <c r="B45" i="87" a="1"/>
  <c r="B45" i="87" s="1"/>
  <c r="D45" i="87" a="1"/>
  <c r="D45" i="87" s="1"/>
  <c r="S45" i="87" a="1"/>
  <c r="S45" i="87" s="1"/>
  <c r="C45" i="87" a="1"/>
  <c r="C45" i="87" s="1"/>
  <c r="AC385" i="84"/>
  <c r="AC313" i="84"/>
  <c r="BI26" i="82"/>
  <c r="BH26" i="82"/>
  <c r="AC788" i="84"/>
  <c r="AE309" i="84"/>
  <c r="AC16" i="84"/>
  <c r="AC174" i="84"/>
  <c r="AC834" i="84"/>
  <c r="AC871" i="84"/>
  <c r="AC579" i="84"/>
  <c r="AC862" i="84"/>
  <c r="BI42" i="82"/>
  <c r="BJ42" i="82"/>
  <c r="BH42" i="82"/>
  <c r="AC524" i="84"/>
  <c r="AC888" i="84"/>
  <c r="BH7" i="82"/>
  <c r="BI7" i="82"/>
  <c r="AC109" i="84"/>
  <c r="AC404" i="84"/>
  <c r="AC586" i="84"/>
  <c r="AC671" i="84"/>
  <c r="AC489" i="84"/>
  <c r="AC954" i="84"/>
  <c r="AC451" i="84"/>
  <c r="AC835" i="84"/>
  <c r="BB15" i="82"/>
  <c r="AI965" i="84"/>
  <c r="AG965" i="84"/>
  <c r="AG273" i="84"/>
  <c r="AI273" i="84"/>
  <c r="BB33" i="82"/>
  <c r="AC634" i="84"/>
  <c r="AC716" i="84"/>
  <c r="AC247" i="84"/>
  <c r="AC240" i="84"/>
  <c r="AC813" i="84"/>
  <c r="Z32" i="82"/>
  <c r="AC27" i="84"/>
  <c r="Z10" i="82"/>
  <c r="AC683" i="84"/>
  <c r="AC940" i="84"/>
  <c r="X40" i="82"/>
  <c r="U40" i="82"/>
  <c r="Y40" i="82"/>
  <c r="W40" i="82"/>
  <c r="V40" i="82"/>
  <c r="AC158" i="84"/>
  <c r="BI29" i="82"/>
  <c r="BH29" i="82"/>
  <c r="AE569" i="84"/>
  <c r="BI24" i="82"/>
  <c r="BH24" i="82"/>
  <c r="AC744" i="84"/>
  <c r="AE855" i="84"/>
  <c r="AC591" i="84"/>
  <c r="AC870" i="84"/>
  <c r="AC235" i="84"/>
  <c r="AC493" i="84"/>
  <c r="AC121" i="84"/>
  <c r="AC703" i="84"/>
  <c r="AC399" i="84"/>
  <c r="AC707" i="84"/>
  <c r="AC795" i="84"/>
  <c r="Z27" i="82"/>
  <c r="Z8" i="82"/>
  <c r="AC538" i="84"/>
  <c r="AC741" i="84"/>
  <c r="AE599" i="84"/>
  <c r="AC428" i="84"/>
  <c r="AB66" i="84"/>
  <c r="BA66" i="84" s="1"/>
  <c r="AC464" i="84"/>
  <c r="AC642" i="84"/>
  <c r="AC638" i="84"/>
  <c r="AC149" i="84"/>
  <c r="AC257" i="84"/>
  <c r="AC511" i="84"/>
  <c r="AG891" i="84"/>
  <c r="AI891" i="84"/>
  <c r="BB24" i="82"/>
  <c r="AC603" i="84"/>
  <c r="AC440" i="84"/>
  <c r="AC26" i="84"/>
  <c r="AC513" i="84"/>
  <c r="AC107" i="84"/>
  <c r="AC695" i="84"/>
  <c r="Z39" i="82"/>
  <c r="AC897" i="84"/>
  <c r="AC72" i="84"/>
  <c r="AI799" i="84"/>
  <c r="AG799" i="84"/>
  <c r="AC504" i="84"/>
  <c r="AE727" i="84"/>
  <c r="AC602" i="84"/>
  <c r="AC131" i="84"/>
  <c r="AC44" i="84"/>
  <c r="AC907" i="84"/>
  <c r="AC731" i="84"/>
  <c r="AC136" i="84"/>
  <c r="BB17" i="82"/>
  <c r="BB20" i="82"/>
  <c r="AC961" i="84"/>
  <c r="X36" i="82"/>
  <c r="W36" i="82"/>
  <c r="V36" i="82"/>
  <c r="Y36" i="82"/>
  <c r="U36" i="82"/>
  <c r="AC286" i="84"/>
  <c r="AC924" i="84"/>
  <c r="AC335" i="84"/>
  <c r="AC906" i="84"/>
  <c r="X34" i="82"/>
  <c r="Y34" i="82"/>
  <c r="W34" i="82"/>
  <c r="V34" i="82"/>
  <c r="U34" i="82"/>
  <c r="AC659" i="84"/>
  <c r="AC647" i="84"/>
  <c r="AC800" i="84"/>
  <c r="AC768" i="84"/>
  <c r="AC190" i="84"/>
  <c r="Z26" i="82"/>
  <c r="AB631" i="84"/>
  <c r="BA631" i="84" s="1"/>
  <c r="BJ37" i="82"/>
  <c r="BH37" i="82"/>
  <c r="BI37" i="82"/>
  <c r="X38" i="82"/>
  <c r="U38" i="82"/>
  <c r="W38" i="82"/>
  <c r="Y38" i="82"/>
  <c r="V38" i="82"/>
  <c r="AC532" i="84"/>
  <c r="AC922" i="84"/>
  <c r="AC562" i="84"/>
  <c r="AC928" i="84"/>
  <c r="AC352" i="84"/>
  <c r="AC810" i="84"/>
  <c r="AC481" i="84"/>
  <c r="AC268" i="84"/>
  <c r="AC50" i="84"/>
  <c r="AC779" i="84"/>
  <c r="AC383" i="84"/>
  <c r="AC621" i="84"/>
  <c r="AC908" i="84"/>
  <c r="X35" i="82"/>
  <c r="Y35" i="82"/>
  <c r="V35" i="82"/>
  <c r="W35" i="82"/>
  <c r="U35" i="82"/>
  <c r="BB44" i="82"/>
  <c r="BB7" i="82"/>
  <c r="AC402" i="84"/>
  <c r="AC426" i="84"/>
  <c r="BB22" i="82"/>
  <c r="AC822" i="84"/>
  <c r="AC137" i="84"/>
  <c r="AC74" i="84"/>
  <c r="AC118" i="84"/>
  <c r="AC614" i="84"/>
  <c r="AC255" i="84"/>
  <c r="BB30" i="82"/>
  <c r="AC376" i="84"/>
  <c r="AC120" i="84"/>
  <c r="BI46" i="82"/>
  <c r="BH46" i="82"/>
  <c r="BJ46" i="82"/>
  <c r="AC414" i="84"/>
  <c r="Z44" i="82"/>
  <c r="AC624" i="84"/>
  <c r="AC745" i="84"/>
  <c r="AC144" i="84"/>
  <c r="AC806" i="84"/>
  <c r="Z15" i="82"/>
  <c r="BJ15" i="82" s="1"/>
  <c r="AC501" i="84"/>
  <c r="AC729" i="84"/>
  <c r="AC766" i="84"/>
  <c r="AC63" i="84"/>
  <c r="BI31" i="82"/>
  <c r="BH31" i="82"/>
  <c r="AC747" i="84"/>
  <c r="AC300" i="84"/>
  <c r="AC365" i="84"/>
  <c r="AC331" i="84"/>
  <c r="AC842" i="84"/>
  <c r="BB38" i="82"/>
  <c r="AC371" i="84"/>
  <c r="AC147" i="84"/>
  <c r="AC8" i="84"/>
  <c r="AC388" i="84"/>
  <c r="AC643" i="84"/>
  <c r="AC95" i="84"/>
  <c r="AC15" i="84"/>
  <c r="Z9" i="82"/>
  <c r="AB903" i="84"/>
  <c r="BA903" i="84" s="1"/>
  <c r="AC246" i="84"/>
  <c r="AC559" i="84"/>
  <c r="AC430" i="84"/>
  <c r="AC951" i="84"/>
  <c r="AC884" i="84"/>
  <c r="Z38" i="82"/>
  <c r="AC677" i="84"/>
  <c r="AC612" i="84"/>
  <c r="AC156" i="84"/>
  <c r="AC566" i="84"/>
  <c r="AC422" i="84"/>
  <c r="Y37" i="82"/>
  <c r="V37" i="82"/>
  <c r="W37" i="82"/>
  <c r="U37" i="82"/>
  <c r="X37" i="82"/>
  <c r="BB13" i="82"/>
  <c r="AC65" i="84"/>
  <c r="AC583" i="84"/>
  <c r="AC176" i="84"/>
  <c r="AC541" i="84"/>
  <c r="AC199" i="84"/>
  <c r="AC889" i="84"/>
  <c r="AC941" i="84"/>
  <c r="AC69" i="84"/>
  <c r="AC657" i="84"/>
  <c r="AC799" i="84"/>
  <c r="AC569" i="84"/>
  <c r="AC159" i="84"/>
  <c r="AC85" i="84"/>
  <c r="AC378" i="84"/>
  <c r="AC919" i="84"/>
  <c r="BH41" i="82"/>
  <c r="BI41" i="82"/>
  <c r="BJ41" i="82"/>
  <c r="AC547" i="84"/>
  <c r="AC854" i="84"/>
  <c r="AC54" i="84"/>
  <c r="AC796" i="84"/>
  <c r="AC680" i="84"/>
  <c r="Z37" i="82"/>
  <c r="AC943" i="84"/>
  <c r="AC249" i="84"/>
  <c r="AC155" i="84"/>
  <c r="BB31" i="82"/>
  <c r="AC654" i="84"/>
  <c r="AC267" i="84"/>
  <c r="AC564" i="84"/>
  <c r="AC718" i="84"/>
  <c r="AC279" i="84"/>
  <c r="AC944" i="84"/>
  <c r="AC712" i="84"/>
  <c r="AC557" i="84"/>
  <c r="AC754" i="84"/>
  <c r="AC485" i="84"/>
  <c r="AC542" i="84"/>
  <c r="BH13" i="82"/>
  <c r="BI13" i="82"/>
  <c r="AC770" i="84"/>
  <c r="AC540" i="84"/>
  <c r="AC314" i="84"/>
  <c r="AC357" i="84"/>
  <c r="AC468" i="84"/>
  <c r="AC326" i="84"/>
  <c r="AC807" i="84"/>
  <c r="AC892" i="84"/>
  <c r="AB95" i="84"/>
  <c r="BA95" i="84" s="1"/>
  <c r="AC913" i="84"/>
  <c r="AC667" i="84"/>
  <c r="AC891" i="84"/>
  <c r="AC666" i="84"/>
  <c r="AB291" i="84"/>
  <c r="BA291" i="84" s="1"/>
  <c r="AC201" i="84"/>
  <c r="AC332" i="84"/>
  <c r="AC450" i="84"/>
  <c r="BI18" i="82"/>
  <c r="BH18" i="82"/>
  <c r="AC482" i="84"/>
  <c r="AC111" i="84"/>
  <c r="AC193" i="84"/>
  <c r="AC935" i="84"/>
  <c r="AC879" i="84"/>
  <c r="AC425" i="84"/>
  <c r="BI44" i="82"/>
  <c r="BJ44" i="82"/>
  <c r="BH44" i="82"/>
  <c r="AC84" i="84"/>
  <c r="AC852" i="84"/>
  <c r="AC469" i="84"/>
  <c r="AC211" i="84"/>
  <c r="AC773" i="84"/>
  <c r="AC93" i="84"/>
  <c r="AC142" i="84"/>
  <c r="AB274" i="84"/>
  <c r="BA274" i="84" s="1"/>
  <c r="AC905" i="84"/>
  <c r="AC916" i="84"/>
  <c r="AC759" i="84"/>
  <c r="AC831" i="84"/>
  <c r="AC182" i="84"/>
  <c r="AC239" i="84"/>
  <c r="AC277" i="84"/>
  <c r="AC821" i="84"/>
  <c r="AC572" i="84"/>
  <c r="BB45" i="82"/>
  <c r="AC751" i="84"/>
  <c r="AC652" i="84"/>
  <c r="Z23" i="82"/>
  <c r="AC708" i="84"/>
  <c r="AC675" i="84"/>
  <c r="AC466" i="84"/>
  <c r="AC546" i="84"/>
  <c r="AC902" i="84"/>
  <c r="AC292" i="84"/>
  <c r="AC119" i="84"/>
  <c r="AE891" i="84"/>
  <c r="BB25" i="82"/>
  <c r="AC704" i="84"/>
  <c r="AC877" i="84"/>
  <c r="AE79" i="84"/>
  <c r="AC234" i="84"/>
  <c r="AC434" i="84"/>
  <c r="AC827" i="84"/>
  <c r="AC497" i="84"/>
  <c r="AC260" i="84"/>
  <c r="AC328" i="84"/>
  <c r="AE372" i="84"/>
  <c r="AC58" i="84"/>
  <c r="AC784" i="84"/>
  <c r="AC218" i="84"/>
  <c r="AC823" i="84"/>
  <c r="AC495" i="84"/>
  <c r="AC97" i="84"/>
  <c r="AC596" i="84"/>
  <c r="AC611" i="84"/>
  <c r="AC676" i="84"/>
  <c r="AC558" i="84"/>
  <c r="AC370" i="84"/>
  <c r="AC923" i="84"/>
  <c r="Z42" i="82"/>
  <c r="AC24" i="84"/>
  <c r="AC864" i="84"/>
  <c r="AC334" i="84"/>
  <c r="AC73" i="84"/>
  <c r="AC960" i="84"/>
  <c r="AC794" i="84"/>
  <c r="AC359" i="84"/>
  <c r="AC757" i="84"/>
  <c r="AC473" i="84"/>
  <c r="AC276" i="84"/>
  <c r="AC882" i="84"/>
  <c r="BB12" i="82"/>
  <c r="AC452" i="84"/>
  <c r="AC217" i="84"/>
  <c r="AC598" i="84"/>
  <c r="AC623" i="84"/>
  <c r="AC565" i="84"/>
  <c r="AG815" i="84"/>
  <c r="AI815" i="84"/>
  <c r="AC929" i="84"/>
  <c r="AC358" i="84"/>
  <c r="AB689" i="84"/>
  <c r="BA689" i="84" s="1"/>
  <c r="AC711" i="84"/>
  <c r="AG940" i="84"/>
  <c r="AI940" i="84"/>
  <c r="AB415" i="84"/>
  <c r="BA415" i="84" s="1"/>
  <c r="AC87" i="84"/>
  <c r="AC38" i="84"/>
  <c r="Z30" i="82"/>
  <c r="AC380" i="84"/>
  <c r="AC793" i="84"/>
  <c r="BB34" i="82"/>
  <c r="AC874" i="84"/>
  <c r="AC296" i="84"/>
  <c r="AC487" i="84"/>
  <c r="AC206" i="84"/>
  <c r="AG542" i="84"/>
  <c r="AI542" i="84"/>
  <c r="AC471" i="84"/>
  <c r="Z28" i="82"/>
  <c r="AC270" i="84"/>
  <c r="AC280" i="84"/>
  <c r="AC336" i="84"/>
  <c r="AC437" i="84"/>
  <c r="AC510" i="84"/>
  <c r="AC720" i="84"/>
  <c r="AB223" i="84"/>
  <c r="BA223" i="84" s="1"/>
  <c r="AC921" i="84"/>
  <c r="AC509" i="84"/>
  <c r="AE796" i="84"/>
  <c r="AC534" i="84"/>
  <c r="AC419" i="84"/>
  <c r="AC83" i="84"/>
  <c r="AC756" i="84"/>
  <c r="AC301" i="84"/>
  <c r="AC342" i="84"/>
  <c r="AC629" i="84"/>
  <c r="AC284" i="84"/>
  <c r="AC475" i="84"/>
  <c r="BI19" i="82"/>
  <c r="BH19" i="82"/>
  <c r="AC327" i="84"/>
  <c r="AC570" i="84"/>
  <c r="AC925" i="84"/>
  <c r="AB262" i="84"/>
  <c r="BA262" i="84" s="1"/>
  <c r="AC166" i="84"/>
  <c r="AE581" i="84"/>
  <c r="AC439" i="84"/>
  <c r="AC551" i="84"/>
  <c r="AC456" i="84"/>
  <c r="AC170" i="84"/>
  <c r="AC273" i="84"/>
  <c r="AC171" i="84"/>
  <c r="AC832" i="84"/>
  <c r="AC415" i="84"/>
  <c r="AC258" i="84"/>
  <c r="AC233" i="84"/>
  <c r="AC755" i="84"/>
  <c r="AC103" i="84"/>
  <c r="AC12" i="84"/>
  <c r="AC863" i="84"/>
  <c r="AE254" i="84"/>
  <c r="AC866" i="84"/>
  <c r="AC600" i="84"/>
  <c r="AC721" i="84"/>
  <c r="AE279" i="84"/>
  <c r="AB29" i="84"/>
  <c r="BA29" i="84" s="1"/>
  <c r="AC761" i="84"/>
  <c r="AC362" i="84"/>
  <c r="AC397" i="84"/>
  <c r="AC18" i="84"/>
  <c r="AC410" i="84"/>
  <c r="AC459" i="84"/>
  <c r="AC198" i="84"/>
  <c r="AC515" i="84"/>
  <c r="AC458" i="84"/>
  <c r="AC769" i="84"/>
  <c r="AC110" i="84"/>
  <c r="AC901" i="84"/>
  <c r="AC786" i="84"/>
  <c r="AE857" i="84"/>
  <c r="Y44" i="82"/>
  <c r="X44" i="82"/>
  <c r="U44" i="82"/>
  <c r="W44" i="82"/>
  <c r="V44" i="82"/>
  <c r="AB317" i="84"/>
  <c r="BA317" i="84" s="1"/>
  <c r="AC949" i="84"/>
  <c r="AE503" i="84"/>
  <c r="AC706" i="84"/>
  <c r="AC674" i="84"/>
  <c r="AC539" i="84"/>
  <c r="AC790" i="84"/>
  <c r="AC192" i="84"/>
  <c r="AC909" i="84"/>
  <c r="AC517" i="84"/>
  <c r="AC490" i="84"/>
  <c r="AC646" i="84"/>
  <c r="AC548" i="84"/>
  <c r="AC881" i="84"/>
  <c r="AB215" i="84"/>
  <c r="BA215" i="84" s="1"/>
  <c r="AC787" i="84"/>
  <c r="AC283" i="84"/>
  <c r="AG917" i="84"/>
  <c r="AI917" i="84"/>
  <c r="AE535" i="84"/>
  <c r="AC219" i="84"/>
  <c r="AC760" i="84"/>
  <c r="AC39" i="84"/>
  <c r="AC597" i="84"/>
  <c r="BB42" i="82"/>
  <c r="AC904" i="84"/>
  <c r="BB39" i="82"/>
  <c r="AC651" i="84"/>
  <c r="AC207" i="84"/>
  <c r="AC45" i="84"/>
  <c r="AC49" i="84"/>
  <c r="BB43" i="82"/>
  <c r="AC606" i="84"/>
  <c r="AC878" i="84"/>
  <c r="AC457" i="84"/>
  <c r="BB16" i="82"/>
  <c r="AB759" i="84"/>
  <c r="BA759" i="84" s="1"/>
  <c r="AC251" i="84"/>
  <c r="AC214" i="84"/>
  <c r="BI21" i="82"/>
  <c r="BH21" i="82"/>
  <c r="AC841" i="84"/>
  <c r="Z22" i="82"/>
  <c r="AC81" i="84"/>
  <c r="AC575" i="84"/>
  <c r="AC356" i="84"/>
  <c r="AC661" i="84"/>
  <c r="AC503" i="84"/>
  <c r="AC405" i="84"/>
  <c r="AC287" i="84"/>
  <c r="AC840" i="84"/>
  <c r="AC179" i="84"/>
  <c r="AC62" i="84"/>
  <c r="AC467" i="84"/>
  <c r="AC302" i="84"/>
  <c r="AC486" i="84"/>
  <c r="AC423" i="84"/>
  <c r="AC178" i="84"/>
  <c r="AE676" i="84"/>
  <c r="AC738" i="84"/>
  <c r="AC67" i="84"/>
  <c r="AC605" i="84"/>
  <c r="Z45" i="82"/>
  <c r="AB810" i="84"/>
  <c r="BA810" i="84" s="1"/>
  <c r="AC895" i="84"/>
  <c r="AC411" i="84"/>
  <c r="AI877" i="84"/>
  <c r="AG877" i="84"/>
  <c r="AC668" i="84"/>
  <c r="AC500" i="84"/>
  <c r="AC585" i="84"/>
  <c r="AC346" i="84"/>
  <c r="AC644" i="84"/>
  <c r="AB830" i="84"/>
  <c r="BA830" i="84" s="1"/>
  <c r="BH33" i="82"/>
  <c r="BI33" i="82"/>
  <c r="BJ33" i="82"/>
  <c r="AC632" i="84"/>
  <c r="AC499" i="84"/>
  <c r="AE837" i="84"/>
  <c r="AC488" i="84"/>
  <c r="AC868" i="84"/>
  <c r="AE602" i="84"/>
  <c r="AC391" i="84"/>
  <c r="AC746" i="84"/>
  <c r="AC699" i="84"/>
  <c r="Z43" i="82"/>
  <c r="AC252" i="84"/>
  <c r="AC947" i="84"/>
  <c r="AC269" i="84"/>
  <c r="AC713" i="84"/>
  <c r="AB441" i="84"/>
  <c r="BA441" i="84" s="1"/>
  <c r="AC762" i="84"/>
  <c r="AC519" i="84"/>
  <c r="AC819" i="84"/>
  <c r="AG558" i="84"/>
  <c r="AI558" i="84"/>
  <c r="AE728" i="84"/>
  <c r="AC442" i="84"/>
  <c r="AC168" i="84"/>
  <c r="AC46" i="84"/>
  <c r="BB40" i="82"/>
  <c r="BB11" i="82"/>
  <c r="BJ11" i="82" s="1"/>
  <c r="AE738" i="84"/>
  <c r="AG808" i="84"/>
  <c r="AI808" i="84"/>
  <c r="AC52" i="84"/>
  <c r="AE120" i="84"/>
  <c r="AB385" i="84"/>
  <c r="BA385" i="84" s="1"/>
  <c r="AC843" i="84"/>
  <c r="AC753" i="84"/>
  <c r="AC950" i="84"/>
  <c r="AC48" i="84"/>
  <c r="AC312" i="84"/>
  <c r="AB365" i="84"/>
  <c r="BA365" i="84" s="1"/>
  <c r="AB121" i="84"/>
  <c r="BA121" i="84" s="1"/>
  <c r="AC749" i="84"/>
  <c r="AC195" i="84"/>
  <c r="BI9" i="82"/>
  <c r="BH9" i="82"/>
  <c r="AC421" i="84"/>
  <c r="AB242" i="84"/>
  <c r="BA242" i="84" s="1"/>
  <c r="AC141" i="84"/>
  <c r="AC187" i="84"/>
  <c r="AC648" i="84"/>
  <c r="AC348" i="84"/>
  <c r="AI838" i="84"/>
  <c r="AG838" i="84"/>
  <c r="AC226" i="84"/>
  <c r="BB23" i="82"/>
  <c r="AC445" i="84"/>
  <c r="AC742" i="84"/>
  <c r="AC839" i="84"/>
  <c r="AC79" i="84"/>
  <c r="AC386" i="84"/>
  <c r="AC139" i="84"/>
  <c r="AC582" i="84"/>
  <c r="AC477" i="84"/>
  <c r="AC709" i="84"/>
  <c r="AC635" i="84"/>
  <c r="AC942" i="84"/>
  <c r="AB129" i="84"/>
  <c r="BA129" i="84" s="1"/>
  <c r="BB8" i="82"/>
  <c r="AC626" i="84"/>
  <c r="AC508" i="84"/>
  <c r="AB879" i="84"/>
  <c r="BA879" i="84" s="1"/>
  <c r="AC958" i="84"/>
  <c r="AC772" i="84"/>
  <c r="AB287" i="84"/>
  <c r="BA287" i="84" s="1"/>
  <c r="AC837" i="84"/>
  <c r="AC934" i="84"/>
  <c r="AC311" i="84"/>
  <c r="AC68" i="84"/>
  <c r="AC41" i="84"/>
  <c r="AC618" i="84"/>
  <c r="AC319" i="84"/>
  <c r="AC77" i="84"/>
  <c r="AC173" i="84"/>
  <c r="AC507" i="84"/>
  <c r="AE480" i="84"/>
  <c r="AC116" i="84"/>
  <c r="AC381" i="84"/>
  <c r="AC855" i="84"/>
  <c r="AE457" i="84"/>
  <c r="AB735" i="84"/>
  <c r="BA735" i="84" s="1"/>
  <c r="AC100" i="84"/>
  <c r="AC595" i="84"/>
  <c r="AC237" i="84"/>
  <c r="AE407" i="84"/>
  <c r="AC492" i="84"/>
  <c r="AC684" i="84"/>
  <c r="AC601" i="84"/>
  <c r="AC253" i="84"/>
  <c r="AC656" i="84"/>
  <c r="AC812" i="84"/>
  <c r="Z29" i="82"/>
  <c r="AC203" i="84"/>
  <c r="AC154" i="84"/>
  <c r="Z7" i="82"/>
  <c r="AC14" i="84"/>
  <c r="AC613" i="84"/>
  <c r="AC531" i="84"/>
  <c r="Z24" i="82"/>
  <c r="AC625" i="84"/>
  <c r="AC113" i="84"/>
  <c r="AC655" i="84"/>
  <c r="AC140" i="84"/>
  <c r="AC522" i="84"/>
  <c r="AC869" i="84"/>
  <c r="AC25" i="84"/>
  <c r="AE791" i="84"/>
  <c r="AC345" i="84"/>
  <c r="AC844" i="84"/>
  <c r="AC243" i="84"/>
  <c r="AC138" i="84"/>
  <c r="AC592" i="84"/>
  <c r="AC717" i="84"/>
  <c r="AC112" i="84"/>
  <c r="AE740" i="84"/>
  <c r="AC694" i="84"/>
  <c r="AB220" i="84"/>
  <c r="BA220" i="84" s="1"/>
  <c r="AC617" i="84"/>
  <c r="AE164" i="84"/>
  <c r="AB130" i="84"/>
  <c r="BA130" i="84" s="1"/>
  <c r="AC163" i="84"/>
  <c r="AC215" i="84"/>
  <c r="AE719" i="84"/>
  <c r="AC29" i="84"/>
  <c r="Z18" i="82"/>
  <c r="AC340" i="84"/>
  <c r="AI941" i="84"/>
  <c r="AG941" i="84"/>
  <c r="AC374" i="84"/>
  <c r="AC936" i="84"/>
  <c r="AC518" i="84"/>
  <c r="AC186" i="84"/>
  <c r="AC228" i="84"/>
  <c r="AC453" i="84"/>
  <c r="AE379" i="84"/>
  <c r="AB269" i="84"/>
  <c r="BA269" i="84" s="1"/>
  <c r="AC278" i="84"/>
  <c r="AC61" i="84"/>
  <c r="AC672" i="84"/>
  <c r="AC307" i="84"/>
  <c r="AC57" i="84"/>
  <c r="AC820" i="84"/>
  <c r="AI283" i="84"/>
  <c r="AG283" i="84"/>
  <c r="AB151" i="84"/>
  <c r="BA151" i="84" s="1"/>
  <c r="AE360" i="84"/>
  <c r="AC956" i="84"/>
  <c r="AC526" i="84"/>
  <c r="AC28" i="84"/>
  <c r="AC700" i="84"/>
  <c r="AC476" i="84"/>
  <c r="AC826" i="84"/>
  <c r="AC679" i="84"/>
  <c r="AG922" i="84"/>
  <c r="AI922" i="84"/>
  <c r="AB468" i="84"/>
  <c r="BA468" i="84" s="1"/>
  <c r="AC408" i="84"/>
  <c r="AC590" i="84"/>
  <c r="AC181" i="84"/>
  <c r="AC825" i="84"/>
  <c r="AC664" i="84"/>
  <c r="AC898" i="84"/>
  <c r="AC96" i="84"/>
  <c r="AC220" i="84"/>
  <c r="BI17" i="82"/>
  <c r="BH17" i="82"/>
  <c r="AE821" i="84"/>
  <c r="AC360" i="84"/>
  <c r="AC860" i="84"/>
  <c r="AE424" i="84"/>
  <c r="AI393" i="84"/>
  <c r="AG393" i="84"/>
  <c r="AB334" i="84"/>
  <c r="BA334" i="84" s="1"/>
  <c r="AB607" i="84"/>
  <c r="BA607" i="84" s="1"/>
  <c r="AC915" i="84"/>
  <c r="BH30" i="82"/>
  <c r="BI30" i="82"/>
  <c r="U39" i="82"/>
  <c r="W39" i="82"/>
  <c r="X39" i="82"/>
  <c r="V39" i="82"/>
  <c r="Y39" i="82"/>
  <c r="AC364" i="84"/>
  <c r="AC714" i="84"/>
  <c r="AC732" i="84"/>
  <c r="AC396" i="84"/>
  <c r="AC316" i="84"/>
  <c r="AC556" i="84"/>
  <c r="AB772" i="84"/>
  <c r="BA772" i="84" s="1"/>
  <c r="AC130" i="84"/>
  <c r="AC417" i="84"/>
  <c r="AC191" i="84"/>
  <c r="AG807" i="84"/>
  <c r="AI807" i="84"/>
  <c r="AE711" i="84"/>
  <c r="AB166" i="84"/>
  <c r="BA166" i="84" s="1"/>
  <c r="AC797" i="84"/>
  <c r="AC321" i="84"/>
  <c r="AE414" i="84"/>
  <c r="AB538" i="84"/>
  <c r="BA538" i="84" s="1"/>
  <c r="AC945" i="84"/>
  <c r="AC914" i="84"/>
  <c r="AC853" i="84"/>
  <c r="AC589" i="84"/>
  <c r="AC225" i="84"/>
  <c r="AC553" i="84"/>
  <c r="AE283" i="84"/>
  <c r="AC368" i="84"/>
  <c r="AC593" i="84"/>
  <c r="AI163" i="84"/>
  <c r="AG163" i="84"/>
  <c r="AC525" i="84"/>
  <c r="AC129" i="84"/>
  <c r="AC776" i="84"/>
  <c r="AI899" i="84"/>
  <c r="AG899" i="84"/>
  <c r="AC685" i="84"/>
  <c r="AB487" i="84"/>
  <c r="BA487" i="84" s="1"/>
  <c r="AE459" i="84"/>
  <c r="AC393" i="84"/>
  <c r="AC180" i="84"/>
  <c r="AC196" i="84"/>
  <c r="AC70" i="84"/>
  <c r="AC554" i="84"/>
  <c r="AB716" i="84"/>
  <c r="BA716" i="84" s="1"/>
  <c r="AC814" i="84"/>
  <c r="Z34" i="82"/>
  <c r="AB692" i="84"/>
  <c r="BA692" i="84" s="1"/>
  <c r="AC318" i="84"/>
  <c r="AC355" i="84"/>
  <c r="AC126" i="84"/>
  <c r="AI499" i="84"/>
  <c r="AG499" i="84"/>
  <c r="AC876" i="84"/>
  <c r="BI43" i="82"/>
  <c r="BH43" i="82"/>
  <c r="BJ43" i="82"/>
  <c r="AC454" i="84"/>
  <c r="AC818" i="84"/>
  <c r="AC938" i="84"/>
  <c r="AC395" i="84"/>
  <c r="AC857" i="84"/>
  <c r="AC692" i="84"/>
  <c r="AG781" i="84"/>
  <c r="AI781" i="84"/>
  <c r="AC204" i="84"/>
  <c r="AC696" i="84"/>
  <c r="AC90" i="84"/>
  <c r="AE918" i="84"/>
  <c r="AG901" i="84"/>
  <c r="AI901" i="84"/>
  <c r="Z14" i="82"/>
  <c r="AB646" i="84"/>
  <c r="BA646" i="84" s="1"/>
  <c r="AC60" i="84"/>
  <c r="AC289" i="84"/>
  <c r="AC763" i="84"/>
  <c r="AC254" i="84"/>
  <c r="AC463" i="84"/>
  <c r="AC21" i="84"/>
  <c r="AC37" i="84"/>
  <c r="AC229" i="84"/>
  <c r="AC160" i="84"/>
  <c r="AC165" i="84"/>
  <c r="AC272" i="84"/>
  <c r="AC798" i="84"/>
  <c r="AB573" i="84"/>
  <c r="BA573" i="84" s="1"/>
  <c r="AC197" i="84"/>
  <c r="AC123" i="84"/>
  <c r="AG155" i="84"/>
  <c r="AI155" i="84"/>
  <c r="AC242" i="84"/>
  <c r="AC604" i="84"/>
  <c r="AB635" i="84"/>
  <c r="BA635" i="84" s="1"/>
  <c r="AC19" i="84"/>
  <c r="AC227" i="84"/>
  <c r="AI923" i="84"/>
  <c r="AG923" i="84"/>
  <c r="AE867" i="84"/>
  <c r="AC563" i="84"/>
  <c r="AC86" i="84"/>
  <c r="AC631" i="84"/>
  <c r="AE794" i="84"/>
  <c r="AE393" i="84"/>
  <c r="AC681" i="84"/>
  <c r="AB944" i="84"/>
  <c r="BA944" i="84" s="1"/>
  <c r="BI28" i="82"/>
  <c r="BH28" i="82"/>
  <c r="AC256" i="84"/>
  <c r="AC443" i="84"/>
  <c r="AC462" i="84"/>
  <c r="AC435" i="84"/>
  <c r="AC75" i="84"/>
  <c r="AC836" i="84"/>
  <c r="AC261" i="84"/>
  <c r="AC349" i="84"/>
  <c r="AC926" i="84"/>
  <c r="AC893" i="84"/>
  <c r="AC533" i="84"/>
  <c r="BB10" i="82"/>
  <c r="AC183" i="84"/>
  <c r="AC764" i="84"/>
  <c r="AB618" i="84"/>
  <c r="BA618" i="84" s="1"/>
  <c r="AE146" i="84"/>
  <c r="AC552" i="84"/>
  <c r="AB476" i="84"/>
  <c r="BA476" i="84" s="1"/>
  <c r="AC698" i="84"/>
  <c r="AC910" i="84"/>
  <c r="AC847" i="84"/>
  <c r="AC125" i="84"/>
  <c r="AC581" i="84"/>
  <c r="AC288" i="84"/>
  <c r="AI878" i="84"/>
  <c r="AG878" i="84"/>
  <c r="AE275" i="84"/>
  <c r="BB37" i="82"/>
  <c r="AC309" i="84"/>
  <c r="AC310" i="84"/>
  <c r="AC780" i="84"/>
  <c r="AE622" i="84"/>
  <c r="AB681" i="84"/>
  <c r="BA681" i="84" s="1"/>
  <c r="AB519" i="84"/>
  <c r="BA519" i="84" s="1"/>
  <c r="AB923" i="84"/>
  <c r="BA923" i="84" s="1"/>
  <c r="AC59" i="84"/>
  <c r="AB882" i="84"/>
  <c r="BA882" i="84" s="1"/>
  <c r="AE406" i="84"/>
  <c r="AE14" i="84"/>
  <c r="AC937" i="84"/>
  <c r="AB398" i="84"/>
  <c r="BA398" i="84" s="1"/>
  <c r="AB795" i="84"/>
  <c r="BA795" i="84" s="1"/>
  <c r="AC791" i="84"/>
  <c r="AC899" i="84"/>
  <c r="AE548" i="84"/>
  <c r="AC306" i="84"/>
  <c r="AG776" i="84"/>
  <c r="AI776" i="84"/>
  <c r="AB590" i="84"/>
  <c r="BA590" i="84" s="1"/>
  <c r="AC865" i="84"/>
  <c r="AB677" i="84"/>
  <c r="BA677" i="84" s="1"/>
  <c r="AB791" i="84"/>
  <c r="BA791" i="84" s="1"/>
  <c r="AB561" i="84"/>
  <c r="BA561" i="84" s="1"/>
  <c r="AC688" i="84"/>
  <c r="AC964" i="84"/>
  <c r="AE54" i="84"/>
  <c r="AC353" i="84"/>
  <c r="AC523" i="84"/>
  <c r="AC151" i="84"/>
  <c r="AE179" i="84"/>
  <c r="AC734" i="84"/>
  <c r="AC530" i="84"/>
  <c r="AC449" i="84"/>
  <c r="AC733" i="84"/>
  <c r="AE420" i="84"/>
  <c r="AB282" i="84"/>
  <c r="BA282" i="84" s="1"/>
  <c r="AC184" i="84"/>
  <c r="AG576" i="84"/>
  <c r="AI576" i="84"/>
  <c r="AC743" i="84"/>
  <c r="AC291" i="84"/>
  <c r="AB956" i="84"/>
  <c r="BA956" i="84" s="1"/>
  <c r="AI902" i="84"/>
  <c r="AG902" i="84"/>
  <c r="BB18" i="82"/>
  <c r="AE250" i="84"/>
  <c r="AC645" i="84"/>
  <c r="AB769" i="84"/>
  <c r="BA769" i="84" s="1"/>
  <c r="AC723" i="84"/>
  <c r="AC516" i="84"/>
  <c r="AC722" i="84"/>
  <c r="AC691" i="84"/>
  <c r="AC491" i="84"/>
  <c r="AC669" i="84"/>
  <c r="AC816" i="84"/>
  <c r="AC594" i="84"/>
  <c r="AC175" i="84"/>
  <c r="AC568" i="84"/>
  <c r="AE328" i="84"/>
  <c r="BB19" i="82"/>
  <c r="AC108" i="84"/>
  <c r="BP32" i="82"/>
  <c r="AC900" i="84"/>
  <c r="AB790" i="84"/>
  <c r="BA790" i="84" s="1"/>
  <c r="AC775" i="84"/>
  <c r="AC76" i="84"/>
  <c r="AC829" i="84"/>
  <c r="AC102" i="84"/>
  <c r="AE101" i="84"/>
  <c r="AE694" i="84"/>
  <c r="BI11" i="82"/>
  <c r="BH11" i="82"/>
  <c r="AB372" i="84"/>
  <c r="BA372" i="84" s="1"/>
  <c r="Z46" i="82"/>
  <c r="AB156" i="84"/>
  <c r="BA156" i="84" s="1"/>
  <c r="AC66" i="84"/>
  <c r="AE195" i="84"/>
  <c r="BB26" i="82"/>
  <c r="AB533" i="84"/>
  <c r="BA533" i="84" s="1"/>
  <c r="AC767" i="84"/>
  <c r="AB764" i="84"/>
  <c r="BA764" i="84" s="1"/>
  <c r="AB425" i="84"/>
  <c r="BA425" i="84" s="1"/>
  <c r="AE106" i="84"/>
  <c r="AC858" i="84"/>
  <c r="AB593" i="84"/>
  <c r="BA593" i="84" s="1"/>
  <c r="AC783" i="84"/>
  <c r="AC461" i="84"/>
  <c r="AB373" i="84"/>
  <c r="BA373" i="84" s="1"/>
  <c r="AG450" i="84"/>
  <c r="AI450" i="84"/>
  <c r="AC35" i="84"/>
  <c r="AC264" i="84"/>
  <c r="AC686" i="84"/>
  <c r="AE879" i="84"/>
  <c r="AC361" i="84"/>
  <c r="AC480" i="84"/>
  <c r="AG361" i="84"/>
  <c r="AI361" i="84"/>
  <c r="AC438" i="84"/>
  <c r="AI585" i="84"/>
  <c r="AG585" i="84"/>
  <c r="AB816" i="84"/>
  <c r="BA816" i="84" s="1"/>
  <c r="AB132" i="84"/>
  <c r="BA132" i="84" s="1"/>
  <c r="Y42" i="82"/>
  <c r="V42" i="82"/>
  <c r="X42" i="82"/>
  <c r="W42" i="82"/>
  <c r="U42" i="82"/>
  <c r="AC630" i="84"/>
  <c r="AC705" i="84"/>
  <c r="AE384" i="84"/>
  <c r="BB14" i="82"/>
  <c r="AC143" i="84"/>
  <c r="AC536" i="84"/>
  <c r="AC505" i="84"/>
  <c r="AE219" i="84"/>
  <c r="AC737" i="84"/>
  <c r="AE802" i="84"/>
  <c r="AB353" i="84"/>
  <c r="BA353" i="84" s="1"/>
  <c r="AB955" i="84"/>
  <c r="BA955" i="84" s="1"/>
  <c r="AE276" i="84"/>
  <c r="AB513" i="84"/>
  <c r="BA513" i="84" s="1"/>
  <c r="AC424" i="84"/>
  <c r="AC545" i="84"/>
  <c r="AC588" i="84"/>
  <c r="AC506" i="84"/>
  <c r="AC209" i="84"/>
  <c r="AC320" i="84"/>
  <c r="AC145" i="84"/>
  <c r="AC185" i="84"/>
  <c r="AC728" i="84"/>
  <c r="AC299" i="84"/>
  <c r="AB11" i="84"/>
  <c r="BA11" i="84" s="1"/>
  <c r="AC678" i="84"/>
  <c r="AC164" i="84"/>
  <c r="AB960" i="84"/>
  <c r="BA960" i="84" s="1"/>
  <c r="AG523" i="84"/>
  <c r="AI523" i="84"/>
  <c r="AC366" i="84"/>
  <c r="AC650" i="84"/>
  <c r="AG436" i="84"/>
  <c r="AI436" i="84"/>
  <c r="AE826" i="84"/>
  <c r="AG947" i="84"/>
  <c r="AI947" i="84"/>
  <c r="U45" i="82"/>
  <c r="X45" i="82"/>
  <c r="W45" i="82"/>
  <c r="V45" i="82"/>
  <c r="Y45" i="82"/>
  <c r="AE617" i="84"/>
  <c r="AB528" i="84"/>
  <c r="BA528" i="84" s="1"/>
  <c r="AC730" i="84"/>
  <c r="AC903" i="84"/>
  <c r="AE642" i="84"/>
  <c r="AC609" i="84"/>
  <c r="AC275" i="84"/>
  <c r="AC498" i="84"/>
  <c r="AC690" i="84"/>
  <c r="AI873" i="84"/>
  <c r="AG873" i="84"/>
  <c r="AE755" i="84"/>
  <c r="AB803" i="84"/>
  <c r="BA803" i="84" s="1"/>
  <c r="AC91" i="84"/>
  <c r="AC561" i="84"/>
  <c r="AB203" i="84"/>
  <c r="BA203" i="84" s="1"/>
  <c r="AE962" i="84"/>
  <c r="AI562" i="84"/>
  <c r="AG562" i="84"/>
  <c r="AE155" i="84"/>
  <c r="AE861" i="84"/>
  <c r="AC216" i="84"/>
  <c r="AC740" i="84"/>
  <c r="AG956" i="84"/>
  <c r="AI956" i="84"/>
  <c r="AC92" i="84"/>
  <c r="AC849" i="84"/>
  <c r="AC43" i="84"/>
  <c r="AG364" i="84"/>
  <c r="AI364" i="84"/>
  <c r="AC765" i="84"/>
  <c r="AE396" i="84"/>
  <c r="AC748" i="84"/>
  <c r="AC412" i="84"/>
  <c r="AC124" i="84"/>
  <c r="AC236" i="84"/>
  <c r="AI130" i="84"/>
  <c r="AG130" i="84"/>
  <c r="AG512" i="84"/>
  <c r="AI512" i="84"/>
  <c r="AC957" i="84"/>
  <c r="AB299" i="84"/>
  <c r="BA299" i="84" s="1"/>
  <c r="AC298" i="84"/>
  <c r="BI15" i="82"/>
  <c r="BH15" i="82"/>
  <c r="AC416" i="84"/>
  <c r="AC114" i="84"/>
  <c r="AB771" i="84"/>
  <c r="BA771" i="84" s="1"/>
  <c r="AB839" i="84"/>
  <c r="BA839" i="84" s="1"/>
  <c r="AE438" i="84"/>
  <c r="AC436" i="84"/>
  <c r="AC697" i="84"/>
  <c r="AI82" i="84"/>
  <c r="AG82" i="84"/>
  <c r="AB379" i="84"/>
  <c r="BA379" i="84" s="1"/>
  <c r="AE760" i="84"/>
  <c r="AB493" i="84"/>
  <c r="BA493" i="84" s="1"/>
  <c r="AI937" i="84"/>
  <c r="AG937" i="84"/>
  <c r="AB834" i="84"/>
  <c r="BA834" i="84" s="1"/>
  <c r="AB138" i="84"/>
  <c r="BA138" i="84" s="1"/>
  <c r="AE52" i="84"/>
  <c r="AE862" i="84"/>
  <c r="AB849" i="84"/>
  <c r="BA849" i="84" s="1"/>
  <c r="AB845" i="84"/>
  <c r="BA845" i="84" s="1"/>
  <c r="AG688" i="84"/>
  <c r="AI688" i="84"/>
  <c r="AC528" i="84"/>
  <c r="AC354" i="84"/>
  <c r="AC303" i="84"/>
  <c r="AC640" i="84"/>
  <c r="AB732" i="84"/>
  <c r="BA732" i="84" s="1"/>
  <c r="AC106" i="84"/>
  <c r="AC202" i="84"/>
  <c r="AC930" i="84"/>
  <c r="AC250" i="84"/>
  <c r="AB60" i="84"/>
  <c r="BA60" i="84" s="1"/>
  <c r="AB873" i="84"/>
  <c r="BA873" i="84" s="1"/>
  <c r="AC474" i="84"/>
  <c r="AC828" i="84"/>
  <c r="AC845" i="84"/>
  <c r="AE536" i="84"/>
  <c r="AC71" i="84"/>
  <c r="AC920" i="84"/>
  <c r="AB522" i="84"/>
  <c r="BA522" i="84" s="1"/>
  <c r="AB196" i="84"/>
  <c r="BA196" i="84" s="1"/>
  <c r="AC880" i="84"/>
  <c r="AB335" i="84"/>
  <c r="BA335" i="84" s="1"/>
  <c r="AC587" i="84"/>
  <c r="BI8" i="82"/>
  <c r="BH8" i="82"/>
  <c r="AB349" i="84"/>
  <c r="BA349" i="84" s="1"/>
  <c r="AG176" i="84"/>
  <c r="AI176" i="84"/>
  <c r="AE771" i="84"/>
  <c r="AB563" i="84"/>
  <c r="BA563" i="84" s="1"/>
  <c r="Z12" i="82"/>
  <c r="BP19" i="82"/>
  <c r="AB302" i="84"/>
  <c r="BA302" i="84" s="1"/>
  <c r="AB81" i="84"/>
  <c r="BA81" i="84" s="1"/>
  <c r="AE903" i="84"/>
  <c r="AC521" i="84"/>
  <c r="AE269" i="84"/>
  <c r="AC894" i="84"/>
  <c r="AC323" i="84"/>
  <c r="AB525" i="84"/>
  <c r="BA525" i="84" s="1"/>
  <c r="AE81" i="84"/>
  <c r="AB535" i="84"/>
  <c r="BA535" i="84" s="1"/>
  <c r="AC496" i="84"/>
  <c r="AE247" i="84"/>
  <c r="AE91" i="84"/>
  <c r="AC133" i="84"/>
  <c r="AB364" i="84"/>
  <c r="BA364" i="84" s="1"/>
  <c r="AC808" i="84"/>
  <c r="AC959" i="84"/>
  <c r="AE805" i="84"/>
  <c r="AE598" i="84"/>
  <c r="AC11" i="84"/>
  <c r="AI208" i="84"/>
  <c r="AG208" i="84"/>
  <c r="AE139" i="84"/>
  <c r="AG775" i="84"/>
  <c r="AI775" i="84"/>
  <c r="AC946" i="84"/>
  <c r="AB714" i="84"/>
  <c r="BA714" i="84" s="1"/>
  <c r="AC875" i="84"/>
  <c r="AC343" i="84"/>
  <c r="AB874" i="84"/>
  <c r="BA874" i="84" s="1"/>
  <c r="AE870" i="84"/>
  <c r="AE612" i="84"/>
  <c r="AE576" i="84"/>
  <c r="AC859" i="84"/>
  <c r="AB247" i="84"/>
  <c r="BA247" i="84" s="1"/>
  <c r="AC117" i="84"/>
  <c r="AE34" i="84"/>
  <c r="AB267" i="84"/>
  <c r="BA267" i="84" s="1"/>
  <c r="AE197" i="84"/>
  <c r="AC933" i="84"/>
  <c r="AI529" i="84"/>
  <c r="AG529" i="84"/>
  <c r="AC701" i="84"/>
  <c r="AB263" i="84"/>
  <c r="BA263" i="84" s="1"/>
  <c r="AB300" i="84"/>
  <c r="BA300" i="84" s="1"/>
  <c r="AE417" i="84"/>
  <c r="AE184" i="84"/>
  <c r="AE236" i="84"/>
  <c r="AC373" i="84"/>
  <c r="AC637" i="84"/>
  <c r="AC673" i="84"/>
  <c r="AE578" i="84"/>
  <c r="AE647" i="84"/>
  <c r="AI945" i="84"/>
  <c r="AG945" i="84"/>
  <c r="AB115" i="84"/>
  <c r="BA115" i="84" s="1"/>
  <c r="AI605" i="84"/>
  <c r="AG605" i="84"/>
  <c r="AC51" i="84"/>
  <c r="AB665" i="84"/>
  <c r="BA665" i="84" s="1"/>
  <c r="AC649" i="84"/>
  <c r="AC883" i="84"/>
  <c r="AC409" i="84"/>
  <c r="AC148" i="84"/>
  <c r="AE547" i="84"/>
  <c r="BI27" i="82"/>
  <c r="BH27" i="82"/>
  <c r="AC317" i="84"/>
  <c r="BH36" i="82"/>
  <c r="BI36" i="82"/>
  <c r="BJ36" i="82"/>
  <c r="AC344" i="84"/>
  <c r="AE278" i="84"/>
  <c r="AC610" i="84"/>
  <c r="AE89" i="84"/>
  <c r="AB23" i="84"/>
  <c r="BA23" i="84" s="1"/>
  <c r="AG242" i="84"/>
  <c r="AI242" i="84"/>
  <c r="AE820" i="84"/>
  <c r="AC782" i="84"/>
  <c r="AB863" i="84"/>
  <c r="BA863" i="84" s="1"/>
  <c r="AC789" i="84"/>
  <c r="AE847" i="84"/>
  <c r="AE551" i="84"/>
  <c r="AC372" i="84"/>
  <c r="AB679" i="84"/>
  <c r="BA679" i="84" s="1"/>
  <c r="AE749" i="84"/>
  <c r="AC56" i="84"/>
  <c r="AB644" i="84"/>
  <c r="BA644" i="84" s="1"/>
  <c r="AI931" i="84"/>
  <c r="AG931" i="84"/>
  <c r="AB408" i="84"/>
  <c r="BA408" i="84" s="1"/>
  <c r="AE809" i="84"/>
  <c r="AC577" i="84"/>
  <c r="AC448" i="84"/>
  <c r="AE47" i="84"/>
  <c r="AI580" i="84"/>
  <c r="AG580" i="84"/>
  <c r="AB900" i="84"/>
  <c r="BA900" i="84" s="1"/>
  <c r="AB808" i="84"/>
  <c r="BA808" i="84" s="1"/>
  <c r="AC150" i="84"/>
  <c r="AI577" i="84"/>
  <c r="AG577" i="84"/>
  <c r="AI842" i="84"/>
  <c r="AG842" i="84"/>
  <c r="AC281" i="84"/>
  <c r="AG729" i="84"/>
  <c r="AI729" i="84"/>
  <c r="AB39" i="84"/>
  <c r="BA39" i="84" s="1"/>
  <c r="AC444" i="84"/>
  <c r="Z35" i="82"/>
  <c r="AI823" i="84"/>
  <c r="AG823" i="84"/>
  <c r="AC484" i="84"/>
  <c r="AB545" i="84"/>
  <c r="BA545" i="84" s="1"/>
  <c r="AC636" i="84"/>
  <c r="AC55" i="84"/>
  <c r="AE468" i="84"/>
  <c r="AC213" i="84"/>
  <c r="AB740" i="84"/>
  <c r="BA740" i="84" s="1"/>
  <c r="AI671" i="84"/>
  <c r="AG671" i="84"/>
  <c r="AC873" i="84"/>
  <c r="AB93" i="84"/>
  <c r="BA93" i="84" s="1"/>
  <c r="AB570" i="84"/>
  <c r="BA570" i="84" s="1"/>
  <c r="AG284" i="84"/>
  <c r="AI284" i="84"/>
  <c r="AB936" i="84"/>
  <c r="BA936" i="84" s="1"/>
  <c r="AB586" i="84"/>
  <c r="BA586" i="84" s="1"/>
  <c r="AB400" i="84"/>
  <c r="BA400" i="84" s="1"/>
  <c r="AE882" i="84"/>
  <c r="AC608" i="84"/>
  <c r="AG949" i="84"/>
  <c r="AI949" i="84"/>
  <c r="AE543" i="84"/>
  <c r="AI251" i="84"/>
  <c r="AG251" i="84"/>
  <c r="AE654" i="84"/>
  <c r="AE670" i="84"/>
  <c r="AB226" i="84"/>
  <c r="BA226" i="84" s="1"/>
  <c r="AC403" i="84"/>
  <c r="AB472" i="84"/>
  <c r="BA472" i="84" s="1"/>
  <c r="AE391" i="84"/>
  <c r="AB69" i="84"/>
  <c r="BA69" i="84" s="1"/>
  <c r="AC543" i="84"/>
  <c r="AB837" i="84"/>
  <c r="BA837" i="84" s="1"/>
  <c r="AI519" i="84"/>
  <c r="AG519" i="84"/>
  <c r="AC653" i="84"/>
  <c r="AE965" i="84"/>
  <c r="AB641" i="84"/>
  <c r="BA641" i="84" s="1"/>
  <c r="AB37" i="84"/>
  <c r="BA37" i="84" s="1"/>
  <c r="AC529" i="84"/>
  <c r="AE13" i="84"/>
  <c r="AI433" i="84"/>
  <c r="AG433" i="84"/>
  <c r="AC817" i="84"/>
  <c r="AE757" i="84"/>
  <c r="AG224" i="84"/>
  <c r="AI224" i="84"/>
  <c r="AE908" i="84"/>
  <c r="AE639" i="84"/>
  <c r="AG152" i="84"/>
  <c r="AI152" i="84"/>
  <c r="AE287" i="84"/>
  <c r="AC502" i="84"/>
  <c r="AI69" i="84"/>
  <c r="AG69" i="84"/>
  <c r="AE764" i="84"/>
  <c r="AC805" i="84"/>
  <c r="AB642" i="84"/>
  <c r="BA642" i="84" s="1"/>
  <c r="AE596" i="84"/>
  <c r="AC98" i="84"/>
  <c r="AC811" i="84"/>
  <c r="AC223" i="84"/>
  <c r="AB935" i="84"/>
  <c r="BA935" i="84" s="1"/>
  <c r="AC338" i="84"/>
  <c r="AC948" i="84"/>
  <c r="AB962" i="84"/>
  <c r="BA962" i="84" s="1"/>
  <c r="AB108" i="84"/>
  <c r="BA108" i="84" s="1"/>
  <c r="AE533" i="84"/>
  <c r="AE395" i="84"/>
  <c r="AG471" i="84"/>
  <c r="AI471" i="84"/>
  <c r="AB137" i="84"/>
  <c r="BA137" i="84" s="1"/>
  <c r="AB680" i="84"/>
  <c r="BA680" i="84" s="1"/>
  <c r="AE161" i="84"/>
  <c r="BP16" i="82"/>
  <c r="AB280" i="84"/>
  <c r="BA280" i="84" s="1"/>
  <c r="AE124" i="84"/>
  <c r="AB94" i="84"/>
  <c r="BA94" i="84" s="1"/>
  <c r="AC244" i="84"/>
  <c r="AE869" i="84"/>
  <c r="AB271" i="84"/>
  <c r="BA271" i="84" s="1"/>
  <c r="AC339" i="84"/>
  <c r="AC620" i="84"/>
  <c r="AC472" i="84"/>
  <c r="AC726" i="84"/>
  <c r="AC10" i="84"/>
  <c r="AB495" i="84"/>
  <c r="BA495" i="84" s="1"/>
  <c r="AG278" i="84"/>
  <c r="AI278" i="84"/>
  <c r="AC544" i="84"/>
  <c r="AI704" i="84"/>
  <c r="AG704" i="84"/>
  <c r="AE245" i="84"/>
  <c r="AG677" i="84"/>
  <c r="AI677" i="84"/>
  <c r="Z20" i="82"/>
  <c r="AE782" i="84"/>
  <c r="AC455" i="84"/>
  <c r="AE644" i="84"/>
  <c r="AI827" i="84"/>
  <c r="AG827" i="84"/>
  <c r="AB361" i="84"/>
  <c r="BA361" i="84" s="1"/>
  <c r="AI324" i="84"/>
  <c r="AG324" i="84"/>
  <c r="AC53" i="84"/>
  <c r="AB363" i="84"/>
  <c r="BA363" i="84" s="1"/>
  <c r="AI926" i="84"/>
  <c r="AG926" i="84"/>
  <c r="AB921" i="84"/>
  <c r="BA921" i="84" s="1"/>
  <c r="AI948" i="84"/>
  <c r="AG948" i="84"/>
  <c r="AB549" i="84"/>
  <c r="BA549" i="84" s="1"/>
  <c r="AB794" i="84"/>
  <c r="BA794" i="84" s="1"/>
  <c r="AE663" i="84"/>
  <c r="AE423" i="84"/>
  <c r="AC367" i="84"/>
  <c r="AC115" i="84"/>
  <c r="AE153" i="84"/>
  <c r="AE565" i="84"/>
  <c r="AI589" i="84"/>
  <c r="AG589" i="84"/>
  <c r="AC350" i="84"/>
  <c r="AB866" i="84"/>
  <c r="BA866" i="84" s="1"/>
  <c r="AE597" i="84"/>
  <c r="AE668" i="84"/>
  <c r="AE149" i="84"/>
  <c r="AB489" i="84"/>
  <c r="BA489" i="84" s="1"/>
  <c r="AI795" i="84"/>
  <c r="AG795" i="84"/>
  <c r="AB194" i="84"/>
  <c r="BA194" i="84" s="1"/>
  <c r="AC33" i="84"/>
  <c r="AE776" i="84"/>
  <c r="AE413" i="84"/>
  <c r="AE389" i="84"/>
  <c r="AC736" i="84"/>
  <c r="AE807" i="84"/>
  <c r="AG286" i="84"/>
  <c r="AI286" i="84"/>
  <c r="AC400" i="84"/>
  <c r="AG300" i="84"/>
  <c r="AI300" i="84"/>
  <c r="AI846" i="84"/>
  <c r="AG846" i="84"/>
  <c r="AC212" i="84"/>
  <c r="AE529" i="84"/>
  <c r="AB367" i="84"/>
  <c r="BA367" i="84" s="1"/>
  <c r="AE708" i="84"/>
  <c r="AB850" i="84"/>
  <c r="BA850" i="84" s="1"/>
  <c r="AC641" i="84"/>
  <c r="AG679" i="84"/>
  <c r="AI679" i="84"/>
  <c r="AC82" i="84"/>
  <c r="AE871" i="84"/>
  <c r="AI186" i="84"/>
  <c r="AG186" i="84"/>
  <c r="AB848" i="84"/>
  <c r="BA848" i="84" s="1"/>
  <c r="AG496" i="84"/>
  <c r="AI496" i="84"/>
  <c r="AB551" i="84"/>
  <c r="BA551" i="84" s="1"/>
  <c r="AI401" i="84"/>
  <c r="AG401" i="84"/>
  <c r="AE945" i="84"/>
  <c r="AE747" i="84"/>
  <c r="AE868" i="84"/>
  <c r="AE652" i="84"/>
  <c r="AC188" i="84"/>
  <c r="AE833" i="84"/>
  <c r="AC169" i="84"/>
  <c r="AB399" i="84"/>
  <c r="BA399" i="84" s="1"/>
  <c r="BP29" i="82"/>
  <c r="AC369" i="84"/>
  <c r="AG505" i="84"/>
  <c r="AI505" i="84"/>
  <c r="AC105" i="84"/>
  <c r="AB650" i="84"/>
  <c r="BA650" i="84" s="1"/>
  <c r="AB270" i="84"/>
  <c r="BA270" i="84" s="1"/>
  <c r="AB782" i="84"/>
  <c r="BA782" i="84" s="1"/>
  <c r="AB498" i="84"/>
  <c r="BA498" i="84" s="1"/>
  <c r="AE894" i="84"/>
  <c r="AC549" i="84"/>
  <c r="AB919" i="84"/>
  <c r="BA919" i="84" s="1"/>
  <c r="AG445" i="84"/>
  <c r="AI445" i="84"/>
  <c r="AC851" i="84"/>
  <c r="AB413" i="84"/>
  <c r="BA413" i="84" s="1"/>
  <c r="AE415" i="84"/>
  <c r="AG853" i="84"/>
  <c r="AI853" i="84"/>
  <c r="AE237" i="84"/>
  <c r="AE858" i="84"/>
  <c r="AB856" i="84"/>
  <c r="BA856" i="84" s="1"/>
  <c r="AE516" i="84"/>
  <c r="AE900" i="84"/>
  <c r="AE30" i="84"/>
  <c r="AE531" i="84"/>
  <c r="AE571" i="84"/>
  <c r="AB853" i="84"/>
  <c r="BA853" i="84" s="1"/>
  <c r="AC128" i="84"/>
  <c r="AC441" i="84"/>
  <c r="AB423" i="84"/>
  <c r="BA423" i="84" s="1"/>
  <c r="AC658" i="84"/>
  <c r="AB615" i="84"/>
  <c r="BA615" i="84" s="1"/>
  <c r="AC952" i="84"/>
  <c r="AE695" i="84"/>
  <c r="AC9" i="84"/>
  <c r="AB621" i="84"/>
  <c r="BA621" i="84" s="1"/>
  <c r="AE783" i="84"/>
  <c r="AB80" i="84"/>
  <c r="BA80" i="84" s="1"/>
  <c r="AC963" i="84"/>
  <c r="AE681" i="84"/>
  <c r="AB92" i="84"/>
  <c r="BA92" i="84" s="1"/>
  <c r="AB516" i="84"/>
  <c r="BA516" i="84" s="1"/>
  <c r="AE230" i="84"/>
  <c r="AE896" i="84"/>
  <c r="AC274" i="84"/>
  <c r="AE673" i="84"/>
  <c r="AC297" i="84"/>
  <c r="AB422" i="84"/>
  <c r="BA422" i="84" s="1"/>
  <c r="AC494" i="84"/>
  <c r="AE613" i="84"/>
  <c r="AB237" i="84"/>
  <c r="BA237" i="84" s="1"/>
  <c r="AE916" i="84"/>
  <c r="AI552" i="84"/>
  <c r="AG552" i="84"/>
  <c r="AC189" i="84"/>
  <c r="AI866" i="84"/>
  <c r="AG866" i="84"/>
  <c r="AI110" i="84"/>
  <c r="AG110" i="84"/>
  <c r="AI881" i="84"/>
  <c r="AG881" i="84"/>
  <c r="AB598" i="84"/>
  <c r="BA598" i="84" s="1"/>
  <c r="AB741" i="84"/>
  <c r="BA741" i="84" s="1"/>
  <c r="AB255" i="84"/>
  <c r="BA255" i="84" s="1"/>
  <c r="AB406" i="84"/>
  <c r="BA406" i="84" s="1"/>
  <c r="AB524" i="84"/>
  <c r="BA524" i="84" s="1"/>
  <c r="AB877" i="84"/>
  <c r="BA877" i="84" s="1"/>
  <c r="AE347" i="84"/>
  <c r="AB320" i="84"/>
  <c r="BA320" i="84" s="1"/>
  <c r="AG709" i="84"/>
  <c r="AI709" i="84"/>
  <c r="AE831" i="84"/>
  <c r="AB246" i="84"/>
  <c r="BA246" i="84" s="1"/>
  <c r="AI818" i="84"/>
  <c r="AG818" i="84"/>
  <c r="AB410" i="84"/>
  <c r="BA410" i="84" s="1"/>
  <c r="AB414" i="84"/>
  <c r="BA414" i="84" s="1"/>
  <c r="AB898" i="84"/>
  <c r="BA898" i="84" s="1"/>
  <c r="AC890" i="84"/>
  <c r="AG587" i="84"/>
  <c r="AI587" i="84"/>
  <c r="AC537" i="84"/>
  <c r="AB101" i="84"/>
  <c r="BA101" i="84" s="1"/>
  <c r="AB122" i="84"/>
  <c r="BA122" i="84" s="1"/>
  <c r="BI32" i="82"/>
  <c r="BH32" i="82"/>
  <c r="AB527" i="84"/>
  <c r="BA527" i="84" s="1"/>
  <c r="AB366" i="84"/>
  <c r="BA366" i="84" s="1"/>
  <c r="AE804" i="84"/>
  <c r="AE294" i="84"/>
  <c r="AE175" i="84"/>
  <c r="AC80" i="84"/>
  <c r="AG342" i="84"/>
  <c r="AI342" i="84"/>
  <c r="AE485" i="84"/>
  <c r="AG275" i="84"/>
  <c r="AI275" i="84"/>
  <c r="AC850" i="84"/>
  <c r="AB591" i="84"/>
  <c r="BA591" i="84" s="1"/>
  <c r="AI63" i="84"/>
  <c r="AG63" i="84"/>
  <c r="AB240" i="84"/>
  <c r="BA240" i="84" s="1"/>
  <c r="AE517" i="84"/>
  <c r="AB188" i="84"/>
  <c r="BA188" i="84" s="1"/>
  <c r="AB503" i="84"/>
  <c r="BA503" i="84" s="1"/>
  <c r="AB145" i="84"/>
  <c r="BA145" i="84" s="1"/>
  <c r="AI185" i="84"/>
  <c r="AG185" i="84"/>
  <c r="AG350" i="84"/>
  <c r="AI350" i="84"/>
  <c r="AC308" i="84"/>
  <c r="AG316" i="84"/>
  <c r="AI316" i="84"/>
  <c r="AB289" i="84"/>
  <c r="BA289" i="84" s="1"/>
  <c r="AE892" i="84"/>
  <c r="AB99" i="84"/>
  <c r="BA99" i="84" s="1"/>
  <c r="AI247" i="84"/>
  <c r="AG247" i="84"/>
  <c r="AE854" i="84"/>
  <c r="AB102" i="84"/>
  <c r="BA102" i="84" s="1"/>
  <c r="AC801" i="84"/>
  <c r="AI509" i="84"/>
  <c r="AG509" i="84"/>
  <c r="AC702" i="84"/>
  <c r="AI720" i="84"/>
  <c r="AG720" i="84"/>
  <c r="BP10" i="82"/>
  <c r="AI277" i="84"/>
  <c r="AG277" i="84"/>
  <c r="AB950" i="84"/>
  <c r="BA950" i="84" s="1"/>
  <c r="AB959" i="84"/>
  <c r="BA959" i="84" s="1"/>
  <c r="AE53" i="84"/>
  <c r="AE365" i="84"/>
  <c r="AB65" i="84"/>
  <c r="BA65" i="84" s="1"/>
  <c r="AB872" i="84"/>
  <c r="BA872" i="84" s="1"/>
  <c r="AC210" i="84"/>
  <c r="AC872" i="84"/>
  <c r="AC132" i="84"/>
  <c r="AE669" i="84"/>
  <c r="AI895" i="84"/>
  <c r="AG895" i="84"/>
  <c r="AB405" i="84"/>
  <c r="BA405" i="84" s="1"/>
  <c r="AB178" i="84"/>
  <c r="BA178" i="84" s="1"/>
  <c r="AE409" i="84"/>
  <c r="AG15" i="84"/>
  <c r="AI15" i="84"/>
  <c r="AE94" i="84"/>
  <c r="AE758" i="84"/>
  <c r="AC660" i="84"/>
  <c r="AI16" i="84"/>
  <c r="AG16" i="84"/>
  <c r="AG502" i="84"/>
  <c r="AI502" i="84"/>
  <c r="AI89" i="84"/>
  <c r="AG89" i="84"/>
  <c r="AG854" i="84"/>
  <c r="AI854" i="84"/>
  <c r="AC418" i="84"/>
  <c r="AB492" i="84"/>
  <c r="BA492" i="84" s="1"/>
  <c r="AE634" i="84"/>
  <c r="AG24" i="84"/>
  <c r="AI24" i="84"/>
  <c r="AE827" i="84"/>
  <c r="AB722" i="84"/>
  <c r="BA722" i="84" s="1"/>
  <c r="AI839" i="84"/>
  <c r="AG839" i="84"/>
  <c r="AE305" i="84"/>
  <c r="AC912" i="84"/>
  <c r="AG49" i="84"/>
  <c r="AI49" i="84"/>
  <c r="AE288" i="84"/>
  <c r="AB643" i="84"/>
  <c r="BA643" i="84" s="1"/>
  <c r="AB443" i="84"/>
  <c r="BA443" i="84" s="1"/>
  <c r="AB553" i="84"/>
  <c r="BA553" i="84" s="1"/>
  <c r="AC293" i="84"/>
  <c r="AB455" i="84"/>
  <c r="BA455" i="84" s="1"/>
  <c r="AG779" i="84"/>
  <c r="AI779" i="84"/>
  <c r="AE353" i="84"/>
  <c r="AB885" i="84"/>
  <c r="BA885" i="84" s="1"/>
  <c r="AB514" i="84"/>
  <c r="BA514" i="84" s="1"/>
  <c r="AE865" i="84"/>
  <c r="AG213" i="84"/>
  <c r="AI213" i="84"/>
  <c r="AI649" i="84"/>
  <c r="AG649" i="84"/>
  <c r="AE215" i="84"/>
  <c r="AB221" i="84"/>
  <c r="BA221" i="84" s="1"/>
  <c r="AE635" i="84"/>
  <c r="AE394" i="84"/>
  <c r="AE703" i="84"/>
  <c r="AB165" i="84"/>
  <c r="BA165" i="84" s="1"/>
  <c r="AE541" i="84"/>
  <c r="AE274" i="84"/>
  <c r="AI723" i="84"/>
  <c r="AG723" i="84"/>
  <c r="AC161" i="84"/>
  <c r="AB857" i="84"/>
  <c r="BA857" i="84" s="1"/>
  <c r="AB861" i="84"/>
  <c r="BA861" i="84" s="1"/>
  <c r="AG259" i="84"/>
  <c r="AI259" i="84"/>
  <c r="AB260" i="84"/>
  <c r="BA260" i="84" s="1"/>
  <c r="AE830" i="84"/>
  <c r="AE244" i="84"/>
  <c r="AB322" i="84"/>
  <c r="BA322" i="84" s="1"/>
  <c r="AE249" i="84"/>
  <c r="AC725" i="84"/>
  <c r="AE157" i="84"/>
  <c r="AE813" i="84"/>
  <c r="AB279" i="84"/>
  <c r="BA279" i="84" s="1"/>
  <c r="AB871" i="84"/>
  <c r="BA871" i="84" s="1"/>
  <c r="AB112" i="84"/>
  <c r="BA112" i="84" s="1"/>
  <c r="AG281" i="84"/>
  <c r="AI281" i="84"/>
  <c r="AG545" i="84"/>
  <c r="AI545" i="84"/>
  <c r="AE767" i="84"/>
  <c r="AC238" i="84"/>
  <c r="AB284" i="84"/>
  <c r="BA284" i="84" s="1"/>
  <c r="AC555" i="84"/>
  <c r="AB840" i="84"/>
  <c r="BA840" i="84" s="1"/>
  <c r="AB676" i="84"/>
  <c r="BA676" i="84" s="1"/>
  <c r="AC479" i="84"/>
  <c r="AB375" i="84"/>
  <c r="BA375" i="84" s="1"/>
  <c r="AB583" i="84"/>
  <c r="BA583" i="84" s="1"/>
  <c r="AE955" i="84"/>
  <c r="AC64" i="84"/>
  <c r="AB548" i="84"/>
  <c r="BA548" i="84" s="1"/>
  <c r="AG617" i="84"/>
  <c r="AI617" i="84"/>
  <c r="AE178" i="84"/>
  <c r="AC724" i="84"/>
  <c r="AB529" i="84"/>
  <c r="BA529" i="84" s="1"/>
  <c r="AE271" i="84"/>
  <c r="AB787" i="84"/>
  <c r="BA787" i="84" s="1"/>
  <c r="AC394" i="84"/>
  <c r="AC325" i="84"/>
  <c r="AE340" i="84"/>
  <c r="AB44" i="84"/>
  <c r="BA44" i="84" s="1"/>
  <c r="AE655" i="84"/>
  <c r="AB595" i="84"/>
  <c r="BA595" i="84" s="1"/>
  <c r="AE505" i="84"/>
  <c r="AE19" i="84"/>
  <c r="AI448" i="84"/>
  <c r="AG448" i="84"/>
  <c r="AE878" i="84"/>
  <c r="AB207" i="84"/>
  <c r="BA207" i="84" s="1"/>
  <c r="AE130" i="84"/>
  <c r="AE902" i="84"/>
  <c r="AB713" i="84"/>
  <c r="BA713" i="84" s="1"/>
  <c r="AB233" i="84"/>
  <c r="BA233" i="84" s="1"/>
  <c r="AE507" i="84"/>
  <c r="AE795" i="84"/>
  <c r="AB471" i="84"/>
  <c r="BA471" i="84" s="1"/>
  <c r="AE579" i="84"/>
  <c r="AE848" i="84"/>
  <c r="AB449" i="84"/>
  <c r="BA449" i="84" s="1"/>
  <c r="AB670" i="84"/>
  <c r="BA670" i="84" s="1"/>
  <c r="AG469" i="84"/>
  <c r="AI469" i="84"/>
  <c r="AC861" i="84"/>
  <c r="AE92" i="84"/>
  <c r="AE756" i="84"/>
  <c r="AC573" i="84"/>
  <c r="AG207" i="84"/>
  <c r="AI207" i="84"/>
  <c r="AG95" i="84"/>
  <c r="AI95" i="84"/>
  <c r="AE860" i="84"/>
  <c r="AI683" i="84"/>
  <c r="AG683" i="84"/>
  <c r="AB191" i="84"/>
  <c r="BA191" i="84" s="1"/>
  <c r="AE567" i="84"/>
  <c r="AE887" i="84"/>
  <c r="AE31" i="84"/>
  <c r="AB554" i="84"/>
  <c r="BA554" i="84" s="1"/>
  <c r="AB964" i="84"/>
  <c r="BA964" i="84" s="1"/>
  <c r="AB559" i="84"/>
  <c r="BA559" i="84" s="1"/>
  <c r="AE127" i="84"/>
  <c r="AC752" i="84"/>
  <c r="AE822" i="84"/>
  <c r="AE100" i="84"/>
  <c r="AB521" i="84"/>
  <c r="BA521" i="84" s="1"/>
  <c r="AB684" i="84"/>
  <c r="BA684" i="84" s="1"/>
  <c r="AB601" i="84"/>
  <c r="BA601" i="84" s="1"/>
  <c r="AB15" i="84"/>
  <c r="BA15" i="84" s="1"/>
  <c r="AG886" i="84"/>
  <c r="AI886" i="84"/>
  <c r="AB775" i="84"/>
  <c r="BA775" i="84" s="1"/>
  <c r="AE671" i="84"/>
  <c r="AB310" i="84"/>
  <c r="BA310" i="84" s="1"/>
  <c r="AE51" i="84"/>
  <c r="AB859" i="84"/>
  <c r="BA859" i="84" s="1"/>
  <c r="AG484" i="84"/>
  <c r="AI484" i="84"/>
  <c r="AB706" i="84"/>
  <c r="BA706" i="84" s="1"/>
  <c r="AB658" i="84"/>
  <c r="BA658" i="84" s="1"/>
  <c r="AB98" i="84"/>
  <c r="BA98" i="84" s="1"/>
  <c r="AB571" i="84"/>
  <c r="BA571" i="84" s="1"/>
  <c r="AB477" i="84"/>
  <c r="BA477" i="84" s="1"/>
  <c r="AI828" i="84"/>
  <c r="AG828" i="84"/>
  <c r="AE315" i="84"/>
  <c r="AG68" i="84"/>
  <c r="AI68" i="84"/>
  <c r="AB711" i="84"/>
  <c r="BA711" i="84" s="1"/>
  <c r="AI126" i="84"/>
  <c r="AG126" i="84"/>
  <c r="AB75" i="84"/>
  <c r="BA75" i="84" s="1"/>
  <c r="AB918" i="84"/>
  <c r="BA918" i="84" s="1"/>
  <c r="AB720" i="84"/>
  <c r="BA720" i="84" s="1"/>
  <c r="AE259" i="84"/>
  <c r="AE570" i="84"/>
  <c r="AB556" i="84"/>
  <c r="BA556" i="84" s="1"/>
  <c r="AG175" i="84"/>
  <c r="AI175" i="84"/>
  <c r="AB295" i="84"/>
  <c r="BA295" i="84" s="1"/>
  <c r="AC382" i="84"/>
  <c r="AI228" i="84"/>
  <c r="AG228" i="84"/>
  <c r="AC99" i="84"/>
  <c r="AE653" i="84"/>
  <c r="AB945" i="84"/>
  <c r="BA945" i="84" s="1"/>
  <c r="AG76" i="84"/>
  <c r="AI76" i="84"/>
  <c r="AB534" i="84"/>
  <c r="BA534" i="84" s="1"/>
  <c r="AC809" i="84"/>
  <c r="AC739" i="84"/>
  <c r="AI835" i="84"/>
  <c r="AG835" i="84"/>
  <c r="AE228" i="84"/>
  <c r="AB530" i="84"/>
  <c r="BA530" i="84" s="1"/>
  <c r="AI446" i="84"/>
  <c r="AG446" i="84"/>
  <c r="AG929" i="84"/>
  <c r="AI929" i="84"/>
  <c r="AB103" i="84"/>
  <c r="BA103" i="84" s="1"/>
  <c r="AE623" i="84"/>
  <c r="AB462" i="84"/>
  <c r="BA462" i="84" s="1"/>
  <c r="AC665" i="84"/>
  <c r="AE251" i="84"/>
  <c r="AE293" i="84"/>
  <c r="AE20" i="84"/>
  <c r="AB675" i="84"/>
  <c r="BA675" i="84" s="1"/>
  <c r="AB109" i="84"/>
  <c r="BA109" i="84" s="1"/>
  <c r="AE498" i="84"/>
  <c r="AE252" i="84"/>
  <c r="AI743" i="84"/>
  <c r="AG743" i="84"/>
  <c r="AE521" i="84"/>
  <c r="AB481" i="84"/>
  <c r="BA481" i="84" s="1"/>
  <c r="AI876" i="84"/>
  <c r="AG876" i="84"/>
  <c r="AB515" i="84"/>
  <c r="BA515" i="84" s="1"/>
  <c r="AB704" i="84"/>
  <c r="BA704" i="84" s="1"/>
  <c r="AB161" i="84"/>
  <c r="BA161" i="84" s="1"/>
  <c r="AE73" i="84"/>
  <c r="AB835" i="84"/>
  <c r="BA835" i="84" s="1"/>
  <c r="AE580" i="84"/>
  <c r="AB743" i="84"/>
  <c r="BA743" i="84" s="1"/>
  <c r="BB36" i="82"/>
  <c r="AC401" i="84"/>
  <c r="AE787" i="84"/>
  <c r="AE158" i="84"/>
  <c r="AE651" i="84"/>
  <c r="AB558" i="84"/>
  <c r="BA558" i="84" s="1"/>
  <c r="AB685" i="84"/>
  <c r="BA685" i="84" s="1"/>
  <c r="AG262" i="84"/>
  <c r="AI262" i="84"/>
  <c r="AB458" i="84"/>
  <c r="BA458" i="84" s="1"/>
  <c r="AB899" i="84"/>
  <c r="BA899" i="84" s="1"/>
  <c r="AC483" i="84"/>
  <c r="AB638" i="84"/>
  <c r="BA638" i="84" s="1"/>
  <c r="AB59" i="84"/>
  <c r="BA59" i="84" s="1"/>
  <c r="AC465" i="84"/>
  <c r="AE660" i="84"/>
  <c r="AC848" i="84"/>
  <c r="AB888" i="84"/>
  <c r="BA888" i="84" s="1"/>
  <c r="AC939" i="84"/>
  <c r="AE477" i="84"/>
  <c r="AB421" i="84"/>
  <c r="BA421" i="84" s="1"/>
  <c r="AE657" i="84"/>
  <c r="AI42" i="84"/>
  <c r="AG42" i="84"/>
  <c r="AC927" i="84"/>
  <c r="AI435" i="84"/>
  <c r="AG435" i="84"/>
  <c r="AB208" i="84"/>
  <c r="BA208" i="84" s="1"/>
  <c r="AB712" i="84"/>
  <c r="BA712" i="84" s="1"/>
  <c r="AC231" i="84"/>
  <c r="AE925" i="84"/>
  <c r="AG269" i="84"/>
  <c r="AI269" i="84"/>
  <c r="AC157" i="84"/>
  <c r="AB868" i="84"/>
  <c r="BA868" i="84" s="1"/>
  <c r="AB518" i="84"/>
  <c r="BA518" i="84" s="1"/>
  <c r="AE460" i="84"/>
  <c r="AB597" i="84"/>
  <c r="BA597" i="84" s="1"/>
  <c r="AB727" i="84"/>
  <c r="BA727" i="84" s="1"/>
  <c r="AE775" i="84"/>
  <c r="AG380" i="84"/>
  <c r="AI380" i="84"/>
  <c r="AE119" i="84"/>
  <c r="AB904" i="84"/>
  <c r="BA904" i="84" s="1"/>
  <c r="AE610" i="84"/>
  <c r="AE55" i="84"/>
  <c r="AE729" i="84"/>
  <c r="AB612" i="84"/>
  <c r="BA612" i="84" s="1"/>
  <c r="AB464" i="84"/>
  <c r="BA464" i="84" s="1"/>
  <c r="AB501" i="84"/>
  <c r="BA501" i="84" s="1"/>
  <c r="AB79" i="84"/>
  <c r="BA79" i="84" s="1"/>
  <c r="AG573" i="84"/>
  <c r="AI573" i="84"/>
  <c r="AI131" i="84"/>
  <c r="AG131" i="84"/>
  <c r="AI560" i="84"/>
  <c r="AG560" i="84"/>
  <c r="AB293" i="84"/>
  <c r="BA293" i="84" s="1"/>
  <c r="AE462" i="84"/>
  <c r="AE951" i="84"/>
  <c r="AI593" i="84"/>
  <c r="AG593" i="84"/>
  <c r="AI100" i="84"/>
  <c r="AG100" i="84"/>
  <c r="AB698" i="84"/>
  <c r="BA698" i="84" s="1"/>
  <c r="AB820" i="84"/>
  <c r="BA820" i="84" s="1"/>
  <c r="AC282" i="84"/>
  <c r="AE851" i="84"/>
  <c r="AE853" i="84"/>
  <c r="AE183" i="84"/>
  <c r="AC134" i="84"/>
  <c r="AE109" i="84"/>
  <c r="AB149" i="84"/>
  <c r="BA149" i="84" s="1"/>
  <c r="AB253" i="84"/>
  <c r="BA253" i="84" s="1"/>
  <c r="AB376" i="84"/>
  <c r="BA376" i="84" s="1"/>
  <c r="AI360" i="84"/>
  <c r="AG360" i="84"/>
  <c r="AC208" i="84"/>
  <c r="AB578" i="84"/>
  <c r="BA578" i="84" s="1"/>
  <c r="AE450" i="84"/>
  <c r="AE799" i="84"/>
  <c r="AB283" i="84"/>
  <c r="BA283" i="84" s="1"/>
  <c r="AB566" i="84"/>
  <c r="BA566" i="84" s="1"/>
  <c r="AC40" i="84"/>
  <c r="AI658" i="84"/>
  <c r="AG658" i="84"/>
  <c r="AE959" i="84"/>
  <c r="AI241" i="84"/>
  <c r="AG241" i="84"/>
  <c r="AG802" i="84"/>
  <c r="AI802" i="84"/>
  <c r="AB565" i="84"/>
  <c r="BA565" i="84" s="1"/>
  <c r="AG932" i="84"/>
  <c r="AI932" i="84"/>
  <c r="AI54" i="84"/>
  <c r="AG54" i="84"/>
  <c r="AE370" i="84"/>
  <c r="AC315" i="84"/>
  <c r="AI579" i="84"/>
  <c r="AG579" i="84"/>
  <c r="AB228" i="84"/>
  <c r="BA228" i="84" s="1"/>
  <c r="AI578" i="84"/>
  <c r="AG578" i="84"/>
  <c r="AI962" i="84"/>
  <c r="AG962" i="84"/>
  <c r="AB818" i="84"/>
  <c r="BA818" i="84" s="1"/>
  <c r="AB671" i="84"/>
  <c r="BA671" i="84" s="1"/>
  <c r="AB447" i="84"/>
  <c r="BA447" i="84" s="1"/>
  <c r="AB456" i="84"/>
  <c r="BA456" i="84" s="1"/>
  <c r="AB749" i="84"/>
  <c r="BA749" i="84" s="1"/>
  <c r="AE223" i="84"/>
  <c r="AB705" i="84"/>
  <c r="BA705" i="84" s="1"/>
  <c r="AE140" i="84"/>
  <c r="AB915" i="84"/>
  <c r="BA915" i="84" s="1"/>
  <c r="AE927" i="84"/>
  <c r="AC662" i="84"/>
  <c r="AE504" i="84"/>
  <c r="AE630" i="84"/>
  <c r="AB855" i="84"/>
  <c r="BA855" i="84" s="1"/>
  <c r="AB682" i="84"/>
  <c r="BA682" i="84" s="1"/>
  <c r="BP46" i="82"/>
  <c r="AE348" i="84"/>
  <c r="AB411" i="84"/>
  <c r="BA411" i="84" s="1"/>
  <c r="AE889" i="84"/>
  <c r="AE527" i="84"/>
  <c r="AE766" i="84"/>
  <c r="AE374" i="84"/>
  <c r="AB822" i="84"/>
  <c r="BA822" i="84" s="1"/>
  <c r="AB730" i="84"/>
  <c r="BA730" i="84" s="1"/>
  <c r="AB614" i="84"/>
  <c r="BA614" i="84" s="1"/>
  <c r="AB466" i="84"/>
  <c r="BA466" i="84" s="1"/>
  <c r="AI525" i="84"/>
  <c r="AG525" i="84"/>
  <c r="AE688" i="84"/>
  <c r="AB819" i="84"/>
  <c r="BA819" i="84" s="1"/>
  <c r="AB486" i="84"/>
  <c r="BA486" i="84" s="1"/>
  <c r="AE467" i="84"/>
  <c r="AI482" i="84"/>
  <c r="AG482" i="84"/>
  <c r="AB760" i="84"/>
  <c r="BA760" i="84" s="1"/>
  <c r="AB8" i="84"/>
  <c r="BA8" i="84" s="1"/>
  <c r="AE185" i="84"/>
  <c r="AE343" i="84"/>
  <c r="AC329" i="84"/>
  <c r="AE666" i="84"/>
  <c r="AB564" i="84"/>
  <c r="BA564" i="84" s="1"/>
  <c r="AB454" i="84"/>
  <c r="BA454" i="84" s="1"/>
  <c r="AE739" i="84"/>
  <c r="AB239" i="84"/>
  <c r="BA239" i="84" s="1"/>
  <c r="AE701" i="84"/>
  <c r="AB811" i="84"/>
  <c r="BA811" i="84" s="1"/>
  <c r="AB440" i="84"/>
  <c r="BA440" i="84" s="1"/>
  <c r="AG353" i="84"/>
  <c r="AI353" i="84"/>
  <c r="AC7" i="84"/>
  <c r="AB452" i="84"/>
  <c r="BA452" i="84" s="1"/>
  <c r="AG279" i="84"/>
  <c r="AI279" i="84"/>
  <c r="AE456" i="84"/>
  <c r="AE696" i="84"/>
  <c r="AE68" i="84"/>
  <c r="AB383" i="84"/>
  <c r="BA383" i="84" s="1"/>
  <c r="AB709" i="84"/>
  <c r="BA709" i="84" s="1"/>
  <c r="AG14" i="84"/>
  <c r="AI14" i="84"/>
  <c r="AE76" i="84"/>
  <c r="AB867" i="84"/>
  <c r="BA867" i="84" s="1"/>
  <c r="AB511" i="84"/>
  <c r="BA511" i="84" s="1"/>
  <c r="AB212" i="84"/>
  <c r="BA212" i="84" s="1"/>
  <c r="AB751" i="84"/>
  <c r="BA751" i="84" s="1"/>
  <c r="AG635" i="84"/>
  <c r="AI635" i="84"/>
  <c r="AC398" i="84"/>
  <c r="AE687" i="84"/>
  <c r="AB357" i="84"/>
  <c r="BA357" i="84" s="1"/>
  <c r="AI231" i="84"/>
  <c r="AG231" i="84"/>
  <c r="BP11" i="82"/>
  <c r="AB833" i="84"/>
  <c r="BA833" i="84" s="1"/>
  <c r="AB199" i="84"/>
  <c r="BA199" i="84" s="1"/>
  <c r="AC304" i="84"/>
  <c r="AB633" i="84"/>
  <c r="BA633" i="84" s="1"/>
  <c r="AG182" i="84"/>
  <c r="AI182" i="84"/>
  <c r="AB61" i="84"/>
  <c r="BA61" i="84" s="1"/>
  <c r="AI735" i="84"/>
  <c r="AG735" i="84"/>
  <c r="AB314" i="84"/>
  <c r="BA314" i="84" s="1"/>
  <c r="AI772" i="84"/>
  <c r="AG772" i="84"/>
  <c r="AB140" i="84"/>
  <c r="BA140" i="84" s="1"/>
  <c r="AG418" i="84"/>
  <c r="AI418" i="84"/>
  <c r="AB167" i="84"/>
  <c r="BA167" i="84" s="1"/>
  <c r="AG470" i="84"/>
  <c r="AI470" i="84"/>
  <c r="AI168" i="84"/>
  <c r="AG168" i="84"/>
  <c r="AE928" i="84"/>
  <c r="AB143" i="84"/>
  <c r="BA143" i="84" s="1"/>
  <c r="AC17" i="84"/>
  <c r="AB592" i="84"/>
  <c r="BA592" i="84" s="1"/>
  <c r="AB407" i="84"/>
  <c r="BA407" i="84" s="1"/>
  <c r="AB186" i="84"/>
  <c r="BA186" i="84" s="1"/>
  <c r="AI625" i="84"/>
  <c r="AG625" i="84"/>
  <c r="AE664" i="84"/>
  <c r="AB926" i="84"/>
  <c r="BA926" i="84" s="1"/>
  <c r="AG87" i="84"/>
  <c r="AI87" i="84"/>
  <c r="AG455" i="84"/>
  <c r="AI455" i="84"/>
  <c r="AB38" i="84"/>
  <c r="BA38" i="84" s="1"/>
  <c r="AC576" i="84"/>
  <c r="AB311" i="84"/>
  <c r="BA311" i="84" s="1"/>
  <c r="AG289" i="84"/>
  <c r="AI289" i="84"/>
  <c r="AG862" i="84"/>
  <c r="AI862" i="84"/>
  <c r="AI143" i="84"/>
  <c r="AG143" i="84"/>
  <c r="AE154" i="84"/>
  <c r="AC856" i="84"/>
  <c r="AI386" i="84"/>
  <c r="AG386" i="84"/>
  <c r="AI686" i="84"/>
  <c r="AG686" i="84"/>
  <c r="AB193" i="84"/>
  <c r="BA193" i="84" s="1"/>
  <c r="AB909" i="84"/>
  <c r="BA909" i="84" s="1"/>
  <c r="AB656" i="84"/>
  <c r="BA656" i="84" s="1"/>
  <c r="AB290" i="84"/>
  <c r="BA290" i="84" s="1"/>
  <c r="AB606" i="84"/>
  <c r="BA606" i="84" s="1"/>
  <c r="AB523" i="84"/>
  <c r="BA523" i="84" s="1"/>
  <c r="AC337" i="84"/>
  <c r="AE490" i="84"/>
  <c r="AB766" i="84"/>
  <c r="BA766" i="84" s="1"/>
  <c r="AE8" i="84"/>
  <c r="AE953" i="84"/>
  <c r="AC104" i="84"/>
  <c r="AG458" i="84"/>
  <c r="AI458" i="84"/>
  <c r="AE447" i="84"/>
  <c r="AC460" i="84"/>
  <c r="AB430" i="84"/>
  <c r="BA430" i="84" s="1"/>
  <c r="AE765" i="84"/>
  <c r="AE910" i="84"/>
  <c r="AG254" i="84"/>
  <c r="AI254" i="84"/>
  <c r="AE352" i="84"/>
  <c r="AI491" i="84"/>
  <c r="AG491" i="84"/>
  <c r="AE35" i="84"/>
  <c r="AC241" i="84"/>
  <c r="AI843" i="84"/>
  <c r="AG843" i="84"/>
  <c r="AI659" i="84"/>
  <c r="AG659" i="84"/>
  <c r="AC392" i="84"/>
  <c r="AE798" i="84"/>
  <c r="AE690" i="84"/>
  <c r="AB734" i="84"/>
  <c r="BA734" i="84" s="1"/>
  <c r="AE261" i="84"/>
  <c r="AB505" i="84"/>
  <c r="BA505" i="84" s="1"/>
  <c r="AB342" i="84"/>
  <c r="BA342" i="84" s="1"/>
  <c r="AE220" i="84"/>
  <c r="AC962" i="84"/>
  <c r="AI685" i="84"/>
  <c r="AG685" i="84"/>
  <c r="AG639" i="84"/>
  <c r="AI639" i="84"/>
  <c r="AE350" i="84"/>
  <c r="AE958" i="84"/>
  <c r="AE470" i="84"/>
  <c r="AE26" i="84"/>
  <c r="AB652" i="84"/>
  <c r="BA652" i="84" s="1"/>
  <c r="AB719" i="84"/>
  <c r="BA719" i="84" s="1"/>
  <c r="AB303" i="84"/>
  <c r="BA303" i="84" s="1"/>
  <c r="AB939" i="84"/>
  <c r="BA939" i="84" s="1"/>
  <c r="AI19" i="84"/>
  <c r="AG19" i="84"/>
  <c r="AE943" i="84"/>
  <c r="AE841" i="84"/>
  <c r="AE471" i="84"/>
  <c r="AG33" i="84"/>
  <c r="AI33" i="84"/>
  <c r="AE721" i="84"/>
  <c r="AE699" i="84"/>
  <c r="AB354" i="84"/>
  <c r="BA354" i="84" s="1"/>
  <c r="AE418" i="84"/>
  <c r="AE454" i="84"/>
  <c r="AC22" i="84"/>
  <c r="AI880" i="84"/>
  <c r="AG880" i="84"/>
  <c r="AE715" i="84"/>
  <c r="AB403" i="84"/>
  <c r="BA403" i="84" s="1"/>
  <c r="AB777" i="84"/>
  <c r="BA777" i="84" s="1"/>
  <c r="AE824" i="84"/>
  <c r="AB567" i="84"/>
  <c r="BA567" i="84" s="1"/>
  <c r="AB763" i="84"/>
  <c r="BA763" i="84" s="1"/>
  <c r="AB326" i="84"/>
  <c r="BA326" i="84" s="1"/>
  <c r="AG137" i="84"/>
  <c r="AI137" i="84"/>
  <c r="AE273" i="84"/>
  <c r="AC88" i="84"/>
  <c r="AE530" i="84"/>
  <c r="AB739" i="84"/>
  <c r="BA739" i="84" s="1"/>
  <c r="AB767" i="84"/>
  <c r="BA767" i="84" s="1"/>
  <c r="AE74" i="84"/>
  <c r="AE508" i="84"/>
  <c r="AI392" i="84"/>
  <c r="AG392" i="84"/>
  <c r="AI790" i="84"/>
  <c r="AG790" i="84"/>
  <c r="AI422" i="84"/>
  <c r="AG422" i="84"/>
  <c r="AI440" i="84"/>
  <c r="AG440" i="84"/>
  <c r="Z21" i="82"/>
  <c r="AI62" i="84"/>
  <c r="AG62" i="84"/>
  <c r="AC682" i="84"/>
  <c r="AB836" i="84"/>
  <c r="BA836" i="84" s="1"/>
  <c r="AE260" i="84"/>
  <c r="AB431" i="84"/>
  <c r="BA431" i="84" s="1"/>
  <c r="AB424" i="84"/>
  <c r="BA424" i="84" s="1"/>
  <c r="BP37" i="82"/>
  <c r="AE575" i="84"/>
  <c r="AI9" i="84"/>
  <c r="AG9" i="84"/>
  <c r="AB661" i="84"/>
  <c r="BA661" i="84" s="1"/>
  <c r="AE165" i="84"/>
  <c r="AE566" i="84"/>
  <c r="AE724" i="84"/>
  <c r="AE845" i="84"/>
  <c r="AG761" i="84"/>
  <c r="AI761" i="84"/>
  <c r="AB636" i="84"/>
  <c r="BA636" i="84" s="1"/>
  <c r="AB657" i="84"/>
  <c r="BA657" i="84" s="1"/>
  <c r="AG510" i="84"/>
  <c r="AI510" i="84"/>
  <c r="AC580" i="84"/>
  <c r="AG607" i="84"/>
  <c r="AI607" i="84"/>
  <c r="AE682" i="84"/>
  <c r="AI935" i="84"/>
  <c r="AG935" i="84"/>
  <c r="AE436" i="84"/>
  <c r="AE148" i="84"/>
  <c r="AI762" i="84"/>
  <c r="AG762" i="84"/>
  <c r="AI378" i="84"/>
  <c r="AG378" i="84"/>
  <c r="AG511" i="84"/>
  <c r="AI511" i="84"/>
  <c r="AE859" i="84"/>
  <c r="AB610" i="84"/>
  <c r="BA610" i="84" s="1"/>
  <c r="AI951" i="84"/>
  <c r="AG951" i="84"/>
  <c r="AB478" i="84"/>
  <c r="BA478" i="84" s="1"/>
  <c r="AB870" i="84"/>
  <c r="BA870" i="84" s="1"/>
  <c r="AI521" i="84"/>
  <c r="AG521" i="84"/>
  <c r="AE600" i="84"/>
  <c r="AB701" i="84"/>
  <c r="BA701" i="84" s="1"/>
  <c r="AE359" i="84"/>
  <c r="AB119" i="84"/>
  <c r="BA119" i="84" s="1"/>
  <c r="AE494" i="84"/>
  <c r="AG520" i="84"/>
  <c r="AI520" i="84"/>
  <c r="AE488" i="84"/>
  <c r="AB460" i="84"/>
  <c r="BA460" i="84" s="1"/>
  <c r="AE192" i="84"/>
  <c r="AI306" i="84"/>
  <c r="AG306" i="84"/>
  <c r="AI248" i="84"/>
  <c r="AG248" i="84"/>
  <c r="AB829" i="84"/>
  <c r="BA829" i="84" s="1"/>
  <c r="AB378" i="84"/>
  <c r="BA378" i="84" s="1"/>
  <c r="AE373" i="84"/>
  <c r="AC785" i="84"/>
  <c r="AE439" i="84"/>
  <c r="AI411" i="84"/>
  <c r="AG411" i="84"/>
  <c r="AE107" i="84"/>
  <c r="AB645" i="84"/>
  <c r="BA645" i="84" s="1"/>
  <c r="AB869" i="84"/>
  <c r="BA869" i="84" s="1"/>
  <c r="AB532" i="84"/>
  <c r="BA532" i="84" s="1"/>
  <c r="AE446" i="84"/>
  <c r="AE137" i="84"/>
  <c r="AE95" i="84"/>
  <c r="AG861" i="84"/>
  <c r="AI861" i="84"/>
  <c r="AB126" i="84"/>
  <c r="BA126" i="84" s="1"/>
  <c r="AB331" i="84"/>
  <c r="BA331" i="84" s="1"/>
  <c r="AG535" i="84"/>
  <c r="AI535" i="84"/>
  <c r="AI451" i="84"/>
  <c r="AG451" i="84"/>
  <c r="AE704" i="84"/>
  <c r="AI487" i="84"/>
  <c r="AG487" i="84"/>
  <c r="AI934" i="84"/>
  <c r="AG934" i="84"/>
  <c r="AB419" i="84"/>
  <c r="BA419" i="84" s="1"/>
  <c r="AE330" i="84"/>
  <c r="AB736" i="84"/>
  <c r="BA736" i="84" s="1"/>
  <c r="AB512" i="84"/>
  <c r="BA512" i="84" s="1"/>
  <c r="AG459" i="84"/>
  <c r="AI459" i="84"/>
  <c r="AE534" i="84"/>
  <c r="AC322" i="84"/>
  <c r="AI391" i="84"/>
  <c r="AG391" i="84"/>
  <c r="AB67" i="84"/>
  <c r="BA67" i="84" s="1"/>
  <c r="AB485" i="84"/>
  <c r="BA485" i="84" s="1"/>
  <c r="AE710" i="84"/>
  <c r="AB948" i="84"/>
  <c r="BA948" i="84" s="1"/>
  <c r="AE582" i="84"/>
  <c r="AE679" i="84"/>
  <c r="AE957" i="84"/>
  <c r="AB180" i="84"/>
  <c r="BA180" i="84" s="1"/>
  <c r="AB634" i="84"/>
  <c r="BA634" i="84" s="1"/>
  <c r="AB19" i="84"/>
  <c r="BA19" i="84" s="1"/>
  <c r="AE16" i="84"/>
  <c r="AC771" i="84"/>
  <c r="AG883" i="84"/>
  <c r="AI883" i="84"/>
  <c r="AC792" i="84"/>
  <c r="AE57" i="84"/>
  <c r="AI239" i="84"/>
  <c r="AG239" i="84"/>
  <c r="AC619" i="84"/>
  <c r="AB142" i="84"/>
  <c r="BA142" i="84" s="1"/>
  <c r="AE709" i="84"/>
  <c r="AE846" i="84"/>
  <c r="AC804" i="84"/>
  <c r="AG409" i="84"/>
  <c r="AI409" i="84"/>
  <c r="AB943" i="84"/>
  <c r="BA943" i="84" s="1"/>
  <c r="AB963" i="84"/>
  <c r="BA963" i="84" s="1"/>
  <c r="AG384" i="84"/>
  <c r="AI384" i="84"/>
  <c r="AB497" i="84"/>
  <c r="BA497" i="84" s="1"/>
  <c r="AB409" i="84"/>
  <c r="BA409" i="84" s="1"/>
  <c r="AI789" i="84"/>
  <c r="AG789" i="84"/>
  <c r="AE788" i="84"/>
  <c r="AI633" i="84"/>
  <c r="AG633" i="84"/>
  <c r="AB184" i="84"/>
  <c r="BA184" i="84" s="1"/>
  <c r="AE735" i="84"/>
  <c r="AC750" i="84"/>
  <c r="AG725" i="84"/>
  <c r="AI725" i="84"/>
  <c r="AB814" i="84"/>
  <c r="BA814" i="84" s="1"/>
  <c r="AE451" i="84"/>
  <c r="AI477" i="84"/>
  <c r="AG477" i="84"/>
  <c r="AB31" i="84"/>
  <c r="BA31" i="84" s="1"/>
  <c r="AE768" i="84"/>
  <c r="AB442" i="84"/>
  <c r="BA442" i="84" s="1"/>
  <c r="AB483" i="84"/>
  <c r="BA483" i="84" s="1"/>
  <c r="AB444" i="84"/>
  <c r="BA444" i="84" s="1"/>
  <c r="AG534" i="84"/>
  <c r="AI534" i="84"/>
  <c r="AC162" i="84"/>
  <c r="AE888" i="84"/>
  <c r="AB953" i="84"/>
  <c r="BA953" i="84" s="1"/>
  <c r="AE886" i="84"/>
  <c r="AE810" i="84"/>
  <c r="AB252" i="84"/>
  <c r="BA252" i="84" s="1"/>
  <c r="AG221" i="84"/>
  <c r="AI221" i="84"/>
  <c r="AI916" i="84"/>
  <c r="AG916" i="84"/>
  <c r="AB905" i="84"/>
  <c r="BA905" i="84" s="1"/>
  <c r="AB174" i="84"/>
  <c r="BA174" i="84" s="1"/>
  <c r="AE129" i="84"/>
  <c r="AE85" i="84"/>
  <c r="AE677" i="84"/>
  <c r="AB851" i="84"/>
  <c r="BA851" i="84" s="1"/>
  <c r="AE555" i="84"/>
  <c r="AC896" i="84"/>
  <c r="AG959" i="84"/>
  <c r="AI959" i="84"/>
  <c r="AE465" i="84"/>
  <c r="AB602" i="84"/>
  <c r="BA602" i="84" s="1"/>
  <c r="AE683" i="84"/>
  <c r="AB206" i="84"/>
  <c r="BA206" i="84" s="1"/>
  <c r="AC433" i="84"/>
  <c r="AB388" i="84"/>
  <c r="BA388" i="84" s="1"/>
  <c r="AB136" i="84"/>
  <c r="BA136" i="84" s="1"/>
  <c r="AB179" i="84"/>
  <c r="BA179" i="84" s="1"/>
  <c r="AE270" i="84"/>
  <c r="AB120" i="84"/>
  <c r="BA120" i="84" s="1"/>
  <c r="AG582" i="84"/>
  <c r="AI582" i="84"/>
  <c r="AE204" i="84"/>
  <c r="AI831" i="84"/>
  <c r="AG831" i="84"/>
  <c r="AE850" i="84"/>
  <c r="AB97" i="84"/>
  <c r="BA97" i="84" s="1"/>
  <c r="AI356" i="84"/>
  <c r="AG356" i="84"/>
  <c r="AI416" i="84"/>
  <c r="AG416" i="84"/>
  <c r="AI804" i="84"/>
  <c r="AG804" i="84"/>
  <c r="AI352" i="84"/>
  <c r="AG352" i="84"/>
  <c r="AB74" i="84"/>
  <c r="BA74" i="84" s="1"/>
  <c r="AB392" i="84"/>
  <c r="BA392" i="84" s="1"/>
  <c r="AG588" i="84"/>
  <c r="AI588" i="84"/>
  <c r="AB768" i="84"/>
  <c r="BA768" i="84" s="1"/>
  <c r="AB858" i="84"/>
  <c r="BA858" i="84" s="1"/>
  <c r="AC512" i="84"/>
  <c r="AB887" i="84"/>
  <c r="BA887" i="84" s="1"/>
  <c r="AB823" i="84"/>
  <c r="BA823" i="84" s="1"/>
  <c r="AI460" i="84"/>
  <c r="AG460" i="84"/>
  <c r="AB16" i="84"/>
  <c r="BA16" i="84" s="1"/>
  <c r="AG809" i="84"/>
  <c r="AI809" i="84"/>
  <c r="AB107" i="84"/>
  <c r="BA107" i="84" s="1"/>
  <c r="AE425" i="84"/>
  <c r="AB579" i="84"/>
  <c r="BA579" i="84" s="1"/>
  <c r="AB281" i="84"/>
  <c r="BA281" i="84" s="1"/>
  <c r="AB783" i="84"/>
  <c r="BA783" i="84" s="1"/>
  <c r="AI714" i="84"/>
  <c r="AG714" i="84"/>
  <c r="AB774" i="84"/>
  <c r="BA774" i="84" s="1"/>
  <c r="AB951" i="84"/>
  <c r="BA951" i="84" s="1"/>
  <c r="AE839" i="84"/>
  <c r="BB27" i="82"/>
  <c r="AB377" i="84"/>
  <c r="BA377" i="84" s="1"/>
  <c r="AB812" i="84"/>
  <c r="BA812" i="84" s="1"/>
  <c r="AG909" i="84"/>
  <c r="AI909" i="84"/>
  <c r="AB507" i="84"/>
  <c r="BA507" i="84" s="1"/>
  <c r="AG966" i="84"/>
  <c r="AI966" i="84"/>
  <c r="AE734" i="84"/>
  <c r="AC205" i="84"/>
  <c r="AI764" i="84"/>
  <c r="AG764" i="84"/>
  <c r="AE339" i="84"/>
  <c r="AB892" i="84"/>
  <c r="BA892" i="84" s="1"/>
  <c r="AE448" i="84"/>
  <c r="AB696" i="84"/>
  <c r="BA696" i="84" s="1"/>
  <c r="AG55" i="84"/>
  <c r="AI55" i="84"/>
  <c r="AB265" i="84"/>
  <c r="BA265" i="84" s="1"/>
  <c r="AC224" i="84"/>
  <c r="AE713" i="84"/>
  <c r="AE790" i="84"/>
  <c r="AB340" i="84"/>
  <c r="BA340" i="84" s="1"/>
  <c r="AE123" i="84"/>
  <c r="AE36" i="84"/>
  <c r="AC413" i="84"/>
  <c r="AE716" i="84"/>
  <c r="AE82" i="84"/>
  <c r="AG121" i="84"/>
  <c r="AI121" i="84"/>
  <c r="AC384" i="84"/>
  <c r="AC574" i="84"/>
  <c r="AB453" i="84"/>
  <c r="BA453" i="84" s="1"/>
  <c r="AB232" i="84"/>
  <c r="BA232" i="84" s="1"/>
  <c r="AE296" i="84"/>
  <c r="AB552" i="84"/>
  <c r="BA552" i="84" s="1"/>
  <c r="AB298" i="84"/>
  <c r="BA298" i="84" s="1"/>
  <c r="AE777" i="84"/>
  <c r="AB854" i="84"/>
  <c r="BA854" i="84" s="1"/>
  <c r="AB662" i="84"/>
  <c r="BA662" i="84" s="1"/>
  <c r="AB906" i="84"/>
  <c r="BA906" i="84" s="1"/>
  <c r="AB47" i="84"/>
  <c r="BA47" i="84" s="1"/>
  <c r="AG133" i="84"/>
  <c r="AI133" i="84"/>
  <c r="AB660" i="84"/>
  <c r="BA660" i="84" s="1"/>
  <c r="AE667" i="84"/>
  <c r="AG602" i="84"/>
  <c r="AI602" i="84"/>
  <c r="AI933" i="84"/>
  <c r="AG933" i="84"/>
  <c r="AE636" i="84"/>
  <c r="AB937" i="84"/>
  <c r="BA937" i="84" s="1"/>
  <c r="AB797" i="84"/>
  <c r="BA797" i="84" s="1"/>
  <c r="AE544" i="84"/>
  <c r="AG94" i="84"/>
  <c r="AI94" i="84"/>
  <c r="AE203" i="84"/>
  <c r="AB13" i="84"/>
  <c r="BA13" i="84" s="1"/>
  <c r="AI214" i="84"/>
  <c r="AG214" i="84"/>
  <c r="AB543" i="84"/>
  <c r="BA543" i="84" s="1"/>
  <c r="BP41" i="82"/>
  <c r="AE397" i="84"/>
  <c r="AE410" i="84"/>
  <c r="AE717" i="84"/>
  <c r="AE334" i="84"/>
  <c r="AI548" i="84"/>
  <c r="AG548" i="84"/>
  <c r="AI788" i="84"/>
  <c r="AG788" i="84"/>
  <c r="AI592" i="84"/>
  <c r="AG592" i="84"/>
  <c r="AG357" i="84"/>
  <c r="AI357" i="84"/>
  <c r="AE238" i="84"/>
  <c r="AG547" i="84"/>
  <c r="AI547" i="84"/>
  <c r="AB24" i="84"/>
  <c r="BA24" i="84" s="1"/>
  <c r="AI204" i="84"/>
  <c r="AG204" i="84"/>
  <c r="AB862" i="84"/>
  <c r="BA862" i="84" s="1"/>
  <c r="AG746" i="84"/>
  <c r="AI746" i="84"/>
  <c r="AI665" i="84"/>
  <c r="AG665" i="84"/>
  <c r="AE42" i="84"/>
  <c r="AB163" i="84"/>
  <c r="BA163" i="84" s="1"/>
  <c r="AE232" i="84"/>
  <c r="AE573" i="84"/>
  <c r="AE866" i="84"/>
  <c r="AB62" i="84"/>
  <c r="BA62" i="84" s="1"/>
  <c r="AE631" i="84"/>
  <c r="AB356" i="84"/>
  <c r="BA356" i="84" s="1"/>
  <c r="AE233" i="84"/>
  <c r="AE67" i="84"/>
  <c r="AG611" i="84"/>
  <c r="AI611" i="84"/>
  <c r="AE65" i="84"/>
  <c r="AB884" i="84"/>
  <c r="BA884" i="84" s="1"/>
  <c r="BP39" i="82"/>
  <c r="AB337" i="84"/>
  <c r="BA337" i="84" s="1"/>
  <c r="AB753" i="84"/>
  <c r="BA753" i="84" s="1"/>
  <c r="AB929" i="84"/>
  <c r="BA929" i="84" s="1"/>
  <c r="AB439" i="84"/>
  <c r="BA439" i="84" s="1"/>
  <c r="AE942" i="84"/>
  <c r="AE110" i="84"/>
  <c r="AE546" i="84"/>
  <c r="AB336" i="84"/>
  <c r="BA336" i="84" s="1"/>
  <c r="AB690" i="84"/>
  <c r="BA690" i="84" s="1"/>
  <c r="AE344" i="84"/>
  <c r="AE181" i="84"/>
  <c r="AI194" i="84"/>
  <c r="AG194" i="84"/>
  <c r="AB236" i="84"/>
  <c r="BA236" i="84" s="1"/>
  <c r="AE665" i="84"/>
  <c r="AE603" i="84"/>
  <c r="AE607" i="84"/>
  <c r="AB589" i="84"/>
  <c r="BA589" i="84" s="1"/>
  <c r="AE941" i="84"/>
  <c r="AE511" i="84"/>
  <c r="AB609" i="84"/>
  <c r="BA609" i="84" s="1"/>
  <c r="AC153" i="84"/>
  <c r="C43" i="87" a="1"/>
  <c r="C43" i="87" s="1"/>
  <c r="B43" i="87" a="1"/>
  <c r="B43" i="87" s="1"/>
  <c r="AE7" i="84"/>
  <c r="D43" i="87" a="1"/>
  <c r="D43" i="87" s="1"/>
  <c r="S43" i="87" a="1"/>
  <c r="S43" i="87" s="1"/>
  <c r="AE211" i="84"/>
  <c r="AB292" i="84"/>
  <c r="BA292" i="84" s="1"/>
  <c r="AE234" i="84"/>
  <c r="AG443" i="84"/>
  <c r="AI443" i="84"/>
  <c r="AE180" i="84"/>
  <c r="AE86" i="84"/>
  <c r="AE369" i="84"/>
  <c r="AE319" i="84"/>
  <c r="AE808" i="84"/>
  <c r="AE743" i="84"/>
  <c r="AB663" i="84"/>
  <c r="BA663" i="84" s="1"/>
  <c r="AG351" i="84"/>
  <c r="AI351" i="84"/>
  <c r="AB33" i="84"/>
  <c r="BA33" i="84" s="1"/>
  <c r="AB173" i="84"/>
  <c r="BA173" i="84" s="1"/>
  <c r="AE104" i="84"/>
  <c r="AB778" i="84"/>
  <c r="BA778" i="84" s="1"/>
  <c r="AE574" i="84"/>
  <c r="AB463" i="84"/>
  <c r="BA463" i="84" s="1"/>
  <c r="AE112" i="84"/>
  <c r="AB941" i="84"/>
  <c r="BA941" i="84" s="1"/>
  <c r="AG856" i="84"/>
  <c r="AI856" i="84"/>
  <c r="AG646" i="84"/>
  <c r="AI646" i="84"/>
  <c r="AE948" i="84"/>
  <c r="AG773" i="84"/>
  <c r="AI773" i="84"/>
  <c r="AB813" i="84"/>
  <c r="BA813" i="84" s="1"/>
  <c r="AG652" i="84"/>
  <c r="AI652" i="84"/>
  <c r="AG114" i="84"/>
  <c r="AI114" i="84"/>
  <c r="AE823" i="84"/>
  <c r="AB272" i="84"/>
  <c r="BA272" i="84" s="1"/>
  <c r="AE890" i="84"/>
  <c r="AB620" i="84"/>
  <c r="BA620" i="84" s="1"/>
  <c r="AI758" i="84"/>
  <c r="AG758" i="84"/>
  <c r="AE380" i="84"/>
  <c r="AE513" i="84"/>
  <c r="AE938" i="84"/>
  <c r="AI907" i="84"/>
  <c r="AG907" i="84"/>
  <c r="AE182" i="84"/>
  <c r="AE876" i="84"/>
  <c r="AI101" i="84"/>
  <c r="AG101" i="84"/>
  <c r="AI339" i="84"/>
  <c r="AG339" i="84"/>
  <c r="AG308" i="84"/>
  <c r="AI308" i="84"/>
  <c r="AB594" i="84"/>
  <c r="BA594" i="84" s="1"/>
  <c r="AB257" i="84"/>
  <c r="BA257" i="84" s="1"/>
  <c r="AB627" i="84"/>
  <c r="BA627" i="84" s="1"/>
  <c r="AI53" i="84"/>
  <c r="AG53" i="84"/>
  <c r="AB171" i="84"/>
  <c r="BA171" i="84" s="1"/>
  <c r="AB390" i="84"/>
  <c r="BA390" i="84" s="1"/>
  <c r="AC89" i="84"/>
  <c r="AE21" i="84"/>
  <c r="AC584" i="84"/>
  <c r="AI25" i="84"/>
  <c r="AG25" i="84"/>
  <c r="AE99" i="84"/>
  <c r="AB927" i="84"/>
  <c r="BA927" i="84" s="1"/>
  <c r="AB76" i="84"/>
  <c r="BA76" i="84" s="1"/>
  <c r="AG271" i="84"/>
  <c r="AI271" i="84"/>
  <c r="AB36" i="84"/>
  <c r="BA36" i="84" s="1"/>
  <c r="AG75" i="84"/>
  <c r="AI75" i="84"/>
  <c r="AB707" i="84"/>
  <c r="BA707" i="84" s="1"/>
  <c r="AB216" i="84"/>
  <c r="BA216" i="84" s="1"/>
  <c r="BP22" i="82"/>
  <c r="AB157" i="84"/>
  <c r="BA157" i="84" s="1"/>
  <c r="AI327" i="84"/>
  <c r="AG327" i="84"/>
  <c r="AE302" i="84"/>
  <c r="AE22" i="84"/>
  <c r="AB197" i="84"/>
  <c r="BA197" i="84" s="1"/>
  <c r="AE209" i="84"/>
  <c r="AC34" i="84"/>
  <c r="AE342" i="84"/>
  <c r="AB150" i="84"/>
  <c r="BA150" i="84" s="1"/>
  <c r="AG345" i="84"/>
  <c r="AI345" i="84"/>
  <c r="AB54" i="84"/>
  <c r="BA54" i="84" s="1"/>
  <c r="AB470" i="84"/>
  <c r="BA470" i="84" s="1"/>
  <c r="AB316" i="84"/>
  <c r="BA316" i="84" s="1"/>
  <c r="AB351" i="84"/>
  <c r="BA351" i="84" s="1"/>
  <c r="AG394" i="84"/>
  <c r="AI394" i="84"/>
  <c r="AI630" i="84"/>
  <c r="AG630" i="84"/>
  <c r="AE303" i="84"/>
  <c r="AE506" i="84"/>
  <c r="AG706" i="84"/>
  <c r="AI706" i="84"/>
  <c r="AI821" i="84"/>
  <c r="AG821" i="84"/>
  <c r="AI295" i="84"/>
  <c r="AG295" i="84"/>
  <c r="AB651" i="84"/>
  <c r="BA651" i="84" s="1"/>
  <c r="AE167" i="84"/>
  <c r="AB110" i="84"/>
  <c r="BA110" i="84" s="1"/>
  <c r="AB500" i="84"/>
  <c r="BA500" i="84" s="1"/>
  <c r="AE147" i="84"/>
  <c r="AE629" i="84"/>
  <c r="AB725" i="84"/>
  <c r="BA725" i="84" s="1"/>
  <c r="AB374" i="84"/>
  <c r="BA374" i="84" s="1"/>
  <c r="AG759" i="84"/>
  <c r="AI759" i="84"/>
  <c r="AE483" i="84"/>
  <c r="AG178" i="84"/>
  <c r="AI178" i="84"/>
  <c r="AI663" i="84"/>
  <c r="AG663" i="84"/>
  <c r="AE135" i="84"/>
  <c r="AG874" i="84"/>
  <c r="AI874" i="84"/>
  <c r="AG307" i="84"/>
  <c r="AI307" i="84"/>
  <c r="AB569" i="84"/>
  <c r="BA569" i="84" s="1"/>
  <c r="AE601" i="84"/>
  <c r="AE751" i="84"/>
  <c r="AB881" i="84"/>
  <c r="BA881" i="84" s="1"/>
  <c r="AI596" i="84"/>
  <c r="AG596" i="84"/>
  <c r="AB541" i="84"/>
  <c r="BA541" i="84" s="1"/>
  <c r="AE705" i="84"/>
  <c r="AE779" i="84"/>
  <c r="BP38" i="82"/>
  <c r="AG566" i="84"/>
  <c r="AI566" i="84"/>
  <c r="AE364" i="84"/>
  <c r="AI699" i="84"/>
  <c r="AG699" i="84"/>
  <c r="AI58" i="84"/>
  <c r="AG58" i="84"/>
  <c r="AE268" i="84"/>
  <c r="AB264" i="84"/>
  <c r="BA264" i="84" s="1"/>
  <c r="AB177" i="84"/>
  <c r="BA177" i="84" s="1"/>
  <c r="AB82" i="84"/>
  <c r="BA82" i="84" s="1"/>
  <c r="BP18" i="82"/>
  <c r="AI209" i="84"/>
  <c r="AG209" i="84"/>
  <c r="AI623" i="84"/>
  <c r="AG623" i="84"/>
  <c r="AE806" i="84"/>
  <c r="AB63" i="84"/>
  <c r="BA63" i="84" s="1"/>
  <c r="AB304" i="84"/>
  <c r="BA304" i="84" s="1"/>
  <c r="AI465" i="84"/>
  <c r="AG465" i="84"/>
  <c r="AG912" i="84"/>
  <c r="AI912" i="84"/>
  <c r="BP20" i="82"/>
  <c r="AG744" i="84"/>
  <c r="AI744" i="84"/>
  <c r="AE212" i="84"/>
  <c r="AG230" i="84"/>
  <c r="AI230" i="84"/>
  <c r="AE142" i="84"/>
  <c r="AE93" i="84"/>
  <c r="AI805" i="84"/>
  <c r="AG805" i="84"/>
  <c r="AI811" i="84"/>
  <c r="AG811" i="84"/>
  <c r="AE217" i="84"/>
  <c r="AG245" i="84"/>
  <c r="AI245" i="84"/>
  <c r="AE214" i="84"/>
  <c r="AG50" i="84"/>
  <c r="AI50" i="84"/>
  <c r="AB222" i="84"/>
  <c r="BA222" i="84" s="1"/>
  <c r="AI538" i="84"/>
  <c r="AG538" i="84"/>
  <c r="AB435" i="84"/>
  <c r="BA435" i="84" s="1"/>
  <c r="AB308" i="84"/>
  <c r="BA308" i="84" s="1"/>
  <c r="AG777" i="84"/>
  <c r="AI777" i="84"/>
  <c r="AI272" i="84"/>
  <c r="AG272" i="84"/>
  <c r="AB323" i="84"/>
  <c r="BA323" i="84" s="1"/>
  <c r="AG320" i="84"/>
  <c r="AI320" i="84"/>
  <c r="AB90" i="84"/>
  <c r="BA90" i="84" s="1"/>
  <c r="AE605" i="84"/>
  <c r="AB153" i="84"/>
  <c r="BA153" i="84" s="1"/>
  <c r="AE792" i="84"/>
  <c r="AI745" i="84"/>
  <c r="AG745" i="84"/>
  <c r="AE28" i="84"/>
  <c r="AB770" i="84"/>
  <c r="BA770" i="84" s="1"/>
  <c r="AB786" i="84"/>
  <c r="BA786" i="84" s="1"/>
  <c r="AB752" i="84"/>
  <c r="BA752" i="84" s="1"/>
  <c r="AB235" i="84"/>
  <c r="BA235" i="84" s="1"/>
  <c r="AE568" i="84"/>
  <c r="AB285" i="84"/>
  <c r="BA285" i="84" s="1"/>
  <c r="AG21" i="84"/>
  <c r="AI21" i="84"/>
  <c r="AE222" i="84"/>
  <c r="AI91" i="84"/>
  <c r="AG91" i="84"/>
  <c r="AB913" i="84"/>
  <c r="BA913" i="84" s="1"/>
  <c r="AE590" i="84"/>
  <c r="AB891" i="84"/>
  <c r="BA891" i="84" s="1"/>
  <c r="AB817" i="84"/>
  <c r="BA817" i="84" s="1"/>
  <c r="AG879" i="84"/>
  <c r="AI879" i="84"/>
  <c r="AE206" i="84"/>
  <c r="AG632" i="84"/>
  <c r="AI632" i="84"/>
  <c r="AE116" i="84"/>
  <c r="AE616" i="84"/>
  <c r="AB724" i="84"/>
  <c r="BA724" i="84" s="1"/>
  <c r="AB309" i="84"/>
  <c r="BA309" i="84" s="1"/>
  <c r="AG497" i="84"/>
  <c r="AI497" i="84"/>
  <c r="AB654" i="84"/>
  <c r="BA654" i="84" s="1"/>
  <c r="AE789" i="84"/>
  <c r="AI653" i="84"/>
  <c r="AG653" i="84"/>
  <c r="AE929" i="84"/>
  <c r="AG473" i="84"/>
  <c r="AI473" i="84"/>
  <c r="AB448" i="84"/>
  <c r="BA448" i="84" s="1"/>
  <c r="AE609" i="84"/>
  <c r="AI784" i="84"/>
  <c r="AG784" i="84"/>
  <c r="AE922" i="84"/>
  <c r="AE784" i="84"/>
  <c r="AB189" i="84"/>
  <c r="BA189" i="84" s="1"/>
  <c r="AE552" i="84"/>
  <c r="AB397" i="84"/>
  <c r="BA397" i="84" s="1"/>
  <c r="AI397" i="84"/>
  <c r="AG397" i="84"/>
  <c r="AB865" i="84"/>
  <c r="BA865" i="84" s="1"/>
  <c r="AI906" i="84"/>
  <c r="AG906" i="84"/>
  <c r="AB907" i="84"/>
  <c r="BA907" i="84" s="1"/>
  <c r="AG184" i="84"/>
  <c r="AI184" i="84"/>
  <c r="AG237" i="84"/>
  <c r="AI237" i="84"/>
  <c r="AE239" i="84"/>
  <c r="AB799" i="84"/>
  <c r="BA799" i="84" s="1"/>
  <c r="AB245" i="84"/>
  <c r="BA245" i="84" s="1"/>
  <c r="AE452" i="84"/>
  <c r="AB603" i="84"/>
  <c r="BA603" i="84" s="1"/>
  <c r="AE27" i="84"/>
  <c r="AI944" i="84"/>
  <c r="AG944" i="84"/>
  <c r="AG83" i="84"/>
  <c r="AI83" i="84"/>
  <c r="AE512" i="84"/>
  <c r="AB234" i="84"/>
  <c r="BA234" i="84" s="1"/>
  <c r="AE187" i="84"/>
  <c r="AI537" i="84"/>
  <c r="AG537" i="84"/>
  <c r="AE835" i="84"/>
  <c r="BP30" i="82"/>
  <c r="AG872" i="84"/>
  <c r="AI872" i="84"/>
  <c r="AB600" i="84"/>
  <c r="BA600" i="84" s="1"/>
  <c r="AB693" i="84"/>
  <c r="BA693" i="84" s="1"/>
  <c r="AI504" i="84"/>
  <c r="AG504" i="84"/>
  <c r="AI824" i="84"/>
  <c r="AG824" i="84"/>
  <c r="AE191" i="84"/>
  <c r="AB459" i="84"/>
  <c r="BA459" i="84" s="1"/>
  <c r="AE832" i="84"/>
  <c r="AI770" i="84"/>
  <c r="AG770" i="84"/>
  <c r="AI23" i="84"/>
  <c r="AG23" i="84"/>
  <c r="AB175" i="84"/>
  <c r="BA175" i="84" s="1"/>
  <c r="AB329" i="84"/>
  <c r="BA329" i="84" s="1"/>
  <c r="AB931" i="84"/>
  <c r="BA931" i="84" s="1"/>
  <c r="AB159" i="84"/>
  <c r="BA159" i="84" s="1"/>
  <c r="AI405" i="84"/>
  <c r="AG405" i="84"/>
  <c r="AI144" i="84"/>
  <c r="AG144" i="84"/>
  <c r="AB480" i="84"/>
  <c r="BA480" i="84" s="1"/>
  <c r="AI412" i="84"/>
  <c r="AG412" i="84"/>
  <c r="AE266" i="84"/>
  <c r="AB737" i="84"/>
  <c r="BA737" i="84" s="1"/>
  <c r="AE698" i="84"/>
  <c r="AI476" i="84"/>
  <c r="AG476" i="84"/>
  <c r="AI650" i="84"/>
  <c r="AG650" i="84"/>
  <c r="AB746" i="84"/>
  <c r="BA746" i="84" s="1"/>
  <c r="AB43" i="84"/>
  <c r="BA43" i="84" s="1"/>
  <c r="AG713" i="84"/>
  <c r="AI713" i="84"/>
  <c r="AB729" i="84"/>
  <c r="BA729" i="84" s="1"/>
  <c r="AI668" i="84"/>
  <c r="AG668" i="84"/>
  <c r="AE524" i="84"/>
  <c r="AE313" i="84"/>
  <c r="AB687" i="84"/>
  <c r="BA687" i="84" s="1"/>
  <c r="AI374" i="84"/>
  <c r="AG374" i="84"/>
  <c r="AG134" i="84"/>
  <c r="AI134" i="84"/>
  <c r="AG514" i="84"/>
  <c r="AI514" i="84"/>
  <c r="AB249" i="84"/>
  <c r="BA249" i="84" s="1"/>
  <c r="AE402" i="84"/>
  <c r="AB733" i="84"/>
  <c r="BA733" i="84" s="1"/>
  <c r="AG13" i="84"/>
  <c r="AI13" i="84"/>
  <c r="AB742" i="84"/>
  <c r="BA742" i="84" s="1"/>
  <c r="AB748" i="84"/>
  <c r="BA748" i="84" s="1"/>
  <c r="AG651" i="84"/>
  <c r="AI651" i="84"/>
  <c r="BP15" i="82"/>
  <c r="AB949" i="84"/>
  <c r="BA949" i="84" s="1"/>
  <c r="AB83" i="84"/>
  <c r="BA83" i="84" s="1"/>
  <c r="AE435" i="84"/>
  <c r="AB842" i="84"/>
  <c r="BA842" i="84" s="1"/>
  <c r="AE176" i="84"/>
  <c r="AG715" i="84"/>
  <c r="AI715" i="84"/>
  <c r="AI425" i="84"/>
  <c r="AG425" i="84"/>
  <c r="AB613" i="84"/>
  <c r="BA613" i="84" s="1"/>
  <c r="AE329" i="84"/>
  <c r="AE589" i="84"/>
  <c r="AE381" i="84"/>
  <c r="AB158" i="84"/>
  <c r="BA158" i="84" s="1"/>
  <c r="AB568" i="84"/>
  <c r="BA568" i="84" s="1"/>
  <c r="AE754" i="84"/>
  <c r="AB84" i="84"/>
  <c r="BA84" i="84" s="1"/>
  <c r="AE880" i="84"/>
  <c r="AI575" i="84"/>
  <c r="AG575" i="84"/>
  <c r="AI958" i="84"/>
  <c r="AG958" i="84"/>
  <c r="AE151" i="84"/>
  <c r="AE930" i="84"/>
  <c r="AB731" i="84"/>
  <c r="BA731" i="84" s="1"/>
  <c r="AI227" i="84"/>
  <c r="AG227" i="84"/>
  <c r="AB73" i="84"/>
  <c r="BA73" i="84" s="1"/>
  <c r="AB798" i="84"/>
  <c r="BA798" i="84" s="1"/>
  <c r="AB381" i="84"/>
  <c r="BA381" i="84" s="1"/>
  <c r="AG402" i="84"/>
  <c r="AI402" i="84"/>
  <c r="AG865" i="84"/>
  <c r="AI865" i="84"/>
  <c r="AG78" i="84"/>
  <c r="AI78" i="84"/>
  <c r="AI274" i="84"/>
  <c r="AG274" i="84"/>
  <c r="AI908" i="84"/>
  <c r="AG908" i="84"/>
  <c r="AE844" i="84"/>
  <c r="AB886" i="84"/>
  <c r="BA886" i="84" s="1"/>
  <c r="AE422" i="84"/>
  <c r="AI813" i="84"/>
  <c r="AG813" i="84"/>
  <c r="AG829" i="84"/>
  <c r="AI829" i="84"/>
  <c r="AI276" i="84"/>
  <c r="AG276" i="84"/>
  <c r="AB402" i="84"/>
  <c r="BA402" i="84" s="1"/>
  <c r="AB878" i="84"/>
  <c r="BA878" i="84" s="1"/>
  <c r="AB674" i="84"/>
  <c r="BA674" i="84" s="1"/>
  <c r="AE404" i="84"/>
  <c r="AI225" i="84"/>
  <c r="AG225" i="84"/>
  <c r="AE229" i="84"/>
  <c r="AI852" i="84"/>
  <c r="AG852" i="84"/>
  <c r="AE145" i="84"/>
  <c r="AB111" i="84"/>
  <c r="BA111" i="84" s="1"/>
  <c r="AB776" i="84"/>
  <c r="BA776" i="84" s="1"/>
  <c r="AE208" i="84"/>
  <c r="AB41" i="84"/>
  <c r="BA41" i="84" s="1"/>
  <c r="AG734" i="84"/>
  <c r="AI734" i="84"/>
  <c r="AE105" i="84"/>
  <c r="AE523" i="84"/>
  <c r="AE376" i="84"/>
  <c r="AI619" i="84"/>
  <c r="AG619" i="84"/>
  <c r="AI399" i="84"/>
  <c r="AG399" i="84"/>
  <c r="AG268" i="84"/>
  <c r="AI268" i="84"/>
  <c r="AE292" i="84"/>
  <c r="AG763" i="84"/>
  <c r="AI763" i="84"/>
  <c r="AB55" i="84"/>
  <c r="BA55" i="84" s="1"/>
  <c r="AI661" i="84"/>
  <c r="AG661" i="84"/>
  <c r="AG172" i="84"/>
  <c r="AI172" i="84"/>
  <c r="AE881" i="84"/>
  <c r="AB437" i="84"/>
  <c r="BA437" i="84" s="1"/>
  <c r="AE333" i="84"/>
  <c r="AE884" i="84"/>
  <c r="AI837" i="84"/>
  <c r="AG837" i="84"/>
  <c r="AB318" i="84"/>
  <c r="BA318" i="84" s="1"/>
  <c r="AB491" i="84"/>
  <c r="BA491" i="84" s="1"/>
  <c r="AI159" i="84"/>
  <c r="AG159" i="84"/>
  <c r="AB908" i="84"/>
  <c r="BA908" i="84" s="1"/>
  <c r="AB227" i="84"/>
  <c r="BA227" i="84" s="1"/>
  <c r="AE224" i="84"/>
  <c r="AB146" i="84"/>
  <c r="BA146" i="84" s="1"/>
  <c r="AE226" i="84"/>
  <c r="AE793" i="84"/>
  <c r="AG395" i="84"/>
  <c r="AI395" i="84"/>
  <c r="AI822" i="84"/>
  <c r="AG822" i="84"/>
  <c r="AE624" i="84"/>
  <c r="AC146" i="84"/>
  <c r="AE947" i="84"/>
  <c r="AG428" i="84"/>
  <c r="AI428" i="84"/>
  <c r="AB387" i="84"/>
  <c r="BA387" i="84" s="1"/>
  <c r="AE177" i="84"/>
  <c r="AI376" i="84"/>
  <c r="AG376" i="84"/>
  <c r="AG717" i="84"/>
  <c r="AI717" i="84"/>
  <c r="AB404" i="84"/>
  <c r="BA404" i="84" s="1"/>
  <c r="AB761" i="84"/>
  <c r="BA761" i="84" s="1"/>
  <c r="AB539" i="84"/>
  <c r="BA539" i="84" s="1"/>
  <c r="AB384" i="84"/>
  <c r="BA384" i="84" s="1"/>
  <c r="AI782" i="84"/>
  <c r="AG782" i="84"/>
  <c r="AE641" i="84"/>
  <c r="AB780" i="84"/>
  <c r="BA780" i="84" s="1"/>
  <c r="AB217" i="84"/>
  <c r="BA217" i="84" s="1"/>
  <c r="AG188" i="84"/>
  <c r="AI188" i="84"/>
  <c r="AB333" i="84"/>
  <c r="BA333" i="84" s="1"/>
  <c r="AI806" i="84"/>
  <c r="AG806" i="84"/>
  <c r="AI612" i="84"/>
  <c r="AG612" i="84"/>
  <c r="AG461" i="84"/>
  <c r="AI461" i="84"/>
  <c r="AE323" i="84"/>
  <c r="AB700" i="84"/>
  <c r="BA700" i="84" s="1"/>
  <c r="AE692" i="84"/>
  <c r="AC689" i="84"/>
  <c r="AI17" i="84"/>
  <c r="AG17" i="84"/>
  <c r="AI647" i="84"/>
  <c r="AG647" i="84"/>
  <c r="AC259" i="84"/>
  <c r="AB105" i="84"/>
  <c r="BA105" i="84" s="1"/>
  <c r="AE961" i="84"/>
  <c r="AB789" i="84"/>
  <c r="BA789" i="84" s="1"/>
  <c r="AI145" i="84"/>
  <c r="AG145" i="84"/>
  <c r="AI939" i="84"/>
  <c r="AG939" i="84"/>
  <c r="AE188" i="84"/>
  <c r="AE907" i="84"/>
  <c r="AB429" i="84"/>
  <c r="BA429" i="84" s="1"/>
  <c r="AB22" i="84"/>
  <c r="BA22" i="84" s="1"/>
  <c r="AB362" i="84"/>
  <c r="BA362" i="84" s="1"/>
  <c r="AE628" i="84"/>
  <c r="AB562" i="84"/>
  <c r="BA562" i="84" s="1"/>
  <c r="AE748" i="84"/>
  <c r="AI382" i="84"/>
  <c r="AG382" i="84"/>
  <c r="AC429" i="84"/>
  <c r="AB669" i="84"/>
  <c r="BA669" i="84" s="1"/>
  <c r="AE358" i="84"/>
  <c r="AB52" i="84"/>
  <c r="BA52" i="84" s="1"/>
  <c r="AE818" i="84"/>
  <c r="AB958" i="84"/>
  <c r="BA958" i="84" s="1"/>
  <c r="AI468" i="84"/>
  <c r="AG468" i="84"/>
  <c r="AE432" i="84"/>
  <c r="AI232" i="84"/>
  <c r="AG232" i="84"/>
  <c r="AI953" i="84"/>
  <c r="AG953" i="84"/>
  <c r="AG557" i="84"/>
  <c r="AI557" i="84"/>
  <c r="AG544" i="84"/>
  <c r="AI544" i="84"/>
  <c r="AI641" i="84"/>
  <c r="AG641" i="84"/>
  <c r="AB843" i="84"/>
  <c r="BA843" i="84" s="1"/>
  <c r="AB804" i="84"/>
  <c r="BA804" i="84" s="1"/>
  <c r="AB276" i="84"/>
  <c r="BA276" i="84" s="1"/>
  <c r="AE431" i="84"/>
  <c r="AB170" i="84"/>
  <c r="BA170" i="84" s="1"/>
  <c r="AG249" i="84"/>
  <c r="AI249" i="84"/>
  <c r="AI72" i="84"/>
  <c r="AG72" i="84"/>
  <c r="AB640" i="84"/>
  <c r="BA640" i="84" s="1"/>
  <c r="AG195" i="84"/>
  <c r="AI195" i="84"/>
  <c r="AB218" i="84"/>
  <c r="BA218" i="84" s="1"/>
  <c r="AE61" i="84"/>
  <c r="AG478" i="84"/>
  <c r="AI478" i="84"/>
  <c r="AG201" i="84"/>
  <c r="AI201" i="84"/>
  <c r="AC953" i="84"/>
  <c r="AI165" i="84"/>
  <c r="AG165" i="84"/>
  <c r="AE852" i="84"/>
  <c r="AE326" i="84"/>
  <c r="AB626" i="84"/>
  <c r="BA626" i="84" s="1"/>
  <c r="AB190" i="84"/>
  <c r="BA190" i="84" s="1"/>
  <c r="AB106" i="84"/>
  <c r="BA106" i="84" s="1"/>
  <c r="AE772" i="84"/>
  <c r="AI506" i="84"/>
  <c r="AG506" i="84"/>
  <c r="AE933" i="84"/>
  <c r="AE509" i="84"/>
  <c r="AE83" i="84"/>
  <c r="AG124" i="84"/>
  <c r="AI124" i="84"/>
  <c r="BP26" i="82"/>
  <c r="AB577" i="84"/>
  <c r="BA577" i="84" s="1"/>
  <c r="AB396" i="84"/>
  <c r="BA396" i="84" s="1"/>
  <c r="AG38" i="84"/>
  <c r="AI38" i="84"/>
  <c r="AG533" i="84"/>
  <c r="AI533" i="84"/>
  <c r="AE361" i="84"/>
  <c r="AE434" i="84"/>
  <c r="AG631" i="84"/>
  <c r="AI631" i="84"/>
  <c r="AB346" i="84"/>
  <c r="BA346" i="84" s="1"/>
  <c r="AB172" i="84"/>
  <c r="BA172" i="84" s="1"/>
  <c r="AE114" i="84"/>
  <c r="AE944" i="84"/>
  <c r="AE307" i="84"/>
  <c r="AE170" i="84"/>
  <c r="AB726" i="84"/>
  <c r="BA726" i="84" s="1"/>
  <c r="AB420" i="84"/>
  <c r="BA420" i="84" s="1"/>
  <c r="AB708" i="84"/>
  <c r="BA708" i="84" s="1"/>
  <c r="AI489" i="84"/>
  <c r="AG489" i="84"/>
  <c r="AE173" i="84"/>
  <c r="AB717" i="84"/>
  <c r="BA717" i="84" s="1"/>
  <c r="AG546" i="84"/>
  <c r="AI546" i="84"/>
  <c r="AE286" i="84"/>
  <c r="AB475" i="84"/>
  <c r="BA475" i="84" s="1"/>
  <c r="AI215" i="84"/>
  <c r="AG215" i="84"/>
  <c r="AE354" i="84"/>
  <c r="AE478" i="84"/>
  <c r="AB745" i="84"/>
  <c r="BA745" i="84" s="1"/>
  <c r="AB932" i="84"/>
  <c r="BA932" i="84" s="1"/>
  <c r="AG528" i="84"/>
  <c r="AI528" i="84"/>
  <c r="AE39" i="84"/>
  <c r="AG629" i="84"/>
  <c r="AI629" i="84"/>
  <c r="AE502" i="84"/>
  <c r="AG955" i="84"/>
  <c r="AI955" i="84"/>
  <c r="AB508" i="84"/>
  <c r="BA508" i="84" s="1"/>
  <c r="AE9" i="84"/>
  <c r="AE298" i="84"/>
  <c r="AI741" i="84"/>
  <c r="AG741" i="84"/>
  <c r="AE479" i="84"/>
  <c r="AE428" i="84"/>
  <c r="AI682" i="84"/>
  <c r="AG682" i="84"/>
  <c r="AI864" i="84"/>
  <c r="AG864" i="84"/>
  <c r="AE306" i="84"/>
  <c r="AG119" i="84"/>
  <c r="AI119" i="84"/>
  <c r="AI572" i="84"/>
  <c r="AG572" i="84"/>
  <c r="AB788" i="84"/>
  <c r="BA788" i="84" s="1"/>
  <c r="AB369" i="84"/>
  <c r="BA369" i="84" s="1"/>
  <c r="AE235" i="84"/>
  <c r="AB258" i="84"/>
  <c r="BA258" i="84" s="1"/>
  <c r="AG700" i="84"/>
  <c r="AI700" i="84"/>
  <c r="AB25" i="84"/>
  <c r="BA25" i="84" s="1"/>
  <c r="AE761" i="84"/>
  <c r="AG379" i="84"/>
  <c r="AI379" i="84"/>
  <c r="AG135" i="84"/>
  <c r="AI135" i="84"/>
  <c r="AB622" i="84"/>
  <c r="BA622" i="84" s="1"/>
  <c r="AB582" i="84"/>
  <c r="BA582" i="84" s="1"/>
  <c r="AB321" i="84"/>
  <c r="BA321" i="84" s="1"/>
  <c r="AB327" i="84"/>
  <c r="BA327" i="84" s="1"/>
  <c r="AI844" i="84"/>
  <c r="AG844" i="84"/>
  <c r="AG71" i="84"/>
  <c r="AI71" i="84"/>
  <c r="AI44" i="84"/>
  <c r="AG44" i="84"/>
  <c r="AB427" i="84"/>
  <c r="BA427" i="84" s="1"/>
  <c r="AE115" i="84"/>
  <c r="AG264" i="84"/>
  <c r="AI264" i="84"/>
  <c r="AE621" i="84"/>
  <c r="AB473" i="84"/>
  <c r="BA473" i="84" s="1"/>
  <c r="AG766" i="84"/>
  <c r="AI766" i="84"/>
  <c r="AG621" i="84"/>
  <c r="AI621" i="84"/>
  <c r="AI199" i="84"/>
  <c r="AG199" i="84"/>
  <c r="AG229" i="84"/>
  <c r="AI229" i="84"/>
  <c r="AB499" i="84"/>
  <c r="BA499" i="84" s="1"/>
  <c r="AG921" i="84"/>
  <c r="AI921" i="84"/>
  <c r="AB393" i="84"/>
  <c r="BA393" i="84" s="1"/>
  <c r="AB580" i="84"/>
  <c r="BA580" i="84" s="1"/>
  <c r="AB954" i="84"/>
  <c r="BA954" i="84" s="1"/>
  <c r="AB204" i="84"/>
  <c r="BA204" i="84" s="1"/>
  <c r="AG654" i="84"/>
  <c r="AI654" i="84"/>
  <c r="AB432" i="84"/>
  <c r="BA432" i="84" s="1"/>
  <c r="AB248" i="84"/>
  <c r="BA248" i="84" s="1"/>
  <c r="AE241" i="84"/>
  <c r="AI323" i="84"/>
  <c r="AG323" i="84"/>
  <c r="AE934" i="84"/>
  <c r="AB296" i="84"/>
  <c r="BA296" i="84" s="1"/>
  <c r="AE558" i="84"/>
  <c r="AB754" i="84"/>
  <c r="BA754" i="84" s="1"/>
  <c r="AE449" i="84"/>
  <c r="AG627" i="84"/>
  <c r="AI627" i="84"/>
  <c r="AG441" i="84"/>
  <c r="AI441" i="84"/>
  <c r="AE741" i="84"/>
  <c r="AI885" i="84"/>
  <c r="AG885" i="84"/>
  <c r="AI260" i="84"/>
  <c r="AG260" i="84"/>
  <c r="AG732" i="84"/>
  <c r="AI732" i="84"/>
  <c r="AE70" i="84"/>
  <c r="AE964" i="84"/>
  <c r="AE341" i="84"/>
  <c r="AG31" i="84"/>
  <c r="AI31" i="84"/>
  <c r="AG850" i="84"/>
  <c r="AI850" i="84"/>
  <c r="AE387" i="84"/>
  <c r="AB352" i="84"/>
  <c r="BA352" i="84" s="1"/>
  <c r="AB450" i="84"/>
  <c r="BA450" i="84" s="1"/>
  <c r="AE678" i="84"/>
  <c r="AE133" i="84"/>
  <c r="AI897" i="84"/>
  <c r="AG897" i="84"/>
  <c r="AG526" i="84"/>
  <c r="AI526" i="84"/>
  <c r="AE50" i="84"/>
  <c r="AG801" i="84"/>
  <c r="AI801" i="84"/>
  <c r="AE932" i="84"/>
  <c r="AB801" i="84"/>
  <c r="BA801" i="84" s="1"/>
  <c r="AB412" i="84"/>
  <c r="BA412" i="84" s="1"/>
  <c r="AI624" i="84"/>
  <c r="AG624" i="84"/>
  <c r="AE774" i="84"/>
  <c r="BP14" i="82"/>
  <c r="AG733" i="84"/>
  <c r="AI733" i="84"/>
  <c r="AB301" i="84"/>
  <c r="BA301" i="84" s="1"/>
  <c r="AE901" i="84"/>
  <c r="AB864" i="84"/>
  <c r="BA864" i="84" s="1"/>
  <c r="AI107" i="84"/>
  <c r="AG107" i="84"/>
  <c r="AB147" i="84"/>
  <c r="BA147" i="84" s="1"/>
  <c r="AG820" i="84"/>
  <c r="AI820" i="84"/>
  <c r="AE463" i="84"/>
  <c r="AE291" i="84"/>
  <c r="BP12" i="82"/>
  <c r="AE542" i="84"/>
  <c r="AI549" i="84"/>
  <c r="AG549" i="84"/>
  <c r="AI22" i="84"/>
  <c r="AG22" i="84"/>
  <c r="AE243" i="84"/>
  <c r="AB912" i="84"/>
  <c r="BA912" i="84" s="1"/>
  <c r="AI467" i="84"/>
  <c r="AG467" i="84"/>
  <c r="AE919" i="84"/>
  <c r="AB68" i="84"/>
  <c r="BA68" i="84" s="1"/>
  <c r="AB91" i="84"/>
  <c r="BA91" i="84" s="1"/>
  <c r="AB341" i="84"/>
  <c r="BA341" i="84" s="1"/>
  <c r="AE537" i="84"/>
  <c r="AE11" i="84"/>
  <c r="AI740" i="84"/>
  <c r="AG740" i="84"/>
  <c r="AE388" i="84"/>
  <c r="AG244" i="84"/>
  <c r="AI244" i="84"/>
  <c r="AE686" i="84"/>
  <c r="AI703" i="84"/>
  <c r="AG703" i="84"/>
  <c r="AB20" i="84"/>
  <c r="BA20" i="84" s="1"/>
  <c r="AG513" i="84"/>
  <c r="AI513" i="84"/>
  <c r="AG205" i="84"/>
  <c r="AI205" i="84"/>
  <c r="AG810" i="84"/>
  <c r="AI810" i="84"/>
  <c r="AI662" i="84"/>
  <c r="AG662" i="84"/>
  <c r="AG466" i="84"/>
  <c r="AI466" i="84"/>
  <c r="AG626" i="84"/>
  <c r="AI626" i="84"/>
  <c r="AI817" i="84"/>
  <c r="AG817" i="84"/>
  <c r="AE405" i="84"/>
  <c r="AI488" i="84"/>
  <c r="AG488" i="84"/>
  <c r="AI691" i="84"/>
  <c r="AG691" i="84"/>
  <c r="AE913" i="84"/>
  <c r="AE583" i="84"/>
  <c r="AG667" i="84"/>
  <c r="AI667" i="84"/>
  <c r="AC20" i="84"/>
  <c r="AG217" i="84"/>
  <c r="AI217" i="84"/>
  <c r="AE227" i="84"/>
  <c r="AG202" i="84"/>
  <c r="AI202" i="84"/>
  <c r="AG609" i="84"/>
  <c r="AI609" i="84"/>
  <c r="AG508" i="84"/>
  <c r="AI508" i="84"/>
  <c r="AI583" i="84"/>
  <c r="AG583" i="84"/>
  <c r="AE811" i="84"/>
  <c r="AE619" i="84"/>
  <c r="AG252" i="84"/>
  <c r="AI252" i="84"/>
  <c r="AE324" i="84"/>
  <c r="AE325" i="84"/>
  <c r="AB139" i="84"/>
  <c r="BA139" i="84" s="1"/>
  <c r="AB914" i="84"/>
  <c r="BA914" i="84" s="1"/>
  <c r="AE171" i="84"/>
  <c r="AE366" i="84"/>
  <c r="AE469" i="84"/>
  <c r="AE816" i="84"/>
  <c r="AG705" i="84"/>
  <c r="AI705" i="84"/>
  <c r="AI610" i="84"/>
  <c r="AG610" i="84"/>
  <c r="AG898" i="84"/>
  <c r="AI898" i="84"/>
  <c r="AI914" i="84"/>
  <c r="AG914" i="84"/>
  <c r="AG501" i="84"/>
  <c r="AI501" i="84"/>
  <c r="AE280" i="84"/>
  <c r="AI590" i="84"/>
  <c r="AG590" i="84"/>
  <c r="AG79" i="84"/>
  <c r="AI79" i="84"/>
  <c r="AB312" i="84"/>
  <c r="BA312" i="84" s="1"/>
  <c r="AB805" i="84"/>
  <c r="BA805" i="84" s="1"/>
  <c r="AB703" i="84"/>
  <c r="BA703" i="84" s="1"/>
  <c r="AG928" i="84"/>
  <c r="AI928" i="84"/>
  <c r="AI834" i="84"/>
  <c r="AG834" i="84"/>
  <c r="AB401" i="84"/>
  <c r="BA401" i="84" s="1"/>
  <c r="AI474" i="84"/>
  <c r="AG474" i="84"/>
  <c r="AB288" i="84"/>
  <c r="BA288" i="84" s="1"/>
  <c r="AG423" i="84"/>
  <c r="AI423" i="84"/>
  <c r="AE496" i="84"/>
  <c r="AG368" i="84"/>
  <c r="AI368" i="84"/>
  <c r="AE797" i="84"/>
  <c r="AB313" i="84"/>
  <c r="BA313" i="84" s="1"/>
  <c r="AE680" i="84"/>
  <c r="AB617" i="84"/>
  <c r="BA617" i="84" s="1"/>
  <c r="AE773" i="84"/>
  <c r="AI882" i="84"/>
  <c r="AG882" i="84"/>
  <c r="AB502" i="84"/>
  <c r="BA502" i="84" s="1"/>
  <c r="AE557" i="84"/>
  <c r="AB104" i="84"/>
  <c r="BA104" i="84" s="1"/>
  <c r="AE320" i="84"/>
  <c r="AG8" i="84"/>
  <c r="AI8" i="84"/>
  <c r="BP34" i="82"/>
  <c r="AG555" i="84"/>
  <c r="AI555" i="84"/>
  <c r="AE284" i="84"/>
  <c r="AB386" i="84"/>
  <c r="BA386" i="84" s="1"/>
  <c r="AI7" i="84"/>
  <c r="AG7" i="84"/>
  <c r="AI128" i="84"/>
  <c r="AG128" i="84"/>
  <c r="AE763" i="84"/>
  <c r="AG396" i="84"/>
  <c r="AI396" i="84"/>
  <c r="AI493" i="84"/>
  <c r="AG493" i="84"/>
  <c r="AI187" i="84"/>
  <c r="AG187" i="84"/>
  <c r="AB345" i="84"/>
  <c r="BA345" i="84" s="1"/>
  <c r="AI800" i="84"/>
  <c r="AG800" i="84"/>
  <c r="AE351" i="84"/>
  <c r="AG293" i="84"/>
  <c r="AI293" i="84"/>
  <c r="AE49" i="84"/>
  <c r="AI398" i="84"/>
  <c r="AG398" i="84"/>
  <c r="AG452" i="84"/>
  <c r="AI452" i="84"/>
  <c r="AG832" i="84"/>
  <c r="AI832" i="84"/>
  <c r="AG567" i="84"/>
  <c r="AI567" i="84"/>
  <c r="AG674" i="84"/>
  <c r="AI674" i="84"/>
  <c r="AE122" i="84"/>
  <c r="AE550" i="84"/>
  <c r="AI783" i="84"/>
  <c r="AG783" i="84"/>
  <c r="AE378" i="84"/>
  <c r="AI57" i="84"/>
  <c r="AG57" i="84"/>
  <c r="AI728" i="84"/>
  <c r="AG728" i="84"/>
  <c r="AB893" i="84"/>
  <c r="BA893" i="84" s="1"/>
  <c r="AG847" i="84"/>
  <c r="AI847" i="84"/>
  <c r="AG297" i="84"/>
  <c r="AI297" i="84"/>
  <c r="AG825" i="84"/>
  <c r="AI825" i="84"/>
  <c r="AI105" i="84"/>
  <c r="AG105" i="84"/>
  <c r="AE626" i="84"/>
  <c r="AE499" i="84"/>
  <c r="AE911" i="84"/>
  <c r="AB426" i="84"/>
  <c r="BA426" i="84" s="1"/>
  <c r="AE213" i="84"/>
  <c r="AE12" i="84"/>
  <c r="AI952" i="84"/>
  <c r="AG952" i="84"/>
  <c r="AI608" i="84"/>
  <c r="AG608" i="84"/>
  <c r="AG240" i="84"/>
  <c r="AI240" i="84"/>
  <c r="AE427" i="84"/>
  <c r="AI153" i="84"/>
  <c r="AG153" i="84"/>
  <c r="AE522" i="84"/>
  <c r="AB647" i="84"/>
  <c r="BA647" i="84" s="1"/>
  <c r="AE659" i="84"/>
  <c r="AE18" i="84"/>
  <c r="AB672" i="84"/>
  <c r="BA672" i="84" s="1"/>
  <c r="AG222" i="84"/>
  <c r="AI222" i="84"/>
  <c r="AG104" i="84"/>
  <c r="AI104" i="84"/>
  <c r="AE714" i="84"/>
  <c r="AB773" i="84"/>
  <c r="BA773" i="84" s="1"/>
  <c r="AE445" i="84"/>
  <c r="AI280" i="84"/>
  <c r="AG280" i="84"/>
  <c r="AE744" i="84"/>
  <c r="AI390" i="84"/>
  <c r="AG390" i="84"/>
  <c r="AB966" i="84"/>
  <c r="BA966" i="84" s="1"/>
  <c r="AG739" i="84"/>
  <c r="AI739" i="84"/>
  <c r="AI798" i="84"/>
  <c r="AG798" i="84"/>
  <c r="AB417" i="84"/>
  <c r="BA417" i="84" s="1"/>
  <c r="BP27" i="82"/>
  <c r="AI711" i="84"/>
  <c r="AG711" i="84"/>
  <c r="AE643" i="84"/>
  <c r="AE399" i="84"/>
  <c r="AB479" i="84"/>
  <c r="BA479" i="84" s="1"/>
  <c r="AB484" i="84"/>
  <c r="BA484" i="84" s="1"/>
  <c r="AI319" i="84"/>
  <c r="AG319" i="84"/>
  <c r="AI925" i="84"/>
  <c r="AG925" i="84"/>
  <c r="AB653" i="84"/>
  <c r="BA653" i="84" s="1"/>
  <c r="AG181" i="84"/>
  <c r="AI181" i="84"/>
  <c r="AB71" i="84"/>
  <c r="BA71" i="84" s="1"/>
  <c r="AE633" i="84"/>
  <c r="AI707" i="84"/>
  <c r="AG707" i="84"/>
  <c r="AE874" i="84"/>
  <c r="AB183" i="84"/>
  <c r="BA183" i="84" s="1"/>
  <c r="AG243" i="84"/>
  <c r="AI243" i="84"/>
  <c r="AG911" i="84"/>
  <c r="AI911" i="84"/>
  <c r="AE466" i="84"/>
  <c r="AE186" i="84"/>
  <c r="AB48" i="84"/>
  <c r="BA48" i="84" s="1"/>
  <c r="AG212" i="84"/>
  <c r="AI212" i="84"/>
  <c r="AI695" i="84"/>
  <c r="AG695" i="84"/>
  <c r="AG193" i="84"/>
  <c r="AI193" i="84"/>
  <c r="AG150" i="84"/>
  <c r="AI150" i="84"/>
  <c r="AE577" i="84"/>
  <c r="AI30" i="84"/>
  <c r="AG30" i="84"/>
  <c r="AI265" i="84"/>
  <c r="AG265" i="84"/>
  <c r="AG527" i="84"/>
  <c r="AI527" i="84"/>
  <c r="AG282" i="84"/>
  <c r="AI282" i="84"/>
  <c r="AB557" i="84"/>
  <c r="BA557" i="84" s="1"/>
  <c r="AG257" i="84"/>
  <c r="AI257" i="84"/>
  <c r="AE549" i="84"/>
  <c r="AG606" i="84"/>
  <c r="AI606" i="84"/>
  <c r="AE746" i="84"/>
  <c r="AE43" i="84"/>
  <c r="AG417" i="84"/>
  <c r="AI417" i="84"/>
  <c r="AE649" i="84"/>
  <c r="AG848" i="84"/>
  <c r="AI848" i="84"/>
  <c r="AG718" i="84"/>
  <c r="AI718" i="84"/>
  <c r="AI400" i="84"/>
  <c r="AG400" i="84"/>
  <c r="AE648" i="84"/>
  <c r="AG39" i="84"/>
  <c r="AI39" i="84"/>
  <c r="AE444" i="84"/>
  <c r="AE614" i="84"/>
  <c r="AE966" i="84"/>
  <c r="AE128" i="84"/>
  <c r="AG65" i="84"/>
  <c r="AI65" i="84"/>
  <c r="AB185" i="84"/>
  <c r="BA185" i="84" s="1"/>
  <c r="AI77" i="84"/>
  <c r="AG77" i="84"/>
  <c r="AE196" i="84"/>
  <c r="AG177" i="84"/>
  <c r="AI177" i="84"/>
  <c r="AB781" i="84"/>
  <c r="BA781" i="84" s="1"/>
  <c r="AB555" i="84"/>
  <c r="BA555" i="84" s="1"/>
  <c r="AG591" i="84"/>
  <c r="AI591" i="84"/>
  <c r="AB961" i="84"/>
  <c r="BA961" i="84" s="1"/>
  <c r="AE877" i="84"/>
  <c r="AI198" i="84"/>
  <c r="AG198" i="84"/>
  <c r="AE411" i="84"/>
  <c r="BP36" i="82"/>
  <c r="AG59" i="84"/>
  <c r="AI59" i="84"/>
  <c r="AB350" i="84"/>
  <c r="BA350" i="84" s="1"/>
  <c r="AG597" i="84"/>
  <c r="AI597" i="84"/>
  <c r="AE836" i="84"/>
  <c r="AB152" i="84"/>
  <c r="BA152" i="84" s="1"/>
  <c r="AG366" i="84"/>
  <c r="AI366" i="84"/>
  <c r="AE817" i="84"/>
  <c r="AB723" i="84"/>
  <c r="BA723" i="84" s="1"/>
  <c r="AB201" i="84"/>
  <c r="BA201" i="84" s="1"/>
  <c r="AB694" i="84"/>
  <c r="BA694" i="84" s="1"/>
  <c r="AI771" i="84"/>
  <c r="AG771" i="84"/>
  <c r="AE312" i="84"/>
  <c r="AG696" i="84"/>
  <c r="AI696" i="84"/>
  <c r="AI311" i="84"/>
  <c r="AG311" i="84"/>
  <c r="AB624" i="84"/>
  <c r="BA624" i="84" s="1"/>
  <c r="AI246" i="84"/>
  <c r="AG246" i="84"/>
  <c r="AB306" i="84"/>
  <c r="BA306" i="84" s="1"/>
  <c r="AI343" i="84"/>
  <c r="AG343" i="84"/>
  <c r="AB547" i="84"/>
  <c r="BA547" i="84" s="1"/>
  <c r="AE46" i="84"/>
  <c r="AG171" i="84"/>
  <c r="AI171" i="84"/>
  <c r="AB50" i="84"/>
  <c r="BA50" i="84" s="1"/>
  <c r="AG531" i="84"/>
  <c r="AI531" i="84"/>
  <c r="AG503" i="84"/>
  <c r="AI503" i="84"/>
  <c r="AI45" i="84"/>
  <c r="AG45" i="84"/>
  <c r="AI871" i="84"/>
  <c r="AG871" i="84"/>
  <c r="AE367" i="84"/>
  <c r="AG689" i="84"/>
  <c r="AI689" i="84"/>
  <c r="AE842" i="84"/>
  <c r="AE156" i="84"/>
  <c r="AG127" i="84"/>
  <c r="AI127" i="84"/>
  <c r="AE172" i="84"/>
  <c r="AG569" i="84"/>
  <c r="AI569" i="84"/>
  <c r="AE625" i="84"/>
  <c r="AB202" i="84"/>
  <c r="BA202" i="84" s="1"/>
  <c r="AE398" i="84"/>
  <c r="AG857" i="84"/>
  <c r="AI857" i="84"/>
  <c r="AE572" i="84"/>
  <c r="AG586" i="84"/>
  <c r="AI586" i="84"/>
  <c r="AE304" i="84"/>
  <c r="AI406" i="84"/>
  <c r="AG406" i="84"/>
  <c r="AI680" i="84"/>
  <c r="AG680" i="84"/>
  <c r="AB832" i="84"/>
  <c r="BA832" i="84" s="1"/>
  <c r="AE702" i="84"/>
  <c r="AB838" i="84"/>
  <c r="BA838" i="84" s="1"/>
  <c r="AI43" i="84"/>
  <c r="AG43" i="84"/>
  <c r="AI210" i="84"/>
  <c r="AG210" i="84"/>
  <c r="AI724" i="84"/>
  <c r="AG724" i="84"/>
  <c r="AE60" i="84"/>
  <c r="AI518" i="84"/>
  <c r="AG518" i="84"/>
  <c r="AG859" i="84"/>
  <c r="AI859" i="84"/>
  <c r="AG270" i="84"/>
  <c r="AI270" i="84"/>
  <c r="AB294" i="84"/>
  <c r="BA294" i="84" s="1"/>
  <c r="AG594" i="84"/>
  <c r="AI594" i="84"/>
  <c r="AG737" i="84"/>
  <c r="AI737" i="84"/>
  <c r="AE88" i="84"/>
  <c r="AG34" i="84"/>
  <c r="AI34" i="84"/>
  <c r="AE838" i="84"/>
  <c r="AI35" i="84"/>
  <c r="AG35" i="84"/>
  <c r="AI149" i="84"/>
  <c r="AG149" i="84"/>
  <c r="AB128" i="84"/>
  <c r="BA128" i="84" s="1"/>
  <c r="AB434" i="84"/>
  <c r="BA434" i="84" s="1"/>
  <c r="AI894" i="84"/>
  <c r="AG894" i="84"/>
  <c r="AE873" i="84"/>
  <c r="AB46" i="84"/>
  <c r="BA46" i="84" s="1"/>
  <c r="AB307" i="84"/>
  <c r="BA307" i="84" s="1"/>
  <c r="AB251" i="84"/>
  <c r="BA251" i="84" s="1"/>
  <c r="AG313" i="84"/>
  <c r="AI313" i="84"/>
  <c r="AB542" i="84"/>
  <c r="BA542" i="84" s="1"/>
  <c r="AI266" i="84"/>
  <c r="AG266" i="84"/>
  <c r="AE500" i="84"/>
  <c r="AE318" i="84"/>
  <c r="AE163" i="84"/>
  <c r="AI37" i="84"/>
  <c r="AG37" i="84"/>
  <c r="AG359" i="84"/>
  <c r="AI359" i="84"/>
  <c r="AB358" i="84"/>
  <c r="BA358" i="84" s="1"/>
  <c r="AG67" i="84"/>
  <c r="AI67" i="84"/>
  <c r="AG404" i="84"/>
  <c r="AI404" i="84"/>
  <c r="BP44" i="82"/>
  <c r="AI963" i="84"/>
  <c r="AG963" i="84"/>
  <c r="AB210" i="84"/>
  <c r="BA210" i="84" s="1"/>
  <c r="AE563" i="84"/>
  <c r="AE190" i="84"/>
  <c r="AB86" i="84"/>
  <c r="BA86" i="84" s="1"/>
  <c r="AE611" i="84"/>
  <c r="AB576" i="84"/>
  <c r="BA576" i="84" s="1"/>
  <c r="AE337" i="84"/>
  <c r="AB678" i="84"/>
  <c r="BA678" i="84" s="1"/>
  <c r="AB213" i="84"/>
  <c r="BA213" i="84" s="1"/>
  <c r="AG325" i="84"/>
  <c r="AI325" i="84"/>
  <c r="AG797" i="84"/>
  <c r="AI797" i="84"/>
  <c r="AI571" i="84"/>
  <c r="AG571" i="84"/>
  <c r="AE936" i="84"/>
  <c r="AG719" i="84"/>
  <c r="AI719" i="84"/>
  <c r="AI36" i="84"/>
  <c r="AG36" i="84"/>
  <c r="AE193" i="84"/>
  <c r="AG299" i="84"/>
  <c r="AI299" i="84"/>
  <c r="AE519" i="84"/>
  <c r="AE707" i="84"/>
  <c r="AB691" i="84"/>
  <c r="BA691" i="84" s="1"/>
  <c r="AB127" i="84"/>
  <c r="BA127" i="84" s="1"/>
  <c r="AE742" i="84"/>
  <c r="AB821" i="84"/>
  <c r="BA821" i="84" s="1"/>
  <c r="AG494" i="84"/>
  <c r="AI494" i="84"/>
  <c r="AB56" i="84"/>
  <c r="BA56" i="84" s="1"/>
  <c r="AI574" i="84"/>
  <c r="AG574" i="84"/>
  <c r="AE10" i="84"/>
  <c r="AB632" i="84"/>
  <c r="BA632" i="84" s="1"/>
  <c r="AB26" i="84"/>
  <c r="BA26" i="84" s="1"/>
  <c r="AE356" i="84"/>
  <c r="AI349" i="84"/>
  <c r="AG349" i="84"/>
  <c r="AE723" i="84"/>
  <c r="AG157" i="84"/>
  <c r="AI157" i="84"/>
  <c r="AI697" i="84"/>
  <c r="AG697" i="84"/>
  <c r="AI778" i="84"/>
  <c r="AG778" i="84"/>
  <c r="AE242" i="84"/>
  <c r="AE150" i="84"/>
  <c r="AG855" i="84"/>
  <c r="AI855" i="84"/>
  <c r="AI656" i="84"/>
  <c r="AG656" i="84"/>
  <c r="AE382" i="84"/>
  <c r="AE906" i="84"/>
  <c r="AB608" i="84"/>
  <c r="BA608" i="84" s="1"/>
  <c r="AE416" i="84"/>
  <c r="AI303" i="84"/>
  <c r="AG303" i="84"/>
  <c r="AI769" i="84"/>
  <c r="AG769" i="84"/>
  <c r="AB9" i="84"/>
  <c r="BA9" i="84" s="1"/>
  <c r="AE736" i="84"/>
  <c r="AB596" i="84"/>
  <c r="BA596" i="84" s="1"/>
  <c r="AE946" i="84"/>
  <c r="AE493" i="84"/>
  <c r="AE58" i="84"/>
  <c r="AG556" i="84"/>
  <c r="AI556" i="84"/>
  <c r="AG708" i="84"/>
  <c r="AI708" i="84"/>
  <c r="AB395" i="84"/>
  <c r="BA395" i="84" s="1"/>
  <c r="AE606" i="84"/>
  <c r="AG261" i="84"/>
  <c r="AI261" i="84"/>
  <c r="AG116" i="84"/>
  <c r="AI116" i="84"/>
  <c r="AI730" i="84"/>
  <c r="AG730" i="84"/>
  <c r="AG372" i="84"/>
  <c r="AI372" i="84"/>
  <c r="AB21" i="84"/>
  <c r="BA21" i="84" s="1"/>
  <c r="AE620" i="84"/>
  <c r="AG803" i="84"/>
  <c r="AI803" i="84"/>
  <c r="AE403" i="84"/>
  <c r="AI158" i="84"/>
  <c r="AG158" i="84"/>
  <c r="AE132" i="84"/>
  <c r="AE75" i="84"/>
  <c r="AE264" i="84"/>
  <c r="AG910" i="84"/>
  <c r="AI910" i="84"/>
  <c r="AE720" i="84"/>
  <c r="AB668" i="84"/>
  <c r="BA668" i="84" s="1"/>
  <c r="AE111" i="84"/>
  <c r="AI46" i="84"/>
  <c r="AG46" i="84"/>
  <c r="AB141" i="84"/>
  <c r="BA141" i="84" s="1"/>
  <c r="AG742" i="84"/>
  <c r="AI742" i="84"/>
  <c r="AI480" i="84"/>
  <c r="AG480" i="84"/>
  <c r="AB667" i="84"/>
  <c r="BA667" i="84" s="1"/>
  <c r="AI141" i="84"/>
  <c r="AG141" i="84"/>
  <c r="AI816" i="84"/>
  <c r="AG816" i="84"/>
  <c r="AE80" i="84"/>
  <c r="AI173" i="84"/>
  <c r="AG173" i="84"/>
  <c r="AE345" i="84"/>
  <c r="AI287" i="84"/>
  <c r="AG287" i="84"/>
  <c r="AG170" i="84"/>
  <c r="AI170" i="84"/>
  <c r="AB757" i="84"/>
  <c r="BA757" i="84" s="1"/>
  <c r="AB504" i="84"/>
  <c r="BA504" i="84" s="1"/>
  <c r="AB957" i="84"/>
  <c r="BA957" i="84" s="1"/>
  <c r="AB890" i="84"/>
  <c r="BA890" i="84" s="1"/>
  <c r="AG453" i="84"/>
  <c r="AI453" i="84"/>
  <c r="AE912" i="84"/>
  <c r="AE281" i="84"/>
  <c r="AB124" i="84"/>
  <c r="BA124" i="84" s="1"/>
  <c r="AB506" i="84"/>
  <c r="BA506" i="84" s="1"/>
  <c r="AE940" i="84"/>
  <c r="AI61" i="84"/>
  <c r="AG61" i="84"/>
  <c r="AI614" i="84"/>
  <c r="AG614" i="84"/>
  <c r="AB181" i="84"/>
  <c r="BA181" i="84" s="1"/>
  <c r="AG890" i="84"/>
  <c r="AI890" i="84"/>
  <c r="AB623" i="84"/>
  <c r="BA623" i="84" s="1"/>
  <c r="AI298" i="84"/>
  <c r="AG298" i="84"/>
  <c r="AE297" i="84"/>
  <c r="AI943" i="84"/>
  <c r="AG943" i="84"/>
  <c r="AG860" i="84"/>
  <c r="AI860" i="84"/>
  <c r="AE144" i="84"/>
  <c r="AB330" i="84"/>
  <c r="BA330" i="84" s="1"/>
  <c r="AI302" i="84"/>
  <c r="AG302" i="84"/>
  <c r="AE66" i="84"/>
  <c r="AG118" i="84"/>
  <c r="AI118" i="84"/>
  <c r="AE939" i="84"/>
  <c r="AE285" i="84"/>
  <c r="AE960" i="84"/>
  <c r="AE162" i="84"/>
  <c r="AE510" i="84"/>
  <c r="AG492" i="84"/>
  <c r="AI492" i="84"/>
  <c r="AB738" i="84"/>
  <c r="BA738" i="84" s="1"/>
  <c r="AE160" i="84"/>
  <c r="AE730" i="84"/>
  <c r="AG690" i="84"/>
  <c r="AI690" i="84"/>
  <c r="AG539" i="84"/>
  <c r="AI539" i="84"/>
  <c r="AI330" i="84"/>
  <c r="AG330" i="84"/>
  <c r="AE355" i="84"/>
  <c r="AI258" i="84"/>
  <c r="AG258" i="84"/>
  <c r="AE383" i="84"/>
  <c r="AB315" i="84"/>
  <c r="BA315" i="84" s="1"/>
  <c r="AE321" i="84"/>
  <c r="AI870" i="84"/>
  <c r="AG870" i="84"/>
  <c r="AB827" i="84"/>
  <c r="BA827" i="84" s="1"/>
  <c r="AE248" i="84"/>
  <c r="AB268" i="84"/>
  <c r="BA268" i="84" s="1"/>
  <c r="AE38" i="84"/>
  <c r="AB509" i="84"/>
  <c r="BA509" i="84" s="1"/>
  <c r="AI920" i="84"/>
  <c r="AG920" i="84"/>
  <c r="AB359" i="84"/>
  <c r="BA359" i="84" s="1"/>
  <c r="AB164" i="84"/>
  <c r="BA164" i="84" s="1"/>
  <c r="AB45" i="84"/>
  <c r="BA45" i="84" s="1"/>
  <c r="AG486" i="84"/>
  <c r="AI486" i="84"/>
  <c r="AI27" i="84"/>
  <c r="AG27" i="84"/>
  <c r="AB382" i="84"/>
  <c r="BA382" i="84" s="1"/>
  <c r="AI255" i="84"/>
  <c r="AG255" i="84"/>
  <c r="AG97" i="84"/>
  <c r="AI97" i="84"/>
  <c r="AE258" i="84"/>
  <c r="AE489" i="84"/>
  <c r="AE780" i="84"/>
  <c r="AI553" i="84"/>
  <c r="AG553" i="84"/>
  <c r="AB933" i="84"/>
  <c r="BA933" i="84" s="1"/>
  <c r="AB531" i="84"/>
  <c r="BA531" i="84" s="1"/>
  <c r="AG367" i="84"/>
  <c r="AI367" i="84"/>
  <c r="AE33" i="84"/>
  <c r="AE952" i="84"/>
  <c r="AB343" i="84"/>
  <c r="BA343" i="84" s="1"/>
  <c r="AE904" i="84"/>
  <c r="AB259" i="84"/>
  <c r="BA259" i="84" s="1"/>
  <c r="AE752" i="84"/>
  <c r="AB796" i="84"/>
  <c r="BA796" i="84" s="1"/>
  <c r="AE689" i="84"/>
  <c r="AB942" i="84"/>
  <c r="BA942" i="84" s="1"/>
  <c r="AE474" i="84"/>
  <c r="AG362" i="84"/>
  <c r="AI362" i="84"/>
  <c r="AE564" i="84"/>
  <c r="AI774" i="84"/>
  <c r="AG774" i="84"/>
  <c r="AG218" i="84"/>
  <c r="AI218" i="84"/>
  <c r="AE419" i="84"/>
  <c r="AB53" i="84"/>
  <c r="BA53" i="84" s="1"/>
  <c r="AG954" i="84"/>
  <c r="AI954" i="84"/>
  <c r="AE553" i="84"/>
  <c r="AI312" i="84"/>
  <c r="AG312" i="84"/>
  <c r="AG884" i="84"/>
  <c r="AI884" i="84"/>
  <c r="AB699" i="84"/>
  <c r="BA699" i="84" s="1"/>
  <c r="AE638" i="84"/>
  <c r="AE924" i="84"/>
  <c r="AE205" i="84"/>
  <c r="AG420" i="84"/>
  <c r="AI420" i="84"/>
  <c r="AE491" i="84"/>
  <c r="AI900" i="84"/>
  <c r="AG900" i="84"/>
  <c r="AB162" i="84"/>
  <c r="BA162" i="84" s="1"/>
  <c r="AE949" i="84"/>
  <c r="AB125" i="84"/>
  <c r="BA125" i="84" s="1"/>
  <c r="AB639" i="84"/>
  <c r="BA639" i="84" s="1"/>
  <c r="AG957" i="84"/>
  <c r="AI957" i="84"/>
  <c r="AG731" i="84"/>
  <c r="AI731" i="84"/>
  <c r="AE640" i="84"/>
  <c r="AB394" i="84"/>
  <c r="BA394" i="84" s="1"/>
  <c r="AI791" i="84"/>
  <c r="AG791" i="84"/>
  <c r="AE554" i="84"/>
  <c r="AB192" i="84"/>
  <c r="BA192" i="84" s="1"/>
  <c r="AE308" i="84"/>
  <c r="AE645" i="84"/>
  <c r="AG712" i="84"/>
  <c r="AI712" i="84"/>
  <c r="AI551" i="84"/>
  <c r="AG551" i="84"/>
  <c r="AG332" i="84"/>
  <c r="AI332" i="84"/>
  <c r="AG903" i="84"/>
  <c r="AI903" i="84"/>
  <c r="AG430" i="84"/>
  <c r="AI430" i="84"/>
  <c r="AG672" i="84"/>
  <c r="AI672" i="84"/>
  <c r="AI442" i="84"/>
  <c r="AG442" i="84"/>
  <c r="AB952" i="84"/>
  <c r="BA952" i="84" s="1"/>
  <c r="AI584" i="84"/>
  <c r="AG584" i="84"/>
  <c r="AE327" i="84"/>
  <c r="AI495" i="84"/>
  <c r="AG495" i="84"/>
  <c r="AE311" i="84"/>
  <c r="AE872" i="84"/>
  <c r="AE377" i="84"/>
  <c r="AE40" i="84"/>
  <c r="AB604" i="84"/>
  <c r="BA604" i="84" s="1"/>
  <c r="AE84" i="84"/>
  <c r="AB702" i="84"/>
  <c r="BA702" i="84" s="1"/>
  <c r="AI561" i="84"/>
  <c r="AG561" i="84"/>
  <c r="AI146" i="84"/>
  <c r="AG146" i="84"/>
  <c r="AB338" i="84"/>
  <c r="BA338" i="84" s="1"/>
  <c r="AB938" i="84"/>
  <c r="BA938" i="84" s="1"/>
  <c r="AE216" i="84"/>
  <c r="AG200" i="84"/>
  <c r="AI200" i="84"/>
  <c r="AG92" i="84"/>
  <c r="AI92" i="84"/>
  <c r="AI74" i="84"/>
  <c r="AG74" i="84"/>
  <c r="AG294" i="84"/>
  <c r="AI294" i="84"/>
  <c r="AB911" i="84"/>
  <c r="BA911" i="84" s="1"/>
  <c r="AE539" i="84"/>
  <c r="AB389" i="84"/>
  <c r="BA389" i="84" s="1"/>
  <c r="AG613" i="84"/>
  <c r="AI613" i="84"/>
  <c r="AE559" i="84"/>
  <c r="AB902" i="84"/>
  <c r="BA902" i="84" s="1"/>
  <c r="AI263" i="84"/>
  <c r="AG263" i="84"/>
  <c r="AI434" i="84"/>
  <c r="AG434" i="84"/>
  <c r="AG753" i="84"/>
  <c r="AI753" i="84"/>
  <c r="AB461" i="84"/>
  <c r="BA461" i="84" s="1"/>
  <c r="AG304" i="84"/>
  <c r="AI304" i="84"/>
  <c r="AB49" i="84"/>
  <c r="BA49" i="84" s="1"/>
  <c r="AB648" i="84"/>
  <c r="BA648" i="84" s="1"/>
  <c r="AB10" i="84"/>
  <c r="BA10" i="84" s="1"/>
  <c r="AG318" i="84"/>
  <c r="AI318" i="84"/>
  <c r="AE834" i="84"/>
  <c r="AE440" i="84"/>
  <c r="AE430" i="84"/>
  <c r="AB114" i="84"/>
  <c r="BA114" i="84" s="1"/>
  <c r="AB256" i="84"/>
  <c r="BA256" i="84" s="1"/>
  <c r="AE520" i="84"/>
  <c r="AE363" i="84"/>
  <c r="AG710" i="84"/>
  <c r="AI710" i="84"/>
  <c r="AB629" i="84"/>
  <c r="BA629" i="84" s="1"/>
  <c r="AG326" i="84"/>
  <c r="AI326" i="84"/>
  <c r="AG66" i="84"/>
  <c r="AI66" i="84"/>
  <c r="AB619" i="84"/>
  <c r="BA619" i="84" s="1"/>
  <c r="AG335" i="84"/>
  <c r="AI335" i="84"/>
  <c r="BP7" i="82"/>
  <c r="AE412" i="84"/>
  <c r="AG893" i="84"/>
  <c r="AI893" i="84"/>
  <c r="AE697" i="84"/>
  <c r="AE885" i="84"/>
  <c r="AG191" i="84"/>
  <c r="AI191" i="84"/>
  <c r="AB225" i="84"/>
  <c r="BA225" i="84" s="1"/>
  <c r="AB348" i="84"/>
  <c r="BA348" i="84" s="1"/>
  <c r="AE44" i="84"/>
  <c r="AB96" i="84"/>
  <c r="BA96" i="84" s="1"/>
  <c r="AE864" i="84"/>
  <c r="AI462" i="84"/>
  <c r="AG462" i="84"/>
  <c r="AE231" i="84"/>
  <c r="AI500" i="84"/>
  <c r="AG500" i="84"/>
  <c r="AB40" i="84"/>
  <c r="BA40" i="84" s="1"/>
  <c r="AB250" i="84"/>
  <c r="BA250" i="84" s="1"/>
  <c r="AI166" i="84"/>
  <c r="AG166" i="84"/>
  <c r="AB560" i="84"/>
  <c r="BA560" i="84" s="1"/>
  <c r="AB494" i="84"/>
  <c r="BA494" i="84" s="1"/>
  <c r="AB368" i="84"/>
  <c r="BA368" i="84" s="1"/>
  <c r="AE556" i="84"/>
  <c r="AB599" i="84"/>
  <c r="BA599" i="84" s="1"/>
  <c r="AB784" i="84"/>
  <c r="BA784" i="84" s="1"/>
  <c r="AE159" i="84"/>
  <c r="AI454" i="84"/>
  <c r="AG454" i="84"/>
  <c r="AE856" i="84"/>
  <c r="AB628" i="84"/>
  <c r="BA628" i="84" s="1"/>
  <c r="AE486" i="84"/>
  <c r="AG340" i="84"/>
  <c r="AI340" i="84"/>
  <c r="AE674" i="84"/>
  <c r="AE899" i="84"/>
  <c r="AE632" i="84"/>
  <c r="AB605" i="84"/>
  <c r="BA605" i="84" s="1"/>
  <c r="AB946" i="84"/>
  <c r="BA946" i="84" s="1"/>
  <c r="AE923" i="84"/>
  <c r="AI628" i="84"/>
  <c r="AG628" i="84"/>
  <c r="AB42" i="84"/>
  <c r="BA42" i="84" s="1"/>
  <c r="AB575" i="84"/>
  <c r="BA575" i="84" s="1"/>
  <c r="AB809" i="84"/>
  <c r="BA809" i="84" s="1"/>
  <c r="AI681" i="84"/>
  <c r="AG681" i="84"/>
  <c r="AI765" i="84"/>
  <c r="AG765" i="84"/>
  <c r="AI309" i="84"/>
  <c r="AG309" i="84"/>
  <c r="AB243" i="84"/>
  <c r="BA243" i="84" s="1"/>
  <c r="AE731" i="84"/>
  <c r="AE317" i="84"/>
  <c r="AE840" i="84"/>
  <c r="AG234" i="84"/>
  <c r="AI234" i="84"/>
  <c r="AG701" i="84"/>
  <c r="AI701" i="84"/>
  <c r="AG328" i="84"/>
  <c r="AI328" i="84"/>
  <c r="AE453" i="84"/>
  <c r="AE706" i="84"/>
  <c r="AG10" i="84"/>
  <c r="AI10" i="84"/>
  <c r="AE592" i="84"/>
  <c r="AI348" i="84"/>
  <c r="AG348" i="84"/>
  <c r="AB100" i="84"/>
  <c r="BA100" i="84" s="1"/>
  <c r="AE586" i="84"/>
  <c r="AB828" i="84"/>
  <c r="BA828" i="84" s="1"/>
  <c r="AB664" i="84"/>
  <c r="BA664" i="84" s="1"/>
  <c r="AG904" i="84"/>
  <c r="AI904" i="84"/>
  <c r="AI369" i="84"/>
  <c r="AG369" i="84"/>
  <c r="AE650" i="84"/>
  <c r="AG767" i="84"/>
  <c r="AI767" i="84"/>
  <c r="AB649" i="84"/>
  <c r="BA649" i="84" s="1"/>
  <c r="AE433" i="84"/>
  <c r="AE198" i="84"/>
  <c r="AI190" i="84"/>
  <c r="AG190" i="84"/>
  <c r="AI786" i="84"/>
  <c r="AG786" i="84"/>
  <c r="AB438" i="84"/>
  <c r="BA438" i="84" s="1"/>
  <c r="AG598" i="84"/>
  <c r="AI598" i="84"/>
  <c r="AE246" i="84"/>
  <c r="AG867" i="84"/>
  <c r="AI867" i="84"/>
  <c r="AB686" i="84"/>
  <c r="BA686" i="84" s="1"/>
  <c r="AI419" i="84"/>
  <c r="AG419" i="84"/>
  <c r="AE526" i="84"/>
  <c r="AI946" i="84"/>
  <c r="AG946" i="84"/>
  <c r="AE604" i="84"/>
  <c r="AG863" i="84"/>
  <c r="AI863" i="84"/>
  <c r="AE41" i="84"/>
  <c r="BP23" i="82"/>
  <c r="AB205" i="84"/>
  <c r="BA205" i="84" s="1"/>
  <c r="AB841" i="84"/>
  <c r="BA841" i="84" s="1"/>
  <c r="AE473" i="84"/>
  <c r="AE98" i="84"/>
  <c r="AB934" i="84"/>
  <c r="BA934" i="84" s="1"/>
  <c r="AG115" i="84"/>
  <c r="AI115" i="84"/>
  <c r="AG41" i="84"/>
  <c r="AI41" i="84"/>
  <c r="AG256" i="84"/>
  <c r="AI256" i="84"/>
  <c r="AG111" i="84"/>
  <c r="AI111" i="84"/>
  <c r="AE745" i="84"/>
  <c r="AE390" i="84"/>
  <c r="AI437" i="84"/>
  <c r="AG437" i="84"/>
  <c r="AG603" i="84"/>
  <c r="AI603" i="84"/>
  <c r="AG675" i="84"/>
  <c r="AI675" i="84"/>
  <c r="AE637" i="84"/>
  <c r="AG812" i="84"/>
  <c r="AI812" i="84"/>
  <c r="AI581" i="84"/>
  <c r="AG581" i="84"/>
  <c r="AE914" i="84"/>
  <c r="AG142" i="84"/>
  <c r="AI142" i="84"/>
  <c r="AE15" i="84"/>
  <c r="AB916" i="84"/>
  <c r="BA916" i="84" s="1"/>
  <c r="AE618" i="84"/>
  <c r="AE338" i="84"/>
  <c r="AG120" i="84"/>
  <c r="AI120" i="84"/>
  <c r="AB117" i="84"/>
  <c r="BA117" i="84" s="1"/>
  <c r="AE346" i="84"/>
  <c r="AE265" i="84"/>
  <c r="AB224" i="84"/>
  <c r="BA224" i="84" s="1"/>
  <c r="AB355" i="84"/>
  <c r="BA355" i="84" s="1"/>
  <c r="AB482" i="84"/>
  <c r="BA482" i="84" s="1"/>
  <c r="AE863" i="84"/>
  <c r="AG840" i="84"/>
  <c r="AI840" i="84"/>
  <c r="AI638" i="84"/>
  <c r="AG638" i="84"/>
  <c r="AB57" i="84"/>
  <c r="BA57" i="84" s="1"/>
  <c r="AB64" i="84"/>
  <c r="BA64" i="84" s="1"/>
  <c r="AE915" i="84"/>
  <c r="AG223" i="84"/>
  <c r="AI223" i="84"/>
  <c r="AB581" i="84"/>
  <c r="BA581" i="84" s="1"/>
  <c r="AG388" i="84"/>
  <c r="AI388" i="84"/>
  <c r="AG536" i="84"/>
  <c r="AI536" i="84"/>
  <c r="AE189" i="84"/>
  <c r="AE954" i="84"/>
  <c r="AI516" i="84"/>
  <c r="AG516" i="84"/>
  <c r="AG851" i="84"/>
  <c r="AI851" i="84"/>
  <c r="AG415" i="84"/>
  <c r="AI415" i="84"/>
  <c r="AE48" i="84"/>
  <c r="AI341" i="84"/>
  <c r="AG341" i="84"/>
  <c r="AB436" i="84"/>
  <c r="BA436" i="84" s="1"/>
  <c r="AB897" i="84"/>
  <c r="BA897" i="84" s="1"/>
  <c r="AE218" i="84"/>
  <c r="AI780" i="84"/>
  <c r="AG780" i="84"/>
  <c r="AE584" i="84"/>
  <c r="AG385" i="84"/>
  <c r="AI385" i="84"/>
  <c r="AE700" i="84"/>
  <c r="AG314" i="84"/>
  <c r="AI314" i="84"/>
  <c r="AI792" i="84"/>
  <c r="AG792" i="84"/>
  <c r="AB155" i="84"/>
  <c r="BA155" i="84" s="1"/>
  <c r="AB860" i="84"/>
  <c r="BA860" i="84" s="1"/>
  <c r="AI47" i="84"/>
  <c r="AG47" i="84"/>
  <c r="AE587" i="84"/>
  <c r="AE875" i="84"/>
  <c r="AI383" i="84"/>
  <c r="AG383" i="84"/>
  <c r="AE560" i="84"/>
  <c r="AG93" i="84"/>
  <c r="AI93" i="84"/>
  <c r="AG26" i="84"/>
  <c r="AI26" i="84"/>
  <c r="AB852" i="84"/>
  <c r="BA852" i="84" s="1"/>
  <c r="AG657" i="84"/>
  <c r="AI657" i="84"/>
  <c r="AG634" i="84"/>
  <c r="AI634" i="84"/>
  <c r="BP42" i="82"/>
  <c r="AE134" i="84"/>
  <c r="AI444" i="84"/>
  <c r="AG444" i="84"/>
  <c r="AI109" i="84"/>
  <c r="AG109" i="84"/>
  <c r="AG927" i="84"/>
  <c r="AI927" i="84"/>
  <c r="AB917" i="84"/>
  <c r="BA917" i="84" s="1"/>
  <c r="AB587" i="84"/>
  <c r="BA587" i="84" s="1"/>
  <c r="AE322" i="84"/>
  <c r="AB123" i="84"/>
  <c r="BA123" i="84" s="1"/>
  <c r="BP33" i="82"/>
  <c r="AG637" i="84"/>
  <c r="AI637" i="84"/>
  <c r="AE131" i="84"/>
  <c r="AI915" i="84"/>
  <c r="AG915" i="84"/>
  <c r="AE202" i="84"/>
  <c r="AE207" i="84"/>
  <c r="AG70" i="84"/>
  <c r="AI70" i="84"/>
  <c r="AE357" i="84"/>
  <c r="AI235" i="84"/>
  <c r="AG235" i="84"/>
  <c r="AG643" i="84"/>
  <c r="AI643" i="84"/>
  <c r="AB261" i="84"/>
  <c r="BA261" i="84" s="1"/>
  <c r="AE732" i="84"/>
  <c r="AE615" i="84"/>
  <c r="AG830" i="84"/>
  <c r="AI830" i="84"/>
  <c r="AB815" i="84"/>
  <c r="BA815" i="84" s="1"/>
  <c r="AG189" i="84"/>
  <c r="AI189" i="84"/>
  <c r="AI913" i="84"/>
  <c r="AG913" i="84"/>
  <c r="AB785" i="84"/>
  <c r="BA785" i="84" s="1"/>
  <c r="AE426" i="84"/>
  <c r="AE593" i="84"/>
  <c r="AE691" i="84"/>
  <c r="AE518" i="84"/>
  <c r="AB328" i="84"/>
  <c r="BA328" i="84" s="1"/>
  <c r="AG354" i="84"/>
  <c r="AI354" i="84"/>
  <c r="AB30" i="84"/>
  <c r="BA30" i="84" s="1"/>
  <c r="AI618" i="84"/>
  <c r="AG618" i="84"/>
  <c r="AB922" i="84"/>
  <c r="BA922" i="84" s="1"/>
  <c r="AE63" i="84"/>
  <c r="AG290" i="84"/>
  <c r="AI290" i="84"/>
  <c r="AE117" i="84"/>
  <c r="AG490" i="84"/>
  <c r="AI490" i="84"/>
  <c r="AE515" i="84"/>
  <c r="AE253" i="84"/>
  <c r="AI236" i="84"/>
  <c r="AG236" i="84"/>
  <c r="AI892" i="84"/>
  <c r="AG892" i="84"/>
  <c r="AB756" i="84"/>
  <c r="BA756" i="84" s="1"/>
  <c r="AE125" i="84"/>
  <c r="AE769" i="84"/>
  <c r="AG363" i="84"/>
  <c r="AI363" i="84"/>
  <c r="BP8" i="82"/>
  <c r="AI136" i="84"/>
  <c r="AG136" i="84"/>
  <c r="AE429" i="84"/>
  <c r="AG670" i="84"/>
  <c r="AI670" i="84"/>
  <c r="AG464" i="84"/>
  <c r="AI464" i="84"/>
  <c r="AB7" i="84"/>
  <c r="BA7" i="84" s="1"/>
  <c r="AB457" i="84"/>
  <c r="BA457" i="84" s="1"/>
  <c r="AB930" i="84"/>
  <c r="BA930" i="84" s="1"/>
  <c r="AE455" i="84"/>
  <c r="AB360" i="84"/>
  <c r="BA360" i="84" s="1"/>
  <c r="AG905" i="84"/>
  <c r="AI905" i="84"/>
  <c r="AB17" i="84"/>
  <c r="BA17" i="84" s="1"/>
  <c r="AB510" i="84"/>
  <c r="BA510" i="84" s="1"/>
  <c r="BP13" i="82"/>
  <c r="AI595" i="84"/>
  <c r="AG595" i="84"/>
  <c r="AB517" i="84"/>
  <c r="BA517" i="84" s="1"/>
  <c r="AE168" i="84"/>
  <c r="AB209" i="84"/>
  <c r="BA209" i="84" s="1"/>
  <c r="AG836" i="84"/>
  <c r="AI836" i="84"/>
  <c r="AI329" i="84"/>
  <c r="AG329" i="84"/>
  <c r="AG751" i="84"/>
  <c r="AI751" i="84"/>
  <c r="AE138" i="84"/>
  <c r="AB710" i="84"/>
  <c r="BA710" i="84" s="1"/>
  <c r="AE349" i="84"/>
  <c r="AE909" i="84"/>
  <c r="AI211" i="84"/>
  <c r="AG211" i="84"/>
  <c r="AE300" i="84"/>
  <c r="AG106" i="84"/>
  <c r="AI106" i="84"/>
  <c r="AE32" i="84"/>
  <c r="AE103" i="84"/>
  <c r="AI336" i="84"/>
  <c r="AG336" i="84"/>
  <c r="AB195" i="84"/>
  <c r="BA195" i="84" s="1"/>
  <c r="AE408" i="84"/>
  <c r="AG52" i="84"/>
  <c r="AI52" i="84"/>
  <c r="AB715" i="84"/>
  <c r="BA715" i="84" s="1"/>
  <c r="AE126" i="84"/>
  <c r="AE750" i="84"/>
  <c r="AG305" i="84"/>
  <c r="AI305" i="84"/>
  <c r="AI148" i="84"/>
  <c r="AG148" i="84"/>
  <c r="AG938" i="84"/>
  <c r="AI938" i="84"/>
  <c r="AG370" i="84"/>
  <c r="AI370" i="84"/>
  <c r="AE472" i="84"/>
  <c r="AB428" i="84"/>
  <c r="BA428" i="84" s="1"/>
  <c r="AE59" i="84"/>
  <c r="AG620" i="84"/>
  <c r="AI620" i="84"/>
  <c r="AI498" i="84"/>
  <c r="AG498" i="84"/>
  <c r="AE492" i="84"/>
  <c r="AB655" i="84"/>
  <c r="BA655" i="84" s="1"/>
  <c r="AE64" i="84"/>
  <c r="AI162" i="84"/>
  <c r="AG162" i="84"/>
  <c r="AB446" i="84"/>
  <c r="BA446" i="84" s="1"/>
  <c r="AG721" i="84"/>
  <c r="AI721" i="84"/>
  <c r="AE843" i="84"/>
  <c r="AB238" i="84"/>
  <c r="BA238" i="84" s="1"/>
  <c r="AE332" i="84"/>
  <c r="AB51" i="84"/>
  <c r="BA51" i="84" s="1"/>
  <c r="AE443" i="84"/>
  <c r="AE935" i="84"/>
  <c r="AI32" i="84"/>
  <c r="AG32" i="84"/>
  <c r="AE931" i="84"/>
  <c r="AB58" i="84"/>
  <c r="BA58" i="84" s="1"/>
  <c r="AB229" i="84"/>
  <c r="BA229" i="84" s="1"/>
  <c r="AG220" i="84"/>
  <c r="AI220" i="84"/>
  <c r="AG169" i="84"/>
  <c r="AI169" i="84"/>
  <c r="AE770" i="84"/>
  <c r="AI475" i="84"/>
  <c r="AG475" i="84"/>
  <c r="AE96" i="84"/>
  <c r="AE336" i="84"/>
  <c r="AG568" i="84"/>
  <c r="AI568" i="84"/>
  <c r="AB34" i="84"/>
  <c r="BA34" i="84" s="1"/>
  <c r="AI154" i="84"/>
  <c r="AG154" i="84"/>
  <c r="AB924" i="84"/>
  <c r="BA924" i="84" s="1"/>
  <c r="AE257" i="84"/>
  <c r="AB901" i="84"/>
  <c r="BA901" i="84" s="1"/>
  <c r="AG640" i="84"/>
  <c r="AI640" i="84"/>
  <c r="AB894" i="84"/>
  <c r="BA894" i="84" s="1"/>
  <c r="AE371" i="84"/>
  <c r="AI676" i="84"/>
  <c r="AG676" i="84"/>
  <c r="AI424" i="84"/>
  <c r="AG424" i="84"/>
  <c r="AI408" i="84"/>
  <c r="AG408" i="84"/>
  <c r="AI387" i="84"/>
  <c r="AG387" i="84"/>
  <c r="AG285" i="84"/>
  <c r="AI285" i="84"/>
  <c r="AI722" i="84"/>
  <c r="AG722" i="84"/>
  <c r="AE594" i="84"/>
  <c r="AB755" i="84"/>
  <c r="BA755" i="84" s="1"/>
  <c r="AE29" i="84"/>
  <c r="AE78" i="84"/>
  <c r="AE331" i="84"/>
  <c r="AG421" i="84"/>
  <c r="AI421" i="84"/>
  <c r="AG642" i="84"/>
  <c r="AI642" i="84"/>
  <c r="AB537" i="84"/>
  <c r="BA537" i="84" s="1"/>
  <c r="AE950" i="84"/>
  <c r="AG125" i="84"/>
  <c r="AI125" i="84"/>
  <c r="AB792" i="84"/>
  <c r="BA792" i="84" s="1"/>
  <c r="AB332" i="84"/>
  <c r="BA332" i="84" s="1"/>
  <c r="AB947" i="84"/>
  <c r="BA947" i="84" s="1"/>
  <c r="AB28" i="84"/>
  <c r="BA28" i="84" s="1"/>
  <c r="AB18" i="84"/>
  <c r="BA18" i="84" s="1"/>
  <c r="AE69" i="84"/>
  <c r="AG479" i="84"/>
  <c r="AI479" i="84"/>
  <c r="AB72" i="84"/>
  <c r="BA72" i="84" s="1"/>
  <c r="AI301" i="84"/>
  <c r="AG301" i="84"/>
  <c r="AB625" i="84"/>
  <c r="BA625" i="84" s="1"/>
  <c r="AE201" i="84"/>
  <c r="AE121" i="84"/>
  <c r="AB965" i="84"/>
  <c r="BA965" i="84" s="1"/>
  <c r="AB920" i="84"/>
  <c r="BA920" i="84" s="1"/>
  <c r="AE819" i="84"/>
  <c r="AB574" i="84"/>
  <c r="BA574" i="84" s="1"/>
  <c r="AI174" i="84"/>
  <c r="AG174" i="84"/>
  <c r="AG85" i="84"/>
  <c r="AI85" i="84"/>
  <c r="AB133" i="84"/>
  <c r="BA133" i="84" s="1"/>
  <c r="AB728" i="84"/>
  <c r="BA728" i="84" s="1"/>
  <c r="AG410" i="84"/>
  <c r="AI410" i="84"/>
  <c r="AG338" i="84"/>
  <c r="AI338" i="84"/>
  <c r="AE684" i="84"/>
  <c r="AB630" i="84"/>
  <c r="BA630" i="84" s="1"/>
  <c r="BP40" i="82"/>
  <c r="AI517" i="84"/>
  <c r="AG517" i="84"/>
  <c r="AG51" i="84"/>
  <c r="AI51" i="84"/>
  <c r="AE316" i="84"/>
  <c r="AE487" i="84"/>
  <c r="AI541" i="84"/>
  <c r="AG541" i="84"/>
  <c r="AB747" i="84"/>
  <c r="BA747" i="84" s="1"/>
  <c r="AE392" i="84"/>
  <c r="AI796" i="84"/>
  <c r="AG796" i="84"/>
  <c r="AE591" i="84"/>
  <c r="AG64" i="84"/>
  <c r="AI64" i="84"/>
  <c r="AB134" i="84"/>
  <c r="BA134" i="84" s="1"/>
  <c r="AE693" i="84"/>
  <c r="AE441" i="84"/>
  <c r="AE255" i="84"/>
  <c r="AE897" i="84"/>
  <c r="AI373" i="84"/>
  <c r="AG373" i="84"/>
  <c r="AB118" i="84"/>
  <c r="BA118" i="84" s="1"/>
  <c r="BP45" i="82"/>
  <c r="AI833" i="84"/>
  <c r="AG833" i="84"/>
  <c r="AG439" i="84"/>
  <c r="AI439" i="84"/>
  <c r="AG483" i="84"/>
  <c r="AI483" i="84"/>
  <c r="AB616" i="84"/>
  <c r="BA616" i="84" s="1"/>
  <c r="AE482" i="84"/>
  <c r="AG755" i="84"/>
  <c r="AI755" i="84"/>
  <c r="AE200" i="84"/>
  <c r="AB721" i="84"/>
  <c r="BA721" i="84" s="1"/>
  <c r="AI868" i="84"/>
  <c r="AG868" i="84"/>
  <c r="AE595" i="84"/>
  <c r="AI233" i="84"/>
  <c r="AG233" i="84"/>
  <c r="AE662" i="84"/>
  <c r="AE898" i="84"/>
  <c r="AB113" i="84"/>
  <c r="BA113" i="84" s="1"/>
  <c r="AE210" i="84"/>
  <c r="AI826" i="84"/>
  <c r="AG826" i="84"/>
  <c r="BP9" i="82"/>
  <c r="AE562" i="84"/>
  <c r="AE136" i="84"/>
  <c r="AE963" i="84"/>
  <c r="AE368" i="84"/>
  <c r="AI889" i="84"/>
  <c r="AG889" i="84"/>
  <c r="AE545" i="84"/>
  <c r="AI129" i="84"/>
  <c r="AG129" i="84"/>
  <c r="AG123" i="84"/>
  <c r="AI123" i="84"/>
  <c r="AE262" i="84"/>
  <c r="AI180" i="84"/>
  <c r="AG180" i="84"/>
  <c r="AE753" i="84"/>
  <c r="AG524" i="84"/>
  <c r="AI524" i="84"/>
  <c r="BP21" i="82"/>
  <c r="AB371" i="84"/>
  <c r="BA371" i="84" s="1"/>
  <c r="AE656" i="84"/>
  <c r="AE72" i="84"/>
  <c r="AE786" i="84"/>
  <c r="AI930" i="84"/>
  <c r="AG930" i="84"/>
  <c r="AI12" i="84"/>
  <c r="AG12" i="84"/>
  <c r="AG570" i="84"/>
  <c r="AI570" i="84"/>
  <c r="AI310" i="84"/>
  <c r="AG310" i="84"/>
  <c r="AB758" i="84"/>
  <c r="BA758" i="84" s="1"/>
  <c r="AE461" i="84"/>
  <c r="AB876" i="84"/>
  <c r="BA876" i="84" s="1"/>
  <c r="AE290" i="84"/>
  <c r="AI727" i="84"/>
  <c r="AG727" i="84"/>
  <c r="AI432" i="84"/>
  <c r="AG432" i="84"/>
  <c r="AI456" i="84"/>
  <c r="AG456" i="84"/>
  <c r="AI250" i="84"/>
  <c r="AG250" i="84"/>
  <c r="AB895" i="84"/>
  <c r="BA895" i="84" s="1"/>
  <c r="AE299" i="84"/>
  <c r="AG192" i="84"/>
  <c r="AI192" i="84"/>
  <c r="AG426" i="84"/>
  <c r="AI426" i="84"/>
  <c r="AG407" i="84"/>
  <c r="AI407" i="84"/>
  <c r="AG389" i="84"/>
  <c r="AI389" i="84"/>
  <c r="AG140" i="84"/>
  <c r="AI140" i="84"/>
  <c r="AB344" i="84"/>
  <c r="BA344" i="84" s="1"/>
  <c r="AG20" i="84"/>
  <c r="AI20" i="84"/>
  <c r="AI532" i="84"/>
  <c r="AG532" i="84"/>
  <c r="AB940" i="84"/>
  <c r="BA940" i="84" s="1"/>
  <c r="AB211" i="84"/>
  <c r="BA211" i="84" s="1"/>
  <c r="AG814" i="84"/>
  <c r="AI814" i="84"/>
  <c r="AE585" i="84"/>
  <c r="AE314" i="84"/>
  <c r="AE476" i="84"/>
  <c r="AI427" i="84"/>
  <c r="AG427" i="84"/>
  <c r="AI413" i="84"/>
  <c r="AG413" i="84"/>
  <c r="AI472" i="84"/>
  <c r="AG472" i="84"/>
  <c r="AI875" i="84"/>
  <c r="AG875" i="84"/>
  <c r="AE726" i="84"/>
  <c r="AE152" i="84"/>
  <c r="AE272" i="84"/>
  <c r="AG757" i="84"/>
  <c r="AI757" i="84"/>
  <c r="AG543" i="84"/>
  <c r="AI543" i="84"/>
  <c r="AG678" i="84"/>
  <c r="AI678" i="84"/>
  <c r="AE926" i="84"/>
  <c r="AI485" i="84"/>
  <c r="AG485" i="84"/>
  <c r="AG748" i="84"/>
  <c r="AI748" i="84"/>
  <c r="AG615" i="84"/>
  <c r="AI615" i="84"/>
  <c r="AI756" i="84"/>
  <c r="AG756" i="84"/>
  <c r="AB572" i="84"/>
  <c r="BA572" i="84" s="1"/>
  <c r="AB765" i="84"/>
  <c r="BA765" i="84" s="1"/>
  <c r="AE17" i="84"/>
  <c r="AE25" i="84"/>
  <c r="AG726" i="84"/>
  <c r="AI726" i="84"/>
  <c r="AI88" i="84"/>
  <c r="AG88" i="84"/>
  <c r="AI337" i="84"/>
  <c r="AG337" i="84"/>
  <c r="AE401" i="84"/>
  <c r="AE362" i="84"/>
  <c r="AB875" i="84"/>
  <c r="BA875" i="84" s="1"/>
  <c r="AB88" i="84"/>
  <c r="BA88" i="84" s="1"/>
  <c r="AB87" i="84"/>
  <c r="BA87" i="84" s="1"/>
  <c r="AG559" i="84"/>
  <c r="AI559" i="84"/>
  <c r="AI333" i="84"/>
  <c r="AG333" i="84"/>
  <c r="AE225" i="84"/>
  <c r="AI238" i="84"/>
  <c r="AG238" i="84"/>
  <c r="AB451" i="84"/>
  <c r="BA451" i="84" s="1"/>
  <c r="AI73" i="84"/>
  <c r="AG73" i="84"/>
  <c r="AI845" i="84"/>
  <c r="AG845" i="84"/>
  <c r="AG156" i="84"/>
  <c r="AI156" i="84"/>
  <c r="AB666" i="84"/>
  <c r="BA666" i="84" s="1"/>
  <c r="AG530" i="84"/>
  <c r="AI530" i="84"/>
  <c r="AB278" i="84"/>
  <c r="BA278" i="84" s="1"/>
  <c r="AE540" i="84"/>
  <c r="AI749" i="84"/>
  <c r="AG749" i="84"/>
  <c r="AI942" i="84"/>
  <c r="AG942" i="84"/>
  <c r="AB275" i="84"/>
  <c r="BA275" i="84" s="1"/>
  <c r="AE458" i="84"/>
  <c r="AE658" i="84"/>
  <c r="AI98" i="84"/>
  <c r="AG98" i="84"/>
  <c r="AG331" i="84"/>
  <c r="AI331" i="84"/>
  <c r="AE143" i="84"/>
  <c r="AE421" i="84"/>
  <c r="AB637" i="84"/>
  <c r="BA637" i="84" s="1"/>
  <c r="AG936" i="84"/>
  <c r="AI936" i="84"/>
  <c r="AE893" i="84"/>
  <c r="AI347" i="84"/>
  <c r="AG347" i="84"/>
  <c r="AG554" i="84"/>
  <c r="AI554" i="84"/>
  <c r="AG381" i="84"/>
  <c r="AI381" i="84"/>
  <c r="AI161" i="84"/>
  <c r="AG161" i="84"/>
  <c r="AB116" i="84"/>
  <c r="BA116" i="84" s="1"/>
  <c r="AG179" i="84"/>
  <c r="AI179" i="84"/>
  <c r="AE627" i="84"/>
  <c r="AB148" i="84"/>
  <c r="BA148" i="84" s="1"/>
  <c r="AI601" i="84"/>
  <c r="AG601" i="84"/>
  <c r="AE718" i="84"/>
  <c r="BP17" i="82"/>
  <c r="AG849" i="84"/>
  <c r="AI849" i="84"/>
  <c r="AG550" i="84"/>
  <c r="AI550" i="84"/>
  <c r="AE56" i="84"/>
  <c r="AB844" i="84"/>
  <c r="BA844" i="84" s="1"/>
  <c r="AE722" i="84"/>
  <c r="AI377" i="84"/>
  <c r="AG377" i="84"/>
  <c r="AI346" i="84"/>
  <c r="AG346" i="84"/>
  <c r="AI138" i="84"/>
  <c r="AG138" i="84"/>
  <c r="AB846" i="84"/>
  <c r="BA846" i="84" s="1"/>
  <c r="AB546" i="84"/>
  <c r="BA546" i="84" s="1"/>
  <c r="AB168" i="84"/>
  <c r="BA168" i="84" s="1"/>
  <c r="AB469" i="84"/>
  <c r="BA469" i="84" s="1"/>
  <c r="AE778" i="84"/>
  <c r="AB488" i="84"/>
  <c r="BA488" i="84" s="1"/>
  <c r="AB176" i="84"/>
  <c r="BA176" i="84" s="1"/>
  <c r="AE895" i="84"/>
  <c r="AB659" i="84"/>
  <c r="BA659" i="84" s="1"/>
  <c r="AB70" i="84"/>
  <c r="BA70" i="84" s="1"/>
  <c r="AI292" i="84"/>
  <c r="AG292" i="84"/>
  <c r="BP35" i="82"/>
  <c r="AB433" i="84"/>
  <c r="BA433" i="84" s="1"/>
  <c r="AB198" i="84"/>
  <c r="BA198" i="84" s="1"/>
  <c r="AI522" i="84"/>
  <c r="AG522" i="84"/>
  <c r="AE800" i="84"/>
  <c r="AI752" i="84"/>
  <c r="AG752" i="84"/>
  <c r="AB305" i="84"/>
  <c r="BA305" i="84" s="1"/>
  <c r="AB806" i="84"/>
  <c r="BA806" i="84" s="1"/>
  <c r="AI694" i="84"/>
  <c r="AG694" i="84"/>
  <c r="AG960" i="84"/>
  <c r="AI960" i="84"/>
  <c r="AG785" i="84"/>
  <c r="AI785" i="84"/>
  <c r="AI754" i="84"/>
  <c r="AG754" i="84"/>
  <c r="AB241" i="84"/>
  <c r="BA241" i="84" s="1"/>
  <c r="AE514" i="84"/>
  <c r="AG160" i="84"/>
  <c r="AI160" i="84"/>
  <c r="AI644" i="84"/>
  <c r="AG644" i="84"/>
  <c r="AG819" i="84"/>
  <c r="AI819" i="84"/>
  <c r="AG794" i="84"/>
  <c r="AI794" i="84"/>
  <c r="AI961" i="84"/>
  <c r="AG961" i="84"/>
  <c r="AI693" i="84"/>
  <c r="AG693" i="84"/>
  <c r="AI219" i="84"/>
  <c r="AG219" i="84"/>
  <c r="AG599" i="84"/>
  <c r="AI599" i="84"/>
  <c r="AE301" i="84"/>
  <c r="AI736" i="84"/>
  <c r="AG736" i="84"/>
  <c r="AB325" i="84"/>
  <c r="BA325" i="84" s="1"/>
  <c r="AI438" i="84"/>
  <c r="AG438" i="84"/>
  <c r="AB89" i="84"/>
  <c r="BA89" i="84" s="1"/>
  <c r="AG206" i="84"/>
  <c r="AI206" i="84"/>
  <c r="AE97" i="84"/>
  <c r="AB27" i="84"/>
  <c r="BA27" i="84" s="1"/>
  <c r="AB802" i="84"/>
  <c r="BA802" i="84" s="1"/>
  <c r="AB370" i="84"/>
  <c r="BA370" i="84" s="1"/>
  <c r="AE785" i="84"/>
  <c r="AB831" i="84"/>
  <c r="BA831" i="84" s="1"/>
  <c r="AI317" i="84"/>
  <c r="AG317" i="84"/>
  <c r="AB144" i="84"/>
  <c r="BA144" i="84" s="1"/>
  <c r="AB416" i="84"/>
  <c r="BA416" i="84" s="1"/>
  <c r="AE525" i="84"/>
  <c r="BP25" i="82"/>
  <c r="AB490" i="84"/>
  <c r="BA490" i="84" s="1"/>
  <c r="AI197" i="84"/>
  <c r="AG197" i="84"/>
  <c r="AG226" i="84"/>
  <c r="AI226" i="84"/>
  <c r="AI112" i="84"/>
  <c r="AG112" i="84"/>
  <c r="AG768" i="84"/>
  <c r="AI768" i="84"/>
  <c r="AE801" i="84"/>
  <c r="AG600" i="84"/>
  <c r="AI600" i="84"/>
  <c r="AB187" i="84"/>
  <c r="BA187" i="84" s="1"/>
  <c r="AG321" i="84"/>
  <c r="AI321" i="84"/>
  <c r="AI481" i="84"/>
  <c r="AG481" i="84"/>
  <c r="AE77" i="84"/>
  <c r="AB536" i="84"/>
  <c r="BA536" i="84" s="1"/>
  <c r="AE442" i="84"/>
  <c r="AI888" i="84"/>
  <c r="AG888" i="84"/>
  <c r="AG90" i="84"/>
  <c r="AI90" i="84"/>
  <c r="AG344" i="84"/>
  <c r="AI344" i="84"/>
  <c r="AI664" i="84"/>
  <c r="AG664" i="84"/>
  <c r="AI315" i="84"/>
  <c r="AG315" i="84"/>
  <c r="AE375" i="84"/>
  <c r="AI334" i="84"/>
  <c r="AG334" i="84"/>
  <c r="AB154" i="84"/>
  <c r="BA154" i="84" s="1"/>
  <c r="AG669" i="84"/>
  <c r="AI669" i="84"/>
  <c r="AI716" i="84"/>
  <c r="AG716" i="84"/>
  <c r="AI687" i="84"/>
  <c r="AG687" i="84"/>
  <c r="AI645" i="84"/>
  <c r="AG645" i="84"/>
  <c r="AE400" i="84"/>
  <c r="AG113" i="84"/>
  <c r="AI113" i="84"/>
  <c r="AI655" i="84"/>
  <c r="AG655" i="84"/>
  <c r="AI167" i="84"/>
  <c r="AG167" i="84"/>
  <c r="AB883" i="84"/>
  <c r="BA883" i="84" s="1"/>
  <c r="AE108" i="84"/>
  <c r="AI698" i="84"/>
  <c r="AG698" i="84"/>
  <c r="AG648" i="84"/>
  <c r="AI648" i="84"/>
  <c r="AB85" i="84"/>
  <c r="BA85" i="84" s="1"/>
  <c r="AB880" i="84"/>
  <c r="BA880" i="84" s="1"/>
  <c r="AI793" i="84"/>
  <c r="AG793" i="84"/>
  <c r="AE608" i="84"/>
  <c r="AE87" i="84"/>
  <c r="AE937" i="84"/>
  <c r="AI122" i="84"/>
  <c r="AG122" i="84"/>
  <c r="AE561" i="84"/>
  <c r="AE277" i="84"/>
  <c r="AB697" i="84"/>
  <c r="BA697" i="84" s="1"/>
  <c r="AB244" i="84"/>
  <c r="BA244" i="84" s="1"/>
  <c r="AE737" i="84"/>
  <c r="AE917" i="84"/>
  <c r="AI81" i="84"/>
  <c r="AG81" i="84"/>
  <c r="AE475" i="84"/>
  <c r="AE37" i="84"/>
  <c r="AI447" i="84"/>
  <c r="AG447" i="84"/>
  <c r="AE481" i="84"/>
  <c r="AG403" i="84"/>
  <c r="AI403" i="84"/>
  <c r="AI11" i="84"/>
  <c r="AG11" i="84"/>
  <c r="AI760" i="84"/>
  <c r="AG760" i="84"/>
  <c r="AE240" i="84"/>
  <c r="AB339" i="84"/>
  <c r="BA339" i="84" s="1"/>
  <c r="AG151" i="84"/>
  <c r="AI151" i="84"/>
  <c r="AB380" i="84"/>
  <c r="BA380" i="84" s="1"/>
  <c r="AG702" i="84"/>
  <c r="AI702" i="84"/>
  <c r="AE263" i="84"/>
  <c r="AE759" i="84"/>
  <c r="AE118" i="84"/>
  <c r="AI132" i="84"/>
  <c r="AG132" i="84"/>
  <c r="AG216" i="84"/>
  <c r="AI216" i="84"/>
  <c r="AB688" i="84"/>
  <c r="BA688" i="84" s="1"/>
  <c r="AI117" i="84"/>
  <c r="AG117" i="84"/>
  <c r="AB319" i="84"/>
  <c r="BA319" i="84" s="1"/>
  <c r="AE256" i="84"/>
  <c r="AB324" i="84"/>
  <c r="BA324" i="84" s="1"/>
  <c r="AE221" i="84"/>
  <c r="AE538" i="84"/>
  <c r="AG103" i="84"/>
  <c r="AI103" i="84"/>
  <c r="AE814" i="84"/>
  <c r="AE62" i="84"/>
  <c r="AB77" i="84"/>
  <c r="BA77" i="84" s="1"/>
  <c r="AB847" i="84"/>
  <c r="BA847" i="84" s="1"/>
  <c r="AB585" i="84"/>
  <c r="BA585" i="84" s="1"/>
  <c r="AG358" i="84"/>
  <c r="AI358" i="84"/>
  <c r="AE282" i="84"/>
  <c r="AG564" i="84"/>
  <c r="AI564" i="84"/>
  <c r="AB683" i="84"/>
  <c r="BA683" i="84" s="1"/>
  <c r="AI858" i="84"/>
  <c r="AG858" i="84"/>
  <c r="AB718" i="84"/>
  <c r="BA718" i="84" s="1"/>
  <c r="AI414" i="84"/>
  <c r="AG414" i="84"/>
  <c r="AB14" i="84"/>
  <c r="BA14" i="84" s="1"/>
  <c r="AE815" i="84"/>
  <c r="AG666" i="84"/>
  <c r="AI666" i="84"/>
  <c r="AB35" i="84"/>
  <c r="BA35" i="84" s="1"/>
  <c r="AG787" i="84"/>
  <c r="AI787" i="84"/>
  <c r="AE725" i="84"/>
  <c r="AB889" i="84"/>
  <c r="BA889" i="84" s="1"/>
  <c r="AE310" i="84"/>
  <c r="AG84" i="84"/>
  <c r="AI84" i="84"/>
  <c r="AI673" i="84"/>
  <c r="AG673" i="84"/>
  <c r="AB544" i="84"/>
  <c r="BA544" i="84" s="1"/>
  <c r="AG291" i="84"/>
  <c r="AI291" i="84"/>
  <c r="AB925" i="84"/>
  <c r="BA925" i="84" s="1"/>
  <c r="AG563" i="84"/>
  <c r="AI563" i="84"/>
  <c r="AB277" i="84"/>
  <c r="BA277" i="84" s="1"/>
  <c r="AB896" i="84"/>
  <c r="BA896" i="84" s="1"/>
  <c r="AE113" i="84"/>
  <c r="AB418" i="84"/>
  <c r="BA418" i="84" s="1"/>
  <c r="AB826" i="84"/>
  <c r="BA826" i="84" s="1"/>
  <c r="AE497" i="84"/>
  <c r="AE905" i="84"/>
  <c r="AB230" i="84"/>
  <c r="BA230" i="84" s="1"/>
  <c r="AB496" i="84"/>
  <c r="BA496" i="84" s="1"/>
  <c r="AB200" i="84"/>
  <c r="BA200" i="84" s="1"/>
  <c r="AI684" i="84"/>
  <c r="AG684" i="84"/>
  <c r="AB231" i="84"/>
  <c r="BA231" i="84" s="1"/>
  <c r="AB12" i="84"/>
  <c r="BA12" i="84" s="1"/>
  <c r="BP28" i="82"/>
  <c r="AE335" i="84"/>
  <c r="AB32" i="84"/>
  <c r="BA32" i="84" s="1"/>
  <c r="AE829" i="84"/>
  <c r="AI164" i="84"/>
  <c r="AG164" i="84"/>
  <c r="AE166" i="84"/>
  <c r="AG515" i="84"/>
  <c r="AI515" i="84"/>
  <c r="AG18" i="84"/>
  <c r="AI18" i="84"/>
  <c r="AE199" i="84"/>
  <c r="AB273" i="84"/>
  <c r="BA273" i="84" s="1"/>
  <c r="AB540" i="84"/>
  <c r="BA540" i="84" s="1"/>
  <c r="AB254" i="84"/>
  <c r="BA254" i="84" s="1"/>
  <c r="AE661" i="84"/>
  <c r="AE437" i="84"/>
  <c r="AB131" i="84"/>
  <c r="BA131" i="84" s="1"/>
  <c r="AB779" i="84"/>
  <c r="BA779" i="84" s="1"/>
  <c r="AE386" i="84"/>
  <c r="AE685" i="84"/>
  <c r="AB214" i="84"/>
  <c r="BA214" i="84" s="1"/>
  <c r="AI29" i="84"/>
  <c r="AG29" i="84"/>
  <c r="AE812" i="84"/>
  <c r="AB266" i="84"/>
  <c r="BA266" i="84" s="1"/>
  <c r="AE289" i="84"/>
  <c r="AB219" i="84"/>
  <c r="BA219" i="84" s="1"/>
  <c r="AB800" i="84"/>
  <c r="BA800" i="84" s="1"/>
  <c r="AG96" i="84"/>
  <c r="AI96" i="84"/>
  <c r="AB584" i="84"/>
  <c r="BA584" i="84" s="1"/>
  <c r="AE532" i="84"/>
  <c r="AB465" i="84"/>
  <c r="BA465" i="84" s="1"/>
  <c r="AG371" i="84"/>
  <c r="AI371" i="84"/>
  <c r="AB910" i="84"/>
  <c r="BA910" i="84" s="1"/>
  <c r="AI622" i="84"/>
  <c r="AG622" i="84"/>
  <c r="AI183" i="84"/>
  <c r="AG183" i="84"/>
  <c r="AB807" i="84"/>
  <c r="BA807" i="84" s="1"/>
  <c r="AG48" i="84"/>
  <c r="AI48" i="84"/>
  <c r="AI896" i="84"/>
  <c r="AG896" i="84"/>
  <c r="AG375" i="84"/>
  <c r="AI375" i="84"/>
  <c r="AE141" i="84"/>
  <c r="AB169" i="84"/>
  <c r="BA169" i="84" s="1"/>
  <c r="AE803" i="84"/>
  <c r="AB750" i="84"/>
  <c r="BA750" i="84" s="1"/>
  <c r="AG267" i="84"/>
  <c r="AI267" i="84"/>
  <c r="AE295" i="84"/>
  <c r="AI196" i="84"/>
  <c r="AG196" i="84"/>
  <c r="AE24" i="84"/>
  <c r="AI616" i="84"/>
  <c r="AG616" i="84"/>
  <c r="AG636" i="84"/>
  <c r="AI636" i="84"/>
  <c r="AG750" i="84"/>
  <c r="AI750" i="84"/>
  <c r="AI692" i="84"/>
  <c r="AG692" i="84"/>
  <c r="AE528" i="84"/>
  <c r="AG322" i="84"/>
  <c r="AI322" i="84"/>
  <c r="BP43" i="82"/>
  <c r="AI86" i="84"/>
  <c r="AG86" i="84"/>
  <c r="AE194" i="84"/>
  <c r="AI429" i="84"/>
  <c r="AG429" i="84"/>
  <c r="AE712" i="84"/>
  <c r="AE464" i="84"/>
  <c r="AB160" i="84"/>
  <c r="BA160" i="84" s="1"/>
  <c r="AG747" i="84"/>
  <c r="AI747" i="84"/>
  <c r="AG56" i="84"/>
  <c r="AI56" i="84"/>
  <c r="AB286" i="84"/>
  <c r="BA286" i="84" s="1"/>
  <c r="AE672" i="84"/>
  <c r="AI139" i="84"/>
  <c r="AG139" i="84"/>
  <c r="AG147" i="84"/>
  <c r="AI147" i="84"/>
  <c r="AI540" i="84"/>
  <c r="AG540" i="84"/>
  <c r="BP24" i="82"/>
  <c r="AG964" i="84"/>
  <c r="AI964" i="84"/>
  <c r="AG203" i="84"/>
  <c r="AI203" i="84"/>
  <c r="AE849" i="84"/>
  <c r="AB588" i="84"/>
  <c r="BA588" i="84" s="1"/>
  <c r="AG507" i="84"/>
  <c r="AI507" i="84"/>
  <c r="AB78" i="84"/>
  <c r="BA78" i="84" s="1"/>
  <c r="AI40" i="84"/>
  <c r="AG40" i="84"/>
  <c r="AE920" i="84"/>
  <c r="AG869" i="84"/>
  <c r="AI869" i="84"/>
  <c r="AB391" i="84"/>
  <c r="BA391" i="84" s="1"/>
  <c r="AB695" i="84"/>
  <c r="BA695" i="84" s="1"/>
  <c r="AE921" i="84"/>
  <c r="AE102" i="84"/>
  <c r="AE762" i="84"/>
  <c r="AB467" i="84"/>
  <c r="BA467" i="84" s="1"/>
  <c r="AB526" i="84"/>
  <c r="BA526" i="84" s="1"/>
  <c r="AI288" i="84"/>
  <c r="AG288" i="84"/>
  <c r="AB135" i="84"/>
  <c r="BA135" i="84" s="1"/>
  <c r="AE675" i="84"/>
  <c r="AI365" i="84"/>
  <c r="AG365" i="84"/>
  <c r="AI60" i="84"/>
  <c r="AG60" i="84"/>
  <c r="AE90" i="84"/>
  <c r="AE828" i="84"/>
  <c r="AG355" i="84"/>
  <c r="AI355" i="84"/>
  <c r="AB297" i="84"/>
  <c r="BA297" i="84" s="1"/>
  <c r="AE956" i="84"/>
  <c r="AB928" i="84"/>
  <c r="BA928" i="84" s="1"/>
  <c r="AB520" i="84"/>
  <c r="BA520" i="84" s="1"/>
  <c r="AI108" i="84"/>
  <c r="AG108" i="84"/>
  <c r="AE484" i="84"/>
  <c r="AB474" i="84"/>
  <c r="BA474" i="84" s="1"/>
  <c r="AI80" i="84"/>
  <c r="AG80" i="84"/>
  <c r="AG102" i="84"/>
  <c r="AI102" i="84"/>
  <c r="AI950" i="84"/>
  <c r="AG950" i="84"/>
  <c r="AG296" i="84"/>
  <c r="AI296" i="84"/>
  <c r="AI463" i="84"/>
  <c r="AG463" i="84"/>
  <c r="AB347" i="84"/>
  <c r="BA347" i="84" s="1"/>
  <c r="AE267" i="84"/>
  <c r="AE646" i="84"/>
  <c r="AI449" i="84"/>
  <c r="AG449" i="84"/>
  <c r="AB824" i="84"/>
  <c r="BA824" i="84" s="1"/>
  <c r="AG924" i="84"/>
  <c r="AI924" i="84"/>
  <c r="AB445" i="84"/>
  <c r="BA445" i="84" s="1"/>
  <c r="AB182" i="84"/>
  <c r="BA182" i="84" s="1"/>
  <c r="AB762" i="84"/>
  <c r="BA762" i="84" s="1"/>
  <c r="AB673" i="84"/>
  <c r="BA673" i="84" s="1"/>
  <c r="AE825" i="84"/>
  <c r="AE588" i="84"/>
  <c r="AE385" i="84"/>
  <c r="BP31" i="82"/>
  <c r="AI919" i="84"/>
  <c r="AG919" i="84"/>
  <c r="AI660" i="84"/>
  <c r="AG660" i="84"/>
  <c r="AI565" i="84"/>
  <c r="AG565" i="84"/>
  <c r="AB611" i="84"/>
  <c r="BA611" i="84" s="1"/>
  <c r="AE733" i="84"/>
  <c r="AB550" i="84"/>
  <c r="BA550" i="84" s="1"/>
  <c r="AB793" i="84"/>
  <c r="BA793" i="84" s="1"/>
  <c r="AG431" i="84"/>
  <c r="AI431" i="84"/>
  <c r="AE71" i="84"/>
  <c r="AI738" i="84"/>
  <c r="AG738" i="84"/>
  <c r="AG918" i="84"/>
  <c r="AI918" i="84"/>
  <c r="AE23" i="84"/>
  <c r="AE883" i="84"/>
  <c r="AI28" i="84"/>
  <c r="AG28" i="84"/>
  <c r="AB744" i="84"/>
  <c r="BA744" i="84" s="1"/>
  <c r="AE174" i="84"/>
  <c r="AE501" i="84"/>
  <c r="AE495" i="84"/>
  <c r="AE169" i="84"/>
  <c r="AB825" i="84"/>
  <c r="BA825" i="84" s="1"/>
  <c r="AG253" i="84"/>
  <c r="AI253" i="84"/>
  <c r="AI457" i="84"/>
  <c r="AG457" i="84"/>
  <c r="AE45" i="84"/>
  <c r="AG99" i="84"/>
  <c r="AI99" i="84"/>
  <c r="AG604" i="84"/>
  <c r="AI604" i="84"/>
  <c r="Y32" i="82"/>
  <c r="U32" i="82"/>
  <c r="X32" i="82"/>
  <c r="W32" i="82"/>
  <c r="V32" i="82"/>
  <c r="Y31" i="82"/>
  <c r="W31" i="82"/>
  <c r="U31" i="82"/>
  <c r="X31" i="82"/>
  <c r="V31" i="82"/>
  <c r="W30" i="82"/>
  <c r="X30" i="82"/>
  <c r="Y30" i="82"/>
  <c r="V30" i="82"/>
  <c r="U30" i="82"/>
  <c r="N47" i="87" a="1"/>
  <c r="P47" i="87" a="1"/>
  <c r="X26" i="82"/>
  <c r="Y21" i="82"/>
  <c r="X18" i="82"/>
  <c r="N45" i="87" a="1"/>
  <c r="X22" i="82"/>
  <c r="X27" i="82"/>
  <c r="U17" i="82"/>
  <c r="U11" i="82"/>
  <c r="V24" i="82"/>
  <c r="U12" i="82"/>
  <c r="W10" i="82"/>
  <c r="U20" i="82"/>
  <c r="W15" i="82"/>
  <c r="W14" i="82"/>
  <c r="H47" i="87" a="1"/>
  <c r="G47" i="87" a="1"/>
  <c r="V26" i="82"/>
  <c r="V18" i="82"/>
  <c r="E45" i="87" a="1"/>
  <c r="V27" i="82"/>
  <c r="V17" i="82"/>
  <c r="U7" i="82"/>
  <c r="W12" i="82"/>
  <c r="V10" i="82"/>
  <c r="V15" i="82"/>
  <c r="Y14" i="82"/>
  <c r="O47" i="87" a="1"/>
  <c r="R47" i="87" a="1"/>
  <c r="Y26" i="82"/>
  <c r="U18" i="82"/>
  <c r="V9" i="82"/>
  <c r="R45" i="87" a="1"/>
  <c r="H45" i="87" a="1"/>
  <c r="X16" i="82"/>
  <c r="U27" i="82"/>
  <c r="X19" i="82"/>
  <c r="W25" i="82"/>
  <c r="Y17" i="82"/>
  <c r="X7" i="82"/>
  <c r="U10" i="82"/>
  <c r="X15" i="82"/>
  <c r="U14" i="82"/>
  <c r="X28" i="82"/>
  <c r="K47" i="87" a="1"/>
  <c r="U29" i="82"/>
  <c r="U26" i="82"/>
  <c r="W8" i="82"/>
  <c r="W18" i="82"/>
  <c r="W9" i="82"/>
  <c r="G45" i="87" a="1"/>
  <c r="U16" i="82"/>
  <c r="Y27" i="82"/>
  <c r="Y19" i="82"/>
  <c r="V25" i="82"/>
  <c r="X17" i="82"/>
  <c r="Y7" i="82"/>
  <c r="Y23" i="82"/>
  <c r="Y10" i="82"/>
  <c r="Y13" i="82"/>
  <c r="Y15" i="82"/>
  <c r="V14" i="82"/>
  <c r="W28" i="82"/>
  <c r="J47" i="87" a="1"/>
  <c r="Y29" i="82"/>
  <c r="X8" i="82"/>
  <c r="U21" i="82"/>
  <c r="Y18" i="82"/>
  <c r="X9" i="82"/>
  <c r="L45" i="87" a="1"/>
  <c r="K45" i="87" a="1"/>
  <c r="W16" i="82"/>
  <c r="W22" i="82"/>
  <c r="V19" i="82"/>
  <c r="X25" i="82"/>
  <c r="W17" i="82"/>
  <c r="V11" i="82"/>
  <c r="X24" i="82"/>
  <c r="V7" i="82"/>
  <c r="W23" i="82"/>
  <c r="W20" i="82"/>
  <c r="V13" i="82"/>
  <c r="U15" i="82"/>
  <c r="X14" i="82"/>
  <c r="U28" i="82"/>
  <c r="Q47" i="87" a="1"/>
  <c r="X29" i="82"/>
  <c r="V8" i="82"/>
  <c r="V21" i="82"/>
  <c r="U9" i="82"/>
  <c r="Q45" i="87" a="1"/>
  <c r="I45" i="87" a="1"/>
  <c r="V16" i="82"/>
  <c r="U22" i="82"/>
  <c r="U19" i="82"/>
  <c r="U25" i="82"/>
  <c r="Y11" i="82"/>
  <c r="Y24" i="82"/>
  <c r="W7" i="82"/>
  <c r="X23" i="82"/>
  <c r="V12" i="82"/>
  <c r="X20" i="82"/>
  <c r="U13" i="82"/>
  <c r="V28" i="82"/>
  <c r="F47" i="87" a="1"/>
  <c r="E47" i="87" a="1"/>
  <c r="V29" i="82"/>
  <c r="Y8" i="82"/>
  <c r="X21" i="82"/>
  <c r="Y9" i="82"/>
  <c r="J45" i="87" a="1"/>
  <c r="P45" i="87" a="1"/>
  <c r="Y16" i="82"/>
  <c r="Y22" i="82"/>
  <c r="W19" i="82"/>
  <c r="Y25" i="82"/>
  <c r="X11" i="82"/>
  <c r="W24" i="82"/>
  <c r="U23" i="82"/>
  <c r="X12" i="82"/>
  <c r="V20" i="82"/>
  <c r="X13" i="82"/>
  <c r="Y28" i="82"/>
  <c r="I47" i="87" a="1"/>
  <c r="L47" i="87" a="1"/>
  <c r="W29" i="82"/>
  <c r="W26" i="82"/>
  <c r="U8" i="82"/>
  <c r="W21" i="82"/>
  <c r="F45" i="87" a="1"/>
  <c r="O45" i="87" a="1"/>
  <c r="V22" i="82"/>
  <c r="W27" i="82"/>
  <c r="W11" i="82"/>
  <c r="U24" i="82"/>
  <c r="Y20" i="82"/>
  <c r="L43" i="87" a="1"/>
  <c r="V23" i="82"/>
  <c r="R43" i="87" a="1"/>
  <c r="P43" i="87" a="1"/>
  <c r="Y12" i="82"/>
  <c r="G43" i="87" a="1"/>
  <c r="N43" i="87" a="1"/>
  <c r="F43" i="87" a="1"/>
  <c r="Q43" i="87" a="1"/>
  <c r="O43" i="87" a="1"/>
  <c r="E43" i="87" a="1"/>
  <c r="K43" i="87" a="1"/>
  <c r="J43" i="87" a="1"/>
  <c r="X10" i="82"/>
  <c r="H43" i="87" a="1"/>
  <c r="W13" i="82"/>
  <c r="I43" i="87" a="1"/>
  <c r="BJ32" i="82" l="1"/>
  <c r="BJ31" i="82"/>
  <c r="BJ23" i="82"/>
  <c r="BJ30" i="82"/>
  <c r="BJ21" i="82"/>
  <c r="BJ7" i="82"/>
  <c r="BJ13" i="82"/>
  <c r="BJ29" i="82"/>
  <c r="BJ9" i="82"/>
  <c r="BJ24" i="82"/>
  <c r="BJ17" i="82"/>
  <c r="BJ26" i="82"/>
  <c r="BJ8" i="82"/>
  <c r="BJ27" i="82"/>
  <c r="BJ28" i="82"/>
  <c r="S46" i="87"/>
  <c r="BJ14" i="82"/>
  <c r="BJ16" i="82"/>
  <c r="BJ12" i="82"/>
  <c r="BJ25" i="82"/>
  <c r="S44" i="87"/>
  <c r="BJ10" i="82"/>
  <c r="D44" i="87"/>
  <c r="BJ18" i="82"/>
  <c r="BJ20" i="82"/>
  <c r="BJ19" i="82"/>
  <c r="BJ22" i="82"/>
  <c r="I43" i="87"/>
  <c r="H43" i="87"/>
  <c r="J43" i="87"/>
  <c r="K43" i="87"/>
  <c r="E43" i="87"/>
  <c r="E44" i="87" s="1"/>
  <c r="O43" i="87"/>
  <c r="O44" i="87" s="1"/>
  <c r="Q43" i="87"/>
  <c r="Q44" i="87" s="1"/>
  <c r="F43" i="87"/>
  <c r="N43" i="87"/>
  <c r="N44" i="87" s="1"/>
  <c r="G43" i="87"/>
  <c r="G44" i="87" s="1"/>
  <c r="P43" i="87"/>
  <c r="P44" i="87" s="1"/>
  <c r="R43" i="87"/>
  <c r="R44" i="87" s="1"/>
  <c r="L43" i="87"/>
  <c r="L44" i="87" s="1"/>
  <c r="O45" i="87"/>
  <c r="O46" i="87" s="1"/>
  <c r="F45" i="87"/>
  <c r="L47" i="87"/>
  <c r="L48" i="87" s="1"/>
  <c r="I47" i="87"/>
  <c r="P45" i="87"/>
  <c r="P46" i="87" s="1"/>
  <c r="J45" i="87"/>
  <c r="E47" i="87"/>
  <c r="E48" i="87" s="1"/>
  <c r="F47" i="87"/>
  <c r="I45" i="87"/>
  <c r="Q45" i="87"/>
  <c r="Q46" i="87" s="1"/>
  <c r="Q47" i="87"/>
  <c r="Q48" i="87" s="1"/>
  <c r="K45" i="87"/>
  <c r="L45" i="87"/>
  <c r="L46" i="87" s="1"/>
  <c r="J47" i="87"/>
  <c r="G45" i="87"/>
  <c r="G46" i="87" s="1"/>
  <c r="K47" i="87"/>
  <c r="H45" i="87"/>
  <c r="R45" i="87"/>
  <c r="R46" i="87" s="1"/>
  <c r="R47" i="87"/>
  <c r="R48" i="87" s="1"/>
  <c r="O47" i="87"/>
  <c r="O48" i="87" s="1"/>
  <c r="E45" i="87"/>
  <c r="E46" i="87" s="1"/>
  <c r="G47" i="87"/>
  <c r="G48" i="87" s="1"/>
  <c r="H47" i="87"/>
  <c r="N45" i="87"/>
  <c r="N46" i="87" s="1"/>
  <c r="P47" i="87"/>
  <c r="P48" i="87" s="1"/>
  <c r="N47" i="87"/>
  <c r="N48" i="87" s="1"/>
  <c r="BS22" i="82"/>
  <c r="A237" i="86"/>
  <c r="G206" i="87"/>
  <c r="A206" i="87"/>
  <c r="E206" i="87"/>
  <c r="F206" i="87"/>
  <c r="BR22" i="82"/>
  <c r="F204" i="87"/>
  <c r="A235" i="86"/>
  <c r="BS20" i="82"/>
  <c r="G204" i="87"/>
  <c r="A204" i="87"/>
  <c r="E204" i="87"/>
  <c r="BR20" i="82"/>
  <c r="A223" i="87"/>
  <c r="BR39" i="82"/>
  <c r="BS39" i="82"/>
  <c r="E223" i="87"/>
  <c r="A254" i="86"/>
  <c r="F223" i="87"/>
  <c r="G223" i="87"/>
  <c r="A260" i="86"/>
  <c r="BR45" i="82"/>
  <c r="F229" i="87"/>
  <c r="BS45" i="82"/>
  <c r="A229" i="87"/>
  <c r="E229" i="87"/>
  <c r="G229" i="87"/>
  <c r="A193" i="87"/>
  <c r="E193" i="87"/>
  <c r="F193" i="87"/>
  <c r="G193" i="87"/>
  <c r="BR9" i="82"/>
  <c r="A224" i="86"/>
  <c r="BS9" i="82"/>
  <c r="G209" i="87"/>
  <c r="A240" i="86"/>
  <c r="BS25" i="82"/>
  <c r="BR25" i="82"/>
  <c r="F209" i="87"/>
  <c r="A209" i="87"/>
  <c r="E209" i="87"/>
  <c r="G195" i="87"/>
  <c r="F195" i="87"/>
  <c r="A195" i="87"/>
  <c r="BR11" i="82"/>
  <c r="BS11" i="82"/>
  <c r="A226" i="86"/>
  <c r="E195" i="87"/>
  <c r="F194" i="87"/>
  <c r="A225" i="86"/>
  <c r="BR10" i="82"/>
  <c r="A194" i="87"/>
  <c r="E194" i="87"/>
  <c r="G194" i="87"/>
  <c r="BS10" i="82"/>
  <c r="BR42" i="82"/>
  <c r="A257" i="86"/>
  <c r="E226" i="87"/>
  <c r="F226" i="87"/>
  <c r="A226" i="87"/>
  <c r="G226" i="87"/>
  <c r="BS42" i="82"/>
  <c r="BR27" i="82"/>
  <c r="A242" i="86"/>
  <c r="A211" i="87"/>
  <c r="E211" i="87"/>
  <c r="BS27" i="82"/>
  <c r="G211" i="87"/>
  <c r="F211" i="87"/>
  <c r="BS35" i="82"/>
  <c r="E219" i="87"/>
  <c r="G219" i="87"/>
  <c r="F219" i="87"/>
  <c r="A219" i="87"/>
  <c r="A250" i="86"/>
  <c r="BR35" i="82"/>
  <c r="A232" i="86"/>
  <c r="A201" i="87"/>
  <c r="E201" i="87"/>
  <c r="F201" i="87"/>
  <c r="G201" i="87"/>
  <c r="BS17" i="82"/>
  <c r="BR17" i="82"/>
  <c r="BS33" i="82"/>
  <c r="A217" i="87"/>
  <c r="E217" i="87"/>
  <c r="F217" i="87"/>
  <c r="BR33" i="82"/>
  <c r="G217" i="87"/>
  <c r="A248" i="86"/>
  <c r="BR23" i="82"/>
  <c r="G207" i="87"/>
  <c r="BS23" i="82"/>
  <c r="A207" i="87"/>
  <c r="F207" i="87"/>
  <c r="E207" i="87"/>
  <c r="A238" i="86"/>
  <c r="E220" i="87"/>
  <c r="G220" i="87"/>
  <c r="F220" i="87"/>
  <c r="A251" i="86"/>
  <c r="A220" i="87"/>
  <c r="BS36" i="82"/>
  <c r="BR36" i="82"/>
  <c r="A241" i="86"/>
  <c r="G210" i="87"/>
  <c r="F210" i="87"/>
  <c r="A210" i="87"/>
  <c r="BS26" i="82"/>
  <c r="E210" i="87"/>
  <c r="BR26" i="82"/>
  <c r="F222" i="87"/>
  <c r="BR38" i="82"/>
  <c r="BS38" i="82"/>
  <c r="G222" i="87"/>
  <c r="A222" i="87"/>
  <c r="E222" i="87"/>
  <c r="A253" i="86"/>
  <c r="A213" i="87"/>
  <c r="BR29" i="82"/>
  <c r="A244" i="86"/>
  <c r="BS29" i="82"/>
  <c r="F213" i="87"/>
  <c r="E213" i="87"/>
  <c r="G213" i="87"/>
  <c r="A239" i="86"/>
  <c r="A208" i="87"/>
  <c r="BS24" i="82"/>
  <c r="BR24" i="82"/>
  <c r="F208" i="87"/>
  <c r="E208" i="87"/>
  <c r="G208" i="87"/>
  <c r="A212" i="87"/>
  <c r="A243" i="86"/>
  <c r="BS28" i="82"/>
  <c r="G212" i="87"/>
  <c r="F212" i="87"/>
  <c r="E212" i="87"/>
  <c r="BR28" i="82"/>
  <c r="E196" i="87"/>
  <c r="G196" i="87"/>
  <c r="A196" i="87"/>
  <c r="F196" i="87"/>
  <c r="BS12" i="82"/>
  <c r="A227" i="86"/>
  <c r="BR12" i="82"/>
  <c r="F198" i="87"/>
  <c r="A229" i="86"/>
  <c r="BS14" i="82"/>
  <c r="BR14" i="82"/>
  <c r="E198" i="87"/>
  <c r="A198" i="87"/>
  <c r="G198" i="87"/>
  <c r="A233" i="86"/>
  <c r="A202" i="87"/>
  <c r="BS18" i="82"/>
  <c r="G202" i="87"/>
  <c r="BR18" i="82"/>
  <c r="F202" i="87"/>
  <c r="E202" i="87"/>
  <c r="A256" i="86"/>
  <c r="A225" i="87"/>
  <c r="F225" i="87"/>
  <c r="E225" i="87"/>
  <c r="G225" i="87"/>
  <c r="BS41" i="82"/>
  <c r="BR41" i="82"/>
  <c r="F205" i="87"/>
  <c r="G205" i="87"/>
  <c r="BS21" i="82"/>
  <c r="BR21" i="82"/>
  <c r="A236" i="86"/>
  <c r="A205" i="87"/>
  <c r="E205" i="87"/>
  <c r="E197" i="87"/>
  <c r="BR13" i="82"/>
  <c r="A197" i="87"/>
  <c r="A228" i="86"/>
  <c r="G197" i="87"/>
  <c r="BS13" i="82"/>
  <c r="F197" i="87"/>
  <c r="A215" i="87"/>
  <c r="E215" i="87"/>
  <c r="F215" i="87"/>
  <c r="BS31" i="82"/>
  <c r="A246" i="86"/>
  <c r="G215" i="87"/>
  <c r="BR31" i="82"/>
  <c r="F227" i="87"/>
  <c r="E227" i="87"/>
  <c r="BR43" i="82"/>
  <c r="BS43" i="82"/>
  <c r="A258" i="86"/>
  <c r="A227" i="87"/>
  <c r="G227" i="87"/>
  <c r="F224" i="87"/>
  <c r="E224" i="87"/>
  <c r="A224" i="87"/>
  <c r="BR40" i="82"/>
  <c r="G224" i="87"/>
  <c r="BS40" i="82"/>
  <c r="A255" i="86"/>
  <c r="A228" i="87"/>
  <c r="G228" i="87"/>
  <c r="BR44" i="82"/>
  <c r="E228" i="87"/>
  <c r="A259" i="86"/>
  <c r="BS44" i="82"/>
  <c r="F228" i="87"/>
  <c r="E218" i="87"/>
  <c r="F218" i="87"/>
  <c r="A218" i="87"/>
  <c r="BR34" i="82"/>
  <c r="A249" i="86"/>
  <c r="BS34" i="82"/>
  <c r="G218" i="87"/>
  <c r="A230" i="86"/>
  <c r="G199" i="87"/>
  <c r="F199" i="87"/>
  <c r="BS15" i="82"/>
  <c r="E199" i="87"/>
  <c r="A199" i="87"/>
  <c r="BR15" i="82"/>
  <c r="BR30" i="82"/>
  <c r="BS30" i="82"/>
  <c r="G214" i="87"/>
  <c r="A245" i="86"/>
  <c r="A214" i="87"/>
  <c r="F214" i="87"/>
  <c r="E214" i="87"/>
  <c r="BS8" i="82"/>
  <c r="F192" i="87"/>
  <c r="A192" i="87"/>
  <c r="E192" i="87"/>
  <c r="BR8" i="82"/>
  <c r="A223" i="86"/>
  <c r="G192" i="87"/>
  <c r="G191" i="87"/>
  <c r="E191" i="87"/>
  <c r="A191" i="87"/>
  <c r="F191" i="87"/>
  <c r="A222" i="86"/>
  <c r="BS7" i="82"/>
  <c r="BR7" i="82"/>
  <c r="BR37" i="82"/>
  <c r="E221" i="87"/>
  <c r="BS37" i="82"/>
  <c r="F221" i="87"/>
  <c r="A252" i="86"/>
  <c r="A221" i="87"/>
  <c r="G221" i="87"/>
  <c r="A230" i="87"/>
  <c r="F230" i="87"/>
  <c r="BS46" i="82"/>
  <c r="A261" i="86"/>
  <c r="E230" i="87"/>
  <c r="BR46" i="82"/>
  <c r="G230" i="87"/>
  <c r="F203" i="87"/>
  <c r="A234" i="86"/>
  <c r="E203" i="87"/>
  <c r="A203" i="87"/>
  <c r="G203" i="87"/>
  <c r="BR19" i="82"/>
  <c r="BS19" i="82"/>
  <c r="S48" i="87"/>
  <c r="D48" i="87"/>
  <c r="G200" i="87"/>
  <c r="E200" i="87"/>
  <c r="BR16" i="82"/>
  <c r="A200" i="87"/>
  <c r="F200" i="87"/>
  <c r="A231" i="86"/>
  <c r="BS16" i="82"/>
  <c r="G216" i="87"/>
  <c r="E216" i="87"/>
  <c r="A216" i="87"/>
  <c r="A247" i="86"/>
  <c r="BS32" i="82"/>
  <c r="BR32" i="82"/>
  <c r="F216" i="87"/>
  <c r="D46" i="87"/>
  <c r="AJ881" i="84" l="1"/>
  <c r="AJ729" i="84"/>
  <c r="BI729" i="84" s="1"/>
  <c r="AJ775" i="84"/>
  <c r="AK775" i="84" s="1"/>
  <c r="AJ926" i="84"/>
  <c r="AK926" i="84" s="1"/>
  <c r="AJ707" i="84"/>
  <c r="AK707" i="84" s="1"/>
  <c r="B221" i="87"/>
  <c r="D221" i="87"/>
  <c r="A33" i="87"/>
  <c r="C221" i="87"/>
  <c r="AJ841" i="84"/>
  <c r="AJ941" i="84"/>
  <c r="AJ923" i="84"/>
  <c r="AJ815" i="84"/>
  <c r="AJ949" i="84"/>
  <c r="AJ853" i="84"/>
  <c r="AJ948" i="84"/>
  <c r="A42" i="87"/>
  <c r="C230" i="87"/>
  <c r="B230" i="87"/>
  <c r="D230" i="87"/>
  <c r="AJ832" i="84"/>
  <c r="AJ750" i="84"/>
  <c r="AJ924" i="84"/>
  <c r="AJ702" i="84"/>
  <c r="AJ846" i="84"/>
  <c r="AJ929" i="84"/>
  <c r="AJ805" i="84"/>
  <c r="D245" i="86"/>
  <c r="E245" i="86"/>
  <c r="B245" i="86"/>
  <c r="BU30" i="82" s="1"/>
  <c r="C245" i="86"/>
  <c r="D230" i="86"/>
  <c r="E230" i="86"/>
  <c r="C230" i="86"/>
  <c r="B230" i="86"/>
  <c r="AJ222" i="84" s="1"/>
  <c r="AJ850" i="84"/>
  <c r="AJ903" i="84"/>
  <c r="AJ716" i="84"/>
  <c r="B197" i="87"/>
  <c r="BH155" i="84" s="1"/>
  <c r="C197" i="87"/>
  <c r="D197" i="87"/>
  <c r="A9" i="87"/>
  <c r="AJ860" i="84"/>
  <c r="AJ785" i="84"/>
  <c r="C225" i="87"/>
  <c r="D225" i="87"/>
  <c r="B225" i="87"/>
  <c r="A37" i="87"/>
  <c r="D233" i="86"/>
  <c r="B233" i="86"/>
  <c r="AJ285" i="84" s="1"/>
  <c r="C233" i="86"/>
  <c r="E233" i="86"/>
  <c r="AJ894" i="84"/>
  <c r="AJ812" i="84"/>
  <c r="B208" i="87"/>
  <c r="BH418" i="84" s="1"/>
  <c r="D208" i="87"/>
  <c r="A20" i="87"/>
  <c r="C208" i="87"/>
  <c r="AJ713" i="84"/>
  <c r="B251" i="86"/>
  <c r="BU36" i="82" s="1"/>
  <c r="C251" i="86"/>
  <c r="D251" i="86"/>
  <c r="E251" i="86"/>
  <c r="AJ689" i="84"/>
  <c r="B207" i="87"/>
  <c r="BH400" i="84" s="1"/>
  <c r="A19" i="87"/>
  <c r="C207" i="87"/>
  <c r="D207" i="87"/>
  <c r="AJ659" i="84"/>
  <c r="AJ916" i="84"/>
  <c r="AJ733" i="84"/>
  <c r="D242" i="86"/>
  <c r="C242" i="86"/>
  <c r="E242" i="86"/>
  <c r="B242" i="86"/>
  <c r="AJ499" i="84" s="1"/>
  <c r="AJ697" i="84"/>
  <c r="AJ920" i="84"/>
  <c r="AJ938" i="84"/>
  <c r="AJ755" i="84"/>
  <c r="AJ687" i="84"/>
  <c r="C225" i="86"/>
  <c r="D225" i="86"/>
  <c r="E225" i="86"/>
  <c r="B225" i="86"/>
  <c r="AJ98" i="84" s="1"/>
  <c r="AJ743" i="84"/>
  <c r="B226" i="86"/>
  <c r="AJ105" i="84" s="1"/>
  <c r="C226" i="86"/>
  <c r="E226" i="86"/>
  <c r="D226" i="86"/>
  <c r="AJ650" i="84"/>
  <c r="AJ662" i="84"/>
  <c r="AJ742" i="84"/>
  <c r="D229" i="87"/>
  <c r="C229" i="87"/>
  <c r="B229" i="87"/>
  <c r="A41" i="87"/>
  <c r="AJ669" i="84"/>
  <c r="C206" i="87"/>
  <c r="D206" i="87"/>
  <c r="A18" i="87"/>
  <c r="B206" i="87"/>
  <c r="BH379" i="84" s="1"/>
  <c r="AJ778" i="84"/>
  <c r="Y43" i="87"/>
  <c r="F44" i="87"/>
  <c r="U43" i="87"/>
  <c r="X43" i="87"/>
  <c r="B261" i="86"/>
  <c r="BU46" i="82" s="1"/>
  <c r="D261" i="86"/>
  <c r="C261" i="86"/>
  <c r="E261" i="86"/>
  <c r="AJ842" i="84"/>
  <c r="C247" i="86"/>
  <c r="B247" i="86"/>
  <c r="BU32" i="82" s="1"/>
  <c r="D247" i="86"/>
  <c r="E247" i="86"/>
  <c r="AJ937" i="84"/>
  <c r="AJ940" i="84"/>
  <c r="AJ795" i="84"/>
  <c r="AJ877" i="84"/>
  <c r="AJ921" i="84"/>
  <c r="AJ816" i="84"/>
  <c r="D192" i="87"/>
  <c r="A4" i="87"/>
  <c r="B192" i="87"/>
  <c r="BH33" i="84" s="1"/>
  <c r="C192" i="87"/>
  <c r="AJ708" i="84"/>
  <c r="AJ843" i="84"/>
  <c r="AJ777" i="84"/>
  <c r="E249" i="86"/>
  <c r="D249" i="86"/>
  <c r="B249" i="86"/>
  <c r="BU34" i="82" s="1"/>
  <c r="C249" i="86"/>
  <c r="AJ728" i="84"/>
  <c r="D255" i="86"/>
  <c r="E255" i="86"/>
  <c r="B255" i="86"/>
  <c r="BU40" i="82" s="1"/>
  <c r="C255" i="86"/>
  <c r="D246" i="86"/>
  <c r="B246" i="86"/>
  <c r="BU31" i="82" s="1"/>
  <c r="E246" i="86"/>
  <c r="C246" i="86"/>
  <c r="AJ886" i="84"/>
  <c r="AJ762" i="84"/>
  <c r="AJ789" i="84"/>
  <c r="C256" i="86"/>
  <c r="E256" i="86"/>
  <c r="B256" i="86"/>
  <c r="BU41" i="82" s="1"/>
  <c r="D256" i="86"/>
  <c r="AJ844" i="84"/>
  <c r="B229" i="86"/>
  <c r="AJ182" i="84" s="1"/>
  <c r="C229" i="86"/>
  <c r="E229" i="86"/>
  <c r="D229" i="86"/>
  <c r="AJ930" i="84"/>
  <c r="AJ752" i="84"/>
  <c r="AJ648" i="84"/>
  <c r="AJ636" i="84"/>
  <c r="C239" i="86"/>
  <c r="D239" i="86"/>
  <c r="B239" i="86"/>
  <c r="BU24" i="82" s="1"/>
  <c r="E239" i="86"/>
  <c r="AJ649" i="84"/>
  <c r="AJ932" i="84"/>
  <c r="AJ810" i="84"/>
  <c r="AJ830" i="84"/>
  <c r="AJ676" i="84"/>
  <c r="AJ960" i="84"/>
  <c r="AJ771" i="84"/>
  <c r="AJ678" i="84"/>
  <c r="AJ896" i="84"/>
  <c r="AJ880" i="84"/>
  <c r="AJ861" i="84"/>
  <c r="AJ864" i="84"/>
  <c r="AJ691" i="84"/>
  <c r="AJ933" i="84"/>
  <c r="D204" i="87"/>
  <c r="C204" i="87"/>
  <c r="B204" i="87"/>
  <c r="BH319" i="84" s="1"/>
  <c r="A16" i="87"/>
  <c r="AJ723" i="84"/>
  <c r="AJ761" i="84"/>
  <c r="AJ773" i="84"/>
  <c r="AJ925" i="84"/>
  <c r="AJ656" i="84"/>
  <c r="AJ884" i="84"/>
  <c r="Y45" i="87"/>
  <c r="F46" i="87"/>
  <c r="U45" i="87"/>
  <c r="X45" i="87"/>
  <c r="B203" i="87"/>
  <c r="BH312" i="84" s="1"/>
  <c r="D203" i="87"/>
  <c r="C203" i="87"/>
  <c r="A15" i="87"/>
  <c r="AJ776" i="84"/>
  <c r="D216" i="87"/>
  <c r="A28" i="87"/>
  <c r="C216" i="87"/>
  <c r="B216" i="87"/>
  <c r="BH615" i="84" s="1"/>
  <c r="AJ947" i="84"/>
  <c r="AJ808" i="84"/>
  <c r="AJ917" i="84"/>
  <c r="AJ284" i="84"/>
  <c r="AJ799" i="84"/>
  <c r="AJ823" i="84"/>
  <c r="AJ804" i="84"/>
  <c r="AJ897" i="84"/>
  <c r="AJ798" i="84"/>
  <c r="AJ774" i="84"/>
  <c r="AJ787" i="84"/>
  <c r="AJ725" i="84"/>
  <c r="AJ813" i="84"/>
  <c r="AJ682" i="84"/>
  <c r="AJ769" i="84"/>
  <c r="AJ792" i="84"/>
  <c r="AJ905" i="84"/>
  <c r="AJ660" i="84"/>
  <c r="AJ647" i="84"/>
  <c r="AJ963" i="84"/>
  <c r="AJ840" i="84"/>
  <c r="AJ727" i="84"/>
  <c r="AJ747" i="84"/>
  <c r="AJ958" i="84"/>
  <c r="D210" i="87"/>
  <c r="C210" i="87"/>
  <c r="B210" i="87"/>
  <c r="BH482" i="84" s="1"/>
  <c r="A22" i="87"/>
  <c r="AJ898" i="84"/>
  <c r="AJ737" i="84"/>
  <c r="AJ910" i="84"/>
  <c r="AJ904" i="84"/>
  <c r="B248" i="86"/>
  <c r="BU33" i="82" s="1"/>
  <c r="C248" i="86"/>
  <c r="E248" i="86"/>
  <c r="D248" i="86"/>
  <c r="AJ827" i="84"/>
  <c r="AJ831" i="84"/>
  <c r="AJ638" i="84"/>
  <c r="E257" i="86"/>
  <c r="B257" i="86"/>
  <c r="BU42" i="82" s="1"/>
  <c r="D257" i="86"/>
  <c r="C257" i="86"/>
  <c r="AJ790" i="84"/>
  <c r="AJ700" i="84"/>
  <c r="AJ705" i="84"/>
  <c r="C209" i="87"/>
  <c r="B209" i="87"/>
  <c r="BH450" i="84" s="1"/>
  <c r="D209" i="87"/>
  <c r="A21" i="87"/>
  <c r="A5" i="87"/>
  <c r="C193" i="87"/>
  <c r="D193" i="87"/>
  <c r="B193" i="87"/>
  <c r="BH75" i="84" s="1"/>
  <c r="A35" i="87"/>
  <c r="B223" i="87"/>
  <c r="D223" i="87"/>
  <c r="C223" i="87"/>
  <c r="AJ879" i="84"/>
  <c r="AJ820" i="84"/>
  <c r="AJ772" i="84"/>
  <c r="E237" i="86"/>
  <c r="D237" i="86"/>
  <c r="B237" i="86"/>
  <c r="BU22" i="82" s="1"/>
  <c r="C237" i="86"/>
  <c r="AJ882" i="84"/>
  <c r="H46" i="87"/>
  <c r="V45" i="87"/>
  <c r="I46" i="87"/>
  <c r="T45" i="87"/>
  <c r="T46" i="87" s="1"/>
  <c r="AJ704" i="84"/>
  <c r="AJ899" i="84"/>
  <c r="AJ956" i="84"/>
  <c r="AJ931" i="84"/>
  <c r="AJ677" i="84"/>
  <c r="AJ878" i="84"/>
  <c r="AJ945" i="84"/>
  <c r="AJ781" i="84"/>
  <c r="AJ935" i="84"/>
  <c r="AJ801" i="84"/>
  <c r="AJ791" i="84"/>
  <c r="AJ863" i="84"/>
  <c r="AJ915" i="84"/>
  <c r="AJ875" i="84"/>
  <c r="AJ673" i="84"/>
  <c r="AJ674" i="84"/>
  <c r="AJ665" i="84"/>
  <c r="C199" i="87"/>
  <c r="A11" i="87"/>
  <c r="B199" i="87"/>
  <c r="BH212" i="84" s="1"/>
  <c r="D199" i="87"/>
  <c r="C218" i="87"/>
  <c r="D218" i="87"/>
  <c r="B218" i="87"/>
  <c r="A30" i="87"/>
  <c r="AJ952" i="84"/>
  <c r="AJ696" i="84"/>
  <c r="B259" i="86"/>
  <c r="BU44" i="82" s="1"/>
  <c r="E259" i="86"/>
  <c r="D259" i="86"/>
  <c r="C259" i="86"/>
  <c r="AJ803" i="84"/>
  <c r="AJ642" i="84"/>
  <c r="AJ783" i="84"/>
  <c r="AJ719" i="84"/>
  <c r="AJ721" i="84"/>
  <c r="AJ643" i="84"/>
  <c r="AJ950" i="84"/>
  <c r="AJ962" i="84"/>
  <c r="AJ646" i="84"/>
  <c r="AJ874" i="84"/>
  <c r="AJ865" i="84"/>
  <c r="AJ710" i="84"/>
  <c r="AJ786" i="84"/>
  <c r="D250" i="86"/>
  <c r="C250" i="86"/>
  <c r="B250" i="86"/>
  <c r="BU35" i="82" s="1"/>
  <c r="E250" i="86"/>
  <c r="AJ906" i="84"/>
  <c r="AJ569" i="84"/>
  <c r="A7" i="87"/>
  <c r="C195" i="87"/>
  <c r="D195" i="87"/>
  <c r="B195" i="87"/>
  <c r="BH125" i="84" s="1"/>
  <c r="AJ934" i="84"/>
  <c r="AJ764" i="84"/>
  <c r="AJ914" i="84"/>
  <c r="AJ571" i="84"/>
  <c r="AJ690" i="84"/>
  <c r="AJ873" i="84"/>
  <c r="AJ809" i="84"/>
  <c r="AJ653" i="84"/>
  <c r="AJ817" i="84"/>
  <c r="AJ694" i="84"/>
  <c r="AJ782" i="84"/>
  <c r="AJ885" i="84"/>
  <c r="M47" i="87"/>
  <c r="M48" i="87" s="1"/>
  <c r="K48" i="87"/>
  <c r="Y47" i="87"/>
  <c r="U47" i="87"/>
  <c r="F48" i="87"/>
  <c r="X47" i="87"/>
  <c r="D231" i="86"/>
  <c r="E231" i="86"/>
  <c r="C231" i="86"/>
  <c r="B231" i="86"/>
  <c r="AJ227" i="84" s="1"/>
  <c r="AJ887" i="84"/>
  <c r="AJ922" i="84"/>
  <c r="AJ901" i="84"/>
  <c r="AJ965" i="84"/>
  <c r="AJ902" i="84"/>
  <c r="AJ639" i="84"/>
  <c r="AJ633" i="84"/>
  <c r="AJ856" i="84"/>
  <c r="AJ699" i="84"/>
  <c r="AJ837" i="84"/>
  <c r="AJ695" i="84"/>
  <c r="AJ712" i="84"/>
  <c r="AJ754" i="84"/>
  <c r="AJ739" i="84"/>
  <c r="AJ736" i="84"/>
  <c r="AJ892" i="84"/>
  <c r="AJ918" i="84"/>
  <c r="AJ959" i="84"/>
  <c r="AJ770" i="84"/>
  <c r="AJ911" i="84"/>
  <c r="AJ954" i="84"/>
  <c r="AJ756" i="84"/>
  <c r="AJ876" i="84"/>
  <c r="AJ632" i="84"/>
  <c r="AJ715" i="84"/>
  <c r="C227" i="86"/>
  <c r="E227" i="86"/>
  <c r="D227" i="86"/>
  <c r="B227" i="86"/>
  <c r="AJ134" i="84" s="1"/>
  <c r="AJ857" i="84"/>
  <c r="AJ851" i="84"/>
  <c r="AJ692" i="84"/>
  <c r="AJ836" i="84"/>
  <c r="AJ848" i="84"/>
  <c r="AJ640" i="84"/>
  <c r="D244" i="86"/>
  <c r="C244" i="86"/>
  <c r="E244" i="86"/>
  <c r="B244" i="86"/>
  <c r="AJ541" i="84" s="1"/>
  <c r="AJ720" i="84"/>
  <c r="AJ652" i="84"/>
  <c r="B253" i="86"/>
  <c r="BU38" i="82" s="1"/>
  <c r="D253" i="86"/>
  <c r="E253" i="86"/>
  <c r="C253" i="86"/>
  <c r="AJ908" i="84"/>
  <c r="AJ893" i="84"/>
  <c r="AJ946" i="84"/>
  <c r="B219" i="87"/>
  <c r="A31" i="87"/>
  <c r="D219" i="87"/>
  <c r="C219" i="87"/>
  <c r="AJ664" i="84"/>
  <c r="AJ748" i="84"/>
  <c r="AJ819" i="84"/>
  <c r="AJ927" i="84"/>
  <c r="AJ706" i="84"/>
  <c r="AJ829" i="84"/>
  <c r="E260" i="86"/>
  <c r="C260" i="86"/>
  <c r="B260" i="86"/>
  <c r="BU45" i="82" s="1"/>
  <c r="D260" i="86"/>
  <c r="AJ714" i="84"/>
  <c r="D235" i="86"/>
  <c r="B235" i="86"/>
  <c r="AJ336" i="84" s="1"/>
  <c r="E235" i="86"/>
  <c r="C235" i="86"/>
  <c r="AJ794" i="84"/>
  <c r="AJ745" i="84"/>
  <c r="AJ668" i="84"/>
  <c r="AJ732" i="84"/>
  <c r="AJ672" i="84"/>
  <c r="V47" i="87"/>
  <c r="H48" i="87"/>
  <c r="K44" i="87"/>
  <c r="M43" i="87"/>
  <c r="M44" i="87" s="1"/>
  <c r="AJ966" i="84"/>
  <c r="AJ744" i="84"/>
  <c r="D222" i="86"/>
  <c r="C222" i="86"/>
  <c r="E222" i="86"/>
  <c r="B222" i="86"/>
  <c r="AJ25" i="84" s="1"/>
  <c r="AJ833" i="84"/>
  <c r="AJ644" i="84"/>
  <c r="AJ780" i="84"/>
  <c r="AJ828" i="84"/>
  <c r="AJ834" i="84"/>
  <c r="AJ724" i="84"/>
  <c r="AJ913" i="84"/>
  <c r="B224" i="87"/>
  <c r="C224" i="87"/>
  <c r="D224" i="87"/>
  <c r="A36" i="87"/>
  <c r="AJ726" i="84"/>
  <c r="AJ961" i="84"/>
  <c r="B215" i="87"/>
  <c r="BH605" i="84" s="1"/>
  <c r="A27" i="87"/>
  <c r="D215" i="87"/>
  <c r="C215" i="87"/>
  <c r="A17" i="87"/>
  <c r="B205" i="87"/>
  <c r="BH347" i="84" s="1"/>
  <c r="D205" i="87"/>
  <c r="C205" i="87"/>
  <c r="B198" i="87"/>
  <c r="BH193" i="84" s="1"/>
  <c r="A10" i="87"/>
  <c r="D198" i="87"/>
  <c r="C198" i="87"/>
  <c r="AJ765" i="84"/>
  <c r="AJ634" i="84"/>
  <c r="AJ722" i="84"/>
  <c r="AJ814" i="84"/>
  <c r="AJ768" i="84"/>
  <c r="E243" i="86"/>
  <c r="B243" i="86"/>
  <c r="AJ514" i="84" s="1"/>
  <c r="D243" i="86"/>
  <c r="C243" i="86"/>
  <c r="AJ919" i="84"/>
  <c r="AJ685" i="84"/>
  <c r="AJ912" i="84"/>
  <c r="AJ953" i="84"/>
  <c r="C241" i="86"/>
  <c r="B241" i="86"/>
  <c r="BU26" i="82" s="1"/>
  <c r="E241" i="86"/>
  <c r="D241" i="86"/>
  <c r="AJ766" i="84"/>
  <c r="AJ797" i="84"/>
  <c r="AJ890" i="84"/>
  <c r="E238" i="86"/>
  <c r="D238" i="86"/>
  <c r="C238" i="86"/>
  <c r="B238" i="86"/>
  <c r="BU23" i="82" s="1"/>
  <c r="AJ944" i="84"/>
  <c r="AJ731" i="84"/>
  <c r="AJ85" i="84"/>
  <c r="AJ693" i="84"/>
  <c r="AJ760" i="84"/>
  <c r="AJ847" i="84"/>
  <c r="AJ680" i="84"/>
  <c r="E224" i="86"/>
  <c r="D224" i="86"/>
  <c r="B224" i="86"/>
  <c r="AJ61" i="84" s="1"/>
  <c r="C224" i="86"/>
  <c r="AJ757" i="84"/>
  <c r="AJ686" i="84"/>
  <c r="AJ895" i="84"/>
  <c r="AJ746" i="84"/>
  <c r="AJ821" i="84"/>
  <c r="AJ651" i="84"/>
  <c r="AJ955" i="84"/>
  <c r="AJ657" i="84"/>
  <c r="W47" i="87"/>
  <c r="J48" i="87"/>
  <c r="J46" i="87"/>
  <c r="W45" i="87"/>
  <c r="J44" i="87"/>
  <c r="W43" i="87"/>
  <c r="AJ807" i="84"/>
  <c r="D200" i="87"/>
  <c r="B200" i="87"/>
  <c r="BH239" i="84" s="1"/>
  <c r="A12" i="87"/>
  <c r="C200" i="87"/>
  <c r="AJ679" i="84"/>
  <c r="AJ891" i="84"/>
  <c r="AJ688" i="84"/>
  <c r="AJ839" i="84"/>
  <c r="AJ625" i="84"/>
  <c r="AJ658" i="84"/>
  <c r="C252" i="86"/>
  <c r="E252" i="86"/>
  <c r="B252" i="86"/>
  <c r="BU37" i="82" s="1"/>
  <c r="D252" i="86"/>
  <c r="AJ701" i="84"/>
  <c r="D223" i="86"/>
  <c r="E223" i="86"/>
  <c r="B223" i="86"/>
  <c r="AJ53" i="84" s="1"/>
  <c r="C223" i="86"/>
  <c r="AJ868" i="84"/>
  <c r="AJ849" i="84"/>
  <c r="AJ698" i="84"/>
  <c r="AJ735" i="84"/>
  <c r="AJ822" i="84"/>
  <c r="AJ631" i="84"/>
  <c r="AJ654" i="84"/>
  <c r="AJ718" i="84"/>
  <c r="AJ859" i="84"/>
  <c r="AJ900" i="84"/>
  <c r="A39" i="87"/>
  <c r="C227" i="87"/>
  <c r="B227" i="87"/>
  <c r="D227" i="87"/>
  <c r="B236" i="86"/>
  <c r="AJ362" i="84" s="1"/>
  <c r="D236" i="86"/>
  <c r="C236" i="86"/>
  <c r="E236" i="86"/>
  <c r="AJ683" i="84"/>
  <c r="AJ907" i="84"/>
  <c r="AJ852" i="84"/>
  <c r="AJ767" i="84"/>
  <c r="AJ858" i="84"/>
  <c r="B212" i="87"/>
  <c r="BH529" i="84" s="1"/>
  <c r="C212" i="87"/>
  <c r="A24" i="87"/>
  <c r="D212" i="87"/>
  <c r="B213" i="87"/>
  <c r="BH552" i="84" s="1"/>
  <c r="A25" i="87"/>
  <c r="C213" i="87"/>
  <c r="D213" i="87"/>
  <c r="AJ788" i="84"/>
  <c r="B222" i="87"/>
  <c r="A34" i="87"/>
  <c r="D222" i="87"/>
  <c r="C222" i="87"/>
  <c r="AJ872" i="84"/>
  <c r="AJ734" i="84"/>
  <c r="AJ567" i="84"/>
  <c r="AJ751" i="84"/>
  <c r="AJ826" i="84"/>
  <c r="AJ942" i="84"/>
  <c r="B201" i="87"/>
  <c r="BH268" i="84" s="1"/>
  <c r="A13" i="87"/>
  <c r="C201" i="87"/>
  <c r="D201" i="87"/>
  <c r="AJ95" i="84"/>
  <c r="AJ862" i="84"/>
  <c r="AJ758" i="84"/>
  <c r="AJ811" i="84"/>
  <c r="AJ741" i="84"/>
  <c r="AJ667" i="84"/>
  <c r="AJ867" i="84"/>
  <c r="AJ818" i="84"/>
  <c r="B194" i="87"/>
  <c r="BH82" i="84" s="1"/>
  <c r="A6" i="87"/>
  <c r="C194" i="87"/>
  <c r="D194" i="87"/>
  <c r="AJ951" i="84"/>
  <c r="AJ663" i="84"/>
  <c r="AJ740" i="84"/>
  <c r="B240" i="86"/>
  <c r="BU25" i="82" s="1"/>
  <c r="C240" i="86"/>
  <c r="E240" i="86"/>
  <c r="D240" i="86"/>
  <c r="AJ883" i="84"/>
  <c r="B254" i="86"/>
  <c r="BU39" i="82" s="1"/>
  <c r="C254" i="86"/>
  <c r="D254" i="86"/>
  <c r="E254" i="86"/>
  <c r="AJ114" i="84"/>
  <c r="AJ928" i="84"/>
  <c r="AJ759" i="84"/>
  <c r="AJ784" i="84"/>
  <c r="AJ939" i="84"/>
  <c r="AJ609" i="84"/>
  <c r="AJ753" i="84"/>
  <c r="AJ681" i="84"/>
  <c r="H44" i="87"/>
  <c r="V43" i="87"/>
  <c r="BI881" i="84"/>
  <c r="AK881" i="84"/>
  <c r="AJ671" i="84"/>
  <c r="AJ709" i="84"/>
  <c r="AJ838" i="84"/>
  <c r="D234" i="86"/>
  <c r="B234" i="86"/>
  <c r="AJ302" i="84" s="1"/>
  <c r="C234" i="86"/>
  <c r="E234" i="86"/>
  <c r="AJ866" i="84"/>
  <c r="AJ779" i="84"/>
  <c r="AJ802" i="84"/>
  <c r="AJ575" i="84"/>
  <c r="AJ717" i="84"/>
  <c r="AJ730" i="84"/>
  <c r="C191" i="87"/>
  <c r="D191" i="87"/>
  <c r="A3" i="87"/>
  <c r="B191" i="87"/>
  <c r="BH19" i="84" s="1"/>
  <c r="BH799" i="84"/>
  <c r="BH877" i="84"/>
  <c r="BH838" i="84"/>
  <c r="BH902" i="84"/>
  <c r="BH823" i="84"/>
  <c r="BH948" i="84"/>
  <c r="BH866" i="84"/>
  <c r="BH873" i="84"/>
  <c r="BH827" i="84"/>
  <c r="BH807" i="84"/>
  <c r="BH776" i="84"/>
  <c r="BH947" i="84"/>
  <c r="BH956" i="84"/>
  <c r="BH729" i="84"/>
  <c r="BH704" i="84"/>
  <c r="BH677" i="84"/>
  <c r="BH841" i="84"/>
  <c r="BH941" i="84"/>
  <c r="BH899" i="84"/>
  <c r="BH931" i="84"/>
  <c r="BH926" i="84"/>
  <c r="BH808" i="84"/>
  <c r="BH923" i="84"/>
  <c r="BH775" i="84"/>
  <c r="BH842" i="84"/>
  <c r="BH679" i="84"/>
  <c r="BH818" i="84"/>
  <c r="BH720" i="84"/>
  <c r="BH891" i="84"/>
  <c r="BH815" i="84"/>
  <c r="BH922" i="84"/>
  <c r="BH781" i="84"/>
  <c r="BH901" i="84"/>
  <c r="BH878" i="84"/>
  <c r="BH937" i="84"/>
  <c r="BH945" i="84"/>
  <c r="BH671" i="84"/>
  <c r="BH949" i="84"/>
  <c r="BH887" i="84"/>
  <c r="BH940" i="84"/>
  <c r="BH917" i="84"/>
  <c r="BH393" i="84"/>
  <c r="BH881" i="84"/>
  <c r="BH779" i="84"/>
  <c r="BH802" i="84"/>
  <c r="BH54" i="84"/>
  <c r="BH392" i="84"/>
  <c r="BH804" i="84"/>
  <c r="BH965" i="84"/>
  <c r="BH795" i="84"/>
  <c r="BH635" i="84"/>
  <c r="BH686" i="84"/>
  <c r="BH639" i="84"/>
  <c r="BH761" i="84"/>
  <c r="BH714" i="84"/>
  <c r="BH933" i="84"/>
  <c r="BH746" i="84"/>
  <c r="BH773" i="84"/>
  <c r="BH759" i="84"/>
  <c r="BH50" i="84"/>
  <c r="BH653" i="84"/>
  <c r="BH651" i="84"/>
  <c r="BH661" i="84"/>
  <c r="BH395" i="84"/>
  <c r="BH955" i="84"/>
  <c r="BH732" i="84"/>
  <c r="BH817" i="84"/>
  <c r="BH396" i="84"/>
  <c r="BH39" i="84"/>
  <c r="BH871" i="84"/>
  <c r="BH34" i="84"/>
  <c r="BH404" i="84"/>
  <c r="BH884" i="84"/>
  <c r="BH672" i="84"/>
  <c r="BH753" i="84"/>
  <c r="BH780" i="84"/>
  <c r="BH47" i="84"/>
  <c r="BH657" i="84"/>
  <c r="BH640" i="84"/>
  <c r="BH757" i="84"/>
  <c r="BH794" i="84"/>
  <c r="BH736" i="84"/>
  <c r="BH669" i="84"/>
  <c r="BH655" i="84"/>
  <c r="BH698" i="84"/>
  <c r="BH793" i="84"/>
  <c r="BH403" i="84"/>
  <c r="BH414" i="84"/>
  <c r="BH964" i="84"/>
  <c r="BH869" i="84"/>
  <c r="BH918" i="84"/>
  <c r="BH919" i="84"/>
  <c r="BH938" i="84"/>
  <c r="BH676" i="84"/>
  <c r="BH889" i="84"/>
  <c r="BH819" i="84"/>
  <c r="BH738" i="84"/>
  <c r="BH36" i="84"/>
  <c r="BH697" i="84"/>
  <c r="BH41" i="84"/>
  <c r="BH678" i="84"/>
  <c r="BH845" i="84"/>
  <c r="BH849" i="84"/>
  <c r="BH48" i="84"/>
  <c r="BH747" i="84"/>
  <c r="BH684" i="84"/>
  <c r="BH622" i="84"/>
  <c r="BH709" i="84"/>
  <c r="BH895" i="84"/>
  <c r="BH723" i="84"/>
  <c r="BH617" i="84"/>
  <c r="BH835" i="84"/>
  <c r="BH772" i="84"/>
  <c r="BH607" i="84"/>
  <c r="BH411" i="84"/>
  <c r="BH966" i="84"/>
  <c r="BH856" i="84"/>
  <c r="BH821" i="84"/>
  <c r="BH623" i="84"/>
  <c r="BH744" i="84"/>
  <c r="BH745" i="84"/>
  <c r="BH784" i="84"/>
  <c r="BH668" i="84"/>
  <c r="BH402" i="84"/>
  <c r="BH717" i="84"/>
  <c r="BH782" i="84"/>
  <c r="BH939" i="84"/>
  <c r="BH38" i="84"/>
  <c r="BH921" i="84"/>
  <c r="BH323" i="84"/>
  <c r="BH885" i="84"/>
  <c r="BH801" i="84"/>
  <c r="BH610" i="84"/>
  <c r="BH882" i="84"/>
  <c r="BH832" i="84"/>
  <c r="BH925" i="84"/>
  <c r="BH325" i="84"/>
  <c r="BH778" i="84"/>
  <c r="BH656" i="84"/>
  <c r="BH712" i="84"/>
  <c r="BH681" i="84"/>
  <c r="BH701" i="84"/>
  <c r="BH863" i="84"/>
  <c r="BH892" i="84"/>
  <c r="BH329" i="84"/>
  <c r="BH52" i="84"/>
  <c r="BH475" i="84"/>
  <c r="BH796" i="84"/>
  <c r="BH407" i="84"/>
  <c r="BH694" i="84"/>
  <c r="BH645" i="84"/>
  <c r="BH787" i="84"/>
  <c r="BH896" i="84"/>
  <c r="BH750" i="84"/>
  <c r="BH56" i="84"/>
  <c r="BH950" i="84"/>
  <c r="BH924" i="84"/>
  <c r="BH321" i="84"/>
  <c r="BH648" i="84"/>
  <c r="BH40" i="84"/>
  <c r="BH755" i="84"/>
  <c r="BH748" i="84"/>
  <c r="BH664" i="84"/>
  <c r="BH666" i="84"/>
  <c r="BH637" i="84"/>
  <c r="BH836" i="84"/>
  <c r="BH785" i="84"/>
  <c r="BH688" i="84"/>
  <c r="BH342" i="84"/>
  <c r="BH929" i="84"/>
  <c r="BH658" i="84"/>
  <c r="BH625" i="84"/>
  <c r="BH633" i="84"/>
  <c r="BH725" i="84"/>
  <c r="BH959" i="84"/>
  <c r="BH611" i="84"/>
  <c r="BH699" i="84"/>
  <c r="BH777" i="84"/>
  <c r="BH397" i="84"/>
  <c r="BH837" i="84"/>
  <c r="BH631" i="84"/>
  <c r="BH44" i="84"/>
  <c r="BH654" i="84"/>
  <c r="BH627" i="84"/>
  <c r="BH850" i="84"/>
  <c r="BH897" i="84"/>
  <c r="BH798" i="84"/>
  <c r="BH707" i="84"/>
  <c r="BH911" i="84"/>
  <c r="BH695" i="84"/>
  <c r="BH718" i="84"/>
  <c r="BH696" i="84"/>
  <c r="BH859" i="84"/>
  <c r="BH730" i="84"/>
  <c r="BH803" i="84"/>
  <c r="BH46" i="84"/>
  <c r="BH816" i="84"/>
  <c r="BH774" i="84"/>
  <c r="BH954" i="84"/>
  <c r="BH957" i="84"/>
  <c r="BH791" i="84"/>
  <c r="BH903" i="84"/>
  <c r="BH340" i="84"/>
  <c r="BH341" i="84"/>
  <c r="BH915" i="84"/>
  <c r="BH905" i="84"/>
  <c r="BH833" i="84"/>
  <c r="BH868" i="84"/>
  <c r="BH875" i="84"/>
  <c r="BH726" i="84"/>
  <c r="BH749" i="84"/>
  <c r="BH754" i="84"/>
  <c r="BH644" i="84"/>
  <c r="BH673" i="84"/>
  <c r="BH60" i="84"/>
  <c r="BH961" i="84"/>
  <c r="BH716" i="84"/>
  <c r="BH616" i="84"/>
  <c r="BH439" i="84"/>
  <c r="BH620" i="84"/>
  <c r="BH693" i="84"/>
  <c r="BH636" i="84"/>
  <c r="BH846" i="84"/>
  <c r="BH886" i="84"/>
  <c r="BH828" i="84"/>
  <c r="BH735" i="84"/>
  <c r="BH455" i="84"/>
  <c r="BH843" i="84"/>
  <c r="BH409" i="84"/>
  <c r="BH460" i="84"/>
  <c r="BH665" i="84"/>
  <c r="BH327" i="84"/>
  <c r="BH805" i="84"/>
  <c r="BH632" i="84"/>
  <c r="BH770" i="84"/>
  <c r="BH715" i="84"/>
  <c r="BH813" i="84"/>
  <c r="BH619" i="84"/>
  <c r="BH822" i="84"/>
  <c r="BH806" i="84"/>
  <c r="BH682" i="84"/>
  <c r="BH834" i="84"/>
  <c r="BH800" i="84"/>
  <c r="BH398" i="84"/>
  <c r="BH728" i="84"/>
  <c r="BH952" i="84"/>
  <c r="BH77" i="84"/>
  <c r="BH857" i="84"/>
  <c r="BH724" i="84"/>
  <c r="BH719" i="84"/>
  <c r="BH769" i="84"/>
  <c r="BH900" i="84"/>
  <c r="BH442" i="84"/>
  <c r="BH66" i="84"/>
  <c r="BH628" i="84"/>
  <c r="BH767" i="84"/>
  <c r="BH812" i="84"/>
  <c r="BH840" i="84"/>
  <c r="BH851" i="84"/>
  <c r="BH792" i="84"/>
  <c r="BH634" i="84"/>
  <c r="BH913" i="84"/>
  <c r="BH721" i="84"/>
  <c r="BH408" i="84"/>
  <c r="BH410" i="84"/>
  <c r="BH456" i="84"/>
  <c r="BH814" i="84"/>
  <c r="BH756" i="84"/>
  <c r="BH333" i="84"/>
  <c r="BH768" i="84"/>
  <c r="BH854" i="84"/>
  <c r="BH839" i="84"/>
  <c r="BH49" i="84"/>
  <c r="BH683" i="84"/>
  <c r="BH876" i="84"/>
  <c r="BH42" i="84"/>
  <c r="BH932" i="84"/>
  <c r="BH762" i="84"/>
  <c r="BH391" i="84"/>
  <c r="BH789" i="84"/>
  <c r="BH646" i="84"/>
  <c r="BH652" i="84"/>
  <c r="BH907" i="84"/>
  <c r="BH874" i="84"/>
  <c r="BH912" i="84"/>
  <c r="BH872" i="84"/>
  <c r="BH824" i="84"/>
  <c r="BH412" i="84"/>
  <c r="BH713" i="84"/>
  <c r="BH865" i="84"/>
  <c r="BH852" i="84"/>
  <c r="BH734" i="84"/>
  <c r="BH763" i="84"/>
  <c r="BH647" i="84"/>
  <c r="BH629" i="84"/>
  <c r="BH844" i="84"/>
  <c r="BH766" i="84"/>
  <c r="BH810" i="84"/>
  <c r="BH898" i="84"/>
  <c r="BH783" i="84"/>
  <c r="BH689" i="84"/>
  <c r="BH406" i="84"/>
  <c r="BH737" i="84"/>
  <c r="BH35" i="84"/>
  <c r="BH894" i="84"/>
  <c r="BH963" i="84"/>
  <c r="BH797" i="84"/>
  <c r="BH910" i="84"/>
  <c r="BH453" i="84"/>
  <c r="BH61" i="84"/>
  <c r="BH890" i="84"/>
  <c r="BH943" i="84"/>
  <c r="BH330" i="84"/>
  <c r="BH486" i="84"/>
  <c r="BH710" i="84"/>
  <c r="BH893" i="84"/>
  <c r="BH454" i="84"/>
  <c r="BH765" i="84"/>
  <c r="BH328" i="84"/>
  <c r="BH904" i="84"/>
  <c r="BH830" i="84"/>
  <c r="BH751" i="84"/>
  <c r="BH336" i="84"/>
  <c r="BH32" i="84"/>
  <c r="BH722" i="84"/>
  <c r="BH930" i="84"/>
  <c r="BH727" i="84"/>
  <c r="BH413" i="84"/>
  <c r="BH936" i="84"/>
  <c r="BH752" i="84"/>
  <c r="BH960" i="84"/>
  <c r="BH888" i="84"/>
  <c r="BH334" i="84"/>
  <c r="BH447" i="84"/>
  <c r="BH858" i="84"/>
  <c r="BH692" i="84"/>
  <c r="BH942" i="84"/>
  <c r="BH771" i="84"/>
  <c r="BH338" i="84"/>
  <c r="BH687" i="84"/>
  <c r="BH642" i="84"/>
  <c r="BH51" i="84"/>
  <c r="BH660" i="84"/>
  <c r="BH853" i="84"/>
  <c r="BH649" i="84"/>
  <c r="BH962" i="84"/>
  <c r="BH862" i="84"/>
  <c r="BH685" i="84"/>
  <c r="BH935" i="84"/>
  <c r="BH909" i="84"/>
  <c r="BH788" i="84"/>
  <c r="BH339" i="84"/>
  <c r="BH394" i="84"/>
  <c r="BH405" i="84"/>
  <c r="BH958" i="84"/>
  <c r="BH908" i="84"/>
  <c r="BH953" i="84"/>
  <c r="BH441" i="84"/>
  <c r="BH733" i="84"/>
  <c r="BH626" i="84"/>
  <c r="BH667" i="84"/>
  <c r="BH825" i="84"/>
  <c r="BH45" i="84"/>
  <c r="BH43" i="84"/>
  <c r="BH37" i="84"/>
  <c r="BH731" i="84"/>
  <c r="BH613" i="84"/>
  <c r="BH786" i="84"/>
  <c r="BH867" i="84"/>
  <c r="BH946" i="84"/>
  <c r="BH826" i="84"/>
  <c r="BH608" i="84"/>
  <c r="BH855" i="84"/>
  <c r="BH870" i="84"/>
  <c r="BH638" i="84"/>
  <c r="BH643" i="84"/>
  <c r="BH702" i="84"/>
  <c r="BH401" i="84"/>
  <c r="BH446" i="84"/>
  <c r="BH659" i="84"/>
  <c r="BH440" i="84"/>
  <c r="BH861" i="84"/>
  <c r="BH459" i="84"/>
  <c r="BH916" i="84"/>
  <c r="BH831" i="84"/>
  <c r="BH758" i="84"/>
  <c r="BH706" i="84"/>
  <c r="BH811" i="84"/>
  <c r="BH906" i="84"/>
  <c r="BH944" i="84"/>
  <c r="BH829" i="84"/>
  <c r="BH399" i="84"/>
  <c r="BH612" i="84"/>
  <c r="BH641" i="84"/>
  <c r="BH741" i="84"/>
  <c r="BH700" i="84"/>
  <c r="BH705" i="84"/>
  <c r="BH452" i="84"/>
  <c r="BH742" i="84"/>
  <c r="BH690" i="84"/>
  <c r="BH920" i="84"/>
  <c r="BH927" i="84"/>
  <c r="BH760" i="84"/>
  <c r="BH670" i="84"/>
  <c r="BH472" i="84"/>
  <c r="BH743" i="84"/>
  <c r="BH880" i="84"/>
  <c r="BH790" i="84"/>
  <c r="BH951" i="84"/>
  <c r="BH451" i="84"/>
  <c r="BH934" i="84"/>
  <c r="BH883" i="84"/>
  <c r="BH809" i="84"/>
  <c r="BH764" i="84"/>
  <c r="BH443" i="84"/>
  <c r="BH53" i="84"/>
  <c r="BH663" i="84"/>
  <c r="BH879" i="84"/>
  <c r="BH650" i="84"/>
  <c r="BH864" i="84"/>
  <c r="BH621" i="84"/>
  <c r="BH31" i="84"/>
  <c r="BH820" i="84"/>
  <c r="BH740" i="84"/>
  <c r="BH703" i="84"/>
  <c r="BH662" i="84"/>
  <c r="BH691" i="84"/>
  <c r="BH914" i="84"/>
  <c r="BH928" i="84"/>
  <c r="BH674" i="84"/>
  <c r="BH847" i="84"/>
  <c r="BH739" i="84"/>
  <c r="BH711" i="84"/>
  <c r="BH848" i="84"/>
  <c r="BH680" i="84"/>
  <c r="BH708" i="84"/>
  <c r="BH860" i="84"/>
  <c r="BH332" i="84"/>
  <c r="BH335" i="84"/>
  <c r="BH675" i="84"/>
  <c r="AJ749" i="84"/>
  <c r="AJ871" i="84"/>
  <c r="AJ670" i="84"/>
  <c r="AJ793" i="84"/>
  <c r="AJ796" i="84"/>
  <c r="AJ470" i="84"/>
  <c r="C214" i="87"/>
  <c r="D214" i="87"/>
  <c r="B214" i="87"/>
  <c r="BH574" i="84" s="1"/>
  <c r="A26" i="87"/>
  <c r="AJ806" i="84"/>
  <c r="AJ627" i="84"/>
  <c r="AJ800" i="84"/>
  <c r="C228" i="87"/>
  <c r="D228" i="87"/>
  <c r="A40" i="87"/>
  <c r="B228" i="87"/>
  <c r="AJ957" i="84"/>
  <c r="AJ628" i="84"/>
  <c r="D258" i="86"/>
  <c r="C258" i="86"/>
  <c r="E258" i="86"/>
  <c r="B258" i="86"/>
  <c r="BU43" i="82" s="1"/>
  <c r="C228" i="86"/>
  <c r="D228" i="86"/>
  <c r="E228" i="86"/>
  <c r="B228" i="86"/>
  <c r="AJ167" i="84" s="1"/>
  <c r="AJ684" i="84"/>
  <c r="AJ869" i="84"/>
  <c r="D202" i="87"/>
  <c r="C202" i="87"/>
  <c r="B202" i="87"/>
  <c r="BH286" i="84" s="1"/>
  <c r="A14" i="87"/>
  <c r="AJ824" i="84"/>
  <c r="A8" i="87"/>
  <c r="B196" i="87"/>
  <c r="BH133" i="84" s="1"/>
  <c r="D196" i="87"/>
  <c r="C196" i="87"/>
  <c r="AJ943" i="84"/>
  <c r="AJ888" i="84"/>
  <c r="AJ738" i="84"/>
  <c r="AJ655" i="84"/>
  <c r="AJ601" i="84"/>
  <c r="AJ854" i="84"/>
  <c r="AJ272" i="84"/>
  <c r="AJ763" i="84"/>
  <c r="B220" i="87"/>
  <c r="C220" i="87"/>
  <c r="A32" i="87"/>
  <c r="D220" i="87"/>
  <c r="AJ385" i="84"/>
  <c r="B217" i="87"/>
  <c r="A29" i="87"/>
  <c r="C217" i="87"/>
  <c r="D217" i="87"/>
  <c r="AJ889" i="84"/>
  <c r="AJ936" i="84"/>
  <c r="C232" i="86"/>
  <c r="E232" i="86"/>
  <c r="B232" i="86"/>
  <c r="AJ263" i="84" s="1"/>
  <c r="D232" i="86"/>
  <c r="AJ909" i="84"/>
  <c r="AJ641" i="84"/>
  <c r="AJ572" i="84"/>
  <c r="AJ202" i="84"/>
  <c r="AJ825" i="84"/>
  <c r="C211" i="87"/>
  <c r="B211" i="87"/>
  <c r="BH504" i="84" s="1"/>
  <c r="D211" i="87"/>
  <c r="A23" i="87"/>
  <c r="AJ606" i="84"/>
  <c r="AJ870" i="84"/>
  <c r="B226" i="87"/>
  <c r="C226" i="87"/>
  <c r="D226" i="87"/>
  <c r="A38" i="87"/>
  <c r="AJ845" i="84"/>
  <c r="AJ666" i="84"/>
  <c r="AJ618" i="84"/>
  <c r="AJ645" i="84"/>
  <c r="AJ585" i="84"/>
  <c r="AJ275" i="84"/>
  <c r="AJ596" i="84"/>
  <c r="AJ489" i="84"/>
  <c r="AJ703" i="84"/>
  <c r="AJ711" i="84"/>
  <c r="AJ855" i="84"/>
  <c r="AJ637" i="84"/>
  <c r="AJ675" i="84"/>
  <c r="AJ600" i="84"/>
  <c r="AJ661" i="84"/>
  <c r="AJ498" i="84"/>
  <c r="AJ835" i="84"/>
  <c r="AJ635" i="84"/>
  <c r="AJ964" i="84"/>
  <c r="M45" i="87"/>
  <c r="M46" i="87" s="1"/>
  <c r="K46" i="87"/>
  <c r="T47" i="87"/>
  <c r="T48" i="87" s="1"/>
  <c r="I48" i="87"/>
  <c r="T43" i="87"/>
  <c r="T44" i="87" s="1"/>
  <c r="I44" i="87"/>
  <c r="BH324" i="84" l="1"/>
  <c r="AJ283" i="84"/>
  <c r="AJ80" i="84"/>
  <c r="BH64" i="84"/>
  <c r="BH596" i="84"/>
  <c r="BH587" i="84"/>
  <c r="BH590" i="84"/>
  <c r="BH602" i="84"/>
  <c r="AJ88" i="84"/>
  <c r="BH352" i="84"/>
  <c r="AJ626" i="84"/>
  <c r="AJ615" i="84"/>
  <c r="AK615" i="84" s="1"/>
  <c r="AJ614" i="84"/>
  <c r="BI614" i="84" s="1"/>
  <c r="BH457" i="84"/>
  <c r="AJ578" i="84"/>
  <c r="BI578" i="84" s="1"/>
  <c r="AJ582" i="84"/>
  <c r="BI582" i="84" s="1"/>
  <c r="AJ540" i="84"/>
  <c r="BI540" i="84" s="1"/>
  <c r="AJ557" i="84"/>
  <c r="BI557" i="84" s="1"/>
  <c r="AJ543" i="84"/>
  <c r="BH420" i="84"/>
  <c r="BH609" i="84"/>
  <c r="BH337" i="84"/>
  <c r="BH358" i="84"/>
  <c r="BH326" i="84"/>
  <c r="BH630" i="84"/>
  <c r="AJ573" i="84"/>
  <c r="BI573" i="84" s="1"/>
  <c r="BH462" i="84"/>
  <c r="BH618" i="84"/>
  <c r="AJ97" i="84"/>
  <c r="AK97" i="84" s="1"/>
  <c r="AJ86" i="84"/>
  <c r="BI86" i="84" s="1"/>
  <c r="AJ89" i="84"/>
  <c r="BI89" i="84" s="1"/>
  <c r="BH234" i="84"/>
  <c r="BH230" i="84"/>
  <c r="BH423" i="84"/>
  <c r="BH96" i="84"/>
  <c r="BH81" i="84"/>
  <c r="BH88" i="84"/>
  <c r="BH444" i="84"/>
  <c r="BH614" i="84"/>
  <c r="BH624" i="84"/>
  <c r="BH458" i="84"/>
  <c r="AJ279" i="84"/>
  <c r="BI279" i="84" s="1"/>
  <c r="AJ277" i="84"/>
  <c r="BI277" i="84" s="1"/>
  <c r="AJ317" i="84"/>
  <c r="AK317" i="84" s="1"/>
  <c r="BH94" i="84"/>
  <c r="BH99" i="84"/>
  <c r="BH461" i="84"/>
  <c r="AJ497" i="84"/>
  <c r="BI497" i="84" s="1"/>
  <c r="BH233" i="84"/>
  <c r="BH226" i="84"/>
  <c r="BH243" i="84"/>
  <c r="AJ621" i="84"/>
  <c r="AK621" i="84" s="1"/>
  <c r="AJ611" i="84"/>
  <c r="BI611" i="84" s="1"/>
  <c r="BH167" i="84"/>
  <c r="BH171" i="84"/>
  <c r="BH429" i="84"/>
  <c r="BH428" i="84"/>
  <c r="BH426" i="84"/>
  <c r="BH434" i="84"/>
  <c r="BH437" i="84"/>
  <c r="BH415" i="84"/>
  <c r="BH427" i="84"/>
  <c r="BH416" i="84"/>
  <c r="BH430" i="84"/>
  <c r="BH421" i="84"/>
  <c r="BH438" i="84"/>
  <c r="AJ616" i="84"/>
  <c r="BI616" i="84" s="1"/>
  <c r="BH601" i="84"/>
  <c r="AJ503" i="84"/>
  <c r="AK503" i="84" s="1"/>
  <c r="BH320" i="84"/>
  <c r="AJ289" i="84"/>
  <c r="BI289" i="84" s="1"/>
  <c r="BH237" i="84"/>
  <c r="AJ294" i="84"/>
  <c r="BI294" i="84" s="1"/>
  <c r="BH236" i="84"/>
  <c r="BH223" i="84"/>
  <c r="BH331" i="84"/>
  <c r="BH229" i="84"/>
  <c r="BH322" i="84"/>
  <c r="BH241" i="84"/>
  <c r="BH238" i="84"/>
  <c r="BH246" i="84"/>
  <c r="BH606" i="84"/>
  <c r="BH603" i="84"/>
  <c r="BH417" i="84"/>
  <c r="BH419" i="84"/>
  <c r="BH600" i="84"/>
  <c r="BH266" i="84"/>
  <c r="BH425" i="84"/>
  <c r="BH599" i="84"/>
  <c r="BH435" i="84"/>
  <c r="BH583" i="84"/>
  <c r="BH432" i="84"/>
  <c r="BH436" i="84"/>
  <c r="BH264" i="84"/>
  <c r="BH422" i="84"/>
  <c r="BH593" i="84"/>
  <c r="BH424" i="84"/>
  <c r="BH433" i="84"/>
  <c r="BH584" i="84"/>
  <c r="BH250" i="84"/>
  <c r="BH591" i="84"/>
  <c r="BH431" i="84"/>
  <c r="BH598" i="84"/>
  <c r="BH269" i="84"/>
  <c r="BH597" i="84"/>
  <c r="BH588" i="84"/>
  <c r="BH228" i="84"/>
  <c r="BH240" i="84"/>
  <c r="BH448" i="84"/>
  <c r="BH227" i="84"/>
  <c r="BH244" i="84"/>
  <c r="BH235" i="84"/>
  <c r="BH245" i="84"/>
  <c r="BH231" i="84"/>
  <c r="BH232" i="84"/>
  <c r="BH469" i="84"/>
  <c r="BH594" i="84"/>
  <c r="BH592" i="84"/>
  <c r="BH542" i="84"/>
  <c r="AJ234" i="84"/>
  <c r="AK234" i="84" s="1"/>
  <c r="BH95" i="84"/>
  <c r="BH102" i="84"/>
  <c r="BH83" i="84"/>
  <c r="BH203" i="84"/>
  <c r="AJ239" i="84"/>
  <c r="AK239" i="84" s="1"/>
  <c r="BH202" i="84"/>
  <c r="AJ246" i="84"/>
  <c r="AK246" i="84" s="1"/>
  <c r="BH549" i="84"/>
  <c r="BH101" i="84"/>
  <c r="BH98" i="84"/>
  <c r="BH225" i="84"/>
  <c r="AJ591" i="84"/>
  <c r="BI591" i="84" s="1"/>
  <c r="BH449" i="84"/>
  <c r="BH445" i="84"/>
  <c r="BH589" i="84"/>
  <c r="AJ102" i="84"/>
  <c r="AK102" i="84" s="1"/>
  <c r="BH190" i="84"/>
  <c r="BH184" i="84"/>
  <c r="BH604" i="84"/>
  <c r="BH586" i="84"/>
  <c r="BH259" i="84"/>
  <c r="BH595" i="84"/>
  <c r="BH585" i="84"/>
  <c r="AJ430" i="84"/>
  <c r="BI430" i="84" s="1"/>
  <c r="AJ433" i="84"/>
  <c r="BI433" i="84" s="1"/>
  <c r="AJ426" i="84"/>
  <c r="BI426" i="84" s="1"/>
  <c r="AJ420" i="84"/>
  <c r="BI420" i="84" s="1"/>
  <c r="AJ427" i="84"/>
  <c r="BI427" i="84" s="1"/>
  <c r="AJ428" i="84"/>
  <c r="AK428" i="84" s="1"/>
  <c r="AJ421" i="84"/>
  <c r="BI421" i="84" s="1"/>
  <c r="AJ419" i="84"/>
  <c r="BI419" i="84" s="1"/>
  <c r="AJ603" i="84"/>
  <c r="BI603" i="84" s="1"/>
  <c r="AJ617" i="84"/>
  <c r="BI617" i="84" s="1"/>
  <c r="AJ602" i="84"/>
  <c r="BI602" i="84" s="1"/>
  <c r="AJ84" i="84"/>
  <c r="AK84" i="84" s="1"/>
  <c r="AJ281" i="84"/>
  <c r="BI281" i="84" s="1"/>
  <c r="AJ612" i="84"/>
  <c r="AK612" i="84" s="1"/>
  <c r="BH89" i="84"/>
  <c r="AJ226" i="84"/>
  <c r="AK226" i="84" s="1"/>
  <c r="BH554" i="84"/>
  <c r="BH550" i="84"/>
  <c r="AJ605" i="84"/>
  <c r="BI605" i="84" s="1"/>
  <c r="AJ592" i="84"/>
  <c r="AK592" i="84" s="1"/>
  <c r="BH197" i="84"/>
  <c r="AJ619" i="84"/>
  <c r="BI619" i="84" s="1"/>
  <c r="AJ630" i="84"/>
  <c r="BI630" i="84" s="1"/>
  <c r="AJ288" i="84"/>
  <c r="BI288" i="84" s="1"/>
  <c r="AJ132" i="84"/>
  <c r="AK132" i="84" s="1"/>
  <c r="AJ620" i="84"/>
  <c r="AK620" i="84" s="1"/>
  <c r="AJ287" i="84"/>
  <c r="BI287" i="84" s="1"/>
  <c r="AJ214" i="84"/>
  <c r="AK214" i="84" s="1"/>
  <c r="AJ568" i="84"/>
  <c r="BI568" i="84" s="1"/>
  <c r="AJ586" i="84"/>
  <c r="AK586" i="84" s="1"/>
  <c r="AJ579" i="84"/>
  <c r="AK579" i="84" s="1"/>
  <c r="AJ594" i="84"/>
  <c r="BI594" i="84" s="1"/>
  <c r="AJ607" i="84"/>
  <c r="BI607" i="84" s="1"/>
  <c r="AJ292" i="84"/>
  <c r="AK292" i="84" s="1"/>
  <c r="AJ282" i="84"/>
  <c r="BI282" i="84" s="1"/>
  <c r="AJ590" i="84"/>
  <c r="BI590" i="84" s="1"/>
  <c r="AJ280" i="84"/>
  <c r="BI280" i="84" s="1"/>
  <c r="BH91" i="84"/>
  <c r="AJ599" i="84"/>
  <c r="AK599" i="84" s="1"/>
  <c r="AJ589" i="84"/>
  <c r="AK589" i="84" s="1"/>
  <c r="AJ291" i="84"/>
  <c r="BI291" i="84" s="1"/>
  <c r="AJ598" i="84"/>
  <c r="AK598" i="84" s="1"/>
  <c r="AJ587" i="84"/>
  <c r="AK587" i="84" s="1"/>
  <c r="AJ593" i="84"/>
  <c r="AK593" i="84" s="1"/>
  <c r="AJ597" i="84"/>
  <c r="AK597" i="84" s="1"/>
  <c r="AJ610" i="84"/>
  <c r="AK610" i="84" s="1"/>
  <c r="AJ608" i="84"/>
  <c r="BI608" i="84" s="1"/>
  <c r="AJ588" i="84"/>
  <c r="BI588" i="84" s="1"/>
  <c r="AJ604" i="84"/>
  <c r="AK604" i="84" s="1"/>
  <c r="AJ96" i="84"/>
  <c r="BI96" i="84" s="1"/>
  <c r="AJ99" i="84"/>
  <c r="BI99" i="84" s="1"/>
  <c r="AJ559" i="84"/>
  <c r="BI559" i="84" s="1"/>
  <c r="AJ629" i="84"/>
  <c r="AK629" i="84" s="1"/>
  <c r="AJ613" i="84"/>
  <c r="AK613" i="84" s="1"/>
  <c r="AJ583" i="84"/>
  <c r="BI583" i="84" s="1"/>
  <c r="AJ584" i="84"/>
  <c r="AK584" i="84" s="1"/>
  <c r="AJ622" i="84"/>
  <c r="BI622" i="84" s="1"/>
  <c r="AJ624" i="84"/>
  <c r="AK624" i="84" s="1"/>
  <c r="AJ595" i="84"/>
  <c r="BI595" i="84" s="1"/>
  <c r="AJ623" i="84"/>
  <c r="BI623" i="84" s="1"/>
  <c r="AJ574" i="84"/>
  <c r="AK574" i="84" s="1"/>
  <c r="AJ561" i="84"/>
  <c r="AK561" i="84" s="1"/>
  <c r="AJ94" i="84"/>
  <c r="AK94" i="84" s="1"/>
  <c r="AJ340" i="84"/>
  <c r="AK340" i="84" s="1"/>
  <c r="BH73" i="84"/>
  <c r="BH72" i="84"/>
  <c r="BH62" i="84"/>
  <c r="BH63" i="84"/>
  <c r="BH65" i="84"/>
  <c r="BH69" i="84"/>
  <c r="BH71" i="84"/>
  <c r="BH372" i="84"/>
  <c r="BH74" i="84"/>
  <c r="BH57" i="84"/>
  <c r="BH378" i="84"/>
  <c r="BH67" i="84"/>
  <c r="BH78" i="84"/>
  <c r="BH55" i="84"/>
  <c r="BH58" i="84"/>
  <c r="BH381" i="84"/>
  <c r="BH70" i="84"/>
  <c r="BH68" i="84"/>
  <c r="BH59" i="84"/>
  <c r="BH76" i="84"/>
  <c r="AJ418" i="84"/>
  <c r="AK418" i="84" s="1"/>
  <c r="BH254" i="84"/>
  <c r="AJ384" i="84"/>
  <c r="AK384" i="84" s="1"/>
  <c r="AJ101" i="84"/>
  <c r="AK101" i="84" s="1"/>
  <c r="AJ570" i="84"/>
  <c r="AK570" i="84" s="1"/>
  <c r="AJ293" i="84"/>
  <c r="AK293" i="84" s="1"/>
  <c r="BH350" i="84"/>
  <c r="BH383" i="84"/>
  <c r="BH382" i="84"/>
  <c r="BH357" i="84"/>
  <c r="BH313" i="84"/>
  <c r="BH387" i="84"/>
  <c r="BH370" i="84"/>
  <c r="BH361" i="84"/>
  <c r="AJ373" i="84"/>
  <c r="AK373" i="84" s="1"/>
  <c r="BH349" i="84"/>
  <c r="BH374" i="84"/>
  <c r="BH473" i="84"/>
  <c r="BH362" i="84"/>
  <c r="BH485" i="84"/>
  <c r="BH465" i="84"/>
  <c r="BH369" i="84"/>
  <c r="BH468" i="84"/>
  <c r="BH363" i="84"/>
  <c r="BH302" i="84"/>
  <c r="BH476" i="84"/>
  <c r="BH356" i="84"/>
  <c r="BH344" i="84"/>
  <c r="BH463" i="84"/>
  <c r="BH484" i="84"/>
  <c r="BH364" i="84"/>
  <c r="BH348" i="84"/>
  <c r="BH389" i="84"/>
  <c r="BH377" i="84"/>
  <c r="BH360" i="84"/>
  <c r="BH355" i="84"/>
  <c r="AJ391" i="84"/>
  <c r="AK391" i="84" s="1"/>
  <c r="AJ404" i="84"/>
  <c r="BI404" i="84" s="1"/>
  <c r="AJ399" i="84"/>
  <c r="BI399" i="84" s="1"/>
  <c r="AJ408" i="84"/>
  <c r="BI408" i="84" s="1"/>
  <c r="BH366" i="84"/>
  <c r="BH380" i="84"/>
  <c r="BH376" i="84"/>
  <c r="BH386" i="84"/>
  <c r="BH354" i="84"/>
  <c r="BH316" i="84"/>
  <c r="BH480" i="84"/>
  <c r="BH299" i="84"/>
  <c r="BH351" i="84"/>
  <c r="BH353" i="84"/>
  <c r="BH367" i="84"/>
  <c r="BH365" i="84"/>
  <c r="BH483" i="84"/>
  <c r="BH368" i="84"/>
  <c r="BH467" i="84"/>
  <c r="BH343" i="84"/>
  <c r="BH345" i="84"/>
  <c r="BH371" i="84"/>
  <c r="BH346" i="84"/>
  <c r="BH390" i="84"/>
  <c r="BH478" i="84"/>
  <c r="BH375" i="84"/>
  <c r="BH359" i="84"/>
  <c r="BH474" i="84"/>
  <c r="BH384" i="84"/>
  <c r="AJ405" i="84"/>
  <c r="AK405" i="84" s="1"/>
  <c r="BH373" i="84"/>
  <c r="BH479" i="84"/>
  <c r="BH385" i="84"/>
  <c r="BH481" i="84"/>
  <c r="BH464" i="84"/>
  <c r="BH466" i="84"/>
  <c r="BH388" i="84"/>
  <c r="AJ378" i="84"/>
  <c r="BI378" i="84" s="1"/>
  <c r="AJ388" i="84"/>
  <c r="BI388" i="84" s="1"/>
  <c r="BH97" i="84"/>
  <c r="AJ228" i="84"/>
  <c r="AK228" i="84" s="1"/>
  <c r="AJ223" i="84"/>
  <c r="BI223" i="84" s="1"/>
  <c r="BH86" i="84"/>
  <c r="BH84" i="84"/>
  <c r="BH93" i="84"/>
  <c r="BH92" i="84"/>
  <c r="BH90" i="84"/>
  <c r="AJ236" i="84"/>
  <c r="BI236" i="84" s="1"/>
  <c r="BH80" i="84"/>
  <c r="AJ225" i="84"/>
  <c r="BI225" i="84" s="1"/>
  <c r="BH79" i="84"/>
  <c r="BH196" i="84"/>
  <c r="AJ241" i="84"/>
  <c r="BI241" i="84" s="1"/>
  <c r="BH100" i="84"/>
  <c r="BH85" i="84"/>
  <c r="AJ508" i="84"/>
  <c r="AK508" i="84" s="1"/>
  <c r="AJ491" i="84"/>
  <c r="BI491" i="84" s="1"/>
  <c r="AJ501" i="84"/>
  <c r="BI501" i="84" s="1"/>
  <c r="AJ500" i="84"/>
  <c r="BI500" i="84" s="1"/>
  <c r="AJ493" i="84"/>
  <c r="BI493" i="84" s="1"/>
  <c r="AJ492" i="84"/>
  <c r="BI492" i="84" s="1"/>
  <c r="AJ506" i="84"/>
  <c r="BI506" i="84" s="1"/>
  <c r="AJ507" i="84"/>
  <c r="BI507" i="84" s="1"/>
  <c r="AJ494" i="84"/>
  <c r="AK494" i="84" s="1"/>
  <c r="AJ490" i="84"/>
  <c r="AK490" i="84" s="1"/>
  <c r="AJ90" i="84"/>
  <c r="BI90" i="84" s="1"/>
  <c r="AJ502" i="84"/>
  <c r="AK502" i="84" s="1"/>
  <c r="AJ505" i="84"/>
  <c r="AK505" i="84" s="1"/>
  <c r="AJ495" i="84"/>
  <c r="BI495" i="84" s="1"/>
  <c r="BH27" i="84"/>
  <c r="BH25" i="84"/>
  <c r="AJ538" i="84"/>
  <c r="BI538" i="84" s="1"/>
  <c r="AJ542" i="84"/>
  <c r="AK542" i="84" s="1"/>
  <c r="AJ488" i="84"/>
  <c r="AK488" i="84" s="1"/>
  <c r="AJ221" i="84"/>
  <c r="BI221" i="84" s="1"/>
  <c r="AJ438" i="84"/>
  <c r="AK438" i="84" s="1"/>
  <c r="BH17" i="84"/>
  <c r="BH477" i="84"/>
  <c r="BH470" i="84"/>
  <c r="AJ12" i="84"/>
  <c r="BI12" i="84" s="1"/>
  <c r="AJ231" i="84"/>
  <c r="AK231" i="84" s="1"/>
  <c r="AJ509" i="84"/>
  <c r="BI509" i="84" s="1"/>
  <c r="AJ181" i="84"/>
  <c r="AK181" i="84" s="1"/>
  <c r="AJ436" i="84"/>
  <c r="AK436" i="84" s="1"/>
  <c r="BH118" i="84"/>
  <c r="AJ537" i="84"/>
  <c r="BI537" i="84" s="1"/>
  <c r="AJ425" i="84"/>
  <c r="AK425" i="84" s="1"/>
  <c r="AJ432" i="84"/>
  <c r="BI432" i="84" s="1"/>
  <c r="AJ424" i="84"/>
  <c r="BI424" i="84" s="1"/>
  <c r="BH511" i="84"/>
  <c r="AJ16" i="84"/>
  <c r="BI16" i="84" s="1"/>
  <c r="AJ14" i="84"/>
  <c r="BI14" i="84" s="1"/>
  <c r="AJ547" i="84"/>
  <c r="AK547" i="84" s="1"/>
  <c r="AJ415" i="84"/>
  <c r="BI415" i="84" s="1"/>
  <c r="AJ339" i="84"/>
  <c r="AK339" i="84" s="1"/>
  <c r="AJ544" i="84"/>
  <c r="AK544" i="84" s="1"/>
  <c r="AJ423" i="84"/>
  <c r="AK423" i="84" s="1"/>
  <c r="AJ416" i="84"/>
  <c r="BI416" i="84" s="1"/>
  <c r="AJ429" i="84"/>
  <c r="BI429" i="84" s="1"/>
  <c r="AJ434" i="84"/>
  <c r="BI434" i="84" s="1"/>
  <c r="BH471" i="84"/>
  <c r="AJ19" i="84"/>
  <c r="BI19" i="84" s="1"/>
  <c r="AJ422" i="84"/>
  <c r="BI422" i="84" s="1"/>
  <c r="AJ504" i="84"/>
  <c r="BI504" i="84" s="1"/>
  <c r="AJ510" i="84"/>
  <c r="BI510" i="84" s="1"/>
  <c r="AJ560" i="84"/>
  <c r="BI560" i="84" s="1"/>
  <c r="BH87" i="84"/>
  <c r="BH242" i="84"/>
  <c r="AJ271" i="84"/>
  <c r="BI271" i="84" s="1"/>
  <c r="AJ562" i="84"/>
  <c r="BI562" i="84" s="1"/>
  <c r="AJ564" i="84"/>
  <c r="AK564" i="84" s="1"/>
  <c r="BH195" i="84"/>
  <c r="BH194" i="84"/>
  <c r="BH216" i="84"/>
  <c r="AJ129" i="84"/>
  <c r="BI129" i="84" s="1"/>
  <c r="AJ205" i="84"/>
  <c r="AK205" i="84" s="1"/>
  <c r="AJ206" i="84"/>
  <c r="BI206" i="84" s="1"/>
  <c r="AJ189" i="84"/>
  <c r="BI189" i="84" s="1"/>
  <c r="AJ215" i="84"/>
  <c r="AK215" i="84" s="1"/>
  <c r="AJ149" i="84"/>
  <c r="AK149" i="84" s="1"/>
  <c r="AJ137" i="84"/>
  <c r="BI137" i="84" s="1"/>
  <c r="BH182" i="84"/>
  <c r="BH178" i="84"/>
  <c r="BH211" i="84"/>
  <c r="BH208" i="84"/>
  <c r="BH207" i="84"/>
  <c r="BH219" i="84"/>
  <c r="BH215" i="84"/>
  <c r="BH213" i="84"/>
  <c r="AJ212" i="84"/>
  <c r="BI212" i="84" s="1"/>
  <c r="AJ200" i="84"/>
  <c r="BI200" i="84" s="1"/>
  <c r="BI926" i="84"/>
  <c r="BH188" i="84"/>
  <c r="BH200" i="84"/>
  <c r="BH199" i="84"/>
  <c r="BH210" i="84"/>
  <c r="AJ220" i="84"/>
  <c r="AK220" i="84" s="1"/>
  <c r="AJ211" i="84"/>
  <c r="BI211" i="84" s="1"/>
  <c r="AJ184" i="84"/>
  <c r="AK184" i="84" s="1"/>
  <c r="AJ204" i="84"/>
  <c r="AK204" i="84" s="1"/>
  <c r="BH220" i="84"/>
  <c r="BH189" i="84"/>
  <c r="BH214" i="84"/>
  <c r="AJ144" i="84"/>
  <c r="AK144" i="84" s="1"/>
  <c r="AJ180" i="84"/>
  <c r="AK180" i="84" s="1"/>
  <c r="AJ196" i="84"/>
  <c r="BI196" i="84" s="1"/>
  <c r="BH176" i="84"/>
  <c r="BH192" i="84"/>
  <c r="BH191" i="84"/>
  <c r="BH217" i="84"/>
  <c r="BH180" i="84"/>
  <c r="BH205" i="84"/>
  <c r="AJ197" i="84"/>
  <c r="AK197" i="84" s="1"/>
  <c r="AJ183" i="84"/>
  <c r="AK183" i="84" s="1"/>
  <c r="AJ193" i="84"/>
  <c r="BI193" i="84" s="1"/>
  <c r="AJ148" i="84"/>
  <c r="BI148" i="84" s="1"/>
  <c r="AJ207" i="84"/>
  <c r="AK207" i="84" s="1"/>
  <c r="AJ177" i="84"/>
  <c r="BI177" i="84" s="1"/>
  <c r="AJ216" i="84"/>
  <c r="AK216" i="84" s="1"/>
  <c r="AJ201" i="84"/>
  <c r="AK201" i="84" s="1"/>
  <c r="AJ203" i="84"/>
  <c r="BI203" i="84" s="1"/>
  <c r="BH187" i="84"/>
  <c r="BH218" i="84"/>
  <c r="BH181" i="84"/>
  <c r="BH209" i="84"/>
  <c r="BH179" i="84"/>
  <c r="BH204" i="84"/>
  <c r="BH221" i="84"/>
  <c r="BH175" i="84"/>
  <c r="BH198" i="84"/>
  <c r="BH206" i="84"/>
  <c r="AJ194" i="84"/>
  <c r="BI194" i="84" s="1"/>
  <c r="AJ140" i="84"/>
  <c r="BI140" i="84" s="1"/>
  <c r="AJ187" i="84"/>
  <c r="AK187" i="84" s="1"/>
  <c r="AJ218" i="84"/>
  <c r="AK218" i="84" s="1"/>
  <c r="BH177" i="84"/>
  <c r="BH222" i="84"/>
  <c r="BH201" i="84"/>
  <c r="BH183" i="84"/>
  <c r="BH185" i="84"/>
  <c r="BH186" i="84"/>
  <c r="AJ198" i="84"/>
  <c r="BI198" i="84" s="1"/>
  <c r="AJ209" i="84"/>
  <c r="BI209" i="84" s="1"/>
  <c r="AJ126" i="84"/>
  <c r="BI126" i="84" s="1"/>
  <c r="AJ219" i="84"/>
  <c r="BI219" i="84" s="1"/>
  <c r="AJ243" i="84"/>
  <c r="BI243" i="84" s="1"/>
  <c r="AJ431" i="84"/>
  <c r="AK431" i="84" s="1"/>
  <c r="AJ274" i="84"/>
  <c r="AK274" i="84" s="1"/>
  <c r="AJ273" i="84"/>
  <c r="BI273" i="84" s="1"/>
  <c r="AJ238" i="84"/>
  <c r="AK238" i="84" s="1"/>
  <c r="AJ237" i="84"/>
  <c r="BI237" i="84" s="1"/>
  <c r="AJ175" i="84"/>
  <c r="AK175" i="84" s="1"/>
  <c r="AJ278" i="84"/>
  <c r="BI278" i="84" s="1"/>
  <c r="BI707" i="84"/>
  <c r="BI775" i="84"/>
  <c r="AJ73" i="84"/>
  <c r="BI73" i="84" s="1"/>
  <c r="AJ77" i="84"/>
  <c r="AK77" i="84" s="1"/>
  <c r="BH173" i="84"/>
  <c r="BH160" i="84"/>
  <c r="BH107" i="84"/>
  <c r="BH151" i="84"/>
  <c r="BH165" i="84"/>
  <c r="BH163" i="84"/>
  <c r="AJ555" i="84"/>
  <c r="BI555" i="84" s="1"/>
  <c r="AJ382" i="84"/>
  <c r="BI382" i="84" s="1"/>
  <c r="AJ235" i="84"/>
  <c r="AK235" i="84" s="1"/>
  <c r="AJ230" i="84"/>
  <c r="BI230" i="84" s="1"/>
  <c r="AJ563" i="84"/>
  <c r="BI563" i="84" s="1"/>
  <c r="AJ162" i="84"/>
  <c r="AK162" i="84" s="1"/>
  <c r="BH571" i="84"/>
  <c r="BH150" i="84"/>
  <c r="BH142" i="84"/>
  <c r="BH156" i="84"/>
  <c r="BH161" i="84"/>
  <c r="AJ370" i="84"/>
  <c r="BI370" i="84" s="1"/>
  <c r="AJ417" i="84"/>
  <c r="BI417" i="84" s="1"/>
  <c r="AJ159" i="84"/>
  <c r="BI159" i="84" s="1"/>
  <c r="BH108" i="84"/>
  <c r="BH157" i="84"/>
  <c r="BH174" i="84"/>
  <c r="AJ449" i="84"/>
  <c r="BI449" i="84" s="1"/>
  <c r="BH149" i="84"/>
  <c r="BH565" i="84"/>
  <c r="BH154" i="84"/>
  <c r="BH162" i="84"/>
  <c r="AJ64" i="84"/>
  <c r="AK64" i="84" s="1"/>
  <c r="AJ248" i="84"/>
  <c r="AK248" i="84" s="1"/>
  <c r="AJ439" i="84"/>
  <c r="BI439" i="84" s="1"/>
  <c r="BH159" i="84"/>
  <c r="BH114" i="84"/>
  <c r="BH170" i="84"/>
  <c r="BH168" i="84"/>
  <c r="BH172" i="84"/>
  <c r="BH166" i="84"/>
  <c r="BH152" i="84"/>
  <c r="BH224" i="84"/>
  <c r="AJ551" i="84"/>
  <c r="AK551" i="84" s="1"/>
  <c r="AJ192" i="84"/>
  <c r="AK192" i="84" s="1"/>
  <c r="AJ229" i="84"/>
  <c r="AK229" i="84" s="1"/>
  <c r="AJ546" i="84"/>
  <c r="AK546" i="84" s="1"/>
  <c r="AJ172" i="84"/>
  <c r="BI172" i="84" s="1"/>
  <c r="BH169" i="84"/>
  <c r="AJ67" i="84"/>
  <c r="BI67" i="84" s="1"/>
  <c r="AJ153" i="84"/>
  <c r="BI153" i="84" s="1"/>
  <c r="BH132" i="84"/>
  <c r="BH153" i="84"/>
  <c r="BH158" i="84"/>
  <c r="BH164" i="84"/>
  <c r="AJ121" i="84"/>
  <c r="BI121" i="84" s="1"/>
  <c r="AJ35" i="84"/>
  <c r="AK35" i="84" s="1"/>
  <c r="BH581" i="84"/>
  <c r="BH579" i="84"/>
  <c r="BH495" i="84"/>
  <c r="BH509" i="84"/>
  <c r="BH580" i="84"/>
  <c r="AJ455" i="84"/>
  <c r="AK455" i="84" s="1"/>
  <c r="AJ529" i="84"/>
  <c r="AK529" i="84" s="1"/>
  <c r="AJ406" i="84"/>
  <c r="BI406" i="84" s="1"/>
  <c r="AJ352" i="84"/>
  <c r="AK352" i="84" s="1"/>
  <c r="AJ400" i="84"/>
  <c r="BI400" i="84" s="1"/>
  <c r="AJ146" i="84"/>
  <c r="AK146" i="84" s="1"/>
  <c r="AJ116" i="84"/>
  <c r="AK116" i="84" s="1"/>
  <c r="AJ93" i="84"/>
  <c r="AK93" i="84" s="1"/>
  <c r="AJ286" i="84"/>
  <c r="AK286" i="84" s="1"/>
  <c r="AJ276" i="84"/>
  <c r="AK276" i="84" s="1"/>
  <c r="AJ581" i="84"/>
  <c r="AK581" i="84" s="1"/>
  <c r="AJ314" i="84"/>
  <c r="AK314" i="84" s="1"/>
  <c r="BH135" i="84"/>
  <c r="BH272" i="84"/>
  <c r="BH488" i="84"/>
  <c r="BH575" i="84"/>
  <c r="BH582" i="84"/>
  <c r="BH281" i="84"/>
  <c r="AJ444" i="84"/>
  <c r="AK444" i="84" s="1"/>
  <c r="AJ366" i="84"/>
  <c r="BI366" i="84" s="1"/>
  <c r="AJ117" i="84"/>
  <c r="AK117" i="84" s="1"/>
  <c r="AJ33" i="84"/>
  <c r="BI33" i="84" s="1"/>
  <c r="AJ122" i="84"/>
  <c r="BI122" i="84" s="1"/>
  <c r="AJ354" i="84"/>
  <c r="AK354" i="84" s="1"/>
  <c r="AJ106" i="84"/>
  <c r="BI106" i="84" s="1"/>
  <c r="AJ49" i="84"/>
  <c r="AK49" i="84" s="1"/>
  <c r="AJ580" i="84"/>
  <c r="AJ344" i="84"/>
  <c r="BI344" i="84" s="1"/>
  <c r="BH566" i="84"/>
  <c r="BH561" i="84"/>
  <c r="BH563" i="84"/>
  <c r="BH577" i="84"/>
  <c r="AJ120" i="84"/>
  <c r="AK120" i="84" s="1"/>
  <c r="AJ359" i="84"/>
  <c r="BI359" i="84" s="1"/>
  <c r="AJ296" i="84"/>
  <c r="AK296" i="84" s="1"/>
  <c r="AJ112" i="84"/>
  <c r="AK112" i="84" s="1"/>
  <c r="AJ521" i="84"/>
  <c r="AK521" i="84" s="1"/>
  <c r="AJ113" i="84"/>
  <c r="AK113" i="84" s="1"/>
  <c r="AJ556" i="84"/>
  <c r="AK556" i="84" s="1"/>
  <c r="AK729" i="84"/>
  <c r="AR729" i="84" s="1"/>
  <c r="AJ528" i="84"/>
  <c r="BI528" i="84" s="1"/>
  <c r="AJ356" i="84"/>
  <c r="AK356" i="84" s="1"/>
  <c r="BH569" i="84"/>
  <c r="BH578" i="84"/>
  <c r="BH564" i="84"/>
  <c r="BH576" i="84"/>
  <c r="BH562" i="84"/>
  <c r="AJ445" i="84"/>
  <c r="BI445" i="84" s="1"/>
  <c r="AJ54" i="84"/>
  <c r="BI54" i="84" s="1"/>
  <c r="AJ452" i="84"/>
  <c r="AK452" i="84" s="1"/>
  <c r="AJ143" i="84"/>
  <c r="BI143" i="84" s="1"/>
  <c r="AJ454" i="84"/>
  <c r="BI454" i="84" s="1"/>
  <c r="AJ109" i="84"/>
  <c r="BI109" i="84" s="1"/>
  <c r="AJ174" i="84"/>
  <c r="BI174" i="84" s="1"/>
  <c r="AJ164" i="84"/>
  <c r="BI164" i="84" s="1"/>
  <c r="AJ387" i="84"/>
  <c r="AK387" i="84" s="1"/>
  <c r="AJ345" i="84"/>
  <c r="BI345" i="84" s="1"/>
  <c r="AJ371" i="84"/>
  <c r="BI371" i="84" s="1"/>
  <c r="AJ565" i="84"/>
  <c r="AK565" i="84" s="1"/>
  <c r="AJ525" i="84"/>
  <c r="AK525" i="84" s="1"/>
  <c r="AJ566" i="84"/>
  <c r="BI566" i="84" s="1"/>
  <c r="AJ45" i="84"/>
  <c r="BI45" i="84" s="1"/>
  <c r="BH494" i="84"/>
  <c r="BH487" i="84"/>
  <c r="BH144" i="84"/>
  <c r="BH496" i="84"/>
  <c r="AJ349" i="84"/>
  <c r="BI349" i="84" s="1"/>
  <c r="AJ533" i="84"/>
  <c r="BI533" i="84" s="1"/>
  <c r="AJ156" i="84"/>
  <c r="AK156" i="84" s="1"/>
  <c r="AJ539" i="84"/>
  <c r="AK539" i="84" s="1"/>
  <c r="AJ118" i="84"/>
  <c r="BI118" i="84" s="1"/>
  <c r="AJ249" i="84"/>
  <c r="BI249" i="84" s="1"/>
  <c r="AJ305" i="84"/>
  <c r="BI305" i="84" s="1"/>
  <c r="AJ374" i="84"/>
  <c r="AK374" i="84" s="1"/>
  <c r="AJ123" i="84"/>
  <c r="BI123" i="84" s="1"/>
  <c r="AJ577" i="84"/>
  <c r="AK577" i="84" s="1"/>
  <c r="AJ36" i="84"/>
  <c r="AK36" i="84" s="1"/>
  <c r="AJ357" i="84"/>
  <c r="BI357" i="84" s="1"/>
  <c r="AJ517" i="84"/>
  <c r="BI517" i="84" s="1"/>
  <c r="AJ119" i="84"/>
  <c r="BI119" i="84" s="1"/>
  <c r="AJ103" i="84"/>
  <c r="AK103" i="84" s="1"/>
  <c r="BH279" i="84"/>
  <c r="BH572" i="84"/>
  <c r="BH560" i="84"/>
  <c r="BH568" i="84"/>
  <c r="BH570" i="84"/>
  <c r="BH573" i="84"/>
  <c r="BH507" i="84"/>
  <c r="AJ110" i="84"/>
  <c r="AK110" i="84" s="1"/>
  <c r="AJ518" i="84"/>
  <c r="BI518" i="84" s="1"/>
  <c r="AJ39" i="84"/>
  <c r="AK39" i="84" s="1"/>
  <c r="AJ125" i="84"/>
  <c r="BI125" i="84" s="1"/>
  <c r="AJ145" i="84"/>
  <c r="AK145" i="84" s="1"/>
  <c r="AJ108" i="84"/>
  <c r="AK108" i="84" s="1"/>
  <c r="AJ107" i="84"/>
  <c r="AK107" i="84" s="1"/>
  <c r="AJ31" i="84"/>
  <c r="BI31" i="84" s="1"/>
  <c r="AJ115" i="84"/>
  <c r="AK115" i="84" s="1"/>
  <c r="BH567" i="84"/>
  <c r="BH559" i="84"/>
  <c r="AJ531" i="84"/>
  <c r="BI531" i="84" s="1"/>
  <c r="AJ124" i="84"/>
  <c r="BI124" i="84" s="1"/>
  <c r="AJ453" i="84"/>
  <c r="AK453" i="84" s="1"/>
  <c r="AJ442" i="84"/>
  <c r="AK442" i="84" s="1"/>
  <c r="AJ576" i="84"/>
  <c r="AK514" i="84"/>
  <c r="BI514" i="84"/>
  <c r="AK167" i="84"/>
  <c r="BI167" i="84"/>
  <c r="BI302" i="84"/>
  <c r="AK302" i="84"/>
  <c r="BI25" i="84"/>
  <c r="AK25" i="84"/>
  <c r="AK336" i="84"/>
  <c r="BI336" i="84"/>
  <c r="BI98" i="84"/>
  <c r="AK98" i="84"/>
  <c r="AK53" i="84"/>
  <c r="BI53" i="84"/>
  <c r="BI263" i="84"/>
  <c r="AK263" i="84"/>
  <c r="AK541" i="84"/>
  <c r="BI541" i="84"/>
  <c r="BI134" i="84"/>
  <c r="AK134" i="84"/>
  <c r="AK182" i="84"/>
  <c r="BI182" i="84"/>
  <c r="AK61" i="84"/>
  <c r="BI61" i="84"/>
  <c r="AK854" i="84"/>
  <c r="BI854" i="84"/>
  <c r="BI852" i="84"/>
  <c r="AK852" i="84"/>
  <c r="AK625" i="84"/>
  <c r="BI625" i="84"/>
  <c r="BI760" i="84"/>
  <c r="AK760" i="84"/>
  <c r="BI887" i="84"/>
  <c r="AK887" i="84"/>
  <c r="AK96" i="84"/>
  <c r="BI721" i="84"/>
  <c r="AK721" i="84"/>
  <c r="AK945" i="84"/>
  <c r="BI945" i="84"/>
  <c r="AK925" i="84"/>
  <c r="BI925" i="84"/>
  <c r="AJ477" i="84"/>
  <c r="AK635" i="84"/>
  <c r="BI635" i="84"/>
  <c r="BI645" i="84"/>
  <c r="AK645" i="84"/>
  <c r="BI601" i="84"/>
  <c r="AK601" i="84"/>
  <c r="AK943" i="84"/>
  <c r="BI943" i="84"/>
  <c r="AK869" i="84"/>
  <c r="BI869" i="84"/>
  <c r="BI957" i="84"/>
  <c r="AK957" i="84"/>
  <c r="BI806" i="84"/>
  <c r="AK806" i="84"/>
  <c r="BI796" i="84"/>
  <c r="AK796" i="84"/>
  <c r="BH518" i="84"/>
  <c r="BH537" i="84"/>
  <c r="BH9" i="84"/>
  <c r="BH126" i="84"/>
  <c r="BH139" i="84"/>
  <c r="BH500" i="84"/>
  <c r="BH311" i="84"/>
  <c r="BH538" i="84"/>
  <c r="BH282" i="84"/>
  <c r="BH145" i="84"/>
  <c r="BH535" i="84"/>
  <c r="BH543" i="84"/>
  <c r="BH536" i="84"/>
  <c r="BH119" i="84"/>
  <c r="BH274" i="84"/>
  <c r="BH498" i="84"/>
  <c r="BH256" i="84"/>
  <c r="BH7" i="84"/>
  <c r="BH289" i="84"/>
  <c r="BH12" i="84"/>
  <c r="BH298" i="84"/>
  <c r="BH8" i="84"/>
  <c r="BH547" i="84"/>
  <c r="BH284" i="84"/>
  <c r="BH278" i="84"/>
  <c r="BH505" i="84"/>
  <c r="AK838" i="84"/>
  <c r="BI838" i="84"/>
  <c r="BI759" i="84"/>
  <c r="AK759" i="84"/>
  <c r="AK114" i="84"/>
  <c r="BI114" i="84"/>
  <c r="AJ160" i="84"/>
  <c r="AJ265" i="84"/>
  <c r="BI862" i="84"/>
  <c r="AK862" i="84"/>
  <c r="AK942" i="84"/>
  <c r="BI942" i="84"/>
  <c r="BI734" i="84"/>
  <c r="AK734" i="84"/>
  <c r="AK788" i="84"/>
  <c r="BI788" i="84"/>
  <c r="AJ471" i="84"/>
  <c r="AK858" i="84"/>
  <c r="BI858" i="84"/>
  <c r="BI907" i="84"/>
  <c r="AK907" i="84"/>
  <c r="BU21" i="82"/>
  <c r="AJ364" i="84"/>
  <c r="BI900" i="84"/>
  <c r="AK900" i="84"/>
  <c r="AK735" i="84"/>
  <c r="BI735" i="84"/>
  <c r="AK868" i="84"/>
  <c r="BI868" i="84"/>
  <c r="AJ320" i="84"/>
  <c r="BI839" i="84"/>
  <c r="AK839" i="84"/>
  <c r="AJ307" i="84"/>
  <c r="BI693" i="84"/>
  <c r="AK693" i="84"/>
  <c r="BI944" i="84"/>
  <c r="AK944" i="84"/>
  <c r="AK890" i="84"/>
  <c r="BI890" i="84"/>
  <c r="BI919" i="84"/>
  <c r="AK919" i="84"/>
  <c r="AK814" i="84"/>
  <c r="BI814" i="84"/>
  <c r="AJ329" i="84"/>
  <c r="AK644" i="84"/>
  <c r="BI644" i="84"/>
  <c r="AJ17" i="84"/>
  <c r="BI829" i="84"/>
  <c r="AK829" i="84"/>
  <c r="AJ270" i="84"/>
  <c r="AK652" i="84"/>
  <c r="BI652" i="84"/>
  <c r="AK848" i="84"/>
  <c r="BI848" i="84"/>
  <c r="BI857" i="84"/>
  <c r="AK857" i="84"/>
  <c r="AJ168" i="84"/>
  <c r="AK736" i="84"/>
  <c r="BI736" i="84"/>
  <c r="AK837" i="84"/>
  <c r="BI837" i="84"/>
  <c r="BI902" i="84"/>
  <c r="AK902" i="84"/>
  <c r="AJ361" i="84"/>
  <c r="AJ51" i="84"/>
  <c r="AJ532" i="84"/>
  <c r="BI906" i="84"/>
  <c r="AK906" i="84"/>
  <c r="AK865" i="84"/>
  <c r="BI865" i="84"/>
  <c r="AJ536" i="84"/>
  <c r="AJ11" i="84"/>
  <c r="AJ478" i="84"/>
  <c r="AJ522" i="84"/>
  <c r="BI915" i="84"/>
  <c r="AK915" i="84"/>
  <c r="AJ450" i="84"/>
  <c r="AJ165" i="84"/>
  <c r="AJ411" i="84"/>
  <c r="AJ295" i="84"/>
  <c r="BI727" i="84"/>
  <c r="AK727" i="84"/>
  <c r="BI769" i="84"/>
  <c r="AK769" i="84"/>
  <c r="AJ365" i="84"/>
  <c r="AK798" i="84"/>
  <c r="BI798" i="84"/>
  <c r="BI284" i="84"/>
  <c r="AK284" i="84"/>
  <c r="AJ368" i="84"/>
  <c r="AJ315" i="84"/>
  <c r="BI933" i="84"/>
  <c r="AK933" i="84"/>
  <c r="BI861" i="84"/>
  <c r="AK861" i="84"/>
  <c r="AJ381" i="84"/>
  <c r="AK830" i="84"/>
  <c r="BI830" i="84"/>
  <c r="AJ21" i="84"/>
  <c r="BI930" i="84"/>
  <c r="AK930" i="84"/>
  <c r="AJ412" i="84"/>
  <c r="BI886" i="84"/>
  <c r="AK886" i="84"/>
  <c r="AJ190" i="84"/>
  <c r="BI877" i="84"/>
  <c r="AK877" i="84"/>
  <c r="AJ435" i="84"/>
  <c r="AJ377" i="84"/>
  <c r="BI920" i="84"/>
  <c r="AK920" i="84"/>
  <c r="AK733" i="84"/>
  <c r="BI733" i="84"/>
  <c r="AJ383" i="84"/>
  <c r="BI689" i="84"/>
  <c r="AK689" i="84"/>
  <c r="AJ363" i="84"/>
  <c r="AJ334" i="84"/>
  <c r="AJ379" i="84"/>
  <c r="AJ299" i="84"/>
  <c r="BI702" i="84"/>
  <c r="AK702" i="84"/>
  <c r="AK941" i="84"/>
  <c r="BI941" i="84"/>
  <c r="AX926" i="84"/>
  <c r="AU926" i="84"/>
  <c r="AL926" i="84"/>
  <c r="AR926" i="84"/>
  <c r="AO926" i="84"/>
  <c r="BB926" i="84"/>
  <c r="AK784" i="84"/>
  <c r="BI784" i="84"/>
  <c r="AK748" i="84"/>
  <c r="BI748" i="84"/>
  <c r="BI756" i="84"/>
  <c r="AK756" i="84"/>
  <c r="BI879" i="84"/>
  <c r="AK879" i="84"/>
  <c r="BI844" i="84"/>
  <c r="AK844" i="84"/>
  <c r="AK903" i="84"/>
  <c r="BI903" i="84"/>
  <c r="AK846" i="84"/>
  <c r="BI846" i="84"/>
  <c r="AK923" i="84"/>
  <c r="BI923" i="84"/>
  <c r="BI711" i="84"/>
  <c r="AK711" i="84"/>
  <c r="AK675" i="84"/>
  <c r="BI675" i="84"/>
  <c r="BI684" i="84"/>
  <c r="AK684" i="84"/>
  <c r="AJ476" i="84"/>
  <c r="BH309" i="84"/>
  <c r="BH248" i="84"/>
  <c r="BH24" i="84"/>
  <c r="BH532" i="84"/>
  <c r="BH513" i="84"/>
  <c r="BH304" i="84"/>
  <c r="BH260" i="84"/>
  <c r="BH306" i="84"/>
  <c r="BH11" i="84"/>
  <c r="BH136" i="84"/>
  <c r="BH137" i="84"/>
  <c r="BH503" i="84"/>
  <c r="BH548" i="84"/>
  <c r="BH540" i="84"/>
  <c r="BH127" i="84"/>
  <c r="BH16" i="84"/>
  <c r="BH522" i="84"/>
  <c r="BH528" i="84"/>
  <c r="BH499" i="84"/>
  <c r="BH519" i="84"/>
  <c r="BI709" i="84"/>
  <c r="AK709" i="84"/>
  <c r="BI740" i="84"/>
  <c r="AK740" i="84"/>
  <c r="BI818" i="84"/>
  <c r="AK818" i="84"/>
  <c r="AK667" i="84"/>
  <c r="BI667" i="84"/>
  <c r="BI826" i="84"/>
  <c r="AK826" i="84"/>
  <c r="BI872" i="84"/>
  <c r="AK872" i="84"/>
  <c r="AJ321" i="84"/>
  <c r="AK80" i="84"/>
  <c r="BI80" i="84"/>
  <c r="AK859" i="84"/>
  <c r="BI859" i="84"/>
  <c r="BI688" i="84"/>
  <c r="AK688" i="84"/>
  <c r="AJ396" i="84"/>
  <c r="BI895" i="84"/>
  <c r="AK895" i="84"/>
  <c r="AK686" i="84"/>
  <c r="BI686" i="84"/>
  <c r="AJ335" i="84"/>
  <c r="BI85" i="84"/>
  <c r="AK85" i="84"/>
  <c r="BI797" i="84"/>
  <c r="AK797" i="84"/>
  <c r="BI953" i="84"/>
  <c r="AK953" i="84"/>
  <c r="AK722" i="84"/>
  <c r="BI722" i="84"/>
  <c r="AK833" i="84"/>
  <c r="BI833" i="84"/>
  <c r="AJ325" i="84"/>
  <c r="AK668" i="84"/>
  <c r="BI668" i="84"/>
  <c r="BI794" i="84"/>
  <c r="AK794" i="84"/>
  <c r="AJ443" i="84"/>
  <c r="AK706" i="84"/>
  <c r="BI706" i="84"/>
  <c r="AJ513" i="84"/>
  <c r="AK836" i="84"/>
  <c r="BI836" i="84"/>
  <c r="AJ128" i="84"/>
  <c r="BU12" i="82"/>
  <c r="AJ130" i="84"/>
  <c r="AJ133" i="84"/>
  <c r="AJ127" i="84"/>
  <c r="BI876" i="84"/>
  <c r="AK876" i="84"/>
  <c r="BI770" i="84"/>
  <c r="AK770" i="84"/>
  <c r="AK739" i="84"/>
  <c r="BI739" i="84"/>
  <c r="BI699" i="84"/>
  <c r="AK699" i="84"/>
  <c r="BI965" i="84"/>
  <c r="AK965" i="84"/>
  <c r="AJ240" i="84"/>
  <c r="BU16" i="82"/>
  <c r="AK782" i="84"/>
  <c r="BI782" i="84"/>
  <c r="AK817" i="84"/>
  <c r="BI817" i="84"/>
  <c r="AJ312" i="84"/>
  <c r="AJ394" i="84"/>
  <c r="AJ473" i="84"/>
  <c r="AJ57" i="84"/>
  <c r="AJ553" i="84"/>
  <c r="AJ306" i="84"/>
  <c r="AJ456" i="84"/>
  <c r="BI696" i="84"/>
  <c r="AK696" i="84"/>
  <c r="BI674" i="84"/>
  <c r="AK674" i="84"/>
  <c r="AK863" i="84"/>
  <c r="BI863" i="84"/>
  <c r="AK878" i="84"/>
  <c r="BI878" i="84"/>
  <c r="AJ395" i="84"/>
  <c r="AK772" i="84"/>
  <c r="BI772" i="84"/>
  <c r="AJ451" i="84"/>
  <c r="AK831" i="84"/>
  <c r="BI831" i="84"/>
  <c r="AK898" i="84"/>
  <c r="BI898" i="84"/>
  <c r="AJ535" i="84"/>
  <c r="BI840" i="84"/>
  <c r="AK840" i="84"/>
  <c r="AK660" i="84"/>
  <c r="BI660" i="84"/>
  <c r="AJ297" i="84"/>
  <c r="BI897" i="84"/>
  <c r="AK897" i="84"/>
  <c r="BI917" i="84"/>
  <c r="AK917" i="84"/>
  <c r="AJ72" i="84"/>
  <c r="BI880" i="84"/>
  <c r="AK880" i="84"/>
  <c r="AJ233" i="84"/>
  <c r="AJ376" i="84"/>
  <c r="AJ26" i="84"/>
  <c r="AJ392" i="84"/>
  <c r="AJ330" i="84"/>
  <c r="AJ245" i="84"/>
  <c r="AJ545" i="84"/>
  <c r="BI728" i="84"/>
  <c r="AK728" i="84"/>
  <c r="AK777" i="84"/>
  <c r="BI777" i="84"/>
  <c r="AJ56" i="84"/>
  <c r="BI816" i="84"/>
  <c r="AK816" i="84"/>
  <c r="AK795" i="84"/>
  <c r="BI795" i="84"/>
  <c r="BI669" i="84"/>
  <c r="AK669" i="84"/>
  <c r="AJ369" i="84"/>
  <c r="AK697" i="84"/>
  <c r="BI697" i="84"/>
  <c r="AJ135" i="84"/>
  <c r="AJ409" i="84"/>
  <c r="AJ398" i="84"/>
  <c r="AJ367" i="84"/>
  <c r="AK948" i="84"/>
  <c r="BI948" i="84"/>
  <c r="AK841" i="84"/>
  <c r="BI841" i="84"/>
  <c r="AK758" i="84"/>
  <c r="BI758" i="84"/>
  <c r="BI626" i="84"/>
  <c r="AK626" i="84"/>
  <c r="AK762" i="84"/>
  <c r="BI762" i="84"/>
  <c r="BI227" i="84"/>
  <c r="AK227" i="84"/>
  <c r="BI650" i="84"/>
  <c r="AK650" i="84"/>
  <c r="AK600" i="84"/>
  <c r="BI600" i="84"/>
  <c r="AK909" i="84"/>
  <c r="BI909" i="84"/>
  <c r="AK835" i="84"/>
  <c r="BI835" i="84"/>
  <c r="BI703" i="84"/>
  <c r="AK703" i="84"/>
  <c r="AK618" i="84"/>
  <c r="BI618" i="84"/>
  <c r="AK655" i="84"/>
  <c r="BI655" i="84"/>
  <c r="AK824" i="84"/>
  <c r="BI824" i="84"/>
  <c r="AK793" i="84"/>
  <c r="BI793" i="84"/>
  <c r="BH141" i="84"/>
  <c r="AK498" i="84"/>
  <c r="BI498" i="84"/>
  <c r="AJ331" i="84"/>
  <c r="BI489" i="84"/>
  <c r="AK489" i="84"/>
  <c r="AJ251" i="84"/>
  <c r="BU17" i="82"/>
  <c r="AK738" i="84"/>
  <c r="BI738" i="84"/>
  <c r="AJ252" i="84"/>
  <c r="AJ158" i="84"/>
  <c r="BU13" i="82"/>
  <c r="AJ154" i="84"/>
  <c r="AJ163" i="84"/>
  <c r="AJ155" i="84"/>
  <c r="AJ152" i="84"/>
  <c r="AK670" i="84"/>
  <c r="BI670" i="84"/>
  <c r="BH116" i="84"/>
  <c r="BH531" i="84"/>
  <c r="BH489" i="84"/>
  <c r="BH121" i="84"/>
  <c r="BH280" i="84"/>
  <c r="BH290" i="84"/>
  <c r="BH103" i="84"/>
  <c r="BH524" i="84"/>
  <c r="BH111" i="84"/>
  <c r="BH520" i="84"/>
  <c r="BH20" i="84"/>
  <c r="BH255" i="84"/>
  <c r="BH493" i="84"/>
  <c r="BH506" i="84"/>
  <c r="BH545" i="84"/>
  <c r="BH148" i="84"/>
  <c r="BH287" i="84"/>
  <c r="BH297" i="84"/>
  <c r="BH134" i="84"/>
  <c r="BH29" i="84"/>
  <c r="BH301" i="84"/>
  <c r="BH146" i="84"/>
  <c r="BH303" i="84"/>
  <c r="BH557" i="84"/>
  <c r="BH143" i="84"/>
  <c r="BH131" i="84"/>
  <c r="BH275" i="84"/>
  <c r="BH251" i="84"/>
  <c r="AJ440" i="84"/>
  <c r="BI671" i="84"/>
  <c r="AK671" i="84"/>
  <c r="BI681" i="84"/>
  <c r="AK681" i="84"/>
  <c r="AJ68" i="84"/>
  <c r="BI615" i="84"/>
  <c r="AJ526" i="84"/>
  <c r="AJ446" i="84"/>
  <c r="AK751" i="84"/>
  <c r="BI751" i="84"/>
  <c r="AJ482" i="84"/>
  <c r="AJ413" i="84"/>
  <c r="BI683" i="84"/>
  <c r="AK683" i="84"/>
  <c r="BI718" i="84"/>
  <c r="AK718" i="84"/>
  <c r="AJ342" i="84"/>
  <c r="AJ47" i="84"/>
  <c r="BU8" i="82"/>
  <c r="AJ44" i="84"/>
  <c r="AJ38" i="84"/>
  <c r="AJ52" i="84"/>
  <c r="AJ46" i="84"/>
  <c r="AK283" i="84"/>
  <c r="BI283" i="84"/>
  <c r="AJ311" i="84"/>
  <c r="AK912" i="84"/>
  <c r="BI912" i="84"/>
  <c r="BI634" i="84"/>
  <c r="AK634" i="84"/>
  <c r="BI913" i="84"/>
  <c r="AK913" i="84"/>
  <c r="BI828" i="84"/>
  <c r="AK828" i="84"/>
  <c r="AJ527" i="84"/>
  <c r="AK672" i="84"/>
  <c r="BI672" i="84"/>
  <c r="AK745" i="84"/>
  <c r="BI745" i="84"/>
  <c r="AJ355" i="84"/>
  <c r="BI714" i="84"/>
  <c r="AK714" i="84"/>
  <c r="AJ459" i="84"/>
  <c r="AJ441" i="84"/>
  <c r="BI88" i="84"/>
  <c r="AK88" i="84"/>
  <c r="AK908" i="84"/>
  <c r="BI908" i="84"/>
  <c r="BI720" i="84"/>
  <c r="AK720" i="84"/>
  <c r="AK692" i="84"/>
  <c r="BI692" i="84"/>
  <c r="AJ448" i="84"/>
  <c r="BI954" i="84"/>
  <c r="AK954" i="84"/>
  <c r="AJ60" i="84"/>
  <c r="AK856" i="84"/>
  <c r="BI856" i="84"/>
  <c r="AJ308" i="84"/>
  <c r="AJ71" i="84"/>
  <c r="BI690" i="84"/>
  <c r="AK690" i="84"/>
  <c r="AJ372" i="84"/>
  <c r="AJ389" i="84"/>
  <c r="AJ58" i="84"/>
  <c r="AK643" i="84"/>
  <c r="BI643" i="84"/>
  <c r="AK719" i="84"/>
  <c r="BI719" i="84"/>
  <c r="AJ131" i="84"/>
  <c r="BI952" i="84"/>
  <c r="AK952" i="84"/>
  <c r="AJ166" i="84"/>
  <c r="BI935" i="84"/>
  <c r="AK935" i="84"/>
  <c r="BI677" i="84"/>
  <c r="AK677" i="84"/>
  <c r="AJ50" i="84"/>
  <c r="AK790" i="84"/>
  <c r="BI790" i="84"/>
  <c r="AJ66" i="84"/>
  <c r="BI682" i="84"/>
  <c r="AK682" i="84"/>
  <c r="AJ147" i="84"/>
  <c r="AK499" i="84"/>
  <c r="BI499" i="84"/>
  <c r="AJ465" i="84"/>
  <c r="AJ188" i="84"/>
  <c r="AJ169" i="84"/>
  <c r="AJ75" i="84"/>
  <c r="AJ348" i="84"/>
  <c r="AJ386" i="84"/>
  <c r="AJ313" i="84"/>
  <c r="AJ258" i="84"/>
  <c r="AJ460" i="84"/>
  <c r="AJ346" i="84"/>
  <c r="AJ390" i="84"/>
  <c r="BI940" i="84"/>
  <c r="AK940" i="84"/>
  <c r="AK842" i="84"/>
  <c r="BI842" i="84"/>
  <c r="AJ338" i="84"/>
  <c r="BU27" i="82"/>
  <c r="AJ496" i="84"/>
  <c r="AJ487" i="84"/>
  <c r="AJ195" i="84"/>
  <c r="AJ42" i="84"/>
  <c r="AJ358" i="84"/>
  <c r="AK850" i="84"/>
  <c r="BI850" i="84"/>
  <c r="AK924" i="84"/>
  <c r="BI924" i="84"/>
  <c r="BI832" i="84"/>
  <c r="AK832" i="84"/>
  <c r="AJ242" i="84"/>
  <c r="BI779" i="84"/>
  <c r="AK779" i="84"/>
  <c r="AK679" i="84"/>
  <c r="BI679" i="84"/>
  <c r="AJ327" i="84"/>
  <c r="BU20" i="82"/>
  <c r="BI695" i="84"/>
  <c r="AK695" i="84"/>
  <c r="AK885" i="84"/>
  <c r="BI885" i="84"/>
  <c r="AK737" i="84"/>
  <c r="BI737" i="84"/>
  <c r="BI799" i="84"/>
  <c r="AK799" i="84"/>
  <c r="AJ483" i="84"/>
  <c r="AK676" i="84"/>
  <c r="BI676" i="84"/>
  <c r="BI752" i="84"/>
  <c r="AK752" i="84"/>
  <c r="AK708" i="84"/>
  <c r="BI708" i="84"/>
  <c r="AJ341" i="84"/>
  <c r="AJ474" i="84"/>
  <c r="AK637" i="84"/>
  <c r="BI637" i="84"/>
  <c r="AK666" i="84"/>
  <c r="BI666" i="84"/>
  <c r="BI825" i="84"/>
  <c r="AK825" i="84"/>
  <c r="AK385" i="84"/>
  <c r="BI385" i="84"/>
  <c r="AK763" i="84"/>
  <c r="BI763" i="84"/>
  <c r="AK871" i="84"/>
  <c r="BI871" i="84"/>
  <c r="BH294" i="84"/>
  <c r="BH307" i="84"/>
  <c r="BH15" i="84"/>
  <c r="BH249" i="84"/>
  <c r="BH23" i="84"/>
  <c r="BH525" i="84"/>
  <c r="BH270" i="84"/>
  <c r="BH526" i="84"/>
  <c r="BH295" i="84"/>
  <c r="BH510" i="84"/>
  <c r="BH265" i="84"/>
  <c r="BH117" i="84"/>
  <c r="BH123" i="84"/>
  <c r="BH551" i="84"/>
  <c r="BH128" i="84"/>
  <c r="BH21" i="84"/>
  <c r="BH521" i="84"/>
  <c r="BH115" i="84"/>
  <c r="BH544" i="84"/>
  <c r="BH13" i="84"/>
  <c r="BH318" i="84"/>
  <c r="BH501" i="84"/>
  <c r="BH277" i="84"/>
  <c r="BH253" i="84"/>
  <c r="BH296" i="84"/>
  <c r="BH257" i="84"/>
  <c r="BH130" i="84"/>
  <c r="BH273" i="84"/>
  <c r="BH283" i="84"/>
  <c r="AK730" i="84"/>
  <c r="BI730" i="84"/>
  <c r="BI866" i="84"/>
  <c r="AK866" i="84"/>
  <c r="AL881" i="84"/>
  <c r="AR881" i="84"/>
  <c r="AU881" i="84"/>
  <c r="AX881" i="84"/>
  <c r="BB881" i="84"/>
  <c r="AO881" i="84"/>
  <c r="BI753" i="84"/>
  <c r="AK753" i="84"/>
  <c r="BI663" i="84"/>
  <c r="AK663" i="84"/>
  <c r="AJ65" i="84"/>
  <c r="AK741" i="84"/>
  <c r="BI741" i="84"/>
  <c r="AK95" i="84"/>
  <c r="BI95" i="84"/>
  <c r="AJ410" i="84"/>
  <c r="BI698" i="84"/>
  <c r="AK698" i="84"/>
  <c r="AK955" i="84"/>
  <c r="BI955" i="84"/>
  <c r="AJ337" i="84"/>
  <c r="BI680" i="84"/>
  <c r="AK680" i="84"/>
  <c r="AK731" i="84"/>
  <c r="BI731" i="84"/>
  <c r="AK685" i="84"/>
  <c r="BI685" i="84"/>
  <c r="BI765" i="84"/>
  <c r="AK765" i="84"/>
  <c r="AK961" i="84"/>
  <c r="BI961" i="84"/>
  <c r="AJ318" i="84"/>
  <c r="AJ457" i="84"/>
  <c r="AJ256" i="84"/>
  <c r="AK744" i="84"/>
  <c r="BI744" i="84"/>
  <c r="AJ264" i="84"/>
  <c r="AJ479" i="84"/>
  <c r="BU29" i="82"/>
  <c r="AJ552" i="84"/>
  <c r="AJ151" i="84"/>
  <c r="AJ480" i="84"/>
  <c r="BI959" i="84"/>
  <c r="AK959" i="84"/>
  <c r="BI754" i="84"/>
  <c r="AK754" i="84"/>
  <c r="AK633" i="84"/>
  <c r="BI633" i="84"/>
  <c r="BI653" i="84"/>
  <c r="AK653" i="84"/>
  <c r="BI571" i="84"/>
  <c r="AK571" i="84"/>
  <c r="AJ262" i="84"/>
  <c r="BI569" i="84"/>
  <c r="AK569" i="84"/>
  <c r="BI874" i="84"/>
  <c r="AK874" i="84"/>
  <c r="AJ375" i="84"/>
  <c r="AJ171" i="84"/>
  <c r="AJ255" i="84"/>
  <c r="BI791" i="84"/>
  <c r="AK791" i="84"/>
  <c r="AJ316" i="84"/>
  <c r="BI931" i="84"/>
  <c r="AK931" i="84"/>
  <c r="AJ462" i="84"/>
  <c r="AJ247" i="84"/>
  <c r="BI638" i="84"/>
  <c r="AK638" i="84"/>
  <c r="AK747" i="84"/>
  <c r="BI747" i="84"/>
  <c r="BI963" i="84"/>
  <c r="AK963" i="84"/>
  <c r="AJ554" i="84"/>
  <c r="BI813" i="84"/>
  <c r="AK813" i="84"/>
  <c r="AK787" i="84"/>
  <c r="BI787" i="84"/>
  <c r="AJ548" i="84"/>
  <c r="AK808" i="84"/>
  <c r="BI808" i="84"/>
  <c r="AK776" i="84"/>
  <c r="BI776" i="84"/>
  <c r="AK773" i="84"/>
  <c r="BI773" i="84"/>
  <c r="AJ91" i="84"/>
  <c r="AJ350" i="84"/>
  <c r="BI932" i="84"/>
  <c r="AK932" i="84"/>
  <c r="BI636" i="84"/>
  <c r="AK636" i="84"/>
  <c r="AJ463" i="84"/>
  <c r="BI843" i="84"/>
  <c r="AK843" i="84"/>
  <c r="AK921" i="84"/>
  <c r="BI921" i="84"/>
  <c r="AJ324" i="84"/>
  <c r="AJ437" i="84"/>
  <c r="BI742" i="84"/>
  <c r="AK742" i="84"/>
  <c r="AK687" i="84"/>
  <c r="BI687" i="84"/>
  <c r="AK812" i="84"/>
  <c r="BI812" i="84"/>
  <c r="AJ290" i="84"/>
  <c r="BU18" i="82"/>
  <c r="AK785" i="84"/>
  <c r="BI785" i="84"/>
  <c r="AJ213" i="84"/>
  <c r="BU15" i="82"/>
  <c r="AJ217" i="84"/>
  <c r="AJ208" i="84"/>
  <c r="AJ210" i="84"/>
  <c r="AJ199" i="84"/>
  <c r="BI805" i="84"/>
  <c r="AK805" i="84"/>
  <c r="BI750" i="84"/>
  <c r="AK750" i="84"/>
  <c r="AJ397" i="84"/>
  <c r="AU707" i="84"/>
  <c r="AL707" i="84"/>
  <c r="AX707" i="84"/>
  <c r="AR707" i="84"/>
  <c r="BB707" i="84"/>
  <c r="AO707" i="84"/>
  <c r="BI470" i="84"/>
  <c r="AK470" i="84"/>
  <c r="AK768" i="84"/>
  <c r="BI768" i="84"/>
  <c r="BI640" i="84"/>
  <c r="AK640" i="84"/>
  <c r="BI892" i="84"/>
  <c r="AK892" i="84"/>
  <c r="BI873" i="84"/>
  <c r="AK873" i="84"/>
  <c r="AJ466" i="84"/>
  <c r="AK964" i="84"/>
  <c r="BI964" i="84"/>
  <c r="AK596" i="84"/>
  <c r="BI596" i="84"/>
  <c r="AJ481" i="84"/>
  <c r="BI870" i="84"/>
  <c r="AK870" i="84"/>
  <c r="AK202" i="84"/>
  <c r="BI202" i="84"/>
  <c r="AJ486" i="84"/>
  <c r="BI888" i="84"/>
  <c r="AK888" i="84"/>
  <c r="BI749" i="84"/>
  <c r="AK749" i="84"/>
  <c r="BH247" i="84"/>
  <c r="BH514" i="84"/>
  <c r="BH106" i="84"/>
  <c r="BH28" i="84"/>
  <c r="BH541" i="84"/>
  <c r="BH553" i="84"/>
  <c r="BH555" i="84"/>
  <c r="BH109" i="84"/>
  <c r="BH252" i="84"/>
  <c r="BH263" i="84"/>
  <c r="BH124" i="84"/>
  <c r="BH291" i="84"/>
  <c r="BH317" i="84"/>
  <c r="BH129" i="84"/>
  <c r="BH490" i="84"/>
  <c r="BH10" i="84"/>
  <c r="BH539" i="84"/>
  <c r="BH527" i="84"/>
  <c r="BH276" i="84"/>
  <c r="BH138" i="84"/>
  <c r="BH315" i="84"/>
  <c r="BH314" i="84"/>
  <c r="BH104" i="84"/>
  <c r="BH558" i="84"/>
  <c r="BH512" i="84"/>
  <c r="BI717" i="84"/>
  <c r="AK717" i="84"/>
  <c r="BI951" i="84"/>
  <c r="AK951" i="84"/>
  <c r="AJ468" i="84"/>
  <c r="AK767" i="84"/>
  <c r="BI767" i="84"/>
  <c r="BI654" i="84"/>
  <c r="AK654" i="84"/>
  <c r="AK807" i="84"/>
  <c r="BI807" i="84"/>
  <c r="BI651" i="84"/>
  <c r="AK651" i="84"/>
  <c r="AK757" i="84"/>
  <c r="BI757" i="84"/>
  <c r="AJ173" i="84"/>
  <c r="AK766" i="84"/>
  <c r="BI766" i="84"/>
  <c r="AJ269" i="84"/>
  <c r="BU28" i="82"/>
  <c r="AJ512" i="84"/>
  <c r="AJ523" i="84"/>
  <c r="AJ519" i="84"/>
  <c r="BI726" i="84"/>
  <c r="AK726" i="84"/>
  <c r="AK724" i="84"/>
  <c r="BI724" i="84"/>
  <c r="AJ475" i="84"/>
  <c r="AJ22" i="84"/>
  <c r="BU7" i="82"/>
  <c r="AJ10" i="84"/>
  <c r="AJ9" i="84"/>
  <c r="BI966" i="84"/>
  <c r="AK966" i="84"/>
  <c r="AJ78" i="84"/>
  <c r="AJ484" i="84"/>
  <c r="AK927" i="84"/>
  <c r="BI927" i="84"/>
  <c r="AJ401" i="84"/>
  <c r="AJ20" i="84"/>
  <c r="BI105" i="84"/>
  <c r="AK105" i="84"/>
  <c r="AJ511" i="84"/>
  <c r="AJ485" i="84"/>
  <c r="AK573" i="84"/>
  <c r="AJ34" i="84"/>
  <c r="AK914" i="84"/>
  <c r="BI914" i="84"/>
  <c r="AJ24" i="84"/>
  <c r="BI181" i="84"/>
  <c r="BI786" i="84"/>
  <c r="AK786" i="84"/>
  <c r="BI646" i="84"/>
  <c r="AK646" i="84"/>
  <c r="AJ267" i="84"/>
  <c r="AK783" i="84"/>
  <c r="BI783" i="84"/>
  <c r="BI642" i="84"/>
  <c r="AK642" i="84"/>
  <c r="AK803" i="84"/>
  <c r="BI803" i="84"/>
  <c r="AK673" i="84"/>
  <c r="BI673" i="84"/>
  <c r="AK801" i="84"/>
  <c r="BI801" i="84"/>
  <c r="AJ558" i="84"/>
  <c r="AK956" i="84"/>
  <c r="BI956" i="84"/>
  <c r="AJ516" i="84"/>
  <c r="AJ41" i="84"/>
  <c r="AJ322" i="84"/>
  <c r="BI827" i="84"/>
  <c r="AK827" i="84"/>
  <c r="AK904" i="84"/>
  <c r="BI904" i="84"/>
  <c r="AJ139" i="84"/>
  <c r="AK647" i="84"/>
  <c r="BI647" i="84"/>
  <c r="BI725" i="84"/>
  <c r="AK725" i="84"/>
  <c r="AK804" i="84"/>
  <c r="BI804" i="84"/>
  <c r="AJ326" i="84"/>
  <c r="BI761" i="84"/>
  <c r="AK761" i="84"/>
  <c r="AJ141" i="84"/>
  <c r="AK896" i="84"/>
  <c r="BI896" i="84"/>
  <c r="AK771" i="84"/>
  <c r="BI771" i="84"/>
  <c r="AK960" i="84"/>
  <c r="BI960" i="84"/>
  <c r="AJ261" i="84"/>
  <c r="BI649" i="84"/>
  <c r="AK649" i="84"/>
  <c r="AJ515" i="84"/>
  <c r="AJ259" i="84"/>
  <c r="AJ461" i="84"/>
  <c r="AK937" i="84"/>
  <c r="BI937" i="84"/>
  <c r="AK778" i="84"/>
  <c r="BI778" i="84"/>
  <c r="AJ266" i="84"/>
  <c r="AJ111" i="84"/>
  <c r="BU11" i="82"/>
  <c r="AJ530" i="84"/>
  <c r="BI916" i="84"/>
  <c r="AK916" i="84"/>
  <c r="AJ74" i="84"/>
  <c r="AK860" i="84"/>
  <c r="BI860" i="84"/>
  <c r="BI716" i="84"/>
  <c r="AK716" i="84"/>
  <c r="AJ351" i="84"/>
  <c r="AJ550" i="84"/>
  <c r="AJ458" i="84"/>
  <c r="BI853" i="84"/>
  <c r="AK853" i="84"/>
  <c r="AK628" i="84"/>
  <c r="BI628" i="84"/>
  <c r="AK928" i="84"/>
  <c r="BI928" i="84"/>
  <c r="AK632" i="84"/>
  <c r="BI632" i="84"/>
  <c r="AK639" i="84"/>
  <c r="BI639" i="84"/>
  <c r="AJ323" i="84"/>
  <c r="AK958" i="84"/>
  <c r="BI958" i="84"/>
  <c r="BI661" i="84"/>
  <c r="AK661" i="84"/>
  <c r="AK362" i="84"/>
  <c r="BI362" i="84"/>
  <c r="AK845" i="84"/>
  <c r="BI845" i="84"/>
  <c r="BI572" i="84"/>
  <c r="AK572" i="84"/>
  <c r="AK936" i="84"/>
  <c r="BI936" i="84"/>
  <c r="AK272" i="84"/>
  <c r="BI272" i="84"/>
  <c r="AK543" i="84"/>
  <c r="BI543" i="84"/>
  <c r="BH18" i="84"/>
  <c r="BH293" i="84"/>
  <c r="BH271" i="84"/>
  <c r="BH305" i="84"/>
  <c r="BH491" i="84"/>
  <c r="BH113" i="84"/>
  <c r="BH517" i="84"/>
  <c r="BH261" i="84"/>
  <c r="BH546" i="84"/>
  <c r="BH30" i="84"/>
  <c r="BH508" i="84"/>
  <c r="BH140" i="84"/>
  <c r="BH292" i="84"/>
  <c r="BH122" i="84"/>
  <c r="BH267" i="84"/>
  <c r="BH147" i="84"/>
  <c r="BH22" i="84"/>
  <c r="BH534" i="84"/>
  <c r="BH110" i="84"/>
  <c r="BH530" i="84"/>
  <c r="BH112" i="84"/>
  <c r="BH258" i="84"/>
  <c r="BH105" i="84"/>
  <c r="BH308" i="84"/>
  <c r="BH300" i="84"/>
  <c r="BH523" i="84"/>
  <c r="AK575" i="84"/>
  <c r="BI575" i="84"/>
  <c r="BI609" i="84"/>
  <c r="AK609" i="84"/>
  <c r="AJ161" i="84"/>
  <c r="AJ55" i="84"/>
  <c r="BI867" i="84"/>
  <c r="AK867" i="84"/>
  <c r="AJ23" i="84"/>
  <c r="AJ343" i="84"/>
  <c r="AK631" i="84"/>
  <c r="BI631" i="84"/>
  <c r="BI849" i="84"/>
  <c r="AK849" i="84"/>
  <c r="AJ393" i="84"/>
  <c r="AK657" i="84"/>
  <c r="BI657" i="84"/>
  <c r="AK821" i="84"/>
  <c r="BI821" i="84"/>
  <c r="AJ347" i="84"/>
  <c r="AJ157" i="84"/>
  <c r="AJ30" i="84"/>
  <c r="AJ534" i="84"/>
  <c r="AJ7" i="84"/>
  <c r="AJ360" i="84"/>
  <c r="AJ27" i="84"/>
  <c r="BI664" i="84"/>
  <c r="AK664" i="84"/>
  <c r="AK946" i="84"/>
  <c r="BI946" i="84"/>
  <c r="AJ32" i="84"/>
  <c r="AJ472" i="84"/>
  <c r="BI911" i="84"/>
  <c r="AK911" i="84"/>
  <c r="AJ300" i="84"/>
  <c r="AK901" i="84"/>
  <c r="BI901" i="84"/>
  <c r="AJ257" i="84"/>
  <c r="AJ224" i="84"/>
  <c r="AK764" i="84"/>
  <c r="BI764" i="84"/>
  <c r="AJ467" i="84"/>
  <c r="BI710" i="84"/>
  <c r="AK710" i="84"/>
  <c r="AK962" i="84"/>
  <c r="BI962" i="84"/>
  <c r="AJ447" i="84"/>
  <c r="AJ244" i="84"/>
  <c r="AJ253" i="84"/>
  <c r="AK665" i="84"/>
  <c r="BI665" i="84"/>
  <c r="AJ232" i="84"/>
  <c r="BI899" i="84"/>
  <c r="AK899" i="84"/>
  <c r="AJ150" i="84"/>
  <c r="AJ380" i="84"/>
  <c r="AJ298" i="84"/>
  <c r="BI705" i="84"/>
  <c r="AK705" i="84"/>
  <c r="AJ250" i="84"/>
  <c r="AJ310" i="84"/>
  <c r="AJ304" i="84"/>
  <c r="AJ29" i="84"/>
  <c r="AJ13" i="84"/>
  <c r="BI905" i="84"/>
  <c r="AK905" i="84"/>
  <c r="BI774" i="84"/>
  <c r="AK774" i="84"/>
  <c r="AK823" i="84"/>
  <c r="BI823" i="84"/>
  <c r="AK884" i="84"/>
  <c r="BI884" i="84"/>
  <c r="BI723" i="84"/>
  <c r="AK723" i="84"/>
  <c r="AK691" i="84"/>
  <c r="BI691" i="84"/>
  <c r="AJ303" i="84"/>
  <c r="BI222" i="84"/>
  <c r="AK222" i="84"/>
  <c r="AJ138" i="84"/>
  <c r="AJ43" i="84"/>
  <c r="AJ403" i="84"/>
  <c r="AJ40" i="84"/>
  <c r="AJ464" i="84"/>
  <c r="AJ414" i="84"/>
  <c r="AJ402" i="84"/>
  <c r="AJ104" i="84"/>
  <c r="AJ319" i="84"/>
  <c r="AK743" i="84"/>
  <c r="BI743" i="84"/>
  <c r="BI755" i="84"/>
  <c r="AK755" i="84"/>
  <c r="AK659" i="84"/>
  <c r="BI659" i="84"/>
  <c r="AJ328" i="84"/>
  <c r="AK713" i="84"/>
  <c r="BI713" i="84"/>
  <c r="AJ48" i="84"/>
  <c r="AJ407" i="84"/>
  <c r="AK949" i="84"/>
  <c r="BI949" i="84"/>
  <c r="AX775" i="84"/>
  <c r="AU775" i="84"/>
  <c r="AL775" i="84"/>
  <c r="AR775" i="84"/>
  <c r="AO775" i="84"/>
  <c r="BB775" i="84"/>
  <c r="BI855" i="84"/>
  <c r="AK855" i="84"/>
  <c r="BI275" i="84"/>
  <c r="AK275" i="84"/>
  <c r="AK439" i="84"/>
  <c r="BI606" i="84"/>
  <c r="AK606" i="84"/>
  <c r="BI641" i="84"/>
  <c r="AK641" i="84"/>
  <c r="AK889" i="84"/>
  <c r="BI889" i="84"/>
  <c r="BI800" i="84"/>
  <c r="AK800" i="84"/>
  <c r="BH14" i="84"/>
  <c r="BH262" i="84"/>
  <c r="BH26" i="84"/>
  <c r="BH556" i="84"/>
  <c r="BH533" i="84"/>
  <c r="BH502" i="84"/>
  <c r="BH497" i="84"/>
  <c r="BH515" i="84"/>
  <c r="BH288" i="84"/>
  <c r="BH285" i="84"/>
  <c r="BH120" i="84"/>
  <c r="BH310" i="84"/>
  <c r="BH516" i="84"/>
  <c r="BH492" i="84"/>
  <c r="AK802" i="84"/>
  <c r="BI802" i="84"/>
  <c r="AJ309" i="84"/>
  <c r="BU19" i="82"/>
  <c r="BI939" i="84"/>
  <c r="AK939" i="84"/>
  <c r="AJ332" i="84"/>
  <c r="BI883" i="84"/>
  <c r="AK883" i="84"/>
  <c r="AJ170" i="84"/>
  <c r="BI811" i="84"/>
  <c r="AK811" i="84"/>
  <c r="BI567" i="84"/>
  <c r="AK567" i="84"/>
  <c r="AJ333" i="84"/>
  <c r="BI822" i="84"/>
  <c r="AK822" i="84"/>
  <c r="AK701" i="84"/>
  <c r="BI701" i="84"/>
  <c r="BI658" i="84"/>
  <c r="AK658" i="84"/>
  <c r="BI891" i="84"/>
  <c r="AK891" i="84"/>
  <c r="AK746" i="84"/>
  <c r="BI746" i="84"/>
  <c r="AJ70" i="84"/>
  <c r="BU9" i="82"/>
  <c r="AJ69" i="84"/>
  <c r="AJ62" i="84"/>
  <c r="AJ63" i="84"/>
  <c r="BI847" i="84"/>
  <c r="AK847" i="84"/>
  <c r="AK834" i="84"/>
  <c r="BI834" i="84"/>
  <c r="BI780" i="84"/>
  <c r="AK780" i="84"/>
  <c r="BI732" i="84"/>
  <c r="AK732" i="84"/>
  <c r="AJ469" i="84"/>
  <c r="AJ59" i="84"/>
  <c r="BI819" i="84"/>
  <c r="AK819" i="84"/>
  <c r="BI893" i="84"/>
  <c r="AK893" i="84"/>
  <c r="AK851" i="84"/>
  <c r="BI851" i="84"/>
  <c r="BI715" i="84"/>
  <c r="AK715" i="84"/>
  <c r="BI918" i="84"/>
  <c r="AK918" i="84"/>
  <c r="BI712" i="84"/>
  <c r="AK712" i="84"/>
  <c r="AJ520" i="84"/>
  <c r="AK922" i="84"/>
  <c r="BI922" i="84"/>
  <c r="AJ8" i="84"/>
  <c r="BI694" i="84"/>
  <c r="AK694" i="84"/>
  <c r="BI809" i="84"/>
  <c r="AK809" i="84"/>
  <c r="BI934" i="84"/>
  <c r="AK934" i="84"/>
  <c r="AJ18" i="84"/>
  <c r="AJ37" i="84"/>
  <c r="BI950" i="84"/>
  <c r="AK950" i="84"/>
  <c r="AJ260" i="84"/>
  <c r="AK426" i="84"/>
  <c r="AJ353" i="84"/>
  <c r="AK875" i="84"/>
  <c r="BI875" i="84"/>
  <c r="AJ268" i="84"/>
  <c r="AK781" i="84"/>
  <c r="BI781" i="84"/>
  <c r="AK704" i="84"/>
  <c r="BI704" i="84"/>
  <c r="BI882" i="84"/>
  <c r="AK882" i="84"/>
  <c r="AK820" i="84"/>
  <c r="BI820" i="84"/>
  <c r="AJ15" i="84"/>
  <c r="BI700" i="84"/>
  <c r="AK700" i="84"/>
  <c r="AJ549" i="84"/>
  <c r="BI910" i="84"/>
  <c r="AK910" i="84"/>
  <c r="AK792" i="84"/>
  <c r="BI792" i="84"/>
  <c r="BI947" i="84"/>
  <c r="AK947" i="84"/>
  <c r="AK656" i="84"/>
  <c r="BI656" i="84"/>
  <c r="BI864" i="84"/>
  <c r="AK864" i="84"/>
  <c r="AK678" i="84"/>
  <c r="BI678" i="84"/>
  <c r="AJ524" i="84"/>
  <c r="BI810" i="84"/>
  <c r="AK810" i="84"/>
  <c r="AJ301" i="84"/>
  <c r="AK648" i="84"/>
  <c r="BI648" i="84"/>
  <c r="AJ178" i="84"/>
  <c r="BU14" i="82"/>
  <c r="AJ186" i="84"/>
  <c r="AJ191" i="84"/>
  <c r="AJ185" i="84"/>
  <c r="AJ176" i="84"/>
  <c r="BI789" i="84"/>
  <c r="AK789" i="84"/>
  <c r="AJ142" i="84"/>
  <c r="AJ254" i="84"/>
  <c r="AK662" i="84"/>
  <c r="BI662" i="84"/>
  <c r="AJ87" i="84"/>
  <c r="BU10" i="82"/>
  <c r="AJ81" i="84"/>
  <c r="AJ79" i="84"/>
  <c r="AJ92" i="84"/>
  <c r="AJ82" i="84"/>
  <c r="AJ100" i="84"/>
  <c r="AJ83" i="84"/>
  <c r="BI938" i="84"/>
  <c r="AK938" i="84"/>
  <c r="AJ179" i="84"/>
  <c r="AJ76" i="84"/>
  <c r="AJ28" i="84"/>
  <c r="BI894" i="84"/>
  <c r="AK894" i="84"/>
  <c r="AJ136" i="84"/>
  <c r="BI929" i="84"/>
  <c r="AK929" i="84"/>
  <c r="BI285" i="84"/>
  <c r="AK285" i="84"/>
  <c r="AK815" i="84"/>
  <c r="BI815" i="84"/>
  <c r="BI585" i="84"/>
  <c r="AK585" i="84"/>
  <c r="BI627" i="84"/>
  <c r="AK627" i="84"/>
  <c r="BI610" i="84" l="1"/>
  <c r="BI97" i="84"/>
  <c r="BI586" i="84"/>
  <c r="AK614" i="84"/>
  <c r="BI503" i="84"/>
  <c r="BI175" i="84"/>
  <c r="AK427" i="84"/>
  <c r="AK619" i="84"/>
  <c r="BI613" i="84"/>
  <c r="AK415" i="84"/>
  <c r="BI201" i="84"/>
  <c r="AK578" i="84"/>
  <c r="AK582" i="84"/>
  <c r="AK497" i="84"/>
  <c r="AK607" i="84"/>
  <c r="AK501" i="84"/>
  <c r="BI624" i="84"/>
  <c r="AK404" i="84"/>
  <c r="BI620" i="84"/>
  <c r="AK540" i="84"/>
  <c r="BI488" i="84"/>
  <c r="AK560" i="84"/>
  <c r="BI292" i="84"/>
  <c r="BI39" i="84"/>
  <c r="AK223" i="84"/>
  <c r="AR223" i="84" s="1"/>
  <c r="AK294" i="84"/>
  <c r="AK200" i="84"/>
  <c r="AR200" i="84" s="1"/>
  <c r="AK429" i="84"/>
  <c r="AK287" i="84"/>
  <c r="AK399" i="84"/>
  <c r="BI314" i="84"/>
  <c r="AK193" i="84"/>
  <c r="BB193" i="84" s="1"/>
  <c r="BI502" i="84"/>
  <c r="AK605" i="84"/>
  <c r="AK557" i="84"/>
  <c r="BI587" i="84"/>
  <c r="AK279" i="84"/>
  <c r="BI183" i="84"/>
  <c r="BI296" i="84"/>
  <c r="AK123" i="84"/>
  <c r="BB123" i="84" s="1"/>
  <c r="BI293" i="84"/>
  <c r="BI35" i="84"/>
  <c r="AK90" i="84"/>
  <c r="AL90" i="84" s="1"/>
  <c r="AK406" i="84"/>
  <c r="AK212" i="84"/>
  <c r="BI598" i="84"/>
  <c r="AK143" i="84"/>
  <c r="AK211" i="84"/>
  <c r="AX211" i="84" s="1"/>
  <c r="AK225" i="84"/>
  <c r="AX225" i="84" s="1"/>
  <c r="AK349" i="84"/>
  <c r="AK509" i="84"/>
  <c r="AU509" i="84" s="1"/>
  <c r="BI64" i="84"/>
  <c r="AK416" i="84"/>
  <c r="AK196" i="84"/>
  <c r="AX196" i="84" s="1"/>
  <c r="BI444" i="84"/>
  <c r="AK433" i="84"/>
  <c r="AL433" i="84" s="1"/>
  <c r="AK617" i="84"/>
  <c r="AR617" i="84" s="1"/>
  <c r="AK243" i="84"/>
  <c r="BI581" i="84"/>
  <c r="BI428" i="84"/>
  <c r="AK19" i="84"/>
  <c r="AK611" i="84"/>
  <c r="BI107" i="84"/>
  <c r="AK562" i="84"/>
  <c r="AR562" i="84" s="1"/>
  <c r="BI612" i="84"/>
  <c r="AK378" i="84"/>
  <c r="AR378" i="84" s="1"/>
  <c r="AK537" i="84"/>
  <c r="AX537" i="84" s="1"/>
  <c r="BI239" i="84"/>
  <c r="BI192" i="84"/>
  <c r="BI405" i="84"/>
  <c r="BI561" i="84"/>
  <c r="AK517" i="84"/>
  <c r="AO517" i="84" s="1"/>
  <c r="BI187" i="84"/>
  <c r="AK189" i="84"/>
  <c r="AL189" i="84" s="1"/>
  <c r="AK506" i="84"/>
  <c r="AK421" i="84"/>
  <c r="AK507" i="84"/>
  <c r="AK630" i="84"/>
  <c r="AO630" i="84" s="1"/>
  <c r="AK86" i="84"/>
  <c r="BI384" i="84"/>
  <c r="BI149" i="84"/>
  <c r="AK89" i="84"/>
  <c r="BB89" i="84" s="1"/>
  <c r="BI589" i="84"/>
  <c r="AK236" i="84"/>
  <c r="BI115" i="84"/>
  <c r="AK54" i="84"/>
  <c r="AX54" i="84" s="1"/>
  <c r="BI226" i="84"/>
  <c r="BI584" i="84"/>
  <c r="AK305" i="84"/>
  <c r="AR305" i="84" s="1"/>
  <c r="BI340" i="84"/>
  <c r="AK504" i="84"/>
  <c r="AR504" i="84" s="1"/>
  <c r="AK12" i="84"/>
  <c r="AL12" i="84" s="1"/>
  <c r="AK588" i="84"/>
  <c r="BI286" i="84"/>
  <c r="AK289" i="84"/>
  <c r="AK594" i="84"/>
  <c r="AL594" i="84" s="1"/>
  <c r="BI508" i="84"/>
  <c r="BI246" i="84"/>
  <c r="BI110" i="84"/>
  <c r="AK106" i="84"/>
  <c r="BI120" i="84"/>
  <c r="AK419" i="84"/>
  <c r="AX419" i="84" s="1"/>
  <c r="BI544" i="84"/>
  <c r="BI494" i="84"/>
  <c r="AK563" i="84"/>
  <c r="AK288" i="84"/>
  <c r="AU288" i="84" s="1"/>
  <c r="BI101" i="84"/>
  <c r="AK126" i="84"/>
  <c r="AK528" i="84"/>
  <c r="BI144" i="84"/>
  <c r="AK538" i="84"/>
  <c r="AR538" i="84" s="1"/>
  <c r="BI436" i="84"/>
  <c r="AK616" i="84"/>
  <c r="AK277" i="84"/>
  <c r="AO277" i="84" s="1"/>
  <c r="BI117" i="84"/>
  <c r="AK241" i="84"/>
  <c r="BI317" i="84"/>
  <c r="BI621" i="84"/>
  <c r="AK357" i="84"/>
  <c r="BI431" i="84"/>
  <c r="AK221" i="84"/>
  <c r="AR221" i="84" s="1"/>
  <c r="AK500" i="84"/>
  <c r="AX500" i="84" s="1"/>
  <c r="BI455" i="84"/>
  <c r="AK282" i="84"/>
  <c r="AK432" i="84"/>
  <c r="AK16" i="84"/>
  <c r="BI184" i="84"/>
  <c r="BI373" i="84"/>
  <c r="AK417" i="84"/>
  <c r="BI546" i="84"/>
  <c r="AK99" i="84"/>
  <c r="AK595" i="84"/>
  <c r="AK129" i="84"/>
  <c r="AK602" i="84"/>
  <c r="AK590" i="84"/>
  <c r="BI156" i="84"/>
  <c r="AK493" i="84"/>
  <c r="AO493" i="84" s="1"/>
  <c r="BI593" i="84"/>
  <c r="AK420" i="84"/>
  <c r="BI204" i="84"/>
  <c r="AK408" i="84"/>
  <c r="BI214" i="84"/>
  <c r="AK555" i="84"/>
  <c r="AR555" i="84" s="1"/>
  <c r="AK73" i="84"/>
  <c r="AL73" i="84" s="1"/>
  <c r="BI205" i="84"/>
  <c r="AK194" i="84"/>
  <c r="AX194" i="84" s="1"/>
  <c r="BI36" i="84"/>
  <c r="BI84" i="84"/>
  <c r="BI592" i="84"/>
  <c r="AK434" i="84"/>
  <c r="AO434" i="84" s="1"/>
  <c r="AK109" i="84"/>
  <c r="BI505" i="84"/>
  <c r="AK291" i="84"/>
  <c r="BI570" i="84"/>
  <c r="BI234" i="84"/>
  <c r="BI276" i="84"/>
  <c r="BI102" i="84"/>
  <c r="BI132" i="84"/>
  <c r="BI490" i="84"/>
  <c r="AK430" i="84"/>
  <c r="BB430" i="84" s="1"/>
  <c r="BI542" i="84"/>
  <c r="AK622" i="84"/>
  <c r="AR622" i="84" s="1"/>
  <c r="AK424" i="84"/>
  <c r="AX424" i="84" s="1"/>
  <c r="BI604" i="84"/>
  <c r="AK603" i="84"/>
  <c r="AK159" i="84"/>
  <c r="BI49" i="84"/>
  <c r="AK174" i="84"/>
  <c r="BI418" i="84"/>
  <c r="AK281" i="84"/>
  <c r="AL281" i="84" s="1"/>
  <c r="AK495" i="84"/>
  <c r="AK591" i="84"/>
  <c r="AK140" i="84"/>
  <c r="AK124" i="84"/>
  <c r="BI274" i="84"/>
  <c r="AK559" i="84"/>
  <c r="AK153" i="84"/>
  <c r="AL153" i="84" s="1"/>
  <c r="AK148" i="84"/>
  <c r="AL148" i="84" s="1"/>
  <c r="AK623" i="84"/>
  <c r="BI521" i="84"/>
  <c r="BI145" i="84"/>
  <c r="AK400" i="84"/>
  <c r="AK14" i="84"/>
  <c r="AR14" i="84" s="1"/>
  <c r="BI438" i="84"/>
  <c r="AK583" i="84"/>
  <c r="AU583" i="84" s="1"/>
  <c r="BI94" i="84"/>
  <c r="BI579" i="84"/>
  <c r="AK608" i="84"/>
  <c r="AK209" i="84"/>
  <c r="AK230" i="84"/>
  <c r="BI339" i="84"/>
  <c r="AK388" i="84"/>
  <c r="AR388" i="84" s="1"/>
  <c r="BI216" i="84"/>
  <c r="AK422" i="84"/>
  <c r="AL422" i="84" s="1"/>
  <c r="BI599" i="84"/>
  <c r="BI218" i="84"/>
  <c r="AK33" i="84"/>
  <c r="BI547" i="84"/>
  <c r="BI629" i="84"/>
  <c r="AK449" i="84"/>
  <c r="AK382" i="84"/>
  <c r="AL382" i="84" s="1"/>
  <c r="AK568" i="84"/>
  <c r="BB568" i="84" s="1"/>
  <c r="BI453" i="84"/>
  <c r="BI551" i="84"/>
  <c r="AK206" i="84"/>
  <c r="BI77" i="84"/>
  <c r="AK45" i="84"/>
  <c r="AK492" i="84"/>
  <c r="AK271" i="84"/>
  <c r="AK280" i="84"/>
  <c r="AO280" i="84" s="1"/>
  <c r="AK273" i="84"/>
  <c r="BI108" i="84"/>
  <c r="BI207" i="84"/>
  <c r="BI574" i="84"/>
  <c r="BI113" i="84"/>
  <c r="BI597" i="84"/>
  <c r="AK518" i="84"/>
  <c r="AR518" i="84" s="1"/>
  <c r="AO729" i="84"/>
  <c r="BI564" i="84"/>
  <c r="AK370" i="84"/>
  <c r="AK237" i="84"/>
  <c r="BI215" i="84"/>
  <c r="BI425" i="84"/>
  <c r="BI229" i="84"/>
  <c r="BI93" i="84"/>
  <c r="AK121" i="84"/>
  <c r="AL121" i="84" s="1"/>
  <c r="BI197" i="84"/>
  <c r="BI180" i="84"/>
  <c r="BI374" i="84"/>
  <c r="AK371" i="84"/>
  <c r="AX371" i="84" s="1"/>
  <c r="AK278" i="84"/>
  <c r="AK137" i="84"/>
  <c r="AX137" i="84" s="1"/>
  <c r="BI231" i="84"/>
  <c r="AK172" i="84"/>
  <c r="AR172" i="84" s="1"/>
  <c r="AK219" i="84"/>
  <c r="BI356" i="84"/>
  <c r="BI452" i="84"/>
  <c r="AK510" i="84"/>
  <c r="AX510" i="84" s="1"/>
  <c r="AK491" i="84"/>
  <c r="AR491" i="84" s="1"/>
  <c r="BI391" i="84"/>
  <c r="AK203" i="84"/>
  <c r="AK359" i="84"/>
  <c r="AL359" i="84" s="1"/>
  <c r="BI162" i="84"/>
  <c r="BI220" i="84"/>
  <c r="BI228" i="84"/>
  <c r="BI529" i="84"/>
  <c r="BI423" i="84"/>
  <c r="BI565" i="84"/>
  <c r="BI146" i="84"/>
  <c r="BI116" i="84"/>
  <c r="AK345" i="84"/>
  <c r="AO345" i="84" s="1"/>
  <c r="AK122" i="84"/>
  <c r="AK118" i="84"/>
  <c r="BI235" i="84"/>
  <c r="AK177" i="84"/>
  <c r="BB177" i="84" s="1"/>
  <c r="AK198" i="84"/>
  <c r="BI238" i="84"/>
  <c r="BI103" i="84"/>
  <c r="BI556" i="84"/>
  <c r="BI442" i="84"/>
  <c r="AK566" i="84"/>
  <c r="AO566" i="84" s="1"/>
  <c r="BI539" i="84"/>
  <c r="AK125" i="84"/>
  <c r="AO125" i="84" s="1"/>
  <c r="BI112" i="84"/>
  <c r="BI248" i="84"/>
  <c r="AK344" i="84"/>
  <c r="AL344" i="84" s="1"/>
  <c r="AK366" i="84"/>
  <c r="AK533" i="84"/>
  <c r="AK67" i="84"/>
  <c r="BB67" i="84" s="1"/>
  <c r="BI352" i="84"/>
  <c r="BI577" i="84"/>
  <c r="AK531" i="84"/>
  <c r="AK454" i="84"/>
  <c r="AK249" i="84"/>
  <c r="BB249" i="84" s="1"/>
  <c r="BI387" i="84"/>
  <c r="BB729" i="84"/>
  <c r="AK445" i="84"/>
  <c r="AK31" i="84"/>
  <c r="AX31" i="84" s="1"/>
  <c r="AU729" i="84"/>
  <c r="BI525" i="84"/>
  <c r="AK164" i="84"/>
  <c r="AR164" i="84" s="1"/>
  <c r="AX729" i="84"/>
  <c r="AK119" i="84"/>
  <c r="AL729" i="84"/>
  <c r="AK576" i="84"/>
  <c r="BI576" i="84"/>
  <c r="BI354" i="84"/>
  <c r="BI580" i="84"/>
  <c r="AK580" i="84"/>
  <c r="BI363" i="84"/>
  <c r="AK363" i="84"/>
  <c r="AK190" i="84"/>
  <c r="BI190" i="84"/>
  <c r="AU930" i="84"/>
  <c r="AX930" i="84"/>
  <c r="AL930" i="84"/>
  <c r="AR930" i="84"/>
  <c r="BB930" i="84"/>
  <c r="AO930" i="84"/>
  <c r="AU861" i="84"/>
  <c r="AL861" i="84"/>
  <c r="AX861" i="84"/>
  <c r="AR861" i="84"/>
  <c r="AO861" i="84"/>
  <c r="BB861" i="84"/>
  <c r="AK450" i="84"/>
  <c r="BI450" i="84"/>
  <c r="AR902" i="84"/>
  <c r="AL902" i="84"/>
  <c r="AU902" i="84"/>
  <c r="AX902" i="84"/>
  <c r="AO902" i="84"/>
  <c r="BB902" i="84"/>
  <c r="AL652" i="84"/>
  <c r="AX652" i="84"/>
  <c r="AR652" i="84"/>
  <c r="AU652" i="84"/>
  <c r="BB652" i="84"/>
  <c r="AO652" i="84"/>
  <c r="AK17" i="84"/>
  <c r="BI17" i="84"/>
  <c r="AL693" i="84"/>
  <c r="AR693" i="84"/>
  <c r="AU693" i="84"/>
  <c r="AX693" i="84"/>
  <c r="AO693" i="84"/>
  <c r="BB693" i="84"/>
  <c r="BI364" i="84"/>
  <c r="AK364" i="84"/>
  <c r="AU788" i="84"/>
  <c r="AL788" i="84"/>
  <c r="AR788" i="84"/>
  <c r="AX788" i="84"/>
  <c r="BB788" i="84"/>
  <c r="AO788" i="84"/>
  <c r="AL838" i="84"/>
  <c r="AX838" i="84"/>
  <c r="AR838" i="84"/>
  <c r="AU838" i="84"/>
  <c r="BB838" i="84"/>
  <c r="AO838" i="84"/>
  <c r="AU943" i="84"/>
  <c r="AR943" i="84"/>
  <c r="AX943" i="84"/>
  <c r="AL943" i="84"/>
  <c r="BB943" i="84"/>
  <c r="AO943" i="84"/>
  <c r="AL67" i="84"/>
  <c r="AR263" i="84"/>
  <c r="AU263" i="84"/>
  <c r="AL263" i="84"/>
  <c r="AX263" i="84"/>
  <c r="AO263" i="84"/>
  <c r="BB263" i="84"/>
  <c r="AX25" i="84"/>
  <c r="AR25" i="84"/>
  <c r="AU25" i="84"/>
  <c r="AL25" i="84"/>
  <c r="BB25" i="84"/>
  <c r="AO25" i="84"/>
  <c r="BI83" i="84"/>
  <c r="AK83" i="84"/>
  <c r="BI549" i="84"/>
  <c r="AK549" i="84"/>
  <c r="AX192" i="84"/>
  <c r="AL192" i="84"/>
  <c r="AU192" i="84"/>
  <c r="AR192" i="84"/>
  <c r="BB192" i="84"/>
  <c r="AO192" i="84"/>
  <c r="AR834" i="84"/>
  <c r="AX834" i="84"/>
  <c r="AU834" i="84"/>
  <c r="AL834" i="84"/>
  <c r="BB834" i="84"/>
  <c r="AO834" i="84"/>
  <c r="AU12" i="84"/>
  <c r="AR12" i="84"/>
  <c r="AX12" i="84"/>
  <c r="BB12" i="84"/>
  <c r="AU356" i="84"/>
  <c r="AX356" i="84"/>
  <c r="AL356" i="84"/>
  <c r="AR356" i="84"/>
  <c r="AO356" i="84"/>
  <c r="BB356" i="84"/>
  <c r="AU713" i="84"/>
  <c r="AR713" i="84"/>
  <c r="AX713" i="84"/>
  <c r="AL713" i="84"/>
  <c r="BB713" i="84"/>
  <c r="AO713" i="84"/>
  <c r="AU664" i="84"/>
  <c r="AL664" i="84"/>
  <c r="AR664" i="84"/>
  <c r="AX664" i="84"/>
  <c r="AO664" i="84"/>
  <c r="BB664" i="84"/>
  <c r="AK330" i="84"/>
  <c r="BI330" i="84"/>
  <c r="AK312" i="84"/>
  <c r="BI312" i="84"/>
  <c r="AK325" i="84"/>
  <c r="BI325" i="84"/>
  <c r="AL35" i="84"/>
  <c r="AX35" i="84"/>
  <c r="AR35" i="84"/>
  <c r="AU35" i="84"/>
  <c r="AO35" i="84"/>
  <c r="BB35" i="84"/>
  <c r="AX846" i="84"/>
  <c r="AU846" i="84"/>
  <c r="AL846" i="84"/>
  <c r="AR846" i="84"/>
  <c r="BB846" i="84"/>
  <c r="AO846" i="84"/>
  <c r="AR314" i="84"/>
  <c r="AU314" i="84"/>
  <c r="AL314" i="84"/>
  <c r="AX314" i="84"/>
  <c r="AO314" i="84"/>
  <c r="BB314" i="84"/>
  <c r="BI100" i="84"/>
  <c r="AK100" i="84"/>
  <c r="AX662" i="84"/>
  <c r="AL662" i="84"/>
  <c r="AR662" i="84"/>
  <c r="AU662" i="84"/>
  <c r="BB662" i="84"/>
  <c r="AO662" i="84"/>
  <c r="BB106" i="84"/>
  <c r="AL106" i="84"/>
  <c r="AU106" i="84"/>
  <c r="AR106" i="84"/>
  <c r="AX106" i="84"/>
  <c r="AO106" i="84"/>
  <c r="AR810" i="84"/>
  <c r="AL810" i="84"/>
  <c r="AU810" i="84"/>
  <c r="AX810" i="84"/>
  <c r="AO810" i="84"/>
  <c r="BB810" i="84"/>
  <c r="AU204" i="84"/>
  <c r="AR204" i="84"/>
  <c r="AL204" i="84"/>
  <c r="AX204" i="84"/>
  <c r="AO204" i="84"/>
  <c r="BB204" i="84"/>
  <c r="AX820" i="84"/>
  <c r="AR820" i="84"/>
  <c r="AL820" i="84"/>
  <c r="AU820" i="84"/>
  <c r="BB820" i="84"/>
  <c r="AO820" i="84"/>
  <c r="AX950" i="84"/>
  <c r="AL950" i="84"/>
  <c r="AU950" i="84"/>
  <c r="AR950" i="84"/>
  <c r="AO950" i="84"/>
  <c r="BB950" i="84"/>
  <c r="AR809" i="84"/>
  <c r="AL809" i="84"/>
  <c r="AX809" i="84"/>
  <c r="AU809" i="84"/>
  <c r="BB809" i="84"/>
  <c r="AO809" i="84"/>
  <c r="AX712" i="84"/>
  <c r="AU712" i="84"/>
  <c r="AL712" i="84"/>
  <c r="AR712" i="84"/>
  <c r="AO712" i="84"/>
  <c r="BB712" i="84"/>
  <c r="AX715" i="84"/>
  <c r="AR715" i="84"/>
  <c r="AU715" i="84"/>
  <c r="AL715" i="84"/>
  <c r="AO715" i="84"/>
  <c r="BB715" i="84"/>
  <c r="AK59" i="84"/>
  <c r="BI59" i="84"/>
  <c r="AR187" i="84"/>
  <c r="AX187" i="84"/>
  <c r="AL187" i="84"/>
  <c r="AU187" i="84"/>
  <c r="BB187" i="84"/>
  <c r="AO187" i="84"/>
  <c r="BI70" i="84"/>
  <c r="AK70" i="84"/>
  <c r="AR800" i="84"/>
  <c r="AL800" i="84"/>
  <c r="AX800" i="84"/>
  <c r="AU800" i="84"/>
  <c r="BB800" i="84"/>
  <c r="AO800" i="84"/>
  <c r="AL606" i="84"/>
  <c r="AR606" i="84"/>
  <c r="AU606" i="84"/>
  <c r="AX606" i="84"/>
  <c r="BB606" i="84"/>
  <c r="AO606" i="84"/>
  <c r="AK407" i="84"/>
  <c r="BI407" i="84"/>
  <c r="AK328" i="84"/>
  <c r="BI328" i="84"/>
  <c r="AU624" i="84"/>
  <c r="AL624" i="84"/>
  <c r="AR624" i="84"/>
  <c r="AX624" i="84"/>
  <c r="BB624" i="84"/>
  <c r="AO624" i="84"/>
  <c r="BI40" i="84"/>
  <c r="AK40" i="84"/>
  <c r="AX691" i="84"/>
  <c r="AU691" i="84"/>
  <c r="AR691" i="84"/>
  <c r="AL691" i="84"/>
  <c r="BB691" i="84"/>
  <c r="AO691" i="84"/>
  <c r="AU823" i="84"/>
  <c r="AR823" i="84"/>
  <c r="AL823" i="84"/>
  <c r="AX823" i="84"/>
  <c r="BB823" i="84"/>
  <c r="AO823" i="84"/>
  <c r="AK29" i="84"/>
  <c r="BI29" i="84"/>
  <c r="AK298" i="84"/>
  <c r="BI298" i="84"/>
  <c r="AU589" i="84"/>
  <c r="AX589" i="84"/>
  <c r="AL589" i="84"/>
  <c r="AR589" i="84"/>
  <c r="BB589" i="84"/>
  <c r="AO589" i="84"/>
  <c r="BI447" i="84"/>
  <c r="AK447" i="84"/>
  <c r="BI534" i="84"/>
  <c r="AK534" i="84"/>
  <c r="AK161" i="84"/>
  <c r="BI161" i="84"/>
  <c r="AR77" i="84"/>
  <c r="AX77" i="84"/>
  <c r="AL77" i="84"/>
  <c r="AU77" i="84"/>
  <c r="BB77" i="84"/>
  <c r="AO77" i="84"/>
  <c r="AL845" i="84"/>
  <c r="AX845" i="84"/>
  <c r="AU845" i="84"/>
  <c r="AR845" i="84"/>
  <c r="AO845" i="84"/>
  <c r="BB845" i="84"/>
  <c r="AL156" i="84"/>
  <c r="AR156" i="84"/>
  <c r="AX156" i="84"/>
  <c r="AU156" i="84"/>
  <c r="AO156" i="84"/>
  <c r="BB156" i="84"/>
  <c r="AR853" i="84"/>
  <c r="AX853" i="84"/>
  <c r="AU853" i="84"/>
  <c r="AL853" i="84"/>
  <c r="BB853" i="84"/>
  <c r="AO853" i="84"/>
  <c r="AL860" i="84"/>
  <c r="AR860" i="84"/>
  <c r="AX860" i="84"/>
  <c r="AU860" i="84"/>
  <c r="BB860" i="84"/>
  <c r="AO860" i="84"/>
  <c r="AK141" i="84"/>
  <c r="BI141" i="84"/>
  <c r="BI139" i="84"/>
  <c r="AK139" i="84"/>
  <c r="AK41" i="84"/>
  <c r="BI41" i="84"/>
  <c r="AL803" i="84"/>
  <c r="AR803" i="84"/>
  <c r="AX803" i="84"/>
  <c r="AU803" i="84"/>
  <c r="AO803" i="84"/>
  <c r="BB803" i="84"/>
  <c r="AL786" i="84"/>
  <c r="AX786" i="84"/>
  <c r="AR786" i="84"/>
  <c r="AU786" i="84"/>
  <c r="BB786" i="84"/>
  <c r="AO786" i="84"/>
  <c r="AX914" i="84"/>
  <c r="AU914" i="84"/>
  <c r="AL914" i="84"/>
  <c r="AR914" i="84"/>
  <c r="BB914" i="84"/>
  <c r="AO914" i="84"/>
  <c r="BI20" i="84"/>
  <c r="AK20" i="84"/>
  <c r="AK484" i="84"/>
  <c r="BI484" i="84"/>
  <c r="AK9" i="84"/>
  <c r="BI9" i="84"/>
  <c r="AR757" i="84"/>
  <c r="AX757" i="84"/>
  <c r="AU757" i="84"/>
  <c r="AL757" i="84"/>
  <c r="BB757" i="84"/>
  <c r="AO757" i="84"/>
  <c r="AR529" i="84"/>
  <c r="AX529" i="84"/>
  <c r="AL529" i="84"/>
  <c r="AU529" i="84"/>
  <c r="BB529" i="84"/>
  <c r="AO529" i="84"/>
  <c r="AU767" i="84"/>
  <c r="AL767" i="84"/>
  <c r="AX767" i="84"/>
  <c r="AR767" i="84"/>
  <c r="BB767" i="84"/>
  <c r="AO767" i="84"/>
  <c r="AX873" i="84"/>
  <c r="AL873" i="84"/>
  <c r="AR873" i="84"/>
  <c r="AU873" i="84"/>
  <c r="BB873" i="84"/>
  <c r="AO873" i="84"/>
  <c r="AR384" i="84"/>
  <c r="AL384" i="84"/>
  <c r="AU384" i="84"/>
  <c r="AX384" i="84"/>
  <c r="AO384" i="84"/>
  <c r="BB384" i="84"/>
  <c r="AK397" i="84"/>
  <c r="BI397" i="84"/>
  <c r="BI217" i="84"/>
  <c r="AK217" i="84"/>
  <c r="BI290" i="84"/>
  <c r="AK290" i="84"/>
  <c r="BI324" i="84"/>
  <c r="AK324" i="84"/>
  <c r="AU932" i="84"/>
  <c r="AL932" i="84"/>
  <c r="AX932" i="84"/>
  <c r="AR932" i="84"/>
  <c r="AO932" i="84"/>
  <c r="BB932" i="84"/>
  <c r="BI350" i="84"/>
  <c r="AK350" i="84"/>
  <c r="AX963" i="84"/>
  <c r="AL963" i="84"/>
  <c r="AR963" i="84"/>
  <c r="AU963" i="84"/>
  <c r="BB963" i="84"/>
  <c r="AO963" i="84"/>
  <c r="AX620" i="84"/>
  <c r="AL620" i="84"/>
  <c r="AU620" i="84"/>
  <c r="AR620" i="84"/>
  <c r="BB620" i="84"/>
  <c r="AO620" i="84"/>
  <c r="AL874" i="84"/>
  <c r="AX874" i="84"/>
  <c r="AR874" i="84"/>
  <c r="AU874" i="84"/>
  <c r="AO874" i="84"/>
  <c r="BB874" i="84"/>
  <c r="BI262" i="84"/>
  <c r="AK262" i="84"/>
  <c r="AL143" i="84"/>
  <c r="AU143" i="84"/>
  <c r="AX143" i="84"/>
  <c r="AR143" i="84"/>
  <c r="BB143" i="84"/>
  <c r="AO143" i="84"/>
  <c r="BI457" i="84"/>
  <c r="AK457" i="84"/>
  <c r="AK65" i="84"/>
  <c r="BI65" i="84"/>
  <c r="AX730" i="84"/>
  <c r="AR730" i="84"/>
  <c r="AL730" i="84"/>
  <c r="AU730" i="84"/>
  <c r="BB730" i="84"/>
  <c r="AO730" i="84"/>
  <c r="AU540" i="84"/>
  <c r="AR540" i="84"/>
  <c r="AL540" i="84"/>
  <c r="AX540" i="84"/>
  <c r="BB540" i="84"/>
  <c r="AO540" i="84"/>
  <c r="BI474" i="84"/>
  <c r="AK474" i="84"/>
  <c r="AU752" i="84"/>
  <c r="AX752" i="84"/>
  <c r="AL752" i="84"/>
  <c r="AR752" i="84"/>
  <c r="BB752" i="84"/>
  <c r="AO752" i="84"/>
  <c r="BI358" i="84"/>
  <c r="AK358" i="84"/>
  <c r="BI258" i="84"/>
  <c r="AK258" i="84"/>
  <c r="AL116" i="84"/>
  <c r="AR116" i="84"/>
  <c r="AU116" i="84"/>
  <c r="AX116" i="84"/>
  <c r="BB116" i="84"/>
  <c r="AO116" i="84"/>
  <c r="BI147" i="84"/>
  <c r="AK147" i="84"/>
  <c r="AK50" i="84"/>
  <c r="BI50" i="84"/>
  <c r="AU952" i="84"/>
  <c r="AX952" i="84"/>
  <c r="AR952" i="84"/>
  <c r="AL952" i="84"/>
  <c r="AO952" i="84"/>
  <c r="BB952" i="84"/>
  <c r="AU643" i="84"/>
  <c r="AL643" i="84"/>
  <c r="AX643" i="84"/>
  <c r="AR643" i="84"/>
  <c r="BB643" i="84"/>
  <c r="AO643" i="84"/>
  <c r="BI71" i="84"/>
  <c r="AK71" i="84"/>
  <c r="AL184" i="84"/>
  <c r="AR184" i="84"/>
  <c r="AU184" i="84"/>
  <c r="AX184" i="84"/>
  <c r="BB184" i="84"/>
  <c r="AO184" i="84"/>
  <c r="AR714" i="84"/>
  <c r="AX714" i="84"/>
  <c r="AL714" i="84"/>
  <c r="AU714" i="84"/>
  <c r="AO714" i="84"/>
  <c r="BB714" i="84"/>
  <c r="AX634" i="84"/>
  <c r="AR634" i="84"/>
  <c r="AL634" i="84"/>
  <c r="AU634" i="84"/>
  <c r="AO634" i="84"/>
  <c r="BB634" i="84"/>
  <c r="AL236" i="84"/>
  <c r="AU236" i="84"/>
  <c r="AR236" i="84"/>
  <c r="AX236" i="84"/>
  <c r="BB236" i="84"/>
  <c r="AO236" i="84"/>
  <c r="AR205" i="84"/>
  <c r="AL205" i="84"/>
  <c r="AX205" i="84"/>
  <c r="AU205" i="84"/>
  <c r="BB205" i="84"/>
  <c r="AO205" i="84"/>
  <c r="BI47" i="84"/>
  <c r="AK47" i="84"/>
  <c r="AR294" i="84"/>
  <c r="AX294" i="84"/>
  <c r="AU294" i="84"/>
  <c r="AL294" i="84"/>
  <c r="BB294" i="84"/>
  <c r="AO294" i="84"/>
  <c r="AL615" i="84"/>
  <c r="AX615" i="84"/>
  <c r="AU615" i="84"/>
  <c r="AR615" i="84"/>
  <c r="AO615" i="84"/>
  <c r="BB615" i="84"/>
  <c r="AK152" i="84"/>
  <c r="BI152" i="84"/>
  <c r="AR738" i="84"/>
  <c r="AU738" i="84"/>
  <c r="AL738" i="84"/>
  <c r="AX738" i="84"/>
  <c r="AO738" i="84"/>
  <c r="BB738" i="84"/>
  <c r="AX824" i="84"/>
  <c r="AL824" i="84"/>
  <c r="AU824" i="84"/>
  <c r="AR824" i="84"/>
  <c r="BB824" i="84"/>
  <c r="AO824" i="84"/>
  <c r="AU835" i="84"/>
  <c r="AX835" i="84"/>
  <c r="AL835" i="84"/>
  <c r="AR835" i="84"/>
  <c r="BB835" i="84"/>
  <c r="AO835" i="84"/>
  <c r="AL546" i="84"/>
  <c r="AR546" i="84"/>
  <c r="AX546" i="84"/>
  <c r="AU546" i="84"/>
  <c r="BB546" i="84"/>
  <c r="AO546" i="84"/>
  <c r="AR948" i="84"/>
  <c r="AX948" i="84"/>
  <c r="AU948" i="84"/>
  <c r="AL948" i="84"/>
  <c r="BB948" i="84"/>
  <c r="AO948" i="84"/>
  <c r="AL697" i="84"/>
  <c r="AR697" i="84"/>
  <c r="AU697" i="84"/>
  <c r="AX697" i="84"/>
  <c r="BB697" i="84"/>
  <c r="AO697" i="84"/>
  <c r="BI56" i="84"/>
  <c r="AK56" i="84"/>
  <c r="AK392" i="84"/>
  <c r="BI392" i="84"/>
  <c r="AR293" i="84"/>
  <c r="AL293" i="84"/>
  <c r="AX293" i="84"/>
  <c r="AU293" i="84"/>
  <c r="AO293" i="84"/>
  <c r="BB293" i="84"/>
  <c r="AR431" i="84"/>
  <c r="AL431" i="84"/>
  <c r="AX431" i="84"/>
  <c r="AU431" i="84"/>
  <c r="AO431" i="84"/>
  <c r="BB431" i="84"/>
  <c r="AU898" i="84"/>
  <c r="AL898" i="84"/>
  <c r="AR898" i="84"/>
  <c r="AX898" i="84"/>
  <c r="BB898" i="84"/>
  <c r="AO898" i="84"/>
  <c r="AU878" i="84"/>
  <c r="AX878" i="84"/>
  <c r="AR878" i="84"/>
  <c r="AL878" i="84"/>
  <c r="BB878" i="84"/>
  <c r="AO878" i="84"/>
  <c r="AR965" i="84"/>
  <c r="AU965" i="84"/>
  <c r="AX965" i="84"/>
  <c r="AL965" i="84"/>
  <c r="AO965" i="84"/>
  <c r="BB965" i="84"/>
  <c r="BI128" i="84"/>
  <c r="AK128" i="84"/>
  <c r="AO132" i="84"/>
  <c r="AL132" i="84"/>
  <c r="AX132" i="84"/>
  <c r="AR132" i="84"/>
  <c r="AU132" i="84"/>
  <c r="BB132" i="84"/>
  <c r="AU19" i="84"/>
  <c r="AR19" i="84"/>
  <c r="AL19" i="84"/>
  <c r="AX19" i="84"/>
  <c r="BB19" i="84"/>
  <c r="AO19" i="84"/>
  <c r="AL667" i="84"/>
  <c r="AU667" i="84"/>
  <c r="AX667" i="84"/>
  <c r="AR667" i="84"/>
  <c r="BB667" i="84"/>
  <c r="AO667" i="84"/>
  <c r="AL844" i="84"/>
  <c r="AX844" i="84"/>
  <c r="AR844" i="84"/>
  <c r="AU844" i="84"/>
  <c r="AO844" i="84"/>
  <c r="BB844" i="84"/>
  <c r="AL689" i="84"/>
  <c r="AR689" i="84"/>
  <c r="AU689" i="84"/>
  <c r="AX689" i="84"/>
  <c r="AO689" i="84"/>
  <c r="BB689" i="84"/>
  <c r="AR565" i="84"/>
  <c r="AX565" i="84"/>
  <c r="AL565" i="84"/>
  <c r="AU565" i="84"/>
  <c r="BB565" i="84"/>
  <c r="AO565" i="84"/>
  <c r="AR798" i="84"/>
  <c r="AX798" i="84"/>
  <c r="AU798" i="84"/>
  <c r="AL798" i="84"/>
  <c r="BB798" i="84"/>
  <c r="AO798" i="84"/>
  <c r="AK295" i="84"/>
  <c r="BI295" i="84"/>
  <c r="AK532" i="84"/>
  <c r="BI532" i="84"/>
  <c r="AR591" i="84"/>
  <c r="AX591" i="84"/>
  <c r="AL591" i="84"/>
  <c r="AU591" i="84"/>
  <c r="BB591" i="84"/>
  <c r="AO591" i="84"/>
  <c r="AX539" i="84"/>
  <c r="AL539" i="84"/>
  <c r="AR539" i="84"/>
  <c r="AU539" i="84"/>
  <c r="AO539" i="84"/>
  <c r="BB539" i="84"/>
  <c r="AU814" i="84"/>
  <c r="AL814" i="84"/>
  <c r="AR814" i="84"/>
  <c r="AX814" i="84"/>
  <c r="BB814" i="84"/>
  <c r="AO814" i="84"/>
  <c r="AK320" i="84"/>
  <c r="BI320" i="84"/>
  <c r="AL734" i="84"/>
  <c r="AU734" i="84"/>
  <c r="AX734" i="84"/>
  <c r="AR734" i="84"/>
  <c r="BB734" i="84"/>
  <c r="AO734" i="84"/>
  <c r="AO445" i="84"/>
  <c r="AU445" i="84"/>
  <c r="AL445" i="84"/>
  <c r="AR445" i="84"/>
  <c r="AX445" i="84"/>
  <c r="BB445" i="84"/>
  <c r="AU957" i="84"/>
  <c r="AL957" i="84"/>
  <c r="AX957" i="84"/>
  <c r="AR957" i="84"/>
  <c r="AO957" i="84"/>
  <c r="BB957" i="84"/>
  <c r="AR601" i="84"/>
  <c r="AX601" i="84"/>
  <c r="AL601" i="84"/>
  <c r="AU601" i="84"/>
  <c r="BB601" i="84"/>
  <c r="AO601" i="84"/>
  <c r="BI477" i="84"/>
  <c r="AK477" i="84"/>
  <c r="AX374" i="84"/>
  <c r="AL374" i="84"/>
  <c r="AR374" i="84"/>
  <c r="AU374" i="84"/>
  <c r="BB374" i="84"/>
  <c r="AO374" i="84"/>
  <c r="AU96" i="84"/>
  <c r="AX96" i="84"/>
  <c r="AR96" i="84"/>
  <c r="AL96" i="84"/>
  <c r="BB96" i="84"/>
  <c r="AO96" i="84"/>
  <c r="AX61" i="84"/>
  <c r="AL61" i="84"/>
  <c r="AU61" i="84"/>
  <c r="AR61" i="84"/>
  <c r="AO61" i="84"/>
  <c r="BB61" i="84"/>
  <c r="AL802" i="84"/>
  <c r="AU802" i="84"/>
  <c r="AX802" i="84"/>
  <c r="AR802" i="84"/>
  <c r="AO802" i="84"/>
  <c r="BB802" i="84"/>
  <c r="BI319" i="84"/>
  <c r="AK319" i="84"/>
  <c r="AL911" i="84"/>
  <c r="AR911" i="84"/>
  <c r="AU911" i="84"/>
  <c r="AX911" i="84"/>
  <c r="BB911" i="84"/>
  <c r="AO911" i="84"/>
  <c r="AX632" i="84"/>
  <c r="AL632" i="84"/>
  <c r="AR632" i="84"/>
  <c r="AU632" i="84"/>
  <c r="BB632" i="84"/>
  <c r="AO632" i="84"/>
  <c r="AU804" i="84"/>
  <c r="AR804" i="84"/>
  <c r="AL804" i="84"/>
  <c r="AX804" i="84"/>
  <c r="BB804" i="84"/>
  <c r="AO804" i="84"/>
  <c r="AK208" i="84"/>
  <c r="BI208" i="84"/>
  <c r="BI375" i="84"/>
  <c r="AK375" i="84"/>
  <c r="AU959" i="84"/>
  <c r="AX959" i="84"/>
  <c r="AL959" i="84"/>
  <c r="AR959" i="84"/>
  <c r="AO959" i="84"/>
  <c r="BB959" i="84"/>
  <c r="AR209" i="84"/>
  <c r="AL209" i="84"/>
  <c r="AU209" i="84"/>
  <c r="AX209" i="84"/>
  <c r="AO209" i="84"/>
  <c r="BB209" i="84"/>
  <c r="AR685" i="84"/>
  <c r="AL685" i="84"/>
  <c r="AU685" i="84"/>
  <c r="AX685" i="84"/>
  <c r="BB685" i="84"/>
  <c r="AO685" i="84"/>
  <c r="AR698" i="84"/>
  <c r="AU698" i="84"/>
  <c r="AL698" i="84"/>
  <c r="AX698" i="84"/>
  <c r="AO698" i="84"/>
  <c r="BB698" i="84"/>
  <c r="AX741" i="84"/>
  <c r="AU741" i="84"/>
  <c r="AL741" i="84"/>
  <c r="AR741" i="84"/>
  <c r="BB741" i="84"/>
  <c r="AO741" i="84"/>
  <c r="AU871" i="84"/>
  <c r="AL871" i="84"/>
  <c r="AX871" i="84"/>
  <c r="AR871" i="84"/>
  <c r="AO871" i="84"/>
  <c r="BB871" i="84"/>
  <c r="AX144" i="84"/>
  <c r="AL144" i="84"/>
  <c r="AU144" i="84"/>
  <c r="AR144" i="84"/>
  <c r="BB144" i="84"/>
  <c r="AO144" i="84"/>
  <c r="AK527" i="84"/>
  <c r="BI527" i="84"/>
  <c r="AX670" i="84"/>
  <c r="AR670" i="84"/>
  <c r="AU670" i="84"/>
  <c r="AL670" i="84"/>
  <c r="AO670" i="84"/>
  <c r="BB670" i="84"/>
  <c r="AL489" i="84"/>
  <c r="AU489" i="84"/>
  <c r="AX489" i="84"/>
  <c r="AR489" i="84"/>
  <c r="BB489" i="84"/>
  <c r="AO489" i="84"/>
  <c r="AL626" i="84"/>
  <c r="AX626" i="84"/>
  <c r="AR626" i="84"/>
  <c r="AU626" i="84"/>
  <c r="AO626" i="84"/>
  <c r="BB626" i="84"/>
  <c r="AX564" i="84"/>
  <c r="AR564" i="84"/>
  <c r="AU564" i="84"/>
  <c r="AL564" i="84"/>
  <c r="BB564" i="84"/>
  <c r="AO564" i="84"/>
  <c r="AK240" i="84"/>
  <c r="BI240" i="84"/>
  <c r="AK513" i="84"/>
  <c r="BI513" i="84"/>
  <c r="AK185" i="84"/>
  <c r="BI185" i="84"/>
  <c r="AR627" i="84"/>
  <c r="AU627" i="84"/>
  <c r="AL627" i="84"/>
  <c r="AX627" i="84"/>
  <c r="BB627" i="84"/>
  <c r="AO627" i="84"/>
  <c r="AX929" i="84"/>
  <c r="AU929" i="84"/>
  <c r="AR929" i="84"/>
  <c r="AL929" i="84"/>
  <c r="AO929" i="84"/>
  <c r="BB929" i="84"/>
  <c r="AL561" i="84"/>
  <c r="AR561" i="84"/>
  <c r="AX561" i="84"/>
  <c r="AU561" i="84"/>
  <c r="AO561" i="84"/>
  <c r="BB561" i="84"/>
  <c r="AK82" i="84"/>
  <c r="BI82" i="84"/>
  <c r="AK191" i="84"/>
  <c r="BI191" i="84"/>
  <c r="AL387" i="84"/>
  <c r="AU387" i="84"/>
  <c r="AX387" i="84"/>
  <c r="AR387" i="84"/>
  <c r="BB387" i="84"/>
  <c r="AO387" i="84"/>
  <c r="AR882" i="84"/>
  <c r="AU882" i="84"/>
  <c r="AL882" i="84"/>
  <c r="AX882" i="84"/>
  <c r="BB882" i="84"/>
  <c r="AO882" i="84"/>
  <c r="AR875" i="84"/>
  <c r="AX875" i="84"/>
  <c r="AL875" i="84"/>
  <c r="AU875" i="84"/>
  <c r="AO875" i="84"/>
  <c r="BB875" i="84"/>
  <c r="BI469" i="84"/>
  <c r="AK469" i="84"/>
  <c r="AX352" i="84"/>
  <c r="AL352" i="84"/>
  <c r="AR352" i="84"/>
  <c r="AU352" i="84"/>
  <c r="BB352" i="84"/>
  <c r="AO352" i="84"/>
  <c r="AL225" i="84"/>
  <c r="AL508" i="84"/>
  <c r="AR508" i="84"/>
  <c r="AU508" i="84"/>
  <c r="AX508" i="84"/>
  <c r="BB508" i="84"/>
  <c r="AO508" i="84"/>
  <c r="AL883" i="84"/>
  <c r="AR883" i="84"/>
  <c r="AX883" i="84"/>
  <c r="AU883" i="84"/>
  <c r="AO883" i="84"/>
  <c r="BB883" i="84"/>
  <c r="AR588" i="84"/>
  <c r="AL588" i="84"/>
  <c r="AU588" i="84"/>
  <c r="AX588" i="84"/>
  <c r="AO588" i="84"/>
  <c r="BB588" i="84"/>
  <c r="BI403" i="84"/>
  <c r="AK403" i="84"/>
  <c r="AX723" i="84"/>
  <c r="AL723" i="84"/>
  <c r="AU723" i="84"/>
  <c r="AR723" i="84"/>
  <c r="BB723" i="84"/>
  <c r="AO723" i="84"/>
  <c r="AR774" i="84"/>
  <c r="AU774" i="84"/>
  <c r="AL774" i="84"/>
  <c r="AX774" i="84"/>
  <c r="BB774" i="84"/>
  <c r="AO774" i="84"/>
  <c r="AK304" i="84"/>
  <c r="BI304" i="84"/>
  <c r="BI380" i="84"/>
  <c r="AK380" i="84"/>
  <c r="AK232" i="84"/>
  <c r="BI232" i="84"/>
  <c r="AL507" i="84"/>
  <c r="AU507" i="84"/>
  <c r="AX507" i="84"/>
  <c r="AR507" i="84"/>
  <c r="BB507" i="84"/>
  <c r="AO507" i="84"/>
  <c r="AL901" i="84"/>
  <c r="AR901" i="84"/>
  <c r="AU901" i="84"/>
  <c r="AX901" i="84"/>
  <c r="BB901" i="84"/>
  <c r="AO901" i="84"/>
  <c r="AK472" i="84"/>
  <c r="BI472" i="84"/>
  <c r="AR122" i="84"/>
  <c r="AL122" i="84"/>
  <c r="AX122" i="84"/>
  <c r="AU122" i="84"/>
  <c r="BB122" i="84"/>
  <c r="AO122" i="84"/>
  <c r="AR657" i="84"/>
  <c r="AL657" i="84"/>
  <c r="AX657" i="84"/>
  <c r="AU657" i="84"/>
  <c r="AO657" i="84"/>
  <c r="BB657" i="84"/>
  <c r="AR609" i="84"/>
  <c r="AL609" i="84"/>
  <c r="AU609" i="84"/>
  <c r="AX609" i="84"/>
  <c r="BB609" i="84"/>
  <c r="AO609" i="84"/>
  <c r="AL453" i="84"/>
  <c r="AR453" i="84"/>
  <c r="AU453" i="84"/>
  <c r="AX453" i="84"/>
  <c r="BB453" i="84"/>
  <c r="AO453" i="84"/>
  <c r="AK74" i="84"/>
  <c r="BI74" i="84"/>
  <c r="AL778" i="84"/>
  <c r="AX778" i="84"/>
  <c r="AU778" i="84"/>
  <c r="AR778" i="84"/>
  <c r="BB778" i="84"/>
  <c r="AO778" i="84"/>
  <c r="BI261" i="84"/>
  <c r="AK261" i="84"/>
  <c r="AR761" i="84"/>
  <c r="AL761" i="84"/>
  <c r="AU761" i="84"/>
  <c r="AX761" i="84"/>
  <c r="BB761" i="84"/>
  <c r="AO761" i="84"/>
  <c r="AL598" i="84"/>
  <c r="AU598" i="84"/>
  <c r="AX598" i="84"/>
  <c r="AR598" i="84"/>
  <c r="AO598" i="84"/>
  <c r="BB598" i="84"/>
  <c r="AX956" i="84"/>
  <c r="AL956" i="84"/>
  <c r="AR956" i="84"/>
  <c r="AU956" i="84"/>
  <c r="AO956" i="84"/>
  <c r="BB956" i="84"/>
  <c r="AX642" i="84"/>
  <c r="AR642" i="84"/>
  <c r="AL642" i="84"/>
  <c r="AU642" i="84"/>
  <c r="AO642" i="84"/>
  <c r="BB642" i="84"/>
  <c r="AR573" i="84"/>
  <c r="AL573" i="84"/>
  <c r="AX573" i="84"/>
  <c r="AU573" i="84"/>
  <c r="AO573" i="84"/>
  <c r="BB573" i="84"/>
  <c r="AL603" i="84"/>
  <c r="AR603" i="84"/>
  <c r="AX603" i="84"/>
  <c r="AU603" i="84"/>
  <c r="BB603" i="84"/>
  <c r="AO603" i="84"/>
  <c r="AK78" i="84"/>
  <c r="BI78" i="84"/>
  <c r="BI10" i="84"/>
  <c r="AK10" i="84"/>
  <c r="AK269" i="84"/>
  <c r="BI269" i="84"/>
  <c r="AU614" i="84"/>
  <c r="AR614" i="84"/>
  <c r="AL614" i="84"/>
  <c r="AX614" i="84"/>
  <c r="AO614" i="84"/>
  <c r="BB614" i="84"/>
  <c r="AL110" i="84"/>
  <c r="AR110" i="84"/>
  <c r="AU110" i="84"/>
  <c r="AX110" i="84"/>
  <c r="BB110" i="84"/>
  <c r="AO110" i="84"/>
  <c r="BB344" i="84"/>
  <c r="AR202" i="84"/>
  <c r="AL202" i="84"/>
  <c r="AX202" i="84"/>
  <c r="AU202" i="84"/>
  <c r="BB202" i="84"/>
  <c r="AO202" i="84"/>
  <c r="AR750" i="84"/>
  <c r="AL750" i="84"/>
  <c r="AU750" i="84"/>
  <c r="AX750" i="84"/>
  <c r="AO750" i="84"/>
  <c r="BB750" i="84"/>
  <c r="AL200" i="84"/>
  <c r="AX808" i="84"/>
  <c r="AL808" i="84"/>
  <c r="AR808" i="84"/>
  <c r="AU808" i="84"/>
  <c r="AO808" i="84"/>
  <c r="BB808" i="84"/>
  <c r="AU571" i="84"/>
  <c r="AR571" i="84"/>
  <c r="AL571" i="84"/>
  <c r="AX571" i="84"/>
  <c r="BB571" i="84"/>
  <c r="AO571" i="84"/>
  <c r="AK480" i="84"/>
  <c r="BI480" i="84"/>
  <c r="AK479" i="84"/>
  <c r="BI479" i="84"/>
  <c r="AK318" i="84"/>
  <c r="BI318" i="84"/>
  <c r="AL493" i="84"/>
  <c r="AX502" i="84"/>
  <c r="AU502" i="84"/>
  <c r="AR502" i="84"/>
  <c r="AL502" i="84"/>
  <c r="BB502" i="84"/>
  <c r="AO502" i="84"/>
  <c r="AR663" i="84"/>
  <c r="AL663" i="84"/>
  <c r="AU663" i="84"/>
  <c r="AX663" i="84"/>
  <c r="AO663" i="84"/>
  <c r="BB663" i="84"/>
  <c r="AK341" i="84"/>
  <c r="BI341" i="84"/>
  <c r="AL779" i="84"/>
  <c r="AX779" i="84"/>
  <c r="AR779" i="84"/>
  <c r="AU779" i="84"/>
  <c r="BB779" i="84"/>
  <c r="AO779" i="84"/>
  <c r="AL577" i="84"/>
  <c r="AU577" i="84"/>
  <c r="AR577" i="84"/>
  <c r="AX577" i="84"/>
  <c r="AO577" i="84"/>
  <c r="BB577" i="84"/>
  <c r="BI42" i="84"/>
  <c r="AK42" i="84"/>
  <c r="AK313" i="84"/>
  <c r="BI313" i="84"/>
  <c r="AX682" i="84"/>
  <c r="AU682" i="84"/>
  <c r="AL682" i="84"/>
  <c r="AR682" i="84"/>
  <c r="BB682" i="84"/>
  <c r="AO682" i="84"/>
  <c r="AX629" i="84"/>
  <c r="AR629" i="84"/>
  <c r="AL629" i="84"/>
  <c r="AU629" i="84"/>
  <c r="AO629" i="84"/>
  <c r="BB629" i="84"/>
  <c r="AR677" i="84"/>
  <c r="AL677" i="84"/>
  <c r="AX677" i="84"/>
  <c r="AU677" i="84"/>
  <c r="BB677" i="84"/>
  <c r="AO677" i="84"/>
  <c r="AK58" i="84"/>
  <c r="BI58" i="84"/>
  <c r="AK308" i="84"/>
  <c r="BI308" i="84"/>
  <c r="AU954" i="84"/>
  <c r="AR954" i="84"/>
  <c r="AL954" i="84"/>
  <c r="AX954" i="84"/>
  <c r="AO954" i="84"/>
  <c r="BB954" i="84"/>
  <c r="AU908" i="84"/>
  <c r="AX908" i="84"/>
  <c r="AR908" i="84"/>
  <c r="AL908" i="84"/>
  <c r="BB908" i="84"/>
  <c r="AO908" i="84"/>
  <c r="AU97" i="84"/>
  <c r="AR97" i="84"/>
  <c r="AL97" i="84"/>
  <c r="AX97" i="84"/>
  <c r="AO97" i="84"/>
  <c r="BB97" i="84"/>
  <c r="BI342" i="84"/>
  <c r="AK342" i="84"/>
  <c r="BI482" i="84"/>
  <c r="AK482" i="84"/>
  <c r="BI440" i="84"/>
  <c r="AK440" i="84"/>
  <c r="AK155" i="84"/>
  <c r="BI155" i="84"/>
  <c r="AK331" i="84"/>
  <c r="BI331" i="84"/>
  <c r="BI367" i="84"/>
  <c r="AK367" i="84"/>
  <c r="AK369" i="84"/>
  <c r="BI369" i="84"/>
  <c r="AK26" i="84"/>
  <c r="BI26" i="84"/>
  <c r="AK297" i="84"/>
  <c r="BI297" i="84"/>
  <c r="AU617" i="84"/>
  <c r="BI456" i="84"/>
  <c r="AK456" i="84"/>
  <c r="AX235" i="84"/>
  <c r="AU235" i="84"/>
  <c r="AL235" i="84"/>
  <c r="AR235" i="84"/>
  <c r="AO235" i="84"/>
  <c r="BB235" i="84"/>
  <c r="AX706" i="84"/>
  <c r="AU706" i="84"/>
  <c r="AL706" i="84"/>
  <c r="AR706" i="84"/>
  <c r="BB706" i="84"/>
  <c r="AO706" i="84"/>
  <c r="AU833" i="84"/>
  <c r="AL833" i="84"/>
  <c r="AR833" i="84"/>
  <c r="AX833" i="84"/>
  <c r="BB833" i="84"/>
  <c r="AO833" i="84"/>
  <c r="AU722" i="84"/>
  <c r="AR722" i="84"/>
  <c r="AX722" i="84"/>
  <c r="AL722" i="84"/>
  <c r="BB722" i="84"/>
  <c r="AO722" i="84"/>
  <c r="AK396" i="84"/>
  <c r="BI396" i="84"/>
  <c r="AX80" i="84"/>
  <c r="AR80" i="84"/>
  <c r="AU80" i="84"/>
  <c r="AL80" i="84"/>
  <c r="BB80" i="84"/>
  <c r="AO80" i="84"/>
  <c r="AX872" i="84"/>
  <c r="AL872" i="84"/>
  <c r="AR872" i="84"/>
  <c r="AU872" i="84"/>
  <c r="BB872" i="84"/>
  <c r="AO872" i="84"/>
  <c r="AX818" i="84"/>
  <c r="AL818" i="84"/>
  <c r="AR818" i="84"/>
  <c r="AU818" i="84"/>
  <c r="BB818" i="84"/>
  <c r="AO818" i="84"/>
  <c r="AO427" i="84"/>
  <c r="AL427" i="84"/>
  <c r="AU427" i="84"/>
  <c r="AX427" i="84"/>
  <c r="AR427" i="84"/>
  <c r="BB427" i="84"/>
  <c r="AU675" i="84"/>
  <c r="AL675" i="84"/>
  <c r="AX675" i="84"/>
  <c r="AR675" i="84"/>
  <c r="BB675" i="84"/>
  <c r="AO675" i="84"/>
  <c r="AU903" i="84"/>
  <c r="AR903" i="84"/>
  <c r="AL903" i="84"/>
  <c r="AX903" i="84"/>
  <c r="BB903" i="84"/>
  <c r="AO903" i="84"/>
  <c r="AX748" i="84"/>
  <c r="AR748" i="84"/>
  <c r="AL748" i="84"/>
  <c r="AU748" i="84"/>
  <c r="AO748" i="84"/>
  <c r="BB748" i="84"/>
  <c r="AX784" i="84"/>
  <c r="AR784" i="84"/>
  <c r="AU784" i="84"/>
  <c r="AL784" i="84"/>
  <c r="BB784" i="84"/>
  <c r="AO784" i="84"/>
  <c r="AX941" i="84"/>
  <c r="AL941" i="84"/>
  <c r="AU941" i="84"/>
  <c r="AR941" i="84"/>
  <c r="AO941" i="84"/>
  <c r="BB941" i="84"/>
  <c r="BI377" i="84"/>
  <c r="AK377" i="84"/>
  <c r="BI21" i="84"/>
  <c r="AK21" i="84"/>
  <c r="AR933" i="84"/>
  <c r="AL933" i="84"/>
  <c r="AU933" i="84"/>
  <c r="AX933" i="84"/>
  <c r="BB933" i="84"/>
  <c r="AO933" i="84"/>
  <c r="AK365" i="84"/>
  <c r="BI365" i="84"/>
  <c r="AL282" i="84"/>
  <c r="AX282" i="84"/>
  <c r="AR282" i="84"/>
  <c r="AU282" i="84"/>
  <c r="AO282" i="84"/>
  <c r="BB282" i="84"/>
  <c r="AR607" i="84"/>
  <c r="AL607" i="84"/>
  <c r="AX607" i="84"/>
  <c r="AU607" i="84"/>
  <c r="AO607" i="84"/>
  <c r="BB607" i="84"/>
  <c r="AK536" i="84"/>
  <c r="BI536" i="84"/>
  <c r="AK51" i="84"/>
  <c r="BI51" i="84"/>
  <c r="AK168" i="84"/>
  <c r="BI168" i="84"/>
  <c r="AX919" i="84"/>
  <c r="AU919" i="84"/>
  <c r="AL919" i="84"/>
  <c r="AR919" i="84"/>
  <c r="AO919" i="84"/>
  <c r="BB919" i="84"/>
  <c r="BI307" i="84"/>
  <c r="AK307" i="84"/>
  <c r="AX907" i="84"/>
  <c r="AU907" i="84"/>
  <c r="AR907" i="84"/>
  <c r="AL907" i="84"/>
  <c r="BB907" i="84"/>
  <c r="AO907" i="84"/>
  <c r="BI160" i="84"/>
  <c r="AK160" i="84"/>
  <c r="AR887" i="84"/>
  <c r="AL887" i="84"/>
  <c r="AU887" i="84"/>
  <c r="AX887" i="84"/>
  <c r="AO887" i="84"/>
  <c r="BB887" i="84"/>
  <c r="AR760" i="84"/>
  <c r="AL760" i="84"/>
  <c r="AX760" i="84"/>
  <c r="AU760" i="84"/>
  <c r="BB760" i="84"/>
  <c r="AO760" i="84"/>
  <c r="AX302" i="84"/>
  <c r="AR302" i="84"/>
  <c r="AU302" i="84"/>
  <c r="AL302" i="84"/>
  <c r="AO302" i="84"/>
  <c r="BB302" i="84"/>
  <c r="AK254" i="84"/>
  <c r="BI254" i="84"/>
  <c r="AL864" i="84"/>
  <c r="AX864" i="84"/>
  <c r="AU864" i="84"/>
  <c r="AR864" i="84"/>
  <c r="AO864" i="84"/>
  <c r="BB864" i="84"/>
  <c r="BI520" i="84"/>
  <c r="AK520" i="84"/>
  <c r="AU658" i="84"/>
  <c r="AL658" i="84"/>
  <c r="AR658" i="84"/>
  <c r="AX658" i="84"/>
  <c r="AO658" i="84"/>
  <c r="BB658" i="84"/>
  <c r="AX239" i="84"/>
  <c r="AL239" i="84"/>
  <c r="AU239" i="84"/>
  <c r="AR239" i="84"/>
  <c r="AO239" i="84"/>
  <c r="BB239" i="84"/>
  <c r="BI467" i="84"/>
  <c r="AK467" i="84"/>
  <c r="AX628" i="84"/>
  <c r="AR628" i="84"/>
  <c r="AL628" i="84"/>
  <c r="AU628" i="84"/>
  <c r="AO628" i="84"/>
  <c r="BB628" i="84"/>
  <c r="AR649" i="84"/>
  <c r="AX649" i="84"/>
  <c r="AU649" i="84"/>
  <c r="AL649" i="84"/>
  <c r="BB649" i="84"/>
  <c r="AO649" i="84"/>
  <c r="AL647" i="84"/>
  <c r="AU647" i="84"/>
  <c r="AR647" i="84"/>
  <c r="AX647" i="84"/>
  <c r="BB647" i="84"/>
  <c r="AO647" i="84"/>
  <c r="AR726" i="84"/>
  <c r="AU726" i="84"/>
  <c r="AL726" i="84"/>
  <c r="AX726" i="84"/>
  <c r="BB726" i="84"/>
  <c r="AO726" i="84"/>
  <c r="AK486" i="84"/>
  <c r="BI486" i="84"/>
  <c r="AK437" i="84"/>
  <c r="BI437" i="84"/>
  <c r="AX613" i="84"/>
  <c r="AU613" i="84"/>
  <c r="AL613" i="84"/>
  <c r="AR613" i="84"/>
  <c r="BB613" i="84"/>
  <c r="AO613" i="84"/>
  <c r="BI256" i="84"/>
  <c r="AK256" i="84"/>
  <c r="AK242" i="84"/>
  <c r="BI242" i="84"/>
  <c r="AU584" i="84"/>
  <c r="AL584" i="84"/>
  <c r="AR584" i="84"/>
  <c r="AX584" i="84"/>
  <c r="AO584" i="84"/>
  <c r="BB584" i="84"/>
  <c r="AL696" i="84"/>
  <c r="AU696" i="84"/>
  <c r="AX696" i="84"/>
  <c r="AR696" i="84"/>
  <c r="BB696" i="84"/>
  <c r="AO696" i="84"/>
  <c r="AU701" i="84"/>
  <c r="AR701" i="84"/>
  <c r="AL701" i="84"/>
  <c r="AX701" i="84"/>
  <c r="AO701" i="84"/>
  <c r="BB701" i="84"/>
  <c r="AL567" i="84"/>
  <c r="AR567" i="84"/>
  <c r="AX567" i="84"/>
  <c r="AU567" i="84"/>
  <c r="BB567" i="84"/>
  <c r="AO567" i="84"/>
  <c r="AL408" i="84"/>
  <c r="AR408" i="84"/>
  <c r="AX408" i="84"/>
  <c r="AU408" i="84"/>
  <c r="AO408" i="84"/>
  <c r="BB408" i="84"/>
  <c r="AU659" i="84"/>
  <c r="AL659" i="84"/>
  <c r="AX659" i="84"/>
  <c r="AR659" i="84"/>
  <c r="BB659" i="84"/>
  <c r="AO659" i="84"/>
  <c r="AK104" i="84"/>
  <c r="BI104" i="84"/>
  <c r="AK43" i="84"/>
  <c r="BI43" i="84"/>
  <c r="AK310" i="84"/>
  <c r="BI310" i="84"/>
  <c r="AK150" i="84"/>
  <c r="BI150" i="84"/>
  <c r="AR292" i="84"/>
  <c r="AX292" i="84"/>
  <c r="AL292" i="84"/>
  <c r="AU292" i="84"/>
  <c r="BB292" i="84"/>
  <c r="AO292" i="84"/>
  <c r="AL962" i="84"/>
  <c r="AX962" i="84"/>
  <c r="AU962" i="84"/>
  <c r="AR962" i="84"/>
  <c r="BB962" i="84"/>
  <c r="AO962" i="84"/>
  <c r="BI300" i="84"/>
  <c r="AK300" i="84"/>
  <c r="AL112" i="84"/>
  <c r="AU112" i="84"/>
  <c r="AR112" i="84"/>
  <c r="AX112" i="84"/>
  <c r="BB112" i="84"/>
  <c r="AO112" i="84"/>
  <c r="AU378" i="84"/>
  <c r="AK393" i="84"/>
  <c r="BI393" i="84"/>
  <c r="AX631" i="84"/>
  <c r="AL631" i="84"/>
  <c r="AU631" i="84"/>
  <c r="AR631" i="84"/>
  <c r="AO631" i="84"/>
  <c r="BB631" i="84"/>
  <c r="AL936" i="84"/>
  <c r="AR936" i="84"/>
  <c r="AU936" i="84"/>
  <c r="AX936" i="84"/>
  <c r="BB936" i="84"/>
  <c r="AO936" i="84"/>
  <c r="AR248" i="84"/>
  <c r="AL248" i="84"/>
  <c r="AX248" i="84"/>
  <c r="AU248" i="84"/>
  <c r="AO248" i="84"/>
  <c r="BB248" i="84"/>
  <c r="AL305" i="84"/>
  <c r="AK458" i="84"/>
  <c r="BI458" i="84"/>
  <c r="AU916" i="84"/>
  <c r="AR916" i="84"/>
  <c r="AX916" i="84"/>
  <c r="AL916" i="84"/>
  <c r="BB916" i="84"/>
  <c r="AO916" i="84"/>
  <c r="AL725" i="84"/>
  <c r="AR725" i="84"/>
  <c r="AX725" i="84"/>
  <c r="AU725" i="84"/>
  <c r="BB725" i="84"/>
  <c r="AO725" i="84"/>
  <c r="AX904" i="84"/>
  <c r="AL904" i="84"/>
  <c r="AR904" i="84"/>
  <c r="AU904" i="84"/>
  <c r="BB904" i="84"/>
  <c r="AO904" i="84"/>
  <c r="BI558" i="84"/>
  <c r="AK558" i="84"/>
  <c r="AL126" i="84"/>
  <c r="AR126" i="84"/>
  <c r="AU126" i="84"/>
  <c r="AX126" i="84"/>
  <c r="AO126" i="84"/>
  <c r="BB126" i="84"/>
  <c r="AK485" i="84"/>
  <c r="BI485" i="84"/>
  <c r="R1" i="86" a="1"/>
  <c r="R1" i="86" s="1"/>
  <c r="R51" i="86" a="1"/>
  <c r="R51" i="86" s="1"/>
  <c r="AO52" i="86" a="1"/>
  <c r="AO52" i="86" s="1"/>
  <c r="CF51" i="86" a="1"/>
  <c r="CF51" i="86" s="1"/>
  <c r="N52" i="86" a="1"/>
  <c r="N52" i="86" s="1"/>
  <c r="AT52" i="86" a="1"/>
  <c r="AT52" i="86" s="1"/>
  <c r="N51" i="86" a="1"/>
  <c r="N51" i="86" s="1"/>
  <c r="CG52" i="86" a="1"/>
  <c r="CG52" i="86" s="1"/>
  <c r="K51" i="86" a="1"/>
  <c r="K51" i="86" s="1"/>
  <c r="Q51" i="86" a="1"/>
  <c r="Q51" i="86" s="1"/>
  <c r="CF52" i="86" a="1"/>
  <c r="CF52" i="86" s="1"/>
  <c r="S52" i="86" a="1"/>
  <c r="S52" i="86" s="1"/>
  <c r="BA51" i="86" a="1"/>
  <c r="BA51" i="86" s="1"/>
  <c r="C52" i="86" a="1"/>
  <c r="C52" i="86" s="1"/>
  <c r="R52" i="86" a="1"/>
  <c r="R52" i="86" s="1"/>
  <c r="K52" i="86" a="1"/>
  <c r="K52" i="86" s="1"/>
  <c r="I51" i="86" a="1"/>
  <c r="I51" i="86" s="1"/>
  <c r="CE52" i="86" a="1"/>
  <c r="CE52" i="86" s="1"/>
  <c r="AL51" i="86" a="1"/>
  <c r="AL51" i="86" s="1"/>
  <c r="AY51" i="86" a="1"/>
  <c r="AY51" i="86" s="1"/>
  <c r="AZ51" i="86" a="1"/>
  <c r="AZ51" i="86" s="1"/>
  <c r="L51" i="86" a="1"/>
  <c r="L51" i="86" s="1"/>
  <c r="Q52" i="86" a="1"/>
  <c r="Q52" i="86" s="1"/>
  <c r="I52" i="86" a="1"/>
  <c r="I52" i="86" s="1"/>
  <c r="CH52" i="86" a="1"/>
  <c r="CH52" i="86" s="1"/>
  <c r="AQ52" i="86" a="1"/>
  <c r="AQ52" i="86" s="1"/>
  <c r="AQ51" i="86" a="1"/>
  <c r="AQ51" i="86" s="1"/>
  <c r="AO51" i="86" a="1"/>
  <c r="AO51" i="86" s="1"/>
  <c r="F52" i="86" a="1"/>
  <c r="F52" i="86" s="1"/>
  <c r="CE51" i="86" a="1"/>
  <c r="CE51" i="86" s="1"/>
  <c r="AM51" i="86" a="1"/>
  <c r="AM51" i="86" s="1"/>
  <c r="AW51" i="86" a="1"/>
  <c r="AW51" i="86" s="1"/>
  <c r="BA52" i="86" a="1"/>
  <c r="BA52" i="86" s="1"/>
  <c r="C51" i="86" a="1"/>
  <c r="C51" i="86" s="1"/>
  <c r="O51" i="86" a="1"/>
  <c r="O51" i="86" s="1"/>
  <c r="H52" i="86" a="1"/>
  <c r="H52" i="86" s="1"/>
  <c r="AN51" i="86" a="1"/>
  <c r="AN51" i="86" s="1"/>
  <c r="CD51" i="86" a="1"/>
  <c r="CD51" i="86" s="1"/>
  <c r="AP51" i="86" a="1"/>
  <c r="AP51" i="86" s="1"/>
  <c r="AN52" i="86" a="1"/>
  <c r="AN52" i="86" s="1"/>
  <c r="D52" i="86" a="1"/>
  <c r="D52" i="86" s="1"/>
  <c r="E52" i="86" a="1"/>
  <c r="E52" i="86" s="1"/>
  <c r="D51" i="86" a="1"/>
  <c r="D51" i="86" s="1"/>
  <c r="G52" i="86" a="1"/>
  <c r="G52" i="86" s="1"/>
  <c r="BX52" i="86" s="1"/>
  <c r="AR51" i="86" a="1"/>
  <c r="AR51" i="86" s="1"/>
  <c r="BB52" i="86" a="1"/>
  <c r="BB52" i="86" s="1"/>
  <c r="CG51" i="86" a="1"/>
  <c r="CG51" i="86" s="1"/>
  <c r="AY52" i="86" a="1"/>
  <c r="AY52" i="86" s="1"/>
  <c r="O52" i="86" a="1"/>
  <c r="O52" i="86" s="1"/>
  <c r="AT51" i="86" a="1"/>
  <c r="AT51" i="86" s="1"/>
  <c r="H51" i="86" a="1"/>
  <c r="H51" i="86" s="1"/>
  <c r="G51" i="86" a="1"/>
  <c r="G51" i="86" s="1"/>
  <c r="BX51" i="86" s="1"/>
  <c r="J52" i="86" a="1"/>
  <c r="J52" i="86" s="1"/>
  <c r="AW52" i="86" a="1"/>
  <c r="AW52" i="86" s="1"/>
  <c r="P51" i="86" a="1"/>
  <c r="P51" i="86" s="1"/>
  <c r="AS52" i="86" a="1"/>
  <c r="AS52" i="86" s="1"/>
  <c r="AX51" i="86" a="1"/>
  <c r="AX51" i="86" s="1"/>
  <c r="AM52" i="86" a="1"/>
  <c r="AM52" i="86" s="1"/>
  <c r="J51" i="86" a="1"/>
  <c r="J51" i="86" s="1"/>
  <c r="P52" i="86" a="1"/>
  <c r="P52" i="86" s="1"/>
  <c r="E51" i="86" a="1"/>
  <c r="E51" i="86" s="1"/>
  <c r="BB51" i="86" a="1"/>
  <c r="BB51" i="86" s="1"/>
  <c r="AX52" i="86" a="1"/>
  <c r="AX52" i="86" s="1"/>
  <c r="AL52" i="86" a="1"/>
  <c r="AL52" i="86" s="1"/>
  <c r="L52" i="86" a="1"/>
  <c r="L52" i="86" s="1"/>
  <c r="AS51" i="86" a="1"/>
  <c r="AS51" i="86" s="1"/>
  <c r="CH51" i="86" a="1"/>
  <c r="CH51" i="86" s="1"/>
  <c r="AR52" i="86" a="1"/>
  <c r="AR52" i="86" s="1"/>
  <c r="CD52" i="86" a="1"/>
  <c r="CD52" i="86" s="1"/>
  <c r="S51" i="86" a="1"/>
  <c r="S51" i="86" s="1"/>
  <c r="AZ52" i="86" a="1"/>
  <c r="AZ52" i="86" s="1"/>
  <c r="AP52" i="86" a="1"/>
  <c r="AP52" i="86" s="1"/>
  <c r="AU52" i="86" a="1"/>
  <c r="AU52" i="86" s="1"/>
  <c r="AU51" i="86" a="1"/>
  <c r="AU51" i="86" s="1"/>
  <c r="F51" i="86" a="1"/>
  <c r="F51" i="86" s="1"/>
  <c r="AL544" i="84"/>
  <c r="AU544" i="84"/>
  <c r="AX544" i="84"/>
  <c r="AR544" i="84"/>
  <c r="AO544" i="84"/>
  <c r="BB544" i="84"/>
  <c r="AL444" i="84"/>
  <c r="AR444" i="84"/>
  <c r="AU444" i="84"/>
  <c r="AX444" i="84"/>
  <c r="AO444" i="84"/>
  <c r="BB444" i="84"/>
  <c r="AX494" i="84"/>
  <c r="AR494" i="84"/>
  <c r="AU494" i="84"/>
  <c r="AL494" i="84"/>
  <c r="BB494" i="84"/>
  <c r="AO494" i="84"/>
  <c r="AR404" i="84"/>
  <c r="AL404" i="84"/>
  <c r="AU404" i="84"/>
  <c r="AX404" i="84"/>
  <c r="AO404" i="84"/>
  <c r="BB404" i="84"/>
  <c r="AR870" i="84"/>
  <c r="AU870" i="84"/>
  <c r="AL870" i="84"/>
  <c r="AX870" i="84"/>
  <c r="BB870" i="84"/>
  <c r="AO870" i="84"/>
  <c r="AR892" i="84"/>
  <c r="AL892" i="84"/>
  <c r="AU892" i="84"/>
  <c r="AX892" i="84"/>
  <c r="BB892" i="84"/>
  <c r="AO892" i="84"/>
  <c r="AK213" i="84"/>
  <c r="BI213" i="84"/>
  <c r="AL812" i="84"/>
  <c r="AR812" i="84"/>
  <c r="AU812" i="84"/>
  <c r="AX812" i="84"/>
  <c r="BB812" i="84"/>
  <c r="AO812" i="84"/>
  <c r="AX921" i="84"/>
  <c r="AR921" i="84"/>
  <c r="AL921" i="84"/>
  <c r="AU921" i="84"/>
  <c r="AO921" i="84"/>
  <c r="BB921" i="84"/>
  <c r="BI548" i="84"/>
  <c r="AK548" i="84"/>
  <c r="AU84" i="84"/>
  <c r="AL84" i="84"/>
  <c r="AR84" i="84"/>
  <c r="AX84" i="84"/>
  <c r="BB84" i="84"/>
  <c r="AO84" i="84"/>
  <c r="AX189" i="84"/>
  <c r="AX237" i="84"/>
  <c r="AL237" i="84"/>
  <c r="AR237" i="84"/>
  <c r="AU237" i="84"/>
  <c r="BB237" i="84"/>
  <c r="AO237" i="84"/>
  <c r="BI264" i="84"/>
  <c r="AK264" i="84"/>
  <c r="BB223" i="84"/>
  <c r="BI337" i="84"/>
  <c r="AK337" i="84"/>
  <c r="AU500" i="84"/>
  <c r="AL737" i="84"/>
  <c r="AR737" i="84"/>
  <c r="AU737" i="84"/>
  <c r="AX737" i="84"/>
  <c r="AO737" i="84"/>
  <c r="BB737" i="84"/>
  <c r="AU425" i="84"/>
  <c r="AL425" i="84"/>
  <c r="AX425" i="84"/>
  <c r="AR425" i="84"/>
  <c r="BB425" i="84"/>
  <c r="AO425" i="84"/>
  <c r="BI327" i="84"/>
  <c r="AK327" i="84"/>
  <c r="AU679" i="84"/>
  <c r="AL679" i="84"/>
  <c r="AR679" i="84"/>
  <c r="AX679" i="84"/>
  <c r="AO679" i="84"/>
  <c r="BB679" i="84"/>
  <c r="AX832" i="84"/>
  <c r="AR832" i="84"/>
  <c r="AL832" i="84"/>
  <c r="AU832" i="84"/>
  <c r="AO832" i="84"/>
  <c r="BB832" i="84"/>
  <c r="BI195" i="84"/>
  <c r="AK195" i="84"/>
  <c r="AX842" i="84"/>
  <c r="AL842" i="84"/>
  <c r="AU842" i="84"/>
  <c r="AR842" i="84"/>
  <c r="AO842" i="84"/>
  <c r="BB842" i="84"/>
  <c r="AK386" i="84"/>
  <c r="BI386" i="84"/>
  <c r="AK188" i="84"/>
  <c r="BI188" i="84"/>
  <c r="BI389" i="84"/>
  <c r="AK389" i="84"/>
  <c r="AX509" i="84"/>
  <c r="AL509" i="84"/>
  <c r="AR509" i="84"/>
  <c r="BB509" i="84"/>
  <c r="AX88" i="84"/>
  <c r="AL88" i="84"/>
  <c r="AR88" i="84"/>
  <c r="AU88" i="84"/>
  <c r="BB88" i="84"/>
  <c r="AO88" i="84"/>
  <c r="BI355" i="84"/>
  <c r="AK355" i="84"/>
  <c r="AU828" i="84"/>
  <c r="AR828" i="84"/>
  <c r="AL828" i="84"/>
  <c r="AX828" i="84"/>
  <c r="AO828" i="84"/>
  <c r="BB828" i="84"/>
  <c r="AL283" i="84"/>
  <c r="AX283" i="84"/>
  <c r="AR283" i="84"/>
  <c r="AU283" i="84"/>
  <c r="BB283" i="84"/>
  <c r="AO283" i="84"/>
  <c r="AU718" i="84"/>
  <c r="AL718" i="84"/>
  <c r="AX718" i="84"/>
  <c r="AR718" i="84"/>
  <c r="AO718" i="84"/>
  <c r="BB718" i="84"/>
  <c r="BI163" i="84"/>
  <c r="AK163" i="84"/>
  <c r="BB153" i="84"/>
  <c r="AU655" i="84"/>
  <c r="AR655" i="84"/>
  <c r="AL655" i="84"/>
  <c r="AX655" i="84"/>
  <c r="BB655" i="84"/>
  <c r="AO655" i="84"/>
  <c r="AU909" i="84"/>
  <c r="AL909" i="84"/>
  <c r="AX909" i="84"/>
  <c r="AR909" i="84"/>
  <c r="AO909" i="84"/>
  <c r="BB909" i="84"/>
  <c r="AR276" i="84"/>
  <c r="AU276" i="84"/>
  <c r="AX276" i="84"/>
  <c r="AL276" i="84"/>
  <c r="AO276" i="84"/>
  <c r="BB276" i="84"/>
  <c r="AX758" i="84"/>
  <c r="AL758" i="84"/>
  <c r="AU758" i="84"/>
  <c r="AR758" i="84"/>
  <c r="BB758" i="84"/>
  <c r="AO758" i="84"/>
  <c r="AL595" i="84"/>
  <c r="AX595" i="84"/>
  <c r="AU595" i="84"/>
  <c r="AR595" i="84"/>
  <c r="AO595" i="84"/>
  <c r="BB595" i="84"/>
  <c r="AU669" i="84"/>
  <c r="AR669" i="84"/>
  <c r="AX669" i="84"/>
  <c r="AL669" i="84"/>
  <c r="BB669" i="84"/>
  <c r="AO669" i="84"/>
  <c r="AL777" i="84"/>
  <c r="AR777" i="84"/>
  <c r="AU777" i="84"/>
  <c r="AX777" i="84"/>
  <c r="AO777" i="84"/>
  <c r="BB777" i="84"/>
  <c r="AK376" i="84"/>
  <c r="BI376" i="84"/>
  <c r="AK72" i="84"/>
  <c r="BI72" i="84"/>
  <c r="AU831" i="84"/>
  <c r="AL831" i="84"/>
  <c r="AR831" i="84"/>
  <c r="AX831" i="84"/>
  <c r="AO831" i="84"/>
  <c r="BB831" i="84"/>
  <c r="AK306" i="84"/>
  <c r="BI306" i="84"/>
  <c r="AR699" i="84"/>
  <c r="AL699" i="84"/>
  <c r="AX699" i="84"/>
  <c r="AU699" i="84"/>
  <c r="BB699" i="84"/>
  <c r="AO699" i="84"/>
  <c r="AU876" i="84"/>
  <c r="AL876" i="84"/>
  <c r="AR876" i="84"/>
  <c r="AX876" i="84"/>
  <c r="BB876" i="84"/>
  <c r="AO876" i="84"/>
  <c r="AX836" i="84"/>
  <c r="AR836" i="84"/>
  <c r="AL836" i="84"/>
  <c r="AU836" i="84"/>
  <c r="BB836" i="84"/>
  <c r="AO836" i="84"/>
  <c r="BI443" i="84"/>
  <c r="AK443" i="84"/>
  <c r="BB86" i="84"/>
  <c r="AU86" i="84"/>
  <c r="AR86" i="84"/>
  <c r="AL86" i="84"/>
  <c r="AX86" i="84"/>
  <c r="AO86" i="84"/>
  <c r="AR85" i="84"/>
  <c r="AL85" i="84"/>
  <c r="AX85" i="84"/>
  <c r="AU85" i="84"/>
  <c r="BB85" i="84"/>
  <c r="AO85" i="84"/>
  <c r="AU688" i="84"/>
  <c r="AL688" i="84"/>
  <c r="AR688" i="84"/>
  <c r="AX688" i="84"/>
  <c r="BB688" i="84"/>
  <c r="AO688" i="84"/>
  <c r="AL711" i="84"/>
  <c r="AX711" i="84"/>
  <c r="AR711" i="84"/>
  <c r="AU711" i="84"/>
  <c r="BB711" i="84"/>
  <c r="AO711" i="84"/>
  <c r="AL113" i="84"/>
  <c r="AU113" i="84"/>
  <c r="AX113" i="84"/>
  <c r="AR113" i="84"/>
  <c r="AO113" i="84"/>
  <c r="BB113" i="84"/>
  <c r="AL243" i="84"/>
  <c r="AR243" i="84"/>
  <c r="AU243" i="84"/>
  <c r="AX243" i="84"/>
  <c r="BB243" i="84"/>
  <c r="AO243" i="84"/>
  <c r="AR702" i="84"/>
  <c r="AL702" i="84"/>
  <c r="AU702" i="84"/>
  <c r="AX702" i="84"/>
  <c r="BB702" i="84"/>
  <c r="AO702" i="84"/>
  <c r="BI383" i="84"/>
  <c r="AK383" i="84"/>
  <c r="AK435" i="84"/>
  <c r="BI435" i="84"/>
  <c r="AU769" i="84"/>
  <c r="AR769" i="84"/>
  <c r="AL769" i="84"/>
  <c r="AX769" i="84"/>
  <c r="BB769" i="84"/>
  <c r="AO769" i="84"/>
  <c r="AU915" i="84"/>
  <c r="AR915" i="84"/>
  <c r="AL915" i="84"/>
  <c r="AX915" i="84"/>
  <c r="AO915" i="84"/>
  <c r="BB915" i="84"/>
  <c r="BB432" i="84"/>
  <c r="AX432" i="84"/>
  <c r="AR432" i="84"/>
  <c r="AU432" i="84"/>
  <c r="AL432" i="84"/>
  <c r="AO432" i="84"/>
  <c r="AR837" i="84"/>
  <c r="AU837" i="84"/>
  <c r="AX837" i="84"/>
  <c r="AL837" i="84"/>
  <c r="BB837" i="84"/>
  <c r="AO837" i="84"/>
  <c r="AR857" i="84"/>
  <c r="AL857" i="84"/>
  <c r="AX857" i="84"/>
  <c r="AU857" i="84"/>
  <c r="BB857" i="84"/>
  <c r="AO857" i="84"/>
  <c r="BI270" i="84"/>
  <c r="AK270" i="84"/>
  <c r="AX578" i="84"/>
  <c r="AU578" i="84"/>
  <c r="AR578" i="84"/>
  <c r="AL578" i="84"/>
  <c r="BB578" i="84"/>
  <c r="AO578" i="84"/>
  <c r="AL868" i="84"/>
  <c r="AX868" i="84"/>
  <c r="AU868" i="84"/>
  <c r="AR868" i="84"/>
  <c r="BB868" i="84"/>
  <c r="AO868" i="84"/>
  <c r="H25" i="87" a="1"/>
  <c r="H25" i="87" s="1"/>
  <c r="V25" i="87" s="1"/>
  <c r="G20" i="87" a="1"/>
  <c r="G20" i="87" s="1"/>
  <c r="B23" i="87" a="1"/>
  <c r="B23" i="87" s="1"/>
  <c r="G40" i="87" a="1"/>
  <c r="G40" i="87" s="1"/>
  <c r="B20" i="87" a="1"/>
  <c r="B20" i="87" s="1"/>
  <c r="O23" i="87" a="1"/>
  <c r="O23" i="87" s="1"/>
  <c r="C39" i="87" a="1"/>
  <c r="C39" i="87" s="1"/>
  <c r="L13" i="87" a="1"/>
  <c r="L13" i="87" s="1"/>
  <c r="K19" i="87" a="1"/>
  <c r="K19" i="87" s="1"/>
  <c r="C6" i="87" a="1"/>
  <c r="C6" i="87" s="1"/>
  <c r="S21" i="87" a="1"/>
  <c r="S21" i="87" s="1"/>
  <c r="R40" i="87" a="1"/>
  <c r="R40" i="87" s="1"/>
  <c r="E31" i="87" a="1"/>
  <c r="E31" i="87" s="1"/>
  <c r="L32" i="87" a="1"/>
  <c r="L32" i="87" s="1"/>
  <c r="L21" i="87" a="1"/>
  <c r="L21" i="87" s="1"/>
  <c r="N31" i="87" a="1"/>
  <c r="N31" i="87" s="1"/>
  <c r="E38" i="87" a="1"/>
  <c r="E38" i="87" s="1"/>
  <c r="R32" i="87" a="1"/>
  <c r="R32" i="87" s="1"/>
  <c r="R28" i="87" a="1"/>
  <c r="R28" i="87" s="1"/>
  <c r="P36" i="87" a="1"/>
  <c r="P36" i="87" s="1"/>
  <c r="D34" i="87" a="1"/>
  <c r="D34" i="87" s="1"/>
  <c r="K31" i="87" a="1"/>
  <c r="K31" i="87" s="1"/>
  <c r="C20" i="87" a="1"/>
  <c r="C20" i="87" s="1"/>
  <c r="L25" i="87" a="1"/>
  <c r="L25" i="87" s="1"/>
  <c r="J6" i="87" a="1"/>
  <c r="J6" i="87" s="1"/>
  <c r="W6" i="87" s="1"/>
  <c r="D5" i="87" a="1"/>
  <c r="D5" i="87" s="1"/>
  <c r="L6" i="87" a="1"/>
  <c r="L6" i="87" s="1"/>
  <c r="K8" i="87" a="1"/>
  <c r="K8" i="87" s="1"/>
  <c r="E30" i="87" a="1"/>
  <c r="E30" i="87" s="1"/>
  <c r="D23" i="87" a="1"/>
  <c r="D23" i="87" s="1"/>
  <c r="R41" i="87" a="1"/>
  <c r="R41" i="87" s="1"/>
  <c r="C27" i="87" a="1"/>
  <c r="C27" i="87" s="1"/>
  <c r="B37" i="87" a="1"/>
  <c r="B37" i="87" s="1"/>
  <c r="P22" i="87" a="1"/>
  <c r="P22" i="87" s="1"/>
  <c r="J34" i="87" a="1"/>
  <c r="J34" i="87" s="1"/>
  <c r="W34" i="87" s="1"/>
  <c r="D21" i="87" a="1"/>
  <c r="D21" i="87" s="1"/>
  <c r="C15" i="87" a="1"/>
  <c r="C15" i="87" s="1"/>
  <c r="Q29" i="87" a="1"/>
  <c r="Q29" i="87" s="1"/>
  <c r="S14" i="87" a="1"/>
  <c r="S14" i="87" s="1"/>
  <c r="N10" i="87" a="1"/>
  <c r="N10" i="87" s="1"/>
  <c r="K29" i="87" a="1"/>
  <c r="K29" i="87" s="1"/>
  <c r="F41" i="87" a="1"/>
  <c r="F41" i="87" s="1"/>
  <c r="N41" i="87" a="1"/>
  <c r="N41" i="87" s="1"/>
  <c r="J38" i="87" a="1"/>
  <c r="J38" i="87" s="1"/>
  <c r="W38" i="87" s="1"/>
  <c r="R10" i="87" a="1"/>
  <c r="R10" i="87" s="1"/>
  <c r="C9" i="87" a="1"/>
  <c r="C9" i="87" s="1"/>
  <c r="P30" i="87" a="1"/>
  <c r="P30" i="87" s="1"/>
  <c r="S25" i="87" a="1"/>
  <c r="S25" i="87" s="1"/>
  <c r="E18" i="87" a="1"/>
  <c r="E18" i="87" s="1"/>
  <c r="O22" i="87" a="1"/>
  <c r="O22" i="87" s="1"/>
  <c r="E5" i="87" a="1"/>
  <c r="E5" i="87" s="1"/>
  <c r="J22" i="87" a="1"/>
  <c r="J22" i="87" s="1"/>
  <c r="W22" i="87" s="1"/>
  <c r="G26" i="87" a="1"/>
  <c r="G26" i="87" s="1"/>
  <c r="S13" i="87" a="1"/>
  <c r="S13" i="87" s="1"/>
  <c r="L36" i="87" a="1"/>
  <c r="L36" i="87" s="1"/>
  <c r="E12" i="87" a="1"/>
  <c r="E12" i="87" s="1"/>
  <c r="R39" i="87" a="1"/>
  <c r="R39" i="87" s="1"/>
  <c r="E26" i="87" a="1"/>
  <c r="E26" i="87" s="1"/>
  <c r="R14" i="87" a="1"/>
  <c r="R14" i="87" s="1"/>
  <c r="C26" i="87" a="1"/>
  <c r="C26" i="87" s="1"/>
  <c r="P31" i="87" a="1"/>
  <c r="P31" i="87" s="1"/>
  <c r="L15" i="87" a="1"/>
  <c r="L15" i="87" s="1"/>
  <c r="Q26" i="87" a="1"/>
  <c r="Q26" i="87" s="1"/>
  <c r="P16" i="87" a="1"/>
  <c r="P16" i="87" s="1"/>
  <c r="J35" i="87" a="1"/>
  <c r="J35" i="87" s="1"/>
  <c r="W35" i="87" s="1"/>
  <c r="B32" i="87" a="1"/>
  <c r="B32" i="87" s="1"/>
  <c r="I37" i="87" a="1"/>
  <c r="I37" i="87" s="1"/>
  <c r="L34" i="87" a="1"/>
  <c r="L34" i="87" s="1"/>
  <c r="L37" i="87" a="1"/>
  <c r="L37" i="87" s="1"/>
  <c r="F19" i="87" a="1"/>
  <c r="F19" i="87" s="1"/>
  <c r="J19" i="87" a="1"/>
  <c r="J19" i="87" s="1"/>
  <c r="W19" i="87" s="1"/>
  <c r="S49" i="87" a="1"/>
  <c r="S49" i="87" s="1"/>
  <c r="G3" i="87" a="1"/>
  <c r="G3" i="87" s="1"/>
  <c r="L28" i="87" a="1"/>
  <c r="L28" i="87" s="1"/>
  <c r="B12" i="87" a="1"/>
  <c r="B12" i="87" s="1"/>
  <c r="L35" i="87" a="1"/>
  <c r="L35" i="87" s="1"/>
  <c r="F28" i="87" a="1"/>
  <c r="F28" i="87" s="1"/>
  <c r="S39" i="87" a="1"/>
  <c r="S39" i="87" s="1"/>
  <c r="C16" i="87" a="1"/>
  <c r="C16" i="87" s="1"/>
  <c r="N6" i="87" a="1"/>
  <c r="N6" i="87" s="1"/>
  <c r="L22" i="87" a="1"/>
  <c r="L22" i="87" s="1"/>
  <c r="S10" i="87" a="1"/>
  <c r="S10" i="87" s="1"/>
  <c r="N3" i="87" a="1"/>
  <c r="N3" i="87" s="1"/>
  <c r="E27" i="87" a="1"/>
  <c r="E27" i="87" s="1"/>
  <c r="N40" i="87" a="1"/>
  <c r="N40" i="87" s="1"/>
  <c r="B39" i="87" a="1"/>
  <c r="B39" i="87" s="1"/>
  <c r="C25" i="87" a="1"/>
  <c r="C25" i="87" s="1"/>
  <c r="K39" i="87" a="1"/>
  <c r="K39" i="87" s="1"/>
  <c r="I8" i="87" a="1"/>
  <c r="I8" i="87" s="1"/>
  <c r="L23" i="87" a="1"/>
  <c r="L23" i="87" s="1"/>
  <c r="I7" i="87" a="1"/>
  <c r="I7" i="87" s="1"/>
  <c r="O11" i="87" a="1"/>
  <c r="O11" i="87" s="1"/>
  <c r="G18" i="87" a="1"/>
  <c r="G18" i="87" s="1"/>
  <c r="P7" i="87" a="1"/>
  <c r="P7" i="87" s="1"/>
  <c r="I32" i="87" a="1"/>
  <c r="I32" i="87" s="1"/>
  <c r="L40" i="87" a="1"/>
  <c r="L40" i="87" s="1"/>
  <c r="K18" i="87" a="1"/>
  <c r="K18" i="87" s="1"/>
  <c r="F4" i="87" a="1"/>
  <c r="F4" i="87" s="1"/>
  <c r="O30" i="87" a="1"/>
  <c r="O30" i="87" s="1"/>
  <c r="H26" i="87" a="1"/>
  <c r="H26" i="87" s="1"/>
  <c r="V26" i="87" s="1"/>
  <c r="P35" i="87" a="1"/>
  <c r="P35" i="87" s="1"/>
  <c r="L42" i="87" a="1"/>
  <c r="L42" i="87" s="1"/>
  <c r="B34" i="87" a="1"/>
  <c r="B34" i="87" s="1"/>
  <c r="D42" i="87" a="1"/>
  <c r="D42" i="87" s="1"/>
  <c r="D14" i="87" a="1"/>
  <c r="D14" i="87" s="1"/>
  <c r="Q5" i="87" a="1"/>
  <c r="Q5" i="87" s="1"/>
  <c r="O14" i="87" a="1"/>
  <c r="O14" i="87" s="1"/>
  <c r="D29" i="87" a="1"/>
  <c r="D29" i="87" s="1"/>
  <c r="N16" i="87" a="1"/>
  <c r="N16" i="87" s="1"/>
  <c r="C3" i="87" a="1"/>
  <c r="C3" i="87" s="1"/>
  <c r="K23" i="87" a="1"/>
  <c r="K23" i="87" s="1"/>
  <c r="B22" i="87" a="1"/>
  <c r="B22" i="87" s="1"/>
  <c r="G29" i="87" a="1"/>
  <c r="G29" i="87" s="1"/>
  <c r="P17" i="87" a="1"/>
  <c r="P17" i="87" s="1"/>
  <c r="O9" i="87" a="1"/>
  <c r="O9" i="87" s="1"/>
  <c r="S5" i="87" a="1"/>
  <c r="S5" i="87" s="1"/>
  <c r="D6" i="87" a="1"/>
  <c r="D6" i="87" s="1"/>
  <c r="H23" i="87" a="1"/>
  <c r="H23" i="87" s="1"/>
  <c r="V23" i="87" s="1"/>
  <c r="H18" i="87" a="1"/>
  <c r="H18" i="87" s="1"/>
  <c r="V18" i="87" s="1"/>
  <c r="G4" i="87" a="1"/>
  <c r="G4" i="87" s="1"/>
  <c r="E10" i="87" a="1"/>
  <c r="E10" i="87" s="1"/>
  <c r="D36" i="87" a="1"/>
  <c r="D36" i="87" s="1"/>
  <c r="C33" i="87" a="1"/>
  <c r="C33" i="87" s="1"/>
  <c r="B31" i="87" a="1"/>
  <c r="B31" i="87" s="1"/>
  <c r="E22" i="87" a="1"/>
  <c r="E22" i="87" s="1"/>
  <c r="H3" i="87" a="1"/>
  <c r="H3" i="87" s="1"/>
  <c r="V3" i="87" s="1"/>
  <c r="K35" i="87" a="1"/>
  <c r="K35" i="87" s="1"/>
  <c r="C7" i="87" a="1"/>
  <c r="C7" i="87" s="1"/>
  <c r="Q17" i="87" a="1"/>
  <c r="Q17" i="87" s="1"/>
  <c r="F34" i="87" a="1"/>
  <c r="F34" i="87" s="1"/>
  <c r="N4" i="87" a="1"/>
  <c r="N4" i="87" s="1"/>
  <c r="E19" i="87" a="1"/>
  <c r="E19" i="87" s="1"/>
  <c r="C22" i="87" a="1"/>
  <c r="C22" i="87" s="1"/>
  <c r="H31" i="87" a="1"/>
  <c r="H31" i="87" s="1"/>
  <c r="V31" i="87" s="1"/>
  <c r="F7" i="87" a="1"/>
  <c r="F7" i="87" s="1"/>
  <c r="O18" i="87" a="1"/>
  <c r="O18" i="87" s="1"/>
  <c r="K32" i="87" a="1"/>
  <c r="K32" i="87" s="1"/>
  <c r="R8" i="87" a="1"/>
  <c r="R8" i="87" s="1"/>
  <c r="P42" i="87" a="1"/>
  <c r="P42" i="87" s="1"/>
  <c r="C41" i="87" a="1"/>
  <c r="C41" i="87" s="1"/>
  <c r="D27" i="87" a="1"/>
  <c r="D27" i="87" s="1"/>
  <c r="Q32" i="87" a="1"/>
  <c r="Q32" i="87" s="1"/>
  <c r="J31" i="87" a="1"/>
  <c r="J31" i="87" s="1"/>
  <c r="W31" i="87" s="1"/>
  <c r="D24" i="87" a="1"/>
  <c r="D24" i="87" s="1"/>
  <c r="R17" i="87" a="1"/>
  <c r="R17" i="87" s="1"/>
  <c r="N27" i="87" a="1"/>
  <c r="N27" i="87" s="1"/>
  <c r="I31" i="87" a="1"/>
  <c r="I31" i="87" s="1"/>
  <c r="S29" i="87" a="1"/>
  <c r="S29" i="87" s="1"/>
  <c r="S3" i="87" a="1"/>
  <c r="S3" i="87" s="1"/>
  <c r="G41" i="87" a="1"/>
  <c r="G41" i="87" s="1"/>
  <c r="S35" i="87" a="1"/>
  <c r="S35" i="87" s="1"/>
  <c r="B38" i="87" a="1"/>
  <c r="B38" i="87" s="1"/>
  <c r="F17" i="87" a="1"/>
  <c r="F17" i="87" s="1"/>
  <c r="H39" i="87" a="1"/>
  <c r="H39" i="87" s="1"/>
  <c r="V39" i="87" s="1"/>
  <c r="B40" i="87" a="1"/>
  <c r="B40" i="87" s="1"/>
  <c r="S30" i="87" a="1"/>
  <c r="S30" i="87" s="1"/>
  <c r="S12" i="87" a="1"/>
  <c r="S12" i="87" s="1"/>
  <c r="D12" i="87" a="1"/>
  <c r="D12" i="87" s="1"/>
  <c r="P15" i="87" a="1"/>
  <c r="P15" i="87" s="1"/>
  <c r="H42" i="87" a="1"/>
  <c r="H42" i="87" s="1"/>
  <c r="V42" i="87" s="1"/>
  <c r="R23" i="87" a="1"/>
  <c r="R23" i="87" s="1"/>
  <c r="F13" i="87" a="1"/>
  <c r="F13" i="87" s="1"/>
  <c r="E42" i="87" a="1"/>
  <c r="E42" i="87" s="1"/>
  <c r="I33" i="87" a="1"/>
  <c r="I33" i="87" s="1"/>
  <c r="L31" i="87" a="1"/>
  <c r="L31" i="87" s="1"/>
  <c r="D38" i="87" a="1"/>
  <c r="D38" i="87" s="1"/>
  <c r="R3" i="87" a="1"/>
  <c r="R3" i="87" s="1"/>
  <c r="O25" i="87" a="1"/>
  <c r="O25" i="87" s="1"/>
  <c r="J5" i="87" a="1"/>
  <c r="J5" i="87" s="1"/>
  <c r="W5" i="87" s="1"/>
  <c r="E7" i="87" a="1"/>
  <c r="E7" i="87" s="1"/>
  <c r="G25" i="87" a="1"/>
  <c r="G25" i="87" s="1"/>
  <c r="R35" i="87" a="1"/>
  <c r="R35" i="87" s="1"/>
  <c r="N19" i="87" a="1"/>
  <c r="N19" i="87" s="1"/>
  <c r="P23" i="87" a="1"/>
  <c r="P23" i="87" s="1"/>
  <c r="P4" i="87" a="1"/>
  <c r="P4" i="87" s="1"/>
  <c r="S19" i="87" a="1"/>
  <c r="S19" i="87" s="1"/>
  <c r="Q14" i="87" a="1"/>
  <c r="Q14" i="87" s="1"/>
  <c r="P28" i="87" a="1"/>
  <c r="P28" i="87" s="1"/>
  <c r="J11" i="87" a="1"/>
  <c r="J11" i="87" s="1"/>
  <c r="W11" i="87" s="1"/>
  <c r="B9" i="87" a="1"/>
  <c r="B9" i="87" s="1"/>
  <c r="S4" i="87" a="1"/>
  <c r="S4" i="87" s="1"/>
  <c r="B6" i="87" a="1"/>
  <c r="B6" i="87" s="1"/>
  <c r="L33" i="87" a="1"/>
  <c r="L33" i="87" s="1"/>
  <c r="R5" i="87" a="1"/>
  <c r="R5" i="87" s="1"/>
  <c r="D39" i="87" a="1"/>
  <c r="D39" i="87" s="1"/>
  <c r="I4" i="87" a="1"/>
  <c r="I4" i="87" s="1"/>
  <c r="Q40" i="87" a="1"/>
  <c r="Q40" i="87" s="1"/>
  <c r="K5" i="87" a="1"/>
  <c r="K5" i="87" s="1"/>
  <c r="H29" i="87" a="1"/>
  <c r="H29" i="87" s="1"/>
  <c r="V29" i="87" s="1"/>
  <c r="G27" i="87" a="1"/>
  <c r="G27" i="87" s="1"/>
  <c r="G10" i="87" a="1"/>
  <c r="G10" i="87" s="1"/>
  <c r="F35" i="87" a="1"/>
  <c r="F35" i="87" s="1"/>
  <c r="H12" i="87" a="1"/>
  <c r="H12" i="87" s="1"/>
  <c r="V12" i="87" s="1"/>
  <c r="P25" i="87" a="1"/>
  <c r="P25" i="87" s="1"/>
  <c r="F36" i="87" a="1"/>
  <c r="F36" i="87" s="1"/>
  <c r="N30" i="87" a="1"/>
  <c r="N30" i="87" s="1"/>
  <c r="H17" i="87" a="1"/>
  <c r="H17" i="87" s="1"/>
  <c r="V17" i="87" s="1"/>
  <c r="E8" i="87" a="1"/>
  <c r="E8" i="87" s="1"/>
  <c r="S18" i="87" a="1"/>
  <c r="S18" i="87" s="1"/>
  <c r="J28" i="87" a="1"/>
  <c r="J28" i="87" s="1"/>
  <c r="W28" i="87" s="1"/>
  <c r="F39" i="87" a="1"/>
  <c r="F39" i="87" s="1"/>
  <c r="C30" i="87" a="1"/>
  <c r="C30" i="87" s="1"/>
  <c r="G21" i="87" a="1"/>
  <c r="G21" i="87" s="1"/>
  <c r="G14" i="87" a="1"/>
  <c r="G14" i="87" s="1"/>
  <c r="Q3" i="87" a="1"/>
  <c r="Q3" i="87" s="1"/>
  <c r="B30" i="87" a="1"/>
  <c r="B30" i="87" s="1"/>
  <c r="S27" i="87" a="1"/>
  <c r="S27" i="87" s="1"/>
  <c r="N20" i="87" a="1"/>
  <c r="N20" i="87" s="1"/>
  <c r="S34" i="87" a="1"/>
  <c r="S34" i="87" s="1"/>
  <c r="Q12" i="87" a="1"/>
  <c r="Q12" i="87" s="1"/>
  <c r="B25" i="87" a="1"/>
  <c r="B25" i="87" s="1"/>
  <c r="E9" i="87" a="1"/>
  <c r="E9" i="87" s="1"/>
  <c r="N13" i="87" a="1"/>
  <c r="N13" i="87" s="1"/>
  <c r="G16" i="87" a="1"/>
  <c r="G16" i="87" s="1"/>
  <c r="K4" i="87" a="1"/>
  <c r="K4" i="87" s="1"/>
  <c r="P20" i="87" a="1"/>
  <c r="P20" i="87" s="1"/>
  <c r="O20" i="87" a="1"/>
  <c r="O20" i="87" s="1"/>
  <c r="G9" i="87" a="1"/>
  <c r="G9" i="87" s="1"/>
  <c r="K12" i="87" a="1"/>
  <c r="K12" i="87" s="1"/>
  <c r="P32" i="87" a="1"/>
  <c r="P32" i="87" s="1"/>
  <c r="S42" i="87" a="1"/>
  <c r="S42" i="87" s="1"/>
  <c r="J4" i="87" a="1"/>
  <c r="J4" i="87" s="1"/>
  <c r="W4" i="87" s="1"/>
  <c r="E4" i="87" a="1"/>
  <c r="E4" i="87" s="1"/>
  <c r="S32" i="87" a="1"/>
  <c r="S32" i="87" s="1"/>
  <c r="D49" i="87" a="1"/>
  <c r="D49" i="87" s="1"/>
  <c r="R9" i="87" a="1"/>
  <c r="R9" i="87" s="1"/>
  <c r="S24" i="87" a="1"/>
  <c r="S24" i="87" s="1"/>
  <c r="L3" i="87" a="1"/>
  <c r="L3" i="87" s="1"/>
  <c r="F24" i="87" a="1"/>
  <c r="F24" i="87" s="1"/>
  <c r="R11" i="87" a="1"/>
  <c r="R11" i="87" s="1"/>
  <c r="E36" i="87" a="1"/>
  <c r="E36" i="87" s="1"/>
  <c r="H16" i="87" a="1"/>
  <c r="H16" i="87" s="1"/>
  <c r="V16" i="87" s="1"/>
  <c r="C5" i="87" a="1"/>
  <c r="C5" i="87" s="1"/>
  <c r="Q8" i="87" a="1"/>
  <c r="Q8" i="87" s="1"/>
  <c r="L17" i="87" a="1"/>
  <c r="L17" i="87" s="1"/>
  <c r="P38" i="87" a="1"/>
  <c r="P38" i="87" s="1"/>
  <c r="K42" i="87" a="1"/>
  <c r="K42" i="87" s="1"/>
  <c r="S22" i="87" a="1"/>
  <c r="S22" i="87" s="1"/>
  <c r="N28" i="87" a="1"/>
  <c r="N28" i="87" s="1"/>
  <c r="F18" i="87" a="1"/>
  <c r="F18" i="87" s="1"/>
  <c r="C34" i="87" a="1"/>
  <c r="C34" i="87" s="1"/>
  <c r="S41" i="87" a="1"/>
  <c r="S41" i="87" s="1"/>
  <c r="J8" i="87" a="1"/>
  <c r="J8" i="87" s="1"/>
  <c r="W8" i="87" s="1"/>
  <c r="E16" i="87" a="1"/>
  <c r="E16" i="87" s="1"/>
  <c r="R16" i="87" a="1"/>
  <c r="R16" i="87" s="1"/>
  <c r="B21" i="87" a="1"/>
  <c r="B21" i="87" s="1"/>
  <c r="J36" i="87" a="1"/>
  <c r="J36" i="87" s="1"/>
  <c r="W36" i="87" s="1"/>
  <c r="P29" i="87" a="1"/>
  <c r="P29" i="87" s="1"/>
  <c r="P34" i="87" a="1"/>
  <c r="P34" i="87" s="1"/>
  <c r="E29" i="87" a="1"/>
  <c r="E29" i="87" s="1"/>
  <c r="O12" i="87" a="1"/>
  <c r="O12" i="87" s="1"/>
  <c r="K34" i="87" a="1"/>
  <c r="K34" i="87" s="1"/>
  <c r="M34" i="87" s="1"/>
  <c r="J9" i="87" a="1"/>
  <c r="J9" i="87" s="1"/>
  <c r="W9" i="87" s="1"/>
  <c r="G42" i="87" a="1"/>
  <c r="G42" i="87" s="1"/>
  <c r="R12" i="87" a="1"/>
  <c r="R12" i="87" s="1"/>
  <c r="F30" i="87" a="1"/>
  <c r="F30" i="87" s="1"/>
  <c r="I25" i="87" a="1"/>
  <c r="I25" i="87" s="1"/>
  <c r="H28" i="87" a="1"/>
  <c r="H28" i="87" s="1"/>
  <c r="V28" i="87" s="1"/>
  <c r="K38" i="87" a="1"/>
  <c r="K38" i="87" s="1"/>
  <c r="Q38" i="87" a="1"/>
  <c r="Q38" i="87" s="1"/>
  <c r="R15" i="87" a="1"/>
  <c r="R15" i="87" s="1"/>
  <c r="K20" i="87" a="1"/>
  <c r="K20" i="87" s="1"/>
  <c r="Q37" i="87" a="1"/>
  <c r="Q37" i="87" s="1"/>
  <c r="P10" i="87" a="1"/>
  <c r="P10" i="87" s="1"/>
  <c r="Q25" i="87" a="1"/>
  <c r="Q25" i="87" s="1"/>
  <c r="F15" i="87" a="1"/>
  <c r="F15" i="87" s="1"/>
  <c r="L9" i="87" a="1"/>
  <c r="L9" i="87" s="1"/>
  <c r="P8" i="87" a="1"/>
  <c r="P8" i="87" s="1"/>
  <c r="D32" i="87" a="1"/>
  <c r="D32" i="87" s="1"/>
  <c r="H5" i="87" a="1"/>
  <c r="H5" i="87" s="1"/>
  <c r="V5" i="87" s="1"/>
  <c r="O27" i="87" a="1"/>
  <c r="O27" i="87" s="1"/>
  <c r="N33" i="87" a="1"/>
  <c r="N33" i="87" s="1"/>
  <c r="F31" i="87" a="1"/>
  <c r="F31" i="87" s="1"/>
  <c r="E28" i="87" a="1"/>
  <c r="E28" i="87" s="1"/>
  <c r="K30" i="87" a="1"/>
  <c r="K30" i="87" s="1"/>
  <c r="E21" i="87" a="1"/>
  <c r="E21" i="87" s="1"/>
  <c r="G31" i="87" a="1"/>
  <c r="G31" i="87" s="1"/>
  <c r="H4" i="87" a="1"/>
  <c r="H4" i="87" s="1"/>
  <c r="V4" i="87" s="1"/>
  <c r="S11" i="87" a="1"/>
  <c r="S11" i="87" s="1"/>
  <c r="Q23" i="87" a="1"/>
  <c r="Q23" i="87" s="1"/>
  <c r="J42" i="87" a="1"/>
  <c r="J42" i="87" s="1"/>
  <c r="W42" i="87" s="1"/>
  <c r="Q22" i="87" a="1"/>
  <c r="Q22" i="87" s="1"/>
  <c r="G17" i="87" a="1"/>
  <c r="G17" i="87" s="1"/>
  <c r="R13" i="87" a="1"/>
  <c r="R13" i="87" s="1"/>
  <c r="D7" i="87" a="1"/>
  <c r="D7" i="87" s="1"/>
  <c r="J41" i="87" a="1"/>
  <c r="J41" i="87" s="1"/>
  <c r="W41" i="87" s="1"/>
  <c r="B10" i="87" a="1"/>
  <c r="B10" i="87" s="1"/>
  <c r="S26" i="87" a="1"/>
  <c r="S26" i="87" s="1"/>
  <c r="B5" i="87" a="1"/>
  <c r="B5" i="87" s="1"/>
  <c r="L39" i="87" a="1"/>
  <c r="L39" i="87" s="1"/>
  <c r="P39" i="87" a="1"/>
  <c r="P39" i="87" s="1"/>
  <c r="B36" i="87" a="1"/>
  <c r="B36" i="87" s="1"/>
  <c r="R30" i="87" a="1"/>
  <c r="R30" i="87" s="1"/>
  <c r="B13" i="87" a="1"/>
  <c r="B13" i="87" s="1"/>
  <c r="J7" i="87" a="1"/>
  <c r="J7" i="87" s="1"/>
  <c r="W7" i="87" s="1"/>
  <c r="C11" i="87" a="1"/>
  <c r="C11" i="87" s="1"/>
  <c r="B16" i="87" a="1"/>
  <c r="B16" i="87" s="1"/>
  <c r="I11" i="87" a="1"/>
  <c r="I11" i="87" s="1"/>
  <c r="F38" i="87" a="1"/>
  <c r="F38" i="87" s="1"/>
  <c r="D25" i="87" a="1"/>
  <c r="D25" i="87" s="1"/>
  <c r="P26" i="87" a="1"/>
  <c r="P26" i="87" s="1"/>
  <c r="F12" i="87" a="1"/>
  <c r="F12" i="87" s="1"/>
  <c r="L24" i="87" a="1"/>
  <c r="L24" i="87" s="1"/>
  <c r="O39" i="87" a="1"/>
  <c r="O39" i="87" s="1"/>
  <c r="C14" i="87" a="1"/>
  <c r="C14" i="87" s="1"/>
  <c r="H35" i="87" a="1"/>
  <c r="H35" i="87" s="1"/>
  <c r="V35" i="87" s="1"/>
  <c r="K17" i="87" a="1"/>
  <c r="K17" i="87" s="1"/>
  <c r="M17" i="87" s="1"/>
  <c r="H15" i="87" a="1"/>
  <c r="H15" i="87" s="1"/>
  <c r="V15" i="87" s="1"/>
  <c r="K40" i="87" a="1"/>
  <c r="K40" i="87" s="1"/>
  <c r="G32" i="87" a="1"/>
  <c r="G32" i="87" s="1"/>
  <c r="N14" i="87" a="1"/>
  <c r="N14" i="87" s="1"/>
  <c r="I19" i="87" a="1"/>
  <c r="I19" i="87" s="1"/>
  <c r="P11" i="87" a="1"/>
  <c r="P11" i="87" s="1"/>
  <c r="J14" i="87" a="1"/>
  <c r="J14" i="87" s="1"/>
  <c r="W14" i="87" s="1"/>
  <c r="Q11" i="87" a="1"/>
  <c r="Q11" i="87" s="1"/>
  <c r="C8" i="87" a="1"/>
  <c r="C8" i="87" s="1"/>
  <c r="E15" i="87" a="1"/>
  <c r="E15" i="87" s="1"/>
  <c r="K26" i="87" a="1"/>
  <c r="K26" i="87" s="1"/>
  <c r="B7" i="87" a="1"/>
  <c r="B7" i="87" s="1"/>
  <c r="F33" i="87" a="1"/>
  <c r="F33" i="87" s="1"/>
  <c r="E25" i="87" a="1"/>
  <c r="E25" i="87" s="1"/>
  <c r="J12" i="87" a="1"/>
  <c r="J12" i="87" s="1"/>
  <c r="W12" i="87" s="1"/>
  <c r="G11" i="87" a="1"/>
  <c r="G11" i="87" s="1"/>
  <c r="R42" i="87" a="1"/>
  <c r="R42" i="87" s="1"/>
  <c r="C19" i="87" a="1"/>
  <c r="C19" i="87" s="1"/>
  <c r="I20" i="87" a="1"/>
  <c r="I20" i="87" s="1"/>
  <c r="C13" i="87" a="1"/>
  <c r="C13" i="87" s="1"/>
  <c r="P18" i="87" a="1"/>
  <c r="P18" i="87" s="1"/>
  <c r="L5" i="87" a="1"/>
  <c r="L5" i="87" s="1"/>
  <c r="N36" i="87" a="1"/>
  <c r="N36" i="87" s="1"/>
  <c r="G15" i="87" a="1"/>
  <c r="G15" i="87" s="1"/>
  <c r="O36" i="87" a="1"/>
  <c r="O36" i="87" s="1"/>
  <c r="I3" i="87" a="1"/>
  <c r="I3" i="87" s="1"/>
  <c r="O38" i="87" a="1"/>
  <c r="O38" i="87" s="1"/>
  <c r="N37" i="87" a="1"/>
  <c r="N37" i="87" s="1"/>
  <c r="K37" i="87" a="1"/>
  <c r="K37" i="87" s="1"/>
  <c r="E34" i="87" a="1"/>
  <c r="E34" i="87" s="1"/>
  <c r="O3" i="87" a="1"/>
  <c r="O3" i="87" s="1"/>
  <c r="Q13" i="87" a="1"/>
  <c r="Q13" i="87" s="1"/>
  <c r="K11" i="87" a="1"/>
  <c r="K11" i="87" s="1"/>
  <c r="F16" i="87" a="1"/>
  <c r="F16" i="87" s="1"/>
  <c r="B41" i="87" a="1"/>
  <c r="B41" i="87" s="1"/>
  <c r="N22" i="87" a="1"/>
  <c r="N22" i="87" s="1"/>
  <c r="P5" i="87" a="1"/>
  <c r="P5" i="87" s="1"/>
  <c r="C17" i="87" a="1"/>
  <c r="C17" i="87" s="1"/>
  <c r="R26" i="87" a="1"/>
  <c r="R26" i="87" s="1"/>
  <c r="O6" i="87" a="1"/>
  <c r="O6" i="87" s="1"/>
  <c r="Q6" i="87" a="1"/>
  <c r="Q6" i="87" s="1"/>
  <c r="P9" i="87" a="1"/>
  <c r="P9" i="87" s="1"/>
  <c r="H32" i="87" a="1"/>
  <c r="H32" i="87" s="1"/>
  <c r="V32" i="87" s="1"/>
  <c r="N38" i="87" a="1"/>
  <c r="N38" i="87" s="1"/>
  <c r="E35" i="87" a="1"/>
  <c r="E35" i="87" s="1"/>
  <c r="O31" i="87" a="1"/>
  <c r="O31" i="87" s="1"/>
  <c r="H24" i="87" a="1"/>
  <c r="H24" i="87" s="1"/>
  <c r="V24" i="87" s="1"/>
  <c r="O10" i="87" a="1"/>
  <c r="O10" i="87" s="1"/>
  <c r="B27" i="87" a="1"/>
  <c r="B27" i="87" s="1"/>
  <c r="J40" i="87" a="1"/>
  <c r="J40" i="87" s="1"/>
  <c r="W40" i="87" s="1"/>
  <c r="I34" i="87" a="1"/>
  <c r="I34" i="87" s="1"/>
  <c r="G33" i="87" a="1"/>
  <c r="G33" i="87" s="1"/>
  <c r="J23" i="87" a="1"/>
  <c r="J23" i="87" s="1"/>
  <c r="W23" i="87" s="1"/>
  <c r="H6" i="87" a="1"/>
  <c r="H6" i="87" s="1"/>
  <c r="V6" i="87" s="1"/>
  <c r="G38" i="87" a="1"/>
  <c r="G38" i="87" s="1"/>
  <c r="Q30" i="87" a="1"/>
  <c r="Q30" i="87" s="1"/>
  <c r="K22" i="87" a="1"/>
  <c r="K22" i="87" s="1"/>
  <c r="G6" i="87" a="1"/>
  <c r="G6" i="87" s="1"/>
  <c r="D10" i="87" a="1"/>
  <c r="D10" i="87" s="1"/>
  <c r="R4" i="87" a="1"/>
  <c r="R4" i="87" s="1"/>
  <c r="R27" i="87" a="1"/>
  <c r="R27" i="87" s="1"/>
  <c r="F25" i="87" a="1"/>
  <c r="F25" i="87" s="1"/>
  <c r="J39" i="87" a="1"/>
  <c r="J39" i="87" s="1"/>
  <c r="W39" i="87" s="1"/>
  <c r="E13" i="87" a="1"/>
  <c r="E13" i="87" s="1"/>
  <c r="O41" i="87" a="1"/>
  <c r="O41" i="87" s="1"/>
  <c r="N23" i="87" a="1"/>
  <c r="N23" i="87" s="1"/>
  <c r="L10" i="87" a="1"/>
  <c r="L10" i="87" s="1"/>
  <c r="R33" i="87" a="1"/>
  <c r="R33" i="87" s="1"/>
  <c r="R38" i="87" a="1"/>
  <c r="R38" i="87" s="1"/>
  <c r="R24" i="87" a="1"/>
  <c r="R24" i="87" s="1"/>
  <c r="I6" i="87" a="1"/>
  <c r="I6" i="87" s="1"/>
  <c r="Q16" i="87" a="1"/>
  <c r="Q16" i="87" s="1"/>
  <c r="C4" i="87" a="1"/>
  <c r="C4" i="87" s="1"/>
  <c r="I28" i="87" a="1"/>
  <c r="I28" i="87" s="1"/>
  <c r="Q28" i="87" a="1"/>
  <c r="Q28" i="87" s="1"/>
  <c r="N15" i="87" a="1"/>
  <c r="N15" i="87" s="1"/>
  <c r="O5" i="87" a="1"/>
  <c r="O5" i="87" s="1"/>
  <c r="B14" i="87" a="1"/>
  <c r="B14" i="87" s="1"/>
  <c r="P12" i="87" a="1"/>
  <c r="P12" i="87" s="1"/>
  <c r="G28" i="87" a="1"/>
  <c r="G28" i="87" s="1"/>
  <c r="J18" i="87" a="1"/>
  <c r="J18" i="87" s="1"/>
  <c r="W18" i="87" s="1"/>
  <c r="D37" i="87" a="1"/>
  <c r="D37" i="87" s="1"/>
  <c r="I16" i="87" a="1"/>
  <c r="I16" i="87" s="1"/>
  <c r="T16" i="87" s="1"/>
  <c r="C28" i="87" a="1"/>
  <c r="C28" i="87" s="1"/>
  <c r="L27" i="87" a="1"/>
  <c r="L27" i="87" s="1"/>
  <c r="I27" i="87" a="1"/>
  <c r="I27" i="87" s="1"/>
  <c r="N17" i="87" a="1"/>
  <c r="N17" i="87" s="1"/>
  <c r="K36" i="87" a="1"/>
  <c r="K36" i="87" s="1"/>
  <c r="O26" i="87" a="1"/>
  <c r="O26" i="87" s="1"/>
  <c r="K27" i="87" a="1"/>
  <c r="K27" i="87" s="1"/>
  <c r="Q35" i="87" a="1"/>
  <c r="Q35" i="87" s="1"/>
  <c r="P13" i="87" a="1"/>
  <c r="P13" i="87" s="1"/>
  <c r="P40" i="87" a="1"/>
  <c r="P40" i="87" s="1"/>
  <c r="D41" i="87" a="1"/>
  <c r="D41" i="87" s="1"/>
  <c r="F42" i="87" a="1"/>
  <c r="F42" i="87" s="1"/>
  <c r="F26" i="87" a="1"/>
  <c r="F26" i="87" s="1"/>
  <c r="F8" i="87" a="1"/>
  <c r="F8" i="87" s="1"/>
  <c r="B29" i="87" a="1"/>
  <c r="B29" i="87" s="1"/>
  <c r="C23" i="87" a="1"/>
  <c r="C23" i="87" s="1"/>
  <c r="H21" i="87" a="1"/>
  <c r="H21" i="87" s="1"/>
  <c r="V21" i="87" s="1"/>
  <c r="K33" i="87" a="1"/>
  <c r="K33" i="87" s="1"/>
  <c r="F23" i="87" a="1"/>
  <c r="F23" i="87" s="1"/>
  <c r="R20" i="87" a="1"/>
  <c r="R20" i="87" s="1"/>
  <c r="Q39" i="87" a="1"/>
  <c r="Q39" i="87" s="1"/>
  <c r="L19" i="87" a="1"/>
  <c r="L19" i="87" s="1"/>
  <c r="D9" i="87" a="1"/>
  <c r="D9" i="87" s="1"/>
  <c r="G12" i="87" a="1"/>
  <c r="G12" i="87" s="1"/>
  <c r="I39" i="87" a="1"/>
  <c r="I39" i="87" s="1"/>
  <c r="Q10" i="87" a="1"/>
  <c r="Q10" i="87" s="1"/>
  <c r="K13" i="87" a="1"/>
  <c r="K13" i="87" s="1"/>
  <c r="L38" i="87" a="1"/>
  <c r="L38" i="87" s="1"/>
  <c r="B24" i="87" a="1"/>
  <c r="B24" i="87" s="1"/>
  <c r="J10" i="87" a="1"/>
  <c r="J10" i="87" s="1"/>
  <c r="W10" i="87" s="1"/>
  <c r="S31" i="87" a="1"/>
  <c r="S31" i="87" s="1"/>
  <c r="S20" i="87" a="1"/>
  <c r="S20" i="87" s="1"/>
  <c r="H22" i="87" a="1"/>
  <c r="H22" i="87" s="1"/>
  <c r="V22" i="87" s="1"/>
  <c r="K21" i="87" a="1"/>
  <c r="K21" i="87" s="1"/>
  <c r="Q34" i="87" a="1"/>
  <c r="Q34" i="87" s="1"/>
  <c r="D4" i="87" a="1"/>
  <c r="D4" i="87" s="1"/>
  <c r="Q31" i="87" a="1"/>
  <c r="Q31" i="87" s="1"/>
  <c r="C37" i="87" a="1"/>
  <c r="C37" i="87" s="1"/>
  <c r="K16" i="87" a="1"/>
  <c r="K16" i="87" s="1"/>
  <c r="B49" i="87" a="1"/>
  <c r="B49" i="87" s="1"/>
  <c r="D40" i="87" a="1"/>
  <c r="D40" i="87" s="1"/>
  <c r="B28" i="87" a="1"/>
  <c r="B28" i="87" s="1"/>
  <c r="J3" i="87" a="1"/>
  <c r="J3" i="87" s="1"/>
  <c r="W3" i="87" s="1"/>
  <c r="N34" i="87" a="1"/>
  <c r="N34" i="87" s="1"/>
  <c r="C31" i="87" a="1"/>
  <c r="C31" i="87" s="1"/>
  <c r="J33" i="87" a="1"/>
  <c r="J33" i="87" s="1"/>
  <c r="W33" i="87" s="1"/>
  <c r="I5" i="87" a="1"/>
  <c r="I5" i="87" s="1"/>
  <c r="I12" i="87" a="1"/>
  <c r="I12" i="87" s="1"/>
  <c r="H10" i="87" a="1"/>
  <c r="H10" i="87" s="1"/>
  <c r="V10" i="87" s="1"/>
  <c r="K7" i="87" a="1"/>
  <c r="K7" i="87" s="1"/>
  <c r="C24" i="87" a="1"/>
  <c r="C24" i="87" s="1"/>
  <c r="G37" i="87" a="1"/>
  <c r="G37" i="87" s="1"/>
  <c r="O13" i="87" a="1"/>
  <c r="O13" i="87" s="1"/>
  <c r="J26" i="87" a="1"/>
  <c r="J26" i="87" s="1"/>
  <c r="W26" i="87" s="1"/>
  <c r="H20" i="87" a="1"/>
  <c r="H20" i="87" s="1"/>
  <c r="V20" i="87" s="1"/>
  <c r="I38" i="87" a="1"/>
  <c r="I38" i="87" s="1"/>
  <c r="B8" i="87" a="1"/>
  <c r="B8" i="87" s="1"/>
  <c r="F6" i="87" a="1"/>
  <c r="F6" i="87" s="1"/>
  <c r="O24" i="87" a="1"/>
  <c r="O24" i="87" s="1"/>
  <c r="B15" i="87" a="1"/>
  <c r="B15" i="87" s="1"/>
  <c r="N21" i="87" a="1"/>
  <c r="N21" i="87" s="1"/>
  <c r="I41" i="87" a="1"/>
  <c r="I41" i="87" s="1"/>
  <c r="B17" i="87" a="1"/>
  <c r="B17" i="87" s="1"/>
  <c r="G36" i="87" a="1"/>
  <c r="G36" i="87" s="1"/>
  <c r="E40" i="87" a="1"/>
  <c r="E40" i="87" s="1"/>
  <c r="H41" i="87" a="1"/>
  <c r="H41" i="87" s="1"/>
  <c r="V41" i="87" s="1"/>
  <c r="P3" i="87" a="1"/>
  <c r="P3" i="87" s="1"/>
  <c r="C35" i="87" a="1"/>
  <c r="C35" i="87" s="1"/>
  <c r="H7" i="87" a="1"/>
  <c r="H7" i="87" s="1"/>
  <c r="V7" i="87" s="1"/>
  <c r="E37" i="87" a="1"/>
  <c r="E37" i="87" s="1"/>
  <c r="H11" i="87" a="1"/>
  <c r="H11" i="87" s="1"/>
  <c r="V11" i="87" s="1"/>
  <c r="E17" i="87" a="1"/>
  <c r="E17" i="87" s="1"/>
  <c r="K41" i="87" a="1"/>
  <c r="K41" i="87" s="1"/>
  <c r="F29" i="87" a="1"/>
  <c r="F29" i="87" s="1"/>
  <c r="I36" i="87" a="1"/>
  <c r="I36" i="87" s="1"/>
  <c r="R34" i="87" a="1"/>
  <c r="R34" i="87" s="1"/>
  <c r="H36" i="87" a="1"/>
  <c r="H36" i="87" s="1"/>
  <c r="V36" i="87" s="1"/>
  <c r="O21" i="87" a="1"/>
  <c r="O21" i="87" s="1"/>
  <c r="F21" i="87" a="1"/>
  <c r="F21" i="87" s="1"/>
  <c r="H13" i="87" a="1"/>
  <c r="H13" i="87" s="1"/>
  <c r="V13" i="87" s="1"/>
  <c r="I9" i="87" a="1"/>
  <c r="I9" i="87" s="1"/>
  <c r="I14" i="87" a="1"/>
  <c r="I14" i="87" s="1"/>
  <c r="S33" i="87" a="1"/>
  <c r="S33" i="87" s="1"/>
  <c r="I21" i="87" a="1"/>
  <c r="I21" i="87" s="1"/>
  <c r="D11" i="87" a="1"/>
  <c r="D11" i="87" s="1"/>
  <c r="D13" i="87" a="1"/>
  <c r="D13" i="87" s="1"/>
  <c r="Q27" i="87" a="1"/>
  <c r="Q27" i="87" s="1"/>
  <c r="R6" i="87" a="1"/>
  <c r="R6" i="87" s="1"/>
  <c r="I17" i="87" a="1"/>
  <c r="I17" i="87" s="1"/>
  <c r="H8" i="87" a="1"/>
  <c r="H8" i="87" s="1"/>
  <c r="V8" i="87" s="1"/>
  <c r="N18" i="87" a="1"/>
  <c r="N18" i="87" s="1"/>
  <c r="O35" i="87" a="1"/>
  <c r="O35" i="87" s="1"/>
  <c r="F32" i="87" a="1"/>
  <c r="F32" i="87" s="1"/>
  <c r="N42" i="87" a="1"/>
  <c r="N42" i="87" s="1"/>
  <c r="J21" i="87" a="1"/>
  <c r="J21" i="87" s="1"/>
  <c r="W21" i="87" s="1"/>
  <c r="K28" i="87" a="1"/>
  <c r="K28" i="87" s="1"/>
  <c r="N12" i="87" a="1"/>
  <c r="N12" i="87" s="1"/>
  <c r="P27" i="87" a="1"/>
  <c r="P27" i="87" s="1"/>
  <c r="C29" i="87" a="1"/>
  <c r="C29" i="87" s="1"/>
  <c r="S28" i="87" a="1"/>
  <c r="S28" i="87" s="1"/>
  <c r="B26" i="87" a="1"/>
  <c r="B26" i="87" s="1"/>
  <c r="F22" i="87" a="1"/>
  <c r="F22" i="87" s="1"/>
  <c r="R19" i="87" a="1"/>
  <c r="R19" i="87" s="1"/>
  <c r="H27" i="87" a="1"/>
  <c r="H27" i="87" s="1"/>
  <c r="V27" i="87" s="1"/>
  <c r="F5" i="87" a="1"/>
  <c r="F5" i="87" s="1"/>
  <c r="L29" i="87" a="1"/>
  <c r="L29" i="87" s="1"/>
  <c r="H30" i="87" a="1"/>
  <c r="H30" i="87" s="1"/>
  <c r="V30" i="87" s="1"/>
  <c r="D35" i="87" a="1"/>
  <c r="D35" i="87" s="1"/>
  <c r="N7" i="87" a="1"/>
  <c r="N7" i="87" s="1"/>
  <c r="D33" i="87" a="1"/>
  <c r="D33" i="87" s="1"/>
  <c r="R18" i="87" a="1"/>
  <c r="R18" i="87" s="1"/>
  <c r="I40" i="87" a="1"/>
  <c r="I40" i="87" s="1"/>
  <c r="I26" i="87" a="1"/>
  <c r="I26" i="87" s="1"/>
  <c r="R37" i="87" a="1"/>
  <c r="R37" i="87" s="1"/>
  <c r="R7" i="87" a="1"/>
  <c r="R7" i="87" s="1"/>
  <c r="L26" i="87" a="1"/>
  <c r="L26" i="87" s="1"/>
  <c r="J24" i="87" a="1"/>
  <c r="J24" i="87" s="1"/>
  <c r="W24" i="87" s="1"/>
  <c r="B18" i="87" a="1"/>
  <c r="B18" i="87" s="1"/>
  <c r="S23" i="87" a="1"/>
  <c r="S23" i="87" s="1"/>
  <c r="H40" i="87" a="1"/>
  <c r="H40" i="87" s="1"/>
  <c r="V40" i="87" s="1"/>
  <c r="H34" i="87" a="1"/>
  <c r="H34" i="87" s="1"/>
  <c r="V34" i="87" s="1"/>
  <c r="H37" i="87" a="1"/>
  <c r="H37" i="87" s="1"/>
  <c r="V37" i="87" s="1"/>
  <c r="J13" i="87" a="1"/>
  <c r="J13" i="87" s="1"/>
  <c r="W13" i="87" s="1"/>
  <c r="R22" i="87" a="1"/>
  <c r="R22" i="87" s="1"/>
  <c r="C40" i="87" a="1"/>
  <c r="C40" i="87" s="1"/>
  <c r="E3" i="87" a="1"/>
  <c r="E3" i="87" s="1"/>
  <c r="Q33" i="87" a="1"/>
  <c r="Q33" i="87" s="1"/>
  <c r="J30" i="87" a="1"/>
  <c r="J30" i="87" s="1"/>
  <c r="W30" i="87" s="1"/>
  <c r="D28" i="87" a="1"/>
  <c r="D28" i="87" s="1"/>
  <c r="J27" i="87" a="1"/>
  <c r="J27" i="87" s="1"/>
  <c r="W27" i="87" s="1"/>
  <c r="O40" i="87" a="1"/>
  <c r="O40" i="87" s="1"/>
  <c r="S16" i="87" a="1"/>
  <c r="S16" i="87" s="1"/>
  <c r="Q7" i="87" a="1"/>
  <c r="Q7" i="87" s="1"/>
  <c r="D30" i="87" a="1"/>
  <c r="D30" i="87" s="1"/>
  <c r="C12" i="87" a="1"/>
  <c r="C12" i="87" s="1"/>
  <c r="G5" i="87" a="1"/>
  <c r="G5" i="87" s="1"/>
  <c r="O34" i="87" a="1"/>
  <c r="O34" i="87" s="1"/>
  <c r="E11" i="87" a="1"/>
  <c r="E11" i="87" s="1"/>
  <c r="K14" i="87" a="1"/>
  <c r="K14" i="87" s="1"/>
  <c r="R29" i="87" a="1"/>
  <c r="R29" i="87" s="1"/>
  <c r="N11" i="87" a="1"/>
  <c r="N11" i="87" s="1"/>
  <c r="N26" i="87" a="1"/>
  <c r="N26" i="87" s="1"/>
  <c r="B11" i="87" a="1"/>
  <c r="B11" i="87" s="1"/>
  <c r="R25" i="87" a="1"/>
  <c r="R25" i="87" s="1"/>
  <c r="G30" i="87" a="1"/>
  <c r="G30" i="87" s="1"/>
  <c r="N25" i="87" a="1"/>
  <c r="N25" i="87" s="1"/>
  <c r="I18" i="87" a="1"/>
  <c r="I18" i="87" s="1"/>
  <c r="G23" i="87" a="1"/>
  <c r="G23" i="87" s="1"/>
  <c r="N35" i="87" a="1"/>
  <c r="N35" i="87" s="1"/>
  <c r="S36" i="87" a="1"/>
  <c r="S36" i="87" s="1"/>
  <c r="H38" i="87" a="1"/>
  <c r="H38" i="87" s="1"/>
  <c r="V38" i="87" s="1"/>
  <c r="B4" i="87" a="1"/>
  <c r="B4" i="87" s="1"/>
  <c r="N29" i="87" a="1"/>
  <c r="N29" i="87" s="1"/>
  <c r="I10" i="87" a="1"/>
  <c r="I10" i="87" s="1"/>
  <c r="I23" i="87" a="1"/>
  <c r="I23" i="87" s="1"/>
  <c r="L20" i="87" a="1"/>
  <c r="L20" i="87" s="1"/>
  <c r="S7" i="87" a="1"/>
  <c r="S7" i="87" s="1"/>
  <c r="S6" i="87" a="1"/>
  <c r="S6" i="87" s="1"/>
  <c r="Q21" i="87" a="1"/>
  <c r="Q21" i="87" s="1"/>
  <c r="K24" i="87" a="1"/>
  <c r="K24" i="87" s="1"/>
  <c r="N5" i="87" a="1"/>
  <c r="N5" i="87" s="1"/>
  <c r="K15" i="87" a="1"/>
  <c r="K15" i="87" s="1"/>
  <c r="L7" i="87" a="1"/>
  <c r="L7" i="87" s="1"/>
  <c r="G24" i="87" a="1"/>
  <c r="G24" i="87" s="1"/>
  <c r="E14" i="87" a="1"/>
  <c r="E14" i="87" s="1"/>
  <c r="J16" i="87" a="1"/>
  <c r="J16" i="87" s="1"/>
  <c r="W16" i="87" s="1"/>
  <c r="L11" i="87" a="1"/>
  <c r="L11" i="87" s="1"/>
  <c r="I22" i="87" a="1"/>
  <c r="I22" i="87" s="1"/>
  <c r="L14" i="87" a="1"/>
  <c r="L14" i="87" s="1"/>
  <c r="G35" i="87" a="1"/>
  <c r="G35" i="87" s="1"/>
  <c r="F40" i="87" a="1"/>
  <c r="F40" i="87" s="1"/>
  <c r="P19" i="87" a="1"/>
  <c r="P19" i="87" s="1"/>
  <c r="E20" i="87" a="1"/>
  <c r="E20" i="87" s="1"/>
  <c r="S40" i="87" a="1"/>
  <c r="S40" i="87" s="1"/>
  <c r="F37" i="87" a="1"/>
  <c r="F37" i="87" s="1"/>
  <c r="H9" i="87" a="1"/>
  <c r="H9" i="87" s="1"/>
  <c r="V9" i="87" s="1"/>
  <c r="I24" i="87" a="1"/>
  <c r="I24" i="87" s="1"/>
  <c r="Q9" i="87" a="1"/>
  <c r="Q9" i="87" s="1"/>
  <c r="H33" i="87" a="1"/>
  <c r="H33" i="87" s="1"/>
  <c r="V33" i="87" s="1"/>
  <c r="E33" i="87" a="1"/>
  <c r="E33" i="87" s="1"/>
  <c r="E23" i="87" a="1"/>
  <c r="E23" i="87" s="1"/>
  <c r="G13" i="87" a="1"/>
  <c r="G13" i="87" s="1"/>
  <c r="J15" i="87" a="1"/>
  <c r="J15" i="87" s="1"/>
  <c r="W15" i="87" s="1"/>
  <c r="S15" i="87" a="1"/>
  <c r="S15" i="87" s="1"/>
  <c r="C21" i="87" a="1"/>
  <c r="C21" i="87" s="1"/>
  <c r="D17" i="87" a="1"/>
  <c r="D17" i="87" s="1"/>
  <c r="F20" i="87" a="1"/>
  <c r="F20" i="87" s="1"/>
  <c r="B33" i="87" a="1"/>
  <c r="B33" i="87" s="1"/>
  <c r="J25" i="87" a="1"/>
  <c r="J25" i="87" s="1"/>
  <c r="W25" i="87" s="1"/>
  <c r="J20" i="87" a="1"/>
  <c r="J20" i="87" s="1"/>
  <c r="W20" i="87" s="1"/>
  <c r="D15" i="87" a="1"/>
  <c r="D15" i="87" s="1"/>
  <c r="P37" i="87" a="1"/>
  <c r="P37" i="87" s="1"/>
  <c r="O4" i="87" a="1"/>
  <c r="O4" i="87" s="1"/>
  <c r="D26" i="87" a="1"/>
  <c r="D26" i="87" s="1"/>
  <c r="J37" i="87" a="1"/>
  <c r="J37" i="87" s="1"/>
  <c r="W37" i="87" s="1"/>
  <c r="P41" i="87" a="1"/>
  <c r="P41" i="87" s="1"/>
  <c r="K6" i="87" a="1"/>
  <c r="K6" i="87" s="1"/>
  <c r="M6" i="87" s="1"/>
  <c r="F3" i="87" a="1"/>
  <c r="F3" i="87" s="1"/>
  <c r="O32" i="87" a="1"/>
  <c r="O32" i="87" s="1"/>
  <c r="B19" i="87" a="1"/>
  <c r="B19" i="87" s="1"/>
  <c r="C42" i="87" a="1"/>
  <c r="C42" i="87" s="1"/>
  <c r="S37" i="87" a="1"/>
  <c r="S37" i="87" s="1"/>
  <c r="I42" i="87" a="1"/>
  <c r="I42" i="87" s="1"/>
  <c r="L4" i="87" a="1"/>
  <c r="L4" i="87" s="1"/>
  <c r="N39" i="87" a="1"/>
  <c r="N39" i="87" s="1"/>
  <c r="I29" i="87" a="1"/>
  <c r="I29" i="87" s="1"/>
  <c r="S8" i="87" a="1"/>
  <c r="S8" i="87" s="1"/>
  <c r="Q42" i="87" a="1"/>
  <c r="Q42" i="87" s="1"/>
  <c r="G22" i="87" a="1"/>
  <c r="G22" i="87" s="1"/>
  <c r="D31" i="87" a="1"/>
  <c r="D31" i="87" s="1"/>
  <c r="B35" i="87" a="1"/>
  <c r="B35" i="87" s="1"/>
  <c r="I15" i="87" a="1"/>
  <c r="I15" i="87" s="1"/>
  <c r="N8" i="87" a="1"/>
  <c r="N8" i="87" s="1"/>
  <c r="F27" i="87" a="1"/>
  <c r="F27" i="87" s="1"/>
  <c r="F11" i="87" a="1"/>
  <c r="F11" i="87" s="1"/>
  <c r="L8" i="87" a="1"/>
  <c r="L8" i="87" s="1"/>
  <c r="O17" i="87" a="1"/>
  <c r="O17" i="87" s="1"/>
  <c r="K3" i="87" a="1"/>
  <c r="K3" i="87" s="1"/>
  <c r="M3" i="87" s="1"/>
  <c r="Q19" i="87" a="1"/>
  <c r="Q19" i="87" s="1"/>
  <c r="D18" i="87" a="1"/>
  <c r="D18" i="87" s="1"/>
  <c r="O33" i="87" a="1"/>
  <c r="O33" i="87" s="1"/>
  <c r="K9" i="87" a="1"/>
  <c r="K9" i="87" s="1"/>
  <c r="O28" i="87" a="1"/>
  <c r="O28" i="87" s="1"/>
  <c r="C32" i="87" a="1"/>
  <c r="C32" i="87" s="1"/>
  <c r="D20" i="87" a="1"/>
  <c r="D20" i="87" s="1"/>
  <c r="L16" i="87" a="1"/>
  <c r="L16" i="87" s="1"/>
  <c r="Q20" i="87" a="1"/>
  <c r="Q20" i="87" s="1"/>
  <c r="R31" i="87" a="1"/>
  <c r="R31" i="87" s="1"/>
  <c r="E24" i="87" a="1"/>
  <c r="E24" i="87" s="1"/>
  <c r="O7" i="87" a="1"/>
  <c r="O7" i="87" s="1"/>
  <c r="N32" i="87" a="1"/>
  <c r="N32" i="87" s="1"/>
  <c r="L30" i="87" a="1"/>
  <c r="L30" i="87" s="1"/>
  <c r="H19" i="87" a="1"/>
  <c r="H19" i="87" s="1"/>
  <c r="V19" i="87" s="1"/>
  <c r="O29" i="87" a="1"/>
  <c r="O29" i="87" s="1"/>
  <c r="I35" i="87" a="1"/>
  <c r="I35" i="87" s="1"/>
  <c r="P24" i="87" a="1"/>
  <c r="P24" i="87" s="1"/>
  <c r="L41" i="87" a="1"/>
  <c r="L41" i="87" s="1"/>
  <c r="B3" i="87" a="1"/>
  <c r="B3" i="87" s="1"/>
  <c r="R36" i="87" a="1"/>
  <c r="R36" i="87" s="1"/>
  <c r="O37" i="87" a="1"/>
  <c r="O37" i="87" s="1"/>
  <c r="S9" i="87" a="1"/>
  <c r="S9" i="87" s="1"/>
  <c r="H14" i="87" a="1"/>
  <c r="H14" i="87" s="1"/>
  <c r="V14" i="87" s="1"/>
  <c r="K25" i="87" a="1"/>
  <c r="K25" i="87" s="1"/>
  <c r="I30" i="87" a="1"/>
  <c r="I30" i="87" s="1"/>
  <c r="D8" i="87" a="1"/>
  <c r="D8" i="87" s="1"/>
  <c r="B42" i="87" a="1"/>
  <c r="B42" i="87" s="1"/>
  <c r="D3" i="87" a="1"/>
  <c r="D3" i="87" s="1"/>
  <c r="G34" i="87" a="1"/>
  <c r="G34" i="87" s="1"/>
  <c r="G39" i="87" a="1"/>
  <c r="G39" i="87" s="1"/>
  <c r="K10" i="87" a="1"/>
  <c r="K10" i="87" s="1"/>
  <c r="P33" i="87" a="1"/>
  <c r="P33" i="87" s="1"/>
  <c r="C18" i="87" a="1"/>
  <c r="C18" i="87" s="1"/>
  <c r="D16" i="87" a="1"/>
  <c r="D16" i="87" s="1"/>
  <c r="D22" i="87" a="1"/>
  <c r="D22" i="87" s="1"/>
  <c r="Q24" i="87" a="1"/>
  <c r="Q24" i="87" s="1"/>
  <c r="C36" i="87" a="1"/>
  <c r="C36" i="87" s="1"/>
  <c r="P6" i="87" a="1"/>
  <c r="P6" i="87" s="1"/>
  <c r="N24" i="87" a="1"/>
  <c r="N24" i="87" s="1"/>
  <c r="J29" i="87" a="1"/>
  <c r="J29" i="87" s="1"/>
  <c r="W29" i="87" s="1"/>
  <c r="E41" i="87" a="1"/>
  <c r="E41" i="87" s="1"/>
  <c r="Q4" i="87" a="1"/>
  <c r="Q4" i="87" s="1"/>
  <c r="O8" i="87" a="1"/>
  <c r="O8" i="87" s="1"/>
  <c r="F10" i="87" a="1"/>
  <c r="F10" i="87" s="1"/>
  <c r="O15" i="87" a="1"/>
  <c r="O15" i="87" s="1"/>
  <c r="E39" i="87" a="1"/>
  <c r="E39" i="87" s="1"/>
  <c r="C10" i="87" a="1"/>
  <c r="C10" i="87" s="1"/>
  <c r="R21" i="87" a="1"/>
  <c r="R21" i="87" s="1"/>
  <c r="O16" i="87" a="1"/>
  <c r="O16" i="87" s="1"/>
  <c r="O42" i="87" a="1"/>
  <c r="O42" i="87" s="1"/>
  <c r="Q36" i="87" a="1"/>
  <c r="Q36" i="87" s="1"/>
  <c r="S17" i="87" a="1"/>
  <c r="S17" i="87" s="1"/>
  <c r="E32" i="87" a="1"/>
  <c r="E32" i="87" s="1"/>
  <c r="E6" i="87" a="1"/>
  <c r="E6" i="87" s="1"/>
  <c r="G19" i="87" a="1"/>
  <c r="G19" i="87" s="1"/>
  <c r="Q18" i="87" a="1"/>
  <c r="Q18" i="87" s="1"/>
  <c r="F9" i="87" a="1"/>
  <c r="F9" i="87" s="1"/>
  <c r="N9" i="87" a="1"/>
  <c r="N9" i="87" s="1"/>
  <c r="O19" i="87" a="1"/>
  <c r="O19" i="87" s="1"/>
  <c r="D19" i="87" a="1"/>
  <c r="D19" i="87" s="1"/>
  <c r="G7" i="87" a="1"/>
  <c r="G7" i="87" s="1"/>
  <c r="P21" i="87" a="1"/>
  <c r="P21" i="87" s="1"/>
  <c r="I13" i="87" a="1"/>
  <c r="I13" i="87" s="1"/>
  <c r="C38" i="87" a="1"/>
  <c r="C38" i="87" s="1"/>
  <c r="G8" i="87" a="1"/>
  <c r="G8" i="87" s="1"/>
  <c r="J32" i="87" a="1"/>
  <c r="J32" i="87" s="1"/>
  <c r="W32" i="87" s="1"/>
  <c r="J17" i="87" a="1"/>
  <c r="J17" i="87" s="1"/>
  <c r="W17" i="87" s="1"/>
  <c r="Q41" i="87" a="1"/>
  <c r="Q41" i="87" s="1"/>
  <c r="Q15" i="87" a="1"/>
  <c r="Q15" i="87" s="1"/>
  <c r="P14" i="87" a="1"/>
  <c r="P14" i="87" s="1"/>
  <c r="L12" i="87" a="1"/>
  <c r="L12" i="87" s="1"/>
  <c r="F14" i="87" a="1"/>
  <c r="F14" i="87" s="1"/>
  <c r="C49" i="87" a="1"/>
  <c r="C49" i="87" s="1"/>
  <c r="S38" i="87" a="1"/>
  <c r="S38" i="87" s="1"/>
  <c r="L18" i="87" a="1"/>
  <c r="L18" i="87" s="1"/>
  <c r="AR645" i="84"/>
  <c r="AX645" i="84"/>
  <c r="AU645" i="84"/>
  <c r="AL645" i="84"/>
  <c r="BB645" i="84"/>
  <c r="AO645" i="84"/>
  <c r="AX525" i="84"/>
  <c r="AR525" i="84"/>
  <c r="AL525" i="84"/>
  <c r="AU525" i="84"/>
  <c r="AO525" i="84"/>
  <c r="BB525" i="84"/>
  <c r="AX925" i="84"/>
  <c r="AU925" i="84"/>
  <c r="AR925" i="84"/>
  <c r="AL925" i="84"/>
  <c r="AO925" i="84"/>
  <c r="BB925" i="84"/>
  <c r="AU182" i="84"/>
  <c r="AL182" i="84"/>
  <c r="AX182" i="84"/>
  <c r="AR182" i="84"/>
  <c r="BB182" i="84"/>
  <c r="AO182" i="84"/>
  <c r="AX53" i="84"/>
  <c r="AR53" i="84"/>
  <c r="AL53" i="84"/>
  <c r="AU53" i="84"/>
  <c r="AO53" i="84"/>
  <c r="BB53" i="84"/>
  <c r="AU285" i="84"/>
  <c r="AR285" i="84"/>
  <c r="AL285" i="84"/>
  <c r="AX285" i="84"/>
  <c r="BB285" i="84"/>
  <c r="AO285" i="84"/>
  <c r="BB562" i="84"/>
  <c r="AK13" i="84"/>
  <c r="BI13" i="84"/>
  <c r="AR495" i="84"/>
  <c r="AL495" i="84"/>
  <c r="AX495" i="84"/>
  <c r="AU495" i="84"/>
  <c r="AO495" i="84"/>
  <c r="BB495" i="84"/>
  <c r="AX370" i="84"/>
  <c r="AU370" i="84"/>
  <c r="AL370" i="84"/>
  <c r="AR370" i="84"/>
  <c r="BB370" i="84"/>
  <c r="AO370" i="84"/>
  <c r="AX850" i="84"/>
  <c r="AL850" i="84"/>
  <c r="AR850" i="84"/>
  <c r="AU850" i="84"/>
  <c r="AO850" i="84"/>
  <c r="BB850" i="84"/>
  <c r="AX274" i="84"/>
  <c r="AU274" i="84"/>
  <c r="AL274" i="84"/>
  <c r="AR274" i="84"/>
  <c r="AO274" i="84"/>
  <c r="BB274" i="84"/>
  <c r="AR238" i="84"/>
  <c r="AX238" i="84"/>
  <c r="AL238" i="84"/>
  <c r="AU238" i="84"/>
  <c r="AO238" i="84"/>
  <c r="BB238" i="84"/>
  <c r="BI526" i="84"/>
  <c r="AK526" i="84"/>
  <c r="AL671" i="84"/>
  <c r="AX671" i="84"/>
  <c r="AU671" i="84"/>
  <c r="AR671" i="84"/>
  <c r="AO671" i="84"/>
  <c r="BB671" i="84"/>
  <c r="BI92" i="84"/>
  <c r="AK92" i="84"/>
  <c r="AL107" i="84"/>
  <c r="AU107" i="84"/>
  <c r="AX107" i="84"/>
  <c r="AR107" i="84"/>
  <c r="BB107" i="84"/>
  <c r="AO107" i="84"/>
  <c r="AK524" i="84"/>
  <c r="BI524" i="84"/>
  <c r="AL436" i="84"/>
  <c r="AU436" i="84"/>
  <c r="AR436" i="84"/>
  <c r="AX436" i="84"/>
  <c r="BB436" i="84"/>
  <c r="AO436" i="84"/>
  <c r="AU287" i="84"/>
  <c r="AL287" i="84"/>
  <c r="AR287" i="84"/>
  <c r="AX287" i="84"/>
  <c r="AO287" i="84"/>
  <c r="BB287" i="84"/>
  <c r="AX700" i="84"/>
  <c r="AL700" i="84"/>
  <c r="AR700" i="84"/>
  <c r="AU700" i="84"/>
  <c r="BB700" i="84"/>
  <c r="AO700" i="84"/>
  <c r="BI37" i="84"/>
  <c r="AK37" i="84"/>
  <c r="AL694" i="84"/>
  <c r="AX694" i="84"/>
  <c r="AU694" i="84"/>
  <c r="AR694" i="84"/>
  <c r="AO694" i="84"/>
  <c r="BB694" i="84"/>
  <c r="AL732" i="84"/>
  <c r="AX732" i="84"/>
  <c r="AR732" i="84"/>
  <c r="AU732" i="84"/>
  <c r="BB732" i="84"/>
  <c r="AO732" i="84"/>
  <c r="AU585" i="84"/>
  <c r="AX585" i="84"/>
  <c r="AL585" i="84"/>
  <c r="AR585" i="84"/>
  <c r="AO585" i="84"/>
  <c r="BB585" i="84"/>
  <c r="BI79" i="84"/>
  <c r="AK79" i="84"/>
  <c r="AL590" i="84"/>
  <c r="AX590" i="84"/>
  <c r="AU590" i="84"/>
  <c r="AR590" i="84"/>
  <c r="BB590" i="84"/>
  <c r="AO590" i="84"/>
  <c r="AL219" i="84"/>
  <c r="AU219" i="84"/>
  <c r="AR219" i="84"/>
  <c r="AX219" i="84"/>
  <c r="BB219" i="84"/>
  <c r="AO219" i="84"/>
  <c r="AL612" i="84"/>
  <c r="AR612" i="84"/>
  <c r="AX612" i="84"/>
  <c r="AU612" i="84"/>
  <c r="AO612" i="84"/>
  <c r="BB612" i="84"/>
  <c r="AL851" i="84"/>
  <c r="AU851" i="84"/>
  <c r="AR851" i="84"/>
  <c r="AX851" i="84"/>
  <c r="AO851" i="84"/>
  <c r="BB851" i="84"/>
  <c r="AL439" i="84"/>
  <c r="AR439" i="84"/>
  <c r="AX439" i="84"/>
  <c r="AU439" i="84"/>
  <c r="BB439" i="84"/>
  <c r="AO439" i="84"/>
  <c r="AL246" i="84"/>
  <c r="AR246" i="84"/>
  <c r="AX246" i="84"/>
  <c r="AU246" i="84"/>
  <c r="BB246" i="84"/>
  <c r="AO246" i="84"/>
  <c r="BI48" i="84"/>
  <c r="AK48" i="84"/>
  <c r="AL755" i="84"/>
  <c r="AU755" i="84"/>
  <c r="AR755" i="84"/>
  <c r="AX755" i="84"/>
  <c r="AO755" i="84"/>
  <c r="BB755" i="84"/>
  <c r="BI138" i="84"/>
  <c r="AK138" i="84"/>
  <c r="AR422" i="84"/>
  <c r="AX280" i="84"/>
  <c r="AX212" i="84"/>
  <c r="AL212" i="84"/>
  <c r="AU212" i="84"/>
  <c r="AR212" i="84"/>
  <c r="BB212" i="84"/>
  <c r="AO212" i="84"/>
  <c r="AR710" i="84"/>
  <c r="AX710" i="84"/>
  <c r="AL710" i="84"/>
  <c r="AU710" i="84"/>
  <c r="AO710" i="84"/>
  <c r="BB710" i="84"/>
  <c r="AL764" i="84"/>
  <c r="AU764" i="84"/>
  <c r="AR764" i="84"/>
  <c r="AX764" i="84"/>
  <c r="AO764" i="84"/>
  <c r="BB764" i="84"/>
  <c r="AX490" i="84"/>
  <c r="AL490" i="84"/>
  <c r="AU490" i="84"/>
  <c r="AR490" i="84"/>
  <c r="BB490" i="84"/>
  <c r="AO490" i="84"/>
  <c r="AK27" i="84"/>
  <c r="BI27" i="84"/>
  <c r="BI30" i="84"/>
  <c r="AK30" i="84"/>
  <c r="AL289" i="84"/>
  <c r="AR289" i="84"/>
  <c r="AU289" i="84"/>
  <c r="AX289" i="84"/>
  <c r="AO289" i="84"/>
  <c r="BB289" i="84"/>
  <c r="BI343" i="84"/>
  <c r="AK343" i="84"/>
  <c r="AL572" i="84"/>
  <c r="AX572" i="84"/>
  <c r="AR572" i="84"/>
  <c r="AU572" i="84"/>
  <c r="BB572" i="84"/>
  <c r="AO572" i="84"/>
  <c r="AL124" i="84"/>
  <c r="AX124" i="84"/>
  <c r="AR124" i="84"/>
  <c r="AU124" i="84"/>
  <c r="AO124" i="84"/>
  <c r="BB124" i="84"/>
  <c r="AL339" i="84"/>
  <c r="AX339" i="84"/>
  <c r="AU339" i="84"/>
  <c r="AR339" i="84"/>
  <c r="AO339" i="84"/>
  <c r="BB339" i="84"/>
  <c r="BI550" i="84"/>
  <c r="AK550" i="84"/>
  <c r="AX937" i="84"/>
  <c r="AL937" i="84"/>
  <c r="AU937" i="84"/>
  <c r="AR937" i="84"/>
  <c r="AO937" i="84"/>
  <c r="BB937" i="84"/>
  <c r="AU960" i="84"/>
  <c r="AL960" i="84"/>
  <c r="AX960" i="84"/>
  <c r="AR960" i="84"/>
  <c r="AO960" i="84"/>
  <c r="BB960" i="84"/>
  <c r="AK326" i="84"/>
  <c r="BI326" i="84"/>
  <c r="AU827" i="84"/>
  <c r="AR827" i="84"/>
  <c r="AL827" i="84"/>
  <c r="AX827" i="84"/>
  <c r="BB827" i="84"/>
  <c r="AO827" i="84"/>
  <c r="AU281" i="84"/>
  <c r="AK511" i="84"/>
  <c r="BI511" i="84"/>
  <c r="BI401" i="84"/>
  <c r="AK401" i="84"/>
  <c r="AU547" i="84"/>
  <c r="AL547" i="84"/>
  <c r="AX547" i="84"/>
  <c r="AR547" i="84"/>
  <c r="AO547" i="84"/>
  <c r="BB547" i="84"/>
  <c r="AK22" i="84"/>
  <c r="BI22" i="84"/>
  <c r="AX766" i="84"/>
  <c r="AL766" i="84"/>
  <c r="AR766" i="84"/>
  <c r="AU766" i="84"/>
  <c r="BB766" i="84"/>
  <c r="AO766" i="84"/>
  <c r="AU651" i="84"/>
  <c r="AL651" i="84"/>
  <c r="AX651" i="84"/>
  <c r="AR651" i="84"/>
  <c r="BB651" i="84"/>
  <c r="AO651" i="84"/>
  <c r="AR654" i="84"/>
  <c r="AU654" i="84"/>
  <c r="AL654" i="84"/>
  <c r="AX654" i="84"/>
  <c r="AO654" i="84"/>
  <c r="BB654" i="84"/>
  <c r="AK468" i="84"/>
  <c r="BI468" i="84"/>
  <c r="AL888" i="84"/>
  <c r="AR888" i="84"/>
  <c r="AU888" i="84"/>
  <c r="AX888" i="84"/>
  <c r="BB888" i="84"/>
  <c r="AO888" i="84"/>
  <c r="AX428" i="84"/>
  <c r="AL428" i="84"/>
  <c r="AR428" i="84"/>
  <c r="AU428" i="84"/>
  <c r="BB428" i="84"/>
  <c r="AO428" i="84"/>
  <c r="AU805" i="84"/>
  <c r="AR805" i="84"/>
  <c r="AX805" i="84"/>
  <c r="AL805" i="84"/>
  <c r="AO805" i="84"/>
  <c r="BB805" i="84"/>
  <c r="AX563" i="84"/>
  <c r="AR563" i="84"/>
  <c r="AU563" i="84"/>
  <c r="AL563" i="84"/>
  <c r="AO563" i="84"/>
  <c r="BB563" i="84"/>
  <c r="AR843" i="84"/>
  <c r="AL843" i="84"/>
  <c r="AX843" i="84"/>
  <c r="AU843" i="84"/>
  <c r="AO843" i="84"/>
  <c r="BB843" i="84"/>
  <c r="BI91" i="84"/>
  <c r="AK91" i="84"/>
  <c r="AR747" i="84"/>
  <c r="AU747" i="84"/>
  <c r="AL747" i="84"/>
  <c r="AX747" i="84"/>
  <c r="BB747" i="84"/>
  <c r="AO747" i="84"/>
  <c r="BI462" i="84"/>
  <c r="AK462" i="84"/>
  <c r="BI255" i="84"/>
  <c r="AK255" i="84"/>
  <c r="AX653" i="84"/>
  <c r="AL653" i="84"/>
  <c r="AR653" i="84"/>
  <c r="AU653" i="84"/>
  <c r="BB653" i="84"/>
  <c r="AO653" i="84"/>
  <c r="AL118" i="84"/>
  <c r="AR118" i="84"/>
  <c r="AU118" i="84"/>
  <c r="AX118" i="84"/>
  <c r="AO118" i="84"/>
  <c r="BB118" i="84"/>
  <c r="AX961" i="84"/>
  <c r="AL961" i="84"/>
  <c r="AR961" i="84"/>
  <c r="AU961" i="84"/>
  <c r="AO961" i="84"/>
  <c r="BB961" i="84"/>
  <c r="AX197" i="84"/>
  <c r="AL197" i="84"/>
  <c r="AR197" i="84"/>
  <c r="AU197" i="84"/>
  <c r="AO197" i="84"/>
  <c r="BB197" i="84"/>
  <c r="AU16" i="84"/>
  <c r="AL16" i="84"/>
  <c r="AX16" i="84"/>
  <c r="AR16" i="84"/>
  <c r="BB16" i="84"/>
  <c r="AO16" i="84"/>
  <c r="AL763" i="84"/>
  <c r="AX763" i="84"/>
  <c r="AU763" i="84"/>
  <c r="AR763" i="84"/>
  <c r="BB763" i="84"/>
  <c r="AO763" i="84"/>
  <c r="AL666" i="84"/>
  <c r="AR666" i="84"/>
  <c r="AX666" i="84"/>
  <c r="AU666" i="84"/>
  <c r="AO666" i="84"/>
  <c r="BB666" i="84"/>
  <c r="AO123" i="84"/>
  <c r="AR676" i="84"/>
  <c r="AX676" i="84"/>
  <c r="AL676" i="84"/>
  <c r="AU676" i="84"/>
  <c r="AO676" i="84"/>
  <c r="BB676" i="84"/>
  <c r="AR528" i="84"/>
  <c r="AU528" i="84"/>
  <c r="AL528" i="84"/>
  <c r="AX528" i="84"/>
  <c r="AO528" i="84"/>
  <c r="BB528" i="84"/>
  <c r="AO119" i="84"/>
  <c r="AL119" i="84"/>
  <c r="AX119" i="84"/>
  <c r="AU119" i="84"/>
  <c r="AR119" i="84"/>
  <c r="BB119" i="84"/>
  <c r="BI487" i="84"/>
  <c r="AK487" i="84"/>
  <c r="AX940" i="84"/>
  <c r="AL940" i="84"/>
  <c r="AR940" i="84"/>
  <c r="AU940" i="84"/>
  <c r="AO940" i="84"/>
  <c r="BB940" i="84"/>
  <c r="AK348" i="84"/>
  <c r="BI348" i="84"/>
  <c r="AK465" i="84"/>
  <c r="BI465" i="84"/>
  <c r="AL935" i="84"/>
  <c r="AX935" i="84"/>
  <c r="AU935" i="84"/>
  <c r="AR935" i="84"/>
  <c r="AO935" i="84"/>
  <c r="BB935" i="84"/>
  <c r="AL109" i="84"/>
  <c r="AU109" i="84"/>
  <c r="AX109" i="84"/>
  <c r="AR109" i="84"/>
  <c r="AO109" i="84"/>
  <c r="BB109" i="84"/>
  <c r="BB416" i="84"/>
  <c r="AR416" i="84"/>
  <c r="AL416" i="84"/>
  <c r="AX416" i="84"/>
  <c r="AU416" i="84"/>
  <c r="AO416" i="84"/>
  <c r="AK448" i="84"/>
  <c r="BI448" i="84"/>
  <c r="AX912" i="84"/>
  <c r="AL912" i="84"/>
  <c r="AU912" i="84"/>
  <c r="AR912" i="84"/>
  <c r="BB912" i="84"/>
  <c r="AO912" i="84"/>
  <c r="AU279" i="84"/>
  <c r="AL279" i="84"/>
  <c r="AR279" i="84"/>
  <c r="AX279" i="84"/>
  <c r="BB279" i="84"/>
  <c r="AO279" i="84"/>
  <c r="AK46" i="84"/>
  <c r="BI46" i="84"/>
  <c r="BI154" i="84"/>
  <c r="AK154" i="84"/>
  <c r="AR498" i="84"/>
  <c r="AX498" i="84"/>
  <c r="AL498" i="84"/>
  <c r="AU498" i="84"/>
  <c r="BB498" i="84"/>
  <c r="AO498" i="84"/>
  <c r="AU227" i="84"/>
  <c r="AL227" i="84"/>
  <c r="AX227" i="84"/>
  <c r="AR227" i="84"/>
  <c r="BB227" i="84"/>
  <c r="AO227" i="84"/>
  <c r="AL521" i="84"/>
  <c r="AR521" i="84"/>
  <c r="AX521" i="84"/>
  <c r="AU521" i="84"/>
  <c r="AO521" i="84"/>
  <c r="BB521" i="84"/>
  <c r="AL137" i="84"/>
  <c r="AX728" i="84"/>
  <c r="AU728" i="84"/>
  <c r="AL728" i="84"/>
  <c r="AR728" i="84"/>
  <c r="BB728" i="84"/>
  <c r="AO728" i="84"/>
  <c r="BI233" i="84"/>
  <c r="AK233" i="84"/>
  <c r="AX917" i="84"/>
  <c r="AU917" i="84"/>
  <c r="AR917" i="84"/>
  <c r="AL917" i="84"/>
  <c r="BB917" i="84"/>
  <c r="AO917" i="84"/>
  <c r="AR660" i="84"/>
  <c r="AX660" i="84"/>
  <c r="AL660" i="84"/>
  <c r="AU660" i="84"/>
  <c r="AO660" i="84"/>
  <c r="BB660" i="84"/>
  <c r="BI451" i="84"/>
  <c r="AK451" i="84"/>
  <c r="BI553" i="84"/>
  <c r="AK553" i="84"/>
  <c r="AR817" i="84"/>
  <c r="AU817" i="84"/>
  <c r="AL817" i="84"/>
  <c r="AX817" i="84"/>
  <c r="BB817" i="84"/>
  <c r="AO817" i="84"/>
  <c r="AL794" i="84"/>
  <c r="AR794" i="84"/>
  <c r="AU794" i="84"/>
  <c r="AX794" i="84"/>
  <c r="AO794" i="84"/>
  <c r="BB794" i="84"/>
  <c r="AU231" i="84"/>
  <c r="AX231" i="84"/>
  <c r="AL231" i="84"/>
  <c r="AR231" i="84"/>
  <c r="AO231" i="84"/>
  <c r="BB231" i="84"/>
  <c r="AU455" i="84"/>
  <c r="AL455" i="84"/>
  <c r="AX455" i="84"/>
  <c r="AR455" i="84"/>
  <c r="BB455" i="84"/>
  <c r="AO455" i="84"/>
  <c r="AU826" i="84"/>
  <c r="AX826" i="84"/>
  <c r="AR826" i="84"/>
  <c r="AL826" i="84"/>
  <c r="AO826" i="84"/>
  <c r="BB826" i="84"/>
  <c r="AR740" i="84"/>
  <c r="AL740" i="84"/>
  <c r="AU740" i="84"/>
  <c r="AX740" i="84"/>
  <c r="AO740" i="84"/>
  <c r="BB740" i="84"/>
  <c r="AL709" i="84"/>
  <c r="AU709" i="84"/>
  <c r="AX709" i="84"/>
  <c r="AR709" i="84"/>
  <c r="AO709" i="84"/>
  <c r="BB709" i="84"/>
  <c r="BI476" i="84"/>
  <c r="AK476" i="84"/>
  <c r="AX49" i="84"/>
  <c r="AU49" i="84"/>
  <c r="AL49" i="84"/>
  <c r="AR49" i="84"/>
  <c r="AO49" i="84"/>
  <c r="BB49" i="84"/>
  <c r="AR145" i="84"/>
  <c r="AL145" i="84"/>
  <c r="AU145" i="84"/>
  <c r="AX145" i="84"/>
  <c r="BB145" i="84"/>
  <c r="AO145" i="84"/>
  <c r="AL623" i="84"/>
  <c r="AR623" i="84"/>
  <c r="AX623" i="84"/>
  <c r="AU623" i="84"/>
  <c r="AO623" i="84"/>
  <c r="BB623" i="84"/>
  <c r="AX597" i="84"/>
  <c r="AL597" i="84"/>
  <c r="AR597" i="84"/>
  <c r="AU597" i="84"/>
  <c r="BB597" i="84"/>
  <c r="AO597" i="84"/>
  <c r="AU830" i="84"/>
  <c r="AR830" i="84"/>
  <c r="AL830" i="84"/>
  <c r="AX830" i="84"/>
  <c r="BB830" i="84"/>
  <c r="AO830" i="84"/>
  <c r="AK315" i="84"/>
  <c r="BI315" i="84"/>
  <c r="AL602" i="84"/>
  <c r="AU602" i="84"/>
  <c r="AR602" i="84"/>
  <c r="AX602" i="84"/>
  <c r="BB602" i="84"/>
  <c r="AO602" i="84"/>
  <c r="AR829" i="84"/>
  <c r="AU829" i="84"/>
  <c r="AL829" i="84"/>
  <c r="AX829" i="84"/>
  <c r="BB829" i="84"/>
  <c r="AO829" i="84"/>
  <c r="AL644" i="84"/>
  <c r="AR644" i="84"/>
  <c r="AU644" i="84"/>
  <c r="AX644" i="84"/>
  <c r="BB644" i="84"/>
  <c r="AO644" i="84"/>
  <c r="AL942" i="84"/>
  <c r="AR942" i="84"/>
  <c r="AX942" i="84"/>
  <c r="AU942" i="84"/>
  <c r="BB942" i="84"/>
  <c r="AO942" i="84"/>
  <c r="AR114" i="84"/>
  <c r="AX114" i="84"/>
  <c r="AU114" i="84"/>
  <c r="AL114" i="84"/>
  <c r="BB114" i="84"/>
  <c r="AO114" i="84"/>
  <c r="AL869" i="84"/>
  <c r="AX869" i="84"/>
  <c r="AU869" i="84"/>
  <c r="AR869" i="84"/>
  <c r="BB869" i="84"/>
  <c r="AO869" i="84"/>
  <c r="AL506" i="84"/>
  <c r="AU506" i="84"/>
  <c r="AR506" i="84"/>
  <c r="AX506" i="84"/>
  <c r="BB506" i="84"/>
  <c r="AO506" i="84"/>
  <c r="AU134" i="84"/>
  <c r="AL134" i="84"/>
  <c r="AX134" i="84"/>
  <c r="AR134" i="84"/>
  <c r="AO134" i="84"/>
  <c r="BB134" i="84"/>
  <c r="AU98" i="84"/>
  <c r="AL98" i="84"/>
  <c r="AX98" i="84"/>
  <c r="AR98" i="84"/>
  <c r="BB98" i="84"/>
  <c r="AO98" i="84"/>
  <c r="BI76" i="84"/>
  <c r="AK76" i="84"/>
  <c r="BI301" i="84"/>
  <c r="AK301" i="84"/>
  <c r="AL949" i="84"/>
  <c r="AX949" i="84"/>
  <c r="AU949" i="84"/>
  <c r="AR949" i="84"/>
  <c r="BB949" i="84"/>
  <c r="AO949" i="84"/>
  <c r="AK257" i="84"/>
  <c r="BI257" i="84"/>
  <c r="H31" i="86" a="1"/>
  <c r="H31" i="86" s="1"/>
  <c r="AN31" i="86" a="1"/>
  <c r="AN31" i="86" s="1"/>
  <c r="J17" i="86" a="1"/>
  <c r="J17" i="86" s="1"/>
  <c r="AU19" i="86" a="1"/>
  <c r="AU19" i="86" s="1"/>
  <c r="G47" i="86" a="1"/>
  <c r="G47" i="86" s="1"/>
  <c r="AP27" i="86" a="1"/>
  <c r="AP27" i="86" s="1"/>
  <c r="AR17" i="86" a="1"/>
  <c r="AR17" i="86" s="1"/>
  <c r="AU5" i="86" a="1"/>
  <c r="AU5" i="86" s="1"/>
  <c r="AX45" i="86" a="1"/>
  <c r="AX45" i="86" s="1"/>
  <c r="K37" i="86" a="1"/>
  <c r="K37" i="86" s="1"/>
  <c r="AX9" i="86" a="1"/>
  <c r="AX9" i="86" s="1"/>
  <c r="N15" i="86" a="1"/>
  <c r="N15" i="86" s="1"/>
  <c r="AT23" i="86" a="1"/>
  <c r="AT23" i="86" s="1"/>
  <c r="N33" i="86" a="1"/>
  <c r="N33" i="86" s="1"/>
  <c r="C15" i="86" a="1"/>
  <c r="C15" i="86" s="1"/>
  <c r="AL19" i="86" a="1"/>
  <c r="AL19" i="86" s="1"/>
  <c r="I13" i="86" a="1"/>
  <c r="I13" i="86" s="1"/>
  <c r="H49" i="86" a="1"/>
  <c r="H49" i="86" s="1"/>
  <c r="D9" i="86" a="1"/>
  <c r="D9" i="86" s="1"/>
  <c r="AY33" i="86" a="1"/>
  <c r="AY33" i="86" s="1"/>
  <c r="H37" i="86" a="1"/>
  <c r="H37" i="86" s="1"/>
  <c r="O7" i="86" a="1"/>
  <c r="O7" i="86" s="1"/>
  <c r="F41" i="86" a="1"/>
  <c r="F41" i="86" s="1"/>
  <c r="S19" i="86" a="1"/>
  <c r="S19" i="86" s="1"/>
  <c r="O21" i="86" a="1"/>
  <c r="O21" i="86" s="1"/>
  <c r="AW39" i="86" a="1"/>
  <c r="AW39" i="86" s="1"/>
  <c r="AQ27" i="86" a="1"/>
  <c r="AQ27" i="86" s="1"/>
  <c r="AM47" i="86" a="1"/>
  <c r="AM47" i="86" s="1"/>
  <c r="AL21" i="86" a="1"/>
  <c r="AL21" i="86" s="1"/>
  <c r="O23" i="86" a="1"/>
  <c r="O23" i="86" s="1"/>
  <c r="AU35" i="86" a="1"/>
  <c r="AU35" i="86" s="1"/>
  <c r="AQ17" i="86" a="1"/>
  <c r="AQ17" i="86" s="1"/>
  <c r="O33" i="86" a="1"/>
  <c r="O33" i="86" s="1"/>
  <c r="J31" i="86" a="1"/>
  <c r="J31" i="86" s="1"/>
  <c r="BB45" i="86" a="1"/>
  <c r="BB45" i="86" s="1"/>
  <c r="D31" i="86" a="1"/>
  <c r="D31" i="86" s="1"/>
  <c r="AR45" i="86" a="1"/>
  <c r="AR45" i="86" s="1"/>
  <c r="I35" i="86" a="1"/>
  <c r="I35" i="86" s="1"/>
  <c r="AR47" i="86" a="1"/>
  <c r="AR47" i="86" s="1"/>
  <c r="B13" i="86" a="1"/>
  <c r="B13" i="86" s="1"/>
  <c r="C49" i="86" a="1"/>
  <c r="C49" i="86" s="1"/>
  <c r="I23" i="86" a="1"/>
  <c r="I23" i="86" s="1"/>
  <c r="L25" i="86" a="1"/>
  <c r="L25" i="86" s="1"/>
  <c r="S11" i="86" a="1"/>
  <c r="S11" i="86" s="1"/>
  <c r="AN43" i="86" a="1"/>
  <c r="AN43" i="86" s="1"/>
  <c r="AN11" i="86" a="1"/>
  <c r="AN11" i="86" s="1"/>
  <c r="BB41" i="86" a="1"/>
  <c r="BB41" i="86" s="1"/>
  <c r="AM33" i="86" a="1"/>
  <c r="AM33" i="86" s="1"/>
  <c r="K41" i="86" a="1"/>
  <c r="K41" i="86" s="1"/>
  <c r="AP39" i="86" a="1"/>
  <c r="AP39" i="86" s="1"/>
  <c r="P23" i="86" a="1"/>
  <c r="P23" i="86" s="1"/>
  <c r="AL37" i="86" a="1"/>
  <c r="AL37" i="86" s="1"/>
  <c r="AQ43" i="86" a="1"/>
  <c r="AQ43" i="86" s="1"/>
  <c r="P3" i="86" a="1"/>
  <c r="P3" i="86" s="1"/>
  <c r="P27" i="86" a="1"/>
  <c r="P27" i="86" s="1"/>
  <c r="AP23" i="86" a="1"/>
  <c r="AP23" i="86" s="1"/>
  <c r="BB7" i="86" a="1"/>
  <c r="BB7" i="86" s="1"/>
  <c r="BA7" i="86" a="1"/>
  <c r="BA7" i="86" s="1"/>
  <c r="AM39" i="86" a="1"/>
  <c r="AM39" i="86" s="1"/>
  <c r="K19" i="86" a="1"/>
  <c r="K19" i="86" s="1"/>
  <c r="N29" i="86" a="1"/>
  <c r="N29" i="86" s="1"/>
  <c r="AZ15" i="86" a="1"/>
  <c r="AZ15" i="86" s="1"/>
  <c r="R47" i="86" a="1"/>
  <c r="R47" i="86" s="1"/>
  <c r="N17" i="86" a="1"/>
  <c r="N17" i="86" s="1"/>
  <c r="C31" i="86" a="1"/>
  <c r="C31" i="86" s="1"/>
  <c r="AY31" i="86" a="1"/>
  <c r="AY31" i="86" s="1"/>
  <c r="AX47" i="86" a="1"/>
  <c r="AX47" i="86" s="1"/>
  <c r="AZ7" i="86" a="1"/>
  <c r="AZ7" i="86" s="1"/>
  <c r="AN25" i="86" a="1"/>
  <c r="AN25" i="86" s="1"/>
  <c r="L49" i="86" a="1"/>
  <c r="L49" i="86" s="1"/>
  <c r="AQ3" i="86" a="1"/>
  <c r="AQ3" i="86" s="1"/>
  <c r="AN27" i="86" a="1"/>
  <c r="AN27" i="86" s="1"/>
  <c r="AK19" i="86" a="1"/>
  <c r="AK19" i="86" s="1"/>
  <c r="E29" i="86" a="1"/>
  <c r="E29" i="86" s="1"/>
  <c r="AY13" i="86" a="1"/>
  <c r="AY13" i="86" s="1"/>
  <c r="D29" i="86" a="1"/>
  <c r="D29" i="86" s="1"/>
  <c r="AP43" i="86" a="1"/>
  <c r="AP43" i="86" s="1"/>
  <c r="AZ3" i="86" a="1"/>
  <c r="AZ3" i="86" s="1"/>
  <c r="B31" i="86" a="1"/>
  <c r="B31" i="86" s="1"/>
  <c r="BA17" i="86" a="1"/>
  <c r="BA17" i="86" s="1"/>
  <c r="AQ7" i="86" a="1"/>
  <c r="AQ7" i="86" s="1"/>
  <c r="AT5" i="86" a="1"/>
  <c r="AT5" i="86" s="1"/>
  <c r="K3" i="86" a="1"/>
  <c r="K3" i="86" s="1"/>
  <c r="B7" i="86" a="1"/>
  <c r="B7" i="86" s="1"/>
  <c r="BA15" i="86" a="1"/>
  <c r="BA15" i="86" s="1"/>
  <c r="AX43" i="86" a="1"/>
  <c r="AX43" i="86" s="1"/>
  <c r="D5" i="86" a="1"/>
  <c r="D5" i="86" s="1"/>
  <c r="AN13" i="86" a="1"/>
  <c r="AN13" i="86" s="1"/>
  <c r="O27" i="86" a="1"/>
  <c r="O27" i="86" s="1"/>
  <c r="AP5" i="86" a="1"/>
  <c r="AP5" i="86" s="1"/>
  <c r="C23" i="86" a="1"/>
  <c r="C23" i="86" s="1"/>
  <c r="AT17" i="86" a="1"/>
  <c r="AT17" i="86" s="1"/>
  <c r="D3" i="86" a="1"/>
  <c r="D3" i="86" s="1"/>
  <c r="AU27" i="86" a="1"/>
  <c r="AU27" i="86" s="1"/>
  <c r="AT31" i="86" a="1"/>
  <c r="AT31" i="86" s="1"/>
  <c r="C13" i="86" a="1"/>
  <c r="C13" i="86" s="1"/>
  <c r="AS21" i="86" a="1"/>
  <c r="AS21" i="86" s="1"/>
  <c r="AZ23" i="86" a="1"/>
  <c r="AZ23" i="86" s="1"/>
  <c r="B35" i="86" a="1"/>
  <c r="B35" i="86" s="1"/>
  <c r="E45" i="86" a="1"/>
  <c r="E45" i="86" s="1"/>
  <c r="BB35" i="86" a="1"/>
  <c r="BB35" i="86" s="1"/>
  <c r="AL25" i="86" a="1"/>
  <c r="AL25" i="86" s="1"/>
  <c r="BB27" i="86" a="1"/>
  <c r="BB27" i="86" s="1"/>
  <c r="AL49" i="86" a="1"/>
  <c r="AL49" i="86" s="1"/>
  <c r="AZ17" i="86" a="1"/>
  <c r="AZ17" i="86" s="1"/>
  <c r="D25" i="86" a="1"/>
  <c r="D25" i="86" s="1"/>
  <c r="G17" i="86" a="1"/>
  <c r="G17" i="86" s="1"/>
  <c r="R13" i="86" a="1"/>
  <c r="R13" i="86" s="1"/>
  <c r="AL17" i="86" a="1"/>
  <c r="AL17" i="86" s="1"/>
  <c r="AS29" i="86" a="1"/>
  <c r="AS29" i="86" s="1"/>
  <c r="D45" i="86" a="1"/>
  <c r="D45" i="86" s="1"/>
  <c r="AS19" i="86" a="1"/>
  <c r="AS19" i="86" s="1"/>
  <c r="I29" i="86" a="1"/>
  <c r="I29" i="86" s="1"/>
  <c r="AP11" i="86" a="1"/>
  <c r="AP11" i="86" s="1"/>
  <c r="BA21" i="86" a="1"/>
  <c r="BA21" i="86" s="1"/>
  <c r="G41" i="86" a="1"/>
  <c r="G41" i="86" s="1"/>
  <c r="S23" i="86" a="1"/>
  <c r="S23" i="86" s="1"/>
  <c r="H35" i="86" a="1"/>
  <c r="H35" i="86" s="1"/>
  <c r="S37" i="86" a="1"/>
  <c r="S37" i="86" s="1"/>
  <c r="K27" i="86" a="1"/>
  <c r="K27" i="86" s="1"/>
  <c r="AY11" i="86" a="1"/>
  <c r="AY11" i="86" s="1"/>
  <c r="E25" i="86" a="1"/>
  <c r="E25" i="86" s="1"/>
  <c r="F49" i="86" a="1"/>
  <c r="F49" i="86" s="1"/>
  <c r="C7" i="86" a="1"/>
  <c r="C7" i="86" s="1"/>
  <c r="L23" i="86" a="1"/>
  <c r="L23" i="86" s="1"/>
  <c r="B17" i="86" a="1"/>
  <c r="B17" i="86" s="1"/>
  <c r="AM27" i="86" a="1"/>
  <c r="AM27" i="86" s="1"/>
  <c r="C33" i="86" a="1"/>
  <c r="C33" i="86" s="1"/>
  <c r="AR39" i="86" a="1"/>
  <c r="AR39" i="86" s="1"/>
  <c r="Q9" i="86" a="1"/>
  <c r="Q9" i="86" s="1"/>
  <c r="Q33" i="86" a="1"/>
  <c r="Q33" i="86" s="1"/>
  <c r="AX7" i="86" a="1"/>
  <c r="AX7" i="86" s="1"/>
  <c r="L45" i="86" a="1"/>
  <c r="L45" i="86" s="1"/>
  <c r="AR49" i="86" a="1"/>
  <c r="AR49" i="86" s="1"/>
  <c r="AM45" i="86" a="1"/>
  <c r="AM45" i="86" s="1"/>
  <c r="AR21" i="86" a="1"/>
  <c r="AR21" i="86" s="1"/>
  <c r="AZ11" i="86" a="1"/>
  <c r="AZ11" i="86" s="1"/>
  <c r="AU41" i="86" a="1"/>
  <c r="AU41" i="86" s="1"/>
  <c r="S27" i="86" a="1"/>
  <c r="S27" i="86" s="1"/>
  <c r="AK43" i="86" a="1"/>
  <c r="AK43" i="86" s="1"/>
  <c r="AK7" i="84"/>
  <c r="E13" i="86" a="1"/>
  <c r="E13" i="86" s="1"/>
  <c r="AM25" i="86" a="1"/>
  <c r="AM25" i="86" s="1"/>
  <c r="AL13" i="86" a="1"/>
  <c r="AL13" i="86" s="1"/>
  <c r="AZ9" i="86" a="1"/>
  <c r="AZ9" i="86" s="1"/>
  <c r="AQ37" i="86" a="1"/>
  <c r="AQ37" i="86" s="1"/>
  <c r="K43" i="86" a="1"/>
  <c r="K43" i="86" s="1"/>
  <c r="AP15" i="86" a="1"/>
  <c r="AP15" i="86" s="1"/>
  <c r="C11" i="86" a="1"/>
  <c r="C11" i="86" s="1"/>
  <c r="BB11" i="86" a="1"/>
  <c r="BB11" i="86" s="1"/>
  <c r="AX21" i="86" a="1"/>
  <c r="AX21" i="86" s="1"/>
  <c r="AQ47" i="86" a="1"/>
  <c r="AQ47" i="86" s="1"/>
  <c r="P41" i="86" a="1"/>
  <c r="P41" i="86" s="1"/>
  <c r="BA31" i="86" a="1"/>
  <c r="BA31" i="86" s="1"/>
  <c r="AP35" i="86" a="1"/>
  <c r="AP35" i="86" s="1"/>
  <c r="P21" i="86" a="1"/>
  <c r="P21" i="86" s="1"/>
  <c r="C5" i="86" a="1"/>
  <c r="C5" i="86" s="1"/>
  <c r="Q3" i="86" a="1"/>
  <c r="Q3" i="86" s="1"/>
  <c r="K25" i="86" a="1"/>
  <c r="K25" i="86" s="1"/>
  <c r="I17" i="86" a="1"/>
  <c r="I17" i="86" s="1"/>
  <c r="Q43" i="86" a="1"/>
  <c r="Q43" i="86" s="1"/>
  <c r="AX35" i="86" a="1"/>
  <c r="AX35" i="86" s="1"/>
  <c r="R25" i="86" a="1"/>
  <c r="R25" i="86" s="1"/>
  <c r="AZ33" i="86" a="1"/>
  <c r="AZ33" i="86" s="1"/>
  <c r="AS39" i="86" a="1"/>
  <c r="AS39" i="86" s="1"/>
  <c r="I45" i="86" a="1"/>
  <c r="I45" i="86" s="1"/>
  <c r="AY5" i="86" a="1"/>
  <c r="AY5" i="86" s="1"/>
  <c r="AY6" i="86" s="1"/>
  <c r="AK11" i="86" a="1"/>
  <c r="AK11" i="86" s="1"/>
  <c r="R19" i="86" a="1"/>
  <c r="R19" i="86" s="1"/>
  <c r="BA39" i="86" a="1"/>
  <c r="BA39" i="86" s="1"/>
  <c r="AZ19" i="86" a="1"/>
  <c r="AZ19" i="86" s="1"/>
  <c r="Q13" i="86" a="1"/>
  <c r="Q13" i="86" s="1"/>
  <c r="AU49" i="86" a="1"/>
  <c r="AU49" i="86" s="1"/>
  <c r="J11" i="86" a="1"/>
  <c r="J11" i="86" s="1"/>
  <c r="AO17" i="86" a="1"/>
  <c r="AO17" i="86" s="1"/>
  <c r="AO5" i="86" a="1"/>
  <c r="AO5" i="86" s="1"/>
  <c r="G9" i="86" a="1"/>
  <c r="G9" i="86" s="1"/>
  <c r="AN33" i="86" a="1"/>
  <c r="AN33" i="86" s="1"/>
  <c r="E39" i="86" a="1"/>
  <c r="E39" i="86" s="1"/>
  <c r="BA45" i="86" a="1"/>
  <c r="BA45" i="86" s="1"/>
  <c r="AT29" i="86" a="1"/>
  <c r="AT29" i="86" s="1"/>
  <c r="J45" i="86" a="1"/>
  <c r="J45" i="86" s="1"/>
  <c r="F19" i="86" a="1"/>
  <c r="F19" i="86" s="1"/>
  <c r="AM5" i="86" a="1"/>
  <c r="AM5" i="86" s="1"/>
  <c r="K47" i="86" a="1"/>
  <c r="K47" i="86" s="1"/>
  <c r="AP7" i="86" a="1"/>
  <c r="AP7" i="86" s="1"/>
  <c r="AN15" i="86" a="1"/>
  <c r="AN15" i="86" s="1"/>
  <c r="H5" i="86" a="1"/>
  <c r="H5" i="86" s="1"/>
  <c r="S43" i="86" a="1"/>
  <c r="S43" i="86" s="1"/>
  <c r="K49" i="86" a="1"/>
  <c r="K49" i="86" s="1"/>
  <c r="S35" i="86" a="1"/>
  <c r="S35" i="86" s="1"/>
  <c r="E35" i="86" a="1"/>
  <c r="E35" i="86" s="1"/>
  <c r="AR23" i="86" a="1"/>
  <c r="AR23" i="86" s="1"/>
  <c r="AL15" i="86" a="1"/>
  <c r="AL15" i="86" s="1"/>
  <c r="N41" i="86" a="1"/>
  <c r="N41" i="86" s="1"/>
  <c r="D23" i="86" a="1"/>
  <c r="D23" i="86" s="1"/>
  <c r="P17" i="86" a="1"/>
  <c r="P17" i="86" s="1"/>
  <c r="AW27" i="86" a="1"/>
  <c r="AW27" i="86" s="1"/>
  <c r="Q17" i="86" a="1"/>
  <c r="Q17" i="86" s="1"/>
  <c r="O17" i="86" a="1"/>
  <c r="O17" i="86" s="1"/>
  <c r="AT41" i="86" a="1"/>
  <c r="AT41" i="86" s="1"/>
  <c r="AP31" i="86" a="1"/>
  <c r="AP31" i="86" s="1"/>
  <c r="O29" i="86" a="1"/>
  <c r="O29" i="86" s="1"/>
  <c r="AY7" i="86" a="1"/>
  <c r="AY7" i="86" s="1"/>
  <c r="N5" i="86" a="1"/>
  <c r="N5" i="86" s="1"/>
  <c r="N6" i="86" s="1"/>
  <c r="P5" i="86" a="1"/>
  <c r="P5" i="86" s="1"/>
  <c r="AT15" i="86" a="1"/>
  <c r="AT15" i="86" s="1"/>
  <c r="BA19" i="86" a="1"/>
  <c r="BA19" i="86" s="1"/>
  <c r="H25" i="86" a="1"/>
  <c r="H25" i="86" s="1"/>
  <c r="AZ25" i="86" a="1"/>
  <c r="AZ25" i="86" s="1"/>
  <c r="AZ26" i="86" s="1"/>
  <c r="D41" i="86" a="1"/>
  <c r="D41" i="86" s="1"/>
  <c r="Q45" i="86" a="1"/>
  <c r="Q45" i="86" s="1"/>
  <c r="P29" i="86" a="1"/>
  <c r="P29" i="86" s="1"/>
  <c r="H45" i="86" a="1"/>
  <c r="H45" i="86" s="1"/>
  <c r="L19" i="86" a="1"/>
  <c r="L19" i="86" s="1"/>
  <c r="D17" i="86" a="1"/>
  <c r="D17" i="86" s="1"/>
  <c r="AW29" i="86" a="1"/>
  <c r="AW29" i="86" s="1"/>
  <c r="G37" i="86" a="1"/>
  <c r="G37" i="86" s="1"/>
  <c r="AZ41" i="86" a="1"/>
  <c r="AZ41" i="86" s="1"/>
  <c r="AZ42" i="86" s="1"/>
  <c r="AN49" i="86" a="1"/>
  <c r="AN49" i="86" s="1"/>
  <c r="L27" i="86" a="1"/>
  <c r="L27" i="86" s="1"/>
  <c r="AM19" i="86" a="1"/>
  <c r="AM19" i="86" s="1"/>
  <c r="F7" i="86" a="1"/>
  <c r="F7" i="86" s="1"/>
  <c r="AQ9" i="86" a="1"/>
  <c r="AQ9" i="86" s="1"/>
  <c r="Q19" i="86" a="1"/>
  <c r="Q19" i="86" s="1"/>
  <c r="AS47" i="86" a="1"/>
  <c r="AS47" i="86" s="1"/>
  <c r="AN17" i="86" a="1"/>
  <c r="AN17" i="86" s="1"/>
  <c r="AL27" i="86" a="1"/>
  <c r="AL27" i="86" s="1"/>
  <c r="F33" i="86" a="1"/>
  <c r="F33" i="86" s="1"/>
  <c r="S39" i="86" a="1"/>
  <c r="S39" i="86" s="1"/>
  <c r="BA41" i="86" a="1"/>
  <c r="BA41" i="86" s="1"/>
  <c r="AL23" i="86" a="1"/>
  <c r="AL23" i="86" s="1"/>
  <c r="BB39" i="86" a="1"/>
  <c r="BB39" i="86" s="1"/>
  <c r="E17" i="86" a="1"/>
  <c r="E17" i="86" s="1"/>
  <c r="AS49" i="86" a="1"/>
  <c r="AS49" i="86" s="1"/>
  <c r="R17" i="86" a="1"/>
  <c r="R17" i="86" s="1"/>
  <c r="P47" i="86" a="1"/>
  <c r="P47" i="86" s="1"/>
  <c r="P37" i="86" a="1"/>
  <c r="P37" i="86" s="1"/>
  <c r="E15" i="86" a="1"/>
  <c r="E15" i="86" s="1"/>
  <c r="BA5" i="86" a="1"/>
  <c r="BA5" i="86" s="1"/>
  <c r="N47" i="86" a="1"/>
  <c r="N47" i="86" s="1"/>
  <c r="AQ29" i="86" a="1"/>
  <c r="AQ29" i="86" s="1"/>
  <c r="O47" i="86" a="1"/>
  <c r="O47" i="86" s="1"/>
  <c r="AS9" i="86" a="1"/>
  <c r="AS9" i="86" s="1"/>
  <c r="AT45" i="86" a="1"/>
  <c r="AT45" i="86" s="1"/>
  <c r="B45" i="86" a="1"/>
  <c r="B45" i="86" s="1"/>
  <c r="R31" i="86" a="1"/>
  <c r="R31" i="86" s="1"/>
  <c r="AU21" i="86" a="1"/>
  <c r="AU21" i="86" s="1"/>
  <c r="J15" i="86" a="1"/>
  <c r="J15" i="86" s="1"/>
  <c r="L15" i="86" a="1"/>
  <c r="L15" i="86" s="1"/>
  <c r="AL5" i="86" a="1"/>
  <c r="AL5" i="86" s="1"/>
  <c r="BI7" i="84"/>
  <c r="K9" i="86" a="1"/>
  <c r="K9" i="86" s="1"/>
  <c r="AR43" i="86" a="1"/>
  <c r="AR43" i="86" s="1"/>
  <c r="R5" i="86" a="1"/>
  <c r="R5" i="86" s="1"/>
  <c r="AL41" i="86" a="1"/>
  <c r="AL41" i="86" s="1"/>
  <c r="F13" i="86" a="1"/>
  <c r="F13" i="86" s="1"/>
  <c r="AW19" i="86" a="1"/>
  <c r="AW19" i="86" s="1"/>
  <c r="O11" i="86" a="1"/>
  <c r="O11" i="86" s="1"/>
  <c r="AZ37" i="86" a="1"/>
  <c r="AZ37" i="86" s="1"/>
  <c r="N19" i="86" a="1"/>
  <c r="N19" i="86" s="1"/>
  <c r="AO33" i="86" a="1"/>
  <c r="AO33" i="86" s="1"/>
  <c r="G25" i="86" a="1"/>
  <c r="G25" i="86" s="1"/>
  <c r="B25" i="86" a="1"/>
  <c r="B25" i="86" s="1"/>
  <c r="AN29" i="86" a="1"/>
  <c r="AN29" i="86" s="1"/>
  <c r="C27" i="86" a="1"/>
  <c r="C27" i="86" s="1"/>
  <c r="G29" i="86" a="1"/>
  <c r="G29" i="86" s="1"/>
  <c r="AN35" i="86" a="1"/>
  <c r="AN35" i="86" s="1"/>
  <c r="AM37" i="86" a="1"/>
  <c r="AM37" i="86" s="1"/>
  <c r="L33" i="86" a="1"/>
  <c r="L33" i="86" s="1"/>
  <c r="AP49" i="86" a="1"/>
  <c r="AP49" i="86" s="1"/>
  <c r="AT47" i="86" a="1"/>
  <c r="AT47" i="86" s="1"/>
  <c r="L9" i="86" a="1"/>
  <c r="L9" i="86" s="1"/>
  <c r="P45" i="86" a="1"/>
  <c r="P45" i="86" s="1"/>
  <c r="AS3" i="86" a="1"/>
  <c r="AS3" i="86" s="1"/>
  <c r="B19" i="86" a="1"/>
  <c r="B19" i="86" s="1"/>
  <c r="AZ43" i="86" a="1"/>
  <c r="AZ43" i="86" s="1"/>
  <c r="AP3" i="86" a="1"/>
  <c r="AP3" i="86" s="1"/>
  <c r="BB19" i="86" a="1"/>
  <c r="BB19" i="86" s="1"/>
  <c r="AO47" i="86" a="1"/>
  <c r="AO47" i="86" s="1"/>
  <c r="F25" i="86" a="1"/>
  <c r="F25" i="86" s="1"/>
  <c r="AN47" i="86" a="1"/>
  <c r="AN47" i="86" s="1"/>
  <c r="AQ49" i="86" a="1"/>
  <c r="AQ49" i="86" s="1"/>
  <c r="AK9" i="86" a="1"/>
  <c r="AK9" i="86" s="1"/>
  <c r="BA11" i="86" a="1"/>
  <c r="BA11" i="86" s="1"/>
  <c r="G23" i="86" a="1"/>
  <c r="G23" i="86" s="1"/>
  <c r="F43" i="86" a="1"/>
  <c r="F43" i="86" s="1"/>
  <c r="K21" i="86" a="1"/>
  <c r="K21" i="86" s="1"/>
  <c r="S5" i="86" a="1"/>
  <c r="S5" i="86" s="1"/>
  <c r="B41" i="86" a="1"/>
  <c r="B41" i="86" s="1"/>
  <c r="F35" i="86" a="1"/>
  <c r="F35" i="86" s="1"/>
  <c r="F29" i="86" a="1"/>
  <c r="F29" i="86" s="1"/>
  <c r="D19" i="86" a="1"/>
  <c r="D19" i="86" s="1"/>
  <c r="AO25" i="86" a="1"/>
  <c r="AO25" i="86" s="1"/>
  <c r="S9" i="86" a="1"/>
  <c r="S9" i="86" s="1"/>
  <c r="AX13" i="86" a="1"/>
  <c r="AX13" i="86" s="1"/>
  <c r="AL35" i="86" a="1"/>
  <c r="AL35" i="86" s="1"/>
  <c r="L17" i="86" a="1"/>
  <c r="L17" i="86" s="1"/>
  <c r="N23" i="86" a="1"/>
  <c r="N23" i="86" s="1"/>
  <c r="N24" i="86" s="1"/>
  <c r="AP17" i="86" a="1"/>
  <c r="AP17" i="86" s="1"/>
  <c r="S33" i="86" a="1"/>
  <c r="S33" i="86" s="1"/>
  <c r="AO45" i="86" a="1"/>
  <c r="AO45" i="86" s="1"/>
  <c r="S45" i="86" a="1"/>
  <c r="S45" i="86" s="1"/>
  <c r="B33" i="86" a="1"/>
  <c r="B33" i="86" s="1"/>
  <c r="AW35" i="86" a="1"/>
  <c r="AW35" i="86" s="1"/>
  <c r="AY29" i="86" a="1"/>
  <c r="AY29" i="86" s="1"/>
  <c r="K13" i="86" a="1"/>
  <c r="K13" i="86" s="1"/>
  <c r="AS13" i="86" a="1"/>
  <c r="AS13" i="86" s="1"/>
  <c r="AS5" i="86" a="1"/>
  <c r="AS5" i="86" s="1"/>
  <c r="D11" i="86" a="1"/>
  <c r="D11" i="86" s="1"/>
  <c r="AR29" i="86" a="1"/>
  <c r="AR29" i="86" s="1"/>
  <c r="BA47" i="86" a="1"/>
  <c r="BA47" i="86" s="1"/>
  <c r="AK49" i="86" a="1"/>
  <c r="AK49" i="86" s="1"/>
  <c r="BB25" i="86" a="1"/>
  <c r="BB25" i="86" s="1"/>
  <c r="BB26" i="86" s="1"/>
  <c r="E47" i="86" a="1"/>
  <c r="E47" i="86" s="1"/>
  <c r="AX41" i="86" a="1"/>
  <c r="AX41" i="86" s="1"/>
  <c r="L5" i="86" a="1"/>
  <c r="L5" i="86" s="1"/>
  <c r="L6" i="86" s="1"/>
  <c r="AW47" i="86" a="1"/>
  <c r="AW47" i="86" s="1"/>
  <c r="AU31" i="86" a="1"/>
  <c r="AU31" i="86" s="1"/>
  <c r="BB9" i="86" a="1"/>
  <c r="BB9" i="86" s="1"/>
  <c r="AR9" i="86" a="1"/>
  <c r="AR9" i="86" s="1"/>
  <c r="AM43" i="86" a="1"/>
  <c r="AM43" i="86" s="1"/>
  <c r="S25" i="86" a="1"/>
  <c r="S25" i="86" s="1"/>
  <c r="AK33" i="86" a="1"/>
  <c r="AK33" i="86" s="1"/>
  <c r="H21" i="86" a="1"/>
  <c r="H21" i="86" s="1"/>
  <c r="H7" i="86" a="1"/>
  <c r="H7" i="86" s="1"/>
  <c r="J49" i="86" a="1"/>
  <c r="J49" i="86" s="1"/>
  <c r="AW31" i="86" a="1"/>
  <c r="AW31" i="86" s="1"/>
  <c r="AT11" i="86" a="1"/>
  <c r="AT11" i="86" s="1"/>
  <c r="R49" i="86" a="1"/>
  <c r="R49" i="86" s="1"/>
  <c r="D13" i="86" a="1"/>
  <c r="D13" i="86" s="1"/>
  <c r="E43" i="86" a="1"/>
  <c r="E43" i="86" s="1"/>
  <c r="AK47" i="86" a="1"/>
  <c r="AK47" i="86" s="1"/>
  <c r="E37" i="86" a="1"/>
  <c r="E37" i="86" s="1"/>
  <c r="N35" i="86" a="1"/>
  <c r="N35" i="86" s="1"/>
  <c r="H29" i="86" a="1"/>
  <c r="H29" i="86" s="1"/>
  <c r="G3" i="86" a="1"/>
  <c r="G3" i="86" s="1"/>
  <c r="N11" i="86" a="1"/>
  <c r="N11" i="86" s="1"/>
  <c r="Q27" i="86" a="1"/>
  <c r="Q27" i="86" s="1"/>
  <c r="BA29" i="86" a="1"/>
  <c r="BA29" i="86" s="1"/>
  <c r="BA30" i="86" s="1"/>
  <c r="AW7" i="86" a="1"/>
  <c r="AW7" i="86" s="1"/>
  <c r="AY25" i="86" a="1"/>
  <c r="AY25" i="86" s="1"/>
  <c r="AS43" i="86" a="1"/>
  <c r="AS43" i="86" s="1"/>
  <c r="BB31" i="86" a="1"/>
  <c r="BB31" i="86" s="1"/>
  <c r="C47" i="86" a="1"/>
  <c r="C47" i="86" s="1"/>
  <c r="J29" i="86" a="1"/>
  <c r="J29" i="86" s="1"/>
  <c r="S21" i="86" a="1"/>
  <c r="S21" i="86" s="1"/>
  <c r="O9" i="86" a="1"/>
  <c r="O9" i="86" s="1"/>
  <c r="AR25" i="86" a="1"/>
  <c r="AR25" i="86" s="1"/>
  <c r="AO39" i="86" a="1"/>
  <c r="AO39" i="86" s="1"/>
  <c r="S7" i="86" a="1"/>
  <c r="S7" i="86" s="1"/>
  <c r="AY41" i="86" a="1"/>
  <c r="AY41" i="86" s="1"/>
  <c r="L21" i="86" a="1"/>
  <c r="L21" i="86" s="1"/>
  <c r="G11" i="86" a="1"/>
  <c r="G11" i="86" s="1"/>
  <c r="AK41" i="86" a="1"/>
  <c r="AK41" i="86" s="1"/>
  <c r="AN45" i="86" a="1"/>
  <c r="AN45" i="86" s="1"/>
  <c r="O19" i="86" a="1"/>
  <c r="O19" i="86" s="1"/>
  <c r="AS25" i="86" a="1"/>
  <c r="AS25" i="86" s="1"/>
  <c r="C37" i="86" a="1"/>
  <c r="C37" i="86" s="1"/>
  <c r="AT39" i="86" a="1"/>
  <c r="AT39" i="86" s="1"/>
  <c r="AQ31" i="86" a="1"/>
  <c r="AQ31" i="86" s="1"/>
  <c r="I47" i="86" a="1"/>
  <c r="I47" i="86" s="1"/>
  <c r="K15" i="86" a="1"/>
  <c r="K15" i="86" s="1"/>
  <c r="D47" i="86" a="1"/>
  <c r="D47" i="86" s="1"/>
  <c r="AW23" i="86" a="1"/>
  <c r="AW23" i="86" s="1"/>
  <c r="R15" i="86" a="1"/>
  <c r="R15" i="86" s="1"/>
  <c r="J19" i="86" a="1"/>
  <c r="J19" i="86" s="1"/>
  <c r="AL43" i="86" a="1"/>
  <c r="AL43" i="86" s="1"/>
  <c r="I39" i="86" a="1"/>
  <c r="I39" i="86" s="1"/>
  <c r="I27" i="86" a="1"/>
  <c r="I27" i="86" s="1"/>
  <c r="R41" i="86" a="1"/>
  <c r="R41" i="86" s="1"/>
  <c r="AK25" i="86" a="1"/>
  <c r="AK25" i="86" s="1"/>
  <c r="AR41" i="86" a="1"/>
  <c r="AR41" i="86" s="1"/>
  <c r="AX37" i="86" a="1"/>
  <c r="AX37" i="86" s="1"/>
  <c r="AP13" i="86" a="1"/>
  <c r="AP13" i="86" s="1"/>
  <c r="AL31" i="86" a="1"/>
  <c r="AL31" i="86" s="1"/>
  <c r="E5" i="86" a="1"/>
  <c r="E5" i="86" s="1"/>
  <c r="G43" i="86" a="1"/>
  <c r="G43" i="86" s="1"/>
  <c r="AS11" i="86" a="1"/>
  <c r="AS11" i="86" s="1"/>
  <c r="BA49" i="86" a="1"/>
  <c r="BA49" i="86" s="1"/>
  <c r="AT33" i="86" a="1"/>
  <c r="AT33" i="86" s="1"/>
  <c r="AS45" i="86" a="1"/>
  <c r="AS45" i="86" s="1"/>
  <c r="AW21" i="86" a="1"/>
  <c r="AW21" i="86" s="1"/>
  <c r="AZ5" i="86" a="1"/>
  <c r="AZ5" i="86" s="1"/>
  <c r="BB13" i="86" a="1"/>
  <c r="BB13" i="86" s="1"/>
  <c r="AM21" i="86" a="1"/>
  <c r="AM21" i="86" s="1"/>
  <c r="AK27" i="86" a="1"/>
  <c r="AK27" i="86" s="1"/>
  <c r="E49" i="86" a="1"/>
  <c r="E49" i="86" s="1"/>
  <c r="J43" i="86" a="1"/>
  <c r="J43" i="86" s="1"/>
  <c r="AU17" i="86" a="1"/>
  <c r="AU17" i="86" s="1"/>
  <c r="F39" i="86" a="1"/>
  <c r="F39" i="86" s="1"/>
  <c r="B49" i="86" a="1"/>
  <c r="B49" i="86" s="1"/>
  <c r="J3" i="86" a="1"/>
  <c r="J3" i="86" s="1"/>
  <c r="AY23" i="86" a="1"/>
  <c r="AY23" i="86" s="1"/>
  <c r="N7" i="86" a="1"/>
  <c r="N7" i="86" s="1"/>
  <c r="AS41" i="86" a="1"/>
  <c r="AS41" i="86" s="1"/>
  <c r="AM3" i="86" a="1"/>
  <c r="AM3" i="86" s="1"/>
  <c r="AO49" i="86" a="1"/>
  <c r="AO49" i="86" s="1"/>
  <c r="AY45" i="86" a="1"/>
  <c r="AY45" i="86" s="1"/>
  <c r="AY46" i="86" s="1"/>
  <c r="S17" i="86" a="1"/>
  <c r="S17" i="86" s="1"/>
  <c r="L29" i="86" a="1"/>
  <c r="L29" i="86" s="1"/>
  <c r="AL45" i="86" a="1"/>
  <c r="AL45" i="86" s="1"/>
  <c r="O35" i="86" a="1"/>
  <c r="O35" i="86" s="1"/>
  <c r="AX11" i="86" a="1"/>
  <c r="AX11" i="86" s="1"/>
  <c r="AW17" i="86" a="1"/>
  <c r="AW17" i="86" s="1"/>
  <c r="AP45" i="86" a="1"/>
  <c r="AP45" i="86" s="1"/>
  <c r="L13" i="86" a="1"/>
  <c r="L13" i="86" s="1"/>
  <c r="AP41" i="86" a="1"/>
  <c r="AP41" i="86" s="1"/>
  <c r="AQ13" i="86" a="1"/>
  <c r="AQ13" i="86" s="1"/>
  <c r="C35" i="86" a="1"/>
  <c r="C35" i="86" s="1"/>
  <c r="AR31" i="86" a="1"/>
  <c r="AR31" i="86" s="1"/>
  <c r="R45" i="86" a="1"/>
  <c r="R45" i="86" s="1"/>
  <c r="AK15" i="86" a="1"/>
  <c r="AK15" i="86" s="1"/>
  <c r="AX31" i="86" a="1"/>
  <c r="AX31" i="86" s="1"/>
  <c r="AO9" i="86" a="1"/>
  <c r="AO9" i="86" s="1"/>
  <c r="AQ21" i="86" a="1"/>
  <c r="AQ21" i="86" s="1"/>
  <c r="AS27" i="86" a="1"/>
  <c r="AS27" i="86" s="1"/>
  <c r="J33" i="86" a="1"/>
  <c r="J33" i="86" s="1"/>
  <c r="K35" i="86" a="1"/>
  <c r="K35" i="86" s="1"/>
  <c r="AY21" i="86" a="1"/>
  <c r="AY21" i="86" s="1"/>
  <c r="K45" i="86" a="1"/>
  <c r="K45" i="86" s="1"/>
  <c r="AZ31" i="86" a="1"/>
  <c r="AZ31" i="86" s="1"/>
  <c r="B29" i="86" a="1"/>
  <c r="B29" i="86" s="1"/>
  <c r="BA25" i="86" a="1"/>
  <c r="BA25" i="86" s="1"/>
  <c r="AR11" i="86" a="1"/>
  <c r="AR11" i="86" s="1"/>
  <c r="AX39" i="86" a="1"/>
  <c r="AX39" i="86" s="1"/>
  <c r="AS23" i="86" a="1"/>
  <c r="AS23" i="86" s="1"/>
  <c r="O49" i="86" a="1"/>
  <c r="O49" i="86" s="1"/>
  <c r="AU15" i="86" a="1"/>
  <c r="AU15" i="86" s="1"/>
  <c r="AY3" i="86" a="1"/>
  <c r="AY3" i="86" s="1"/>
  <c r="AW45" i="86" a="1"/>
  <c r="AW45" i="86" s="1"/>
  <c r="AW46" i="86" s="1"/>
  <c r="AP9" i="86" a="1"/>
  <c r="AP9" i="86" s="1"/>
  <c r="AU11" i="86" a="1"/>
  <c r="AU11" i="86" s="1"/>
  <c r="AT7" i="86" a="1"/>
  <c r="AT7" i="86" s="1"/>
  <c r="J13" i="86" a="1"/>
  <c r="J13" i="86" s="1"/>
  <c r="R3" i="86" a="1"/>
  <c r="R3" i="86" s="1"/>
  <c r="AO35" i="86" a="1"/>
  <c r="AO35" i="86" s="1"/>
  <c r="Q41" i="86" a="1"/>
  <c r="Q41" i="86" s="1"/>
  <c r="S49" i="86" a="1"/>
  <c r="S49" i="86" s="1"/>
  <c r="L11" i="86" a="1"/>
  <c r="L11" i="86" s="1"/>
  <c r="AY37" i="86" a="1"/>
  <c r="AY37" i="86" s="1"/>
  <c r="AX19" i="86" a="1"/>
  <c r="AX19" i="86" s="1"/>
  <c r="AY49" i="86" a="1"/>
  <c r="AY49" i="86" s="1"/>
  <c r="AK39" i="86" a="1"/>
  <c r="AK39" i="86" s="1"/>
  <c r="AT3" i="86" a="1"/>
  <c r="AT3" i="86" s="1"/>
  <c r="K33" i="86" a="1"/>
  <c r="K33" i="86" s="1"/>
  <c r="S15" i="86" a="1"/>
  <c r="S15" i="86" s="1"/>
  <c r="S16" i="86" s="1"/>
  <c r="O39" i="86" a="1"/>
  <c r="O39" i="86" s="1"/>
  <c r="Q39" i="86" a="1"/>
  <c r="Q39" i="86" s="1"/>
  <c r="Q15" i="86" a="1"/>
  <c r="Q15" i="86" s="1"/>
  <c r="F47" i="86" a="1"/>
  <c r="F47" i="86" s="1"/>
  <c r="R35" i="86" a="1"/>
  <c r="R35" i="86" s="1"/>
  <c r="AK3" i="86" a="1"/>
  <c r="AK3" i="86" s="1"/>
  <c r="BB37" i="86" a="1"/>
  <c r="BB37" i="86" s="1"/>
  <c r="C19" i="86" a="1"/>
  <c r="C19" i="86" s="1"/>
  <c r="AK31" i="86" a="1"/>
  <c r="AK31" i="86" s="1"/>
  <c r="BB49" i="86" a="1"/>
  <c r="BB49" i="86" s="1"/>
  <c r="AY9" i="86" a="1"/>
  <c r="AY9" i="86" s="1"/>
  <c r="D33" i="86" a="1"/>
  <c r="D33" i="86" s="1"/>
  <c r="AK17" i="86" a="1"/>
  <c r="AK17" i="86" s="1"/>
  <c r="AR35" i="86" a="1"/>
  <c r="AR35" i="86" s="1"/>
  <c r="AK5" i="86" a="1"/>
  <c r="AK5" i="86" s="1"/>
  <c r="F17" i="86" a="1"/>
  <c r="F17" i="86" s="1"/>
  <c r="J7" i="86" a="1"/>
  <c r="J7" i="86" s="1"/>
  <c r="Q47" i="86" a="1"/>
  <c r="Q47" i="86" s="1"/>
  <c r="Q48" i="86" s="1"/>
  <c r="AQ19" i="86" a="1"/>
  <c r="AQ19" i="86" s="1"/>
  <c r="AZ29" i="86" a="1"/>
  <c r="AZ29" i="86" s="1"/>
  <c r="I7" i="86" a="1"/>
  <c r="I7" i="86" s="1"/>
  <c r="AQ23" i="86" a="1"/>
  <c r="AQ23" i="86" s="1"/>
  <c r="P33" i="86" a="1"/>
  <c r="P33" i="86" s="1"/>
  <c r="R7" i="86" a="1"/>
  <c r="R7" i="86" s="1"/>
  <c r="N31" i="86" a="1"/>
  <c r="N31" i="86" s="1"/>
  <c r="E21" i="86" a="1"/>
  <c r="E21" i="86" s="1"/>
  <c r="L37" i="86" a="1"/>
  <c r="L37" i="86" s="1"/>
  <c r="D35" i="86" a="1"/>
  <c r="D35" i="86" s="1"/>
  <c r="AQ35" i="86" a="1"/>
  <c r="AQ35" i="86" s="1"/>
  <c r="R37" i="86" a="1"/>
  <c r="R37" i="86" s="1"/>
  <c r="AP19" i="86" a="1"/>
  <c r="AP19" i="86" s="1"/>
  <c r="AW11" i="86" a="1"/>
  <c r="AW11" i="86" s="1"/>
  <c r="G19" i="86" a="1"/>
  <c r="G19" i="86" s="1"/>
  <c r="AL47" i="86" a="1"/>
  <c r="AL47" i="86" s="1"/>
  <c r="AU7" i="86" a="1"/>
  <c r="AU7" i="86" s="1"/>
  <c r="AM7" i="86" a="1"/>
  <c r="AM7" i="86" s="1"/>
  <c r="BB43" i="86" a="1"/>
  <c r="BB43" i="86" s="1"/>
  <c r="AW25" i="86" a="1"/>
  <c r="AW25" i="86" s="1"/>
  <c r="R29" i="86" a="1"/>
  <c r="R29" i="86" s="1"/>
  <c r="P43" i="86" a="1"/>
  <c r="P43" i="86" s="1"/>
  <c r="AX5" i="86" a="1"/>
  <c r="AX5" i="86" s="1"/>
  <c r="K7" i="86" a="1"/>
  <c r="K7" i="86" s="1"/>
  <c r="Q35" i="86" a="1"/>
  <c r="Q35" i="86" s="1"/>
  <c r="Q36" i="86" s="1"/>
  <c r="K31" i="86" a="1"/>
  <c r="K31" i="86" s="1"/>
  <c r="AP47" i="86" a="1"/>
  <c r="AP47" i="86" s="1"/>
  <c r="AP48" i="86" s="1"/>
  <c r="R27" i="86" a="1"/>
  <c r="R27" i="86" s="1"/>
  <c r="BA37" i="86" a="1"/>
  <c r="BA37" i="86" s="1"/>
  <c r="AL33" i="86" a="1"/>
  <c r="AL33" i="86" s="1"/>
  <c r="AN19" i="86" a="1"/>
  <c r="AN19" i="86" s="1"/>
  <c r="F31" i="86" a="1"/>
  <c r="F31" i="86" s="1"/>
  <c r="BB33" i="86" a="1"/>
  <c r="BB33" i="86" s="1"/>
  <c r="G7" i="86" a="1"/>
  <c r="G7" i="86" s="1"/>
  <c r="G33" i="86" a="1"/>
  <c r="G33" i="86" s="1"/>
  <c r="O3" i="86" a="1"/>
  <c r="O3" i="86" s="1"/>
  <c r="H33" i="86" a="1"/>
  <c r="H33" i="86" s="1"/>
  <c r="I19" i="86" a="1"/>
  <c r="I19" i="86" s="1"/>
  <c r="K5" i="86" a="1"/>
  <c r="K5" i="86" s="1"/>
  <c r="AT43" i="86" a="1"/>
  <c r="AT43" i="86" s="1"/>
  <c r="AL39" i="86" a="1"/>
  <c r="AL39" i="86" s="1"/>
  <c r="E33" i="86" a="1"/>
  <c r="E33" i="86" s="1"/>
  <c r="BB3" i="86" a="1"/>
  <c r="BB3" i="86" s="1"/>
  <c r="AW33" i="86" a="1"/>
  <c r="AW33" i="86" s="1"/>
  <c r="E7" i="86" a="1"/>
  <c r="E7" i="86" s="1"/>
  <c r="AU13" i="86" a="1"/>
  <c r="AU13" i="86" s="1"/>
  <c r="C43" i="86" a="1"/>
  <c r="C43" i="86" s="1"/>
  <c r="AQ25" i="86" a="1"/>
  <c r="AQ25" i="86" s="1"/>
  <c r="S3" i="86" a="1"/>
  <c r="S3" i="86" s="1"/>
  <c r="AU33" i="86" a="1"/>
  <c r="AU33" i="86" s="1"/>
  <c r="AU34" i="86" s="1"/>
  <c r="D39" i="86" a="1"/>
  <c r="D39" i="86" s="1"/>
  <c r="B43" i="86" a="1"/>
  <c r="B43" i="86" s="1"/>
  <c r="L35" i="86" a="1"/>
  <c r="L35" i="86" s="1"/>
  <c r="AO29" i="86" a="1"/>
  <c r="AO29" i="86" s="1"/>
  <c r="AZ45" i="86" a="1"/>
  <c r="AZ45" i="86" s="1"/>
  <c r="AQ39" i="86" a="1"/>
  <c r="AQ39" i="86" s="1"/>
  <c r="AS17" i="86" a="1"/>
  <c r="AS17" i="86" s="1"/>
  <c r="AZ13" i="86" a="1"/>
  <c r="AZ13" i="86" s="1"/>
  <c r="AZ14" i="86" s="1"/>
  <c r="AO7" i="86" a="1"/>
  <c r="AO7" i="86" s="1"/>
  <c r="AN21" i="86" a="1"/>
  <c r="AN21" i="86" s="1"/>
  <c r="N9" i="86" a="1"/>
  <c r="N9" i="86" s="1"/>
  <c r="AK13" i="86" a="1"/>
  <c r="AK13" i="86" s="1"/>
  <c r="N13" i="86" a="1"/>
  <c r="N13" i="86" s="1"/>
  <c r="N14" i="86" s="1"/>
  <c r="AP29" i="86" a="1"/>
  <c r="AP29" i="86" s="1"/>
  <c r="I37" i="86" a="1"/>
  <c r="I37" i="86" s="1"/>
  <c r="AU39" i="86" a="1"/>
  <c r="AU39" i="86" s="1"/>
  <c r="AU3" i="86" a="1"/>
  <c r="AU3" i="86" s="1"/>
  <c r="I15" i="86" a="1"/>
  <c r="I15" i="86" s="1"/>
  <c r="N39" i="86" a="1"/>
  <c r="N39" i="86" s="1"/>
  <c r="AM9" i="86" a="1"/>
  <c r="AM9" i="86" s="1"/>
  <c r="AO37" i="86" a="1"/>
  <c r="AO37" i="86" s="1"/>
  <c r="H27" i="86" a="1"/>
  <c r="H27" i="86" s="1"/>
  <c r="AY39" i="86" a="1"/>
  <c r="AY39" i="86" s="1"/>
  <c r="AR5" i="86" a="1"/>
  <c r="AR5" i="86" s="1"/>
  <c r="AS31" i="86" a="1"/>
  <c r="AS31" i="86" s="1"/>
  <c r="P31" i="86" a="1"/>
  <c r="P31" i="86" s="1"/>
  <c r="H17" i="86" a="1"/>
  <c r="H17" i="86" s="1"/>
  <c r="C25" i="86" a="1"/>
  <c r="C25" i="86" s="1"/>
  <c r="AK35" i="86" a="1"/>
  <c r="AK35" i="86" s="1"/>
  <c r="AO31" i="86" a="1"/>
  <c r="AO31" i="86" s="1"/>
  <c r="P15" i="86" a="1"/>
  <c r="P15" i="86" s="1"/>
  <c r="AU29" i="86" a="1"/>
  <c r="AU29" i="86" s="1"/>
  <c r="BB23" i="86" a="1"/>
  <c r="BB23" i="86" s="1"/>
  <c r="BB24" i="86" s="1"/>
  <c r="AL9" i="86" a="1"/>
  <c r="AL9" i="86" s="1"/>
  <c r="P49" i="86" a="1"/>
  <c r="P49" i="86" s="1"/>
  <c r="D49" i="86" a="1"/>
  <c r="D49" i="86" s="1"/>
  <c r="H3" i="86" a="1"/>
  <c r="H3" i="86" s="1"/>
  <c r="BA3" i="86" a="1"/>
  <c r="BA3" i="86" s="1"/>
  <c r="Q5" i="86" a="1"/>
  <c r="Q5" i="86" s="1"/>
  <c r="AM15" i="86" a="1"/>
  <c r="AM15" i="86" s="1"/>
  <c r="D27" i="86" a="1"/>
  <c r="D27" i="86" s="1"/>
  <c r="N49" i="86" a="1"/>
  <c r="N49" i="86" s="1"/>
  <c r="O13" i="86" a="1"/>
  <c r="O13" i="86" s="1"/>
  <c r="S31" i="86" a="1"/>
  <c r="S31" i="86" s="1"/>
  <c r="S29" i="86" a="1"/>
  <c r="S29" i="86" s="1"/>
  <c r="G49" i="86" a="1"/>
  <c r="G49" i="86" s="1"/>
  <c r="G50" i="86" s="1"/>
  <c r="C29" i="86" a="1"/>
  <c r="C29" i="86" s="1"/>
  <c r="AN39" i="86" a="1"/>
  <c r="AN39" i="86" s="1"/>
  <c r="D37" i="86" a="1"/>
  <c r="D37" i="86" s="1"/>
  <c r="Q31" i="86" a="1"/>
  <c r="Q31" i="86" s="1"/>
  <c r="AX25" i="86" a="1"/>
  <c r="AX25" i="86" s="1"/>
  <c r="AU47" i="86" a="1"/>
  <c r="AU47" i="86" s="1"/>
  <c r="BA33" i="86" a="1"/>
  <c r="BA33" i="86" s="1"/>
  <c r="Q49" i="86" a="1"/>
  <c r="Q49" i="86" s="1"/>
  <c r="Q50" i="86" s="1"/>
  <c r="C45" i="86" a="1"/>
  <c r="C45" i="86" s="1"/>
  <c r="B9" i="86" a="1"/>
  <c r="B9" i="86" s="1"/>
  <c r="AW49" i="86" a="1"/>
  <c r="AW49" i="86" s="1"/>
  <c r="BA43" i="86" a="1"/>
  <c r="BA43" i="86" s="1"/>
  <c r="J5" i="86" a="1"/>
  <c r="J5" i="86" s="1"/>
  <c r="AW9" i="86" a="1"/>
  <c r="AW9" i="86" s="1"/>
  <c r="AM41" i="86" a="1"/>
  <c r="AM41" i="86" s="1"/>
  <c r="AR7" i="86" a="1"/>
  <c r="AR7" i="86" s="1"/>
  <c r="AR15" i="86" a="1"/>
  <c r="AR15" i="86" s="1"/>
  <c r="AT37" i="86" a="1"/>
  <c r="AT37" i="86" s="1"/>
  <c r="AT27" i="86" a="1"/>
  <c r="AT27" i="86" s="1"/>
  <c r="S47" i="86" a="1"/>
  <c r="S47" i="86" s="1"/>
  <c r="AT13" i="86" a="1"/>
  <c r="AT13" i="86" s="1"/>
  <c r="AQ15" i="86" a="1"/>
  <c r="AQ15" i="86" s="1"/>
  <c r="AX23" i="86" a="1"/>
  <c r="AX23" i="86" s="1"/>
  <c r="G45" i="86" a="1"/>
  <c r="G45" i="86" s="1"/>
  <c r="AT19" i="86" a="1"/>
  <c r="AT19" i="86" s="1"/>
  <c r="B37" i="86" a="1"/>
  <c r="B37" i="86" s="1"/>
  <c r="B21" i="86" a="1"/>
  <c r="B21" i="86" s="1"/>
  <c r="O5" i="86" a="1"/>
  <c r="O5" i="86" s="1"/>
  <c r="O6" i="86" s="1"/>
  <c r="Q23" i="86" a="1"/>
  <c r="Q23" i="86" s="1"/>
  <c r="O15" i="86" a="1"/>
  <c r="O15" i="86" s="1"/>
  <c r="O16" i="86" s="1"/>
  <c r="AN37" i="86" a="1"/>
  <c r="AN37" i="86" s="1"/>
  <c r="AZ49" i="86" a="1"/>
  <c r="AZ49" i="86" s="1"/>
  <c r="E31" i="86" a="1"/>
  <c r="E31" i="86" s="1"/>
  <c r="AY27" i="86" a="1"/>
  <c r="AY27" i="86" s="1"/>
  <c r="AX27" i="86" a="1"/>
  <c r="AX27" i="86" s="1"/>
  <c r="AX28" i="86" s="1"/>
  <c r="AT49" i="86" a="1"/>
  <c r="AT49" i="86" s="1"/>
  <c r="P7" i="86" a="1"/>
  <c r="P7" i="86" s="1"/>
  <c r="AY35" i="86" a="1"/>
  <c r="AY35" i="86" s="1"/>
  <c r="AQ11" i="86" a="1"/>
  <c r="AQ11" i="86" s="1"/>
  <c r="H19" i="86" a="1"/>
  <c r="H19" i="86" s="1"/>
  <c r="AL11" i="86" a="1"/>
  <c r="AL11" i="86" s="1"/>
  <c r="AW41" i="86" a="1"/>
  <c r="AW41" i="86" s="1"/>
  <c r="AW42" i="86" s="1"/>
  <c r="L7" i="86" a="1"/>
  <c r="L7" i="86" s="1"/>
  <c r="L8" i="86" s="1"/>
  <c r="H43" i="86" a="1"/>
  <c r="H43" i="86" s="1"/>
  <c r="O45" i="86" a="1"/>
  <c r="O45" i="86" s="1"/>
  <c r="N43" i="86" a="1"/>
  <c r="N43" i="86" s="1"/>
  <c r="AO3" i="86" a="1"/>
  <c r="AO3" i="86" s="1"/>
  <c r="I3" i="86" a="1"/>
  <c r="I3" i="86" s="1"/>
  <c r="P11" i="86" a="1"/>
  <c r="P11" i="86" s="1"/>
  <c r="P35" i="86" a="1"/>
  <c r="P35" i="86" s="1"/>
  <c r="AP37" i="86" a="1"/>
  <c r="AP37" i="86" s="1"/>
  <c r="AP38" i="86" s="1"/>
  <c r="H23" i="86" a="1"/>
  <c r="H23" i="86" s="1"/>
  <c r="F5" i="86" a="1"/>
  <c r="F5" i="86" s="1"/>
  <c r="BB29" i="86" a="1"/>
  <c r="BB29" i="86" s="1"/>
  <c r="N27" i="86" a="1"/>
  <c r="N27" i="86" s="1"/>
  <c r="E27" i="86" a="1"/>
  <c r="E27" i="86" s="1"/>
  <c r="O41" i="86" a="1"/>
  <c r="O41" i="86" s="1"/>
  <c r="E19" i="86" a="1"/>
  <c r="E19" i="86" s="1"/>
  <c r="F21" i="86" a="1"/>
  <c r="F21" i="86" s="1"/>
  <c r="AW13" i="86" a="1"/>
  <c r="AW13" i="86" s="1"/>
  <c r="AS7" i="86" a="1"/>
  <c r="AS7" i="86" s="1"/>
  <c r="F45" i="86" a="1"/>
  <c r="F45" i="86" s="1"/>
  <c r="AO13" i="86" a="1"/>
  <c r="AO13" i="86" s="1"/>
  <c r="S41" i="86" a="1"/>
  <c r="S41" i="86" s="1"/>
  <c r="G15" i="86" a="1"/>
  <c r="G15" i="86" s="1"/>
  <c r="F15" i="86" a="1"/>
  <c r="F15" i="86" s="1"/>
  <c r="B3" i="86" a="1"/>
  <c r="B3" i="86" s="1"/>
  <c r="L39" i="86" a="1"/>
  <c r="L39" i="86" s="1"/>
  <c r="AX49" i="86" a="1"/>
  <c r="AX49" i="86" s="1"/>
  <c r="C3" i="86" a="1"/>
  <c r="C3" i="86" s="1"/>
  <c r="I31" i="86" a="1"/>
  <c r="I31" i="86" s="1"/>
  <c r="BB5" i="86" a="1"/>
  <c r="BB5" i="86" s="1"/>
  <c r="D21" i="86" a="1"/>
  <c r="D21" i="86" s="1"/>
  <c r="B11" i="86" a="1"/>
  <c r="B11" i="86" s="1"/>
  <c r="AM35" i="86" a="1"/>
  <c r="AM35" i="86" s="1"/>
  <c r="Q11" i="86" a="1"/>
  <c r="Q11" i="86" s="1"/>
  <c r="Q12" i="86" s="1"/>
  <c r="E23" i="86" a="1"/>
  <c r="E23" i="86" s="1"/>
  <c r="AN9" i="86" a="1"/>
  <c r="AN9" i="86" s="1"/>
  <c r="AX3" i="86" a="1"/>
  <c r="AX3" i="86" s="1"/>
  <c r="AW37" i="86" a="1"/>
  <c r="AW37" i="86" s="1"/>
  <c r="E11" i="86" a="1"/>
  <c r="E11" i="86" s="1"/>
  <c r="AX17" i="86" a="1"/>
  <c r="AX17" i="86" s="1"/>
  <c r="AO11" i="86" a="1"/>
  <c r="AO11" i="86" s="1"/>
  <c r="AS37" i="86" a="1"/>
  <c r="AS37" i="86" s="1"/>
  <c r="AZ21" i="86" a="1"/>
  <c r="AZ21" i="86" s="1"/>
  <c r="E41" i="86" a="1"/>
  <c r="E41" i="86" s="1"/>
  <c r="I5" i="86" a="1"/>
  <c r="I5" i="86" s="1"/>
  <c r="AL7" i="86" a="1"/>
  <c r="AL7" i="86" s="1"/>
  <c r="F37" i="86" a="1"/>
  <c r="F37" i="86" s="1"/>
  <c r="R23" i="86" a="1"/>
  <c r="R23" i="86" s="1"/>
  <c r="R24" i="86" s="1"/>
  <c r="AM11" i="86" a="1"/>
  <c r="AM11" i="86" s="1"/>
  <c r="P25" i="86" a="1"/>
  <c r="P25" i="86" s="1"/>
  <c r="P13" i="86" a="1"/>
  <c r="P13" i="86" s="1"/>
  <c r="I11" i="86" a="1"/>
  <c r="I11" i="86" s="1"/>
  <c r="J39" i="86" a="1"/>
  <c r="J39" i="86" s="1"/>
  <c r="R21" i="86" a="1"/>
  <c r="R21" i="86" s="1"/>
  <c r="J35" i="86" a="1"/>
  <c r="J35" i="86" s="1"/>
  <c r="N25" i="86" a="1"/>
  <c r="N25" i="86" s="1"/>
  <c r="AK45" i="86" a="1"/>
  <c r="AK45" i="86" s="1"/>
  <c r="AM31" i="86" a="1"/>
  <c r="AM31" i="86" s="1"/>
  <c r="P39" i="86" a="1"/>
  <c r="P39" i="86" s="1"/>
  <c r="AN5" i="86" a="1"/>
  <c r="AN5" i="86" s="1"/>
  <c r="AN6" i="86" s="1"/>
  <c r="J47" i="86" a="1"/>
  <c r="J47" i="86" s="1"/>
  <c r="B39" i="86" a="1"/>
  <c r="B39" i="86" s="1"/>
  <c r="AR3" i="86" a="1"/>
  <c r="AR3" i="86" s="1"/>
  <c r="AY47" i="86" a="1"/>
  <c r="AY47" i="86" s="1"/>
  <c r="B5" i="86" a="1"/>
  <c r="B5" i="86" s="1"/>
  <c r="AK7" i="86" a="1"/>
  <c r="AK7" i="86" s="1"/>
  <c r="I41" i="86" a="1"/>
  <c r="I41" i="86" s="1"/>
  <c r="AS35" i="86" a="1"/>
  <c r="AS35" i="86" s="1"/>
  <c r="C39" i="86" a="1"/>
  <c r="C39" i="86" s="1"/>
  <c r="G27" i="86" a="1"/>
  <c r="G27" i="86" s="1"/>
  <c r="R39" i="86" a="1"/>
  <c r="R39" i="86" s="1"/>
  <c r="AR33" i="86" a="1"/>
  <c r="AR33" i="86" s="1"/>
  <c r="AW43" i="86" a="1"/>
  <c r="AW43" i="86" s="1"/>
  <c r="P19" i="86" a="1"/>
  <c r="P19" i="86" s="1"/>
  <c r="N45" i="86" a="1"/>
  <c r="N45" i="86" s="1"/>
  <c r="AU9" i="86" a="1"/>
  <c r="AU9" i="86" s="1"/>
  <c r="AZ39" i="86" a="1"/>
  <c r="AZ39" i="86" s="1"/>
  <c r="H11" i="86" a="1"/>
  <c r="H11" i="86" s="1"/>
  <c r="J21" i="86" a="1"/>
  <c r="J21" i="86" s="1"/>
  <c r="I25" i="86" a="1"/>
  <c r="I25" i="86" s="1"/>
  <c r="AT25" i="86" a="1"/>
  <c r="AT25" i="86" s="1"/>
  <c r="AY43" i="86" a="1"/>
  <c r="AY43" i="86" s="1"/>
  <c r="AZ47" i="86" a="1"/>
  <c r="AZ47" i="86" s="1"/>
  <c r="AU23" i="86" a="1"/>
  <c r="AU23" i="86" s="1"/>
  <c r="AM13" i="86" a="1"/>
  <c r="AM13" i="86" s="1"/>
  <c r="AM14" i="86" s="1"/>
  <c r="AY17" i="86" a="1"/>
  <c r="AY17" i="86" s="1"/>
  <c r="AM23" i="86" a="1"/>
  <c r="AM23" i="86" s="1"/>
  <c r="BB17" i="86" a="1"/>
  <c r="BB17" i="86" s="1"/>
  <c r="Q25" i="86" a="1"/>
  <c r="Q25" i="86" s="1"/>
  <c r="F27" i="86" a="1"/>
  <c r="F27" i="86" s="1"/>
  <c r="S13" i="86" a="1"/>
  <c r="S13" i="86" s="1"/>
  <c r="Q29" i="86" a="1"/>
  <c r="Q29" i="86" s="1"/>
  <c r="AL3" i="86" a="1"/>
  <c r="AL3" i="86" s="1"/>
  <c r="AX33" i="86" a="1"/>
  <c r="AX33" i="86" s="1"/>
  <c r="AR27" i="86" a="1"/>
  <c r="AR27" i="86" s="1"/>
  <c r="Q7" i="86" a="1"/>
  <c r="Q7" i="86" s="1"/>
  <c r="AT21" i="86" a="1"/>
  <c r="AT21" i="86" s="1"/>
  <c r="B47" i="86" a="1"/>
  <c r="B47" i="86" s="1"/>
  <c r="J37" i="86" a="1"/>
  <c r="J37" i="86" s="1"/>
  <c r="K17" i="86" a="1"/>
  <c r="K17" i="86" s="1"/>
  <c r="G5" i="86" a="1"/>
  <c r="G5" i="86" s="1"/>
  <c r="I49" i="86" a="1"/>
  <c r="I49" i="86" s="1"/>
  <c r="AW5" i="86" a="1"/>
  <c r="AW5" i="86" s="1"/>
  <c r="AL29" i="86" a="1"/>
  <c r="AL29" i="86" s="1"/>
  <c r="H39" i="86" a="1"/>
  <c r="H39" i="86" s="1"/>
  <c r="H15" i="86" a="1"/>
  <c r="H15" i="86" s="1"/>
  <c r="AP25" i="86" a="1"/>
  <c r="AP25" i="86" s="1"/>
  <c r="AZ35" i="86" a="1"/>
  <c r="AZ35" i="86" s="1"/>
  <c r="L41" i="86" a="1"/>
  <c r="L41" i="86" s="1"/>
  <c r="H41" i="86" a="1"/>
  <c r="H41" i="86" s="1"/>
  <c r="AO41" i="86" a="1"/>
  <c r="AO41" i="86" s="1"/>
  <c r="AW15" i="86" a="1"/>
  <c r="AW15" i="86" s="1"/>
  <c r="L31" i="86" a="1"/>
  <c r="L31" i="86" s="1"/>
  <c r="J25" i="86" a="1"/>
  <c r="J25" i="86" s="1"/>
  <c r="AP21" i="86" a="1"/>
  <c r="AP21" i="86" s="1"/>
  <c r="K23" i="86" a="1"/>
  <c r="K23" i="86" s="1"/>
  <c r="BA9" i="86" a="1"/>
  <c r="BA9" i="86" s="1"/>
  <c r="AN7" i="86" a="1"/>
  <c r="AN7" i="86" s="1"/>
  <c r="R9" i="86" a="1"/>
  <c r="R9" i="86" s="1"/>
  <c r="AK23" i="86" a="1"/>
  <c r="AK23" i="86" s="1"/>
  <c r="AQ45" i="86" a="1"/>
  <c r="AQ45" i="86" s="1"/>
  <c r="AO23" i="86" a="1"/>
  <c r="AO23" i="86" s="1"/>
  <c r="G39" i="86" a="1"/>
  <c r="G39" i="86" s="1"/>
  <c r="D7" i="86" a="1"/>
  <c r="D7" i="86" s="1"/>
  <c r="AY15" i="86" a="1"/>
  <c r="AY15" i="86" s="1"/>
  <c r="F11" i="86" a="1"/>
  <c r="F11" i="86" s="1"/>
  <c r="AU37" i="86" a="1"/>
  <c r="AU37" i="86" s="1"/>
  <c r="AT9" i="86" a="1"/>
  <c r="AT9" i="86" s="1"/>
  <c r="AR19" i="86" a="1"/>
  <c r="AR19" i="86" s="1"/>
  <c r="N21" i="86" a="1"/>
  <c r="N21" i="86" s="1"/>
  <c r="BB15" i="86" a="1"/>
  <c r="BB15" i="86" s="1"/>
  <c r="AO19" i="86" a="1"/>
  <c r="AO19" i="86" s="1"/>
  <c r="R11" i="86" a="1"/>
  <c r="R11" i="86" s="1"/>
  <c r="BA23" i="86" a="1"/>
  <c r="BA23" i="86" s="1"/>
  <c r="N3" i="86" a="1"/>
  <c r="N3" i="86" s="1"/>
  <c r="L3" i="86" a="1"/>
  <c r="L3" i="86" s="1"/>
  <c r="AU45" i="86" a="1"/>
  <c r="AU45" i="86" s="1"/>
  <c r="AO27" i="86" a="1"/>
  <c r="AO27" i="86" s="1"/>
  <c r="H9" i="86" a="1"/>
  <c r="H9" i="86" s="1"/>
  <c r="L47" i="86" a="1"/>
  <c r="L47" i="86" s="1"/>
  <c r="AU25" i="86" a="1"/>
  <c r="AU25" i="86" s="1"/>
  <c r="G13" i="86" a="1"/>
  <c r="G13" i="86" s="1"/>
  <c r="AM29" i="86" a="1"/>
  <c r="AM29" i="86" s="1"/>
  <c r="H47" i="86" a="1"/>
  <c r="H47" i="86" s="1"/>
  <c r="F9" i="86" a="1"/>
  <c r="F9" i="86" s="1"/>
  <c r="AM49" i="86" a="1"/>
  <c r="AM49" i="86" s="1"/>
  <c r="AS33" i="86" a="1"/>
  <c r="AS33" i="86" s="1"/>
  <c r="AX15" i="86" a="1"/>
  <c r="AX15" i="86" s="1"/>
  <c r="B23" i="86" a="1"/>
  <c r="B23" i="86" s="1"/>
  <c r="I9" i="86" a="1"/>
  <c r="I9" i="86" s="1"/>
  <c r="R33" i="86" a="1"/>
  <c r="R33" i="86" s="1"/>
  <c r="R34" i="86" s="1"/>
  <c r="AX29" i="86" a="1"/>
  <c r="AX29" i="86" s="1"/>
  <c r="AK21" i="86" a="1"/>
  <c r="AK21" i="86" s="1"/>
  <c r="Q21" i="86" a="1"/>
  <c r="Q21" i="86" s="1"/>
  <c r="I33" i="86" a="1"/>
  <c r="I33" i="86" s="1"/>
  <c r="AZ27" i="86" a="1"/>
  <c r="AZ27" i="86" s="1"/>
  <c r="H13" i="86" a="1"/>
  <c r="H13" i="86" s="1"/>
  <c r="B15" i="86" a="1"/>
  <c r="B15" i="86" s="1"/>
  <c r="AR13" i="86" a="1"/>
  <c r="AR13" i="86" s="1"/>
  <c r="K39" i="86" a="1"/>
  <c r="K39" i="86" s="1"/>
  <c r="Q37" i="86" a="1"/>
  <c r="Q37" i="86" s="1"/>
  <c r="AQ5" i="86" a="1"/>
  <c r="AQ5" i="86" s="1"/>
  <c r="AN41" i="86" a="1"/>
  <c r="AN41" i="86" s="1"/>
  <c r="AW3" i="86" a="1"/>
  <c r="AW3" i="86" s="1"/>
  <c r="AO43" i="86" a="1"/>
  <c r="AO43" i="86" s="1"/>
  <c r="AO21" i="86" a="1"/>
  <c r="AO21" i="86" s="1"/>
  <c r="O43" i="86" a="1"/>
  <c r="O43" i="86" s="1"/>
  <c r="F23" i="86" a="1"/>
  <c r="F23" i="86" s="1"/>
  <c r="J41" i="86" a="1"/>
  <c r="J41" i="86" s="1"/>
  <c r="I21" i="86" a="1"/>
  <c r="I21" i="86" s="1"/>
  <c r="AR37" i="86" a="1"/>
  <c r="AR37" i="86" s="1"/>
  <c r="P9" i="86" a="1"/>
  <c r="P9" i="86" s="1"/>
  <c r="AN23" i="86" a="1"/>
  <c r="AN23" i="86" s="1"/>
  <c r="G35" i="86" a="1"/>
  <c r="G35" i="86" s="1"/>
  <c r="BB21" i="86" a="1"/>
  <c r="BB21" i="86" s="1"/>
  <c r="BB22" i="86" s="1"/>
  <c r="AQ33" i="86" a="1"/>
  <c r="AQ33" i="86" s="1"/>
  <c r="L43" i="86" a="1"/>
  <c r="L43" i="86" s="1"/>
  <c r="I43" i="86" a="1"/>
  <c r="I43" i="86" s="1"/>
  <c r="E9" i="86" a="1"/>
  <c r="E9" i="86" s="1"/>
  <c r="C41" i="86" a="1"/>
  <c r="C41" i="86" s="1"/>
  <c r="AT35" i="86" a="1"/>
  <c r="AT35" i="86" s="1"/>
  <c r="AS15" i="86" a="1"/>
  <c r="AS15" i="86" s="1"/>
  <c r="R43" i="86" a="1"/>
  <c r="R43" i="86" s="1"/>
  <c r="AK37" i="86" a="1"/>
  <c r="AK37" i="86" s="1"/>
  <c r="AQ41" i="86" a="1"/>
  <c r="AQ41" i="86" s="1"/>
  <c r="B27" i="86" a="1"/>
  <c r="B27" i="86" s="1"/>
  <c r="BA35" i="86" a="1"/>
  <c r="BA35" i="86" s="1"/>
  <c r="AP33" i="86" a="1"/>
  <c r="AP33" i="86" s="1"/>
  <c r="C21" i="86" a="1"/>
  <c r="C21" i="86" s="1"/>
  <c r="F3" i="86" a="1"/>
  <c r="F3" i="86" s="1"/>
  <c r="K11" i="86" a="1"/>
  <c r="K11" i="86" s="1"/>
  <c r="O31" i="86" a="1"/>
  <c r="O31" i="86" s="1"/>
  <c r="G31" i="86" a="1"/>
  <c r="G31" i="86" s="1"/>
  <c r="AO15" i="86" a="1"/>
  <c r="AO15" i="86" s="1"/>
  <c r="BB47" i="86" a="1"/>
  <c r="BB47" i="86" s="1"/>
  <c r="J9" i="86" a="1"/>
  <c r="J9" i="86" s="1"/>
  <c r="AY19" i="86" a="1"/>
  <c r="AY19" i="86" s="1"/>
  <c r="C17" i="86" a="1"/>
  <c r="C17" i="86" s="1"/>
  <c r="G21" i="86" a="1"/>
  <c r="G21" i="86" s="1"/>
  <c r="N37" i="86" a="1"/>
  <c r="N37" i="86" s="1"/>
  <c r="O25" i="86" a="1"/>
  <c r="O25" i="86" s="1"/>
  <c r="AN3" i="86" a="1"/>
  <c r="AN3" i="86" s="1"/>
  <c r="AN4" i="86" s="1"/>
  <c r="D15" i="86" a="1"/>
  <c r="D15" i="86" s="1"/>
  <c r="D43" i="86" a="1"/>
  <c r="D43" i="86" s="1"/>
  <c r="BA27" i="86" a="1"/>
  <c r="BA27" i="86" s="1"/>
  <c r="J23" i="86" a="1"/>
  <c r="J23" i="86" s="1"/>
  <c r="BA13" i="86" a="1"/>
  <c r="BA13" i="86" s="1"/>
  <c r="K29" i="86" a="1"/>
  <c r="K29" i="86" s="1"/>
  <c r="O37" i="86" a="1"/>
  <c r="O37" i="86" s="1"/>
  <c r="C9" i="86" a="1"/>
  <c r="C9" i="86" s="1"/>
  <c r="AU43" i="86" a="1"/>
  <c r="AU43" i="86" s="1"/>
  <c r="E3" i="86" a="1"/>
  <c r="E3" i="86" s="1"/>
  <c r="AM17" i="86" a="1"/>
  <c r="AM17" i="86" s="1"/>
  <c r="J27" i="86" a="1"/>
  <c r="J27" i="86" s="1"/>
  <c r="AU821" i="84"/>
  <c r="AL821" i="84"/>
  <c r="AX821" i="84"/>
  <c r="AR821" i="84"/>
  <c r="AO821" i="84"/>
  <c r="BB821" i="84"/>
  <c r="AL849" i="84"/>
  <c r="AU849" i="84"/>
  <c r="AR849" i="84"/>
  <c r="AX849" i="84"/>
  <c r="BB849" i="84"/>
  <c r="AO849" i="84"/>
  <c r="BI322" i="84"/>
  <c r="AK322" i="84"/>
  <c r="AK466" i="84"/>
  <c r="BI466" i="84"/>
  <c r="AX776" i="84"/>
  <c r="AL776" i="84"/>
  <c r="AR776" i="84"/>
  <c r="AU776" i="84"/>
  <c r="BB776" i="84"/>
  <c r="AO776" i="84"/>
  <c r="BI460" i="84"/>
  <c r="AK460" i="84"/>
  <c r="AL579" i="84"/>
  <c r="AR579" i="84"/>
  <c r="AX579" i="84"/>
  <c r="AU579" i="84"/>
  <c r="BB579" i="84"/>
  <c r="AO579" i="84"/>
  <c r="AU650" i="84"/>
  <c r="AX650" i="84"/>
  <c r="AR650" i="84"/>
  <c r="AL650" i="84"/>
  <c r="BB650" i="84"/>
  <c r="AO650" i="84"/>
  <c r="BI179" i="84"/>
  <c r="AK179" i="84"/>
  <c r="BI186" i="84"/>
  <c r="AK186" i="84"/>
  <c r="AK353" i="84"/>
  <c r="BI353" i="84"/>
  <c r="AR918" i="84"/>
  <c r="AU918" i="84"/>
  <c r="AX918" i="84"/>
  <c r="AL918" i="84"/>
  <c r="AO918" i="84"/>
  <c r="BB918" i="84"/>
  <c r="AR406" i="84"/>
  <c r="AU406" i="84"/>
  <c r="AL406" i="84"/>
  <c r="AX406" i="84"/>
  <c r="BB406" i="84"/>
  <c r="AO406" i="84"/>
  <c r="AL847" i="84"/>
  <c r="AX847" i="84"/>
  <c r="AR847" i="84"/>
  <c r="AU847" i="84"/>
  <c r="AO847" i="84"/>
  <c r="BB847" i="84"/>
  <c r="BI136" i="84"/>
  <c r="AK136" i="84"/>
  <c r="AR608" i="84"/>
  <c r="AL608" i="84"/>
  <c r="AX608" i="84"/>
  <c r="AU608" i="84"/>
  <c r="AO608" i="84"/>
  <c r="BB608" i="84"/>
  <c r="AX271" i="84"/>
  <c r="AU271" i="84"/>
  <c r="AR271" i="84"/>
  <c r="AL271" i="84"/>
  <c r="BB271" i="84"/>
  <c r="AO271" i="84"/>
  <c r="AX910" i="84"/>
  <c r="AL910" i="84"/>
  <c r="AR910" i="84"/>
  <c r="AU910" i="84"/>
  <c r="AO910" i="84"/>
  <c r="BB910" i="84"/>
  <c r="AU183" i="84"/>
  <c r="AX183" i="84"/>
  <c r="AR183" i="84"/>
  <c r="AL183" i="84"/>
  <c r="BB183" i="84"/>
  <c r="AO183" i="84"/>
  <c r="AU811" i="84"/>
  <c r="AR811" i="84"/>
  <c r="AL811" i="84"/>
  <c r="AX811" i="84"/>
  <c r="BB811" i="84"/>
  <c r="AO811" i="84"/>
  <c r="AU939" i="84"/>
  <c r="AL939" i="84"/>
  <c r="AR939" i="84"/>
  <c r="AX939" i="84"/>
  <c r="AO939" i="84"/>
  <c r="BB939" i="84"/>
  <c r="AR449" i="84"/>
  <c r="AX449" i="84"/>
  <c r="AU449" i="84"/>
  <c r="AL449" i="84"/>
  <c r="BB449" i="84"/>
  <c r="AO449" i="84"/>
  <c r="AX275" i="84"/>
  <c r="AU275" i="84"/>
  <c r="AL275" i="84"/>
  <c r="AR275" i="84"/>
  <c r="BB275" i="84"/>
  <c r="AO275" i="84"/>
  <c r="AL115" i="84"/>
  <c r="AR115" i="84"/>
  <c r="AX115" i="84"/>
  <c r="AU115" i="84"/>
  <c r="AO115" i="84"/>
  <c r="BB115" i="84"/>
  <c r="BB622" i="84"/>
  <c r="AL286" i="84"/>
  <c r="AX286" i="84"/>
  <c r="AU286" i="84"/>
  <c r="AR286" i="84"/>
  <c r="BB286" i="84"/>
  <c r="AO286" i="84"/>
  <c r="AU222" i="84"/>
  <c r="AL222" i="84"/>
  <c r="AR222" i="84"/>
  <c r="AX222" i="84"/>
  <c r="AO222" i="84"/>
  <c r="BB222" i="84"/>
  <c r="AU884" i="84"/>
  <c r="AL884" i="84"/>
  <c r="AX884" i="84"/>
  <c r="AR884" i="84"/>
  <c r="BB884" i="84"/>
  <c r="AO884" i="84"/>
  <c r="AK32" i="84"/>
  <c r="BI32" i="84"/>
  <c r="AL89" i="84"/>
  <c r="AO89" i="84"/>
  <c r="AR497" i="84"/>
  <c r="AL497" i="84"/>
  <c r="AU497" i="84"/>
  <c r="AX497" i="84"/>
  <c r="BB497" i="84"/>
  <c r="AO497" i="84"/>
  <c r="BI23" i="84"/>
  <c r="AK23" i="84"/>
  <c r="AL575" i="84"/>
  <c r="AR575" i="84"/>
  <c r="AX575" i="84"/>
  <c r="AU575" i="84"/>
  <c r="BB575" i="84"/>
  <c r="AO575" i="84"/>
  <c r="AL543" i="84"/>
  <c r="AU543" i="84"/>
  <c r="AX543" i="84"/>
  <c r="AR543" i="84"/>
  <c r="AO543" i="84"/>
  <c r="BB543" i="84"/>
  <c r="AX362" i="84"/>
  <c r="AL362" i="84"/>
  <c r="AR362" i="84"/>
  <c r="AU362" i="84"/>
  <c r="BB362" i="84"/>
  <c r="AO362" i="84"/>
  <c r="AL958" i="84"/>
  <c r="AU958" i="84"/>
  <c r="AX958" i="84"/>
  <c r="AR958" i="84"/>
  <c r="BB958" i="84"/>
  <c r="AO958" i="84"/>
  <c r="AR296" i="84"/>
  <c r="AU296" i="84"/>
  <c r="AL296" i="84"/>
  <c r="AX296" i="84"/>
  <c r="BB296" i="84"/>
  <c r="AO296" i="84"/>
  <c r="BI351" i="84"/>
  <c r="AK351" i="84"/>
  <c r="BI530" i="84"/>
  <c r="AK530" i="84"/>
  <c r="BI461" i="84"/>
  <c r="AK461" i="84"/>
  <c r="AL273" i="84"/>
  <c r="AU273" i="84"/>
  <c r="AR273" i="84"/>
  <c r="AX273" i="84"/>
  <c r="AO273" i="84"/>
  <c r="BB273" i="84"/>
  <c r="AU94" i="84"/>
  <c r="AL94" i="84"/>
  <c r="AX94" i="84"/>
  <c r="AR94" i="84"/>
  <c r="BB94" i="84"/>
  <c r="AO94" i="84"/>
  <c r="AL801" i="84"/>
  <c r="AU801" i="84"/>
  <c r="AR801" i="84"/>
  <c r="AX801" i="84"/>
  <c r="BB801" i="84"/>
  <c r="AO801" i="84"/>
  <c r="AL783" i="84"/>
  <c r="AR783" i="84"/>
  <c r="AX783" i="84"/>
  <c r="AU783" i="84"/>
  <c r="BB783" i="84"/>
  <c r="AO783" i="84"/>
  <c r="AX181" i="84"/>
  <c r="AR181" i="84"/>
  <c r="AU181" i="84"/>
  <c r="AL181" i="84"/>
  <c r="AO181" i="84"/>
  <c r="BB181" i="84"/>
  <c r="BB503" i="84"/>
  <c r="AL503" i="84"/>
  <c r="AR503" i="84"/>
  <c r="AU503" i="84"/>
  <c r="AX503" i="84"/>
  <c r="AO503" i="84"/>
  <c r="AK475" i="84"/>
  <c r="BI475" i="84"/>
  <c r="AR551" i="84"/>
  <c r="AU551" i="84"/>
  <c r="AL551" i="84"/>
  <c r="AX551" i="84"/>
  <c r="AO551" i="84"/>
  <c r="BB551" i="84"/>
  <c r="AK173" i="84"/>
  <c r="BI173" i="84"/>
  <c r="AU717" i="84"/>
  <c r="AL717" i="84"/>
  <c r="AX717" i="84"/>
  <c r="AR717" i="84"/>
  <c r="AO717" i="84"/>
  <c r="BB717" i="84"/>
  <c r="AK481" i="84"/>
  <c r="BI481" i="84"/>
  <c r="AL964" i="84"/>
  <c r="AU964" i="84"/>
  <c r="AX964" i="84"/>
  <c r="AR964" i="84"/>
  <c r="AO964" i="84"/>
  <c r="BB964" i="84"/>
  <c r="AR640" i="84"/>
  <c r="AL640" i="84"/>
  <c r="AU640" i="84"/>
  <c r="AX640" i="84"/>
  <c r="BB640" i="84"/>
  <c r="AO640" i="84"/>
  <c r="AR470" i="84"/>
  <c r="AL470" i="84"/>
  <c r="AX470" i="84"/>
  <c r="AU470" i="84"/>
  <c r="BB470" i="84"/>
  <c r="AO470" i="84"/>
  <c r="AX687" i="84"/>
  <c r="AR687" i="84"/>
  <c r="AL687" i="84"/>
  <c r="AU687" i="84"/>
  <c r="BB687" i="84"/>
  <c r="AO687" i="84"/>
  <c r="AL787" i="84"/>
  <c r="AX787" i="84"/>
  <c r="AU787" i="84"/>
  <c r="AR787" i="84"/>
  <c r="AO787" i="84"/>
  <c r="BB787" i="84"/>
  <c r="AX638" i="84"/>
  <c r="AR638" i="84"/>
  <c r="AU638" i="84"/>
  <c r="AL638" i="84"/>
  <c r="BB638" i="84"/>
  <c r="AO638" i="84"/>
  <c r="AL931" i="84"/>
  <c r="AR931" i="84"/>
  <c r="AX931" i="84"/>
  <c r="AU931" i="84"/>
  <c r="BB931" i="84"/>
  <c r="AO931" i="84"/>
  <c r="AL175" i="84"/>
  <c r="AR175" i="84"/>
  <c r="AX175" i="84"/>
  <c r="AU175" i="84"/>
  <c r="AO175" i="84"/>
  <c r="BB175" i="84"/>
  <c r="AR418" i="84"/>
  <c r="AL418" i="84"/>
  <c r="AX418" i="84"/>
  <c r="AU418" i="84"/>
  <c r="AO418" i="84"/>
  <c r="BB418" i="84"/>
  <c r="AL633" i="84"/>
  <c r="AU633" i="84"/>
  <c r="AR633" i="84"/>
  <c r="AX633" i="84"/>
  <c r="BB633" i="84"/>
  <c r="AO633" i="84"/>
  <c r="BI151" i="84"/>
  <c r="AK151" i="84"/>
  <c r="AL765" i="84"/>
  <c r="AX765" i="84"/>
  <c r="AU765" i="84"/>
  <c r="AR765" i="84"/>
  <c r="BB765" i="84"/>
  <c r="AO765" i="84"/>
  <c r="AR955" i="84"/>
  <c r="AX955" i="84"/>
  <c r="AL955" i="84"/>
  <c r="AU955" i="84"/>
  <c r="AO955" i="84"/>
  <c r="BB955" i="84"/>
  <c r="AK483" i="84"/>
  <c r="BI483" i="84"/>
  <c r="AR230" i="84"/>
  <c r="AU230" i="84"/>
  <c r="AL230" i="84"/>
  <c r="AX230" i="84"/>
  <c r="BB230" i="84"/>
  <c r="AO230" i="84"/>
  <c r="AR885" i="84"/>
  <c r="AL885" i="84"/>
  <c r="AU885" i="84"/>
  <c r="AX885" i="84"/>
  <c r="BB885" i="84"/>
  <c r="AO885" i="84"/>
  <c r="AU340" i="84"/>
  <c r="AL340" i="84"/>
  <c r="AX340" i="84"/>
  <c r="AR340" i="84"/>
  <c r="BB340" i="84"/>
  <c r="AO340" i="84"/>
  <c r="BI496" i="84"/>
  <c r="AK496" i="84"/>
  <c r="BI75" i="84"/>
  <c r="AK75" i="84"/>
  <c r="AR108" i="84"/>
  <c r="AX108" i="84"/>
  <c r="AL108" i="84"/>
  <c r="AU108" i="84"/>
  <c r="AO108" i="84"/>
  <c r="BB108" i="84"/>
  <c r="BI131" i="84"/>
  <c r="AK131" i="84"/>
  <c r="BI441" i="84"/>
  <c r="AK441" i="84"/>
  <c r="AU745" i="84"/>
  <c r="AX745" i="84"/>
  <c r="AR745" i="84"/>
  <c r="AL745" i="84"/>
  <c r="BB745" i="84"/>
  <c r="AO745" i="84"/>
  <c r="AU913" i="84"/>
  <c r="AX913" i="84"/>
  <c r="AL913" i="84"/>
  <c r="AR913" i="84"/>
  <c r="BB913" i="84"/>
  <c r="AO913" i="84"/>
  <c r="AK311" i="84"/>
  <c r="BI311" i="84"/>
  <c r="AK52" i="84"/>
  <c r="BI52" i="84"/>
  <c r="AR683" i="84"/>
  <c r="AX683" i="84"/>
  <c r="AL683" i="84"/>
  <c r="AU683" i="84"/>
  <c r="BB683" i="84"/>
  <c r="AO683" i="84"/>
  <c r="AK68" i="84"/>
  <c r="BI68" i="84"/>
  <c r="AK251" i="84"/>
  <c r="BI251" i="84"/>
  <c r="AL618" i="84"/>
  <c r="AR618" i="84"/>
  <c r="AX618" i="84"/>
  <c r="AU618" i="84"/>
  <c r="AO618" i="84"/>
  <c r="BB618" i="84"/>
  <c r="AL600" i="84"/>
  <c r="AU600" i="84"/>
  <c r="AR600" i="84"/>
  <c r="AX600" i="84"/>
  <c r="BB600" i="84"/>
  <c r="AO600" i="84"/>
  <c r="AK398" i="84"/>
  <c r="BI398" i="84"/>
  <c r="AL880" i="84"/>
  <c r="AU880" i="84"/>
  <c r="AR880" i="84"/>
  <c r="AX880" i="84"/>
  <c r="AO880" i="84"/>
  <c r="BB880" i="84"/>
  <c r="AL840" i="84"/>
  <c r="AR840" i="84"/>
  <c r="AX840" i="84"/>
  <c r="AU840" i="84"/>
  <c r="AO840" i="84"/>
  <c r="BB840" i="84"/>
  <c r="AX863" i="84"/>
  <c r="AU863" i="84"/>
  <c r="AL863" i="84"/>
  <c r="AR863" i="84"/>
  <c r="AO863" i="84"/>
  <c r="BB863" i="84"/>
  <c r="BI57" i="84"/>
  <c r="AK57" i="84"/>
  <c r="AK127" i="84"/>
  <c r="BI127" i="84"/>
  <c r="AX953" i="84"/>
  <c r="AL953" i="84"/>
  <c r="AR953" i="84"/>
  <c r="AU953" i="84"/>
  <c r="AO953" i="84"/>
  <c r="BB953" i="84"/>
  <c r="BI335" i="84"/>
  <c r="AK335" i="84"/>
  <c r="BI321" i="84"/>
  <c r="AK321" i="84"/>
  <c r="AL684" i="84"/>
  <c r="AR684" i="84"/>
  <c r="AU684" i="84"/>
  <c r="AX684" i="84"/>
  <c r="AO684" i="84"/>
  <c r="BB684" i="84"/>
  <c r="AL581" i="84"/>
  <c r="AX581" i="84"/>
  <c r="AR581" i="84"/>
  <c r="AU581" i="84"/>
  <c r="BB581" i="84"/>
  <c r="AO581" i="84"/>
  <c r="AL400" i="84"/>
  <c r="AU400" i="84"/>
  <c r="AR400" i="84"/>
  <c r="AX400" i="84"/>
  <c r="AO400" i="84"/>
  <c r="BB400" i="84"/>
  <c r="BB488" i="84"/>
  <c r="AU488" i="84"/>
  <c r="AL488" i="84"/>
  <c r="AR488" i="84"/>
  <c r="AX488" i="84"/>
  <c r="AO488" i="84"/>
  <c r="BI299" i="84"/>
  <c r="AK299" i="84"/>
  <c r="AX733" i="84"/>
  <c r="AL733" i="84"/>
  <c r="AR733" i="84"/>
  <c r="AU733" i="84"/>
  <c r="AO733" i="84"/>
  <c r="BB733" i="84"/>
  <c r="AL886" i="84"/>
  <c r="AR886" i="84"/>
  <c r="AU886" i="84"/>
  <c r="AX886" i="84"/>
  <c r="BB886" i="84"/>
  <c r="AO886" i="84"/>
  <c r="AU201" i="84"/>
  <c r="AX201" i="84"/>
  <c r="AL201" i="84"/>
  <c r="AR201" i="84"/>
  <c r="BB201" i="84"/>
  <c r="AO201" i="84"/>
  <c r="BI368" i="84"/>
  <c r="AK368" i="84"/>
  <c r="AK522" i="84"/>
  <c r="BI522" i="84"/>
  <c r="AX736" i="84"/>
  <c r="AL736" i="84"/>
  <c r="AR736" i="84"/>
  <c r="AU736" i="84"/>
  <c r="AO736" i="84"/>
  <c r="BB736" i="84"/>
  <c r="AR611" i="84"/>
  <c r="AU611" i="84"/>
  <c r="AL611" i="84"/>
  <c r="AX611" i="84"/>
  <c r="AO611" i="84"/>
  <c r="BB611" i="84"/>
  <c r="AX890" i="84"/>
  <c r="AL890" i="84"/>
  <c r="AU890" i="84"/>
  <c r="AR890" i="84"/>
  <c r="BB890" i="84"/>
  <c r="AO890" i="84"/>
  <c r="AU198" i="84"/>
  <c r="AL198" i="84"/>
  <c r="AR198" i="84"/>
  <c r="AX198" i="84"/>
  <c r="BB198" i="84"/>
  <c r="AO198" i="84"/>
  <c r="AU735" i="84"/>
  <c r="AX735" i="84"/>
  <c r="AL735" i="84"/>
  <c r="AR735" i="84"/>
  <c r="BB735" i="84"/>
  <c r="AO735" i="84"/>
  <c r="AU858" i="84"/>
  <c r="AL858" i="84"/>
  <c r="AR858" i="84"/>
  <c r="AX858" i="84"/>
  <c r="BB858" i="84"/>
  <c r="AO858" i="84"/>
  <c r="AX862" i="84"/>
  <c r="AU862" i="84"/>
  <c r="AR862" i="84"/>
  <c r="AL862" i="84"/>
  <c r="BB862" i="84"/>
  <c r="AO862" i="84"/>
  <c r="AL759" i="84"/>
  <c r="AX759" i="84"/>
  <c r="AR759" i="84"/>
  <c r="AU759" i="84"/>
  <c r="BB759" i="84"/>
  <c r="AO759" i="84"/>
  <c r="AL796" i="84"/>
  <c r="AR796" i="84"/>
  <c r="AX796" i="84"/>
  <c r="AU796" i="84"/>
  <c r="AO796" i="84"/>
  <c r="BB796" i="84"/>
  <c r="AL172" i="84"/>
  <c r="AU172" i="84"/>
  <c r="AX442" i="84"/>
  <c r="AR442" i="84"/>
  <c r="AL442" i="84"/>
  <c r="AU442" i="84"/>
  <c r="BB442" i="84"/>
  <c r="AO442" i="84"/>
  <c r="AR146" i="84"/>
  <c r="AX146" i="84"/>
  <c r="AL146" i="84"/>
  <c r="AU146" i="84"/>
  <c r="BB146" i="84"/>
  <c r="AO146" i="84"/>
  <c r="AX945" i="84"/>
  <c r="AU945" i="84"/>
  <c r="AR945" i="84"/>
  <c r="AL945" i="84"/>
  <c r="BB945" i="84"/>
  <c r="AO945" i="84"/>
  <c r="AU625" i="84"/>
  <c r="AL625" i="84"/>
  <c r="AR625" i="84"/>
  <c r="AX625" i="84"/>
  <c r="AO625" i="84"/>
  <c r="BB625" i="84"/>
  <c r="AU103" i="84"/>
  <c r="AR103" i="84"/>
  <c r="AX103" i="84"/>
  <c r="AL103" i="84"/>
  <c r="AO103" i="84"/>
  <c r="BB103" i="84"/>
  <c r="AU167" i="84"/>
  <c r="AL167" i="84"/>
  <c r="AR167" i="84"/>
  <c r="AX167" i="84"/>
  <c r="AO167" i="84"/>
  <c r="BB167" i="84"/>
  <c r="BI244" i="84"/>
  <c r="AK244" i="84"/>
  <c r="BI347" i="84"/>
  <c r="AK347" i="84"/>
  <c r="BI55" i="84"/>
  <c r="AK55" i="84"/>
  <c r="AL45" i="84"/>
  <c r="AX45" i="84"/>
  <c r="AU45" i="84"/>
  <c r="AR45" i="84"/>
  <c r="BB45" i="84"/>
  <c r="AO45" i="84"/>
  <c r="AL896" i="84"/>
  <c r="AX896" i="84"/>
  <c r="AU896" i="84"/>
  <c r="AR896" i="84"/>
  <c r="AO896" i="84"/>
  <c r="BB896" i="84"/>
  <c r="BI512" i="84"/>
  <c r="AK512" i="84"/>
  <c r="AU749" i="84"/>
  <c r="AL749" i="84"/>
  <c r="AX749" i="84"/>
  <c r="AR749" i="84"/>
  <c r="BB749" i="84"/>
  <c r="AO749" i="84"/>
  <c r="AK554" i="84"/>
  <c r="BI554" i="84"/>
  <c r="AL708" i="84"/>
  <c r="AX708" i="84"/>
  <c r="AR708" i="84"/>
  <c r="AU708" i="84"/>
  <c r="BB708" i="84"/>
  <c r="AO708" i="84"/>
  <c r="AR349" i="84"/>
  <c r="AU349" i="84"/>
  <c r="AX349" i="84"/>
  <c r="AL349" i="84"/>
  <c r="BB349" i="84"/>
  <c r="AO349" i="84"/>
  <c r="AX895" i="84"/>
  <c r="AL895" i="84"/>
  <c r="AU895" i="84"/>
  <c r="AR895" i="84"/>
  <c r="BB895" i="84"/>
  <c r="AO895" i="84"/>
  <c r="BI332" i="84"/>
  <c r="AK332" i="84"/>
  <c r="AR357" i="84"/>
  <c r="AX357" i="84"/>
  <c r="AU357" i="84"/>
  <c r="AL357" i="84"/>
  <c r="AO357" i="84"/>
  <c r="BB357" i="84"/>
  <c r="AL894" i="84"/>
  <c r="AR894" i="84"/>
  <c r="AU894" i="84"/>
  <c r="AX894" i="84"/>
  <c r="BB894" i="84"/>
  <c r="AO894" i="84"/>
  <c r="BI178" i="84"/>
  <c r="AK178" i="84"/>
  <c r="AR656" i="84"/>
  <c r="AX656" i="84"/>
  <c r="AL656" i="84"/>
  <c r="AU656" i="84"/>
  <c r="AO656" i="84"/>
  <c r="BB656" i="84"/>
  <c r="AX704" i="84"/>
  <c r="AL704" i="84"/>
  <c r="AR704" i="84"/>
  <c r="AU704" i="84"/>
  <c r="BB704" i="84"/>
  <c r="AO704" i="84"/>
  <c r="AU426" i="84"/>
  <c r="AX426" i="84"/>
  <c r="AL426" i="84"/>
  <c r="AR426" i="84"/>
  <c r="AO426" i="84"/>
  <c r="BB426" i="84"/>
  <c r="BI63" i="84"/>
  <c r="AK63" i="84"/>
  <c r="AX947" i="84"/>
  <c r="AL947" i="84"/>
  <c r="AU947" i="84"/>
  <c r="AR947" i="84"/>
  <c r="BB947" i="84"/>
  <c r="AO947" i="84"/>
  <c r="BB421" i="84"/>
  <c r="AL421" i="84"/>
  <c r="AR421" i="84"/>
  <c r="AU421" i="84"/>
  <c r="AX421" i="84"/>
  <c r="AO421" i="84"/>
  <c r="BI260" i="84"/>
  <c r="AK260" i="84"/>
  <c r="AK62" i="84"/>
  <c r="BI62" i="84"/>
  <c r="AL492" i="84"/>
  <c r="AU492" i="84"/>
  <c r="AR492" i="84"/>
  <c r="AX492" i="84"/>
  <c r="AO492" i="84"/>
  <c r="BB492" i="84"/>
  <c r="AL891" i="84"/>
  <c r="AR891" i="84"/>
  <c r="AU891" i="84"/>
  <c r="AX891" i="84"/>
  <c r="AO891" i="84"/>
  <c r="BB891" i="84"/>
  <c r="AX822" i="84"/>
  <c r="AR822" i="84"/>
  <c r="AU822" i="84"/>
  <c r="AL822" i="84"/>
  <c r="AO822" i="84"/>
  <c r="BB822" i="84"/>
  <c r="AK309" i="84"/>
  <c r="BI309" i="84"/>
  <c r="AR889" i="84"/>
  <c r="AL889" i="84"/>
  <c r="AU889" i="84"/>
  <c r="AX889" i="84"/>
  <c r="BB889" i="84"/>
  <c r="AO889" i="84"/>
  <c r="AK402" i="84"/>
  <c r="BI402" i="84"/>
  <c r="AL278" i="84"/>
  <c r="AX278" i="84"/>
  <c r="AU278" i="84"/>
  <c r="AR278" i="84"/>
  <c r="BB278" i="84"/>
  <c r="AO278" i="84"/>
  <c r="AR905" i="84"/>
  <c r="AX905" i="84"/>
  <c r="AL905" i="84"/>
  <c r="AU905" i="84"/>
  <c r="BB905" i="84"/>
  <c r="AO905" i="84"/>
  <c r="AK250" i="84"/>
  <c r="BI250" i="84"/>
  <c r="AR899" i="84"/>
  <c r="AL899" i="84"/>
  <c r="AU899" i="84"/>
  <c r="AX899" i="84"/>
  <c r="BB899" i="84"/>
  <c r="AO899" i="84"/>
  <c r="AU665" i="84"/>
  <c r="AL665" i="84"/>
  <c r="AX665" i="84"/>
  <c r="AR665" i="84"/>
  <c r="AO665" i="84"/>
  <c r="BB665" i="84"/>
  <c r="AR214" i="84"/>
  <c r="AX214" i="84"/>
  <c r="AL214" i="84"/>
  <c r="AU214" i="84"/>
  <c r="AO214" i="84"/>
  <c r="BB214" i="84"/>
  <c r="AX621" i="84"/>
  <c r="AL621" i="84"/>
  <c r="AU621" i="84"/>
  <c r="AR621" i="84"/>
  <c r="AO621" i="84"/>
  <c r="BB621" i="84"/>
  <c r="AX867" i="84"/>
  <c r="AU867" i="84"/>
  <c r="AL867" i="84"/>
  <c r="AR867" i="84"/>
  <c r="BB867" i="84"/>
  <c r="AO867" i="84"/>
  <c r="AX36" i="84"/>
  <c r="AL36" i="84"/>
  <c r="AU36" i="84"/>
  <c r="AR36" i="84"/>
  <c r="BB36" i="84"/>
  <c r="AO36" i="84"/>
  <c r="AR661" i="84"/>
  <c r="AX661" i="84"/>
  <c r="AL661" i="84"/>
  <c r="AU661" i="84"/>
  <c r="AO661" i="84"/>
  <c r="BB661" i="84"/>
  <c r="BI323" i="84"/>
  <c r="AK323" i="84"/>
  <c r="AU639" i="84"/>
  <c r="AX639" i="84"/>
  <c r="AL639" i="84"/>
  <c r="AR639" i="84"/>
  <c r="AO639" i="84"/>
  <c r="BB639" i="84"/>
  <c r="AR928" i="84"/>
  <c r="AU928" i="84"/>
  <c r="AL928" i="84"/>
  <c r="AX928" i="84"/>
  <c r="BB928" i="84"/>
  <c r="AO928" i="84"/>
  <c r="AL716" i="84"/>
  <c r="AX716" i="84"/>
  <c r="AR716" i="84"/>
  <c r="AU716" i="84"/>
  <c r="AO716" i="84"/>
  <c r="BB716" i="84"/>
  <c r="AK259" i="84"/>
  <c r="BI259" i="84"/>
  <c r="AX771" i="84"/>
  <c r="AR771" i="84"/>
  <c r="AL771" i="84"/>
  <c r="AU771" i="84"/>
  <c r="BB771" i="84"/>
  <c r="AO771" i="84"/>
  <c r="AU570" i="84"/>
  <c r="AR570" i="84"/>
  <c r="AX570" i="84"/>
  <c r="AL570" i="84"/>
  <c r="BB570" i="84"/>
  <c r="AO570" i="84"/>
  <c r="BI516" i="84"/>
  <c r="AK516" i="84"/>
  <c r="BI267" i="84"/>
  <c r="AK267" i="84"/>
  <c r="AK34" i="84"/>
  <c r="BI34" i="84"/>
  <c r="AR927" i="84"/>
  <c r="AL927" i="84"/>
  <c r="AU927" i="84"/>
  <c r="AX927" i="84"/>
  <c r="AO927" i="84"/>
  <c r="BB927" i="84"/>
  <c r="AL39" i="84"/>
  <c r="AU39" i="84"/>
  <c r="AR39" i="84"/>
  <c r="AX39" i="84"/>
  <c r="BB39" i="84"/>
  <c r="AO39" i="84"/>
  <c r="BI519" i="84"/>
  <c r="AK519" i="84"/>
  <c r="AL140" i="84"/>
  <c r="AU140" i="84"/>
  <c r="AR140" i="84"/>
  <c r="AX140" i="84"/>
  <c r="AO140" i="84"/>
  <c r="BB140" i="84"/>
  <c r="AU64" i="84"/>
  <c r="AR64" i="84"/>
  <c r="AX64" i="84"/>
  <c r="AL64" i="84"/>
  <c r="AO64" i="84"/>
  <c r="BB64" i="84"/>
  <c r="BI199" i="84"/>
  <c r="AK199" i="84"/>
  <c r="AR742" i="84"/>
  <c r="AU742" i="84"/>
  <c r="AL742" i="84"/>
  <c r="AX742" i="84"/>
  <c r="BB742" i="84"/>
  <c r="AO742" i="84"/>
  <c r="BI463" i="84"/>
  <c r="AK463" i="84"/>
  <c r="AU560" i="84"/>
  <c r="AR560" i="84"/>
  <c r="AL560" i="84"/>
  <c r="AX560" i="84"/>
  <c r="BB560" i="84"/>
  <c r="AO560" i="84"/>
  <c r="AL773" i="84"/>
  <c r="AR773" i="84"/>
  <c r="AX773" i="84"/>
  <c r="AU773" i="84"/>
  <c r="AO773" i="84"/>
  <c r="BB773" i="84"/>
  <c r="AR813" i="84"/>
  <c r="AX813" i="84"/>
  <c r="AU813" i="84"/>
  <c r="AL813" i="84"/>
  <c r="AO813" i="84"/>
  <c r="BB813" i="84"/>
  <c r="AU754" i="84"/>
  <c r="AX754" i="84"/>
  <c r="AR754" i="84"/>
  <c r="AL754" i="84"/>
  <c r="BB754" i="84"/>
  <c r="AO754" i="84"/>
  <c r="AK552" i="84"/>
  <c r="BI552" i="84"/>
  <c r="AR604" i="84"/>
  <c r="AX604" i="84"/>
  <c r="AU604" i="84"/>
  <c r="AL604" i="84"/>
  <c r="BB604" i="84"/>
  <c r="AO604" i="84"/>
  <c r="AX731" i="84"/>
  <c r="AL731" i="84"/>
  <c r="AR731" i="84"/>
  <c r="AU731" i="84"/>
  <c r="AO731" i="84"/>
  <c r="BB731" i="84"/>
  <c r="AK410" i="84"/>
  <c r="BI410" i="84"/>
  <c r="AR95" i="84"/>
  <c r="AL95" i="84"/>
  <c r="AU95" i="84"/>
  <c r="AX95" i="84"/>
  <c r="BB95" i="84"/>
  <c r="AO95" i="84"/>
  <c r="AL753" i="84"/>
  <c r="AR753" i="84"/>
  <c r="AX753" i="84"/>
  <c r="AU753" i="84"/>
  <c r="BB753" i="84"/>
  <c r="AO753" i="84"/>
  <c r="AU866" i="84"/>
  <c r="AL866" i="84"/>
  <c r="AX866" i="84"/>
  <c r="AR866" i="84"/>
  <c r="AO866" i="84"/>
  <c r="BB866" i="84"/>
  <c r="AL385" i="84"/>
  <c r="AX385" i="84"/>
  <c r="AU385" i="84"/>
  <c r="AR385" i="84"/>
  <c r="BB385" i="84"/>
  <c r="AO385" i="84"/>
  <c r="AX159" i="84"/>
  <c r="AL159" i="84"/>
  <c r="AR159" i="84"/>
  <c r="AU159" i="84"/>
  <c r="AO159" i="84"/>
  <c r="BB159" i="84"/>
  <c r="AU574" i="84"/>
  <c r="AL574" i="84"/>
  <c r="AR574" i="84"/>
  <c r="AX574" i="84"/>
  <c r="AO574" i="84"/>
  <c r="BB574" i="84"/>
  <c r="AR799" i="84"/>
  <c r="AX799" i="84"/>
  <c r="AU799" i="84"/>
  <c r="AL799" i="84"/>
  <c r="AO799" i="84"/>
  <c r="BB799" i="84"/>
  <c r="AR695" i="84"/>
  <c r="AU695" i="84"/>
  <c r="AL695" i="84"/>
  <c r="AX695" i="84"/>
  <c r="AO695" i="84"/>
  <c r="BB695" i="84"/>
  <c r="AU533" i="84"/>
  <c r="AL533" i="84"/>
  <c r="AR533" i="84"/>
  <c r="AX533" i="84"/>
  <c r="AO533" i="84"/>
  <c r="BB533" i="84"/>
  <c r="AR924" i="84"/>
  <c r="AL924" i="84"/>
  <c r="AU924" i="84"/>
  <c r="AX924" i="84"/>
  <c r="AO924" i="84"/>
  <c r="BB924" i="84"/>
  <c r="AK390" i="84"/>
  <c r="BI390" i="84"/>
  <c r="AK169" i="84"/>
  <c r="BI169" i="84"/>
  <c r="AX499" i="84"/>
  <c r="AR499" i="84"/>
  <c r="AU499" i="84"/>
  <c r="AL499" i="84"/>
  <c r="BB499" i="84"/>
  <c r="AO499" i="84"/>
  <c r="AK66" i="84"/>
  <c r="BI66" i="84"/>
  <c r="AL790" i="84"/>
  <c r="AU790" i="84"/>
  <c r="AX790" i="84"/>
  <c r="AR790" i="84"/>
  <c r="AO790" i="84"/>
  <c r="BB790" i="84"/>
  <c r="BI166" i="84"/>
  <c r="AK166" i="84"/>
  <c r="AK372" i="84"/>
  <c r="BI372" i="84"/>
  <c r="AX856" i="84"/>
  <c r="AU856" i="84"/>
  <c r="AL856" i="84"/>
  <c r="AR856" i="84"/>
  <c r="AO856" i="84"/>
  <c r="BB856" i="84"/>
  <c r="AU692" i="84"/>
  <c r="AX692" i="84"/>
  <c r="AL692" i="84"/>
  <c r="AR692" i="84"/>
  <c r="AO692" i="84"/>
  <c r="BB692" i="84"/>
  <c r="AK459" i="84"/>
  <c r="BI459" i="84"/>
  <c r="AR206" i="84"/>
  <c r="AL206" i="84"/>
  <c r="AX206" i="84"/>
  <c r="AU206" i="84"/>
  <c r="AO206" i="84"/>
  <c r="BB206" i="84"/>
  <c r="AK38" i="84"/>
  <c r="BI38" i="84"/>
  <c r="AR751" i="84"/>
  <c r="AL751" i="84"/>
  <c r="AX751" i="84"/>
  <c r="AU751" i="84"/>
  <c r="AO751" i="84"/>
  <c r="BB751" i="84"/>
  <c r="AU681" i="84"/>
  <c r="AR681" i="84"/>
  <c r="AX681" i="84"/>
  <c r="AL681" i="84"/>
  <c r="AO681" i="84"/>
  <c r="BB681" i="84"/>
  <c r="AK158" i="84"/>
  <c r="BI158" i="84"/>
  <c r="AL703" i="84"/>
  <c r="AR703" i="84"/>
  <c r="AX703" i="84"/>
  <c r="AU703" i="84"/>
  <c r="AO703" i="84"/>
  <c r="BB703" i="84"/>
  <c r="AX417" i="84"/>
  <c r="AL417" i="84"/>
  <c r="AR417" i="84"/>
  <c r="AU417" i="84"/>
  <c r="AO417" i="84"/>
  <c r="BB417" i="84"/>
  <c r="BI409" i="84"/>
  <c r="AK409" i="84"/>
  <c r="AR795" i="84"/>
  <c r="AU795" i="84"/>
  <c r="AL795" i="84"/>
  <c r="AX795" i="84"/>
  <c r="BB795" i="84"/>
  <c r="AO795" i="84"/>
  <c r="BI545" i="84"/>
  <c r="AK545" i="84"/>
  <c r="AL897" i="84"/>
  <c r="AU897" i="84"/>
  <c r="AR897" i="84"/>
  <c r="AX897" i="84"/>
  <c r="BB897" i="84"/>
  <c r="AO897" i="84"/>
  <c r="AR772" i="84"/>
  <c r="AL772" i="84"/>
  <c r="AX772" i="84"/>
  <c r="AU772" i="84"/>
  <c r="AO772" i="84"/>
  <c r="BB772" i="84"/>
  <c r="AL674" i="84"/>
  <c r="AU674" i="84"/>
  <c r="AX674" i="84"/>
  <c r="AR674" i="84"/>
  <c r="BB674" i="84"/>
  <c r="AO674" i="84"/>
  <c r="BI473" i="84"/>
  <c r="AK473" i="84"/>
  <c r="AR782" i="84"/>
  <c r="AL782" i="84"/>
  <c r="AX782" i="84"/>
  <c r="AU782" i="84"/>
  <c r="AO782" i="84"/>
  <c r="BB782" i="84"/>
  <c r="AR739" i="84"/>
  <c r="AL739" i="84"/>
  <c r="AU739" i="84"/>
  <c r="AX739" i="84"/>
  <c r="BB739" i="84"/>
  <c r="AO739" i="84"/>
  <c r="AK133" i="84"/>
  <c r="BI133" i="84"/>
  <c r="AL220" i="84"/>
  <c r="AR220" i="84"/>
  <c r="AX220" i="84"/>
  <c r="AU220" i="84"/>
  <c r="AO220" i="84"/>
  <c r="BB220" i="84"/>
  <c r="AX228" i="84"/>
  <c r="AR228" i="84"/>
  <c r="AU228" i="84"/>
  <c r="AL228" i="84"/>
  <c r="AO228" i="84"/>
  <c r="BB228" i="84"/>
  <c r="AU129" i="84"/>
  <c r="AX129" i="84"/>
  <c r="AR129" i="84"/>
  <c r="AL129" i="84"/>
  <c r="AO129" i="84"/>
  <c r="BB129" i="84"/>
  <c r="AX531" i="84"/>
  <c r="AR531" i="84"/>
  <c r="AU531" i="84"/>
  <c r="AL531" i="84"/>
  <c r="AO531" i="84"/>
  <c r="BB531" i="84"/>
  <c r="AU923" i="84"/>
  <c r="AR923" i="84"/>
  <c r="AX923" i="84"/>
  <c r="AL923" i="84"/>
  <c r="AO923" i="84"/>
  <c r="BB923" i="84"/>
  <c r="AU354" i="84"/>
  <c r="AL354" i="84"/>
  <c r="AR354" i="84"/>
  <c r="AX354" i="84"/>
  <c r="BB354" i="84"/>
  <c r="AO354" i="84"/>
  <c r="BI379" i="84"/>
  <c r="AK379" i="84"/>
  <c r="AU920" i="84"/>
  <c r="AL920" i="84"/>
  <c r="AX920" i="84"/>
  <c r="AR920" i="84"/>
  <c r="BB920" i="84"/>
  <c r="AO920" i="84"/>
  <c r="AL877" i="84"/>
  <c r="AR877" i="84"/>
  <c r="AU877" i="84"/>
  <c r="AX877" i="84"/>
  <c r="AO877" i="84"/>
  <c r="BB877" i="84"/>
  <c r="AX284" i="84"/>
  <c r="AL284" i="84"/>
  <c r="AR284" i="84"/>
  <c r="AU284" i="84"/>
  <c r="BB284" i="84"/>
  <c r="AO284" i="84"/>
  <c r="AU429" i="84"/>
  <c r="AX429" i="84"/>
  <c r="AL429" i="84"/>
  <c r="AR429" i="84"/>
  <c r="BB429" i="84"/>
  <c r="AO429" i="84"/>
  <c r="AK411" i="84"/>
  <c r="BI411" i="84"/>
  <c r="AK478" i="84"/>
  <c r="BI478" i="84"/>
  <c r="AR865" i="84"/>
  <c r="AL865" i="84"/>
  <c r="AU865" i="84"/>
  <c r="AX865" i="84"/>
  <c r="BB865" i="84"/>
  <c r="AO865" i="84"/>
  <c r="AL215" i="84"/>
  <c r="AR215" i="84"/>
  <c r="AU215" i="84"/>
  <c r="AX215" i="84"/>
  <c r="AO215" i="84"/>
  <c r="BB215" i="84"/>
  <c r="AL619" i="84"/>
  <c r="AX619" i="84"/>
  <c r="AU619" i="84"/>
  <c r="AR619" i="84"/>
  <c r="AO619" i="84"/>
  <c r="BB619" i="84"/>
  <c r="AU848" i="84"/>
  <c r="AR848" i="84"/>
  <c r="AL848" i="84"/>
  <c r="AX848" i="84"/>
  <c r="BB848" i="84"/>
  <c r="AO848" i="84"/>
  <c r="AL505" i="84"/>
  <c r="AR505" i="84"/>
  <c r="AX505" i="84"/>
  <c r="AU505" i="84"/>
  <c r="BB505" i="84"/>
  <c r="AO505" i="84"/>
  <c r="AU944" i="84"/>
  <c r="AL944" i="84"/>
  <c r="AR944" i="84"/>
  <c r="AX944" i="84"/>
  <c r="AO944" i="84"/>
  <c r="BB944" i="84"/>
  <c r="AU900" i="84"/>
  <c r="AX900" i="84"/>
  <c r="AL900" i="84"/>
  <c r="AR900" i="84"/>
  <c r="BB900" i="84"/>
  <c r="AO900" i="84"/>
  <c r="AK471" i="84"/>
  <c r="BI471" i="84"/>
  <c r="AX635" i="84"/>
  <c r="AL635" i="84"/>
  <c r="AU635" i="84"/>
  <c r="AR635" i="84"/>
  <c r="BB635" i="84"/>
  <c r="AO635" i="84"/>
  <c r="AX229" i="84"/>
  <c r="AU229" i="84"/>
  <c r="AL229" i="84"/>
  <c r="AR229" i="84"/>
  <c r="BB229" i="84"/>
  <c r="AO229" i="84"/>
  <c r="AR721" i="84"/>
  <c r="AU721" i="84"/>
  <c r="AL721" i="84"/>
  <c r="AX721" i="84"/>
  <c r="AO721" i="84"/>
  <c r="BB721" i="84"/>
  <c r="AR852" i="84"/>
  <c r="AL852" i="84"/>
  <c r="AU852" i="84"/>
  <c r="AX852" i="84"/>
  <c r="BB852" i="84"/>
  <c r="AO852" i="84"/>
  <c r="BI176" i="84"/>
  <c r="AK176" i="84"/>
  <c r="BI268" i="84"/>
  <c r="AK268" i="84"/>
  <c r="BI333" i="84"/>
  <c r="AK333" i="84"/>
  <c r="BI464" i="84"/>
  <c r="AK464" i="84"/>
  <c r="AK266" i="84"/>
  <c r="BI266" i="84"/>
  <c r="AL586" i="84"/>
  <c r="AX586" i="84"/>
  <c r="AU586" i="84"/>
  <c r="AR586" i="84"/>
  <c r="AO586" i="84"/>
  <c r="BB586" i="84"/>
  <c r="AR415" i="84"/>
  <c r="AX415" i="84"/>
  <c r="AL415" i="84"/>
  <c r="AU415" i="84"/>
  <c r="BB415" i="84"/>
  <c r="AO415" i="84"/>
  <c r="AX234" i="84"/>
  <c r="AU234" i="84"/>
  <c r="AL234" i="84"/>
  <c r="AR234" i="84"/>
  <c r="BB234" i="84"/>
  <c r="AO234" i="84"/>
  <c r="AR768" i="84"/>
  <c r="AU768" i="84"/>
  <c r="AL768" i="84"/>
  <c r="AX768" i="84"/>
  <c r="BB768" i="84"/>
  <c r="AO768" i="84"/>
  <c r="AX791" i="84"/>
  <c r="AU791" i="84"/>
  <c r="AL791" i="84"/>
  <c r="AR791" i="84"/>
  <c r="BB791" i="84"/>
  <c r="AO791" i="84"/>
  <c r="AL637" i="84"/>
  <c r="AR637" i="84"/>
  <c r="AX637" i="84"/>
  <c r="AU637" i="84"/>
  <c r="AO637" i="84"/>
  <c r="BB637" i="84"/>
  <c r="AX454" i="84"/>
  <c r="AU454" i="84"/>
  <c r="AL454" i="84"/>
  <c r="AR454" i="84"/>
  <c r="AO454" i="84"/>
  <c r="BB454" i="84"/>
  <c r="AR859" i="84"/>
  <c r="AL859" i="84"/>
  <c r="AX859" i="84"/>
  <c r="AU859" i="84"/>
  <c r="AO859" i="84"/>
  <c r="BB859" i="84"/>
  <c r="AK81" i="84"/>
  <c r="BI81" i="84"/>
  <c r="BI142" i="84"/>
  <c r="AK142" i="84"/>
  <c r="BI8" i="84"/>
  <c r="AK8" i="84"/>
  <c r="AR501" i="84"/>
  <c r="AL501" i="84"/>
  <c r="AU501" i="84"/>
  <c r="AX501" i="84"/>
  <c r="AO501" i="84"/>
  <c r="BB501" i="84"/>
  <c r="AL893" i="84"/>
  <c r="AR893" i="84"/>
  <c r="AX893" i="84"/>
  <c r="AU893" i="84"/>
  <c r="BB893" i="84"/>
  <c r="AO893" i="84"/>
  <c r="AL780" i="84"/>
  <c r="AX780" i="84"/>
  <c r="AR780" i="84"/>
  <c r="AU780" i="84"/>
  <c r="BB780" i="84"/>
  <c r="AO780" i="84"/>
  <c r="AX746" i="84"/>
  <c r="AU746" i="84"/>
  <c r="AR746" i="84"/>
  <c r="AL746" i="84"/>
  <c r="BB746" i="84"/>
  <c r="AO746" i="84"/>
  <c r="AL938" i="84"/>
  <c r="AR938" i="84"/>
  <c r="AU938" i="84"/>
  <c r="AX938" i="84"/>
  <c r="BB938" i="84"/>
  <c r="AO938" i="84"/>
  <c r="AL610" i="84"/>
  <c r="AU610" i="84"/>
  <c r="AR610" i="84"/>
  <c r="AX610" i="84"/>
  <c r="AO610" i="84"/>
  <c r="BB610" i="84"/>
  <c r="AL789" i="84"/>
  <c r="AU789" i="84"/>
  <c r="AX789" i="84"/>
  <c r="AR789" i="84"/>
  <c r="AO789" i="84"/>
  <c r="BB789" i="84"/>
  <c r="AL291" i="84"/>
  <c r="AR291" i="84"/>
  <c r="AX291" i="84"/>
  <c r="AU291" i="84"/>
  <c r="AO291" i="84"/>
  <c r="BB291" i="84"/>
  <c r="BI18" i="84"/>
  <c r="AK18" i="84"/>
  <c r="AL117" i="84"/>
  <c r="AR117" i="84"/>
  <c r="AU117" i="84"/>
  <c r="AX117" i="84"/>
  <c r="AO117" i="84"/>
  <c r="BB117" i="84"/>
  <c r="AR815" i="84"/>
  <c r="AU815" i="84"/>
  <c r="AL815" i="84"/>
  <c r="AX815" i="84"/>
  <c r="AO815" i="84"/>
  <c r="BB815" i="84"/>
  <c r="AK28" i="84"/>
  <c r="BI28" i="84"/>
  <c r="BI87" i="84"/>
  <c r="AK87" i="84"/>
  <c r="AX648" i="84"/>
  <c r="AU648" i="84"/>
  <c r="AR648" i="84"/>
  <c r="AL648" i="84"/>
  <c r="BB648" i="84"/>
  <c r="AO648" i="84"/>
  <c r="AL678" i="84"/>
  <c r="AU678" i="84"/>
  <c r="AX678" i="84"/>
  <c r="AR678" i="84"/>
  <c r="AO678" i="84"/>
  <c r="BB678" i="84"/>
  <c r="AL792" i="84"/>
  <c r="AU792" i="84"/>
  <c r="AR792" i="84"/>
  <c r="AX792" i="84"/>
  <c r="BB792" i="84"/>
  <c r="AO792" i="84"/>
  <c r="BI15" i="84"/>
  <c r="AK15" i="84"/>
  <c r="AX781" i="84"/>
  <c r="AU781" i="84"/>
  <c r="AR781" i="84"/>
  <c r="AL781" i="84"/>
  <c r="BB781" i="84"/>
  <c r="AO781" i="84"/>
  <c r="AR934" i="84"/>
  <c r="AU934" i="84"/>
  <c r="AL934" i="84"/>
  <c r="AX934" i="84"/>
  <c r="AO934" i="84"/>
  <c r="BB934" i="84"/>
  <c r="AX922" i="84"/>
  <c r="AU922" i="84"/>
  <c r="AL922" i="84"/>
  <c r="AR922" i="84"/>
  <c r="BB922" i="84"/>
  <c r="AO922" i="84"/>
  <c r="AX616" i="84"/>
  <c r="AL616" i="84"/>
  <c r="AU616" i="84"/>
  <c r="AR616" i="84"/>
  <c r="AO616" i="84"/>
  <c r="BB616" i="84"/>
  <c r="AU819" i="84"/>
  <c r="AX819" i="84"/>
  <c r="AL819" i="84"/>
  <c r="AR819" i="84"/>
  <c r="BB819" i="84"/>
  <c r="AO819" i="84"/>
  <c r="AR366" i="84"/>
  <c r="AU366" i="84"/>
  <c r="AX366" i="84"/>
  <c r="AL366" i="84"/>
  <c r="BB366" i="84"/>
  <c r="AO366" i="84"/>
  <c r="BI69" i="84"/>
  <c r="AK69" i="84"/>
  <c r="BI170" i="84"/>
  <c r="AK170" i="84"/>
  <c r="AU641" i="84"/>
  <c r="AL641" i="84"/>
  <c r="AX641" i="84"/>
  <c r="AR641" i="84"/>
  <c r="AO641" i="84"/>
  <c r="BB641" i="84"/>
  <c r="AR855" i="84"/>
  <c r="AL855" i="84"/>
  <c r="AU855" i="84"/>
  <c r="AX855" i="84"/>
  <c r="AO855" i="84"/>
  <c r="BB855" i="84"/>
  <c r="BB149" i="84"/>
  <c r="AR149" i="84"/>
  <c r="AL149" i="84"/>
  <c r="AX149" i="84"/>
  <c r="AU149" i="84"/>
  <c r="AO149" i="84"/>
  <c r="AL743" i="84"/>
  <c r="AR743" i="84"/>
  <c r="AX743" i="84"/>
  <c r="AU743" i="84"/>
  <c r="AO743" i="84"/>
  <c r="BB743" i="84"/>
  <c r="AK414" i="84"/>
  <c r="BI414" i="84"/>
  <c r="BI303" i="84"/>
  <c r="AK303" i="84"/>
  <c r="AX705" i="84"/>
  <c r="AL705" i="84"/>
  <c r="AR705" i="84"/>
  <c r="AU705" i="84"/>
  <c r="AO705" i="84"/>
  <c r="BB705" i="84"/>
  <c r="BI253" i="84"/>
  <c r="AK253" i="84"/>
  <c r="AL599" i="84"/>
  <c r="AR599" i="84"/>
  <c r="AU599" i="84"/>
  <c r="AX599" i="84"/>
  <c r="BB599" i="84"/>
  <c r="AO599" i="84"/>
  <c r="BI224" i="84"/>
  <c r="AK224" i="84"/>
  <c r="AU207" i="84"/>
  <c r="AR207" i="84"/>
  <c r="AL207" i="84"/>
  <c r="AX207" i="84"/>
  <c r="BB207" i="84"/>
  <c r="AO207" i="84"/>
  <c r="AX946" i="84"/>
  <c r="AU946" i="84"/>
  <c r="AL946" i="84"/>
  <c r="AR946" i="84"/>
  <c r="BB946" i="84"/>
  <c r="AO946" i="84"/>
  <c r="AK360" i="84"/>
  <c r="BI360" i="84"/>
  <c r="AK157" i="84"/>
  <c r="BI157" i="84"/>
  <c r="AX120" i="84"/>
  <c r="AU120" i="84"/>
  <c r="AL120" i="84"/>
  <c r="AR120" i="84"/>
  <c r="AO120" i="84"/>
  <c r="BB120" i="84"/>
  <c r="AL272" i="84"/>
  <c r="AR272" i="84"/>
  <c r="AU272" i="84"/>
  <c r="AX272" i="84"/>
  <c r="AO272" i="84"/>
  <c r="BB272" i="84"/>
  <c r="AR174" i="84"/>
  <c r="AL174" i="84"/>
  <c r="AX174" i="84"/>
  <c r="AU174" i="84"/>
  <c r="BB174" i="84"/>
  <c r="AO174" i="84"/>
  <c r="AU359" i="84"/>
  <c r="AR359" i="84"/>
  <c r="AO359" i="84"/>
  <c r="BI111" i="84"/>
  <c r="AK111" i="84"/>
  <c r="AK515" i="84"/>
  <c r="BI515" i="84"/>
  <c r="AU218" i="84"/>
  <c r="AR218" i="84"/>
  <c r="AL218" i="84"/>
  <c r="AX218" i="84"/>
  <c r="BB218" i="84"/>
  <c r="AO218" i="84"/>
  <c r="AL673" i="84"/>
  <c r="AU673" i="84"/>
  <c r="AX673" i="84"/>
  <c r="AR673" i="84"/>
  <c r="AO673" i="84"/>
  <c r="BB673" i="84"/>
  <c r="AR646" i="84"/>
  <c r="AL646" i="84"/>
  <c r="AU646" i="84"/>
  <c r="AX646" i="84"/>
  <c r="BB646" i="84"/>
  <c r="AO646" i="84"/>
  <c r="BI24" i="84"/>
  <c r="AK24" i="84"/>
  <c r="AL605" i="84"/>
  <c r="AX605" i="84"/>
  <c r="AR605" i="84"/>
  <c r="AU605" i="84"/>
  <c r="BB605" i="84"/>
  <c r="AO605" i="84"/>
  <c r="AL105" i="84"/>
  <c r="AU105" i="84"/>
  <c r="AR105" i="84"/>
  <c r="AX105" i="84"/>
  <c r="AO105" i="84"/>
  <c r="BB105" i="84"/>
  <c r="AR966" i="84"/>
  <c r="AL966" i="84"/>
  <c r="AU966" i="84"/>
  <c r="AX966" i="84"/>
  <c r="AO966" i="84"/>
  <c r="BB966" i="84"/>
  <c r="AU724" i="84"/>
  <c r="AL724" i="84"/>
  <c r="AX724" i="84"/>
  <c r="AR724" i="84"/>
  <c r="BB724" i="84"/>
  <c r="AO724" i="84"/>
  <c r="AK523" i="84"/>
  <c r="BI523" i="84"/>
  <c r="AR452" i="84"/>
  <c r="AU452" i="84"/>
  <c r="AX452" i="84"/>
  <c r="AL452" i="84"/>
  <c r="BB452" i="84"/>
  <c r="AO452" i="84"/>
  <c r="AU807" i="84"/>
  <c r="AR807" i="84"/>
  <c r="AL807" i="84"/>
  <c r="AX807" i="84"/>
  <c r="BB807" i="84"/>
  <c r="AO807" i="84"/>
  <c r="AX951" i="84"/>
  <c r="AR951" i="84"/>
  <c r="AL951" i="84"/>
  <c r="AU951" i="84"/>
  <c r="AO951" i="84"/>
  <c r="BB951" i="84"/>
  <c r="AX405" i="84"/>
  <c r="AL405" i="84"/>
  <c r="AU405" i="84"/>
  <c r="AR405" i="84"/>
  <c r="AO405" i="84"/>
  <c r="BB405" i="84"/>
  <c r="AX596" i="84"/>
  <c r="AL596" i="84"/>
  <c r="AU596" i="84"/>
  <c r="AR596" i="84"/>
  <c r="BB596" i="84"/>
  <c r="AO596" i="84"/>
  <c r="AL556" i="84"/>
  <c r="AR556" i="84"/>
  <c r="AX556" i="84"/>
  <c r="AU556" i="84"/>
  <c r="BB556" i="84"/>
  <c r="AO556" i="84"/>
  <c r="AR557" i="84"/>
  <c r="AU557" i="84"/>
  <c r="AL557" i="84"/>
  <c r="AX557" i="84"/>
  <c r="AO557" i="84"/>
  <c r="BB557" i="84"/>
  <c r="AU587" i="84"/>
  <c r="AR587" i="84"/>
  <c r="AL587" i="84"/>
  <c r="AX587" i="84"/>
  <c r="BB587" i="84"/>
  <c r="AO587" i="84"/>
  <c r="AK210" i="84"/>
  <c r="BI210" i="84"/>
  <c r="AR785" i="84"/>
  <c r="AL785" i="84"/>
  <c r="AU785" i="84"/>
  <c r="AX785" i="84"/>
  <c r="BB785" i="84"/>
  <c r="AO785" i="84"/>
  <c r="AR636" i="84"/>
  <c r="AU636" i="84"/>
  <c r="AL636" i="84"/>
  <c r="AX636" i="84"/>
  <c r="AO636" i="84"/>
  <c r="BB636" i="84"/>
  <c r="AK247" i="84"/>
  <c r="BI247" i="84"/>
  <c r="BI316" i="84"/>
  <c r="AK316" i="84"/>
  <c r="AK171" i="84"/>
  <c r="BI171" i="84"/>
  <c r="AL569" i="84"/>
  <c r="AR569" i="84"/>
  <c r="AU569" i="84"/>
  <c r="AX569" i="84"/>
  <c r="BB569" i="84"/>
  <c r="AO569" i="84"/>
  <c r="AR592" i="84"/>
  <c r="AU592" i="84"/>
  <c r="AL592" i="84"/>
  <c r="AX592" i="84"/>
  <c r="BB592" i="84"/>
  <c r="AO592" i="84"/>
  <c r="AU102" i="84"/>
  <c r="AX102" i="84"/>
  <c r="AL102" i="84"/>
  <c r="AR102" i="84"/>
  <c r="BB102" i="84"/>
  <c r="AO102" i="84"/>
  <c r="AR744" i="84"/>
  <c r="AU744" i="84"/>
  <c r="AL744" i="84"/>
  <c r="AX744" i="84"/>
  <c r="AO744" i="84"/>
  <c r="BB744" i="84"/>
  <c r="AR680" i="84"/>
  <c r="AX680" i="84"/>
  <c r="AL680" i="84"/>
  <c r="AU680" i="84"/>
  <c r="AO680" i="84"/>
  <c r="BB680" i="84"/>
  <c r="AR542" i="84"/>
  <c r="AU542" i="84"/>
  <c r="AL542" i="84"/>
  <c r="AX542" i="84"/>
  <c r="BB542" i="84"/>
  <c r="AO542" i="84"/>
  <c r="AX226" i="84"/>
  <c r="AL226" i="84"/>
  <c r="AU226" i="84"/>
  <c r="AR226" i="84"/>
  <c r="BB226" i="84"/>
  <c r="AO226" i="84"/>
  <c r="AR825" i="84"/>
  <c r="AX825" i="84"/>
  <c r="AL825" i="84"/>
  <c r="AU825" i="84"/>
  <c r="AO825" i="84"/>
  <c r="BB825" i="84"/>
  <c r="AX216" i="84"/>
  <c r="AR216" i="84"/>
  <c r="AU216" i="84"/>
  <c r="AL216" i="84"/>
  <c r="AO216" i="84"/>
  <c r="BB216" i="84"/>
  <c r="AL33" i="84"/>
  <c r="AR33" i="84"/>
  <c r="AX33" i="84"/>
  <c r="AU33" i="84"/>
  <c r="AO33" i="84"/>
  <c r="BB33" i="84"/>
  <c r="AR399" i="84"/>
  <c r="AU399" i="84"/>
  <c r="AL399" i="84"/>
  <c r="AX399" i="84"/>
  <c r="BB399" i="84"/>
  <c r="AO399" i="84"/>
  <c r="AK338" i="84"/>
  <c r="BI338" i="84"/>
  <c r="AK346" i="84"/>
  <c r="BI346" i="84"/>
  <c r="AR593" i="84"/>
  <c r="AX593" i="84"/>
  <c r="AL593" i="84"/>
  <c r="AU593" i="84"/>
  <c r="BB593" i="84"/>
  <c r="AO593" i="84"/>
  <c r="AL559" i="84"/>
  <c r="AU559" i="84"/>
  <c r="AX559" i="84"/>
  <c r="AR559" i="84"/>
  <c r="BB559" i="84"/>
  <c r="AO559" i="84"/>
  <c r="AU99" i="84"/>
  <c r="AL99" i="84"/>
  <c r="AR99" i="84"/>
  <c r="AX99" i="84"/>
  <c r="AO99" i="84"/>
  <c r="BB99" i="84"/>
  <c r="AL719" i="84"/>
  <c r="AR719" i="84"/>
  <c r="AU719" i="84"/>
  <c r="AX719" i="84"/>
  <c r="AO719" i="84"/>
  <c r="BB719" i="84"/>
  <c r="AL690" i="84"/>
  <c r="AX690" i="84"/>
  <c r="AR690" i="84"/>
  <c r="AU690" i="84"/>
  <c r="BB690" i="84"/>
  <c r="AO690" i="84"/>
  <c r="BI60" i="84"/>
  <c r="AK60" i="84"/>
  <c r="AL720" i="84"/>
  <c r="AU720" i="84"/>
  <c r="AR720" i="84"/>
  <c r="AX720" i="84"/>
  <c r="BB720" i="84"/>
  <c r="AO720" i="84"/>
  <c r="AR420" i="84"/>
  <c r="AL420" i="84"/>
  <c r="AX420" i="84"/>
  <c r="AU420" i="84"/>
  <c r="AO420" i="84"/>
  <c r="BB420" i="84"/>
  <c r="AX672" i="84"/>
  <c r="AR672" i="84"/>
  <c r="AL672" i="84"/>
  <c r="AU672" i="84"/>
  <c r="BB672" i="84"/>
  <c r="AO672" i="84"/>
  <c r="AU373" i="84"/>
  <c r="AL373" i="84"/>
  <c r="AR373" i="84"/>
  <c r="AX373" i="84"/>
  <c r="AO373" i="84"/>
  <c r="BB373" i="84"/>
  <c r="AK44" i="84"/>
  <c r="BI44" i="84"/>
  <c r="BI413" i="84"/>
  <c r="AK413" i="84"/>
  <c r="AK446" i="84"/>
  <c r="BI446" i="84"/>
  <c r="AK252" i="84"/>
  <c r="BI252" i="84"/>
  <c r="AL162" i="84"/>
  <c r="AX162" i="84"/>
  <c r="AR162" i="84"/>
  <c r="AU162" i="84"/>
  <c r="BB162" i="84"/>
  <c r="AO162" i="84"/>
  <c r="AX793" i="84"/>
  <c r="AR793" i="84"/>
  <c r="AL793" i="84"/>
  <c r="AU793" i="84"/>
  <c r="BB793" i="84"/>
  <c r="AO793" i="84"/>
  <c r="AU762" i="84"/>
  <c r="AL762" i="84"/>
  <c r="AR762" i="84"/>
  <c r="AX762" i="84"/>
  <c r="AO762" i="84"/>
  <c r="BB762" i="84"/>
  <c r="AU101" i="84"/>
  <c r="AL101" i="84"/>
  <c r="AX101" i="84"/>
  <c r="AR101" i="84"/>
  <c r="BB101" i="84"/>
  <c r="AO101" i="84"/>
  <c r="AX317" i="84"/>
  <c r="AL317" i="84"/>
  <c r="AR317" i="84"/>
  <c r="AU317" i="84"/>
  <c r="BB317" i="84"/>
  <c r="AO317" i="84"/>
  <c r="AU841" i="84"/>
  <c r="AR841" i="84"/>
  <c r="AX841" i="84"/>
  <c r="AL841" i="84"/>
  <c r="AO841" i="84"/>
  <c r="BB841" i="84"/>
  <c r="BI135" i="84"/>
  <c r="AK135" i="84"/>
  <c r="AU816" i="84"/>
  <c r="AX816" i="84"/>
  <c r="AL816" i="84"/>
  <c r="AR816" i="84"/>
  <c r="BB816" i="84"/>
  <c r="AO816" i="84"/>
  <c r="BI245" i="84"/>
  <c r="AK245" i="84"/>
  <c r="BI535" i="84"/>
  <c r="AK535" i="84"/>
  <c r="AK395" i="84"/>
  <c r="BI395" i="84"/>
  <c r="AK394" i="84"/>
  <c r="BI394" i="84"/>
  <c r="AL770" i="84"/>
  <c r="AR770" i="84"/>
  <c r="AU770" i="84"/>
  <c r="AX770" i="84"/>
  <c r="AO770" i="84"/>
  <c r="BB770" i="84"/>
  <c r="BI130" i="84"/>
  <c r="AK130" i="84"/>
  <c r="AR423" i="84"/>
  <c r="AL423" i="84"/>
  <c r="AX423" i="84"/>
  <c r="AU423" i="84"/>
  <c r="AO423" i="84"/>
  <c r="BB423" i="84"/>
  <c r="AL668" i="84"/>
  <c r="AX668" i="84"/>
  <c r="AR668" i="84"/>
  <c r="AU668" i="84"/>
  <c r="BB668" i="84"/>
  <c r="AO668" i="84"/>
  <c r="AR180" i="84"/>
  <c r="AX180" i="84"/>
  <c r="AU180" i="84"/>
  <c r="AL180" i="84"/>
  <c r="AO180" i="84"/>
  <c r="BB180" i="84"/>
  <c r="AX797" i="84"/>
  <c r="AU797" i="84"/>
  <c r="AL797" i="84"/>
  <c r="AR797" i="84"/>
  <c r="BB797" i="84"/>
  <c r="AO797" i="84"/>
  <c r="AL686" i="84"/>
  <c r="AR686" i="84"/>
  <c r="AX686" i="84"/>
  <c r="AU686" i="84"/>
  <c r="AO686" i="84"/>
  <c r="BB686" i="84"/>
  <c r="AX241" i="84"/>
  <c r="AR241" i="84"/>
  <c r="AL241" i="84"/>
  <c r="AU241" i="84"/>
  <c r="AO241" i="84"/>
  <c r="BB241" i="84"/>
  <c r="AR391" i="84"/>
  <c r="AX391" i="84"/>
  <c r="AL391" i="84"/>
  <c r="AU391" i="84"/>
  <c r="BB391" i="84"/>
  <c r="AO391" i="84"/>
  <c r="BB93" i="84"/>
  <c r="AL93" i="84"/>
  <c r="AR93" i="84"/>
  <c r="AU93" i="84"/>
  <c r="AX93" i="84"/>
  <c r="AO93" i="84"/>
  <c r="AL879" i="84"/>
  <c r="AU879" i="84"/>
  <c r="AX879" i="84"/>
  <c r="AR879" i="84"/>
  <c r="BB879" i="84"/>
  <c r="AO879" i="84"/>
  <c r="AX756" i="84"/>
  <c r="AU756" i="84"/>
  <c r="AL756" i="84"/>
  <c r="AR756" i="84"/>
  <c r="BB756" i="84"/>
  <c r="AO756" i="84"/>
  <c r="AR582" i="84"/>
  <c r="AX582" i="84"/>
  <c r="AU582" i="84"/>
  <c r="AL582" i="84"/>
  <c r="AO582" i="84"/>
  <c r="BB582" i="84"/>
  <c r="AK334" i="84"/>
  <c r="BI334" i="84"/>
  <c r="AK412" i="84"/>
  <c r="BI412" i="84"/>
  <c r="BI381" i="84"/>
  <c r="AK381" i="84"/>
  <c r="AX727" i="84"/>
  <c r="AL727" i="84"/>
  <c r="AU727" i="84"/>
  <c r="AR727" i="84"/>
  <c r="BB727" i="84"/>
  <c r="AO727" i="84"/>
  <c r="AK165" i="84"/>
  <c r="BI165" i="84"/>
  <c r="BI11" i="84"/>
  <c r="AK11" i="84"/>
  <c r="AL906" i="84"/>
  <c r="AX906" i="84"/>
  <c r="AU906" i="84"/>
  <c r="AR906" i="84"/>
  <c r="AO906" i="84"/>
  <c r="BB906" i="84"/>
  <c r="BI361" i="84"/>
  <c r="AK361" i="84"/>
  <c r="BI329" i="84"/>
  <c r="AK329" i="84"/>
  <c r="AL839" i="84"/>
  <c r="AU839" i="84"/>
  <c r="AR839" i="84"/>
  <c r="AX839" i="84"/>
  <c r="AO839" i="84"/>
  <c r="BB839" i="84"/>
  <c r="AK265" i="84"/>
  <c r="BI265" i="84"/>
  <c r="AR806" i="84"/>
  <c r="AL806" i="84"/>
  <c r="AX806" i="84"/>
  <c r="AU806" i="84"/>
  <c r="BB806" i="84"/>
  <c r="AO806" i="84"/>
  <c r="AU203" i="84"/>
  <c r="AL203" i="84"/>
  <c r="AR203" i="84"/>
  <c r="AX203" i="84"/>
  <c r="AO203" i="84"/>
  <c r="BB203" i="84"/>
  <c r="AX438" i="84"/>
  <c r="AU438" i="84"/>
  <c r="AL438" i="84"/>
  <c r="AR438" i="84"/>
  <c r="AO438" i="84"/>
  <c r="BB438" i="84"/>
  <c r="AL249" i="84"/>
  <c r="AR249" i="84"/>
  <c r="AX249" i="84"/>
  <c r="AR854" i="84"/>
  <c r="AU854" i="84"/>
  <c r="AL854" i="84"/>
  <c r="AX854" i="84"/>
  <c r="AO854" i="84"/>
  <c r="BB854" i="84"/>
  <c r="AR541" i="84"/>
  <c r="AL541" i="84"/>
  <c r="AX541" i="84"/>
  <c r="AU541" i="84"/>
  <c r="BB541" i="84"/>
  <c r="AO541" i="84"/>
  <c r="AU336" i="84"/>
  <c r="AR336" i="84"/>
  <c r="AL336" i="84"/>
  <c r="AX336" i="84"/>
  <c r="BB336" i="84"/>
  <c r="AO336" i="84"/>
  <c r="AU514" i="84"/>
  <c r="AR514" i="84"/>
  <c r="AX514" i="84"/>
  <c r="AL514" i="84"/>
  <c r="BB514" i="84"/>
  <c r="AO514" i="84"/>
  <c r="F49" i="87" a="1"/>
  <c r="E49" i="87" a="1"/>
  <c r="R49" i="87" a="1"/>
  <c r="I49" i="87" a="1"/>
  <c r="J49" i="87" a="1"/>
  <c r="G49" i="87" a="1"/>
  <c r="H49" i="87" a="1"/>
  <c r="O49" i="87" a="1"/>
  <c r="N49" i="87" a="1"/>
  <c r="Q49" i="87" a="1"/>
  <c r="K49" i="87" a="1"/>
  <c r="P49" i="87" a="1"/>
  <c r="L49" i="87" a="1"/>
  <c r="AL517" i="84" l="1"/>
  <c r="AO73" i="84"/>
  <c r="AO193" i="84"/>
  <c r="AO594" i="84"/>
  <c r="AR433" i="84"/>
  <c r="AU430" i="84"/>
  <c r="AR137" i="84"/>
  <c r="AR123" i="84"/>
  <c r="AO562" i="84"/>
  <c r="BB73" i="84"/>
  <c r="BB594" i="84"/>
  <c r="AU433" i="84"/>
  <c r="AL193" i="84"/>
  <c r="AX430" i="84"/>
  <c r="AU517" i="84"/>
  <c r="BB211" i="84"/>
  <c r="AU137" i="84"/>
  <c r="AU123" i="84"/>
  <c r="AX562" i="84"/>
  <c r="AR73" i="84"/>
  <c r="AR594" i="84"/>
  <c r="AX433" i="84"/>
  <c r="AR193" i="84"/>
  <c r="BB388" i="84"/>
  <c r="AR430" i="84"/>
  <c r="AX517" i="84"/>
  <c r="AO211" i="84"/>
  <c r="AX123" i="84"/>
  <c r="AL562" i="84"/>
  <c r="AU73" i="84"/>
  <c r="AX594" i="84"/>
  <c r="AX193" i="84"/>
  <c r="AO388" i="84"/>
  <c r="AL430" i="84"/>
  <c r="AR517" i="84"/>
  <c r="AR211" i="84"/>
  <c r="AL123" i="84"/>
  <c r="AU562" i="84"/>
  <c r="AX73" i="84"/>
  <c r="AU594" i="84"/>
  <c r="AU193" i="84"/>
  <c r="AU388" i="84"/>
  <c r="AL211" i="84"/>
  <c r="BB137" i="84"/>
  <c r="AO433" i="84"/>
  <c r="AL388" i="84"/>
  <c r="AU211" i="84"/>
  <c r="AO137" i="84"/>
  <c r="BB433" i="84"/>
  <c r="AX388" i="84"/>
  <c r="AO430" i="84"/>
  <c r="BB517" i="84"/>
  <c r="AR67" i="84"/>
  <c r="AX67" i="84"/>
  <c r="AU67" i="84"/>
  <c r="AO67" i="84"/>
  <c r="AM30" i="86"/>
  <c r="AL630" i="84"/>
  <c r="AR54" i="84"/>
  <c r="AO153" i="84"/>
  <c r="AX305" i="84"/>
  <c r="AR382" i="84"/>
  <c r="AL617" i="84"/>
  <c r="BB493" i="84"/>
  <c r="AL583" i="84"/>
  <c r="AU225" i="84"/>
  <c r="AL518" i="84"/>
  <c r="AU153" i="84"/>
  <c r="AO223" i="84"/>
  <c r="AU493" i="84"/>
  <c r="AR225" i="84"/>
  <c r="AX153" i="84"/>
  <c r="AL223" i="84"/>
  <c r="AO382" i="84"/>
  <c r="AO164" i="84"/>
  <c r="AX493" i="84"/>
  <c r="BB583" i="84"/>
  <c r="AR153" i="84"/>
  <c r="AU223" i="84"/>
  <c r="AO305" i="84"/>
  <c r="BB382" i="84"/>
  <c r="BB617" i="84"/>
  <c r="AR493" i="84"/>
  <c r="AO583" i="84"/>
  <c r="AX223" i="84"/>
  <c r="BB305" i="84"/>
  <c r="AU382" i="84"/>
  <c r="AO617" i="84"/>
  <c r="AX583" i="84"/>
  <c r="AO225" i="84"/>
  <c r="AU305" i="84"/>
  <c r="AX382" i="84"/>
  <c r="AX617" i="84"/>
  <c r="AR583" i="84"/>
  <c r="BB225" i="84"/>
  <c r="AU518" i="84"/>
  <c r="AO12" i="84"/>
  <c r="AW18" i="86"/>
  <c r="G34" i="86"/>
  <c r="BB18" i="86"/>
  <c r="AX18" i="86"/>
  <c r="D34" i="86"/>
  <c r="D14" i="86"/>
  <c r="G14" i="86"/>
  <c r="AY18" i="86"/>
  <c r="L14" i="86"/>
  <c r="S14" i="86"/>
  <c r="P14" i="86"/>
  <c r="O14" i="86"/>
  <c r="P34" i="86"/>
  <c r="AO518" i="84"/>
  <c r="AL221" i="84"/>
  <c r="BB518" i="84"/>
  <c r="AX518" i="84"/>
  <c r="BB221" i="84"/>
  <c r="AU221" i="84"/>
  <c r="AX200" i="84"/>
  <c r="AU200" i="84"/>
  <c r="BB90" i="84"/>
  <c r="AO90" i="84"/>
  <c r="AU90" i="84"/>
  <c r="AO509" i="84"/>
  <c r="AR424" i="84"/>
  <c r="BB200" i="84"/>
  <c r="AR90" i="84"/>
  <c r="AO200" i="84"/>
  <c r="AX90" i="84"/>
  <c r="BB630" i="84"/>
  <c r="AU54" i="84"/>
  <c r="AU630" i="84"/>
  <c r="AO419" i="84"/>
  <c r="BB196" i="84"/>
  <c r="AX221" i="84"/>
  <c r="AR630" i="84"/>
  <c r="BB419" i="84"/>
  <c r="AO196" i="84"/>
  <c r="AX630" i="84"/>
  <c r="AO54" i="84"/>
  <c r="AU419" i="84"/>
  <c r="AL196" i="84"/>
  <c r="BB54" i="84"/>
  <c r="BB371" i="84"/>
  <c r="AR419" i="84"/>
  <c r="AU196" i="84"/>
  <c r="AL54" i="84"/>
  <c r="AL419" i="84"/>
  <c r="AR196" i="84"/>
  <c r="AO221" i="84"/>
  <c r="AU249" i="84"/>
  <c r="BB359" i="84"/>
  <c r="AX172" i="84"/>
  <c r="AX89" i="84"/>
  <c r="AO622" i="84"/>
  <c r="BA14" i="86"/>
  <c r="AM24" i="86"/>
  <c r="AY10" i="86"/>
  <c r="AX281" i="84"/>
  <c r="AR280" i="84"/>
  <c r="AX422" i="84"/>
  <c r="AL500" i="84"/>
  <c r="AO344" i="84"/>
  <c r="AU89" i="84"/>
  <c r="AX622" i="84"/>
  <c r="AR281" i="84"/>
  <c r="AU280" i="84"/>
  <c r="BB422" i="84"/>
  <c r="AR500" i="84"/>
  <c r="AO288" i="84"/>
  <c r="AX344" i="84"/>
  <c r="BB121" i="84"/>
  <c r="AR277" i="84"/>
  <c r="AR89" i="84"/>
  <c r="AU622" i="84"/>
  <c r="BA10" i="86"/>
  <c r="AP10" i="86"/>
  <c r="AL280" i="84"/>
  <c r="BB189" i="84"/>
  <c r="AO378" i="84"/>
  <c r="BB288" i="84"/>
  <c r="AU344" i="84"/>
  <c r="AO121" i="84"/>
  <c r="AX359" i="84"/>
  <c r="AO172" i="84"/>
  <c r="AL622" i="84"/>
  <c r="AU10" i="86"/>
  <c r="AN10" i="86"/>
  <c r="AW10" i="86"/>
  <c r="BB280" i="84"/>
  <c r="AO189" i="84"/>
  <c r="BB378" i="84"/>
  <c r="AX288" i="84"/>
  <c r="AR344" i="84"/>
  <c r="AU121" i="84"/>
  <c r="AO249" i="84"/>
  <c r="BB172" i="84"/>
  <c r="AN42" i="86"/>
  <c r="Q24" i="86"/>
  <c r="BB281" i="84"/>
  <c r="AO422" i="84"/>
  <c r="M22" i="87"/>
  <c r="AO500" i="84"/>
  <c r="AU189" i="84"/>
  <c r="AX378" i="84"/>
  <c r="AL288" i="84"/>
  <c r="AX121" i="84"/>
  <c r="AO281" i="84"/>
  <c r="AU422" i="84"/>
  <c r="BB500" i="84"/>
  <c r="AR189" i="84"/>
  <c r="AL378" i="84"/>
  <c r="AR288" i="84"/>
  <c r="AR121" i="84"/>
  <c r="AU568" i="84"/>
  <c r="AX568" i="84"/>
  <c r="AL277" i="84"/>
  <c r="AO194" i="84"/>
  <c r="AO148" i="84"/>
  <c r="AL568" i="84"/>
  <c r="AX277" i="84"/>
  <c r="BB194" i="84"/>
  <c r="BB148" i="84"/>
  <c r="AR568" i="84"/>
  <c r="AU277" i="84"/>
  <c r="AU194" i="84"/>
  <c r="AU148" i="84"/>
  <c r="AR194" i="84"/>
  <c r="AX148" i="84"/>
  <c r="AL194" i="84"/>
  <c r="AR148" i="84"/>
  <c r="AO568" i="84"/>
  <c r="BB277" i="84"/>
  <c r="BB537" i="84"/>
  <c r="AO537" i="84"/>
  <c r="AU537" i="84"/>
  <c r="AU504" i="84"/>
  <c r="AR537" i="84"/>
  <c r="AL537" i="84"/>
  <c r="AL424" i="84"/>
  <c r="AX504" i="84"/>
  <c r="AU424" i="84"/>
  <c r="AL504" i="84"/>
  <c r="AU345" i="84"/>
  <c r="AO424" i="84"/>
  <c r="AO504" i="84"/>
  <c r="BB424" i="84"/>
  <c r="BB504" i="84"/>
  <c r="AL538" i="84"/>
  <c r="S34" i="86"/>
  <c r="AU538" i="84"/>
  <c r="AX30" i="86"/>
  <c r="Q8" i="86"/>
  <c r="AU30" i="86"/>
  <c r="G8" i="86"/>
  <c r="AZ30" i="86"/>
  <c r="AX538" i="84"/>
  <c r="BB555" i="84"/>
  <c r="AO555" i="84"/>
  <c r="BA24" i="86"/>
  <c r="AP30" i="86"/>
  <c r="T9" i="87"/>
  <c r="AU555" i="84"/>
  <c r="AN24" i="86"/>
  <c r="AX24" i="86"/>
  <c r="M28" i="87"/>
  <c r="AO538" i="84"/>
  <c r="AX555" i="84"/>
  <c r="D8" i="86"/>
  <c r="AU24" i="86"/>
  <c r="BB30" i="86"/>
  <c r="BB538" i="84"/>
  <c r="AL555" i="84"/>
  <c r="BB48" i="86"/>
  <c r="P8" i="86"/>
  <c r="AZ32" i="86"/>
  <c r="AX32" i="86"/>
  <c r="T29" i="87"/>
  <c r="M35" i="87"/>
  <c r="AO510" i="84"/>
  <c r="BB434" i="84"/>
  <c r="AO371" i="84"/>
  <c r="BB510" i="84"/>
  <c r="AX434" i="84"/>
  <c r="AL371" i="84"/>
  <c r="AR510" i="84"/>
  <c r="AL434" i="84"/>
  <c r="AU371" i="84"/>
  <c r="AL510" i="84"/>
  <c r="AR434" i="84"/>
  <c r="AR371" i="84"/>
  <c r="AU510" i="84"/>
  <c r="AU434" i="84"/>
  <c r="AL31" i="84"/>
  <c r="M25" i="87"/>
  <c r="T35" i="87"/>
  <c r="M13" i="87"/>
  <c r="AO14" i="84"/>
  <c r="T12" i="87"/>
  <c r="AO177" i="84"/>
  <c r="BB14" i="84"/>
  <c r="M40" i="87"/>
  <c r="AU125" i="84"/>
  <c r="AL14" i="84"/>
  <c r="AX14" i="84"/>
  <c r="AU14" i="84"/>
  <c r="AU18" i="86"/>
  <c r="L34" i="86"/>
  <c r="M27" i="87"/>
  <c r="R44" i="86"/>
  <c r="O44" i="86"/>
  <c r="D44" i="86"/>
  <c r="L44" i="86"/>
  <c r="BA28" i="86"/>
  <c r="BB32" i="86"/>
  <c r="AW32" i="86"/>
  <c r="AZ28" i="86"/>
  <c r="R8" i="86"/>
  <c r="S8" i="86"/>
  <c r="AU32" i="86"/>
  <c r="AZ48" i="86"/>
  <c r="AY48" i="86"/>
  <c r="AM8" i="86"/>
  <c r="N8" i="86"/>
  <c r="AW12" i="86"/>
  <c r="AU12" i="86"/>
  <c r="AN30" i="86"/>
  <c r="AW30" i="86"/>
  <c r="T38" i="87"/>
  <c r="AY24" i="86"/>
  <c r="AY30" i="86"/>
  <c r="AP32" i="86"/>
  <c r="BA32" i="86"/>
  <c r="AZ40" i="86"/>
  <c r="AU48" i="86"/>
  <c r="AX34" i="86"/>
  <c r="BB14" i="86"/>
  <c r="AZ10" i="86"/>
  <c r="BA34" i="86"/>
  <c r="AP42" i="86"/>
  <c r="AY42" i="86"/>
  <c r="BB10" i="86"/>
  <c r="AP34" i="86"/>
  <c r="AZ36" i="86"/>
  <c r="AU14" i="86"/>
  <c r="BA36" i="86"/>
  <c r="G24" i="86"/>
  <c r="AW14" i="86"/>
  <c r="AW34" i="86"/>
  <c r="L24" i="86"/>
  <c r="AX42" i="86"/>
  <c r="D24" i="86"/>
  <c r="P36" i="86"/>
  <c r="AU491" i="84"/>
  <c r="BB125" i="84"/>
  <c r="G36" i="86"/>
  <c r="G28" i="86"/>
  <c r="M42" i="87"/>
  <c r="AX177" i="84"/>
  <c r="AL125" i="84"/>
  <c r="AU26" i="86"/>
  <c r="N28" i="86"/>
  <c r="BA26" i="86"/>
  <c r="BB491" i="84"/>
  <c r="AU177" i="84"/>
  <c r="AX125" i="84"/>
  <c r="AO491" i="84"/>
  <c r="AR177" i="84"/>
  <c r="AR125" i="84"/>
  <c r="AP26" i="86"/>
  <c r="AX26" i="86"/>
  <c r="AY26" i="86"/>
  <c r="AX491" i="84"/>
  <c r="AL177" i="84"/>
  <c r="R28" i="86"/>
  <c r="AW26" i="86"/>
  <c r="AL491" i="84"/>
  <c r="T27" i="87"/>
  <c r="M32" i="87"/>
  <c r="AM36" i="86"/>
  <c r="D28" i="86"/>
  <c r="M10" i="87"/>
  <c r="M15" i="87"/>
  <c r="D16" i="86"/>
  <c r="AP46" i="86"/>
  <c r="R16" i="86"/>
  <c r="T21" i="87"/>
  <c r="T42" i="87"/>
  <c r="O38" i="86"/>
  <c r="O26" i="86"/>
  <c r="Q38" i="86"/>
  <c r="AU46" i="86"/>
  <c r="AN46" i="86"/>
  <c r="T13" i="87"/>
  <c r="N38" i="86"/>
  <c r="AM16" i="86"/>
  <c r="AW6" i="86"/>
  <c r="G16" i="86"/>
  <c r="P16" i="86"/>
  <c r="Q16" i="86"/>
  <c r="L16" i="86"/>
  <c r="BB6" i="86"/>
  <c r="AZ46" i="86"/>
  <c r="AX6" i="86"/>
  <c r="AZ6" i="86"/>
  <c r="M9" i="87"/>
  <c r="S24" i="86"/>
  <c r="N46" i="86"/>
  <c r="P20" i="86"/>
  <c r="D36" i="86"/>
  <c r="Q28" i="86"/>
  <c r="BA6" i="86"/>
  <c r="BB34" i="86"/>
  <c r="AY32" i="86"/>
  <c r="BB345" i="84"/>
  <c r="AL345" i="84"/>
  <c r="AX345" i="84"/>
  <c r="AR345" i="84"/>
  <c r="AX566" i="84"/>
  <c r="AW24" i="86"/>
  <c r="AU38" i="86"/>
  <c r="Q26" i="86"/>
  <c r="D38" i="86"/>
  <c r="L4" i="86"/>
  <c r="N26" i="86"/>
  <c r="T17" i="87"/>
  <c r="L38" i="86"/>
  <c r="AL566" i="84"/>
  <c r="AY40" i="86"/>
  <c r="AW38" i="86"/>
  <c r="AN38" i="86"/>
  <c r="AX12" i="86"/>
  <c r="M23" i="87"/>
  <c r="BB566" i="84"/>
  <c r="AU566" i="84"/>
  <c r="AR566" i="84"/>
  <c r="AP18" i="86"/>
  <c r="Q14" i="86"/>
  <c r="AY28" i="86"/>
  <c r="AN40" i="86"/>
  <c r="AU40" i="86"/>
  <c r="BF51" i="86"/>
  <c r="N32" i="86"/>
  <c r="W52" i="86"/>
  <c r="AU31" i="84"/>
  <c r="L48" i="86"/>
  <c r="S32" i="86"/>
  <c r="D50" i="86"/>
  <c r="S50" i="86"/>
  <c r="R32" i="86"/>
  <c r="BC52" i="86"/>
  <c r="BC54" i="86" s="1"/>
  <c r="CF53" i="86"/>
  <c r="AR31" i="84"/>
  <c r="P50" i="86"/>
  <c r="T15" i="87"/>
  <c r="AM50" i="86"/>
  <c r="AM32" i="86"/>
  <c r="S48" i="86"/>
  <c r="Q32" i="86"/>
  <c r="N50" i="86"/>
  <c r="P32" i="86"/>
  <c r="T18" i="87"/>
  <c r="G32" i="86"/>
  <c r="L32" i="86"/>
  <c r="O50" i="86"/>
  <c r="M37" i="87"/>
  <c r="AO31" i="84"/>
  <c r="O32" i="86"/>
  <c r="T26" i="87"/>
  <c r="BB31" i="84"/>
  <c r="R50" i="86"/>
  <c r="AL580" i="84"/>
  <c r="AX580" i="84"/>
  <c r="BB580" i="84"/>
  <c r="AR580" i="84"/>
  <c r="AU580" i="84"/>
  <c r="AO580" i="84"/>
  <c r="AU44" i="86"/>
  <c r="AX50" i="86"/>
  <c r="CH53" i="86"/>
  <c r="W51" i="86"/>
  <c r="BE51" i="86"/>
  <c r="CF54" i="86"/>
  <c r="BB164" i="84"/>
  <c r="Q22" i="86"/>
  <c r="N22" i="86"/>
  <c r="AY44" i="86"/>
  <c r="P26" i="86"/>
  <c r="L40" i="86"/>
  <c r="BA44" i="86"/>
  <c r="AN22" i="86"/>
  <c r="O4" i="86"/>
  <c r="R38" i="86"/>
  <c r="AU16" i="86"/>
  <c r="AM4" i="86"/>
  <c r="O20" i="86"/>
  <c r="AW8" i="86"/>
  <c r="D20" i="86"/>
  <c r="BA12" i="86"/>
  <c r="AZ44" i="86"/>
  <c r="AM38" i="86"/>
  <c r="N20" i="86"/>
  <c r="P48" i="86"/>
  <c r="L28" i="86"/>
  <c r="P30" i="86"/>
  <c r="P18" i="86"/>
  <c r="S44" i="86"/>
  <c r="AU50" i="86"/>
  <c r="L46" i="86"/>
  <c r="BB36" i="86"/>
  <c r="BA16" i="86"/>
  <c r="AP44" i="86"/>
  <c r="AN26" i="86"/>
  <c r="N30" i="86"/>
  <c r="AN44" i="86"/>
  <c r="G48" i="86"/>
  <c r="AU164" i="84"/>
  <c r="AW44" i="86"/>
  <c r="AW50" i="86"/>
  <c r="BA46" i="86"/>
  <c r="N16" i="86"/>
  <c r="AX164" i="84"/>
  <c r="AY50" i="86"/>
  <c r="BB46" i="86"/>
  <c r="T24" i="87"/>
  <c r="M41" i="87"/>
  <c r="M4" i="87"/>
  <c r="T32" i="87"/>
  <c r="AL164" i="84"/>
  <c r="AL576" i="84"/>
  <c r="BB576" i="84"/>
  <c r="AR576" i="84"/>
  <c r="AU576" i="84"/>
  <c r="AX576" i="84"/>
  <c r="AO576" i="84"/>
  <c r="G22" i="86"/>
  <c r="N4" i="86"/>
  <c r="R40" i="86"/>
  <c r="O42" i="86"/>
  <c r="S4" i="86"/>
  <c r="G38" i="86"/>
  <c r="AP6" i="86"/>
  <c r="AN32" i="86"/>
  <c r="AN8" i="86"/>
  <c r="S42" i="86"/>
  <c r="AZ50" i="86"/>
  <c r="BB50" i="86"/>
  <c r="CE53" i="86"/>
  <c r="AV52" i="86"/>
  <c r="AV54" i="86" s="1"/>
  <c r="AY16" i="86"/>
  <c r="L42" i="86"/>
  <c r="AM42" i="86"/>
  <c r="G20" i="86"/>
  <c r="BA48" i="86"/>
  <c r="AX14" i="86"/>
  <c r="AU6" i="86"/>
  <c r="BC51" i="86"/>
  <c r="BC53" i="86" s="1"/>
  <c r="L49" i="87"/>
  <c r="L50" i="87" s="1"/>
  <c r="P49" i="87"/>
  <c r="P50" i="87" s="1"/>
  <c r="K49" i="87"/>
  <c r="Q49" i="87"/>
  <c r="Q50" i="87" s="1"/>
  <c r="N49" i="87"/>
  <c r="N50" i="87" s="1"/>
  <c r="O49" i="87"/>
  <c r="O50" i="87" s="1"/>
  <c r="H49" i="87"/>
  <c r="G49" i="87"/>
  <c r="G50" i="87" s="1"/>
  <c r="J49" i="87"/>
  <c r="I49" i="87"/>
  <c r="R49" i="87"/>
  <c r="R50" i="87" s="1"/>
  <c r="E49" i="87"/>
  <c r="E50" i="87" s="1"/>
  <c r="F49" i="87"/>
  <c r="AS38" i="86"/>
  <c r="BF37" i="86"/>
  <c r="AR252" i="84"/>
  <c r="AL252" i="84"/>
  <c r="AU252" i="84"/>
  <c r="AX252" i="84"/>
  <c r="BB252" i="84"/>
  <c r="AO252" i="84"/>
  <c r="AX346" i="84"/>
  <c r="AR346" i="84"/>
  <c r="AL346" i="84"/>
  <c r="AU346" i="84"/>
  <c r="BB346" i="84"/>
  <c r="AO346" i="84"/>
  <c r="AX402" i="84"/>
  <c r="AL402" i="84"/>
  <c r="AR402" i="84"/>
  <c r="AU402" i="84"/>
  <c r="BB402" i="84"/>
  <c r="AO402" i="84"/>
  <c r="AU266" i="84"/>
  <c r="AL266" i="84"/>
  <c r="AX266" i="84"/>
  <c r="AR266" i="84"/>
  <c r="BB266" i="84"/>
  <c r="AO266" i="84"/>
  <c r="AU411" i="84"/>
  <c r="AX411" i="84"/>
  <c r="AR411" i="84"/>
  <c r="AL411" i="84"/>
  <c r="AO411" i="84"/>
  <c r="BB411" i="84"/>
  <c r="AR360" i="84"/>
  <c r="AU360" i="84"/>
  <c r="AX360" i="84"/>
  <c r="AL360" i="84"/>
  <c r="BB360" i="84"/>
  <c r="AO360" i="84"/>
  <c r="BD15" i="86"/>
  <c r="BG15" i="86"/>
  <c r="AO16" i="86"/>
  <c r="BH15" i="86"/>
  <c r="BH23" i="86"/>
  <c r="BD23" i="86"/>
  <c r="AO24" i="86"/>
  <c r="BG23" i="86"/>
  <c r="AT50" i="86"/>
  <c r="AV49" i="86"/>
  <c r="AV50" i="86" s="1"/>
  <c r="AU131" i="84"/>
  <c r="AR131" i="84"/>
  <c r="AL131" i="84"/>
  <c r="AX131" i="84"/>
  <c r="BB131" i="84"/>
  <c r="AO131" i="84"/>
  <c r="AU75" i="84"/>
  <c r="AL75" i="84"/>
  <c r="AX75" i="84"/>
  <c r="AR75" i="84"/>
  <c r="AO75" i="84"/>
  <c r="BB75" i="84"/>
  <c r="AX13" i="84"/>
  <c r="AL13" i="84"/>
  <c r="AU13" i="84"/>
  <c r="AR13" i="84"/>
  <c r="BB13" i="84"/>
  <c r="AO13" i="84"/>
  <c r="Y5" i="87"/>
  <c r="X5" i="87"/>
  <c r="U5" i="87"/>
  <c r="AU465" i="84"/>
  <c r="AL465" i="84"/>
  <c r="AX465" i="84"/>
  <c r="AR465" i="84"/>
  <c r="BB465" i="84"/>
  <c r="AO465" i="84"/>
  <c r="AX8" i="84"/>
  <c r="AR8" i="84"/>
  <c r="AL8" i="84"/>
  <c r="AU8" i="84"/>
  <c r="BB8" i="84"/>
  <c r="AO8" i="84"/>
  <c r="AL476" i="84"/>
  <c r="AR476" i="84"/>
  <c r="AU476" i="84"/>
  <c r="AX476" i="84"/>
  <c r="BB476" i="84"/>
  <c r="AO476" i="84"/>
  <c r="AL395" i="84"/>
  <c r="AR395" i="84"/>
  <c r="AU395" i="84"/>
  <c r="AX395" i="84"/>
  <c r="BB395" i="84"/>
  <c r="AO395" i="84"/>
  <c r="AO28" i="86"/>
  <c r="BD27" i="86"/>
  <c r="BH27" i="86"/>
  <c r="BG27" i="86"/>
  <c r="I16" i="86"/>
  <c r="T15" i="86"/>
  <c r="T16" i="86" s="1"/>
  <c r="AT34" i="86"/>
  <c r="AV33" i="86"/>
  <c r="AV34" i="86" s="1"/>
  <c r="AR26" i="86"/>
  <c r="BC25" i="86"/>
  <c r="BC26" i="86" s="1"/>
  <c r="AT46" i="86"/>
  <c r="AV45" i="86"/>
  <c r="AV46" i="86" s="1"/>
  <c r="F34" i="86"/>
  <c r="CB33" i="86"/>
  <c r="X33" i="86"/>
  <c r="Y33" i="86"/>
  <c r="U33" i="86"/>
  <c r="AT30" i="86"/>
  <c r="AV29" i="86"/>
  <c r="AV30" i="86" s="1"/>
  <c r="BF39" i="86"/>
  <c r="AS40" i="86"/>
  <c r="AU7" i="84"/>
  <c r="AR7" i="84"/>
  <c r="AL7" i="84"/>
  <c r="AX7" i="84"/>
  <c r="BB7" i="84"/>
  <c r="AO7" i="84"/>
  <c r="BE43" i="86"/>
  <c r="AQ44" i="86"/>
  <c r="BC45" i="86"/>
  <c r="BC46" i="86" s="1"/>
  <c r="AR46" i="86"/>
  <c r="V37" i="86"/>
  <c r="H38" i="86"/>
  <c r="AT24" i="86"/>
  <c r="AV23" i="86"/>
  <c r="AV24" i="86" s="1"/>
  <c r="AL315" i="84"/>
  <c r="AR315" i="84"/>
  <c r="AX315" i="84"/>
  <c r="AU315" i="84"/>
  <c r="AO315" i="84"/>
  <c r="BB315" i="84"/>
  <c r="AL44" i="84"/>
  <c r="AX44" i="84"/>
  <c r="AU44" i="84"/>
  <c r="AR44" i="84"/>
  <c r="BB44" i="84"/>
  <c r="AO44" i="84"/>
  <c r="AR414" i="84"/>
  <c r="AL414" i="84"/>
  <c r="AU414" i="84"/>
  <c r="AX414" i="84"/>
  <c r="AO414" i="84"/>
  <c r="BB414" i="84"/>
  <c r="AR36" i="86"/>
  <c r="BC35" i="86"/>
  <c r="BC36" i="86" s="1"/>
  <c r="AT4" i="86"/>
  <c r="AV3" i="86"/>
  <c r="AV4" i="86" s="1"/>
  <c r="BD35" i="86"/>
  <c r="AO36" i="86"/>
  <c r="BH35" i="86"/>
  <c r="BG35" i="86"/>
  <c r="M45" i="86"/>
  <c r="M46" i="86" s="1"/>
  <c r="K46" i="86"/>
  <c r="W43" i="86"/>
  <c r="J44" i="86"/>
  <c r="AR42" i="86"/>
  <c r="BC41" i="86"/>
  <c r="BC42" i="86" s="1"/>
  <c r="V21" i="86"/>
  <c r="H22" i="86"/>
  <c r="BF5" i="86"/>
  <c r="AS6" i="86"/>
  <c r="M9" i="86"/>
  <c r="M10" i="86" s="1"/>
  <c r="K10" i="86"/>
  <c r="D4" i="86"/>
  <c r="AL265" i="84"/>
  <c r="AX265" i="84"/>
  <c r="AU265" i="84"/>
  <c r="AR265" i="84"/>
  <c r="BB265" i="84"/>
  <c r="AO265" i="84"/>
  <c r="AX334" i="84"/>
  <c r="AL334" i="84"/>
  <c r="AR334" i="84"/>
  <c r="AU334" i="84"/>
  <c r="BB334" i="84"/>
  <c r="AO334" i="84"/>
  <c r="AL535" i="84"/>
  <c r="AR535" i="84"/>
  <c r="AU535" i="84"/>
  <c r="AX535" i="84"/>
  <c r="BB535" i="84"/>
  <c r="AO535" i="84"/>
  <c r="AL60" i="84"/>
  <c r="AR60" i="84"/>
  <c r="AU60" i="84"/>
  <c r="AX60" i="84"/>
  <c r="BB60" i="84"/>
  <c r="AO60" i="84"/>
  <c r="AL316" i="84"/>
  <c r="AU316" i="84"/>
  <c r="AR316" i="84"/>
  <c r="AX316" i="84"/>
  <c r="BB316" i="84"/>
  <c r="AO316" i="84"/>
  <c r="AU333" i="84"/>
  <c r="AL333" i="84"/>
  <c r="AX333" i="84"/>
  <c r="AR333" i="84"/>
  <c r="AO333" i="84"/>
  <c r="BB333" i="84"/>
  <c r="AL329" i="84"/>
  <c r="AU329" i="84"/>
  <c r="AX329" i="84"/>
  <c r="AR329" i="84"/>
  <c r="AO329" i="84"/>
  <c r="BB329" i="84"/>
  <c r="AQ6" i="86"/>
  <c r="BE5" i="86"/>
  <c r="CB27" i="86"/>
  <c r="Y27" i="86"/>
  <c r="X27" i="86"/>
  <c r="U27" i="86"/>
  <c r="F28" i="86"/>
  <c r="V23" i="86"/>
  <c r="H24" i="86"/>
  <c r="AL361" i="84"/>
  <c r="AU361" i="84"/>
  <c r="AR361" i="84"/>
  <c r="AX361" i="84"/>
  <c r="AO361" i="84"/>
  <c r="BB361" i="84"/>
  <c r="AL11" i="84"/>
  <c r="AR11" i="84"/>
  <c r="AU11" i="84"/>
  <c r="AX11" i="84"/>
  <c r="BB11" i="84"/>
  <c r="AO11" i="84"/>
  <c r="AU210" i="84"/>
  <c r="AL210" i="84"/>
  <c r="AX210" i="84"/>
  <c r="AR210" i="84"/>
  <c r="AO210" i="84"/>
  <c r="BB210" i="84"/>
  <c r="AL34" i="84"/>
  <c r="AR34" i="84"/>
  <c r="AU34" i="84"/>
  <c r="AX34" i="84"/>
  <c r="BB34" i="84"/>
  <c r="AO34" i="84"/>
  <c r="T39" i="87"/>
  <c r="Y7" i="87"/>
  <c r="X7" i="87"/>
  <c r="U7" i="87"/>
  <c r="J26" i="86"/>
  <c r="W25" i="86"/>
  <c r="H44" i="86"/>
  <c r="V43" i="86"/>
  <c r="AL111" i="84"/>
  <c r="AR111" i="84"/>
  <c r="AU111" i="84"/>
  <c r="AX111" i="84"/>
  <c r="BB111" i="84"/>
  <c r="AO111" i="84"/>
  <c r="AX127" i="84"/>
  <c r="AR127" i="84"/>
  <c r="AU127" i="84"/>
  <c r="AL127" i="84"/>
  <c r="BB127" i="84"/>
  <c r="AO127" i="84"/>
  <c r="AU353" i="84"/>
  <c r="AR353" i="84"/>
  <c r="AX353" i="84"/>
  <c r="AL353" i="84"/>
  <c r="AO353" i="84"/>
  <c r="BB353" i="84"/>
  <c r="AL171" i="84"/>
  <c r="AX171" i="84"/>
  <c r="AU171" i="84"/>
  <c r="AR171" i="84"/>
  <c r="BB171" i="84"/>
  <c r="AO171" i="84"/>
  <c r="I44" i="86"/>
  <c r="T43" i="86"/>
  <c r="T44" i="86" s="1"/>
  <c r="AX69" i="84"/>
  <c r="AL69" i="84"/>
  <c r="AR69" i="84"/>
  <c r="AU69" i="84"/>
  <c r="BB69" i="84"/>
  <c r="AO69" i="84"/>
  <c r="AR338" i="84"/>
  <c r="AX338" i="84"/>
  <c r="AU338" i="84"/>
  <c r="AL338" i="84"/>
  <c r="AO338" i="84"/>
  <c r="BB338" i="84"/>
  <c r="AL247" i="84"/>
  <c r="AX247" i="84"/>
  <c r="AR247" i="84"/>
  <c r="AU247" i="84"/>
  <c r="AO247" i="84"/>
  <c r="BB247" i="84"/>
  <c r="AL554" i="84"/>
  <c r="AU554" i="84"/>
  <c r="AX554" i="84"/>
  <c r="AR554" i="84"/>
  <c r="BB554" i="84"/>
  <c r="AO554" i="84"/>
  <c r="AU511" i="84"/>
  <c r="AL511" i="84"/>
  <c r="AX511" i="84"/>
  <c r="AR511" i="84"/>
  <c r="BB511" i="84"/>
  <c r="AO511" i="84"/>
  <c r="I22" i="86"/>
  <c r="T21" i="86"/>
  <c r="T22" i="86" s="1"/>
  <c r="V15" i="86"/>
  <c r="H16" i="86"/>
  <c r="AQ24" i="86"/>
  <c r="BE23" i="86"/>
  <c r="AL245" i="84"/>
  <c r="AR245" i="84"/>
  <c r="AX245" i="84"/>
  <c r="AU245" i="84"/>
  <c r="AO245" i="84"/>
  <c r="BB245" i="84"/>
  <c r="AL135" i="84"/>
  <c r="AR135" i="84"/>
  <c r="AU135" i="84"/>
  <c r="AX135" i="84"/>
  <c r="BB135" i="84"/>
  <c r="AO135" i="84"/>
  <c r="AU381" i="84"/>
  <c r="AX381" i="84"/>
  <c r="AL381" i="84"/>
  <c r="AR381" i="84"/>
  <c r="AO381" i="84"/>
  <c r="BB381" i="84"/>
  <c r="AR446" i="84"/>
  <c r="AU446" i="84"/>
  <c r="AL446" i="84"/>
  <c r="AX446" i="84"/>
  <c r="BB446" i="84"/>
  <c r="AO446" i="84"/>
  <c r="AL523" i="84"/>
  <c r="AX523" i="84"/>
  <c r="AR523" i="84"/>
  <c r="AU523" i="84"/>
  <c r="BB523" i="84"/>
  <c r="AO523" i="84"/>
  <c r="AR63" i="84"/>
  <c r="AU63" i="84"/>
  <c r="AL63" i="84"/>
  <c r="AX63" i="84"/>
  <c r="BB63" i="84"/>
  <c r="AO63" i="84"/>
  <c r="AU462" i="84"/>
  <c r="AX462" i="84"/>
  <c r="AL462" i="84"/>
  <c r="AR462" i="84"/>
  <c r="BB462" i="84"/>
  <c r="AO462" i="84"/>
  <c r="AX91" i="84"/>
  <c r="AL91" i="84"/>
  <c r="AR91" i="84"/>
  <c r="AU91" i="84"/>
  <c r="BB91" i="84"/>
  <c r="AO91" i="84"/>
  <c r="AL412" i="84"/>
  <c r="AU412" i="84"/>
  <c r="AX412" i="84"/>
  <c r="AR412" i="84"/>
  <c r="BB412" i="84"/>
  <c r="AO412" i="84"/>
  <c r="AX176" i="84"/>
  <c r="AR176" i="84"/>
  <c r="AL176" i="84"/>
  <c r="AU176" i="84"/>
  <c r="AO176" i="84"/>
  <c r="BB176" i="84"/>
  <c r="AR38" i="84"/>
  <c r="AL38" i="84"/>
  <c r="AU38" i="84"/>
  <c r="AX38" i="84"/>
  <c r="BB38" i="84"/>
  <c r="AO38" i="84"/>
  <c r="AR459" i="84"/>
  <c r="AL459" i="84"/>
  <c r="AX459" i="84"/>
  <c r="AU459" i="84"/>
  <c r="BB459" i="84"/>
  <c r="AO459" i="84"/>
  <c r="AX66" i="84"/>
  <c r="AL66" i="84"/>
  <c r="AR66" i="84"/>
  <c r="AU66" i="84"/>
  <c r="BB66" i="84"/>
  <c r="AO66" i="84"/>
  <c r="AX169" i="84"/>
  <c r="AL169" i="84"/>
  <c r="AU169" i="84"/>
  <c r="AR169" i="84"/>
  <c r="BB169" i="84"/>
  <c r="AO169" i="84"/>
  <c r="AL410" i="84"/>
  <c r="AR410" i="84"/>
  <c r="AX410" i="84"/>
  <c r="AU410" i="84"/>
  <c r="AO410" i="84"/>
  <c r="BB410" i="84"/>
  <c r="AR516" i="84"/>
  <c r="AX516" i="84"/>
  <c r="AL516" i="84"/>
  <c r="AU516" i="84"/>
  <c r="BB516" i="84"/>
  <c r="AO516" i="84"/>
  <c r="AU512" i="84"/>
  <c r="AL512" i="84"/>
  <c r="AX512" i="84"/>
  <c r="AR512" i="84"/>
  <c r="BB512" i="84"/>
  <c r="AO512" i="84"/>
  <c r="AX347" i="84"/>
  <c r="AU347" i="84"/>
  <c r="AR347" i="84"/>
  <c r="AL347" i="84"/>
  <c r="BB347" i="84"/>
  <c r="AO347" i="84"/>
  <c r="AL335" i="84"/>
  <c r="AU335" i="84"/>
  <c r="AX335" i="84"/>
  <c r="AR335" i="84"/>
  <c r="BB335" i="84"/>
  <c r="AO335" i="84"/>
  <c r="AU68" i="84"/>
  <c r="AX68" i="84"/>
  <c r="AR68" i="84"/>
  <c r="AL68" i="84"/>
  <c r="BB68" i="84"/>
  <c r="AO68" i="84"/>
  <c r="AX52" i="84"/>
  <c r="AU52" i="84"/>
  <c r="AL52" i="84"/>
  <c r="AR52" i="84"/>
  <c r="AO52" i="84"/>
  <c r="BB52" i="84"/>
  <c r="AU483" i="84"/>
  <c r="AL483" i="84"/>
  <c r="AX483" i="84"/>
  <c r="AR483" i="84"/>
  <c r="BB483" i="84"/>
  <c r="AO483" i="84"/>
  <c r="CA9" i="86"/>
  <c r="E10" i="86"/>
  <c r="BC37" i="86"/>
  <c r="BC38" i="86" s="1"/>
  <c r="AR38" i="86"/>
  <c r="I34" i="86"/>
  <c r="T33" i="86"/>
  <c r="T34" i="86" s="1"/>
  <c r="BF33" i="86"/>
  <c r="AS34" i="86"/>
  <c r="H10" i="86"/>
  <c r="V9" i="86"/>
  <c r="BB16" i="86"/>
  <c r="G40" i="86"/>
  <c r="AP22" i="86"/>
  <c r="J38" i="86"/>
  <c r="W37" i="86"/>
  <c r="I42" i="86"/>
  <c r="T41" i="86"/>
  <c r="T42" i="86" s="1"/>
  <c r="P40" i="86"/>
  <c r="AZ22" i="86"/>
  <c r="CA23" i="86"/>
  <c r="E24" i="86"/>
  <c r="CA24" i="86" s="1"/>
  <c r="AS8" i="86"/>
  <c r="BF7" i="86"/>
  <c r="F6" i="86"/>
  <c r="U5" i="86"/>
  <c r="Y5" i="86"/>
  <c r="CB5" i="86"/>
  <c r="X5" i="86"/>
  <c r="O46" i="86"/>
  <c r="AV13" i="86"/>
  <c r="AV14" i="86" s="1"/>
  <c r="AT14" i="86"/>
  <c r="W5" i="86"/>
  <c r="J6" i="86"/>
  <c r="V17" i="86"/>
  <c r="H18" i="86"/>
  <c r="N40" i="86"/>
  <c r="N10" i="86"/>
  <c r="L36" i="86"/>
  <c r="E8" i="86"/>
  <c r="CA7" i="86"/>
  <c r="V33" i="86"/>
  <c r="H34" i="86"/>
  <c r="BA38" i="86"/>
  <c r="R30" i="86"/>
  <c r="AP20" i="86"/>
  <c r="BB38" i="86"/>
  <c r="M33" i="86"/>
  <c r="M34" i="86" s="1"/>
  <c r="K34" i="86"/>
  <c r="Q42" i="86"/>
  <c r="AY4" i="86"/>
  <c r="BG49" i="86"/>
  <c r="BD49" i="86"/>
  <c r="AO50" i="86"/>
  <c r="BH49" i="86"/>
  <c r="BF45" i="86"/>
  <c r="AS46" i="86"/>
  <c r="AX38" i="86"/>
  <c r="BF25" i="86"/>
  <c r="AS26" i="86"/>
  <c r="BH39" i="86"/>
  <c r="BG39" i="86"/>
  <c r="AO40" i="86"/>
  <c r="BD39" i="86"/>
  <c r="E38" i="86"/>
  <c r="CA37" i="86"/>
  <c r="V7" i="86"/>
  <c r="H8" i="86"/>
  <c r="AW48" i="86"/>
  <c r="D12" i="86"/>
  <c r="BG45" i="86"/>
  <c r="BD45" i="86"/>
  <c r="BH45" i="86"/>
  <c r="AO46" i="86"/>
  <c r="BH25" i="86"/>
  <c r="AO26" i="86"/>
  <c r="BG25" i="86"/>
  <c r="BD25" i="86"/>
  <c r="AP4" i="86"/>
  <c r="BD33" i="86"/>
  <c r="AO34" i="86"/>
  <c r="BH33" i="86"/>
  <c r="BG33" i="86"/>
  <c r="AR44" i="86"/>
  <c r="BC43" i="86"/>
  <c r="BC44" i="86" s="1"/>
  <c r="P38" i="86"/>
  <c r="S40" i="86"/>
  <c r="AM20" i="86"/>
  <c r="H46" i="86"/>
  <c r="V45" i="86"/>
  <c r="P6" i="86"/>
  <c r="AW28" i="86"/>
  <c r="K50" i="86"/>
  <c r="M49" i="86"/>
  <c r="M50" i="86" s="1"/>
  <c r="W45" i="86"/>
  <c r="J46" i="86"/>
  <c r="W11" i="86"/>
  <c r="J12" i="86"/>
  <c r="T45" i="86"/>
  <c r="T46" i="86" s="1"/>
  <c r="I46" i="86"/>
  <c r="Q4" i="86"/>
  <c r="BB12" i="86"/>
  <c r="E14" i="86"/>
  <c r="CA13" i="86"/>
  <c r="BC49" i="86"/>
  <c r="BC50" i="86" s="1"/>
  <c r="AR50" i="86"/>
  <c r="V35" i="86"/>
  <c r="H36" i="86"/>
  <c r="BF29" i="86"/>
  <c r="AS30" i="86"/>
  <c r="AU28" i="86"/>
  <c r="AX44" i="86"/>
  <c r="AZ4" i="86"/>
  <c r="L50" i="86"/>
  <c r="AZ16" i="86"/>
  <c r="P4" i="86"/>
  <c r="AN12" i="86"/>
  <c r="T35" i="86"/>
  <c r="T36" i="86" s="1"/>
  <c r="I36" i="86"/>
  <c r="O24" i="86"/>
  <c r="O8" i="86"/>
  <c r="N34" i="86"/>
  <c r="AP28" i="86"/>
  <c r="AL76" i="84"/>
  <c r="AX76" i="84"/>
  <c r="AU76" i="84"/>
  <c r="AR76" i="84"/>
  <c r="AO76" i="84"/>
  <c r="BB76" i="84"/>
  <c r="AX343" i="84"/>
  <c r="AU343" i="84"/>
  <c r="AR343" i="84"/>
  <c r="AL343" i="84"/>
  <c r="AO343" i="84"/>
  <c r="BB343" i="84"/>
  <c r="AL30" i="84"/>
  <c r="AR30" i="84"/>
  <c r="AX30" i="84"/>
  <c r="AU30" i="84"/>
  <c r="AO30" i="84"/>
  <c r="BB30" i="84"/>
  <c r="AR138" i="84"/>
  <c r="AX138" i="84"/>
  <c r="AL138" i="84"/>
  <c r="AU138" i="84"/>
  <c r="AO138" i="84"/>
  <c r="BB138" i="84"/>
  <c r="AL48" i="84"/>
  <c r="AR48" i="84"/>
  <c r="AX48" i="84"/>
  <c r="AU48" i="84"/>
  <c r="AO48" i="84"/>
  <c r="BB48" i="84"/>
  <c r="AL524" i="84"/>
  <c r="AX524" i="84"/>
  <c r="AU524" i="84"/>
  <c r="AR524" i="84"/>
  <c r="AO524" i="84"/>
  <c r="BB524" i="84"/>
  <c r="T10" i="87"/>
  <c r="T14" i="87"/>
  <c r="Y29" i="87"/>
  <c r="X29" i="87"/>
  <c r="U29" i="87"/>
  <c r="Y6" i="87"/>
  <c r="U6" i="87"/>
  <c r="X6" i="87"/>
  <c r="M7" i="87"/>
  <c r="M21" i="87"/>
  <c r="M33" i="87"/>
  <c r="Y33" i="87"/>
  <c r="U33" i="87"/>
  <c r="X33" i="87"/>
  <c r="T19" i="87"/>
  <c r="U30" i="87"/>
  <c r="X30" i="87"/>
  <c r="Y30" i="87"/>
  <c r="Y18" i="87"/>
  <c r="X18" i="87"/>
  <c r="U18" i="87"/>
  <c r="X35" i="87"/>
  <c r="Y35" i="87"/>
  <c r="U35" i="87"/>
  <c r="M39" i="87"/>
  <c r="S50" i="87"/>
  <c r="AX435" i="84"/>
  <c r="AU435" i="84"/>
  <c r="AR435" i="84"/>
  <c r="AL435" i="84"/>
  <c r="BB435" i="84"/>
  <c r="AO435" i="84"/>
  <c r="AL386" i="84"/>
  <c r="AX386" i="84"/>
  <c r="AU386" i="84"/>
  <c r="AR386" i="84"/>
  <c r="AO386" i="84"/>
  <c r="BB386" i="84"/>
  <c r="AV51" i="86"/>
  <c r="AV53" i="86" s="1"/>
  <c r="CA52" i="86"/>
  <c r="BW52" i="86"/>
  <c r="AQ53" i="86"/>
  <c r="AR53" i="86"/>
  <c r="O53" i="86"/>
  <c r="AP53" i="86"/>
  <c r="AX53" i="86"/>
  <c r="H53" i="86"/>
  <c r="G53" i="86"/>
  <c r="BX53" i="86" s="1"/>
  <c r="AW53" i="86"/>
  <c r="BB53" i="86"/>
  <c r="Q53" i="86"/>
  <c r="K53" i="86"/>
  <c r="P53" i="86"/>
  <c r="AY53" i="86"/>
  <c r="L53" i="86"/>
  <c r="I53" i="86"/>
  <c r="BY53" i="86" s="1"/>
  <c r="E53" i="86"/>
  <c r="BW53" i="86" s="1"/>
  <c r="AN53" i="86"/>
  <c r="AS53" i="86"/>
  <c r="J53" i="86"/>
  <c r="F53" i="86"/>
  <c r="S53" i="86"/>
  <c r="BA53" i="86"/>
  <c r="N53" i="86"/>
  <c r="AU53" i="86"/>
  <c r="R53" i="86"/>
  <c r="AZ53" i="86"/>
  <c r="AT53" i="86"/>
  <c r="AO53" i="86"/>
  <c r="BE52" i="86"/>
  <c r="CE54" i="86"/>
  <c r="AL558" i="84"/>
  <c r="AX558" i="84"/>
  <c r="AR558" i="84"/>
  <c r="AU558" i="84"/>
  <c r="BB558" i="84"/>
  <c r="AO558" i="84"/>
  <c r="AR486" i="84"/>
  <c r="AL486" i="84"/>
  <c r="AU486" i="84"/>
  <c r="AX486" i="84"/>
  <c r="AO486" i="84"/>
  <c r="BB486" i="84"/>
  <c r="AX254" i="84"/>
  <c r="AL254" i="84"/>
  <c r="AR254" i="84"/>
  <c r="AU254" i="84"/>
  <c r="BB254" i="84"/>
  <c r="AO254" i="84"/>
  <c r="AX168" i="84"/>
  <c r="AU168" i="84"/>
  <c r="AR168" i="84"/>
  <c r="AL168" i="84"/>
  <c r="AO168" i="84"/>
  <c r="BB168" i="84"/>
  <c r="AU26" i="84"/>
  <c r="AR26" i="84"/>
  <c r="AL26" i="84"/>
  <c r="AX26" i="84"/>
  <c r="BB26" i="84"/>
  <c r="AO26" i="84"/>
  <c r="AR440" i="84"/>
  <c r="AL440" i="84"/>
  <c r="AX440" i="84"/>
  <c r="AU440" i="84"/>
  <c r="BB440" i="84"/>
  <c r="AO440" i="84"/>
  <c r="AR42" i="84"/>
  <c r="AL42" i="84"/>
  <c r="AU42" i="84"/>
  <c r="AX42" i="84"/>
  <c r="BB42" i="84"/>
  <c r="AO42" i="84"/>
  <c r="AX527" i="84"/>
  <c r="AU527" i="84"/>
  <c r="AL527" i="84"/>
  <c r="AR527" i="84"/>
  <c r="BB527" i="84"/>
  <c r="AO527" i="84"/>
  <c r="AL477" i="84"/>
  <c r="AX477" i="84"/>
  <c r="AR477" i="84"/>
  <c r="AU477" i="84"/>
  <c r="BB477" i="84"/>
  <c r="AO477" i="84"/>
  <c r="AX50" i="84"/>
  <c r="AL50" i="84"/>
  <c r="AU50" i="84"/>
  <c r="AR50" i="84"/>
  <c r="AO50" i="84"/>
  <c r="BB50" i="84"/>
  <c r="AL457" i="84"/>
  <c r="AU457" i="84"/>
  <c r="AR457" i="84"/>
  <c r="AX457" i="84"/>
  <c r="BB457" i="84"/>
  <c r="AO457" i="84"/>
  <c r="BB262" i="84"/>
  <c r="AL262" i="84"/>
  <c r="AU262" i="84"/>
  <c r="AX262" i="84"/>
  <c r="AR262" i="84"/>
  <c r="AO262" i="84"/>
  <c r="AX217" i="84"/>
  <c r="AR217" i="84"/>
  <c r="AL217" i="84"/>
  <c r="AU217" i="84"/>
  <c r="AO217" i="84"/>
  <c r="BB217" i="84"/>
  <c r="AX141" i="84"/>
  <c r="AR141" i="84"/>
  <c r="AU141" i="84"/>
  <c r="AL141" i="84"/>
  <c r="AO141" i="84"/>
  <c r="BB141" i="84"/>
  <c r="AU450" i="84"/>
  <c r="AX450" i="84"/>
  <c r="AL450" i="84"/>
  <c r="AR450" i="84"/>
  <c r="AO450" i="84"/>
  <c r="BB450" i="84"/>
  <c r="AX270" i="84"/>
  <c r="AL270" i="84"/>
  <c r="AR270" i="84"/>
  <c r="AU270" i="84"/>
  <c r="AO270" i="84"/>
  <c r="BB270" i="84"/>
  <c r="BB383" i="84"/>
  <c r="AX383" i="84"/>
  <c r="AR383" i="84"/>
  <c r="AU383" i="84"/>
  <c r="AL383" i="84"/>
  <c r="AO383" i="84"/>
  <c r="AL213" i="84"/>
  <c r="AR213" i="84"/>
  <c r="AU213" i="84"/>
  <c r="AX213" i="84"/>
  <c r="BB213" i="84"/>
  <c r="AO213" i="84"/>
  <c r="CH54" i="86"/>
  <c r="BY51" i="86"/>
  <c r="T51" i="86"/>
  <c r="M51" i="86"/>
  <c r="BZ51" i="86"/>
  <c r="AR43" i="84"/>
  <c r="AX43" i="84"/>
  <c r="AL43" i="84"/>
  <c r="AU43" i="84"/>
  <c r="AO43" i="84"/>
  <c r="BB43" i="84"/>
  <c r="AX467" i="84"/>
  <c r="AU467" i="84"/>
  <c r="AR467" i="84"/>
  <c r="AL467" i="84"/>
  <c r="AO467" i="84"/>
  <c r="BB467" i="84"/>
  <c r="AR21" i="84"/>
  <c r="AU21" i="84"/>
  <c r="AX21" i="84"/>
  <c r="AL21" i="84"/>
  <c r="BB21" i="84"/>
  <c r="AO21" i="84"/>
  <c r="AL308" i="84"/>
  <c r="AU308" i="84"/>
  <c r="AR308" i="84"/>
  <c r="AX308" i="84"/>
  <c r="BB308" i="84"/>
  <c r="AO308" i="84"/>
  <c r="AR232" i="84"/>
  <c r="AL232" i="84"/>
  <c r="AX232" i="84"/>
  <c r="AU232" i="84"/>
  <c r="BB232" i="84"/>
  <c r="AO232" i="84"/>
  <c r="AL375" i="84"/>
  <c r="AR375" i="84"/>
  <c r="AX375" i="84"/>
  <c r="AU375" i="84"/>
  <c r="BB375" i="84"/>
  <c r="AO375" i="84"/>
  <c r="AU320" i="84"/>
  <c r="AX320" i="84"/>
  <c r="AR320" i="84"/>
  <c r="AL320" i="84"/>
  <c r="BB320" i="84"/>
  <c r="AO320" i="84"/>
  <c r="AU71" i="84"/>
  <c r="AR71" i="84"/>
  <c r="AX71" i="84"/>
  <c r="AL71" i="84"/>
  <c r="AO71" i="84"/>
  <c r="BB71" i="84"/>
  <c r="AX147" i="84"/>
  <c r="AL147" i="84"/>
  <c r="AR147" i="84"/>
  <c r="AU147" i="84"/>
  <c r="BB147" i="84"/>
  <c r="AO147" i="84"/>
  <c r="AL258" i="84"/>
  <c r="AU258" i="84"/>
  <c r="AR258" i="84"/>
  <c r="AX258" i="84"/>
  <c r="BB258" i="84"/>
  <c r="AO258" i="84"/>
  <c r="AL65" i="84"/>
  <c r="AR65" i="84"/>
  <c r="AX65" i="84"/>
  <c r="AU65" i="84"/>
  <c r="BB65" i="84"/>
  <c r="AO65" i="84"/>
  <c r="AR447" i="84"/>
  <c r="AU447" i="84"/>
  <c r="AX447" i="84"/>
  <c r="AL447" i="84"/>
  <c r="BB447" i="84"/>
  <c r="AO447" i="84"/>
  <c r="AL40" i="84"/>
  <c r="AR40" i="84"/>
  <c r="AX40" i="84"/>
  <c r="AU40" i="84"/>
  <c r="AO40" i="84"/>
  <c r="BB40" i="84"/>
  <c r="AX312" i="84"/>
  <c r="AU312" i="84"/>
  <c r="AR312" i="84"/>
  <c r="AL312" i="84"/>
  <c r="AO312" i="84"/>
  <c r="BB312" i="84"/>
  <c r="AL549" i="84"/>
  <c r="AR549" i="84"/>
  <c r="AU549" i="84"/>
  <c r="AX549" i="84"/>
  <c r="BB549" i="84"/>
  <c r="AO549" i="84"/>
  <c r="AX28" i="84"/>
  <c r="AU28" i="84"/>
  <c r="AR28" i="84"/>
  <c r="AL28" i="84"/>
  <c r="BB28" i="84"/>
  <c r="AO28" i="84"/>
  <c r="AR464" i="84"/>
  <c r="AX464" i="84"/>
  <c r="AL464" i="84"/>
  <c r="AU464" i="84"/>
  <c r="BB464" i="84"/>
  <c r="AO464" i="84"/>
  <c r="AL379" i="84"/>
  <c r="AU379" i="84"/>
  <c r="AR379" i="84"/>
  <c r="AX379" i="84"/>
  <c r="BB379" i="84"/>
  <c r="AO379" i="84"/>
  <c r="AL133" i="84"/>
  <c r="AU133" i="84"/>
  <c r="AX133" i="84"/>
  <c r="AR133" i="84"/>
  <c r="AO133" i="84"/>
  <c r="BB133" i="84"/>
  <c r="AU158" i="84"/>
  <c r="AL158" i="84"/>
  <c r="AR158" i="84"/>
  <c r="AX158" i="84"/>
  <c r="AO158" i="84"/>
  <c r="BB158" i="84"/>
  <c r="AL390" i="84"/>
  <c r="AR390" i="84"/>
  <c r="AX390" i="84"/>
  <c r="AU390" i="84"/>
  <c r="BB390" i="84"/>
  <c r="AO390" i="84"/>
  <c r="AU323" i="84"/>
  <c r="AL323" i="84"/>
  <c r="AR323" i="84"/>
  <c r="AX323" i="84"/>
  <c r="BB323" i="84"/>
  <c r="AO323" i="84"/>
  <c r="AR62" i="84"/>
  <c r="AL62" i="84"/>
  <c r="AU62" i="84"/>
  <c r="AX62" i="84"/>
  <c r="BB62" i="84"/>
  <c r="AO62" i="84"/>
  <c r="AX244" i="84"/>
  <c r="AR244" i="84"/>
  <c r="AL244" i="84"/>
  <c r="AU244" i="84"/>
  <c r="AO244" i="84"/>
  <c r="BB244" i="84"/>
  <c r="AU57" i="84"/>
  <c r="AL57" i="84"/>
  <c r="AR57" i="84"/>
  <c r="AX57" i="84"/>
  <c r="AO57" i="84"/>
  <c r="BB57" i="84"/>
  <c r="AR311" i="84"/>
  <c r="AU311" i="84"/>
  <c r="AL311" i="84"/>
  <c r="AX311" i="84"/>
  <c r="BB311" i="84"/>
  <c r="AO311" i="84"/>
  <c r="AQ42" i="86"/>
  <c r="BE41" i="86"/>
  <c r="J42" i="86"/>
  <c r="W41" i="86"/>
  <c r="F10" i="86"/>
  <c r="X9" i="86"/>
  <c r="U9" i="86"/>
  <c r="Y9" i="86"/>
  <c r="CB9" i="86"/>
  <c r="BC19" i="86"/>
  <c r="BC20" i="86" s="1"/>
  <c r="AR20" i="86"/>
  <c r="BE45" i="86"/>
  <c r="AQ46" i="86"/>
  <c r="V39" i="86"/>
  <c r="H40" i="86"/>
  <c r="AV21" i="86"/>
  <c r="AV22" i="86" s="1"/>
  <c r="AT22" i="86"/>
  <c r="AT26" i="86"/>
  <c r="AV25" i="86"/>
  <c r="AV26" i="86" s="1"/>
  <c r="AM12" i="86"/>
  <c r="BD11" i="86"/>
  <c r="AO12" i="86"/>
  <c r="BH11" i="86"/>
  <c r="BG11" i="86"/>
  <c r="F22" i="86"/>
  <c r="CB21" i="86"/>
  <c r="Y21" i="86"/>
  <c r="X21" i="86"/>
  <c r="U21" i="86"/>
  <c r="AV27" i="86"/>
  <c r="AV28" i="86" s="1"/>
  <c r="AT28" i="86"/>
  <c r="AS32" i="86"/>
  <c r="BF31" i="86"/>
  <c r="AU4" i="86"/>
  <c r="BG7" i="86"/>
  <c r="BH7" i="86"/>
  <c r="BD7" i="86"/>
  <c r="AO8" i="86"/>
  <c r="D40" i="86"/>
  <c r="BB4" i="86"/>
  <c r="BB44" i="86"/>
  <c r="AQ36" i="86"/>
  <c r="BE35" i="86"/>
  <c r="I8" i="86"/>
  <c r="T7" i="86"/>
  <c r="T8" i="86" s="1"/>
  <c r="R36" i="86"/>
  <c r="R4" i="86"/>
  <c r="AY22" i="86"/>
  <c r="R46" i="86"/>
  <c r="BF41" i="86"/>
  <c r="AS42" i="86"/>
  <c r="CA49" i="86"/>
  <c r="E50" i="86"/>
  <c r="CA50" i="86" s="1"/>
  <c r="BA50" i="86"/>
  <c r="D48" i="86"/>
  <c r="O10" i="86"/>
  <c r="CA43" i="86"/>
  <c r="E44" i="86"/>
  <c r="BF13" i="86"/>
  <c r="AS14" i="86"/>
  <c r="Y29" i="86"/>
  <c r="U29" i="86"/>
  <c r="CB29" i="86"/>
  <c r="X29" i="86"/>
  <c r="F30" i="86"/>
  <c r="AN36" i="86"/>
  <c r="AZ38" i="86"/>
  <c r="AS10" i="86"/>
  <c r="BF9" i="86"/>
  <c r="R18" i="86"/>
  <c r="AN50" i="86"/>
  <c r="Q46" i="86"/>
  <c r="AY8" i="86"/>
  <c r="V5" i="86"/>
  <c r="H6" i="86"/>
  <c r="AZ34" i="86"/>
  <c r="P22" i="86"/>
  <c r="AP16" i="86"/>
  <c r="AX8" i="86"/>
  <c r="G42" i="86"/>
  <c r="R14" i="86"/>
  <c r="E46" i="86"/>
  <c r="CA45" i="86"/>
  <c r="AV17" i="86"/>
  <c r="AV18" i="86" s="1"/>
  <c r="AT18" i="86"/>
  <c r="D30" i="86"/>
  <c r="AZ8" i="86"/>
  <c r="K20" i="86"/>
  <c r="M19" i="86"/>
  <c r="M20" i="86" s="1"/>
  <c r="S12" i="86"/>
  <c r="D32" i="86"/>
  <c r="AM48" i="86"/>
  <c r="AY34" i="86"/>
  <c r="AU20" i="86"/>
  <c r="AL487" i="84"/>
  <c r="AR487" i="84"/>
  <c r="AX487" i="84"/>
  <c r="AU487" i="84"/>
  <c r="AO487" i="84"/>
  <c r="BB487" i="84"/>
  <c r="T22" i="87"/>
  <c r="M24" i="87"/>
  <c r="T40" i="87"/>
  <c r="T34" i="87"/>
  <c r="T20" i="87"/>
  <c r="M26" i="87"/>
  <c r="U12" i="87"/>
  <c r="X12" i="87"/>
  <c r="Y12" i="87"/>
  <c r="M20" i="87"/>
  <c r="U19" i="87"/>
  <c r="Y19" i="87"/>
  <c r="X19" i="87"/>
  <c r="M31" i="87"/>
  <c r="AR337" i="84"/>
  <c r="AX337" i="84"/>
  <c r="AL337" i="84"/>
  <c r="AU337" i="84"/>
  <c r="AO337" i="84"/>
  <c r="BB337" i="84"/>
  <c r="AL264" i="84"/>
  <c r="AU264" i="84"/>
  <c r="AR264" i="84"/>
  <c r="AX264" i="84"/>
  <c r="BB264" i="84"/>
  <c r="AO264" i="84"/>
  <c r="BF52" i="86"/>
  <c r="T52" i="86"/>
  <c r="T54" i="86" s="1"/>
  <c r="BY52" i="86"/>
  <c r="BZ52" i="86"/>
  <c r="M52" i="86"/>
  <c r="M54" i="86" s="1"/>
  <c r="CG54" i="86"/>
  <c r="AR51" i="84"/>
  <c r="AX51" i="84"/>
  <c r="AL51" i="84"/>
  <c r="AU51" i="84"/>
  <c r="BB51" i="84"/>
  <c r="AO51" i="84"/>
  <c r="AR365" i="84"/>
  <c r="AU365" i="84"/>
  <c r="AL365" i="84"/>
  <c r="AX365" i="84"/>
  <c r="BB365" i="84"/>
  <c r="AO365" i="84"/>
  <c r="AX369" i="84"/>
  <c r="AU369" i="84"/>
  <c r="AL369" i="84"/>
  <c r="AR369" i="84"/>
  <c r="BB369" i="84"/>
  <c r="AO369" i="84"/>
  <c r="AL482" i="84"/>
  <c r="AR482" i="84"/>
  <c r="AX482" i="84"/>
  <c r="AU482" i="84"/>
  <c r="AO482" i="84"/>
  <c r="BB482" i="84"/>
  <c r="AL318" i="84"/>
  <c r="AX318" i="84"/>
  <c r="AU318" i="84"/>
  <c r="AR318" i="84"/>
  <c r="BB318" i="84"/>
  <c r="AO318" i="84"/>
  <c r="AR380" i="84"/>
  <c r="AL380" i="84"/>
  <c r="AU380" i="84"/>
  <c r="AX380" i="84"/>
  <c r="BB380" i="84"/>
  <c r="AO380" i="84"/>
  <c r="AL403" i="84"/>
  <c r="AX403" i="84"/>
  <c r="AU403" i="84"/>
  <c r="AR403" i="84"/>
  <c r="BB403" i="84"/>
  <c r="AO403" i="84"/>
  <c r="AR185" i="84"/>
  <c r="AX185" i="84"/>
  <c r="AL185" i="84"/>
  <c r="AU185" i="84"/>
  <c r="BB185" i="84"/>
  <c r="AO185" i="84"/>
  <c r="AR298" i="84"/>
  <c r="AU298" i="84"/>
  <c r="AL298" i="84"/>
  <c r="AX298" i="84"/>
  <c r="AO298" i="84"/>
  <c r="BB298" i="84"/>
  <c r="AX328" i="84"/>
  <c r="AR328" i="84"/>
  <c r="AL328" i="84"/>
  <c r="AU328" i="84"/>
  <c r="BB328" i="84"/>
  <c r="AO328" i="84"/>
  <c r="AR70" i="84"/>
  <c r="AU70" i="84"/>
  <c r="AL70" i="84"/>
  <c r="AX70" i="84"/>
  <c r="AO70" i="84"/>
  <c r="BB70" i="84"/>
  <c r="AU100" i="84"/>
  <c r="AL100" i="84"/>
  <c r="AR100" i="84"/>
  <c r="AX100" i="84"/>
  <c r="BB100" i="84"/>
  <c r="AO100" i="84"/>
  <c r="AU515" i="84"/>
  <c r="AL515" i="84"/>
  <c r="AR515" i="84"/>
  <c r="AX515" i="84"/>
  <c r="BB515" i="84"/>
  <c r="AO515" i="84"/>
  <c r="AL170" i="84"/>
  <c r="AX170" i="84"/>
  <c r="AU170" i="84"/>
  <c r="AR170" i="84"/>
  <c r="BB170" i="84"/>
  <c r="AO170" i="84"/>
  <c r="AL15" i="84"/>
  <c r="AX15" i="84"/>
  <c r="AR15" i="84"/>
  <c r="AU15" i="84"/>
  <c r="BB15" i="84"/>
  <c r="AO15" i="84"/>
  <c r="AL142" i="84"/>
  <c r="AU142" i="84"/>
  <c r="AR142" i="84"/>
  <c r="AX142" i="84"/>
  <c r="BB142" i="84"/>
  <c r="AO142" i="84"/>
  <c r="AO471" i="84"/>
  <c r="AR471" i="84"/>
  <c r="AL471" i="84"/>
  <c r="AX471" i="84"/>
  <c r="AU471" i="84"/>
  <c r="BB471" i="84"/>
  <c r="AU545" i="84"/>
  <c r="AL545" i="84"/>
  <c r="AR545" i="84"/>
  <c r="AX545" i="84"/>
  <c r="AO545" i="84"/>
  <c r="BB545" i="84"/>
  <c r="AL409" i="84"/>
  <c r="AR409" i="84"/>
  <c r="AX409" i="84"/>
  <c r="AU409" i="84"/>
  <c r="BB409" i="84"/>
  <c r="AO409" i="84"/>
  <c r="AL260" i="84"/>
  <c r="AR260" i="84"/>
  <c r="AU260" i="84"/>
  <c r="AX260" i="84"/>
  <c r="BB260" i="84"/>
  <c r="AO260" i="84"/>
  <c r="AR332" i="84"/>
  <c r="AX332" i="84"/>
  <c r="AL332" i="84"/>
  <c r="AU332" i="84"/>
  <c r="BB332" i="84"/>
  <c r="AO332" i="84"/>
  <c r="AU299" i="84"/>
  <c r="AR299" i="84"/>
  <c r="AL299" i="84"/>
  <c r="AX299" i="84"/>
  <c r="AO299" i="84"/>
  <c r="BB299" i="84"/>
  <c r="AX496" i="84"/>
  <c r="AL496" i="84"/>
  <c r="AR496" i="84"/>
  <c r="AU496" i="84"/>
  <c r="BB496" i="84"/>
  <c r="AO496" i="84"/>
  <c r="AL461" i="84"/>
  <c r="AX461" i="84"/>
  <c r="AU461" i="84"/>
  <c r="AR461" i="84"/>
  <c r="BB461" i="84"/>
  <c r="AO461" i="84"/>
  <c r="M29" i="86"/>
  <c r="M30" i="86" s="1"/>
  <c r="K30" i="86"/>
  <c r="BE33" i="86"/>
  <c r="AQ34" i="86"/>
  <c r="Y23" i="86"/>
  <c r="CB23" i="86"/>
  <c r="F24" i="86"/>
  <c r="U23" i="86"/>
  <c r="X23" i="86"/>
  <c r="M39" i="86"/>
  <c r="M40" i="86" s="1"/>
  <c r="K40" i="86"/>
  <c r="V47" i="86"/>
  <c r="H48" i="86"/>
  <c r="AT10" i="86"/>
  <c r="AV9" i="86"/>
  <c r="AV10" i="86" s="1"/>
  <c r="AW16" i="86"/>
  <c r="I26" i="86"/>
  <c r="T25" i="86"/>
  <c r="T26" i="86" s="1"/>
  <c r="AR34" i="86"/>
  <c r="BC33" i="86"/>
  <c r="BC34" i="86" s="1"/>
  <c r="F16" i="86"/>
  <c r="CB15" i="86"/>
  <c r="X15" i="86"/>
  <c r="Y15" i="86"/>
  <c r="U15" i="86"/>
  <c r="E20" i="86"/>
  <c r="CA19" i="86"/>
  <c r="AV37" i="86"/>
  <c r="AV38" i="86" s="1"/>
  <c r="AT38" i="86"/>
  <c r="BC5" i="86"/>
  <c r="BC6" i="86" s="1"/>
  <c r="AR6" i="86"/>
  <c r="CA33" i="86"/>
  <c r="E34" i="86"/>
  <c r="CA34" i="86" s="1"/>
  <c r="M31" i="86"/>
  <c r="M32" i="86" s="1"/>
  <c r="K32" i="86"/>
  <c r="F48" i="86"/>
  <c r="Y47" i="86"/>
  <c r="CB47" i="86"/>
  <c r="X47" i="86"/>
  <c r="U47" i="86"/>
  <c r="J14" i="86"/>
  <c r="W13" i="86"/>
  <c r="BF23" i="86"/>
  <c r="AS24" i="86"/>
  <c r="M35" i="86"/>
  <c r="M36" i="86" s="1"/>
  <c r="K36" i="86"/>
  <c r="BC31" i="86"/>
  <c r="BC32" i="86" s="1"/>
  <c r="AR32" i="86"/>
  <c r="O36" i="86"/>
  <c r="BF11" i="86"/>
  <c r="AS12" i="86"/>
  <c r="R42" i="86"/>
  <c r="M15" i="86"/>
  <c r="M16" i="86" s="1"/>
  <c r="K16" i="86"/>
  <c r="S22" i="86"/>
  <c r="S26" i="86"/>
  <c r="CA47" i="86"/>
  <c r="E48" i="86"/>
  <c r="M13" i="86"/>
  <c r="M14" i="86" s="1"/>
  <c r="K14" i="86"/>
  <c r="CB35" i="86"/>
  <c r="Y35" i="86"/>
  <c r="X35" i="86"/>
  <c r="F36" i="86"/>
  <c r="U35" i="86"/>
  <c r="AQ50" i="86"/>
  <c r="BE49" i="86"/>
  <c r="AS4" i="86"/>
  <c r="BF3" i="86"/>
  <c r="G30" i="86"/>
  <c r="O12" i="86"/>
  <c r="O48" i="86"/>
  <c r="AS50" i="86"/>
  <c r="BF49" i="86"/>
  <c r="AN18" i="86"/>
  <c r="D42" i="86"/>
  <c r="O30" i="86"/>
  <c r="N42" i="86"/>
  <c r="AN16" i="86"/>
  <c r="CA39" i="86"/>
  <c r="E40" i="86"/>
  <c r="AZ20" i="86"/>
  <c r="R26" i="86"/>
  <c r="AP36" i="86"/>
  <c r="K44" i="86"/>
  <c r="M43" i="86"/>
  <c r="M44" i="86" s="1"/>
  <c r="S28" i="86"/>
  <c r="Q34" i="86"/>
  <c r="CB49" i="86"/>
  <c r="X49" i="86"/>
  <c r="F50" i="86"/>
  <c r="U49" i="86"/>
  <c r="Y49" i="86"/>
  <c r="BA22" i="86"/>
  <c r="G18" i="86"/>
  <c r="K4" i="86"/>
  <c r="M3" i="86"/>
  <c r="M4" i="86" s="1"/>
  <c r="AY14" i="86"/>
  <c r="AX48" i="86"/>
  <c r="AM40" i="86"/>
  <c r="P24" i="86"/>
  <c r="L26" i="86"/>
  <c r="AQ28" i="86"/>
  <c r="BE27" i="86"/>
  <c r="D10" i="86"/>
  <c r="AX10" i="86"/>
  <c r="W17" i="86"/>
  <c r="J18" i="86"/>
  <c r="AL553" i="84"/>
  <c r="AR553" i="84"/>
  <c r="AX553" i="84"/>
  <c r="AU553" i="84"/>
  <c r="BB553" i="84"/>
  <c r="AO553" i="84"/>
  <c r="AX233" i="84"/>
  <c r="AL233" i="84"/>
  <c r="AR233" i="84"/>
  <c r="AU233" i="84"/>
  <c r="AO233" i="84"/>
  <c r="BB233" i="84"/>
  <c r="AU348" i="84"/>
  <c r="AR348" i="84"/>
  <c r="AX348" i="84"/>
  <c r="AL348" i="84"/>
  <c r="BB348" i="84"/>
  <c r="AO348" i="84"/>
  <c r="AL468" i="84"/>
  <c r="AR468" i="84"/>
  <c r="AX468" i="84"/>
  <c r="AU468" i="84"/>
  <c r="BB468" i="84"/>
  <c r="AO468" i="84"/>
  <c r="AL27" i="84"/>
  <c r="AR27" i="84"/>
  <c r="AU27" i="84"/>
  <c r="AX27" i="84"/>
  <c r="BB27" i="84"/>
  <c r="AO27" i="84"/>
  <c r="AX37" i="84"/>
  <c r="AL37" i="84"/>
  <c r="AR37" i="84"/>
  <c r="AU37" i="84"/>
  <c r="BB37" i="84"/>
  <c r="AO37" i="84"/>
  <c r="U10" i="87"/>
  <c r="X10" i="87"/>
  <c r="Y10" i="87"/>
  <c r="Y11" i="87"/>
  <c r="X11" i="87"/>
  <c r="U11" i="87"/>
  <c r="X37" i="87"/>
  <c r="Y37" i="87"/>
  <c r="U37" i="87"/>
  <c r="X21" i="87"/>
  <c r="U21" i="87"/>
  <c r="Y21" i="87"/>
  <c r="T5" i="87"/>
  <c r="M16" i="87"/>
  <c r="T28" i="87"/>
  <c r="X16" i="87"/>
  <c r="Y16" i="87"/>
  <c r="U16" i="87"/>
  <c r="T3" i="87"/>
  <c r="X24" i="87"/>
  <c r="Y24" i="87"/>
  <c r="U24" i="87"/>
  <c r="U28" i="87"/>
  <c r="Y28" i="87"/>
  <c r="X28" i="87"/>
  <c r="AL306" i="84"/>
  <c r="AU306" i="84"/>
  <c r="AX306" i="84"/>
  <c r="AR306" i="84"/>
  <c r="BB306" i="84"/>
  <c r="AO306" i="84"/>
  <c r="AU72" i="84"/>
  <c r="AL72" i="84"/>
  <c r="AR72" i="84"/>
  <c r="AX72" i="84"/>
  <c r="AO72" i="84"/>
  <c r="BB72" i="84"/>
  <c r="CG53" i="86"/>
  <c r="AR485" i="84"/>
  <c r="AL485" i="84"/>
  <c r="AU485" i="84"/>
  <c r="AX485" i="84"/>
  <c r="AO485" i="84"/>
  <c r="BB485" i="84"/>
  <c r="AR458" i="84"/>
  <c r="AU458" i="84"/>
  <c r="AL458" i="84"/>
  <c r="AX458" i="84"/>
  <c r="AO458" i="84"/>
  <c r="BB458" i="84"/>
  <c r="AL393" i="84"/>
  <c r="AR393" i="84"/>
  <c r="AU393" i="84"/>
  <c r="AX393" i="84"/>
  <c r="AO393" i="84"/>
  <c r="BB393" i="84"/>
  <c r="AL104" i="84"/>
  <c r="AU104" i="84"/>
  <c r="AR104" i="84"/>
  <c r="AX104" i="84"/>
  <c r="BB104" i="84"/>
  <c r="AO104" i="84"/>
  <c r="AU377" i="84"/>
  <c r="AX377" i="84"/>
  <c r="AR377" i="84"/>
  <c r="AL377" i="84"/>
  <c r="BB377" i="84"/>
  <c r="AO377" i="84"/>
  <c r="AX367" i="84"/>
  <c r="AL367" i="84"/>
  <c r="AU367" i="84"/>
  <c r="AR367" i="84"/>
  <c r="BB367" i="84"/>
  <c r="AO367" i="84"/>
  <c r="AL58" i="84"/>
  <c r="AR58" i="84"/>
  <c r="AU58" i="84"/>
  <c r="AX58" i="84"/>
  <c r="BB58" i="84"/>
  <c r="AO58" i="84"/>
  <c r="AU269" i="84"/>
  <c r="AX269" i="84"/>
  <c r="AL269" i="84"/>
  <c r="AR269" i="84"/>
  <c r="BB269" i="84"/>
  <c r="AO269" i="84"/>
  <c r="AL472" i="84"/>
  <c r="AU472" i="84"/>
  <c r="AX472" i="84"/>
  <c r="AR472" i="84"/>
  <c r="BB472" i="84"/>
  <c r="AO472" i="84"/>
  <c r="AR469" i="84"/>
  <c r="AU469" i="84"/>
  <c r="AX469" i="84"/>
  <c r="AL469" i="84"/>
  <c r="BB469" i="84"/>
  <c r="AO469" i="84"/>
  <c r="AL47" i="84"/>
  <c r="AU47" i="84"/>
  <c r="AR47" i="84"/>
  <c r="AX47" i="84"/>
  <c r="AO47" i="84"/>
  <c r="BB47" i="84"/>
  <c r="AU358" i="84"/>
  <c r="AR358" i="84"/>
  <c r="AL358" i="84"/>
  <c r="AX358" i="84"/>
  <c r="AO358" i="84"/>
  <c r="BB358" i="84"/>
  <c r="AR474" i="84"/>
  <c r="AL474" i="84"/>
  <c r="AX474" i="84"/>
  <c r="AU474" i="84"/>
  <c r="BB474" i="84"/>
  <c r="AO474" i="84"/>
  <c r="AL397" i="84"/>
  <c r="AU397" i="84"/>
  <c r="AR397" i="84"/>
  <c r="AX397" i="84"/>
  <c r="BB397" i="84"/>
  <c r="AO397" i="84"/>
  <c r="AL59" i="84"/>
  <c r="AR59" i="84"/>
  <c r="AU59" i="84"/>
  <c r="AX59" i="84"/>
  <c r="BB59" i="84"/>
  <c r="AO59" i="84"/>
  <c r="AL330" i="84"/>
  <c r="AR330" i="84"/>
  <c r="AX330" i="84"/>
  <c r="AU330" i="84"/>
  <c r="BB330" i="84"/>
  <c r="AO330" i="84"/>
  <c r="AX83" i="84"/>
  <c r="AU83" i="84"/>
  <c r="AL83" i="84"/>
  <c r="AR83" i="84"/>
  <c r="BB83" i="84"/>
  <c r="AO83" i="84"/>
  <c r="M11" i="86"/>
  <c r="M12" i="86" s="1"/>
  <c r="K12" i="86"/>
  <c r="BC13" i="86"/>
  <c r="BC14" i="86" s="1"/>
  <c r="AR14" i="86"/>
  <c r="R10" i="86"/>
  <c r="BD41" i="86"/>
  <c r="AO42" i="86"/>
  <c r="BH41" i="86"/>
  <c r="BG41" i="86"/>
  <c r="AR28" i="86"/>
  <c r="BC27" i="86"/>
  <c r="BC28" i="86" s="1"/>
  <c r="W21" i="86"/>
  <c r="J22" i="86"/>
  <c r="BC3" i="86"/>
  <c r="BC4" i="86" s="1"/>
  <c r="AR4" i="86"/>
  <c r="J36" i="86"/>
  <c r="W35" i="86"/>
  <c r="F38" i="86"/>
  <c r="Y37" i="86"/>
  <c r="CB37" i="86"/>
  <c r="X37" i="86"/>
  <c r="U37" i="86"/>
  <c r="CA11" i="86"/>
  <c r="E12" i="86"/>
  <c r="D22" i="86"/>
  <c r="P12" i="86"/>
  <c r="E32" i="86"/>
  <c r="CA31" i="86"/>
  <c r="AV19" i="86"/>
  <c r="AV20" i="86" s="1"/>
  <c r="AT20" i="86"/>
  <c r="BC15" i="86"/>
  <c r="BC16" i="86" s="1"/>
  <c r="AR16" i="86"/>
  <c r="Q6" i="86"/>
  <c r="T37" i="86"/>
  <c r="T38" i="86" s="1"/>
  <c r="I38" i="86"/>
  <c r="AS18" i="86"/>
  <c r="BF17" i="86"/>
  <c r="AU8" i="86"/>
  <c r="AQ20" i="86"/>
  <c r="BE19" i="86"/>
  <c r="AX20" i="86"/>
  <c r="AT8" i="86"/>
  <c r="AV7" i="86"/>
  <c r="AV8" i="86" s="1"/>
  <c r="AX40" i="86"/>
  <c r="W33" i="86"/>
  <c r="J34" i="86"/>
  <c r="AM22" i="86"/>
  <c r="G44" i="86"/>
  <c r="T27" i="86"/>
  <c r="T28" i="86" s="1"/>
  <c r="I28" i="86"/>
  <c r="T47" i="86"/>
  <c r="T48" i="86" s="1"/>
  <c r="I48" i="86"/>
  <c r="G12" i="86"/>
  <c r="W29" i="86"/>
  <c r="J30" i="86"/>
  <c r="N12" i="86"/>
  <c r="AM44" i="86"/>
  <c r="L18" i="86"/>
  <c r="AN48" i="86"/>
  <c r="P46" i="86"/>
  <c r="AW20" i="86"/>
  <c r="BE29" i="86"/>
  <c r="AQ30" i="86"/>
  <c r="CA17" i="86"/>
  <c r="E18" i="86"/>
  <c r="BF47" i="86"/>
  <c r="AS48" i="86"/>
  <c r="AP8" i="86"/>
  <c r="AN34" i="86"/>
  <c r="BA40" i="86"/>
  <c r="AX36" i="86"/>
  <c r="BE37" i="86"/>
  <c r="AQ38" i="86"/>
  <c r="AU42" i="86"/>
  <c r="Q10" i="86"/>
  <c r="E26" i="86"/>
  <c r="CA25" i="86"/>
  <c r="AP12" i="86"/>
  <c r="D26" i="86"/>
  <c r="AZ24" i="86"/>
  <c r="AV5" i="86"/>
  <c r="AV6" i="86" s="1"/>
  <c r="AT6" i="86"/>
  <c r="CA29" i="86"/>
  <c r="E30" i="86"/>
  <c r="BA8" i="86"/>
  <c r="AP40" i="86"/>
  <c r="I24" i="86"/>
  <c r="T23" i="86"/>
  <c r="T24" i="86" s="1"/>
  <c r="J32" i="86"/>
  <c r="W31" i="86"/>
  <c r="AW40" i="86"/>
  <c r="H50" i="86"/>
  <c r="V49" i="86"/>
  <c r="M37" i="86"/>
  <c r="M38" i="86" s="1"/>
  <c r="K38" i="86"/>
  <c r="AL154" i="84"/>
  <c r="AU154" i="84"/>
  <c r="AR154" i="84"/>
  <c r="AX154" i="84"/>
  <c r="AO154" i="84"/>
  <c r="BB154" i="84"/>
  <c r="AU550" i="84"/>
  <c r="AL550" i="84"/>
  <c r="AX550" i="84"/>
  <c r="AR550" i="84"/>
  <c r="AO550" i="84"/>
  <c r="BB550" i="84"/>
  <c r="X27" i="87"/>
  <c r="U27" i="87"/>
  <c r="Y27" i="87"/>
  <c r="X3" i="87"/>
  <c r="U3" i="87"/>
  <c r="Y3" i="87"/>
  <c r="U22" i="87"/>
  <c r="X22" i="87"/>
  <c r="Y22" i="87"/>
  <c r="T41" i="87"/>
  <c r="U8" i="87"/>
  <c r="Y8" i="87"/>
  <c r="X8" i="87"/>
  <c r="M11" i="87"/>
  <c r="M5" i="87"/>
  <c r="T33" i="87"/>
  <c r="M8" i="87"/>
  <c r="AX548" i="84"/>
  <c r="AL548" i="84"/>
  <c r="AU548" i="84"/>
  <c r="AR548" i="84"/>
  <c r="AO548" i="84"/>
  <c r="BB548" i="84"/>
  <c r="CJ51" i="86"/>
  <c r="CI51" i="86"/>
  <c r="CK51" i="86"/>
  <c r="CM51" i="86"/>
  <c r="CL51" i="86"/>
  <c r="CD53" i="86"/>
  <c r="BB54" i="86"/>
  <c r="F54" i="86"/>
  <c r="AZ54" i="86"/>
  <c r="H54" i="86"/>
  <c r="AW54" i="86"/>
  <c r="BA54" i="86"/>
  <c r="L54" i="86"/>
  <c r="AP54" i="86"/>
  <c r="AR54" i="86"/>
  <c r="AQ54" i="86"/>
  <c r="AY54" i="86"/>
  <c r="AX54" i="86"/>
  <c r="AU54" i="86"/>
  <c r="AS54" i="86"/>
  <c r="Q54" i="86"/>
  <c r="AN54" i="86"/>
  <c r="E54" i="86"/>
  <c r="BW54" i="86" s="1"/>
  <c r="AO54" i="86"/>
  <c r="G54" i="86"/>
  <c r="BX54" i="86" s="1"/>
  <c r="R54" i="86"/>
  <c r="J54" i="86"/>
  <c r="O54" i="86"/>
  <c r="K54" i="86"/>
  <c r="AT54" i="86"/>
  <c r="S54" i="86"/>
  <c r="P54" i="86"/>
  <c r="I54" i="86"/>
  <c r="BY54" i="86" s="1"/>
  <c r="N54" i="86"/>
  <c r="AR242" i="84"/>
  <c r="AL242" i="84"/>
  <c r="AU242" i="84"/>
  <c r="AX242" i="84"/>
  <c r="BB242" i="84"/>
  <c r="AO242" i="84"/>
  <c r="AU536" i="84"/>
  <c r="AL536" i="84"/>
  <c r="AR536" i="84"/>
  <c r="AX536" i="84"/>
  <c r="BB536" i="84"/>
  <c r="AO536" i="84"/>
  <c r="AL396" i="84"/>
  <c r="AU396" i="84"/>
  <c r="AR396" i="84"/>
  <c r="AX396" i="84"/>
  <c r="BB396" i="84"/>
  <c r="AO396" i="84"/>
  <c r="AX342" i="84"/>
  <c r="AL342" i="84"/>
  <c r="AR342" i="84"/>
  <c r="AU342" i="84"/>
  <c r="BB342" i="84"/>
  <c r="AO342" i="84"/>
  <c r="AU479" i="84"/>
  <c r="AR479" i="84"/>
  <c r="AX479" i="84"/>
  <c r="AL479" i="84"/>
  <c r="AO479" i="84"/>
  <c r="BB479" i="84"/>
  <c r="AX10" i="84"/>
  <c r="AL10" i="84"/>
  <c r="AR10" i="84"/>
  <c r="AU10" i="84"/>
  <c r="BB10" i="84"/>
  <c r="AO10" i="84"/>
  <c r="AO261" i="84"/>
  <c r="AX261" i="84"/>
  <c r="AL261" i="84"/>
  <c r="AR261" i="84"/>
  <c r="AU261" i="84"/>
  <c r="BB261" i="84"/>
  <c r="AL513" i="84"/>
  <c r="AR513" i="84"/>
  <c r="AU513" i="84"/>
  <c r="AX513" i="84"/>
  <c r="BB513" i="84"/>
  <c r="AO513" i="84"/>
  <c r="AX208" i="84"/>
  <c r="AL208" i="84"/>
  <c r="AR208" i="84"/>
  <c r="AU208" i="84"/>
  <c r="AO208" i="84"/>
  <c r="BB208" i="84"/>
  <c r="AR350" i="84"/>
  <c r="AX350" i="84"/>
  <c r="AL350" i="84"/>
  <c r="AU350" i="84"/>
  <c r="AO350" i="84"/>
  <c r="BB350" i="84"/>
  <c r="AL324" i="84"/>
  <c r="AR324" i="84"/>
  <c r="AU324" i="84"/>
  <c r="AX324" i="84"/>
  <c r="BB324" i="84"/>
  <c r="AO324" i="84"/>
  <c r="AR9" i="84"/>
  <c r="AU9" i="84"/>
  <c r="AL9" i="84"/>
  <c r="AX9" i="84"/>
  <c r="AO9" i="84"/>
  <c r="BB9" i="84"/>
  <c r="AL41" i="84"/>
  <c r="AX41" i="84"/>
  <c r="AR41" i="84"/>
  <c r="AU41" i="84"/>
  <c r="BB41" i="84"/>
  <c r="AO41" i="84"/>
  <c r="AR29" i="84"/>
  <c r="AX29" i="84"/>
  <c r="AL29" i="84"/>
  <c r="AU29" i="84"/>
  <c r="AO29" i="84"/>
  <c r="BB29" i="84"/>
  <c r="AX407" i="84"/>
  <c r="AL407" i="84"/>
  <c r="AR407" i="84"/>
  <c r="AU407" i="84"/>
  <c r="BB407" i="84"/>
  <c r="AO407" i="84"/>
  <c r="AU530" i="84"/>
  <c r="AL530" i="84"/>
  <c r="AX530" i="84"/>
  <c r="AR530" i="84"/>
  <c r="BB530" i="84"/>
  <c r="AO530" i="84"/>
  <c r="AR186" i="84"/>
  <c r="AL186" i="84"/>
  <c r="AU186" i="84"/>
  <c r="AX186" i="84"/>
  <c r="BB186" i="84"/>
  <c r="AO186" i="84"/>
  <c r="AL460" i="84"/>
  <c r="AU460" i="84"/>
  <c r="AX460" i="84"/>
  <c r="AR460" i="84"/>
  <c r="BB460" i="84"/>
  <c r="AO460" i="84"/>
  <c r="J28" i="86"/>
  <c r="W27" i="86"/>
  <c r="W23" i="86"/>
  <c r="J24" i="86"/>
  <c r="U3" i="86"/>
  <c r="CB3" i="86"/>
  <c r="F4" i="86"/>
  <c r="X3" i="86"/>
  <c r="Y3" i="86"/>
  <c r="BF15" i="86"/>
  <c r="AS16" i="86"/>
  <c r="BH21" i="86"/>
  <c r="BG21" i="86"/>
  <c r="BD21" i="86"/>
  <c r="AO22" i="86"/>
  <c r="I10" i="86"/>
  <c r="T9" i="86"/>
  <c r="T10" i="86" s="1"/>
  <c r="Y11" i="86"/>
  <c r="CB11" i="86"/>
  <c r="U11" i="86"/>
  <c r="X11" i="86"/>
  <c r="F12" i="86"/>
  <c r="V41" i="86"/>
  <c r="H42" i="86"/>
  <c r="I50" i="86"/>
  <c r="T49" i="86"/>
  <c r="T50" i="86" s="1"/>
  <c r="H12" i="86"/>
  <c r="V11" i="86"/>
  <c r="R22" i="86"/>
  <c r="E28" i="86"/>
  <c r="CA27" i="86"/>
  <c r="I4" i="86"/>
  <c r="CF3" i="86"/>
  <c r="T3" i="86"/>
  <c r="T4" i="86" s="1"/>
  <c r="H20" i="86"/>
  <c r="V19" i="86"/>
  <c r="G46" i="86"/>
  <c r="AR8" i="86"/>
  <c r="BC7" i="86"/>
  <c r="BC8" i="86" s="1"/>
  <c r="BA4" i="86"/>
  <c r="BH31" i="86"/>
  <c r="BD31" i="86"/>
  <c r="BG31" i="86"/>
  <c r="AO32" i="86"/>
  <c r="V27" i="86"/>
  <c r="H28" i="86"/>
  <c r="BE39" i="86"/>
  <c r="AQ40" i="86"/>
  <c r="AQ26" i="86"/>
  <c r="BE25" i="86"/>
  <c r="AV43" i="86"/>
  <c r="AV44" i="86" s="1"/>
  <c r="AT44" i="86"/>
  <c r="Y31" i="86"/>
  <c r="F32" i="86"/>
  <c r="CB31" i="86"/>
  <c r="U31" i="86"/>
  <c r="X31" i="86"/>
  <c r="K8" i="86"/>
  <c r="M7" i="86"/>
  <c r="M8" i="86" s="1"/>
  <c r="CA21" i="86"/>
  <c r="E22" i="86"/>
  <c r="Q40" i="86"/>
  <c r="AY38" i="86"/>
  <c r="AR12" i="86"/>
  <c r="BC11" i="86"/>
  <c r="BC12" i="86" s="1"/>
  <c r="AS28" i="86"/>
  <c r="BF27" i="86"/>
  <c r="AQ14" i="86"/>
  <c r="BE13" i="86"/>
  <c r="L30" i="86"/>
  <c r="W3" i="86"/>
  <c r="J4" i="86"/>
  <c r="CA5" i="86"/>
  <c r="E6" i="86"/>
  <c r="I40" i="86"/>
  <c r="T39" i="86"/>
  <c r="T40" i="86" s="1"/>
  <c r="AQ32" i="86"/>
  <c r="BE31" i="86"/>
  <c r="L22" i="86"/>
  <c r="G4" i="86"/>
  <c r="AT12" i="86"/>
  <c r="AV11" i="86"/>
  <c r="AV12" i="86" s="1"/>
  <c r="BC9" i="86"/>
  <c r="BC10" i="86" s="1"/>
  <c r="AR10" i="86"/>
  <c r="AW36" i="86"/>
  <c r="S6" i="86"/>
  <c r="U25" i="86"/>
  <c r="Y25" i="86"/>
  <c r="X25" i="86"/>
  <c r="F26" i="86"/>
  <c r="CB25" i="86"/>
  <c r="L10" i="86"/>
  <c r="F14" i="86"/>
  <c r="X13" i="86"/>
  <c r="CB13" i="86"/>
  <c r="U13" i="86"/>
  <c r="Y13" i="86"/>
  <c r="W15" i="86"/>
  <c r="J16" i="86"/>
  <c r="N48" i="86"/>
  <c r="BB40" i="86"/>
  <c r="Q20" i="86"/>
  <c r="H26" i="86"/>
  <c r="V25" i="86"/>
  <c r="AT42" i="86"/>
  <c r="AV41" i="86"/>
  <c r="AV42" i="86" s="1"/>
  <c r="AR24" i="86"/>
  <c r="BC23" i="86"/>
  <c r="M47" i="86"/>
  <c r="M48" i="86" s="1"/>
  <c r="K48" i="86"/>
  <c r="G10" i="86"/>
  <c r="R20" i="86"/>
  <c r="Q44" i="86"/>
  <c r="P42" i="86"/>
  <c r="AZ12" i="86"/>
  <c r="AR40" i="86"/>
  <c r="BC39" i="86"/>
  <c r="BC40" i="86" s="1"/>
  <c r="AY12" i="86"/>
  <c r="T29" i="86"/>
  <c r="T30" i="86" s="1"/>
  <c r="I30" i="86"/>
  <c r="AZ18" i="86"/>
  <c r="AS22" i="86"/>
  <c r="BF21" i="86"/>
  <c r="O28" i="86"/>
  <c r="AQ8" i="86"/>
  <c r="BE7" i="86"/>
  <c r="BB8" i="86"/>
  <c r="M41" i="86"/>
  <c r="M42" i="86" s="1"/>
  <c r="K42" i="86"/>
  <c r="O34" i="86"/>
  <c r="O22" i="86"/>
  <c r="T13" i="86"/>
  <c r="T14" i="86" s="1"/>
  <c r="I14" i="86"/>
  <c r="AX46" i="86"/>
  <c r="H32" i="86"/>
  <c r="V31" i="86"/>
  <c r="AX451" i="84"/>
  <c r="AL451" i="84"/>
  <c r="AU451" i="84"/>
  <c r="AR451" i="84"/>
  <c r="BB451" i="84"/>
  <c r="AO451" i="84"/>
  <c r="AR448" i="84"/>
  <c r="AL448" i="84"/>
  <c r="AU448" i="84"/>
  <c r="AX448" i="84"/>
  <c r="BB448" i="84"/>
  <c r="AO448" i="84"/>
  <c r="U32" i="87"/>
  <c r="Y32" i="87"/>
  <c r="X32" i="87"/>
  <c r="U26" i="87"/>
  <c r="X26" i="87"/>
  <c r="Y26" i="87"/>
  <c r="M36" i="87"/>
  <c r="U38" i="87"/>
  <c r="X38" i="87"/>
  <c r="Y38" i="87"/>
  <c r="M30" i="87"/>
  <c r="M38" i="87"/>
  <c r="M12" i="87"/>
  <c r="U36" i="87"/>
  <c r="Y36" i="87"/>
  <c r="X36" i="87"/>
  <c r="T31" i="87"/>
  <c r="T7" i="87"/>
  <c r="T37" i="87"/>
  <c r="AL376" i="84"/>
  <c r="AX376" i="84"/>
  <c r="AU376" i="84"/>
  <c r="AR376" i="84"/>
  <c r="AO376" i="84"/>
  <c r="BB376" i="84"/>
  <c r="AX389" i="84"/>
  <c r="AU389" i="84"/>
  <c r="AL389" i="84"/>
  <c r="AR389" i="84"/>
  <c r="BB389" i="84"/>
  <c r="AO389" i="84"/>
  <c r="AR327" i="84"/>
  <c r="AU327" i="84"/>
  <c r="AL327" i="84"/>
  <c r="AX327" i="84"/>
  <c r="BB327" i="84"/>
  <c r="AO327" i="84"/>
  <c r="CL52" i="86"/>
  <c r="CM52" i="86"/>
  <c r="CJ52" i="86"/>
  <c r="CD54" i="86"/>
  <c r="CK52" i="86"/>
  <c r="CI52" i="86"/>
  <c r="CA51" i="86"/>
  <c r="CG3" i="86" s="1"/>
  <c r="BW51" i="86"/>
  <c r="BU52" i="86"/>
  <c r="BV52" i="86" s="1"/>
  <c r="X52" i="86"/>
  <c r="CC52" i="86"/>
  <c r="U52" i="86"/>
  <c r="CB52" i="86"/>
  <c r="Y52" i="86"/>
  <c r="AB41" i="86"/>
  <c r="AC41" i="86" s="1"/>
  <c r="AU150" i="84"/>
  <c r="AL150" i="84"/>
  <c r="AX150" i="84"/>
  <c r="AR150" i="84"/>
  <c r="AO150" i="84"/>
  <c r="BB150" i="84"/>
  <c r="AU256" i="84"/>
  <c r="AL256" i="84"/>
  <c r="AR256" i="84"/>
  <c r="AX256" i="84"/>
  <c r="AO256" i="84"/>
  <c r="BB256" i="84"/>
  <c r="BB456" i="84"/>
  <c r="AR456" i="84"/>
  <c r="AU456" i="84"/>
  <c r="AX456" i="84"/>
  <c r="AL456" i="84"/>
  <c r="AO456" i="84"/>
  <c r="AR331" i="84"/>
  <c r="AL331" i="84"/>
  <c r="AX331" i="84"/>
  <c r="AU331" i="84"/>
  <c r="BB331" i="84"/>
  <c r="AO331" i="84"/>
  <c r="AR74" i="84"/>
  <c r="AL74" i="84"/>
  <c r="AX74" i="84"/>
  <c r="AU74" i="84"/>
  <c r="AO74" i="84"/>
  <c r="BB74" i="84"/>
  <c r="AR304" i="84"/>
  <c r="AU304" i="84"/>
  <c r="AX304" i="84"/>
  <c r="AL304" i="84"/>
  <c r="BB304" i="84"/>
  <c r="AO304" i="84"/>
  <c r="AU319" i="84"/>
  <c r="AX319" i="84"/>
  <c r="AL319" i="84"/>
  <c r="AR319" i="84"/>
  <c r="BB319" i="84"/>
  <c r="AO319" i="84"/>
  <c r="AR532" i="84"/>
  <c r="AL532" i="84"/>
  <c r="AU532" i="84"/>
  <c r="AX532" i="84"/>
  <c r="BB532" i="84"/>
  <c r="AO532" i="84"/>
  <c r="AX392" i="84"/>
  <c r="AR392" i="84"/>
  <c r="AU392" i="84"/>
  <c r="AL392" i="84"/>
  <c r="BB392" i="84"/>
  <c r="AO392" i="84"/>
  <c r="AL139" i="84"/>
  <c r="AU139" i="84"/>
  <c r="AX139" i="84"/>
  <c r="AR139" i="84"/>
  <c r="BB139" i="84"/>
  <c r="AO139" i="84"/>
  <c r="AL364" i="84"/>
  <c r="AU364" i="84"/>
  <c r="AX364" i="84"/>
  <c r="AR364" i="84"/>
  <c r="BB364" i="84"/>
  <c r="AO364" i="84"/>
  <c r="AR363" i="84"/>
  <c r="AX363" i="84"/>
  <c r="AL363" i="84"/>
  <c r="AU363" i="84"/>
  <c r="BB363" i="84"/>
  <c r="AO363" i="84"/>
  <c r="AL178" i="84"/>
  <c r="AX178" i="84"/>
  <c r="AU178" i="84"/>
  <c r="AR178" i="84"/>
  <c r="BB178" i="84"/>
  <c r="AO178" i="84"/>
  <c r="AR165" i="84"/>
  <c r="AL165" i="84"/>
  <c r="AX165" i="84"/>
  <c r="AU165" i="84"/>
  <c r="BB165" i="84"/>
  <c r="AO165" i="84"/>
  <c r="AX130" i="84"/>
  <c r="AL130" i="84"/>
  <c r="AU130" i="84"/>
  <c r="AR130" i="84"/>
  <c r="AO130" i="84"/>
  <c r="BB130" i="84"/>
  <c r="AU413" i="84"/>
  <c r="AL413" i="84"/>
  <c r="AR413" i="84"/>
  <c r="AX413" i="84"/>
  <c r="AO413" i="84"/>
  <c r="BB413" i="84"/>
  <c r="AU24" i="84"/>
  <c r="AL24" i="84"/>
  <c r="AR24" i="84"/>
  <c r="AX24" i="84"/>
  <c r="BB24" i="84"/>
  <c r="AO24" i="84"/>
  <c r="BB224" i="84"/>
  <c r="AL224" i="84"/>
  <c r="AU224" i="84"/>
  <c r="AX224" i="84"/>
  <c r="AR224" i="84"/>
  <c r="AO224" i="84"/>
  <c r="AX253" i="84"/>
  <c r="AL253" i="84"/>
  <c r="AR253" i="84"/>
  <c r="AU253" i="84"/>
  <c r="AO253" i="84"/>
  <c r="BB253" i="84"/>
  <c r="AU303" i="84"/>
  <c r="AX303" i="84"/>
  <c r="AL303" i="84"/>
  <c r="AR303" i="84"/>
  <c r="AO303" i="84"/>
  <c r="BB303" i="84"/>
  <c r="AU81" i="84"/>
  <c r="AL81" i="84"/>
  <c r="AR81" i="84"/>
  <c r="AX81" i="84"/>
  <c r="AO81" i="84"/>
  <c r="BB81" i="84"/>
  <c r="AR268" i="84"/>
  <c r="AL268" i="84"/>
  <c r="AX268" i="84"/>
  <c r="AU268" i="84"/>
  <c r="AO268" i="84"/>
  <c r="BB268" i="84"/>
  <c r="AR372" i="84"/>
  <c r="AU372" i="84"/>
  <c r="AL372" i="84"/>
  <c r="AX372" i="84"/>
  <c r="BB372" i="84"/>
  <c r="AO372" i="84"/>
  <c r="AL552" i="84"/>
  <c r="AU552" i="84"/>
  <c r="AX552" i="84"/>
  <c r="AR552" i="84"/>
  <c r="BB552" i="84"/>
  <c r="AO552" i="84"/>
  <c r="AL267" i="84"/>
  <c r="AR267" i="84"/>
  <c r="AX267" i="84"/>
  <c r="AU267" i="84"/>
  <c r="AO267" i="84"/>
  <c r="BB267" i="84"/>
  <c r="AL55" i="84"/>
  <c r="AR55" i="84"/>
  <c r="AU55" i="84"/>
  <c r="AX55" i="84"/>
  <c r="BB55" i="84"/>
  <c r="AO55" i="84"/>
  <c r="AL522" i="84"/>
  <c r="AX522" i="84"/>
  <c r="AR522" i="84"/>
  <c r="AU522" i="84"/>
  <c r="AO522" i="84"/>
  <c r="BB522" i="84"/>
  <c r="AR481" i="84"/>
  <c r="AL481" i="84"/>
  <c r="AU481" i="84"/>
  <c r="AX481" i="84"/>
  <c r="BB481" i="84"/>
  <c r="AO481" i="84"/>
  <c r="AR173" i="84"/>
  <c r="AL173" i="84"/>
  <c r="AX173" i="84"/>
  <c r="AU173" i="84"/>
  <c r="BB173" i="84"/>
  <c r="AO173" i="84"/>
  <c r="AR475" i="84"/>
  <c r="AU475" i="84"/>
  <c r="AX475" i="84"/>
  <c r="AL475" i="84"/>
  <c r="AO475" i="84"/>
  <c r="BB475" i="84"/>
  <c r="AM18" i="86"/>
  <c r="AY20" i="86"/>
  <c r="AO44" i="86"/>
  <c r="BG43" i="86"/>
  <c r="BH43" i="86"/>
  <c r="BD43" i="86"/>
  <c r="R12" i="86"/>
  <c r="G6" i="86"/>
  <c r="W47" i="86"/>
  <c r="J48" i="86"/>
  <c r="J40" i="86"/>
  <c r="W39" i="86"/>
  <c r="T5" i="86"/>
  <c r="T6" i="86" s="1"/>
  <c r="I6" i="86"/>
  <c r="AX4" i="86"/>
  <c r="T31" i="86"/>
  <c r="T32" i="86" s="1"/>
  <c r="I32" i="86"/>
  <c r="AO14" i="86"/>
  <c r="BD13" i="86"/>
  <c r="BG13" i="86"/>
  <c r="BH13" i="86"/>
  <c r="BH3" i="86"/>
  <c r="BG3" i="86"/>
  <c r="AO4" i="86"/>
  <c r="BD3" i="86"/>
  <c r="BE11" i="86"/>
  <c r="AQ12" i="86"/>
  <c r="S30" i="86"/>
  <c r="V3" i="86"/>
  <c r="H4" i="86"/>
  <c r="BG37" i="86"/>
  <c r="BD37" i="86"/>
  <c r="AO38" i="86"/>
  <c r="BH37" i="86"/>
  <c r="K6" i="86"/>
  <c r="M5" i="86"/>
  <c r="M6" i="86" s="1"/>
  <c r="AN20" i="86"/>
  <c r="J8" i="86"/>
  <c r="W7" i="86"/>
  <c r="O40" i="86"/>
  <c r="L12" i="86"/>
  <c r="AQ22" i="86"/>
  <c r="BE21" i="86"/>
  <c r="S18" i="86"/>
  <c r="AV39" i="86"/>
  <c r="AV40" i="86" s="1"/>
  <c r="AT40" i="86"/>
  <c r="V29" i="86"/>
  <c r="H30" i="86"/>
  <c r="M21" i="86"/>
  <c r="M22" i="86" s="1"/>
  <c r="K22" i="86"/>
  <c r="BG47" i="86"/>
  <c r="BD47" i="86"/>
  <c r="AO48" i="86"/>
  <c r="BH47" i="86"/>
  <c r="AV47" i="86"/>
  <c r="AV48" i="86" s="1"/>
  <c r="AT48" i="86"/>
  <c r="AU22" i="86"/>
  <c r="AQ10" i="86"/>
  <c r="BE9" i="86"/>
  <c r="D18" i="86"/>
  <c r="BA20" i="86"/>
  <c r="O18" i="86"/>
  <c r="E36" i="86"/>
  <c r="CA35" i="86"/>
  <c r="AM6" i="86"/>
  <c r="AO6" i="86"/>
  <c r="BH5" i="86"/>
  <c r="BG5" i="86"/>
  <c r="BD5" i="86"/>
  <c r="I18" i="86"/>
  <c r="T17" i="86"/>
  <c r="T18" i="86" s="1"/>
  <c r="AQ48" i="86"/>
  <c r="BE47" i="86"/>
  <c r="BC21" i="86"/>
  <c r="BC22" i="86" s="1"/>
  <c r="AR22" i="86"/>
  <c r="M27" i="86"/>
  <c r="M28" i="86" s="1"/>
  <c r="K28" i="86"/>
  <c r="AS20" i="86"/>
  <c r="BF19" i="86"/>
  <c r="AN14" i="86"/>
  <c r="BA18" i="86"/>
  <c r="AN28" i="86"/>
  <c r="N18" i="86"/>
  <c r="AP24" i="86"/>
  <c r="AM34" i="86"/>
  <c r="AQ18" i="86"/>
  <c r="BE17" i="86"/>
  <c r="S20" i="86"/>
  <c r="AR301" i="84"/>
  <c r="AX301" i="84"/>
  <c r="AL301" i="84"/>
  <c r="AU301" i="84"/>
  <c r="BB301" i="84"/>
  <c r="AO301" i="84"/>
  <c r="AR401" i="84"/>
  <c r="AU401" i="84"/>
  <c r="AX401" i="84"/>
  <c r="AL401" i="84"/>
  <c r="BB401" i="84"/>
  <c r="AO401" i="84"/>
  <c r="U9" i="87"/>
  <c r="Y9" i="87"/>
  <c r="X9" i="87"/>
  <c r="T30" i="87"/>
  <c r="Y42" i="87"/>
  <c r="U42" i="87"/>
  <c r="X42" i="87"/>
  <c r="T6" i="87"/>
  <c r="T11" i="87"/>
  <c r="Y15" i="87"/>
  <c r="X15" i="87"/>
  <c r="U15" i="87"/>
  <c r="T4" i="87"/>
  <c r="Y13" i="87"/>
  <c r="X13" i="87"/>
  <c r="U13" i="87"/>
  <c r="Y34" i="87"/>
  <c r="X34" i="87"/>
  <c r="U34" i="87"/>
  <c r="U4" i="87"/>
  <c r="Y4" i="87"/>
  <c r="X4" i="87"/>
  <c r="Y41" i="87"/>
  <c r="U41" i="87"/>
  <c r="X41" i="87"/>
  <c r="AU443" i="84"/>
  <c r="AL443" i="84"/>
  <c r="AR443" i="84"/>
  <c r="AX443" i="84"/>
  <c r="BB443" i="84"/>
  <c r="AO443" i="84"/>
  <c r="AL188" i="84"/>
  <c r="AU188" i="84"/>
  <c r="AX188" i="84"/>
  <c r="AR188" i="84"/>
  <c r="AO188" i="84"/>
  <c r="BB188" i="84"/>
  <c r="V52" i="86"/>
  <c r="BG51" i="86"/>
  <c r="BH51" i="86"/>
  <c r="BD51" i="86"/>
  <c r="AR300" i="84"/>
  <c r="AL300" i="84"/>
  <c r="AX300" i="84"/>
  <c r="AU300" i="84"/>
  <c r="AO300" i="84"/>
  <c r="BB300" i="84"/>
  <c r="AU437" i="84"/>
  <c r="AX437" i="84"/>
  <c r="AL437" i="84"/>
  <c r="AR437" i="84"/>
  <c r="BB437" i="84"/>
  <c r="AO437" i="84"/>
  <c r="AR297" i="84"/>
  <c r="AX297" i="84"/>
  <c r="AL297" i="84"/>
  <c r="AU297" i="84"/>
  <c r="BB297" i="84"/>
  <c r="AO297" i="84"/>
  <c r="AL480" i="84"/>
  <c r="AR480" i="84"/>
  <c r="AU480" i="84"/>
  <c r="AX480" i="84"/>
  <c r="BB480" i="84"/>
  <c r="AO480" i="84"/>
  <c r="AU191" i="84"/>
  <c r="AR191" i="84"/>
  <c r="AL191" i="84"/>
  <c r="AX191" i="84"/>
  <c r="BB191" i="84"/>
  <c r="AO191" i="84"/>
  <c r="AR82" i="84"/>
  <c r="AL82" i="84"/>
  <c r="AU82" i="84"/>
  <c r="AX82" i="84"/>
  <c r="BB82" i="84"/>
  <c r="AO82" i="84"/>
  <c r="AU240" i="84"/>
  <c r="AX240" i="84"/>
  <c r="AL240" i="84"/>
  <c r="AR240" i="84"/>
  <c r="AO240" i="84"/>
  <c r="BB240" i="84"/>
  <c r="AX128" i="84"/>
  <c r="AL128" i="84"/>
  <c r="AR128" i="84"/>
  <c r="AU128" i="84"/>
  <c r="AO128" i="84"/>
  <c r="BB128" i="84"/>
  <c r="AR56" i="84"/>
  <c r="AX56" i="84"/>
  <c r="AU56" i="84"/>
  <c r="AL56" i="84"/>
  <c r="AO56" i="84"/>
  <c r="BB56" i="84"/>
  <c r="AX152" i="84"/>
  <c r="AL152" i="84"/>
  <c r="AR152" i="84"/>
  <c r="AU152" i="84"/>
  <c r="AO152" i="84"/>
  <c r="BB152" i="84"/>
  <c r="AU290" i="84"/>
  <c r="AR290" i="84"/>
  <c r="AX290" i="84"/>
  <c r="AL290" i="84"/>
  <c r="BB290" i="84"/>
  <c r="AO290" i="84"/>
  <c r="AX484" i="84"/>
  <c r="AU484" i="84"/>
  <c r="AL484" i="84"/>
  <c r="AR484" i="84"/>
  <c r="AO484" i="84"/>
  <c r="BB484" i="84"/>
  <c r="AL161" i="84"/>
  <c r="AR161" i="84"/>
  <c r="AX161" i="84"/>
  <c r="AU161" i="84"/>
  <c r="BB161" i="84"/>
  <c r="AO161" i="84"/>
  <c r="AL17" i="84"/>
  <c r="AX17" i="84"/>
  <c r="AR17" i="84"/>
  <c r="AU17" i="84"/>
  <c r="BB17" i="84"/>
  <c r="AO17" i="84"/>
  <c r="AR190" i="84"/>
  <c r="AX190" i="84"/>
  <c r="AL190" i="84"/>
  <c r="AU190" i="84"/>
  <c r="AO190" i="84"/>
  <c r="BB190" i="84"/>
  <c r="AO519" i="84"/>
  <c r="AL519" i="84"/>
  <c r="AU519" i="84"/>
  <c r="AR519" i="84"/>
  <c r="AX519" i="84"/>
  <c r="BB519" i="84"/>
  <c r="AL309" i="84"/>
  <c r="AX309" i="84"/>
  <c r="AU309" i="84"/>
  <c r="AR309" i="84"/>
  <c r="BB309" i="84"/>
  <c r="AO309" i="84"/>
  <c r="AL321" i="84"/>
  <c r="AR321" i="84"/>
  <c r="AU321" i="84"/>
  <c r="AX321" i="84"/>
  <c r="BB321" i="84"/>
  <c r="AO321" i="84"/>
  <c r="AR251" i="84"/>
  <c r="AX251" i="84"/>
  <c r="AL251" i="84"/>
  <c r="AU251" i="84"/>
  <c r="BB251" i="84"/>
  <c r="AO251" i="84"/>
  <c r="AR151" i="84"/>
  <c r="AL151" i="84"/>
  <c r="AX151" i="84"/>
  <c r="AU151" i="84"/>
  <c r="AO151" i="84"/>
  <c r="BB151" i="84"/>
  <c r="AL32" i="84"/>
  <c r="AR32" i="84"/>
  <c r="AU32" i="84"/>
  <c r="AX32" i="84"/>
  <c r="BB32" i="84"/>
  <c r="AO32" i="84"/>
  <c r="AX466" i="84"/>
  <c r="AU466" i="84"/>
  <c r="AL466" i="84"/>
  <c r="AR466" i="84"/>
  <c r="AO466" i="84"/>
  <c r="BB466" i="84"/>
  <c r="AT36" i="86"/>
  <c r="AV35" i="86"/>
  <c r="AV36" i="86" s="1"/>
  <c r="H14" i="86"/>
  <c r="V13" i="86"/>
  <c r="AX394" i="84"/>
  <c r="AR394" i="84"/>
  <c r="AU394" i="84"/>
  <c r="AL394" i="84"/>
  <c r="BB394" i="84"/>
  <c r="AO394" i="84"/>
  <c r="AU157" i="84"/>
  <c r="AR157" i="84"/>
  <c r="AL157" i="84"/>
  <c r="AX157" i="84"/>
  <c r="BB157" i="84"/>
  <c r="AO157" i="84"/>
  <c r="AR87" i="84"/>
  <c r="AU87" i="84"/>
  <c r="AL87" i="84"/>
  <c r="AX87" i="84"/>
  <c r="BB87" i="84"/>
  <c r="AO87" i="84"/>
  <c r="AR18" i="84"/>
  <c r="AU18" i="84"/>
  <c r="AX18" i="84"/>
  <c r="AL18" i="84"/>
  <c r="BB18" i="84"/>
  <c r="AO18" i="84"/>
  <c r="AR478" i="84"/>
  <c r="AX478" i="84"/>
  <c r="AU478" i="84"/>
  <c r="AL478" i="84"/>
  <c r="AO478" i="84"/>
  <c r="BB478" i="84"/>
  <c r="AO473" i="84"/>
  <c r="AR473" i="84"/>
  <c r="AU473" i="84"/>
  <c r="AL473" i="84"/>
  <c r="AX473" i="84"/>
  <c r="BB473" i="84"/>
  <c r="AL166" i="84"/>
  <c r="AR166" i="84"/>
  <c r="AU166" i="84"/>
  <c r="AX166" i="84"/>
  <c r="BB166" i="84"/>
  <c r="AO166" i="84"/>
  <c r="BB463" i="84"/>
  <c r="AR463" i="84"/>
  <c r="AX463" i="84"/>
  <c r="AU463" i="84"/>
  <c r="AL463" i="84"/>
  <c r="AO463" i="84"/>
  <c r="AL199" i="84"/>
  <c r="AR199" i="84"/>
  <c r="AU199" i="84"/>
  <c r="AX199" i="84"/>
  <c r="AO199" i="84"/>
  <c r="BB199" i="84"/>
  <c r="AX259" i="84"/>
  <c r="AL259" i="84"/>
  <c r="AR259" i="84"/>
  <c r="AU259" i="84"/>
  <c r="AO259" i="84"/>
  <c r="BB259" i="84"/>
  <c r="AX250" i="84"/>
  <c r="AR250" i="84"/>
  <c r="AL250" i="84"/>
  <c r="AU250" i="84"/>
  <c r="BB250" i="84"/>
  <c r="AO250" i="84"/>
  <c r="AR368" i="84"/>
  <c r="AL368" i="84"/>
  <c r="AX368" i="84"/>
  <c r="AU368" i="84"/>
  <c r="BB368" i="84"/>
  <c r="AO368" i="84"/>
  <c r="AX398" i="84"/>
  <c r="AR398" i="84"/>
  <c r="AL398" i="84"/>
  <c r="AU398" i="84"/>
  <c r="BB398" i="84"/>
  <c r="AO398" i="84"/>
  <c r="AU441" i="84"/>
  <c r="AL441" i="84"/>
  <c r="AR441" i="84"/>
  <c r="AX441" i="84"/>
  <c r="BB441" i="84"/>
  <c r="AO441" i="84"/>
  <c r="AL351" i="84"/>
  <c r="AU351" i="84"/>
  <c r="AR351" i="84"/>
  <c r="AX351" i="84"/>
  <c r="AO351" i="84"/>
  <c r="BB351" i="84"/>
  <c r="AR23" i="84"/>
  <c r="AU23" i="84"/>
  <c r="AL23" i="84"/>
  <c r="AX23" i="84"/>
  <c r="AO23" i="84"/>
  <c r="BB23" i="84"/>
  <c r="AL136" i="84"/>
  <c r="AR136" i="84"/>
  <c r="AX136" i="84"/>
  <c r="AU136" i="84"/>
  <c r="BB136" i="84"/>
  <c r="AO136" i="84"/>
  <c r="AX179" i="84"/>
  <c r="AL179" i="84"/>
  <c r="AR179" i="84"/>
  <c r="AU179" i="84"/>
  <c r="BB179" i="84"/>
  <c r="AO179" i="84"/>
  <c r="AL322" i="84"/>
  <c r="AX322" i="84"/>
  <c r="AR322" i="84"/>
  <c r="AU322" i="84"/>
  <c r="AO322" i="84"/>
  <c r="BB322" i="84"/>
  <c r="CA3" i="86"/>
  <c r="E4" i="86"/>
  <c r="J10" i="86"/>
  <c r="W9" i="86"/>
  <c r="P10" i="86"/>
  <c r="AW4" i="86"/>
  <c r="AX16" i="86"/>
  <c r="BG19" i="86"/>
  <c r="BH19" i="86"/>
  <c r="AO20" i="86"/>
  <c r="BD19" i="86"/>
  <c r="M23" i="86"/>
  <c r="M24" i="86" s="1"/>
  <c r="K24" i="86"/>
  <c r="M17" i="86"/>
  <c r="M18" i="86" s="1"/>
  <c r="K18" i="86"/>
  <c r="Q30" i="86"/>
  <c r="BF35" i="86"/>
  <c r="AS36" i="86"/>
  <c r="T11" i="86"/>
  <c r="T12" i="86" s="1"/>
  <c r="I12" i="86"/>
  <c r="CA41" i="86"/>
  <c r="E42" i="86"/>
  <c r="Y45" i="86"/>
  <c r="CB45" i="86"/>
  <c r="F46" i="86"/>
  <c r="U45" i="86"/>
  <c r="X45" i="86"/>
  <c r="N44" i="86"/>
  <c r="AY36" i="86"/>
  <c r="AQ16" i="86"/>
  <c r="BE15" i="86"/>
  <c r="AM10" i="86"/>
  <c r="BG29" i="86"/>
  <c r="BH29" i="86"/>
  <c r="AO30" i="86"/>
  <c r="BD29" i="86"/>
  <c r="I20" i="86"/>
  <c r="T19" i="86"/>
  <c r="T20" i="86" s="1"/>
  <c r="P44" i="86"/>
  <c r="CB17" i="86"/>
  <c r="F18" i="86"/>
  <c r="U17" i="86"/>
  <c r="Y17" i="86"/>
  <c r="X17" i="86"/>
  <c r="BH9" i="86"/>
  <c r="BG9" i="86"/>
  <c r="BD9" i="86"/>
  <c r="AO10" i="86"/>
  <c r="CB39" i="86"/>
  <c r="U39" i="86"/>
  <c r="F40" i="86"/>
  <c r="Y39" i="86"/>
  <c r="X39" i="86"/>
  <c r="AW22" i="86"/>
  <c r="AP14" i="86"/>
  <c r="J20" i="86"/>
  <c r="W19" i="86"/>
  <c r="AS44" i="86"/>
  <c r="BF43" i="86"/>
  <c r="N36" i="86"/>
  <c r="J50" i="86"/>
  <c r="W49" i="86"/>
  <c r="BC29" i="86"/>
  <c r="BC30" i="86" s="1"/>
  <c r="AR30" i="86"/>
  <c r="S46" i="86"/>
  <c r="S10" i="86"/>
  <c r="Y43" i="86"/>
  <c r="X43" i="86"/>
  <c r="F44" i="86"/>
  <c r="CB43" i="86"/>
  <c r="U43" i="86"/>
  <c r="BB20" i="86"/>
  <c r="AP50" i="86"/>
  <c r="G26" i="86"/>
  <c r="R6" i="86"/>
  <c r="CA15" i="86"/>
  <c r="E16" i="86"/>
  <c r="BA42" i="86"/>
  <c r="U7" i="86"/>
  <c r="CB7" i="86"/>
  <c r="Y7" i="86"/>
  <c r="F8" i="86"/>
  <c r="X7" i="86"/>
  <c r="L20" i="86"/>
  <c r="AT16" i="86"/>
  <c r="AV15" i="86"/>
  <c r="AV16" i="86" s="1"/>
  <c r="Q18" i="86"/>
  <c r="S36" i="86"/>
  <c r="X19" i="86"/>
  <c r="F20" i="86"/>
  <c r="Y19" i="86"/>
  <c r="U19" i="86"/>
  <c r="CB19" i="86"/>
  <c r="BG17" i="86"/>
  <c r="BD17" i="86"/>
  <c r="AO18" i="86"/>
  <c r="BH17" i="86"/>
  <c r="M25" i="86"/>
  <c r="M26" i="86" s="1"/>
  <c r="K26" i="86"/>
  <c r="AX22" i="86"/>
  <c r="AM26" i="86"/>
  <c r="AM46" i="86"/>
  <c r="AM28" i="86"/>
  <c r="S38" i="86"/>
  <c r="D46" i="86"/>
  <c r="BB28" i="86"/>
  <c r="AT32" i="86"/>
  <c r="AV31" i="86"/>
  <c r="AV32" i="86" s="1"/>
  <c r="D6" i="86"/>
  <c r="AQ4" i="86"/>
  <c r="BE3" i="86"/>
  <c r="R48" i="86"/>
  <c r="P28" i="86"/>
  <c r="BB42" i="86"/>
  <c r="BC47" i="86"/>
  <c r="BC48" i="86" s="1"/>
  <c r="AR48" i="86"/>
  <c r="AU36" i="86"/>
  <c r="U41" i="86"/>
  <c r="X41" i="86"/>
  <c r="F42" i="86"/>
  <c r="Y41" i="86"/>
  <c r="CB41" i="86"/>
  <c r="BC17" i="86"/>
  <c r="BC18" i="86" s="1"/>
  <c r="AR18" i="86"/>
  <c r="AU257" i="84"/>
  <c r="AR257" i="84"/>
  <c r="AX257" i="84"/>
  <c r="AL257" i="84"/>
  <c r="BB257" i="84"/>
  <c r="AO257" i="84"/>
  <c r="AL46" i="84"/>
  <c r="AX46" i="84"/>
  <c r="AU46" i="84"/>
  <c r="AR46" i="84"/>
  <c r="AO46" i="84"/>
  <c r="BB46" i="84"/>
  <c r="AL255" i="84"/>
  <c r="AX255" i="84"/>
  <c r="AR255" i="84"/>
  <c r="AU255" i="84"/>
  <c r="BB255" i="84"/>
  <c r="AO255" i="84"/>
  <c r="AL22" i="84"/>
  <c r="AU22" i="84"/>
  <c r="AX22" i="84"/>
  <c r="AR22" i="84"/>
  <c r="AO22" i="84"/>
  <c r="BB22" i="84"/>
  <c r="AR326" i="84"/>
  <c r="AL326" i="84"/>
  <c r="AU326" i="84"/>
  <c r="AX326" i="84"/>
  <c r="AO326" i="84"/>
  <c r="BB326" i="84"/>
  <c r="AR79" i="84"/>
  <c r="AU79" i="84"/>
  <c r="AL79" i="84"/>
  <c r="AX79" i="84"/>
  <c r="BB79" i="84"/>
  <c r="AO79" i="84"/>
  <c r="AX92" i="84"/>
  <c r="AL92" i="84"/>
  <c r="AU92" i="84"/>
  <c r="AR92" i="84"/>
  <c r="AO92" i="84"/>
  <c r="BB92" i="84"/>
  <c r="AX526" i="84"/>
  <c r="AL526" i="84"/>
  <c r="AR526" i="84"/>
  <c r="AU526" i="84"/>
  <c r="AO526" i="84"/>
  <c r="BB526" i="84"/>
  <c r="X14" i="87"/>
  <c r="Y14" i="87"/>
  <c r="U14" i="87"/>
  <c r="U20" i="87"/>
  <c r="Y20" i="87"/>
  <c r="X20" i="87"/>
  <c r="U40" i="87"/>
  <c r="Y40" i="87"/>
  <c r="X40" i="87"/>
  <c r="T23" i="87"/>
  <c r="M14" i="87"/>
  <c r="T36" i="87"/>
  <c r="Y23" i="87"/>
  <c r="U23" i="87"/>
  <c r="X23" i="87"/>
  <c r="Y25" i="87"/>
  <c r="U25" i="87"/>
  <c r="X25" i="87"/>
  <c r="U31" i="87"/>
  <c r="X31" i="87"/>
  <c r="Y31" i="87"/>
  <c r="T25" i="87"/>
  <c r="D50" i="87"/>
  <c r="X39" i="87"/>
  <c r="Y39" i="87"/>
  <c r="U39" i="87"/>
  <c r="X17" i="87"/>
  <c r="U17" i="87"/>
  <c r="Y17" i="87"/>
  <c r="M18" i="87"/>
  <c r="T8" i="87"/>
  <c r="M29" i="87"/>
  <c r="M19" i="87"/>
  <c r="AL163" i="84"/>
  <c r="AR163" i="84"/>
  <c r="AU163" i="84"/>
  <c r="AX163" i="84"/>
  <c r="BB163" i="84"/>
  <c r="AO163" i="84"/>
  <c r="AL355" i="84"/>
  <c r="AR355" i="84"/>
  <c r="AX355" i="84"/>
  <c r="AU355" i="84"/>
  <c r="AO355" i="84"/>
  <c r="BB355" i="84"/>
  <c r="AO195" i="84"/>
  <c r="AU195" i="84"/>
  <c r="AL195" i="84"/>
  <c r="AR195" i="84"/>
  <c r="AX195" i="84"/>
  <c r="BB195" i="84"/>
  <c r="Y51" i="86"/>
  <c r="AB40" i="86"/>
  <c r="AC40" i="86" s="1"/>
  <c r="X51" i="86"/>
  <c r="U51" i="86"/>
  <c r="CC51" i="86"/>
  <c r="CB51" i="86"/>
  <c r="BU51" i="86"/>
  <c r="BV51" i="86" s="1"/>
  <c r="V51" i="86"/>
  <c r="BD52" i="86"/>
  <c r="BG52" i="86"/>
  <c r="BH52" i="86"/>
  <c r="AL310" i="84"/>
  <c r="AR310" i="84"/>
  <c r="AU310" i="84"/>
  <c r="AX310" i="84"/>
  <c r="BB310" i="84"/>
  <c r="AO310" i="84"/>
  <c r="AR520" i="84"/>
  <c r="AU520" i="84"/>
  <c r="AL520" i="84"/>
  <c r="AX520" i="84"/>
  <c r="BB520" i="84"/>
  <c r="AO520" i="84"/>
  <c r="AR160" i="84"/>
  <c r="AU160" i="84"/>
  <c r="AL160" i="84"/>
  <c r="AX160" i="84"/>
  <c r="AO160" i="84"/>
  <c r="BB160" i="84"/>
  <c r="AL307" i="84"/>
  <c r="AR307" i="84"/>
  <c r="AU307" i="84"/>
  <c r="AX307" i="84"/>
  <c r="BB307" i="84"/>
  <c r="AO307" i="84"/>
  <c r="AR155" i="84"/>
  <c r="AL155" i="84"/>
  <c r="AU155" i="84"/>
  <c r="AX155" i="84"/>
  <c r="BB155" i="84"/>
  <c r="AO155" i="84"/>
  <c r="AU313" i="84"/>
  <c r="AX313" i="84"/>
  <c r="AR313" i="84"/>
  <c r="AL313" i="84"/>
  <c r="AO313" i="84"/>
  <c r="BB313" i="84"/>
  <c r="AU341" i="84"/>
  <c r="AR341" i="84"/>
  <c r="AL341" i="84"/>
  <c r="AX341" i="84"/>
  <c r="AO341" i="84"/>
  <c r="BB341" i="84"/>
  <c r="AL78" i="84"/>
  <c r="AR78" i="84"/>
  <c r="AU78" i="84"/>
  <c r="AX78" i="84"/>
  <c r="BB78" i="84"/>
  <c r="AO78" i="84"/>
  <c r="AL295" i="84"/>
  <c r="AR295" i="84"/>
  <c r="AU295" i="84"/>
  <c r="AX295" i="84"/>
  <c r="AO295" i="84"/>
  <c r="BB295" i="84"/>
  <c r="AR20" i="84"/>
  <c r="AU20" i="84"/>
  <c r="AL20" i="84"/>
  <c r="AX20" i="84"/>
  <c r="AO20" i="84"/>
  <c r="BB20" i="84"/>
  <c r="AR534" i="84"/>
  <c r="AX534" i="84"/>
  <c r="AU534" i="84"/>
  <c r="AL534" i="84"/>
  <c r="BB534" i="84"/>
  <c r="AO534" i="84"/>
  <c r="AU325" i="84"/>
  <c r="AX325" i="84"/>
  <c r="AL325" i="84"/>
  <c r="AR325" i="84"/>
  <c r="BB325" i="84"/>
  <c r="AO325" i="84"/>
  <c r="CA4" i="86" l="1"/>
  <c r="AD43" i="86"/>
  <c r="AC52" i="86" s="1"/>
  <c r="CB42" i="86"/>
  <c r="CA40" i="86"/>
  <c r="CA14" i="86"/>
  <c r="CA48" i="86"/>
  <c r="CA36" i="86"/>
  <c r="CB24" i="86"/>
  <c r="CA8" i="86"/>
  <c r="CA30" i="86"/>
  <c r="CA16" i="86"/>
  <c r="CB40" i="86"/>
  <c r="CA32" i="86"/>
  <c r="CA28" i="86"/>
  <c r="CB10" i="86"/>
  <c r="CA20" i="86"/>
  <c r="CB8" i="86"/>
  <c r="CB18" i="86"/>
  <c r="CB36" i="86"/>
  <c r="CB16" i="86"/>
  <c r="CA54" i="86"/>
  <c r="CA22" i="86"/>
  <c r="CA42" i="86"/>
  <c r="CB38" i="86"/>
  <c r="CB22" i="86"/>
  <c r="CB44" i="86"/>
  <c r="CA18" i="86"/>
  <c r="BZ54" i="86"/>
  <c r="CA38" i="86"/>
  <c r="CB53" i="86"/>
  <c r="AM568" i="84"/>
  <c r="AC44" i="86"/>
  <c r="AB53" i="86" s="1"/>
  <c r="AM313" i="84"/>
  <c r="AM243" i="84"/>
  <c r="AM518" i="84"/>
  <c r="AM632" i="84"/>
  <c r="CB20" i="86"/>
  <c r="CB46" i="86"/>
  <c r="CB48" i="86"/>
  <c r="AM887" i="84"/>
  <c r="AM834" i="84"/>
  <c r="AM294" i="84"/>
  <c r="AM734" i="84"/>
  <c r="AM702" i="84"/>
  <c r="AM561" i="84"/>
  <c r="AM438" i="84"/>
  <c r="AM20" i="84"/>
  <c r="AM840" i="84"/>
  <c r="AM470" i="84"/>
  <c r="AM829" i="84"/>
  <c r="AM521" i="84"/>
  <c r="AM654" i="84"/>
  <c r="AM501" i="84"/>
  <c r="AM357" i="84"/>
  <c r="AM890" i="84"/>
  <c r="AM885" i="84"/>
  <c r="AM918" i="84"/>
  <c r="AM602" i="84"/>
  <c r="AM763" i="84"/>
  <c r="AM755" i="84"/>
  <c r="AM924" i="84"/>
  <c r="AM572" i="84"/>
  <c r="AM900" i="84"/>
  <c r="AM813" i="84"/>
  <c r="AM639" i="84"/>
  <c r="AM228" i="84"/>
  <c r="AM799" i="84"/>
  <c r="AM661" i="84"/>
  <c r="AM708" i="84"/>
  <c r="AM843" i="84"/>
  <c r="AM931" i="84"/>
  <c r="AM181" i="84"/>
  <c r="AM917" i="84"/>
  <c r="AM764" i="84"/>
  <c r="AM595" i="84"/>
  <c r="AM494" i="84"/>
  <c r="AM112" i="84"/>
  <c r="AM239" i="84"/>
  <c r="AM933" i="84"/>
  <c r="AM722" i="84"/>
  <c r="AM214" i="84"/>
  <c r="AM863" i="84"/>
  <c r="AM687" i="84"/>
  <c r="AM137" i="84"/>
  <c r="AM287" i="84"/>
  <c r="AM857" i="84"/>
  <c r="AM643" i="84"/>
  <c r="AM507" i="84"/>
  <c r="AM649" i="84"/>
  <c r="AM126" i="84"/>
  <c r="AM812" i="84"/>
  <c r="AM935" i="84"/>
  <c r="AM719" i="84"/>
  <c r="AM874" i="84"/>
  <c r="AM78" i="84"/>
  <c r="AM341" i="84"/>
  <c r="AM833" i="84"/>
  <c r="AM921" i="84"/>
  <c r="AM314" i="84"/>
  <c r="AM143" i="84"/>
  <c r="AM642" i="84"/>
  <c r="AM614" i="84"/>
  <c r="AM80" i="84"/>
  <c r="BC520" i="84"/>
  <c r="AM310" i="84"/>
  <c r="AM195" i="84"/>
  <c r="AM163" i="84"/>
  <c r="AM504" i="84"/>
  <c r="AM295" i="84"/>
  <c r="AM929" i="84"/>
  <c r="AM883" i="84"/>
  <c r="BC110" i="84"/>
  <c r="AM378" i="84"/>
  <c r="AM355" i="84"/>
  <c r="AM289" i="84"/>
  <c r="AM892" i="84"/>
  <c r="AM902" i="84"/>
  <c r="AM534" i="84"/>
  <c r="AM757" i="84"/>
  <c r="AM25" i="84"/>
  <c r="AM577" i="84"/>
  <c r="AM155" i="84"/>
  <c r="AM427" i="84"/>
  <c r="AM160" i="84"/>
  <c r="AM520" i="84"/>
  <c r="AM567" i="84"/>
  <c r="AM423" i="84"/>
  <c r="AM187" i="84"/>
  <c r="AM192" i="84"/>
  <c r="AM325" i="84"/>
  <c r="AM820" i="84"/>
  <c r="AM624" i="84"/>
  <c r="AM873" i="84"/>
  <c r="AM31" i="84"/>
  <c r="AM526" i="84"/>
  <c r="AM215" i="84"/>
  <c r="AM586" i="84"/>
  <c r="AM913" i="84"/>
  <c r="AM291" i="84"/>
  <c r="AM854" i="84"/>
  <c r="AM172" i="84"/>
  <c r="AM263" i="84"/>
  <c r="AM290" i="84"/>
  <c r="AM555" i="84"/>
  <c r="AM878" i="84"/>
  <c r="AM882" i="84"/>
  <c r="AM956" i="84"/>
  <c r="AM480" i="84"/>
  <c r="AM908" i="84"/>
  <c r="AM188" i="84"/>
  <c r="AM747" i="84"/>
  <c r="AM301" i="84"/>
  <c r="AM953" i="84"/>
  <c r="AM522" i="84"/>
  <c r="AM372" i="84"/>
  <c r="AM204" i="84"/>
  <c r="AM697" i="84"/>
  <c r="AM629" i="84"/>
  <c r="AM331" i="84"/>
  <c r="AM784" i="84"/>
  <c r="AM150" i="84"/>
  <c r="CB4" i="86"/>
  <c r="AM271" i="84"/>
  <c r="AM862" i="84"/>
  <c r="AM350" i="84"/>
  <c r="AM615" i="84"/>
  <c r="AM539" i="84"/>
  <c r="AM802" i="84"/>
  <c r="AM208" i="84"/>
  <c r="AM513" i="84"/>
  <c r="AM657" i="84"/>
  <c r="AM832" i="84"/>
  <c r="AM769" i="84"/>
  <c r="AM925" i="84"/>
  <c r="AM851" i="84"/>
  <c r="AM550" i="84"/>
  <c r="AM154" i="84"/>
  <c r="AM67" i="84"/>
  <c r="AM679" i="84"/>
  <c r="AM538" i="84"/>
  <c r="AM711" i="84"/>
  <c r="AM27" i="84"/>
  <c r="AM468" i="84"/>
  <c r="AM197" i="84"/>
  <c r="AM348" i="84"/>
  <c r="AM776" i="84"/>
  <c r="AM811" i="84"/>
  <c r="AM717" i="84"/>
  <c r="AM260" i="84"/>
  <c r="AM471" i="84"/>
  <c r="AM768" i="84"/>
  <c r="AM529" i="84"/>
  <c r="AM293" i="84"/>
  <c r="AM626" i="84"/>
  <c r="AM573" i="84"/>
  <c r="AM212" i="84"/>
  <c r="AM912" i="84"/>
  <c r="AM273" i="84"/>
  <c r="AM759" i="84"/>
  <c r="AM695" i="84"/>
  <c r="AM464" i="84"/>
  <c r="AM277" i="84"/>
  <c r="AM549" i="84"/>
  <c r="AP40" i="84"/>
  <c r="AM447" i="84"/>
  <c r="AM65" i="84"/>
  <c r="AM667" i="84"/>
  <c r="AM901" i="84"/>
  <c r="AM750" i="84"/>
  <c r="AM308" i="84"/>
  <c r="AM467" i="84"/>
  <c r="AM584" i="84"/>
  <c r="M53" i="86"/>
  <c r="AB43" i="86"/>
  <c r="AE49" i="86" s="1"/>
  <c r="AM718" i="84"/>
  <c r="AM345" i="84"/>
  <c r="AM752" i="84"/>
  <c r="AM196" i="84"/>
  <c r="AM122" i="84"/>
  <c r="AM631" i="84"/>
  <c r="AM444" i="84"/>
  <c r="AM237" i="84"/>
  <c r="AM48" i="84"/>
  <c r="AM30" i="84"/>
  <c r="AM335" i="84"/>
  <c r="AM410" i="84"/>
  <c r="AM220" i="84"/>
  <c r="BC176" i="84"/>
  <c r="AM819" i="84"/>
  <c r="AM462" i="84"/>
  <c r="AM421" i="84"/>
  <c r="AM945" i="84"/>
  <c r="AM446" i="84"/>
  <c r="AM245" i="84"/>
  <c r="AM672" i="84"/>
  <c r="AM241" i="84"/>
  <c r="AM69" i="84"/>
  <c r="AM353" i="84"/>
  <c r="AM127" i="84"/>
  <c r="AM140" i="84"/>
  <c r="BC417" i="84"/>
  <c r="AM361" i="84"/>
  <c r="AM203" i="84"/>
  <c r="AM742" i="84"/>
  <c r="AM385" i="84"/>
  <c r="AM316" i="84"/>
  <c r="AM906" i="84"/>
  <c r="AM414" i="84"/>
  <c r="AM315" i="84"/>
  <c r="AM611" i="84"/>
  <c r="AM637" i="84"/>
  <c r="AM175" i="84"/>
  <c r="AM159" i="84"/>
  <c r="AM505" i="84"/>
  <c r="AM360" i="84"/>
  <c r="AM866" i="84"/>
  <c r="AM816" i="84"/>
  <c r="AM307" i="84"/>
  <c r="BC326" i="84"/>
  <c r="AM896" i="84"/>
  <c r="AM739" i="84"/>
  <c r="AM415" i="84"/>
  <c r="AM806" i="84"/>
  <c r="AM815" i="84"/>
  <c r="AM625" i="84"/>
  <c r="AM800" i="84"/>
  <c r="AM860" i="84"/>
  <c r="AM627" i="84"/>
  <c r="AM288" i="84"/>
  <c r="AM300" i="84"/>
  <c r="AM916" i="84"/>
  <c r="AM370" i="84"/>
  <c r="AM575" i="84"/>
  <c r="AM426" i="84"/>
  <c r="AM224" i="84"/>
  <c r="AM101" i="84"/>
  <c r="AM165" i="84"/>
  <c r="AM880" i="84"/>
  <c r="AM943" i="84"/>
  <c r="AM713" i="84"/>
  <c r="AM691" i="84"/>
  <c r="AM767" i="84"/>
  <c r="AM603" i="84"/>
  <c r="AM113" i="84"/>
  <c r="AM578" i="84"/>
  <c r="AM740" i="84"/>
  <c r="AM942" i="84"/>
  <c r="CB32" i="86"/>
  <c r="CB12" i="86"/>
  <c r="AM497" i="84"/>
  <c r="AM652" i="84"/>
  <c r="AM810" i="84"/>
  <c r="AM9" i="84"/>
  <c r="AM132" i="84"/>
  <c r="AM911" i="84"/>
  <c r="BC489" i="84"/>
  <c r="AM10" i="84"/>
  <c r="AM919" i="84"/>
  <c r="CB54" i="86"/>
  <c r="AM227" i="84"/>
  <c r="AM114" i="84"/>
  <c r="CA26" i="86"/>
  <c r="AM12" i="84"/>
  <c r="AM330" i="84"/>
  <c r="AM606" i="84"/>
  <c r="AM474" i="84"/>
  <c r="AM871" i="84"/>
  <c r="AM453" i="84"/>
  <c r="AM200" i="84"/>
  <c r="AM58" i="84"/>
  <c r="AM367" i="84"/>
  <c r="AV14" i="84"/>
  <c r="AC43" i="86"/>
  <c r="AB52" i="86" s="1"/>
  <c r="AM710" i="84"/>
  <c r="AM496" i="84"/>
  <c r="AM867" i="84"/>
  <c r="AM499" i="84"/>
  <c r="AM142" i="84"/>
  <c r="AM15" i="84"/>
  <c r="AM207" i="84"/>
  <c r="AM156" i="84"/>
  <c r="BC369" i="84"/>
  <c r="AM613" i="84"/>
  <c r="BC153" i="84"/>
  <c r="AM86" i="84"/>
  <c r="AM274" i="84"/>
  <c r="AM491" i="84"/>
  <c r="AM895" i="84"/>
  <c r="AM927" i="84"/>
  <c r="AM379" i="84"/>
  <c r="AM893" i="84"/>
  <c r="AM934" i="84"/>
  <c r="AM258" i="84"/>
  <c r="AM371" i="84"/>
  <c r="AM774" i="84"/>
  <c r="AM21" i="84"/>
  <c r="AM760" i="84"/>
  <c r="AM305" i="84"/>
  <c r="T53" i="86"/>
  <c r="CE3" i="86"/>
  <c r="AD40" i="86"/>
  <c r="AB49" i="86" s="1"/>
  <c r="AM116" i="84"/>
  <c r="AM184" i="84"/>
  <c r="AM804" i="84"/>
  <c r="BC225" i="84"/>
  <c r="AM193" i="84"/>
  <c r="BU53" i="86"/>
  <c r="BV53" i="86" s="1"/>
  <c r="CC53" i="86"/>
  <c r="AM435" i="84"/>
  <c r="AM516" i="84"/>
  <c r="AM753" i="84"/>
  <c r="AM459" i="84"/>
  <c r="AM174" i="84"/>
  <c r="AM452" i="84"/>
  <c r="AM523" i="84"/>
  <c r="AM756" i="84"/>
  <c r="AM879" i="84"/>
  <c r="AM700" i="84"/>
  <c r="AM716" i="84"/>
  <c r="AM782" i="84"/>
  <c r="AM922" i="84"/>
  <c r="AM894" i="84"/>
  <c r="AM560" i="84"/>
  <c r="AM692" i="84"/>
  <c r="AM865" i="84"/>
  <c r="AM60" i="84"/>
  <c r="AM533" i="84"/>
  <c r="AM129" i="84"/>
  <c r="H50" i="87"/>
  <c r="V49" i="87"/>
  <c r="AM255" i="84"/>
  <c r="BC441" i="84"/>
  <c r="AM581" i="84"/>
  <c r="AM947" i="84"/>
  <c r="AM259" i="84"/>
  <c r="AM574" i="84"/>
  <c r="AM743" i="84"/>
  <c r="AM272" i="84"/>
  <c r="AM569" i="84"/>
  <c r="AM394" i="84"/>
  <c r="AM391" i="84"/>
  <c r="AM801" i="84"/>
  <c r="AM309" i="84"/>
  <c r="AM852" i="84"/>
  <c r="AM180" i="84"/>
  <c r="AM45" i="84"/>
  <c r="AM517" i="84"/>
  <c r="AM540" i="84"/>
  <c r="AM152" i="84"/>
  <c r="AM56" i="84"/>
  <c r="AM388" i="84"/>
  <c r="AM493" i="84"/>
  <c r="AE44" i="86"/>
  <c r="AD53" i="86" s="1"/>
  <c r="AM651" i="84"/>
  <c r="AM49" i="84"/>
  <c r="AM24" i="84"/>
  <c r="BC392" i="84"/>
  <c r="AM319" i="84"/>
  <c r="AM685" i="84"/>
  <c r="AM54" i="84"/>
  <c r="AM954" i="84"/>
  <c r="AM962" i="84"/>
  <c r="AM88" i="84"/>
  <c r="AM758" i="84"/>
  <c r="AM376" i="84"/>
  <c r="AM562" i="84"/>
  <c r="AM16" i="84"/>
  <c r="CB14" i="86"/>
  <c r="AM530" i="84"/>
  <c r="AM103" i="84"/>
  <c r="AM693" i="84"/>
  <c r="AM396" i="84"/>
  <c r="AM242" i="84"/>
  <c r="AM382" i="84"/>
  <c r="AM904" i="84"/>
  <c r="AM960" i="84"/>
  <c r="AM279" i="84"/>
  <c r="AM952" i="84"/>
  <c r="AM225" i="84"/>
  <c r="AM778" i="84"/>
  <c r="AM682" i="84"/>
  <c r="AM302" i="84"/>
  <c r="AF44" i="86"/>
  <c r="AE53" i="86" s="1"/>
  <c r="AM650" i="84"/>
  <c r="AM461" i="84"/>
  <c r="AM299" i="84"/>
  <c r="AM648" i="84"/>
  <c r="AM515" i="84"/>
  <c r="AM807" i="84"/>
  <c r="AM100" i="84"/>
  <c r="AM430" i="84"/>
  <c r="AE41" i="86"/>
  <c r="AC50" i="86" s="1"/>
  <c r="AM337" i="84"/>
  <c r="AM510" i="84"/>
  <c r="AM868" i="84"/>
  <c r="AM638" i="84"/>
  <c r="AM57" i="84"/>
  <c r="BC201" i="84"/>
  <c r="AM244" i="84"/>
  <c r="AM856" i="84"/>
  <c r="AM158" i="84"/>
  <c r="AM28" i="84"/>
  <c r="AM205" i="84"/>
  <c r="AM320" i="84"/>
  <c r="AM97" i="84"/>
  <c r="AM14" i="84"/>
  <c r="AM292" i="84"/>
  <c r="AM383" i="84"/>
  <c r="AM714" i="84"/>
  <c r="AM571" i="84"/>
  <c r="AM254" i="84"/>
  <c r="AM408" i="84"/>
  <c r="BZ53" i="86"/>
  <c r="AM500" i="84"/>
  <c r="AM524" i="84"/>
  <c r="AM246" i="84"/>
  <c r="AM490" i="84"/>
  <c r="AM119" i="84"/>
  <c r="AM66" i="84"/>
  <c r="AM703" i="84"/>
  <c r="AM641" i="84"/>
  <c r="AM317" i="84"/>
  <c r="AM822" i="84"/>
  <c r="AM249" i="84"/>
  <c r="AM135" i="84"/>
  <c r="AM888" i="84"/>
  <c r="AM198" i="84"/>
  <c r="AM216" i="84"/>
  <c r="AM11" i="84"/>
  <c r="AM514" i="84"/>
  <c r="AM222" i="84"/>
  <c r="AM420" i="84"/>
  <c r="AM395" i="84"/>
  <c r="AM465" i="84"/>
  <c r="AM99" i="84"/>
  <c r="AM727" i="84"/>
  <c r="AM354" i="84"/>
  <c r="AM266" i="84"/>
  <c r="AM23" i="84"/>
  <c r="AM368" i="84"/>
  <c r="AM166" i="84"/>
  <c r="AM781" i="84"/>
  <c r="AM592" i="84"/>
  <c r="AM593" i="84"/>
  <c r="AM849" i="84"/>
  <c r="AM151" i="84"/>
  <c r="AM17" i="84"/>
  <c r="AM609" i="84"/>
  <c r="AM424" i="84"/>
  <c r="AM544" i="84"/>
  <c r="AM669" i="84"/>
  <c r="AM590" i="84"/>
  <c r="AM847" i="84"/>
  <c r="AM117" i="84"/>
  <c r="AM253" i="84"/>
  <c r="BC130" i="84"/>
  <c r="AM363" i="84"/>
  <c r="AM35" i="84"/>
  <c r="AM712" i="84"/>
  <c r="AM392" i="84"/>
  <c r="AM344" i="84"/>
  <c r="AM456" i="84"/>
  <c r="CJ54" i="86"/>
  <c r="CL54" i="86"/>
  <c r="CK54" i="86"/>
  <c r="CM54" i="86"/>
  <c r="CI54" i="86"/>
  <c r="AM842" i="84"/>
  <c r="AM495" i="84"/>
  <c r="AM451" i="84"/>
  <c r="AM186" i="84"/>
  <c r="AM356" i="84"/>
  <c r="AM41" i="84"/>
  <c r="AM620" i="84"/>
  <c r="AM90" i="84"/>
  <c r="AM706" i="84"/>
  <c r="AM647" i="84"/>
  <c r="BU54" i="86"/>
  <c r="BV54" i="86" s="1"/>
  <c r="CC54" i="86"/>
  <c r="BC154" i="84"/>
  <c r="AM134" i="84"/>
  <c r="AM670" i="84"/>
  <c r="AM269" i="84"/>
  <c r="AM617" i="84"/>
  <c r="AM701" i="84"/>
  <c r="AM104" i="84"/>
  <c r="AM306" i="84"/>
  <c r="AM339" i="84"/>
  <c r="AM563" i="84"/>
  <c r="AM123" i="84"/>
  <c r="AM644" i="84"/>
  <c r="CB50" i="86"/>
  <c r="AM94" i="84"/>
  <c r="AM332" i="84"/>
  <c r="AM889" i="84"/>
  <c r="AM545" i="84"/>
  <c r="AM531" i="84"/>
  <c r="AM170" i="84"/>
  <c r="AM120" i="84"/>
  <c r="AM932" i="84"/>
  <c r="AM738" i="84"/>
  <c r="AM798" i="84"/>
  <c r="AM369" i="84"/>
  <c r="AM51" i="84"/>
  <c r="AB44" i="86"/>
  <c r="AE50" i="86" s="1"/>
  <c r="AM612" i="84"/>
  <c r="AM62" i="84"/>
  <c r="AM323" i="84"/>
  <c r="AM724" i="84"/>
  <c r="AM71" i="84"/>
  <c r="AM689" i="84"/>
  <c r="AM675" i="84"/>
  <c r="AM211" i="84"/>
  <c r="AM662" i="84"/>
  <c r="AM948" i="84"/>
  <c r="AM477" i="84"/>
  <c r="AM959" i="84"/>
  <c r="AM527" i="84"/>
  <c r="AM121" i="84"/>
  <c r="AM282" i="84"/>
  <c r="AM659" i="84"/>
  <c r="AM386" i="84"/>
  <c r="AM688" i="84"/>
  <c r="AM343" i="84"/>
  <c r="AM940" i="84"/>
  <c r="AM728" i="84"/>
  <c r="AM709" i="84"/>
  <c r="AM76" i="84"/>
  <c r="AM286" i="84"/>
  <c r="AM176" i="84"/>
  <c r="AM678" i="84"/>
  <c r="AM405" i="84"/>
  <c r="AM841" i="84"/>
  <c r="AM412" i="84"/>
  <c r="AM91" i="84"/>
  <c r="AM683" i="84"/>
  <c r="AM910" i="84"/>
  <c r="AM958" i="84"/>
  <c r="AM964" i="84"/>
  <c r="AM605" i="84"/>
  <c r="AM705" i="84"/>
  <c r="AM850" i="84"/>
  <c r="AM111" i="84"/>
  <c r="AM731" i="84"/>
  <c r="AM899" i="84"/>
  <c r="AM336" i="84"/>
  <c r="AM7" i="84"/>
  <c r="AM580" i="84"/>
  <c r="AM729" i="84"/>
  <c r="AM775" i="84"/>
  <c r="AM707" i="84"/>
  <c r="AM576" i="84"/>
  <c r="AM881" i="84"/>
  <c r="AM926" i="84"/>
  <c r="AM797" i="84"/>
  <c r="AM455" i="84"/>
  <c r="AM476" i="84"/>
  <c r="AM8" i="84"/>
  <c r="AM366" i="84"/>
  <c r="AM619" i="84"/>
  <c r="AM681" i="84"/>
  <c r="AM848" i="84"/>
  <c r="AM346" i="84"/>
  <c r="AM252" i="84"/>
  <c r="U49" i="87"/>
  <c r="Y49" i="87"/>
  <c r="F50" i="87"/>
  <c r="X49" i="87"/>
  <c r="AM179" i="84"/>
  <c r="AM398" i="84"/>
  <c r="AM250" i="84"/>
  <c r="AM199" i="84"/>
  <c r="AM478" i="84"/>
  <c r="AM251" i="84"/>
  <c r="AM519" i="84"/>
  <c r="AM838" i="84"/>
  <c r="AM374" i="84"/>
  <c r="AM191" i="84"/>
  <c r="BC297" i="84"/>
  <c r="AM864" i="84"/>
  <c r="AM189" i="84"/>
  <c r="AM443" i="84"/>
  <c r="AM915" i="84"/>
  <c r="AM671" i="84"/>
  <c r="AM98" i="84"/>
  <c r="AM55" i="84"/>
  <c r="AM665" i="84"/>
  <c r="AM303" i="84"/>
  <c r="AM846" i="84"/>
  <c r="AM19" i="84"/>
  <c r="AM74" i="84"/>
  <c r="AM663" i="84"/>
  <c r="AM818" i="84"/>
  <c r="AM658" i="84"/>
  <c r="AM566" i="84"/>
  <c r="AM809" i="84"/>
  <c r="AM786" i="84"/>
  <c r="AM324" i="84"/>
  <c r="BC184" i="84"/>
  <c r="AM957" i="84"/>
  <c r="AM726" i="84"/>
  <c r="AM696" i="84"/>
  <c r="AM732" i="84"/>
  <c r="AM422" i="84"/>
  <c r="AM281" i="84"/>
  <c r="AM597" i="84"/>
  <c r="AM788" i="84"/>
  <c r="AM397" i="84"/>
  <c r="AM594" i="84"/>
  <c r="AM458" i="84"/>
  <c r="AE43" i="86"/>
  <c r="AD52" i="86" s="1"/>
  <c r="AM509" i="84"/>
  <c r="AM72" i="84"/>
  <c r="AM525" i="84"/>
  <c r="AM676" i="84"/>
  <c r="AM787" i="84"/>
  <c r="AM745" i="84"/>
  <c r="AM278" i="84"/>
  <c r="AM721" i="84"/>
  <c r="AM746" i="84"/>
  <c r="AM673" i="84"/>
  <c r="AM930" i="84"/>
  <c r="AM106" i="84"/>
  <c r="AM298" i="84"/>
  <c r="AM803" i="84"/>
  <c r="AM963" i="84"/>
  <c r="AM965" i="84"/>
  <c r="AM61" i="84"/>
  <c r="AM365" i="84"/>
  <c r="AM418" i="84"/>
  <c r="AM656" i="84"/>
  <c r="AM621" i="84"/>
  <c r="AM610" i="84"/>
  <c r="AM664" i="84"/>
  <c r="AM40" i="84"/>
  <c r="AM565" i="84"/>
  <c r="AM375" i="84"/>
  <c r="AM352" i="84"/>
  <c r="AM583" i="84"/>
  <c r="AM433" i="84"/>
  <c r="AD44" i="86"/>
  <c r="AC53" i="86" s="1"/>
  <c r="AM909" i="84"/>
  <c r="AM217" i="84"/>
  <c r="AM236" i="84"/>
  <c r="AM588" i="84"/>
  <c r="AM42" i="84"/>
  <c r="AM26" i="84"/>
  <c r="AM486" i="84"/>
  <c r="AM558" i="84"/>
  <c r="AM138" i="84"/>
  <c r="AM118" i="84"/>
  <c r="AM783" i="84"/>
  <c r="AM68" i="84"/>
  <c r="AM347" i="84"/>
  <c r="AM169" i="84"/>
  <c r="AM795" i="84"/>
  <c r="AM961" i="84"/>
  <c r="AM618" i="84"/>
  <c r="AM557" i="84"/>
  <c r="AM400" i="84"/>
  <c r="AM789" i="84"/>
  <c r="AM275" i="84"/>
  <c r="AM124" i="84"/>
  <c r="AM296" i="84"/>
  <c r="AM554" i="84"/>
  <c r="AM338" i="84"/>
  <c r="AM171" i="84"/>
  <c r="AM579" i="84"/>
  <c r="AM89" i="84"/>
  <c r="AM704" i="84"/>
  <c r="AM570" i="84"/>
  <c r="AM44" i="84"/>
  <c r="AM869" i="84"/>
  <c r="AM720" i="84"/>
  <c r="AM826" i="84"/>
  <c r="AM145" i="84"/>
  <c r="AM109" i="84"/>
  <c r="AM604" i="84"/>
  <c r="AM417" i="84"/>
  <c r="AM131" i="84"/>
  <c r="AM39" i="84"/>
  <c r="AM666" i="84"/>
  <c r="AM326" i="84"/>
  <c r="AM22" i="84"/>
  <c r="AM46" i="84"/>
  <c r="AM322" i="84"/>
  <c r="AM136" i="84"/>
  <c r="AM441" i="84"/>
  <c r="AM473" i="84"/>
  <c r="AM616" i="84"/>
  <c r="AM218" i="84"/>
  <c r="AM442" i="84"/>
  <c r="AM36" i="84"/>
  <c r="AM790" i="84"/>
  <c r="AM582" i="84"/>
  <c r="AM161" i="84"/>
  <c r="AM835" i="84"/>
  <c r="AM96" i="84"/>
  <c r="AM698" i="84"/>
  <c r="AM202" i="84"/>
  <c r="AM437" i="84"/>
  <c r="AM630" i="84"/>
  <c r="AM432" i="84"/>
  <c r="AM107" i="84"/>
  <c r="AM794" i="84"/>
  <c r="AM481" i="84"/>
  <c r="AM267" i="84"/>
  <c r="AM268" i="84"/>
  <c r="AM139" i="84"/>
  <c r="AM824" i="84"/>
  <c r="AM601" i="84"/>
  <c r="AM419" i="84"/>
  <c r="AM144" i="84"/>
  <c r="AM779" i="84"/>
  <c r="AM256" i="84"/>
  <c r="CB26" i="86"/>
  <c r="CA6" i="86"/>
  <c r="AM460" i="84"/>
  <c r="AM115" i="84"/>
  <c r="AM633" i="84"/>
  <c r="AM684" i="84"/>
  <c r="AM29" i="84"/>
  <c r="AM914" i="84"/>
  <c r="AM148" i="84"/>
  <c r="AM431" i="84"/>
  <c r="AM479" i="84"/>
  <c r="AF40" i="86"/>
  <c r="AD49" i="86" s="1"/>
  <c r="AM828" i="84"/>
  <c r="AM585" i="84"/>
  <c r="AM547" i="84"/>
  <c r="CA12" i="86"/>
  <c r="AM83" i="84"/>
  <c r="AM47" i="84"/>
  <c r="AM472" i="84"/>
  <c r="AM393" i="84"/>
  <c r="AM125" i="84"/>
  <c r="AM836" i="84"/>
  <c r="AM37" i="84"/>
  <c r="AM905" i="84"/>
  <c r="AM771" i="84"/>
  <c r="AM772" i="84"/>
  <c r="AM877" i="84"/>
  <c r="AM149" i="84"/>
  <c r="AM359" i="84"/>
  <c r="AM70" i="84"/>
  <c r="AM328" i="84"/>
  <c r="AM546" i="84"/>
  <c r="AM185" i="84"/>
  <c r="AM380" i="84"/>
  <c r="AM761" i="84"/>
  <c r="AM737" i="84"/>
  <c r="AM428" i="84"/>
  <c r="AM487" i="84"/>
  <c r="AM551" i="84"/>
  <c r="AM891" i="84"/>
  <c r="AM855" i="84"/>
  <c r="AM564" i="84"/>
  <c r="AM607" i="84"/>
  <c r="AF41" i="86"/>
  <c r="AD50" i="86" s="1"/>
  <c r="AM276" i="84"/>
  <c r="AM457" i="84"/>
  <c r="AM723" i="84"/>
  <c r="BC344" i="84"/>
  <c r="AM434" i="84"/>
  <c r="AM645" i="84"/>
  <c r="CA10" i="86"/>
  <c r="AM512" i="84"/>
  <c r="AM920" i="84"/>
  <c r="AM635" i="84"/>
  <c r="AM805" i="84"/>
  <c r="AM63" i="84"/>
  <c r="AM770" i="84"/>
  <c r="AM381" i="84"/>
  <c r="AM646" i="84"/>
  <c r="AM511" i="84"/>
  <c r="AM951" i="84"/>
  <c r="AM247" i="84"/>
  <c r="AM762" i="84"/>
  <c r="AM102" i="84"/>
  <c r="AM340" i="84"/>
  <c r="CB28" i="86"/>
  <c r="AM859" i="84"/>
  <c r="AM226" i="84"/>
  <c r="AM334" i="84"/>
  <c r="CD3" i="86"/>
  <c r="CC3" i="86" s="1"/>
  <c r="AM162" i="84"/>
  <c r="AM886" i="84"/>
  <c r="AM796" i="84"/>
  <c r="AM13" i="84"/>
  <c r="AM229" i="84"/>
  <c r="K50" i="87"/>
  <c r="M49" i="87"/>
  <c r="M50" i="87" s="1"/>
  <c r="AM92" i="84"/>
  <c r="AM351" i="84"/>
  <c r="AM463" i="84"/>
  <c r="AM18" i="84"/>
  <c r="AM87" i="84"/>
  <c r="AM542" i="84"/>
  <c r="AM668" i="84"/>
  <c r="AM939" i="84"/>
  <c r="AM32" i="84"/>
  <c r="AM321" i="84"/>
  <c r="AM373" i="84"/>
  <c r="AM845" i="84"/>
  <c r="AM128" i="84"/>
  <c r="AM240" i="84"/>
  <c r="AM297" i="84"/>
  <c r="AM223" i="84"/>
  <c r="AM153" i="84"/>
  <c r="AM85" i="84"/>
  <c r="AM436" i="84"/>
  <c r="AM439" i="84"/>
  <c r="AM401" i="84"/>
  <c r="AM231" i="84"/>
  <c r="AM449" i="84"/>
  <c r="AM749" i="84"/>
  <c r="AM552" i="84"/>
  <c r="AM944" i="84"/>
  <c r="AM81" i="84"/>
  <c r="AM413" i="84"/>
  <c r="AM861" i="84"/>
  <c r="AM844" i="84"/>
  <c r="AM532" i="84"/>
  <c r="AM304" i="84"/>
  <c r="AM598" i="84"/>
  <c r="AM537" i="84"/>
  <c r="AM528" i="84"/>
  <c r="AM830" i="84"/>
  <c r="AM949" i="84"/>
  <c r="AM622" i="84"/>
  <c r="AM765" i="84"/>
  <c r="AM407" i="84"/>
  <c r="AM634" i="84"/>
  <c r="AM261" i="84"/>
  <c r="CL53" i="86"/>
  <c r="CM53" i="86"/>
  <c r="CJ53" i="86"/>
  <c r="CK53" i="86"/>
  <c r="CI53" i="86"/>
  <c r="AM766" i="84"/>
  <c r="AM358" i="84"/>
  <c r="AM209" i="84"/>
  <c r="AM469" i="84"/>
  <c r="AM110" i="84"/>
  <c r="AM907" i="84"/>
  <c r="AM73" i="84"/>
  <c r="AM177" i="84"/>
  <c r="AM827" i="84"/>
  <c r="AM506" i="84"/>
  <c r="AM821" i="84"/>
  <c r="AM884" i="84"/>
  <c r="AM503" i="84"/>
  <c r="AM409" i="84"/>
  <c r="AM482" i="84"/>
  <c r="AM903" i="84"/>
  <c r="AD41" i="86"/>
  <c r="AB50" i="86" s="1"/>
  <c r="AM84" i="84"/>
  <c r="AM264" i="84"/>
  <c r="AM937" i="84"/>
  <c r="CA46" i="86"/>
  <c r="CA44" i="86"/>
  <c r="AM406" i="84"/>
  <c r="AM311" i="84"/>
  <c r="AM735" i="84"/>
  <c r="AM897" i="84"/>
  <c r="AM147" i="84"/>
  <c r="AM591" i="84"/>
  <c r="AM232" i="84"/>
  <c r="AM502" i="84"/>
  <c r="AM941" i="84"/>
  <c r="AE40" i="86"/>
  <c r="AC49" i="86" s="1"/>
  <c r="AM262" i="84"/>
  <c r="AM50" i="84"/>
  <c r="AM741" i="84"/>
  <c r="AM489" i="84"/>
  <c r="AM440" i="84"/>
  <c r="AF43" i="86"/>
  <c r="AE52" i="86" s="1"/>
  <c r="AM283" i="84"/>
  <c r="AM831" i="84"/>
  <c r="AM817" i="84"/>
  <c r="AM183" i="84"/>
  <c r="AM483" i="84"/>
  <c r="AM146" i="84"/>
  <c r="AM839" i="84"/>
  <c r="AM230" i="84"/>
  <c r="AM599" i="84"/>
  <c r="AM206" i="84"/>
  <c r="AM733" i="84"/>
  <c r="AM167" i="84"/>
  <c r="AM556" i="84"/>
  <c r="AM791" i="84"/>
  <c r="AM210" i="84"/>
  <c r="AM636" i="84"/>
  <c r="AM333" i="84"/>
  <c r="AM93" i="84"/>
  <c r="AM265" i="84"/>
  <c r="AM33" i="84"/>
  <c r="AP134" i="84"/>
  <c r="CB34" i="86"/>
  <c r="AM201" i="84"/>
  <c r="AM498" i="84"/>
  <c r="AM923" i="84"/>
  <c r="AM754" i="84"/>
  <c r="AM411" i="84"/>
  <c r="AM454" i="84"/>
  <c r="AM402" i="84"/>
  <c r="AM559" i="84"/>
  <c r="T49" i="87"/>
  <c r="T50" i="87" s="1"/>
  <c r="I50" i="87"/>
  <c r="AM79" i="84"/>
  <c r="AM257" i="84"/>
  <c r="AM157" i="84"/>
  <c r="AM105" i="84"/>
  <c r="AM587" i="84"/>
  <c r="AM466" i="84"/>
  <c r="AM108" i="84"/>
  <c r="AM600" i="84"/>
  <c r="AM858" i="84"/>
  <c r="AM190" i="84"/>
  <c r="AM715" i="84"/>
  <c r="AM589" i="84"/>
  <c r="AM484" i="84"/>
  <c r="AM898" i="84"/>
  <c r="AM814" i="84"/>
  <c r="AM82" i="84"/>
  <c r="AM387" i="84"/>
  <c r="AM628" i="84"/>
  <c r="AM248" i="84"/>
  <c r="AM655" i="84"/>
  <c r="AM475" i="84"/>
  <c r="AM173" i="84"/>
  <c r="AM349" i="84"/>
  <c r="AM674" i="84"/>
  <c r="AM130" i="84"/>
  <c r="AM178" i="84"/>
  <c r="AM221" i="84"/>
  <c r="AM364" i="84"/>
  <c r="AM508" i="84"/>
  <c r="AM808" i="84"/>
  <c r="AM164" i="84"/>
  <c r="AM936" i="84"/>
  <c r="AM327" i="84"/>
  <c r="AM389" i="84"/>
  <c r="AM653" i="84"/>
  <c r="AM448" i="84"/>
  <c r="AM608" i="84"/>
  <c r="AM640" i="84"/>
  <c r="AM955" i="84"/>
  <c r="AM730" i="84"/>
  <c r="AM342" i="84"/>
  <c r="AM748" i="84"/>
  <c r="AM536" i="84"/>
  <c r="AV248" i="84"/>
  <c r="AM870" i="84"/>
  <c r="AM548" i="84"/>
  <c r="AM238" i="84"/>
  <c r="AM59" i="84"/>
  <c r="AM872" i="84"/>
  <c r="AM377" i="84"/>
  <c r="AM725" i="84"/>
  <c r="AM485" i="84"/>
  <c r="AM404" i="84"/>
  <c r="AM425" i="84"/>
  <c r="AM777" i="84"/>
  <c r="AM837" i="84"/>
  <c r="AM285" i="84"/>
  <c r="AM233" i="84"/>
  <c r="AM553" i="84"/>
  <c r="AM623" i="84"/>
  <c r="AM736" i="84"/>
  <c r="AM950" i="84"/>
  <c r="AM77" i="84"/>
  <c r="AM194" i="84"/>
  <c r="AM403" i="84"/>
  <c r="AM318" i="84"/>
  <c r="AM235" i="84"/>
  <c r="AM876" i="84"/>
  <c r="AM694" i="84"/>
  <c r="AM660" i="84"/>
  <c r="CB30" i="86"/>
  <c r="AM390" i="84"/>
  <c r="AM133" i="84"/>
  <c r="AM792" i="84"/>
  <c r="AM312" i="84"/>
  <c r="AM853" i="84"/>
  <c r="AM384" i="84"/>
  <c r="AM445" i="84"/>
  <c r="AM43" i="84"/>
  <c r="AM213" i="84"/>
  <c r="AM270" i="84"/>
  <c r="AM450" i="84"/>
  <c r="AM823" i="84"/>
  <c r="AM141" i="84"/>
  <c r="AM875" i="84"/>
  <c r="AM677" i="84"/>
  <c r="AM168" i="84"/>
  <c r="CA53" i="86"/>
  <c r="AM699" i="84"/>
  <c r="AM182" i="84"/>
  <c r="AM219" i="84"/>
  <c r="AM280" i="84"/>
  <c r="CB6" i="86"/>
  <c r="AM543" i="84"/>
  <c r="AM52" i="84"/>
  <c r="AM492" i="84"/>
  <c r="AM773" i="84"/>
  <c r="AM38" i="84"/>
  <c r="AM938" i="84"/>
  <c r="AM966" i="84"/>
  <c r="AM785" i="84"/>
  <c r="AM946" i="84"/>
  <c r="AM680" i="84"/>
  <c r="AM686" i="84"/>
  <c r="AM825" i="84"/>
  <c r="AM541" i="84"/>
  <c r="AM488" i="84"/>
  <c r="AM793" i="84"/>
  <c r="AM34" i="84"/>
  <c r="AM751" i="84"/>
  <c r="AM780" i="84"/>
  <c r="AM399" i="84"/>
  <c r="AM329" i="84"/>
  <c r="AM362" i="84"/>
  <c r="AM64" i="84"/>
  <c r="AM284" i="84"/>
  <c r="AM596" i="84"/>
  <c r="AM535" i="84"/>
  <c r="AM928" i="84"/>
  <c r="AM234" i="84"/>
  <c r="AM53" i="84"/>
  <c r="AM75" i="84"/>
  <c r="AM95" i="84"/>
  <c r="AM429" i="84"/>
  <c r="AM416" i="84"/>
  <c r="AM744" i="84"/>
  <c r="AM690" i="84"/>
  <c r="J50" i="87"/>
  <c r="W49" i="87"/>
  <c r="AN416" i="84" l="1"/>
  <c r="BC416" i="84" s="1"/>
  <c r="AN234" i="84"/>
  <c r="AN329" i="84"/>
  <c r="AN34" i="84"/>
  <c r="AN541" i="84"/>
  <c r="AN773" i="84"/>
  <c r="AN141" i="84"/>
  <c r="AN235" i="84"/>
  <c r="AN748" i="84"/>
  <c r="AN640" i="84"/>
  <c r="AN448" i="84"/>
  <c r="AN257" i="84"/>
  <c r="AN264" i="84"/>
  <c r="AN73" i="84"/>
  <c r="AN209" i="84"/>
  <c r="AN690" i="84"/>
  <c r="AN399" i="84"/>
  <c r="AN686" i="84"/>
  <c r="AN699" i="84"/>
  <c r="AN823" i="84"/>
  <c r="AN792" i="84"/>
  <c r="AN77" i="84"/>
  <c r="AN777" i="84"/>
  <c r="AN342" i="84"/>
  <c r="AN164" i="84"/>
  <c r="AN655" i="84"/>
  <c r="AN79" i="84"/>
  <c r="AN754" i="84"/>
  <c r="AN636" i="84"/>
  <c r="AN232" i="84"/>
  <c r="AN503" i="84"/>
  <c r="AN907" i="84"/>
  <c r="AN463" i="84"/>
  <c r="AN53" i="84"/>
  <c r="AN284" i="84"/>
  <c r="AN429" i="84"/>
  <c r="AN95" i="84"/>
  <c r="AN825" i="84"/>
  <c r="AN785" i="84"/>
  <c r="AN52" i="84"/>
  <c r="AN280" i="84"/>
  <c r="AN168" i="84"/>
  <c r="AN390" i="84"/>
  <c r="AN736" i="84"/>
  <c r="AN870" i="84"/>
  <c r="AN389" i="84"/>
  <c r="AN589" i="84"/>
  <c r="AN556" i="84"/>
  <c r="AN230" i="84"/>
  <c r="AN283" i="84"/>
  <c r="AN440" i="84"/>
  <c r="AN50" i="84"/>
  <c r="AN552" i="84"/>
  <c r="AN32" i="84"/>
  <c r="AN535" i="84"/>
  <c r="AN928" i="84"/>
  <c r="AN64" i="84"/>
  <c r="AN680" i="84"/>
  <c r="AN966" i="84"/>
  <c r="AN38" i="84"/>
  <c r="AN492" i="84"/>
  <c r="AN875" i="84"/>
  <c r="AN312" i="84"/>
  <c r="AN318" i="84"/>
  <c r="AN623" i="84"/>
  <c r="AN425" i="84"/>
  <c r="AN377" i="84"/>
  <c r="AN238" i="84"/>
  <c r="AN898" i="84"/>
  <c r="AN715" i="84"/>
  <c r="AN559" i="84"/>
  <c r="AN817" i="84"/>
  <c r="AN262" i="84"/>
  <c r="AN75" i="84"/>
  <c r="AN596" i="84"/>
  <c r="AN488" i="84"/>
  <c r="AN219" i="84"/>
  <c r="AN213" i="84"/>
  <c r="AN694" i="84"/>
  <c r="AN950" i="84"/>
  <c r="AN553" i="84"/>
  <c r="AN404" i="84"/>
  <c r="AN872" i="84"/>
  <c r="AN364" i="84"/>
  <c r="AN173" i="84"/>
  <c r="AN248" i="84"/>
  <c r="AN402" i="84"/>
  <c r="AN923" i="84"/>
  <c r="AN33" i="84"/>
  <c r="AN210" i="84"/>
  <c r="AN167" i="84"/>
  <c r="AN409" i="84"/>
  <c r="AN821" i="84"/>
  <c r="AN744" i="84"/>
  <c r="AN793" i="84"/>
  <c r="AN946" i="84"/>
  <c r="AN450" i="84"/>
  <c r="AN194" i="84"/>
  <c r="AN233" i="84"/>
  <c r="AN485" i="84"/>
  <c r="AN808" i="84"/>
  <c r="AN475" i="84"/>
  <c r="AN387" i="84"/>
  <c r="AN587" i="84"/>
  <c r="AN937" i="84"/>
  <c r="AN903" i="84"/>
  <c r="AN780" i="84"/>
  <c r="AN938" i="84"/>
  <c r="AN543" i="84"/>
  <c r="AN182" i="84"/>
  <c r="AN677" i="84"/>
  <c r="AN270" i="84"/>
  <c r="AN445" i="84"/>
  <c r="AN384" i="84"/>
  <c r="AN285" i="84"/>
  <c r="AN725" i="84"/>
  <c r="AN59" i="84"/>
  <c r="AN936" i="84"/>
  <c r="AN178" i="84"/>
  <c r="AN628" i="84"/>
  <c r="AN82" i="84"/>
  <c r="AN190" i="84"/>
  <c r="AN600" i="84"/>
  <c r="AN105" i="84"/>
  <c r="AN201" i="84"/>
  <c r="AN265" i="84"/>
  <c r="AN897" i="84"/>
  <c r="AN537" i="84"/>
  <c r="AN304" i="84"/>
  <c r="AN362" i="84"/>
  <c r="AN751" i="84"/>
  <c r="AN43" i="84"/>
  <c r="AN853" i="84"/>
  <c r="AN133" i="84"/>
  <c r="AN660" i="84"/>
  <c r="AN876" i="84"/>
  <c r="AN837" i="84"/>
  <c r="AN536" i="84"/>
  <c r="AN955" i="84"/>
  <c r="AN108" i="84"/>
  <c r="AN157" i="84"/>
  <c r="AN411" i="84"/>
  <c r="AN741" i="84"/>
  <c r="AN949" i="84"/>
  <c r="AN327" i="84"/>
  <c r="AN508" i="84"/>
  <c r="AN221" i="84"/>
  <c r="AN674" i="84"/>
  <c r="AN814" i="84"/>
  <c r="AN484" i="84"/>
  <c r="AN858" i="84"/>
  <c r="AN454" i="84"/>
  <c r="AN93" i="84"/>
  <c r="AN146" i="84"/>
  <c r="AN502" i="84"/>
  <c r="AN311" i="84"/>
  <c r="AN482" i="84"/>
  <c r="AN110" i="84"/>
  <c r="AN261" i="84"/>
  <c r="AN407" i="84"/>
  <c r="AN622" i="84"/>
  <c r="AN528" i="84"/>
  <c r="AN532" i="84"/>
  <c r="AN449" i="84"/>
  <c r="AN87" i="84"/>
  <c r="AN92" i="84"/>
  <c r="AN334" i="84"/>
  <c r="AN102" i="84"/>
  <c r="AN805" i="84"/>
  <c r="AN512" i="84"/>
  <c r="AN457" i="84"/>
  <c r="AN564" i="84"/>
  <c r="AN185" i="84"/>
  <c r="AN905" i="84"/>
  <c r="AN585" i="84"/>
  <c r="AN148" i="84"/>
  <c r="AN268" i="84"/>
  <c r="AN107" i="84"/>
  <c r="AN22" i="84"/>
  <c r="AN44" i="84"/>
  <c r="AN89" i="84"/>
  <c r="AN169" i="84"/>
  <c r="AN347" i="84"/>
  <c r="AN783" i="84"/>
  <c r="AN118" i="84"/>
  <c r="AN42" i="84"/>
  <c r="AN217" i="84"/>
  <c r="AN61" i="84"/>
  <c r="AN726" i="84"/>
  <c r="AN957" i="84"/>
  <c r="AN252" i="84"/>
  <c r="AN797" i="84"/>
  <c r="AN580" i="84"/>
  <c r="AN336" i="84"/>
  <c r="AN850" i="84"/>
  <c r="AN964" i="84"/>
  <c r="AN405" i="84"/>
  <c r="AN709" i="84"/>
  <c r="AN675" i="84"/>
  <c r="AN612" i="84"/>
  <c r="AN369" i="84"/>
  <c r="AN932" i="84"/>
  <c r="AN644" i="84"/>
  <c r="AN339" i="84"/>
  <c r="AN701" i="84"/>
  <c r="AN269" i="84"/>
  <c r="AN706" i="84"/>
  <c r="AN90" i="84"/>
  <c r="AN620" i="84"/>
  <c r="AN356" i="84"/>
  <c r="AN186" i="84"/>
  <c r="AN456" i="84"/>
  <c r="AN166" i="84"/>
  <c r="AN23" i="84"/>
  <c r="AN222" i="84"/>
  <c r="AN97" i="84"/>
  <c r="AN57" i="84"/>
  <c r="AN807" i="84"/>
  <c r="AN302" i="84"/>
  <c r="AN778" i="84"/>
  <c r="AN279" i="84"/>
  <c r="AN242" i="84"/>
  <c r="AN24" i="84"/>
  <c r="AN272" i="84"/>
  <c r="AN947" i="84"/>
  <c r="AN865" i="84"/>
  <c r="AN782" i="84"/>
  <c r="AN116" i="84"/>
  <c r="AN934" i="84"/>
  <c r="AN895" i="84"/>
  <c r="AN86" i="84"/>
  <c r="AN15" i="84"/>
  <c r="AN12" i="84"/>
  <c r="AN911" i="84"/>
  <c r="AN300" i="84"/>
  <c r="AN288" i="84"/>
  <c r="AN625" i="84"/>
  <c r="AN360" i="84"/>
  <c r="AN353" i="84"/>
  <c r="AN672" i="84"/>
  <c r="AN446" i="84"/>
  <c r="AN220" i="84"/>
  <c r="AN48" i="84"/>
  <c r="AN122" i="84"/>
  <c r="AN718" i="84"/>
  <c r="AN584" i="84"/>
  <c r="AN667" i="84"/>
  <c r="AN447" i="84"/>
  <c r="AN912" i="84"/>
  <c r="AN539" i="84"/>
  <c r="AN747" i="84"/>
  <c r="AN882" i="84"/>
  <c r="AN31" i="84"/>
  <c r="AN624" i="84"/>
  <c r="AN567" i="84"/>
  <c r="AN534" i="84"/>
  <c r="AN295" i="84"/>
  <c r="AN935" i="84"/>
  <c r="AN214" i="84"/>
  <c r="AN917" i="84"/>
  <c r="AN639" i="84"/>
  <c r="AN918" i="84"/>
  <c r="AN470" i="84"/>
  <c r="AN438" i="84"/>
  <c r="AN183" i="84"/>
  <c r="AN831" i="84"/>
  <c r="AN591" i="84"/>
  <c r="AN634" i="84"/>
  <c r="AN598" i="84"/>
  <c r="AN844" i="84"/>
  <c r="AN81" i="84"/>
  <c r="AN749" i="84"/>
  <c r="AN439" i="84"/>
  <c r="AN223" i="84"/>
  <c r="AN297" i="84"/>
  <c r="AN240" i="84"/>
  <c r="AN18" i="84"/>
  <c r="AN645" i="84"/>
  <c r="AN359" i="84"/>
  <c r="AN877" i="84"/>
  <c r="AN37" i="84"/>
  <c r="AN125" i="84"/>
  <c r="AN472" i="84"/>
  <c r="AN47" i="84"/>
  <c r="AN460" i="84"/>
  <c r="AN824" i="84"/>
  <c r="AN794" i="84"/>
  <c r="AN630" i="84"/>
  <c r="AN698" i="84"/>
  <c r="AN473" i="84"/>
  <c r="AN326" i="84"/>
  <c r="AN417" i="84"/>
  <c r="AN338" i="84"/>
  <c r="AN486" i="84"/>
  <c r="AN433" i="84"/>
  <c r="AN621" i="84"/>
  <c r="AN676" i="84"/>
  <c r="AN525" i="84"/>
  <c r="AN281" i="84"/>
  <c r="AN663" i="84"/>
  <c r="AN303" i="84"/>
  <c r="AN864" i="84"/>
  <c r="AN199" i="84"/>
  <c r="AN179" i="84"/>
  <c r="AN346" i="84"/>
  <c r="AN366" i="84"/>
  <c r="AN7" i="84"/>
  <c r="AN899" i="84"/>
  <c r="AN111" i="84"/>
  <c r="AN958" i="84"/>
  <c r="AN91" i="84"/>
  <c r="AN728" i="84"/>
  <c r="AN527" i="84"/>
  <c r="AN211" i="84"/>
  <c r="AN889" i="84"/>
  <c r="AN842" i="84"/>
  <c r="AN253" i="84"/>
  <c r="AN669" i="84"/>
  <c r="AN609" i="84"/>
  <c r="AN151" i="84"/>
  <c r="AN420" i="84"/>
  <c r="AN822" i="84"/>
  <c r="AN515" i="84"/>
  <c r="AN530" i="84"/>
  <c r="AN562" i="84"/>
  <c r="AN685" i="84"/>
  <c r="AN180" i="84"/>
  <c r="AN309" i="84"/>
  <c r="AN743" i="84"/>
  <c r="AN753" i="84"/>
  <c r="AN435" i="84"/>
  <c r="AN760" i="84"/>
  <c r="AN774" i="84"/>
  <c r="AN499" i="84"/>
  <c r="AN367" i="84"/>
  <c r="AN474" i="84"/>
  <c r="AN10" i="84"/>
  <c r="AN942" i="84"/>
  <c r="AN860" i="84"/>
  <c r="AN739" i="84"/>
  <c r="AN307" i="84"/>
  <c r="AN637" i="84"/>
  <c r="AN385" i="84"/>
  <c r="AN69" i="84"/>
  <c r="AN462" i="84"/>
  <c r="AN237" i="84"/>
  <c r="AN467" i="84"/>
  <c r="AN901" i="84"/>
  <c r="AN273" i="84"/>
  <c r="AN573" i="84"/>
  <c r="AN348" i="84"/>
  <c r="AN331" i="84"/>
  <c r="AN820" i="84"/>
  <c r="AN423" i="84"/>
  <c r="AN520" i="84"/>
  <c r="AN902" i="84"/>
  <c r="AN289" i="84"/>
  <c r="AN504" i="84"/>
  <c r="AN310" i="84"/>
  <c r="AN78" i="84"/>
  <c r="AN507" i="84"/>
  <c r="AN643" i="84"/>
  <c r="AN722" i="84"/>
  <c r="AN181" i="84"/>
  <c r="AN813" i="84"/>
  <c r="AN885" i="84"/>
  <c r="AN840" i="84"/>
  <c r="AN561" i="84"/>
  <c r="AN632" i="84"/>
  <c r="AN413" i="84"/>
  <c r="AN436" i="84"/>
  <c r="AN321" i="84"/>
  <c r="AN162" i="84"/>
  <c r="AN511" i="84"/>
  <c r="AN646" i="84"/>
  <c r="AN328" i="84"/>
  <c r="AN149" i="84"/>
  <c r="AN772" i="84"/>
  <c r="AN432" i="84"/>
  <c r="AN96" i="84"/>
  <c r="AN790" i="84"/>
  <c r="AN218" i="84"/>
  <c r="AN136" i="84"/>
  <c r="AN39" i="84"/>
  <c r="AN604" i="84"/>
  <c r="AN145" i="84"/>
  <c r="AN124" i="84"/>
  <c r="AN400" i="84"/>
  <c r="AN565" i="84"/>
  <c r="AN418" i="84"/>
  <c r="AN965" i="84"/>
  <c r="AN106" i="84"/>
  <c r="AN458" i="84"/>
  <c r="AN594" i="84"/>
  <c r="AN788" i="84"/>
  <c r="AN665" i="84"/>
  <c r="AN191" i="84"/>
  <c r="AN250" i="84"/>
  <c r="AN926" i="84"/>
  <c r="AN940" i="84"/>
  <c r="AN959" i="84"/>
  <c r="AN323" i="84"/>
  <c r="AN120" i="84"/>
  <c r="AN531" i="84"/>
  <c r="AN593" i="84"/>
  <c r="AN99" i="84"/>
  <c r="AN249" i="84"/>
  <c r="AN317" i="84"/>
  <c r="AN408" i="84"/>
  <c r="AN292" i="84"/>
  <c r="AN320" i="84"/>
  <c r="AN868" i="84"/>
  <c r="AN225" i="84"/>
  <c r="AN952" i="84"/>
  <c r="AN954" i="84"/>
  <c r="AN319" i="84"/>
  <c r="AN651" i="84"/>
  <c r="AN56" i="84"/>
  <c r="AN517" i="84"/>
  <c r="AN574" i="84"/>
  <c r="AN60" i="84"/>
  <c r="AN692" i="84"/>
  <c r="AN716" i="84"/>
  <c r="AN804" i="84"/>
  <c r="AN21" i="84"/>
  <c r="AN371" i="84"/>
  <c r="AN893" i="84"/>
  <c r="AN142" i="84"/>
  <c r="AN58" i="84"/>
  <c r="AN871" i="84"/>
  <c r="AN919" i="84"/>
  <c r="AN132" i="84"/>
  <c r="AN740" i="84"/>
  <c r="AN767" i="84"/>
  <c r="AN224" i="84"/>
  <c r="AN505" i="84"/>
  <c r="AN414" i="84"/>
  <c r="AN316" i="84"/>
  <c r="AN742" i="84"/>
  <c r="AN361" i="84"/>
  <c r="AN245" i="84"/>
  <c r="AN444" i="84"/>
  <c r="AN752" i="84"/>
  <c r="AN345" i="84"/>
  <c r="AN293" i="84"/>
  <c r="AN811" i="84"/>
  <c r="AN197" i="84"/>
  <c r="AN67" i="84"/>
  <c r="AN550" i="84"/>
  <c r="AN832" i="84"/>
  <c r="AN657" i="84"/>
  <c r="AN615" i="84"/>
  <c r="AN629" i="84"/>
  <c r="AN188" i="84"/>
  <c r="AN263" i="84"/>
  <c r="AN291" i="84"/>
  <c r="AN913" i="84"/>
  <c r="AN325" i="84"/>
  <c r="AN160" i="84"/>
  <c r="AN25" i="84"/>
  <c r="AN614" i="84"/>
  <c r="AN314" i="84"/>
  <c r="AN874" i="84"/>
  <c r="AN933" i="84"/>
  <c r="AN931" i="84"/>
  <c r="AN900" i="84"/>
  <c r="AN890" i="84"/>
  <c r="AN20" i="84"/>
  <c r="AN887" i="84"/>
  <c r="AN243" i="84"/>
  <c r="AN944" i="84"/>
  <c r="AN231" i="84"/>
  <c r="AN668" i="84"/>
  <c r="AN351" i="84"/>
  <c r="AN229" i="84"/>
  <c r="AN796" i="84"/>
  <c r="AN247" i="84"/>
  <c r="AN63" i="84"/>
  <c r="BC63" i="84" s="1"/>
  <c r="AN70" i="84"/>
  <c r="AN83" i="84"/>
  <c r="AN914" i="84"/>
  <c r="AN684" i="84"/>
  <c r="AN144" i="84"/>
  <c r="AN481" i="84"/>
  <c r="AN202" i="84"/>
  <c r="AN131" i="84"/>
  <c r="AN826" i="84"/>
  <c r="AN618" i="84"/>
  <c r="AN909" i="84"/>
  <c r="AN583" i="84"/>
  <c r="AN40" i="84"/>
  <c r="AN656" i="84"/>
  <c r="AN365" i="84"/>
  <c r="AN746" i="84"/>
  <c r="AN397" i="84"/>
  <c r="AN422" i="84"/>
  <c r="AN809" i="84"/>
  <c r="AN74" i="84"/>
  <c r="AN19" i="84"/>
  <c r="AN846" i="84"/>
  <c r="AN55" i="84"/>
  <c r="AN98" i="84"/>
  <c r="AN189" i="84"/>
  <c r="AN838" i="84"/>
  <c r="AN519" i="84"/>
  <c r="AN8" i="84"/>
  <c r="AN881" i="84"/>
  <c r="AN731" i="84"/>
  <c r="AN412" i="84"/>
  <c r="AN678" i="84"/>
  <c r="AN659" i="84"/>
  <c r="AN477" i="84"/>
  <c r="AN724" i="84"/>
  <c r="AN170" i="84"/>
  <c r="AN545" i="84"/>
  <c r="AN332" i="84"/>
  <c r="AN94" i="84"/>
  <c r="AN41" i="84"/>
  <c r="AN344" i="84"/>
  <c r="AN712" i="84"/>
  <c r="AN117" i="84"/>
  <c r="AN847" i="84"/>
  <c r="AN17" i="84"/>
  <c r="AN592" i="84"/>
  <c r="AN266" i="84"/>
  <c r="AN727" i="84"/>
  <c r="AN514" i="84"/>
  <c r="BC514" i="84" s="1"/>
  <c r="AN490" i="84"/>
  <c r="AN571" i="84"/>
  <c r="AN383" i="84"/>
  <c r="AN638" i="84"/>
  <c r="AN461" i="84"/>
  <c r="AN960" i="84"/>
  <c r="AN962" i="84"/>
  <c r="AN54" i="84"/>
  <c r="AN152" i="84"/>
  <c r="AN391" i="84"/>
  <c r="AN894" i="84"/>
  <c r="AN756" i="84"/>
  <c r="AN516" i="84"/>
  <c r="AN258" i="84"/>
  <c r="AN497" i="84"/>
  <c r="AN880" i="84"/>
  <c r="AN800" i="84"/>
  <c r="AN806" i="84"/>
  <c r="AN896" i="84"/>
  <c r="AN816" i="84"/>
  <c r="AN159" i="84"/>
  <c r="AN611" i="84"/>
  <c r="AN241" i="84"/>
  <c r="AN819" i="84"/>
  <c r="AN695" i="84"/>
  <c r="AN759" i="84"/>
  <c r="AN776" i="84"/>
  <c r="AN468" i="84"/>
  <c r="AN711" i="84"/>
  <c r="AN271" i="84"/>
  <c r="AN150" i="84"/>
  <c r="AN204" i="84"/>
  <c r="AN301" i="84"/>
  <c r="AN908" i="84"/>
  <c r="AN555" i="84"/>
  <c r="AN586" i="84"/>
  <c r="AN192" i="84"/>
  <c r="AN427" i="84"/>
  <c r="AN642" i="84"/>
  <c r="AN857" i="84"/>
  <c r="AN239" i="84"/>
  <c r="AN843" i="84"/>
  <c r="AN572" i="84"/>
  <c r="AN357" i="84"/>
  <c r="AN734" i="84"/>
  <c r="AN884" i="84"/>
  <c r="AN469" i="84"/>
  <c r="AN358" i="84"/>
  <c r="AN766" i="84"/>
  <c r="AN830" i="84"/>
  <c r="AN861" i="84"/>
  <c r="AN845" i="84"/>
  <c r="AN373" i="84"/>
  <c r="AN886" i="84"/>
  <c r="AN226" i="84"/>
  <c r="AN340" i="84"/>
  <c r="AN951" i="84"/>
  <c r="AN381" i="84"/>
  <c r="AN635" i="84"/>
  <c r="AN891" i="84"/>
  <c r="AN487" i="84"/>
  <c r="AN761" i="84"/>
  <c r="AN479" i="84"/>
  <c r="AN633" i="84"/>
  <c r="AN419" i="84"/>
  <c r="AN139" i="84"/>
  <c r="AN437" i="84"/>
  <c r="AN161" i="84"/>
  <c r="AN582" i="84"/>
  <c r="AN36" i="84"/>
  <c r="AN616" i="84"/>
  <c r="AN322" i="84"/>
  <c r="AN109" i="84"/>
  <c r="AN570" i="84"/>
  <c r="AN579" i="84"/>
  <c r="AN554" i="84"/>
  <c r="AN275" i="84"/>
  <c r="AN68" i="84"/>
  <c r="AN138" i="84"/>
  <c r="AN588" i="84"/>
  <c r="AN236" i="84"/>
  <c r="AN72" i="84"/>
  <c r="AN597" i="84"/>
  <c r="AN732" i="84"/>
  <c r="AN658" i="84"/>
  <c r="AN671" i="84"/>
  <c r="AN398" i="84"/>
  <c r="AN619" i="84"/>
  <c r="AN576" i="84"/>
  <c r="AN286" i="84"/>
  <c r="AN688" i="84"/>
  <c r="AN689" i="84"/>
  <c r="AN62" i="84"/>
  <c r="AN798" i="84"/>
  <c r="AN617" i="84"/>
  <c r="AN647" i="84"/>
  <c r="AN451" i="84"/>
  <c r="AN495" i="84"/>
  <c r="AN35" i="84"/>
  <c r="AN590" i="84"/>
  <c r="AN781" i="84"/>
  <c r="AN368" i="84"/>
  <c r="BC368" i="84" s="1"/>
  <c r="AN11" i="84"/>
  <c r="AN198" i="84"/>
  <c r="AN254" i="84"/>
  <c r="AN158" i="84"/>
  <c r="AN396" i="84"/>
  <c r="AN16" i="84"/>
  <c r="AN376" i="84"/>
  <c r="AN394" i="84"/>
  <c r="AN581" i="84"/>
  <c r="AN560" i="84"/>
  <c r="AN927" i="84"/>
  <c r="AN867" i="84"/>
  <c r="AN496" i="84"/>
  <c r="AN200" i="84"/>
  <c r="AN114" i="84"/>
  <c r="AN810" i="84"/>
  <c r="AN578" i="84"/>
  <c r="AN691" i="84"/>
  <c r="AN165" i="84"/>
  <c r="AN575" i="84"/>
  <c r="AN866" i="84"/>
  <c r="AN906" i="84"/>
  <c r="AN945" i="84"/>
  <c r="AN631" i="84"/>
  <c r="AN549" i="84"/>
  <c r="AN464" i="84"/>
  <c r="AN212" i="84"/>
  <c r="AN768" i="84"/>
  <c r="AN851" i="84"/>
  <c r="AN513" i="84"/>
  <c r="AN350" i="84"/>
  <c r="AN480" i="84"/>
  <c r="AN290" i="84"/>
  <c r="AN215" i="84"/>
  <c r="AN873" i="84"/>
  <c r="AN155" i="84"/>
  <c r="AN892" i="84"/>
  <c r="AN355" i="84"/>
  <c r="AN883" i="84"/>
  <c r="AN833" i="84"/>
  <c r="AN812" i="84"/>
  <c r="AN287" i="84"/>
  <c r="AN112" i="84"/>
  <c r="AN708" i="84"/>
  <c r="AN924" i="84"/>
  <c r="AN501" i="84"/>
  <c r="AN834" i="84"/>
  <c r="AN518" i="84"/>
  <c r="AN568" i="84"/>
  <c r="AN403" i="84"/>
  <c r="AN548" i="84"/>
  <c r="AN730" i="84"/>
  <c r="AN608" i="84"/>
  <c r="AN653" i="84"/>
  <c r="AN130" i="84"/>
  <c r="AN349" i="84"/>
  <c r="AN466" i="84"/>
  <c r="AN498" i="84"/>
  <c r="AN733" i="84"/>
  <c r="AN206" i="84"/>
  <c r="AN483" i="84"/>
  <c r="AN489" i="84"/>
  <c r="AN941" i="84"/>
  <c r="AN147" i="84"/>
  <c r="AN735" i="84"/>
  <c r="AN406" i="84"/>
  <c r="AN177" i="84"/>
  <c r="AN765" i="84"/>
  <c r="AN85" i="84"/>
  <c r="AN128" i="84"/>
  <c r="AN542" i="84"/>
  <c r="AN762" i="84"/>
  <c r="AN770" i="84"/>
  <c r="AN920" i="84"/>
  <c r="AN276" i="84"/>
  <c r="AN855" i="84"/>
  <c r="AN551" i="84"/>
  <c r="AN380" i="84"/>
  <c r="AN546" i="84"/>
  <c r="AN836" i="84"/>
  <c r="AN393" i="84"/>
  <c r="AN547" i="84"/>
  <c r="AN828" i="84"/>
  <c r="AN29" i="84"/>
  <c r="AN779" i="84"/>
  <c r="AN601" i="84"/>
  <c r="AN267" i="84"/>
  <c r="AN720" i="84"/>
  <c r="AN789" i="84"/>
  <c r="AN961" i="84"/>
  <c r="AN795" i="84"/>
  <c r="AN352" i="84"/>
  <c r="AN610" i="84"/>
  <c r="AN963" i="84"/>
  <c r="AN930" i="84"/>
  <c r="AN721" i="84"/>
  <c r="AN745" i="84"/>
  <c r="AN324" i="84"/>
  <c r="AN707" i="84"/>
  <c r="AN605" i="84"/>
  <c r="AN841" i="84"/>
  <c r="AN176" i="84"/>
  <c r="AN343" i="84"/>
  <c r="AN51" i="84"/>
  <c r="AN123" i="84"/>
  <c r="AN670" i="84"/>
  <c r="AN392" i="84"/>
  <c r="AN544" i="84"/>
  <c r="AN849" i="84"/>
  <c r="AN354" i="84"/>
  <c r="AN216" i="84"/>
  <c r="AN703" i="84"/>
  <c r="AN246" i="84"/>
  <c r="AN500" i="84"/>
  <c r="AN14" i="84"/>
  <c r="AN205" i="84"/>
  <c r="AN28" i="84"/>
  <c r="AN856" i="84"/>
  <c r="AN244" i="84"/>
  <c r="AN510" i="84"/>
  <c r="AN100" i="84"/>
  <c r="AN648" i="84"/>
  <c r="AN682" i="84"/>
  <c r="AN693" i="84"/>
  <c r="AN758" i="84"/>
  <c r="AN540" i="84"/>
  <c r="AN852" i="84"/>
  <c r="AN259" i="84"/>
  <c r="AN700" i="84"/>
  <c r="AN452" i="84"/>
  <c r="AN305" i="84"/>
  <c r="AN379" i="84"/>
  <c r="AN274" i="84"/>
  <c r="AN156" i="84"/>
  <c r="AN710" i="84"/>
  <c r="AN606" i="84"/>
  <c r="AN113" i="84"/>
  <c r="AN603" i="84"/>
  <c r="AN426" i="84"/>
  <c r="AN627" i="84"/>
  <c r="AN815" i="84"/>
  <c r="AN421" i="84"/>
  <c r="AN410" i="84"/>
  <c r="AN308" i="84"/>
  <c r="AN65" i="84"/>
  <c r="AN277" i="84"/>
  <c r="AN529" i="84"/>
  <c r="AN471" i="84"/>
  <c r="AN27" i="84"/>
  <c r="AN697" i="84"/>
  <c r="AN522" i="84"/>
  <c r="AN172" i="84"/>
  <c r="AN526" i="84"/>
  <c r="AN929" i="84"/>
  <c r="AN163" i="84"/>
  <c r="AN143" i="84"/>
  <c r="AN126" i="84"/>
  <c r="AN137" i="84"/>
  <c r="AN494" i="84"/>
  <c r="AN661" i="84"/>
  <c r="AN755" i="84"/>
  <c r="AN654" i="84"/>
  <c r="AN859" i="84"/>
  <c r="AN723" i="84"/>
  <c r="AN428" i="84"/>
  <c r="AN737" i="84"/>
  <c r="AN835" i="84"/>
  <c r="AN442" i="84"/>
  <c r="AN46" i="84"/>
  <c r="AN666" i="84"/>
  <c r="AN869" i="84"/>
  <c r="AN704" i="84"/>
  <c r="AN557" i="84"/>
  <c r="AN558" i="84"/>
  <c r="AN26" i="84"/>
  <c r="AN664" i="84"/>
  <c r="AN803" i="84"/>
  <c r="AN673" i="84"/>
  <c r="AN278" i="84"/>
  <c r="AN509" i="84"/>
  <c r="AN566" i="84"/>
  <c r="AN818" i="84"/>
  <c r="AN915" i="84"/>
  <c r="AN374" i="84"/>
  <c r="AN251" i="84"/>
  <c r="AN848" i="84"/>
  <c r="AN681" i="84"/>
  <c r="AN476" i="84"/>
  <c r="AN775" i="84"/>
  <c r="AN910" i="84"/>
  <c r="AN683" i="84"/>
  <c r="AN76" i="84"/>
  <c r="AN386" i="84"/>
  <c r="AN948" i="84"/>
  <c r="AN738" i="84"/>
  <c r="AN563" i="84"/>
  <c r="AN134" i="84"/>
  <c r="AN424" i="84"/>
  <c r="AN524" i="84"/>
  <c r="AN714" i="84"/>
  <c r="AN337" i="84"/>
  <c r="AN299" i="84"/>
  <c r="AN650" i="84"/>
  <c r="AN904" i="84"/>
  <c r="AN103" i="84"/>
  <c r="AN88" i="84"/>
  <c r="AN49" i="84"/>
  <c r="AN493" i="84"/>
  <c r="AN388" i="84"/>
  <c r="AN569" i="84"/>
  <c r="AN255" i="84"/>
  <c r="AN523" i="84"/>
  <c r="AN174" i="84"/>
  <c r="AN459" i="84"/>
  <c r="AN193" i="84"/>
  <c r="AN491" i="84"/>
  <c r="AN207" i="84"/>
  <c r="AN453" i="84"/>
  <c r="AN227" i="84"/>
  <c r="AN652" i="84"/>
  <c r="AN713" i="84"/>
  <c r="AN101" i="84"/>
  <c r="AN415" i="84"/>
  <c r="AN175" i="84"/>
  <c r="AN127" i="84"/>
  <c r="AN335" i="84"/>
  <c r="AN30" i="84"/>
  <c r="AN626" i="84"/>
  <c r="AN260" i="84"/>
  <c r="AN538" i="84"/>
  <c r="AN154" i="84"/>
  <c r="AN925" i="84"/>
  <c r="AN208" i="84"/>
  <c r="AN862" i="84"/>
  <c r="AN953" i="84"/>
  <c r="AN956" i="84"/>
  <c r="AN854" i="84"/>
  <c r="AN187" i="84"/>
  <c r="AN577" i="84"/>
  <c r="AN757" i="84"/>
  <c r="AN80" i="84"/>
  <c r="AN921" i="84"/>
  <c r="AN719" i="84"/>
  <c r="AN687" i="84"/>
  <c r="AN595" i="84"/>
  <c r="AN799" i="84"/>
  <c r="AN763" i="84"/>
  <c r="AN521" i="84"/>
  <c r="AN702" i="84"/>
  <c r="AN294" i="84"/>
  <c r="AN333" i="84"/>
  <c r="AN791" i="84"/>
  <c r="AN599" i="84"/>
  <c r="AN839" i="84"/>
  <c r="AN84" i="84"/>
  <c r="AN506" i="84"/>
  <c r="AN827" i="84"/>
  <c r="AN401" i="84"/>
  <c r="AN153" i="84"/>
  <c r="AN939" i="84"/>
  <c r="AN13" i="84"/>
  <c r="AN434" i="84"/>
  <c r="AN607" i="84"/>
  <c r="AN771" i="84"/>
  <c r="AN431" i="84"/>
  <c r="AN115" i="84"/>
  <c r="AN256" i="84"/>
  <c r="AN441" i="84"/>
  <c r="AN171" i="84"/>
  <c r="AN296" i="84"/>
  <c r="AN375" i="84"/>
  <c r="AN298" i="84"/>
  <c r="AN787" i="84"/>
  <c r="AN696" i="84"/>
  <c r="AN786" i="84"/>
  <c r="AN443" i="84"/>
  <c r="AN478" i="84"/>
  <c r="AN455" i="84"/>
  <c r="AN729" i="84"/>
  <c r="AN705" i="84"/>
  <c r="AN282" i="84"/>
  <c r="AN121" i="84"/>
  <c r="AN662" i="84"/>
  <c r="AN71" i="84"/>
  <c r="AN306" i="84"/>
  <c r="AN104" i="84"/>
  <c r="AN363" i="84"/>
  <c r="AN465" i="84"/>
  <c r="AN395" i="84"/>
  <c r="AN888" i="84"/>
  <c r="AN135" i="84"/>
  <c r="AN641" i="84"/>
  <c r="AN66" i="84"/>
  <c r="AN119" i="84"/>
  <c r="AN430" i="84"/>
  <c r="AN382" i="84"/>
  <c r="AN45" i="84"/>
  <c r="AN801" i="84"/>
  <c r="AN129" i="84"/>
  <c r="AN533" i="84"/>
  <c r="AN922" i="84"/>
  <c r="AN879" i="84"/>
  <c r="AN184" i="84"/>
  <c r="AN613" i="84"/>
  <c r="AN330" i="84"/>
  <c r="AN9" i="84"/>
  <c r="AN943" i="84"/>
  <c r="AN370" i="84"/>
  <c r="AN916" i="84"/>
  <c r="AN315" i="84"/>
  <c r="AN203" i="84"/>
  <c r="AN140" i="84"/>
  <c r="AN196" i="84"/>
  <c r="AN750" i="84"/>
  <c r="AN717" i="84"/>
  <c r="AN679" i="84"/>
  <c r="AN769" i="84"/>
  <c r="AN802" i="84"/>
  <c r="AN784" i="84"/>
  <c r="AN372" i="84"/>
  <c r="AN878" i="84"/>
  <c r="AN378" i="84"/>
  <c r="AN313" i="84"/>
  <c r="AN195" i="84"/>
  <c r="AN341" i="84"/>
  <c r="AN649" i="84"/>
  <c r="AN863" i="84"/>
  <c r="AN764" i="84"/>
  <c r="AN228" i="84"/>
  <c r="AN602" i="84"/>
  <c r="AN829" i="84"/>
  <c r="AP416" i="84" l="1"/>
  <c r="AS416" i="84"/>
  <c r="AV416" i="84"/>
  <c r="AY416" i="84"/>
  <c r="BC533" i="84"/>
  <c r="AP533" i="84"/>
  <c r="AS533" i="84"/>
  <c r="AV533" i="84"/>
  <c r="AY533" i="84"/>
  <c r="BC602" i="84"/>
  <c r="AY602" i="84"/>
  <c r="AV602" i="84"/>
  <c r="AP602" i="84"/>
  <c r="AS602" i="84"/>
  <c r="AS129" i="84"/>
  <c r="AP129" i="84"/>
  <c r="AV129" i="84"/>
  <c r="BC129" i="84"/>
  <c r="AY129" i="84"/>
  <c r="BC878" i="84"/>
  <c r="AS878" i="84"/>
  <c r="AV878" i="84"/>
  <c r="AP878" i="84"/>
  <c r="AY878" i="84"/>
  <c r="AY662" i="84"/>
  <c r="AS662" i="84"/>
  <c r="AV662" i="84"/>
  <c r="AP662" i="84"/>
  <c r="BC662" i="84"/>
  <c r="AP140" i="84"/>
  <c r="AS140" i="84"/>
  <c r="AY140" i="84"/>
  <c r="AV140" i="84"/>
  <c r="BC140" i="84"/>
  <c r="AV863" i="84"/>
  <c r="AY863" i="84"/>
  <c r="AS863" i="84"/>
  <c r="AP863" i="84"/>
  <c r="BC863" i="84"/>
  <c r="AS784" i="84"/>
  <c r="AV784" i="84"/>
  <c r="BC784" i="84"/>
  <c r="AY784" i="84"/>
  <c r="AP784" i="84"/>
  <c r="BC203" i="84"/>
  <c r="AS203" i="84"/>
  <c r="AY203" i="84"/>
  <c r="AV203" i="84"/>
  <c r="AP203" i="84"/>
  <c r="AV184" i="84"/>
  <c r="AS184" i="84"/>
  <c r="AP184" i="84"/>
  <c r="AY184" i="84"/>
  <c r="AV382" i="84"/>
  <c r="AY382" i="84"/>
  <c r="AP382" i="84"/>
  <c r="AS382" i="84"/>
  <c r="BC382" i="84"/>
  <c r="AP395" i="84"/>
  <c r="AV395" i="84"/>
  <c r="AS395" i="84"/>
  <c r="AY395" i="84"/>
  <c r="BC395" i="84"/>
  <c r="BC282" i="84"/>
  <c r="AV282" i="84"/>
  <c r="AY282" i="84"/>
  <c r="AP282" i="84"/>
  <c r="AS282" i="84"/>
  <c r="AY787" i="84"/>
  <c r="AS787" i="84"/>
  <c r="BC787" i="84"/>
  <c r="AP787" i="84"/>
  <c r="AV787" i="84"/>
  <c r="AP431" i="84"/>
  <c r="AV431" i="84"/>
  <c r="AY431" i="84"/>
  <c r="AS431" i="84"/>
  <c r="BC431" i="84"/>
  <c r="BC827" i="84"/>
  <c r="AS827" i="84"/>
  <c r="AP827" i="84"/>
  <c r="AY827" i="84"/>
  <c r="AV827" i="84"/>
  <c r="AV702" i="84"/>
  <c r="AP702" i="84"/>
  <c r="AY702" i="84"/>
  <c r="AS702" i="84"/>
  <c r="BC702" i="84"/>
  <c r="AY80" i="84"/>
  <c r="AP80" i="84"/>
  <c r="AS80" i="84"/>
  <c r="BC80" i="84"/>
  <c r="AV80" i="84"/>
  <c r="AY208" i="84"/>
  <c r="BC208" i="84"/>
  <c r="AV208" i="84"/>
  <c r="AP208" i="84"/>
  <c r="AS208" i="84"/>
  <c r="BC174" i="84"/>
  <c r="AV174" i="84"/>
  <c r="AP174" i="84"/>
  <c r="AY174" i="84"/>
  <c r="AS174" i="84"/>
  <c r="AY524" i="84"/>
  <c r="AP524" i="84"/>
  <c r="AV524" i="84"/>
  <c r="BC524" i="84"/>
  <c r="AS524" i="84"/>
  <c r="AV683" i="84"/>
  <c r="BC683" i="84"/>
  <c r="AS683" i="84"/>
  <c r="AP683" i="84"/>
  <c r="AY683" i="84"/>
  <c r="AP915" i="84"/>
  <c r="AY915" i="84"/>
  <c r="BC915" i="84"/>
  <c r="AS915" i="84"/>
  <c r="AV915" i="84"/>
  <c r="AV26" i="84"/>
  <c r="AP26" i="84"/>
  <c r="AY26" i="84"/>
  <c r="BC26" i="84"/>
  <c r="AS26" i="84"/>
  <c r="AP835" i="84"/>
  <c r="AV835" i="84"/>
  <c r="BC835" i="84"/>
  <c r="AS835" i="84"/>
  <c r="AY835" i="84"/>
  <c r="AV494" i="84"/>
  <c r="AY494" i="84"/>
  <c r="AP494" i="84"/>
  <c r="BC494" i="84"/>
  <c r="AS494" i="84"/>
  <c r="BC522" i="84"/>
  <c r="AP522" i="84"/>
  <c r="AS522" i="84"/>
  <c r="AV522" i="84"/>
  <c r="AY522" i="84"/>
  <c r="BC410" i="84"/>
  <c r="AV410" i="84"/>
  <c r="AP410" i="84"/>
  <c r="AY410" i="84"/>
  <c r="AS410" i="84"/>
  <c r="AV710" i="84"/>
  <c r="BC710" i="84"/>
  <c r="AP710" i="84"/>
  <c r="AS710" i="84"/>
  <c r="AY710" i="84"/>
  <c r="AS852" i="84"/>
  <c r="AY852" i="84"/>
  <c r="AP852" i="84"/>
  <c r="BC852" i="84"/>
  <c r="AV852" i="84"/>
  <c r="AS244" i="84"/>
  <c r="AY244" i="84"/>
  <c r="AP244" i="84"/>
  <c r="AV244" i="84"/>
  <c r="BC244" i="84"/>
  <c r="AP216" i="84"/>
  <c r="AY216" i="84"/>
  <c r="AV216" i="84"/>
  <c r="AS216" i="84"/>
  <c r="BC216" i="84"/>
  <c r="AV343" i="84"/>
  <c r="BC343" i="84"/>
  <c r="AP343" i="84"/>
  <c r="AS343" i="84"/>
  <c r="AY343" i="84"/>
  <c r="AV721" i="84"/>
  <c r="AY721" i="84"/>
  <c r="AS721" i="84"/>
  <c r="AP721" i="84"/>
  <c r="BC721" i="84"/>
  <c r="BC720" i="84"/>
  <c r="AY720" i="84"/>
  <c r="AV720" i="84"/>
  <c r="AS720" i="84"/>
  <c r="AP720" i="84"/>
  <c r="AP836" i="84"/>
  <c r="BC836" i="84"/>
  <c r="AV836" i="84"/>
  <c r="AS836" i="84"/>
  <c r="AY836" i="84"/>
  <c r="AP762" i="84"/>
  <c r="BC762" i="84"/>
  <c r="AS762" i="84"/>
  <c r="AV762" i="84"/>
  <c r="AY762" i="84"/>
  <c r="AP147" i="84"/>
  <c r="AV147" i="84"/>
  <c r="BC147" i="84"/>
  <c r="AS147" i="84"/>
  <c r="AY147" i="84"/>
  <c r="AS349" i="84"/>
  <c r="BC349" i="84"/>
  <c r="AY349" i="84"/>
  <c r="AV349" i="84"/>
  <c r="AP349" i="84"/>
  <c r="AP518" i="84"/>
  <c r="AY518" i="84"/>
  <c r="BC518" i="84"/>
  <c r="AV518" i="84"/>
  <c r="AS518" i="84"/>
  <c r="AS833" i="84"/>
  <c r="BC833" i="84"/>
  <c r="AP833" i="84"/>
  <c r="AY833" i="84"/>
  <c r="AV833" i="84"/>
  <c r="AP480" i="84"/>
  <c r="BC480" i="84"/>
  <c r="AV480" i="84"/>
  <c r="AY480" i="84"/>
  <c r="AS480" i="84"/>
  <c r="AV631" i="84"/>
  <c r="AP631" i="84"/>
  <c r="BC631" i="84"/>
  <c r="AS631" i="84"/>
  <c r="AY631" i="84"/>
  <c r="BC810" i="84"/>
  <c r="AS810" i="84"/>
  <c r="AY810" i="84"/>
  <c r="AV810" i="84"/>
  <c r="AP810" i="84"/>
  <c r="AV581" i="84"/>
  <c r="BC581" i="84"/>
  <c r="AS581" i="84"/>
  <c r="AY581" i="84"/>
  <c r="AP581" i="84"/>
  <c r="AP11" i="84"/>
  <c r="AS11" i="84"/>
  <c r="BC11" i="84"/>
  <c r="AV11" i="84"/>
  <c r="AY11" i="84"/>
  <c r="AY647" i="84"/>
  <c r="AP647" i="84"/>
  <c r="AS647" i="84"/>
  <c r="AV647" i="84"/>
  <c r="BC647" i="84"/>
  <c r="AV619" i="84"/>
  <c r="AP619" i="84"/>
  <c r="AY619" i="84"/>
  <c r="BC619" i="84"/>
  <c r="AS619" i="84"/>
  <c r="AY236" i="84"/>
  <c r="AS236" i="84"/>
  <c r="AV236" i="84"/>
  <c r="BC236" i="84"/>
  <c r="AP236" i="84"/>
  <c r="BC139" i="84"/>
  <c r="AS139" i="84"/>
  <c r="AP139" i="84"/>
  <c r="AY139" i="84"/>
  <c r="AV139" i="84"/>
  <c r="AS635" i="84"/>
  <c r="BC635" i="84"/>
  <c r="AV635" i="84"/>
  <c r="AY635" i="84"/>
  <c r="AP635" i="84"/>
  <c r="AP861" i="84"/>
  <c r="BC861" i="84"/>
  <c r="AV861" i="84"/>
  <c r="AS861" i="84"/>
  <c r="AY861" i="84"/>
  <c r="BC572" i="84"/>
  <c r="AS572" i="84"/>
  <c r="AP572" i="84"/>
  <c r="AV572" i="84"/>
  <c r="AY572" i="84"/>
  <c r="AP711" i="84"/>
  <c r="AY711" i="84"/>
  <c r="AV711" i="84"/>
  <c r="BC711" i="84"/>
  <c r="AS711" i="84"/>
  <c r="AY159" i="84"/>
  <c r="AP159" i="84"/>
  <c r="AS159" i="84"/>
  <c r="AV159" i="84"/>
  <c r="BC159" i="84"/>
  <c r="AP258" i="84"/>
  <c r="AV258" i="84"/>
  <c r="BC258" i="84"/>
  <c r="AY258" i="84"/>
  <c r="AS258" i="84"/>
  <c r="AY960" i="84"/>
  <c r="AV960" i="84"/>
  <c r="BC960" i="84"/>
  <c r="AP960" i="84"/>
  <c r="AS960" i="84"/>
  <c r="AY266" i="84"/>
  <c r="AV266" i="84"/>
  <c r="AS266" i="84"/>
  <c r="AP266" i="84"/>
  <c r="BC266" i="84"/>
  <c r="AP94" i="84"/>
  <c r="BC94" i="84"/>
  <c r="AS94" i="84"/>
  <c r="AY94" i="84"/>
  <c r="AV94" i="84"/>
  <c r="AS412" i="84"/>
  <c r="AY412" i="84"/>
  <c r="AV412" i="84"/>
  <c r="AP412" i="84"/>
  <c r="BC412" i="84"/>
  <c r="AY55" i="84"/>
  <c r="AV55" i="84"/>
  <c r="BC55" i="84"/>
  <c r="AS55" i="84"/>
  <c r="AP55" i="84"/>
  <c r="BC746" i="84"/>
  <c r="AS746" i="84"/>
  <c r="AY746" i="84"/>
  <c r="AP746" i="84"/>
  <c r="AV746" i="84"/>
  <c r="BC131" i="84"/>
  <c r="AS131" i="84"/>
  <c r="AP131" i="84"/>
  <c r="AY131" i="84"/>
  <c r="AV131" i="84"/>
  <c r="AP63" i="84"/>
  <c r="AY63" i="84"/>
  <c r="AV63" i="84"/>
  <c r="AS63" i="84"/>
  <c r="BC243" i="84"/>
  <c r="AV243" i="84"/>
  <c r="AP243" i="84"/>
  <c r="AS243" i="84"/>
  <c r="AY243" i="84"/>
  <c r="AP314" i="84"/>
  <c r="AV314" i="84"/>
  <c r="AS314" i="84"/>
  <c r="BC314" i="84"/>
  <c r="AY314" i="84"/>
  <c r="AS188" i="84"/>
  <c r="BC188" i="84"/>
  <c r="AP188" i="84"/>
  <c r="AY188" i="84"/>
  <c r="AV188" i="84"/>
  <c r="AS811" i="84"/>
  <c r="AY811" i="84"/>
  <c r="AV811" i="84"/>
  <c r="BC811" i="84"/>
  <c r="AP811" i="84"/>
  <c r="AY316" i="84"/>
  <c r="AS316" i="84"/>
  <c r="BC316" i="84"/>
  <c r="AP316" i="84"/>
  <c r="AV316" i="84"/>
  <c r="AV871" i="84"/>
  <c r="AS871" i="84"/>
  <c r="BC871" i="84"/>
  <c r="AY871" i="84"/>
  <c r="AP871" i="84"/>
  <c r="AV692" i="84"/>
  <c r="AP692" i="84"/>
  <c r="BC692" i="84"/>
  <c r="AS692" i="84"/>
  <c r="AY692" i="84"/>
  <c r="AP952" i="84"/>
  <c r="BC952" i="84"/>
  <c r="AS952" i="84"/>
  <c r="AY952" i="84"/>
  <c r="AV952" i="84"/>
  <c r="AV99" i="84"/>
  <c r="BC99" i="84"/>
  <c r="AP99" i="84"/>
  <c r="AY99" i="84"/>
  <c r="AS99" i="84"/>
  <c r="BC250" i="84"/>
  <c r="AS250" i="84"/>
  <c r="AV250" i="84"/>
  <c r="AP250" i="84"/>
  <c r="AY250" i="84"/>
  <c r="AY418" i="84"/>
  <c r="AP418" i="84"/>
  <c r="BC418" i="84"/>
  <c r="AS418" i="84"/>
  <c r="AV418" i="84"/>
  <c r="AP218" i="84"/>
  <c r="AV218" i="84"/>
  <c r="AY218" i="84"/>
  <c r="BC218" i="84"/>
  <c r="AS218" i="84"/>
  <c r="AS511" i="84"/>
  <c r="AP511" i="84"/>
  <c r="AY511" i="84"/>
  <c r="BC511" i="84"/>
  <c r="AV511" i="84"/>
  <c r="AP885" i="84"/>
  <c r="AV885" i="84"/>
  <c r="AS885" i="84"/>
  <c r="AY885" i="84"/>
  <c r="BC885" i="84"/>
  <c r="BC504" i="84"/>
  <c r="AS504" i="84"/>
  <c r="AV504" i="84"/>
  <c r="AP504" i="84"/>
  <c r="AY504" i="84"/>
  <c r="AV348" i="84"/>
  <c r="AP348" i="84"/>
  <c r="AS348" i="84"/>
  <c r="AY348" i="84"/>
  <c r="BC348" i="84"/>
  <c r="BC69" i="84"/>
  <c r="AP69" i="84"/>
  <c r="AY69" i="84"/>
  <c r="AV69" i="84"/>
  <c r="AS69" i="84"/>
  <c r="BC474" i="84"/>
  <c r="AP474" i="84"/>
  <c r="AS474" i="84"/>
  <c r="AY474" i="84"/>
  <c r="AV474" i="84"/>
  <c r="AS743" i="84"/>
  <c r="AV743" i="84"/>
  <c r="AY743" i="84"/>
  <c r="AP743" i="84"/>
  <c r="BC743" i="84"/>
  <c r="BC420" i="84"/>
  <c r="AS420" i="84"/>
  <c r="AV420" i="84"/>
  <c r="AY420" i="84"/>
  <c r="AP420" i="84"/>
  <c r="AS211" i="84"/>
  <c r="AV211" i="84"/>
  <c r="AP211" i="84"/>
  <c r="BC211" i="84"/>
  <c r="AY211" i="84"/>
  <c r="BC366" i="84"/>
  <c r="AS366" i="84"/>
  <c r="AY366" i="84"/>
  <c r="AV366" i="84"/>
  <c r="AP366" i="84"/>
  <c r="AV525" i="84"/>
  <c r="AP525" i="84"/>
  <c r="AY525" i="84"/>
  <c r="AS525" i="84"/>
  <c r="BC525" i="84"/>
  <c r="BC473" i="84"/>
  <c r="AP473" i="84"/>
  <c r="AV473" i="84"/>
  <c r="AY473" i="84"/>
  <c r="AS473" i="84"/>
  <c r="AS125" i="84"/>
  <c r="AY125" i="84"/>
  <c r="BC125" i="84"/>
  <c r="AP125" i="84"/>
  <c r="AV125" i="84"/>
  <c r="AS223" i="84"/>
  <c r="AV223" i="84"/>
  <c r="AY223" i="84"/>
  <c r="AP223" i="84"/>
  <c r="BC223" i="84"/>
  <c r="AP831" i="84"/>
  <c r="AV831" i="84"/>
  <c r="AS831" i="84"/>
  <c r="AY831" i="84"/>
  <c r="BC831" i="84"/>
  <c r="AS935" i="84"/>
  <c r="AY935" i="84"/>
  <c r="AV935" i="84"/>
  <c r="AP935" i="84"/>
  <c r="BC935" i="84"/>
  <c r="AS539" i="84"/>
  <c r="AY539" i="84"/>
  <c r="BC539" i="84"/>
  <c r="AV539" i="84"/>
  <c r="AP539" i="84"/>
  <c r="AS220" i="84"/>
  <c r="BC220" i="84"/>
  <c r="AV220" i="84"/>
  <c r="AY220" i="84"/>
  <c r="AP220" i="84"/>
  <c r="AS911" i="84"/>
  <c r="AP911" i="84"/>
  <c r="AY911" i="84"/>
  <c r="BC911" i="84"/>
  <c r="AV911" i="84"/>
  <c r="AP865" i="84"/>
  <c r="AV865" i="84"/>
  <c r="BC865" i="84"/>
  <c r="AS865" i="84"/>
  <c r="AY865" i="84"/>
  <c r="BC807" i="84"/>
  <c r="AV807" i="84"/>
  <c r="AP807" i="84"/>
  <c r="AY807" i="84"/>
  <c r="AS807" i="84"/>
  <c r="AP356" i="84"/>
  <c r="AY356" i="84"/>
  <c r="AS356" i="84"/>
  <c r="AV356" i="84"/>
  <c r="BC356" i="84"/>
  <c r="AP932" i="84"/>
  <c r="AY932" i="84"/>
  <c r="BC932" i="84"/>
  <c r="AV932" i="84"/>
  <c r="AS932" i="84"/>
  <c r="BC336" i="84"/>
  <c r="AY336" i="84"/>
  <c r="AS336" i="84"/>
  <c r="AV336" i="84"/>
  <c r="AP336" i="84"/>
  <c r="AP42" i="84"/>
  <c r="BC42" i="84"/>
  <c r="AV42" i="84"/>
  <c r="AY42" i="84"/>
  <c r="AS42" i="84"/>
  <c r="BC107" i="84"/>
  <c r="AY107" i="84"/>
  <c r="AV107" i="84"/>
  <c r="AP107" i="84"/>
  <c r="AS107" i="84"/>
  <c r="AP512" i="84"/>
  <c r="BC512" i="84"/>
  <c r="AY512" i="84"/>
  <c r="AS512" i="84"/>
  <c r="AV512" i="84"/>
  <c r="AV528" i="84"/>
  <c r="AS528" i="84"/>
  <c r="AY528" i="84"/>
  <c r="AP528" i="84"/>
  <c r="BC528" i="84"/>
  <c r="AS146" i="84"/>
  <c r="AY146" i="84"/>
  <c r="AV146" i="84"/>
  <c r="BC146" i="84"/>
  <c r="AP146" i="84"/>
  <c r="AP221" i="84"/>
  <c r="AS221" i="84"/>
  <c r="BC221" i="84"/>
  <c r="AV221" i="84"/>
  <c r="AY221" i="84"/>
  <c r="AV955" i="84"/>
  <c r="AP955" i="84"/>
  <c r="AY955" i="84"/>
  <c r="AS955" i="84"/>
  <c r="BC955" i="84"/>
  <c r="AS751" i="84"/>
  <c r="AP751" i="84"/>
  <c r="AY751" i="84"/>
  <c r="BC751" i="84"/>
  <c r="AV751" i="84"/>
  <c r="AY600" i="84"/>
  <c r="AP600" i="84"/>
  <c r="AV600" i="84"/>
  <c r="AS600" i="84"/>
  <c r="BC600" i="84"/>
  <c r="BC285" i="84"/>
  <c r="AP285" i="84"/>
  <c r="AS285" i="84"/>
  <c r="AV285" i="84"/>
  <c r="AY285" i="84"/>
  <c r="AS780" i="84"/>
  <c r="AY780" i="84"/>
  <c r="AP780" i="84"/>
  <c r="BC780" i="84"/>
  <c r="AV780" i="84"/>
  <c r="AY233" i="84"/>
  <c r="AP233" i="84"/>
  <c r="BC233" i="84"/>
  <c r="AV233" i="84"/>
  <c r="AS233" i="84"/>
  <c r="AV167" i="84"/>
  <c r="AY167" i="84"/>
  <c r="BC167" i="84"/>
  <c r="AS167" i="84"/>
  <c r="AP167" i="84"/>
  <c r="AY872" i="84"/>
  <c r="AS872" i="84"/>
  <c r="BC872" i="84"/>
  <c r="AP872" i="84"/>
  <c r="AV872" i="84"/>
  <c r="AS596" i="84"/>
  <c r="AY596" i="84"/>
  <c r="BC596" i="84"/>
  <c r="AP596" i="84"/>
  <c r="AV596" i="84"/>
  <c r="BC238" i="84"/>
  <c r="AS238" i="84"/>
  <c r="AY238" i="84"/>
  <c r="AP238" i="84"/>
  <c r="AV238" i="84"/>
  <c r="AY38" i="84"/>
  <c r="BC38" i="84"/>
  <c r="AV38" i="84"/>
  <c r="AS38" i="84"/>
  <c r="AP38" i="84"/>
  <c r="BC50" i="84"/>
  <c r="AV50" i="84"/>
  <c r="AS50" i="84"/>
  <c r="AP50" i="84"/>
  <c r="AY50" i="84"/>
  <c r="AV736" i="84"/>
  <c r="BC736" i="84"/>
  <c r="AP736" i="84"/>
  <c r="AS736" i="84"/>
  <c r="AY736" i="84"/>
  <c r="AS429" i="84"/>
  <c r="AY429" i="84"/>
  <c r="AV429" i="84"/>
  <c r="AP429" i="84"/>
  <c r="BC429" i="84"/>
  <c r="AV754" i="84"/>
  <c r="AS754" i="84"/>
  <c r="BC754" i="84"/>
  <c r="AP754" i="84"/>
  <c r="AY754" i="84"/>
  <c r="AV823" i="84"/>
  <c r="AS823" i="84"/>
  <c r="BC823" i="84"/>
  <c r="AP823" i="84"/>
  <c r="AY823" i="84"/>
  <c r="AS257" i="84"/>
  <c r="AP257" i="84"/>
  <c r="AV257" i="84"/>
  <c r="BC257" i="84"/>
  <c r="AY257" i="84"/>
  <c r="AS541" i="84"/>
  <c r="BC541" i="84"/>
  <c r="AV541" i="84"/>
  <c r="AP541" i="84"/>
  <c r="AY541" i="84"/>
  <c r="AS717" i="84"/>
  <c r="AV717" i="84"/>
  <c r="AP717" i="84"/>
  <c r="BC717" i="84"/>
  <c r="AY717" i="84"/>
  <c r="AV13" i="84"/>
  <c r="AP13" i="84"/>
  <c r="AS13" i="84"/>
  <c r="BC13" i="84"/>
  <c r="AY13" i="84"/>
  <c r="AY750" i="84"/>
  <c r="AS750" i="84"/>
  <c r="BC750" i="84"/>
  <c r="AP750" i="84"/>
  <c r="AV750" i="84"/>
  <c r="AV443" i="84"/>
  <c r="BC443" i="84"/>
  <c r="AP443" i="84"/>
  <c r="AY443" i="84"/>
  <c r="AS443" i="84"/>
  <c r="AS196" i="84"/>
  <c r="AV196" i="84"/>
  <c r="BC196" i="84"/>
  <c r="AP196" i="84"/>
  <c r="AY196" i="84"/>
  <c r="AY786" i="84"/>
  <c r="AP786" i="84"/>
  <c r="AV786" i="84"/>
  <c r="BC786" i="84"/>
  <c r="AS786" i="84"/>
  <c r="AY649" i="84"/>
  <c r="AV649" i="84"/>
  <c r="BC649" i="84"/>
  <c r="AS649" i="84"/>
  <c r="AP649" i="84"/>
  <c r="AP802" i="84"/>
  <c r="BC802" i="84"/>
  <c r="AV802" i="84"/>
  <c r="AS802" i="84"/>
  <c r="AY802" i="84"/>
  <c r="AP315" i="84"/>
  <c r="BC315" i="84"/>
  <c r="AV315" i="84"/>
  <c r="AY315" i="84"/>
  <c r="AS315" i="84"/>
  <c r="BC430" i="84"/>
  <c r="AV430" i="84"/>
  <c r="AP430" i="84"/>
  <c r="AS430" i="84"/>
  <c r="AY430" i="84"/>
  <c r="AS465" i="84"/>
  <c r="AY465" i="84"/>
  <c r="AV465" i="84"/>
  <c r="BC465" i="84"/>
  <c r="AP465" i="84"/>
  <c r="AP705" i="84"/>
  <c r="AY705" i="84"/>
  <c r="AV705" i="84"/>
  <c r="BC705" i="84"/>
  <c r="AS705" i="84"/>
  <c r="BC298" i="84"/>
  <c r="AP298" i="84"/>
  <c r="AY298" i="84"/>
  <c r="AV298" i="84"/>
  <c r="AS298" i="84"/>
  <c r="AY771" i="84"/>
  <c r="AP771" i="84"/>
  <c r="BC771" i="84"/>
  <c r="AS771" i="84"/>
  <c r="AV771" i="84"/>
  <c r="AP506" i="84"/>
  <c r="AY506" i="84"/>
  <c r="BC506" i="84"/>
  <c r="AS506" i="84"/>
  <c r="AV506" i="84"/>
  <c r="AV521" i="84"/>
  <c r="AS521" i="84"/>
  <c r="AY521" i="84"/>
  <c r="AP521" i="84"/>
  <c r="BC521" i="84"/>
  <c r="BC757" i="84"/>
  <c r="AV757" i="84"/>
  <c r="AY757" i="84"/>
  <c r="AP757" i="84"/>
  <c r="AS757" i="84"/>
  <c r="AV925" i="84"/>
  <c r="AP925" i="84"/>
  <c r="AY925" i="84"/>
  <c r="BC925" i="84"/>
  <c r="AS925" i="84"/>
  <c r="AY127" i="84"/>
  <c r="AV127" i="84"/>
  <c r="AP127" i="84"/>
  <c r="AS127" i="84"/>
  <c r="BC127" i="84"/>
  <c r="AY227" i="84"/>
  <c r="AP227" i="84"/>
  <c r="AS227" i="84"/>
  <c r="BC227" i="84"/>
  <c r="AV227" i="84"/>
  <c r="AP523" i="84"/>
  <c r="AY523" i="84"/>
  <c r="BC523" i="84"/>
  <c r="AV523" i="84"/>
  <c r="AS523" i="84"/>
  <c r="AY88" i="84"/>
  <c r="BC88" i="84"/>
  <c r="AS88" i="84"/>
  <c r="AV88" i="84"/>
  <c r="AP88" i="84"/>
  <c r="AV424" i="84"/>
  <c r="BC424" i="84"/>
  <c r="AY424" i="84"/>
  <c r="AS424" i="84"/>
  <c r="AP424" i="84"/>
  <c r="BC910" i="84"/>
  <c r="AP910" i="84"/>
  <c r="AS910" i="84"/>
  <c r="AV910" i="84"/>
  <c r="AY910" i="84"/>
  <c r="AP818" i="84"/>
  <c r="AY818" i="84"/>
  <c r="BC818" i="84"/>
  <c r="AS818" i="84"/>
  <c r="AV818" i="84"/>
  <c r="BC558" i="84"/>
  <c r="AV558" i="84"/>
  <c r="AY558" i="84"/>
  <c r="AS558" i="84"/>
  <c r="AP558" i="84"/>
  <c r="AV737" i="84"/>
  <c r="AY737" i="84"/>
  <c r="AP737" i="84"/>
  <c r="BC737" i="84"/>
  <c r="AS737" i="84"/>
  <c r="AS137" i="84"/>
  <c r="AP137" i="84"/>
  <c r="AY137" i="84"/>
  <c r="BC137" i="84"/>
  <c r="AV137" i="84"/>
  <c r="AP697" i="84"/>
  <c r="AS697" i="84"/>
  <c r="AV697" i="84"/>
  <c r="BC697" i="84"/>
  <c r="AY697" i="84"/>
  <c r="AS421" i="84"/>
  <c r="AY421" i="84"/>
  <c r="AV421" i="84"/>
  <c r="AP421" i="84"/>
  <c r="BC421" i="84"/>
  <c r="AV156" i="84"/>
  <c r="BC156" i="84"/>
  <c r="AP156" i="84"/>
  <c r="AY156" i="84"/>
  <c r="AS156" i="84"/>
  <c r="AV540" i="84"/>
  <c r="AS540" i="84"/>
  <c r="BC540" i="84"/>
  <c r="AP540" i="84"/>
  <c r="AY540" i="84"/>
  <c r="AP856" i="84"/>
  <c r="AV856" i="84"/>
  <c r="AS856" i="84"/>
  <c r="BC856" i="84"/>
  <c r="AY856" i="84"/>
  <c r="AS354" i="84"/>
  <c r="AV354" i="84"/>
  <c r="AY354" i="84"/>
  <c r="AP354" i="84"/>
  <c r="BC354" i="84"/>
  <c r="AY176" i="84"/>
  <c r="AP176" i="84"/>
  <c r="AV176" i="84"/>
  <c r="AS176" i="84"/>
  <c r="AP930" i="84"/>
  <c r="BC930" i="84"/>
  <c r="AV930" i="84"/>
  <c r="AY930" i="84"/>
  <c r="AS930" i="84"/>
  <c r="AP267" i="84"/>
  <c r="AV267" i="84"/>
  <c r="BC267" i="84"/>
  <c r="AY267" i="84"/>
  <c r="AS267" i="84"/>
  <c r="BC546" i="84"/>
  <c r="AY546" i="84"/>
  <c r="AV546" i="84"/>
  <c r="AP546" i="84"/>
  <c r="AS546" i="84"/>
  <c r="AV542" i="84"/>
  <c r="BC542" i="84"/>
  <c r="AY542" i="84"/>
  <c r="AP542" i="84"/>
  <c r="AS542" i="84"/>
  <c r="AV941" i="84"/>
  <c r="AY941" i="84"/>
  <c r="AP941" i="84"/>
  <c r="AS941" i="84"/>
  <c r="BC941" i="84"/>
  <c r="AS130" i="84"/>
  <c r="AY130" i="84"/>
  <c r="AP130" i="84"/>
  <c r="AV130" i="84"/>
  <c r="AV834" i="84"/>
  <c r="AS834" i="84"/>
  <c r="AY834" i="84"/>
  <c r="BC834" i="84"/>
  <c r="AP834" i="84"/>
  <c r="AY883" i="84"/>
  <c r="AV883" i="84"/>
  <c r="BC883" i="84"/>
  <c r="AS883" i="84"/>
  <c r="AP883" i="84"/>
  <c r="BC350" i="84"/>
  <c r="AY350" i="84"/>
  <c r="AS350" i="84"/>
  <c r="AV350" i="84"/>
  <c r="AP350" i="84"/>
  <c r="AS945" i="84"/>
  <c r="AP945" i="84"/>
  <c r="AY945" i="84"/>
  <c r="AV945" i="84"/>
  <c r="BC945" i="84"/>
  <c r="AV114" i="84"/>
  <c r="AY114" i="84"/>
  <c r="BC114" i="84"/>
  <c r="AP114" i="84"/>
  <c r="AS114" i="84"/>
  <c r="BC394" i="84"/>
  <c r="AS394" i="84"/>
  <c r="AP394" i="84"/>
  <c r="AV394" i="84"/>
  <c r="AY394" i="84"/>
  <c r="AV368" i="84"/>
  <c r="AY368" i="84"/>
  <c r="AS368" i="84"/>
  <c r="AP368" i="84"/>
  <c r="AY617" i="84"/>
  <c r="AS617" i="84"/>
  <c r="AV617" i="84"/>
  <c r="BC617" i="84"/>
  <c r="AP617" i="84"/>
  <c r="AP398" i="84"/>
  <c r="AS398" i="84"/>
  <c r="BC398" i="84"/>
  <c r="AV398" i="84"/>
  <c r="AY398" i="84"/>
  <c r="AP588" i="84"/>
  <c r="BC588" i="84"/>
  <c r="AV588" i="84"/>
  <c r="AY588" i="84"/>
  <c r="AS588" i="84"/>
  <c r="BC109" i="84"/>
  <c r="AV109" i="84"/>
  <c r="AS109" i="84"/>
  <c r="AY109" i="84"/>
  <c r="AP109" i="84"/>
  <c r="AS419" i="84"/>
  <c r="AV419" i="84"/>
  <c r="AP419" i="84"/>
  <c r="BC419" i="84"/>
  <c r="AY419" i="84"/>
  <c r="AP381" i="84"/>
  <c r="BC381" i="84"/>
  <c r="AS381" i="84"/>
  <c r="AY381" i="84"/>
  <c r="AV381" i="84"/>
  <c r="AP830" i="84"/>
  <c r="BC830" i="84"/>
  <c r="AV830" i="84"/>
  <c r="AS830" i="84"/>
  <c r="AY830" i="84"/>
  <c r="BC843" i="84"/>
  <c r="AV843" i="84"/>
  <c r="AS843" i="84"/>
  <c r="AP843" i="84"/>
  <c r="AY843" i="84"/>
  <c r="AP586" i="84"/>
  <c r="AV586" i="84"/>
  <c r="AS586" i="84"/>
  <c r="BC586" i="84"/>
  <c r="AY586" i="84"/>
  <c r="AP468" i="84"/>
  <c r="AV468" i="84"/>
  <c r="AS468" i="84"/>
  <c r="BC468" i="84"/>
  <c r="AY468" i="84"/>
  <c r="AV816" i="84"/>
  <c r="AP816" i="84"/>
  <c r="AS816" i="84"/>
  <c r="AY816" i="84"/>
  <c r="BC816" i="84"/>
  <c r="AV516" i="84"/>
  <c r="AS516" i="84"/>
  <c r="AY516" i="84"/>
  <c r="AP516" i="84"/>
  <c r="BC516" i="84"/>
  <c r="AY461" i="84"/>
  <c r="AP461" i="84"/>
  <c r="AV461" i="84"/>
  <c r="AS461" i="84"/>
  <c r="BC461" i="84"/>
  <c r="AY592" i="84"/>
  <c r="BC592" i="84"/>
  <c r="AV592" i="84"/>
  <c r="AS592" i="84"/>
  <c r="AP592" i="84"/>
  <c r="BC332" i="84"/>
  <c r="AV332" i="84"/>
  <c r="AS332" i="84"/>
  <c r="AP332" i="84"/>
  <c r="AY332" i="84"/>
  <c r="AP731" i="84"/>
  <c r="AS731" i="84"/>
  <c r="AV731" i="84"/>
  <c r="AY731" i="84"/>
  <c r="BC731" i="84"/>
  <c r="AY846" i="84"/>
  <c r="AP846" i="84"/>
  <c r="BC846" i="84"/>
  <c r="AS846" i="84"/>
  <c r="AV846" i="84"/>
  <c r="BC365" i="84"/>
  <c r="AY365" i="84"/>
  <c r="AV365" i="84"/>
  <c r="AS365" i="84"/>
  <c r="AP365" i="84"/>
  <c r="BC202" i="84"/>
  <c r="AV202" i="84"/>
  <c r="AY202" i="84"/>
  <c r="AP202" i="84"/>
  <c r="AS202" i="84"/>
  <c r="BC247" i="84"/>
  <c r="AS247" i="84"/>
  <c r="AP247" i="84"/>
  <c r="AY247" i="84"/>
  <c r="AV247" i="84"/>
  <c r="BC887" i="84"/>
  <c r="AY887" i="84"/>
  <c r="AS887" i="84"/>
  <c r="AV887" i="84"/>
  <c r="AP887" i="84"/>
  <c r="AS614" i="84"/>
  <c r="AP614" i="84"/>
  <c r="BC614" i="84"/>
  <c r="AV614" i="84"/>
  <c r="AY614" i="84"/>
  <c r="AY629" i="84"/>
  <c r="AP629" i="84"/>
  <c r="AS629" i="84"/>
  <c r="BC629" i="84"/>
  <c r="AV629" i="84"/>
  <c r="AS293" i="84"/>
  <c r="AV293" i="84"/>
  <c r="AY293" i="84"/>
  <c r="AP293" i="84"/>
  <c r="BC293" i="84"/>
  <c r="AS414" i="84"/>
  <c r="AP414" i="84"/>
  <c r="BC414" i="84"/>
  <c r="AY414" i="84"/>
  <c r="AV414" i="84"/>
  <c r="BC58" i="84"/>
  <c r="AV58" i="84"/>
  <c r="AS58" i="84"/>
  <c r="AP58" i="84"/>
  <c r="AY58" i="84"/>
  <c r="BC60" i="84"/>
  <c r="AP60" i="84"/>
  <c r="AS60" i="84"/>
  <c r="AY60" i="84"/>
  <c r="AV60" i="84"/>
  <c r="AY225" i="84"/>
  <c r="AP225" i="84"/>
  <c r="AS225" i="84"/>
  <c r="AV225" i="84"/>
  <c r="AY593" i="84"/>
  <c r="AV593" i="84"/>
  <c r="BC593" i="84"/>
  <c r="AP593" i="84"/>
  <c r="AS593" i="84"/>
  <c r="AV191" i="84"/>
  <c r="AS191" i="84"/>
  <c r="AP191" i="84"/>
  <c r="BC191" i="84"/>
  <c r="AY191" i="84"/>
  <c r="AY565" i="84"/>
  <c r="AP565" i="84"/>
  <c r="BC565" i="84"/>
  <c r="AS565" i="84"/>
  <c r="AV565" i="84"/>
  <c r="BC790" i="84"/>
  <c r="AS790" i="84"/>
  <c r="AV790" i="84"/>
  <c r="AP790" i="84"/>
  <c r="AY790" i="84"/>
  <c r="AS162" i="84"/>
  <c r="BC162" i="84"/>
  <c r="AV162" i="84"/>
  <c r="AP162" i="84"/>
  <c r="AY162" i="84"/>
  <c r="BC813" i="84"/>
  <c r="AV813" i="84"/>
  <c r="AY813" i="84"/>
  <c r="AP813" i="84"/>
  <c r="AS813" i="84"/>
  <c r="AV573" i="84"/>
  <c r="AY573" i="84"/>
  <c r="AP573" i="84"/>
  <c r="AS573" i="84"/>
  <c r="BC573" i="84"/>
  <c r="AY385" i="84"/>
  <c r="AP385" i="84"/>
  <c r="BC385" i="84"/>
  <c r="AV385" i="84"/>
  <c r="AS385" i="84"/>
  <c r="BC367" i="84"/>
  <c r="AP367" i="84"/>
  <c r="AY367" i="84"/>
  <c r="AV367" i="84"/>
  <c r="AS367" i="84"/>
  <c r="AV309" i="84"/>
  <c r="AP309" i="84"/>
  <c r="AY309" i="84"/>
  <c r="BC309" i="84"/>
  <c r="AS309" i="84"/>
  <c r="AV151" i="84"/>
  <c r="AS151" i="84"/>
  <c r="AY151" i="84"/>
  <c r="AP151" i="84"/>
  <c r="BC151" i="84"/>
  <c r="AV527" i="84"/>
  <c r="AP527" i="84"/>
  <c r="BC527" i="84"/>
  <c r="AS527" i="84"/>
  <c r="AY527" i="84"/>
  <c r="AP346" i="84"/>
  <c r="AY346" i="84"/>
  <c r="AS346" i="84"/>
  <c r="BC346" i="84"/>
  <c r="AV346" i="84"/>
  <c r="BC676" i="84"/>
  <c r="AY676" i="84"/>
  <c r="AV676" i="84"/>
  <c r="AS676" i="84"/>
  <c r="AP676" i="84"/>
  <c r="AV698" i="84"/>
  <c r="BC698" i="84"/>
  <c r="AP698" i="84"/>
  <c r="AS698" i="84"/>
  <c r="AY698" i="84"/>
  <c r="AP37" i="84"/>
  <c r="AS37" i="84"/>
  <c r="AV37" i="84"/>
  <c r="BC37" i="84"/>
  <c r="AY37" i="84"/>
  <c r="AV439" i="84"/>
  <c r="AY439" i="84"/>
  <c r="AP439" i="84"/>
  <c r="AS439" i="84"/>
  <c r="BC439" i="84"/>
  <c r="BC183" i="84"/>
  <c r="AY183" i="84"/>
  <c r="AP183" i="84"/>
  <c r="AS183" i="84"/>
  <c r="AV183" i="84"/>
  <c r="AY295" i="84"/>
  <c r="AV295" i="84"/>
  <c r="AP295" i="84"/>
  <c r="BC295" i="84"/>
  <c r="AS295" i="84"/>
  <c r="AV912" i="84"/>
  <c r="AS912" i="84"/>
  <c r="BC912" i="84"/>
  <c r="AP912" i="84"/>
  <c r="AY912" i="84"/>
  <c r="AP446" i="84"/>
  <c r="AV446" i="84"/>
  <c r="AS446" i="84"/>
  <c r="BC446" i="84"/>
  <c r="AY446" i="84"/>
  <c r="BC12" i="84"/>
  <c r="AY12" i="84"/>
  <c r="AV12" i="84"/>
  <c r="AP12" i="84"/>
  <c r="AS12" i="84"/>
  <c r="AY947" i="84"/>
  <c r="AV947" i="84"/>
  <c r="AP947" i="84"/>
  <c r="BC947" i="84"/>
  <c r="AS947" i="84"/>
  <c r="BC57" i="84"/>
  <c r="AY57" i="84"/>
  <c r="AS57" i="84"/>
  <c r="AV57" i="84"/>
  <c r="AP57" i="84"/>
  <c r="AY620" i="84"/>
  <c r="AS620" i="84"/>
  <c r="AV620" i="84"/>
  <c r="AP620" i="84"/>
  <c r="BC620" i="84"/>
  <c r="AY369" i="84"/>
  <c r="AP369" i="84"/>
  <c r="AV369" i="84"/>
  <c r="AS369" i="84"/>
  <c r="AY580" i="84"/>
  <c r="AV580" i="84"/>
  <c r="BC580" i="84"/>
  <c r="AP580" i="84"/>
  <c r="AS580" i="84"/>
  <c r="AY118" i="84"/>
  <c r="AV118" i="84"/>
  <c r="AS118" i="84"/>
  <c r="AP118" i="84"/>
  <c r="BC118" i="84"/>
  <c r="BC268" i="84"/>
  <c r="AP268" i="84"/>
  <c r="AV268" i="84"/>
  <c r="AY268" i="84"/>
  <c r="AS268" i="84"/>
  <c r="AS805" i="84"/>
  <c r="AY805" i="84"/>
  <c r="AV805" i="84"/>
  <c r="BC805" i="84"/>
  <c r="AP805" i="84"/>
  <c r="AY622" i="84"/>
  <c r="BC622" i="84"/>
  <c r="AV622" i="84"/>
  <c r="AS622" i="84"/>
  <c r="AP622" i="84"/>
  <c r="AY93" i="84"/>
  <c r="AP93" i="84"/>
  <c r="AV93" i="84"/>
  <c r="BC93" i="84"/>
  <c r="AS93" i="84"/>
  <c r="AP508" i="84"/>
  <c r="AY508" i="84"/>
  <c r="BC508" i="84"/>
  <c r="AS508" i="84"/>
  <c r="AV508" i="84"/>
  <c r="AY536" i="84"/>
  <c r="AP536" i="84"/>
  <c r="BC536" i="84"/>
  <c r="AV536" i="84"/>
  <c r="AS536" i="84"/>
  <c r="AY362" i="84"/>
  <c r="AS362" i="84"/>
  <c r="AV362" i="84"/>
  <c r="BC362" i="84"/>
  <c r="AP362" i="84"/>
  <c r="AS190" i="84"/>
  <c r="BC190" i="84"/>
  <c r="AY190" i="84"/>
  <c r="AP190" i="84"/>
  <c r="AV190" i="84"/>
  <c r="AV384" i="84"/>
  <c r="AP384" i="84"/>
  <c r="AY384" i="84"/>
  <c r="AS384" i="84"/>
  <c r="BC384" i="84"/>
  <c r="AP903" i="84"/>
  <c r="AY903" i="84"/>
  <c r="AS903" i="84"/>
  <c r="AV903" i="84"/>
  <c r="BC903" i="84"/>
  <c r="AS194" i="84"/>
  <c r="BC194" i="84"/>
  <c r="AV194" i="84"/>
  <c r="AP194" i="84"/>
  <c r="AY194" i="84"/>
  <c r="BC210" i="84"/>
  <c r="AS210" i="84"/>
  <c r="AP210" i="84"/>
  <c r="AY210" i="84"/>
  <c r="AV210" i="84"/>
  <c r="AP404" i="84"/>
  <c r="BC404" i="84"/>
  <c r="AY404" i="84"/>
  <c r="AV404" i="84"/>
  <c r="AS404" i="84"/>
  <c r="AS75" i="84"/>
  <c r="AV75" i="84"/>
  <c r="AY75" i="84"/>
  <c r="AP75" i="84"/>
  <c r="BC75" i="84"/>
  <c r="AY377" i="84"/>
  <c r="AP377" i="84"/>
  <c r="AV377" i="84"/>
  <c r="AS377" i="84"/>
  <c r="BC377" i="84"/>
  <c r="AV966" i="84"/>
  <c r="AS966" i="84"/>
  <c r="AY966" i="84"/>
  <c r="AP966" i="84"/>
  <c r="BC966" i="84"/>
  <c r="AV440" i="84"/>
  <c r="BC440" i="84"/>
  <c r="AP440" i="84"/>
  <c r="AY440" i="84"/>
  <c r="AS440" i="84"/>
  <c r="BC390" i="84"/>
  <c r="AY390" i="84"/>
  <c r="AP390" i="84"/>
  <c r="AV390" i="84"/>
  <c r="AS390" i="84"/>
  <c r="BC284" i="84"/>
  <c r="AV284" i="84"/>
  <c r="AY284" i="84"/>
  <c r="AS284" i="84"/>
  <c r="AP284" i="84"/>
  <c r="AY79" i="84"/>
  <c r="AV79" i="84"/>
  <c r="AS79" i="84"/>
  <c r="AP79" i="84"/>
  <c r="BC79" i="84"/>
  <c r="AY699" i="84"/>
  <c r="AS699" i="84"/>
  <c r="BC699" i="84"/>
  <c r="AP699" i="84"/>
  <c r="AV699" i="84"/>
  <c r="AV448" i="84"/>
  <c r="AP448" i="84"/>
  <c r="AS448" i="84"/>
  <c r="BC448" i="84"/>
  <c r="AY448" i="84"/>
  <c r="BC34" i="84"/>
  <c r="AV34" i="84"/>
  <c r="AP34" i="84"/>
  <c r="AY34" i="84"/>
  <c r="AS34" i="84"/>
  <c r="AV313" i="84"/>
  <c r="AY313" i="84"/>
  <c r="BC313" i="84"/>
  <c r="AS313" i="84"/>
  <c r="AP313" i="84"/>
  <c r="BC478" i="84"/>
  <c r="AP478" i="84"/>
  <c r="AY478" i="84"/>
  <c r="AV478" i="84"/>
  <c r="AS478" i="84"/>
  <c r="AS71" i="84"/>
  <c r="AP71" i="84"/>
  <c r="AY71" i="84"/>
  <c r="AV71" i="84"/>
  <c r="BC71" i="84"/>
  <c r="AS939" i="84"/>
  <c r="BC939" i="84"/>
  <c r="AV939" i="84"/>
  <c r="AY939" i="84"/>
  <c r="AP939" i="84"/>
  <c r="AP801" i="84"/>
  <c r="BC801" i="84"/>
  <c r="AV801" i="84"/>
  <c r="AY801" i="84"/>
  <c r="AS801" i="84"/>
  <c r="BC256" i="84"/>
  <c r="AP256" i="84"/>
  <c r="AY256" i="84"/>
  <c r="AS256" i="84"/>
  <c r="AV256" i="84"/>
  <c r="AV613" i="84"/>
  <c r="AY613" i="84"/>
  <c r="AP613" i="84"/>
  <c r="BC613" i="84"/>
  <c r="AS613" i="84"/>
  <c r="AV341" i="84"/>
  <c r="AY341" i="84"/>
  <c r="BC341" i="84"/>
  <c r="AP341" i="84"/>
  <c r="AS341" i="84"/>
  <c r="AS916" i="84"/>
  <c r="AP916" i="84"/>
  <c r="BC916" i="84"/>
  <c r="AY916" i="84"/>
  <c r="AV916" i="84"/>
  <c r="AP363" i="84"/>
  <c r="AY363" i="84"/>
  <c r="AS363" i="84"/>
  <c r="BC363" i="84"/>
  <c r="AV363" i="84"/>
  <c r="AS729" i="84"/>
  <c r="AP729" i="84"/>
  <c r="BC729" i="84"/>
  <c r="AV729" i="84"/>
  <c r="AY729" i="84"/>
  <c r="BC375" i="84"/>
  <c r="AV375" i="84"/>
  <c r="AS375" i="84"/>
  <c r="AY375" i="84"/>
  <c r="AP375" i="84"/>
  <c r="AP607" i="84"/>
  <c r="AV607" i="84"/>
  <c r="BC607" i="84"/>
  <c r="AY607" i="84"/>
  <c r="AS607" i="84"/>
  <c r="AS84" i="84"/>
  <c r="AV84" i="84"/>
  <c r="AP84" i="84"/>
  <c r="BC84" i="84"/>
  <c r="AY84" i="84"/>
  <c r="AV763" i="84"/>
  <c r="BC763" i="84"/>
  <c r="AP763" i="84"/>
  <c r="AY763" i="84"/>
  <c r="AS763" i="84"/>
  <c r="BC577" i="84"/>
  <c r="AS577" i="84"/>
  <c r="AV577" i="84"/>
  <c r="AP577" i="84"/>
  <c r="AY577" i="84"/>
  <c r="AP154" i="84"/>
  <c r="AY154" i="84"/>
  <c r="AS154" i="84"/>
  <c r="AV154" i="84"/>
  <c r="BC453" i="84"/>
  <c r="AS453" i="84"/>
  <c r="AV453" i="84"/>
  <c r="AP453" i="84"/>
  <c r="AY453" i="84"/>
  <c r="AP255" i="84"/>
  <c r="BC255" i="84"/>
  <c r="AS255" i="84"/>
  <c r="AY255" i="84"/>
  <c r="AV255" i="84"/>
  <c r="AS103" i="84"/>
  <c r="AV103" i="84"/>
  <c r="BC103" i="84"/>
  <c r="AP103" i="84"/>
  <c r="AY103" i="84"/>
  <c r="AV134" i="84"/>
  <c r="BC134" i="84"/>
  <c r="AS134" i="84"/>
  <c r="AY134" i="84"/>
  <c r="BC775" i="84"/>
  <c r="AV775" i="84"/>
  <c r="AY775" i="84"/>
  <c r="AS775" i="84"/>
  <c r="AP775" i="84"/>
  <c r="AY566" i="84"/>
  <c r="AP566" i="84"/>
  <c r="BC566" i="84"/>
  <c r="AS566" i="84"/>
  <c r="AV566" i="84"/>
  <c r="AV557" i="84"/>
  <c r="BC557" i="84"/>
  <c r="AS557" i="84"/>
  <c r="AY557" i="84"/>
  <c r="AP557" i="84"/>
  <c r="BC428" i="84"/>
  <c r="AV428" i="84"/>
  <c r="AP428" i="84"/>
  <c r="AY428" i="84"/>
  <c r="AS428" i="84"/>
  <c r="BC126" i="84"/>
  <c r="AS126" i="84"/>
  <c r="AY126" i="84"/>
  <c r="AV126" i="84"/>
  <c r="AP126" i="84"/>
  <c r="AY27" i="84"/>
  <c r="BC27" i="84"/>
  <c r="AP27" i="84"/>
  <c r="AV27" i="84"/>
  <c r="AS27" i="84"/>
  <c r="AY815" i="84"/>
  <c r="AV815" i="84"/>
  <c r="BC815" i="84"/>
  <c r="AS815" i="84"/>
  <c r="AP815" i="84"/>
  <c r="AP274" i="84"/>
  <c r="AS274" i="84"/>
  <c r="AV274" i="84"/>
  <c r="BC274" i="84"/>
  <c r="AY274" i="84"/>
  <c r="AS758" i="84"/>
  <c r="AY758" i="84"/>
  <c r="BC758" i="84"/>
  <c r="AV758" i="84"/>
  <c r="AP758" i="84"/>
  <c r="AS28" i="84"/>
  <c r="AY28" i="84"/>
  <c r="AV28" i="84"/>
  <c r="AP28" i="84"/>
  <c r="BC28" i="84"/>
  <c r="AY849" i="84"/>
  <c r="BC849" i="84"/>
  <c r="AS849" i="84"/>
  <c r="AP849" i="84"/>
  <c r="AV849" i="84"/>
  <c r="AS841" i="84"/>
  <c r="BC841" i="84"/>
  <c r="AY841" i="84"/>
  <c r="AP841" i="84"/>
  <c r="AV841" i="84"/>
  <c r="AS963" i="84"/>
  <c r="AV963" i="84"/>
  <c r="BC963" i="84"/>
  <c r="AP963" i="84"/>
  <c r="AY963" i="84"/>
  <c r="AY601" i="84"/>
  <c r="BC601" i="84"/>
  <c r="AS601" i="84"/>
  <c r="AV601" i="84"/>
  <c r="AP601" i="84"/>
  <c r="BC380" i="84"/>
  <c r="AY380" i="84"/>
  <c r="AS380" i="84"/>
  <c r="AV380" i="84"/>
  <c r="AP380" i="84"/>
  <c r="AS128" i="84"/>
  <c r="BC128" i="84"/>
  <c r="AP128" i="84"/>
  <c r="AV128" i="84"/>
  <c r="AY128" i="84"/>
  <c r="AY489" i="84"/>
  <c r="AV489" i="84"/>
  <c r="AP489" i="84"/>
  <c r="AS489" i="84"/>
  <c r="AV653" i="84"/>
  <c r="BC653" i="84"/>
  <c r="AY653" i="84"/>
  <c r="AP653" i="84"/>
  <c r="AS653" i="84"/>
  <c r="BC501" i="84"/>
  <c r="AV501" i="84"/>
  <c r="AY501" i="84"/>
  <c r="AS501" i="84"/>
  <c r="AP501" i="84"/>
  <c r="AP355" i="84"/>
  <c r="AS355" i="84"/>
  <c r="AY355" i="84"/>
  <c r="AV355" i="84"/>
  <c r="BC355" i="84"/>
  <c r="BC513" i="84"/>
  <c r="AY513" i="84"/>
  <c r="AP513" i="84"/>
  <c r="AV513" i="84"/>
  <c r="AS513" i="84"/>
  <c r="BC906" i="84"/>
  <c r="AY906" i="84"/>
  <c r="AP906" i="84"/>
  <c r="AS906" i="84"/>
  <c r="AV906" i="84"/>
  <c r="BC200" i="84"/>
  <c r="AP200" i="84"/>
  <c r="AS200" i="84"/>
  <c r="AV200" i="84"/>
  <c r="AY200" i="84"/>
  <c r="BC376" i="84"/>
  <c r="AY376" i="84"/>
  <c r="AS376" i="84"/>
  <c r="AV376" i="84"/>
  <c r="AP376" i="84"/>
  <c r="BC781" i="84"/>
  <c r="AP781" i="84"/>
  <c r="AY781" i="84"/>
  <c r="AS781" i="84"/>
  <c r="AV781" i="84"/>
  <c r="AP798" i="84"/>
  <c r="AS798" i="84"/>
  <c r="BC798" i="84"/>
  <c r="AV798" i="84"/>
  <c r="AY798" i="84"/>
  <c r="AV138" i="84"/>
  <c r="AY138" i="84"/>
  <c r="BC138" i="84"/>
  <c r="AP138" i="84"/>
  <c r="AS138" i="84"/>
  <c r="BC322" i="84"/>
  <c r="AP322" i="84"/>
  <c r="AV322" i="84"/>
  <c r="AS322" i="84"/>
  <c r="AY322" i="84"/>
  <c r="AV633" i="84"/>
  <c r="AS633" i="84"/>
  <c r="AY633" i="84"/>
  <c r="AP633" i="84"/>
  <c r="BC633" i="84"/>
  <c r="AP951" i="84"/>
  <c r="AY951" i="84"/>
  <c r="AS951" i="84"/>
  <c r="BC951" i="84"/>
  <c r="AV951" i="84"/>
  <c r="AV766" i="84"/>
  <c r="AY766" i="84"/>
  <c r="BC766" i="84"/>
  <c r="AS766" i="84"/>
  <c r="AP766" i="84"/>
  <c r="AY239" i="84"/>
  <c r="AP239" i="84"/>
  <c r="AS239" i="84"/>
  <c r="BC239" i="84"/>
  <c r="AV239" i="84"/>
  <c r="AS555" i="84"/>
  <c r="BC555" i="84"/>
  <c r="AP555" i="84"/>
  <c r="AY555" i="84"/>
  <c r="AV555" i="84"/>
  <c r="AS776" i="84"/>
  <c r="BC776" i="84"/>
  <c r="AY776" i="84"/>
  <c r="AV776" i="84"/>
  <c r="AP776" i="84"/>
  <c r="BC756" i="84"/>
  <c r="AP756" i="84"/>
  <c r="AY756" i="84"/>
  <c r="AV756" i="84"/>
  <c r="AS756" i="84"/>
  <c r="BC638" i="84"/>
  <c r="AV638" i="84"/>
  <c r="AS638" i="84"/>
  <c r="AY638" i="84"/>
  <c r="AP638" i="84"/>
  <c r="AS17" i="84"/>
  <c r="AY17" i="84"/>
  <c r="AV17" i="84"/>
  <c r="AP17" i="84"/>
  <c r="BC17" i="84"/>
  <c r="AY545" i="84"/>
  <c r="AS545" i="84"/>
  <c r="AP545" i="84"/>
  <c r="AV545" i="84"/>
  <c r="BC545" i="84"/>
  <c r="BC881" i="84"/>
  <c r="AS881" i="84"/>
  <c r="AP881" i="84"/>
  <c r="AV881" i="84"/>
  <c r="AY881" i="84"/>
  <c r="AV19" i="84"/>
  <c r="BC19" i="84"/>
  <c r="AS19" i="84"/>
  <c r="AP19" i="84"/>
  <c r="AY19" i="84"/>
  <c r="AV656" i="84"/>
  <c r="AS656" i="84"/>
  <c r="BC656" i="84"/>
  <c r="AP656" i="84"/>
  <c r="AY656" i="84"/>
  <c r="AV481" i="84"/>
  <c r="AS481" i="84"/>
  <c r="AP481" i="84"/>
  <c r="BC481" i="84"/>
  <c r="AY481" i="84"/>
  <c r="BC796" i="84"/>
  <c r="AV796" i="84"/>
  <c r="AS796" i="84"/>
  <c r="AY796" i="84"/>
  <c r="AP796" i="84"/>
  <c r="AP20" i="84"/>
  <c r="AS20" i="84"/>
  <c r="AV20" i="84"/>
  <c r="BC20" i="84"/>
  <c r="AY20" i="84"/>
  <c r="BC25" i="84"/>
  <c r="AY25" i="84"/>
  <c r="AS25" i="84"/>
  <c r="AV25" i="84"/>
  <c r="AP25" i="84"/>
  <c r="BC615" i="84"/>
  <c r="AV615" i="84"/>
  <c r="AS615" i="84"/>
  <c r="AP615" i="84"/>
  <c r="AY615" i="84"/>
  <c r="AP345" i="84"/>
  <c r="AS345" i="84"/>
  <c r="AV345" i="84"/>
  <c r="BC345" i="84"/>
  <c r="AY345" i="84"/>
  <c r="AS505" i="84"/>
  <c r="AP505" i="84"/>
  <c r="AV505" i="84"/>
  <c r="AY505" i="84"/>
  <c r="BC505" i="84"/>
  <c r="BC142" i="84"/>
  <c r="AS142" i="84"/>
  <c r="AP142" i="84"/>
  <c r="AV142" i="84"/>
  <c r="AY142" i="84"/>
  <c r="BC574" i="84"/>
  <c r="AY574" i="84"/>
  <c r="AP574" i="84"/>
  <c r="AS574" i="84"/>
  <c r="AV574" i="84"/>
  <c r="AS868" i="84"/>
  <c r="AY868" i="84"/>
  <c r="AP868" i="84"/>
  <c r="BC868" i="84"/>
  <c r="AV868" i="84"/>
  <c r="AS531" i="84"/>
  <c r="BC531" i="84"/>
  <c r="AP531" i="84"/>
  <c r="AY531" i="84"/>
  <c r="AV531" i="84"/>
  <c r="AY665" i="84"/>
  <c r="AS665" i="84"/>
  <c r="AV665" i="84"/>
  <c r="BC665" i="84"/>
  <c r="AP665" i="84"/>
  <c r="BC400" i="84"/>
  <c r="AP400" i="84"/>
  <c r="AS400" i="84"/>
  <c r="AV400" i="84"/>
  <c r="AY400" i="84"/>
  <c r="AS96" i="84"/>
  <c r="BC96" i="84"/>
  <c r="AV96" i="84"/>
  <c r="AY96" i="84"/>
  <c r="AP96" i="84"/>
  <c r="AY321" i="84"/>
  <c r="AS321" i="84"/>
  <c r="AP321" i="84"/>
  <c r="AV321" i="84"/>
  <c r="BC321" i="84"/>
  <c r="AY181" i="84"/>
  <c r="AP181" i="84"/>
  <c r="AV181" i="84"/>
  <c r="AS181" i="84"/>
  <c r="BC181" i="84"/>
  <c r="BC289" i="84"/>
  <c r="AP289" i="84"/>
  <c r="AY289" i="84"/>
  <c r="AV289" i="84"/>
  <c r="AS289" i="84"/>
  <c r="BC273" i="84"/>
  <c r="AV273" i="84"/>
  <c r="AY273" i="84"/>
  <c r="AP273" i="84"/>
  <c r="AS273" i="84"/>
  <c r="AV637" i="84"/>
  <c r="BC637" i="84"/>
  <c r="AP637" i="84"/>
  <c r="AY637" i="84"/>
  <c r="AS637" i="84"/>
  <c r="AY499" i="84"/>
  <c r="BC499" i="84"/>
  <c r="AP499" i="84"/>
  <c r="AS499" i="84"/>
  <c r="AV499" i="84"/>
  <c r="AS180" i="84"/>
  <c r="BC180" i="84"/>
  <c r="AY180" i="84"/>
  <c r="AP180" i="84"/>
  <c r="AV180" i="84"/>
  <c r="BC609" i="84"/>
  <c r="AP609" i="84"/>
  <c r="AY609" i="84"/>
  <c r="AS609" i="84"/>
  <c r="AV609" i="84"/>
  <c r="AS728" i="84"/>
  <c r="BC728" i="84"/>
  <c r="AP728" i="84"/>
  <c r="AV728" i="84"/>
  <c r="AY728" i="84"/>
  <c r="AP179" i="84"/>
  <c r="BC179" i="84"/>
  <c r="AY179" i="84"/>
  <c r="AV179" i="84"/>
  <c r="AS179" i="84"/>
  <c r="BC621" i="84"/>
  <c r="AY621" i="84"/>
  <c r="AV621" i="84"/>
  <c r="AP621" i="84"/>
  <c r="AS621" i="84"/>
  <c r="AV630" i="84"/>
  <c r="AP630" i="84"/>
  <c r="AY630" i="84"/>
  <c r="AS630" i="84"/>
  <c r="BC630" i="84"/>
  <c r="AV877" i="84"/>
  <c r="BC877" i="84"/>
  <c r="AP877" i="84"/>
  <c r="AS877" i="84"/>
  <c r="AY877" i="84"/>
  <c r="BC749" i="84"/>
  <c r="AY749" i="84"/>
  <c r="AS749" i="84"/>
  <c r="AV749" i="84"/>
  <c r="AP749" i="84"/>
  <c r="AP438" i="84"/>
  <c r="AS438" i="84"/>
  <c r="BC438" i="84"/>
  <c r="AV438" i="84"/>
  <c r="AY438" i="84"/>
  <c r="AP534" i="84"/>
  <c r="AY534" i="84"/>
  <c r="AV534" i="84"/>
  <c r="BC534" i="84"/>
  <c r="AS534" i="84"/>
  <c r="AY447" i="84"/>
  <c r="AS447" i="84"/>
  <c r="AV447" i="84"/>
  <c r="AP447" i="84"/>
  <c r="BC447" i="84"/>
  <c r="AV672" i="84"/>
  <c r="AY672" i="84"/>
  <c r="BC672" i="84"/>
  <c r="AS672" i="84"/>
  <c r="AP672" i="84"/>
  <c r="BC15" i="84"/>
  <c r="AV15" i="84"/>
  <c r="AP15" i="84"/>
  <c r="AY15" i="84"/>
  <c r="AS15" i="84"/>
  <c r="AP272" i="84"/>
  <c r="AS272" i="84"/>
  <c r="BC272" i="84"/>
  <c r="AV272" i="84"/>
  <c r="AY272" i="84"/>
  <c r="AS97" i="84"/>
  <c r="BC97" i="84"/>
  <c r="AV97" i="84"/>
  <c r="AP97" i="84"/>
  <c r="AY97" i="84"/>
  <c r="AP90" i="84"/>
  <c r="BC90" i="84"/>
  <c r="AV90" i="84"/>
  <c r="AY90" i="84"/>
  <c r="AS90" i="84"/>
  <c r="BC612" i="84"/>
  <c r="AP612" i="84"/>
  <c r="AV612" i="84"/>
  <c r="AY612" i="84"/>
  <c r="AS612" i="84"/>
  <c r="AS797" i="84"/>
  <c r="AP797" i="84"/>
  <c r="AY797" i="84"/>
  <c r="AV797" i="84"/>
  <c r="BC797" i="84"/>
  <c r="AV783" i="84"/>
  <c r="AP783" i="84"/>
  <c r="AS783" i="84"/>
  <c r="AY783" i="84"/>
  <c r="BC783" i="84"/>
  <c r="BC148" i="84"/>
  <c r="AP148" i="84"/>
  <c r="AV148" i="84"/>
  <c r="AS148" i="84"/>
  <c r="AY148" i="84"/>
  <c r="BC102" i="84"/>
  <c r="AS102" i="84"/>
  <c r="AY102" i="84"/>
  <c r="AV102" i="84"/>
  <c r="AP102" i="84"/>
  <c r="BC407" i="84"/>
  <c r="AS407" i="84"/>
  <c r="AP407" i="84"/>
  <c r="AV407" i="84"/>
  <c r="AY407" i="84"/>
  <c r="AV327" i="84"/>
  <c r="AP327" i="84"/>
  <c r="AY327" i="84"/>
  <c r="BC327" i="84"/>
  <c r="AS327" i="84"/>
  <c r="BC837" i="84"/>
  <c r="AS837" i="84"/>
  <c r="AP837" i="84"/>
  <c r="AY837" i="84"/>
  <c r="AV837" i="84"/>
  <c r="AS304" i="84"/>
  <c r="AV304" i="84"/>
  <c r="AP304" i="84"/>
  <c r="BC304" i="84"/>
  <c r="AY304" i="84"/>
  <c r="AY82" i="84"/>
  <c r="AP82" i="84"/>
  <c r="BC82" i="84"/>
  <c r="AS82" i="84"/>
  <c r="AV82" i="84"/>
  <c r="BC445" i="84"/>
  <c r="AY445" i="84"/>
  <c r="AP445" i="84"/>
  <c r="AS445" i="84"/>
  <c r="AV445" i="84"/>
  <c r="AY937" i="84"/>
  <c r="BC937" i="84"/>
  <c r="AP937" i="84"/>
  <c r="AS937" i="84"/>
  <c r="AV937" i="84"/>
  <c r="BC450" i="84"/>
  <c r="AY450" i="84"/>
  <c r="AV450" i="84"/>
  <c r="AP450" i="84"/>
  <c r="AS450" i="84"/>
  <c r="AY33" i="84"/>
  <c r="BC33" i="84"/>
  <c r="AP33" i="84"/>
  <c r="AV33" i="84"/>
  <c r="AS33" i="84"/>
  <c r="AV553" i="84"/>
  <c r="BC553" i="84"/>
  <c r="AP553" i="84"/>
  <c r="AS553" i="84"/>
  <c r="AY553" i="84"/>
  <c r="AY262" i="84"/>
  <c r="AS262" i="84"/>
  <c r="AP262" i="84"/>
  <c r="AV262" i="84"/>
  <c r="BC262" i="84"/>
  <c r="AY425" i="84"/>
  <c r="BC425" i="84"/>
  <c r="AV425" i="84"/>
  <c r="AP425" i="84"/>
  <c r="AS425" i="84"/>
  <c r="AY680" i="84"/>
  <c r="AS680" i="84"/>
  <c r="AV680" i="84"/>
  <c r="BC680" i="84"/>
  <c r="AP680" i="84"/>
  <c r="AY283" i="84"/>
  <c r="AV283" i="84"/>
  <c r="AS283" i="84"/>
  <c r="BC283" i="84"/>
  <c r="AP283" i="84"/>
  <c r="AV168" i="84"/>
  <c r="BC168" i="84"/>
  <c r="AY168" i="84"/>
  <c r="AS168" i="84"/>
  <c r="AP168" i="84"/>
  <c r="AY53" i="84"/>
  <c r="AV53" i="84"/>
  <c r="BC53" i="84"/>
  <c r="AP53" i="84"/>
  <c r="AS53" i="84"/>
  <c r="AY655" i="84"/>
  <c r="AV655" i="84"/>
  <c r="BC655" i="84"/>
  <c r="AS655" i="84"/>
  <c r="AP655" i="84"/>
  <c r="AV686" i="84"/>
  <c r="AS686" i="84"/>
  <c r="AY686" i="84"/>
  <c r="BC686" i="84"/>
  <c r="AP686" i="84"/>
  <c r="AP640" i="84"/>
  <c r="AV640" i="84"/>
  <c r="AY640" i="84"/>
  <c r="BC640" i="84"/>
  <c r="AS640" i="84"/>
  <c r="AP329" i="84"/>
  <c r="AY329" i="84"/>
  <c r="BC329" i="84"/>
  <c r="AS329" i="84"/>
  <c r="AV329" i="84"/>
  <c r="AY9" i="84"/>
  <c r="AV9" i="84"/>
  <c r="BC9" i="84"/>
  <c r="AS9" i="84"/>
  <c r="AP9" i="84"/>
  <c r="AY441" i="84"/>
  <c r="AS441" i="84"/>
  <c r="AV441" i="84"/>
  <c r="AP441" i="84"/>
  <c r="BC330" i="84"/>
  <c r="AS330" i="84"/>
  <c r="AP330" i="84"/>
  <c r="AV330" i="84"/>
  <c r="AY330" i="84"/>
  <c r="BC372" i="84"/>
  <c r="AP372" i="84"/>
  <c r="AV372" i="84"/>
  <c r="AS372" i="84"/>
  <c r="AY372" i="84"/>
  <c r="AV769" i="84"/>
  <c r="AY769" i="84"/>
  <c r="AS769" i="84"/>
  <c r="AP769" i="84"/>
  <c r="BC769" i="84"/>
  <c r="BC879" i="84"/>
  <c r="AP879" i="84"/>
  <c r="AS879" i="84"/>
  <c r="AY879" i="84"/>
  <c r="AV879" i="84"/>
  <c r="AV195" i="84"/>
  <c r="AP195" i="84"/>
  <c r="AS195" i="84"/>
  <c r="BC195" i="84"/>
  <c r="AY195" i="84"/>
  <c r="AY679" i="84"/>
  <c r="AP679" i="84"/>
  <c r="AS679" i="84"/>
  <c r="BC679" i="84"/>
  <c r="AV679" i="84"/>
  <c r="AV370" i="84"/>
  <c r="AY370" i="84"/>
  <c r="AP370" i="84"/>
  <c r="BC370" i="84"/>
  <c r="AS370" i="84"/>
  <c r="BC922" i="84"/>
  <c r="AS922" i="84"/>
  <c r="AP922" i="84"/>
  <c r="AV922" i="84"/>
  <c r="AY922" i="84"/>
  <c r="AY119" i="84"/>
  <c r="AP119" i="84"/>
  <c r="AV119" i="84"/>
  <c r="AS119" i="84"/>
  <c r="BC119" i="84"/>
  <c r="AV104" i="84"/>
  <c r="AY104" i="84"/>
  <c r="AS104" i="84"/>
  <c r="AP104" i="84"/>
  <c r="BC104" i="84"/>
  <c r="AY455" i="84"/>
  <c r="AS455" i="84"/>
  <c r="AV455" i="84"/>
  <c r="AP455" i="84"/>
  <c r="BC455" i="84"/>
  <c r="AV296" i="84"/>
  <c r="AY296" i="84"/>
  <c r="AS296" i="84"/>
  <c r="AP296" i="84"/>
  <c r="BC296" i="84"/>
  <c r="BC434" i="84"/>
  <c r="AP434" i="84"/>
  <c r="AY434" i="84"/>
  <c r="AS434" i="84"/>
  <c r="AV434" i="84"/>
  <c r="AV839" i="84"/>
  <c r="AS839" i="84"/>
  <c r="BC839" i="84"/>
  <c r="AY839" i="84"/>
  <c r="AP839" i="84"/>
  <c r="AP799" i="84"/>
  <c r="AV799" i="84"/>
  <c r="BC799" i="84"/>
  <c r="AS799" i="84"/>
  <c r="AY799" i="84"/>
  <c r="BC187" i="84"/>
  <c r="AY187" i="84"/>
  <c r="AS187" i="84"/>
  <c r="AV187" i="84"/>
  <c r="AP187" i="84"/>
  <c r="BC538" i="84"/>
  <c r="AS538" i="84"/>
  <c r="AP538" i="84"/>
  <c r="AY538" i="84"/>
  <c r="AV538" i="84"/>
  <c r="AV175" i="84"/>
  <c r="BC175" i="84"/>
  <c r="AY175" i="84"/>
  <c r="AP175" i="84"/>
  <c r="AS175" i="84"/>
  <c r="AS904" i="84"/>
  <c r="AY904" i="84"/>
  <c r="AV904" i="84"/>
  <c r="BC904" i="84"/>
  <c r="AP904" i="84"/>
  <c r="AP563" i="84"/>
  <c r="AS563" i="84"/>
  <c r="AV563" i="84"/>
  <c r="AY563" i="84"/>
  <c r="BC563" i="84"/>
  <c r="AV476" i="84"/>
  <c r="AS476" i="84"/>
  <c r="AY476" i="84"/>
  <c r="AP476" i="84"/>
  <c r="BC476" i="84"/>
  <c r="AP509" i="84"/>
  <c r="AV509" i="84"/>
  <c r="AS509" i="84"/>
  <c r="BC509" i="84"/>
  <c r="AY509" i="84"/>
  <c r="AV704" i="84"/>
  <c r="AS704" i="84"/>
  <c r="BC704" i="84"/>
  <c r="AP704" i="84"/>
  <c r="AY704" i="84"/>
  <c r="AV723" i="84"/>
  <c r="BC723" i="84"/>
  <c r="AS723" i="84"/>
  <c r="AP723" i="84"/>
  <c r="AY723" i="84"/>
  <c r="AY143" i="84"/>
  <c r="BC143" i="84"/>
  <c r="AS143" i="84"/>
  <c r="AP143" i="84"/>
  <c r="AV143" i="84"/>
  <c r="AS471" i="84"/>
  <c r="AP471" i="84"/>
  <c r="BC471" i="84"/>
  <c r="AV471" i="84"/>
  <c r="AY471" i="84"/>
  <c r="AV627" i="84"/>
  <c r="BC627" i="84"/>
  <c r="AP627" i="84"/>
  <c r="AY627" i="84"/>
  <c r="AS627" i="84"/>
  <c r="AV379" i="84"/>
  <c r="BC379" i="84"/>
  <c r="AP379" i="84"/>
  <c r="AY379" i="84"/>
  <c r="AS379" i="84"/>
  <c r="BC693" i="84"/>
  <c r="AS693" i="84"/>
  <c r="AV693" i="84"/>
  <c r="AY693" i="84"/>
  <c r="AP693" i="84"/>
  <c r="AP205" i="84"/>
  <c r="AY205" i="84"/>
  <c r="AS205" i="84"/>
  <c r="BC205" i="84"/>
  <c r="AV205" i="84"/>
  <c r="AP544" i="84"/>
  <c r="AY544" i="84"/>
  <c r="AS544" i="84"/>
  <c r="AV544" i="84"/>
  <c r="BC544" i="84"/>
  <c r="AS610" i="84"/>
  <c r="AY610" i="84"/>
  <c r="AP610" i="84"/>
  <c r="AV610" i="84"/>
  <c r="BC610" i="84"/>
  <c r="BC779" i="84"/>
  <c r="AY779" i="84"/>
  <c r="AS779" i="84"/>
  <c r="AV779" i="84"/>
  <c r="AP779" i="84"/>
  <c r="BC551" i="84"/>
  <c r="AS551" i="84"/>
  <c r="AV551" i="84"/>
  <c r="AY551" i="84"/>
  <c r="AP551" i="84"/>
  <c r="AS85" i="84"/>
  <c r="BC85" i="84"/>
  <c r="AP85" i="84"/>
  <c r="AV85" i="84"/>
  <c r="AY85" i="84"/>
  <c r="AY483" i="84"/>
  <c r="AP483" i="84"/>
  <c r="AS483" i="84"/>
  <c r="BC483" i="84"/>
  <c r="AV483" i="84"/>
  <c r="AV608" i="84"/>
  <c r="AP608" i="84"/>
  <c r="AS608" i="84"/>
  <c r="AY608" i="84"/>
  <c r="BC608" i="84"/>
  <c r="AY924" i="84"/>
  <c r="AP924" i="84"/>
  <c r="BC924" i="84"/>
  <c r="AV924" i="84"/>
  <c r="AS924" i="84"/>
  <c r="AP892" i="84"/>
  <c r="BC892" i="84"/>
  <c r="AY892" i="84"/>
  <c r="AS892" i="84"/>
  <c r="AV892" i="84"/>
  <c r="AS851" i="84"/>
  <c r="AP851" i="84"/>
  <c r="BC851" i="84"/>
  <c r="AV851" i="84"/>
  <c r="AY851" i="84"/>
  <c r="AV866" i="84"/>
  <c r="AP866" i="84"/>
  <c r="AS866" i="84"/>
  <c r="AY866" i="84"/>
  <c r="BC866" i="84"/>
  <c r="AS496" i="84"/>
  <c r="AY496" i="84"/>
  <c r="AP496" i="84"/>
  <c r="BC496" i="84"/>
  <c r="AV496" i="84"/>
  <c r="AV16" i="84"/>
  <c r="BC16" i="84"/>
  <c r="AS16" i="84"/>
  <c r="AY16" i="84"/>
  <c r="AP16" i="84"/>
  <c r="BC590" i="84"/>
  <c r="AV590" i="84"/>
  <c r="AS590" i="84"/>
  <c r="AP590" i="84"/>
  <c r="AY590" i="84"/>
  <c r="AY62" i="84"/>
  <c r="AV62" i="84"/>
  <c r="AS62" i="84"/>
  <c r="BC62" i="84"/>
  <c r="AP62" i="84"/>
  <c r="AV671" i="84"/>
  <c r="BC671" i="84"/>
  <c r="AS671" i="84"/>
  <c r="AP671" i="84"/>
  <c r="AY671" i="84"/>
  <c r="BC68" i="84"/>
  <c r="AS68" i="84"/>
  <c r="AP68" i="84"/>
  <c r="AY68" i="84"/>
  <c r="AV68" i="84"/>
  <c r="AS616" i="84"/>
  <c r="AV616" i="84"/>
  <c r="AP616" i="84"/>
  <c r="BC616" i="84"/>
  <c r="AY616" i="84"/>
  <c r="AP479" i="84"/>
  <c r="AV479" i="84"/>
  <c r="AY479" i="84"/>
  <c r="BC479" i="84"/>
  <c r="AS479" i="84"/>
  <c r="AV340" i="84"/>
  <c r="BC340" i="84"/>
  <c r="AY340" i="84"/>
  <c r="AS340" i="84"/>
  <c r="AP340" i="84"/>
  <c r="BC358" i="84"/>
  <c r="AY358" i="84"/>
  <c r="AV358" i="84"/>
  <c r="AP358" i="84"/>
  <c r="AS358" i="84"/>
  <c r="BC857" i="84"/>
  <c r="AS857" i="84"/>
  <c r="AV857" i="84"/>
  <c r="AP857" i="84"/>
  <c r="AY857" i="84"/>
  <c r="AP908" i="84"/>
  <c r="AY908" i="84"/>
  <c r="AV908" i="84"/>
  <c r="AS908" i="84"/>
  <c r="BC908" i="84"/>
  <c r="AS759" i="84"/>
  <c r="BC759" i="84"/>
  <c r="AV759" i="84"/>
  <c r="AY759" i="84"/>
  <c r="AP759" i="84"/>
  <c r="AY896" i="84"/>
  <c r="AV896" i="84"/>
  <c r="AP896" i="84"/>
  <c r="AS896" i="84"/>
  <c r="BC896" i="84"/>
  <c r="BC894" i="84"/>
  <c r="AP894" i="84"/>
  <c r="AV894" i="84"/>
  <c r="AS894" i="84"/>
  <c r="AY894" i="84"/>
  <c r="AP383" i="84"/>
  <c r="AV383" i="84"/>
  <c r="AY383" i="84"/>
  <c r="AS383" i="84"/>
  <c r="BC383" i="84"/>
  <c r="AS847" i="84"/>
  <c r="AV847" i="84"/>
  <c r="AY847" i="84"/>
  <c r="AP847" i="84"/>
  <c r="BC847" i="84"/>
  <c r="AV170" i="84"/>
  <c r="AY170" i="84"/>
  <c r="AS170" i="84"/>
  <c r="BC170" i="84"/>
  <c r="AP170" i="84"/>
  <c r="AS8" i="84"/>
  <c r="BC8" i="84"/>
  <c r="AV8" i="84"/>
  <c r="AP8" i="84"/>
  <c r="AY8" i="84"/>
  <c r="AS74" i="84"/>
  <c r="AP74" i="84"/>
  <c r="BC74" i="84"/>
  <c r="AV74" i="84"/>
  <c r="AY74" i="84"/>
  <c r="AS40" i="84"/>
  <c r="AY40" i="84"/>
  <c r="AV40" i="84"/>
  <c r="BC40" i="84"/>
  <c r="AP144" i="84"/>
  <c r="AS144" i="84"/>
  <c r="BC144" i="84"/>
  <c r="AY144" i="84"/>
  <c r="AV144" i="84"/>
  <c r="AP229" i="84"/>
  <c r="BC229" i="84"/>
  <c r="AV229" i="84"/>
  <c r="AY229" i="84"/>
  <c r="AS229" i="84"/>
  <c r="BC890" i="84"/>
  <c r="AV890" i="84"/>
  <c r="AP890" i="84"/>
  <c r="AS890" i="84"/>
  <c r="AY890" i="84"/>
  <c r="AP160" i="84"/>
  <c r="BC160" i="84"/>
  <c r="AY160" i="84"/>
  <c r="AV160" i="84"/>
  <c r="AS160" i="84"/>
  <c r="BC657" i="84"/>
  <c r="AP657" i="84"/>
  <c r="AV657" i="84"/>
  <c r="AS657" i="84"/>
  <c r="AY657" i="84"/>
  <c r="AS752" i="84"/>
  <c r="AP752" i="84"/>
  <c r="AV752" i="84"/>
  <c r="BC752" i="84"/>
  <c r="AY752" i="84"/>
  <c r="AP224" i="84"/>
  <c r="BC224" i="84"/>
  <c r="AV224" i="84"/>
  <c r="AS224" i="84"/>
  <c r="AY224" i="84"/>
  <c r="AP893" i="84"/>
  <c r="AY893" i="84"/>
  <c r="AS893" i="84"/>
  <c r="AV893" i="84"/>
  <c r="BC893" i="84"/>
  <c r="AY517" i="84"/>
  <c r="AS517" i="84"/>
  <c r="AV517" i="84"/>
  <c r="BC517" i="84"/>
  <c r="AP517" i="84"/>
  <c r="AP320" i="84"/>
  <c r="BC320" i="84"/>
  <c r="AS320" i="84"/>
  <c r="AV320" i="84"/>
  <c r="AY320" i="84"/>
  <c r="AP120" i="84"/>
  <c r="AY120" i="84"/>
  <c r="BC120" i="84"/>
  <c r="AS120" i="84"/>
  <c r="AV120" i="84"/>
  <c r="AP788" i="84"/>
  <c r="AS788" i="84"/>
  <c r="BC788" i="84"/>
  <c r="AY788" i="84"/>
  <c r="AV788" i="84"/>
  <c r="AS124" i="84"/>
  <c r="BC124" i="84"/>
  <c r="AV124" i="84"/>
  <c r="AP124" i="84"/>
  <c r="AY124" i="84"/>
  <c r="AP432" i="84"/>
  <c r="AS432" i="84"/>
  <c r="AY432" i="84"/>
  <c r="AV432" i="84"/>
  <c r="BC432" i="84"/>
  <c r="AS436" i="84"/>
  <c r="AP436" i="84"/>
  <c r="AV436" i="84"/>
  <c r="BC436" i="84"/>
  <c r="AY436" i="84"/>
  <c r="AY722" i="84"/>
  <c r="BC722" i="84"/>
  <c r="AV722" i="84"/>
  <c r="AP722" i="84"/>
  <c r="AS722" i="84"/>
  <c r="AY902" i="84"/>
  <c r="AP902" i="84"/>
  <c r="AV902" i="84"/>
  <c r="BC902" i="84"/>
  <c r="AS902" i="84"/>
  <c r="BC307" i="84"/>
  <c r="AP307" i="84"/>
  <c r="AY307" i="84"/>
  <c r="AS307" i="84"/>
  <c r="AV307" i="84"/>
  <c r="AV685" i="84"/>
  <c r="AS685" i="84"/>
  <c r="AY685" i="84"/>
  <c r="BC685" i="84"/>
  <c r="AP685" i="84"/>
  <c r="AY669" i="84"/>
  <c r="BC669" i="84"/>
  <c r="AS669" i="84"/>
  <c r="AP669" i="84"/>
  <c r="AV669" i="84"/>
  <c r="AV91" i="84"/>
  <c r="AS91" i="84"/>
  <c r="AY91" i="84"/>
  <c r="BC91" i="84"/>
  <c r="AP91" i="84"/>
  <c r="AY199" i="84"/>
  <c r="AV199" i="84"/>
  <c r="AP199" i="84"/>
  <c r="AS199" i="84"/>
  <c r="BC199" i="84"/>
  <c r="AS433" i="84"/>
  <c r="BC433" i="84"/>
  <c r="AV433" i="84"/>
  <c r="AP433" i="84"/>
  <c r="AY433" i="84"/>
  <c r="BC794" i="84"/>
  <c r="AY794" i="84"/>
  <c r="AS794" i="84"/>
  <c r="AP794" i="84"/>
  <c r="AV794" i="84"/>
  <c r="AV359" i="84"/>
  <c r="AS359" i="84"/>
  <c r="BC359" i="84"/>
  <c r="AP359" i="84"/>
  <c r="AY359" i="84"/>
  <c r="AS81" i="84"/>
  <c r="BC81" i="84"/>
  <c r="AV81" i="84"/>
  <c r="AP81" i="84"/>
  <c r="AY81" i="84"/>
  <c r="AS470" i="84"/>
  <c r="BC470" i="84"/>
  <c r="AP470" i="84"/>
  <c r="AV470" i="84"/>
  <c r="AY470" i="84"/>
  <c r="BC567" i="84"/>
  <c r="AV567" i="84"/>
  <c r="AY567" i="84"/>
  <c r="AP567" i="84"/>
  <c r="AS567" i="84"/>
  <c r="AY667" i="84"/>
  <c r="BC667" i="84"/>
  <c r="AP667" i="84"/>
  <c r="AV667" i="84"/>
  <c r="AS667" i="84"/>
  <c r="AV353" i="84"/>
  <c r="AY353" i="84"/>
  <c r="AS353" i="84"/>
  <c r="BC353" i="84"/>
  <c r="AP353" i="84"/>
  <c r="AY86" i="84"/>
  <c r="AP86" i="84"/>
  <c r="AV86" i="84"/>
  <c r="BC86" i="84"/>
  <c r="AS86" i="84"/>
  <c r="AY24" i="84"/>
  <c r="AV24" i="84"/>
  <c r="AP24" i="84"/>
  <c r="AS24" i="84"/>
  <c r="BC24" i="84"/>
  <c r="AY222" i="84"/>
  <c r="AP222" i="84"/>
  <c r="BC222" i="84"/>
  <c r="AV222" i="84"/>
  <c r="AS222" i="84"/>
  <c r="AY706" i="84"/>
  <c r="BC706" i="84"/>
  <c r="AS706" i="84"/>
  <c r="AV706" i="84"/>
  <c r="AP706" i="84"/>
  <c r="AV675" i="84"/>
  <c r="AP675" i="84"/>
  <c r="AS675" i="84"/>
  <c r="AY675" i="84"/>
  <c r="BC675" i="84"/>
  <c r="AV252" i="84"/>
  <c r="BC252" i="84"/>
  <c r="AS252" i="84"/>
  <c r="AY252" i="84"/>
  <c r="AP252" i="84"/>
  <c r="AV347" i="84"/>
  <c r="BC347" i="84"/>
  <c r="AS347" i="84"/>
  <c r="AP347" i="84"/>
  <c r="AY347" i="84"/>
  <c r="AS585" i="84"/>
  <c r="AV585" i="84"/>
  <c r="BC585" i="84"/>
  <c r="AY585" i="84"/>
  <c r="AP585" i="84"/>
  <c r="AY334" i="84"/>
  <c r="BC334" i="84"/>
  <c r="AS334" i="84"/>
  <c r="AV334" i="84"/>
  <c r="AP334" i="84"/>
  <c r="AS261" i="84"/>
  <c r="BC261" i="84"/>
  <c r="AV261" i="84"/>
  <c r="AP261" i="84"/>
  <c r="AY261" i="84"/>
  <c r="AY454" i="84"/>
  <c r="AP454" i="84"/>
  <c r="AS454" i="84"/>
  <c r="BC454" i="84"/>
  <c r="AV454" i="84"/>
  <c r="AY949" i="84"/>
  <c r="AS949" i="84"/>
  <c r="AV949" i="84"/>
  <c r="AP949" i="84"/>
  <c r="BC949" i="84"/>
  <c r="AY876" i="84"/>
  <c r="AS876" i="84"/>
  <c r="AV876" i="84"/>
  <c r="BC876" i="84"/>
  <c r="AP876" i="84"/>
  <c r="AV537" i="84"/>
  <c r="BC537" i="84"/>
  <c r="AY537" i="84"/>
  <c r="AS537" i="84"/>
  <c r="AP537" i="84"/>
  <c r="AS628" i="84"/>
  <c r="AY628" i="84"/>
  <c r="AP628" i="84"/>
  <c r="BC628" i="84"/>
  <c r="AV628" i="84"/>
  <c r="AS270" i="84"/>
  <c r="AY270" i="84"/>
  <c r="BC270" i="84"/>
  <c r="AV270" i="84"/>
  <c r="AP270" i="84"/>
  <c r="AY587" i="84"/>
  <c r="AP587" i="84"/>
  <c r="AV587" i="84"/>
  <c r="AS587" i="84"/>
  <c r="BC587" i="84"/>
  <c r="AS946" i="84"/>
  <c r="AP946" i="84"/>
  <c r="AY946" i="84"/>
  <c r="BC946" i="84"/>
  <c r="AV946" i="84"/>
  <c r="AY923" i="84"/>
  <c r="AV923" i="84"/>
  <c r="BC923" i="84"/>
  <c r="AS923" i="84"/>
  <c r="AP923" i="84"/>
  <c r="BC950" i="84"/>
  <c r="AP950" i="84"/>
  <c r="AV950" i="84"/>
  <c r="AY950" i="84"/>
  <c r="AS950" i="84"/>
  <c r="AS817" i="84"/>
  <c r="AP817" i="84"/>
  <c r="AV817" i="84"/>
  <c r="BC817" i="84"/>
  <c r="AY817" i="84"/>
  <c r="AP623" i="84"/>
  <c r="BC623" i="84"/>
  <c r="AY623" i="84"/>
  <c r="AS623" i="84"/>
  <c r="AV623" i="84"/>
  <c r="AP64" i="84"/>
  <c r="BC64" i="84"/>
  <c r="AS64" i="84"/>
  <c r="AV64" i="84"/>
  <c r="AY64" i="84"/>
  <c r="AV230" i="84"/>
  <c r="BC230" i="84"/>
  <c r="AS230" i="84"/>
  <c r="AY230" i="84"/>
  <c r="AP230" i="84"/>
  <c r="AP280" i="84"/>
  <c r="BC280" i="84"/>
  <c r="AS280" i="84"/>
  <c r="AY280" i="84"/>
  <c r="AV280" i="84"/>
  <c r="AS463" i="84"/>
  <c r="BC463" i="84"/>
  <c r="AP463" i="84"/>
  <c r="AY463" i="84"/>
  <c r="AV463" i="84"/>
  <c r="AY164" i="84"/>
  <c r="AP164" i="84"/>
  <c r="BC164" i="84"/>
  <c r="AS164" i="84"/>
  <c r="AV164" i="84"/>
  <c r="BC399" i="84"/>
  <c r="AP399" i="84"/>
  <c r="AV399" i="84"/>
  <c r="AS399" i="84"/>
  <c r="AY399" i="84"/>
  <c r="AP748" i="84"/>
  <c r="AV748" i="84"/>
  <c r="AY748" i="84"/>
  <c r="BC748" i="84"/>
  <c r="AS748" i="84"/>
  <c r="AV234" i="84"/>
  <c r="BC234" i="84"/>
  <c r="AP234" i="84"/>
  <c r="AS234" i="84"/>
  <c r="AY234" i="84"/>
  <c r="BC829" i="84"/>
  <c r="AS829" i="84"/>
  <c r="AV829" i="84"/>
  <c r="AY829" i="84"/>
  <c r="AP829" i="84"/>
  <c r="AS171" i="84"/>
  <c r="AV171" i="84"/>
  <c r="BC171" i="84"/>
  <c r="AY171" i="84"/>
  <c r="AP171" i="84"/>
  <c r="AV599" i="84"/>
  <c r="AY599" i="84"/>
  <c r="BC599" i="84"/>
  <c r="AS599" i="84"/>
  <c r="AP599" i="84"/>
  <c r="AV595" i="84"/>
  <c r="AS595" i="84"/>
  <c r="BC595" i="84"/>
  <c r="AY595" i="84"/>
  <c r="AP595" i="84"/>
  <c r="AV854" i="84"/>
  <c r="AS854" i="84"/>
  <c r="BC854" i="84"/>
  <c r="AP854" i="84"/>
  <c r="AY854" i="84"/>
  <c r="BC260" i="84"/>
  <c r="AP260" i="84"/>
  <c r="AY260" i="84"/>
  <c r="AV260" i="84"/>
  <c r="AS260" i="84"/>
  <c r="AP415" i="84"/>
  <c r="BC415" i="84"/>
  <c r="AS415" i="84"/>
  <c r="AY415" i="84"/>
  <c r="AV415" i="84"/>
  <c r="AV207" i="84"/>
  <c r="AS207" i="84"/>
  <c r="BC207" i="84"/>
  <c r="AY207" i="84"/>
  <c r="AP207" i="84"/>
  <c r="AS569" i="84"/>
  <c r="BC569" i="84"/>
  <c r="AY569" i="84"/>
  <c r="AP569" i="84"/>
  <c r="AV569" i="84"/>
  <c r="BC650" i="84"/>
  <c r="AS650" i="84"/>
  <c r="AP650" i="84"/>
  <c r="AV650" i="84"/>
  <c r="AY650" i="84"/>
  <c r="AY738" i="84"/>
  <c r="AS738" i="84"/>
  <c r="BC738" i="84"/>
  <c r="AP738" i="84"/>
  <c r="AV738" i="84"/>
  <c r="AV681" i="84"/>
  <c r="AS681" i="84"/>
  <c r="AP681" i="84"/>
  <c r="AY681" i="84"/>
  <c r="BC681" i="84"/>
  <c r="AY278" i="84"/>
  <c r="AV278" i="84"/>
  <c r="AP278" i="84"/>
  <c r="BC278" i="84"/>
  <c r="AS278" i="84"/>
  <c r="AV869" i="84"/>
  <c r="AY869" i="84"/>
  <c r="AS869" i="84"/>
  <c r="AP869" i="84"/>
  <c r="BC869" i="84"/>
  <c r="AY859" i="84"/>
  <c r="BC859" i="84"/>
  <c r="AV859" i="84"/>
  <c r="AP859" i="84"/>
  <c r="AS859" i="84"/>
  <c r="AY163" i="84"/>
  <c r="AP163" i="84"/>
  <c r="AS163" i="84"/>
  <c r="AV163" i="84"/>
  <c r="BC163" i="84"/>
  <c r="AS529" i="84"/>
  <c r="AP529" i="84"/>
  <c r="AY529" i="84"/>
  <c r="AV529" i="84"/>
  <c r="BC529" i="84"/>
  <c r="AS426" i="84"/>
  <c r="BC426" i="84"/>
  <c r="AV426" i="84"/>
  <c r="AP426" i="84"/>
  <c r="AY426" i="84"/>
  <c r="AS305" i="84"/>
  <c r="AV305" i="84"/>
  <c r="AP305" i="84"/>
  <c r="BC305" i="84"/>
  <c r="AY305" i="84"/>
  <c r="AP682" i="84"/>
  <c r="BC682" i="84"/>
  <c r="AV682" i="84"/>
  <c r="AS682" i="84"/>
  <c r="AY682" i="84"/>
  <c r="AS14" i="84"/>
  <c r="BC14" i="84"/>
  <c r="AY14" i="84"/>
  <c r="AP14" i="84"/>
  <c r="AP392" i="84"/>
  <c r="AV392" i="84"/>
  <c r="AS392" i="84"/>
  <c r="AY392" i="84"/>
  <c r="AV605" i="84"/>
  <c r="AP605" i="84"/>
  <c r="BC605" i="84"/>
  <c r="AS605" i="84"/>
  <c r="AY605" i="84"/>
  <c r="BC352" i="84"/>
  <c r="AY352" i="84"/>
  <c r="AV352" i="84"/>
  <c r="AP352" i="84"/>
  <c r="AS352" i="84"/>
  <c r="AY29" i="84"/>
  <c r="AP29" i="84"/>
  <c r="BC29" i="84"/>
  <c r="AV29" i="84"/>
  <c r="AS29" i="84"/>
  <c r="AP855" i="84"/>
  <c r="BC855" i="84"/>
  <c r="AY855" i="84"/>
  <c r="AS855" i="84"/>
  <c r="AV855" i="84"/>
  <c r="AP765" i="84"/>
  <c r="AV765" i="84"/>
  <c r="AY765" i="84"/>
  <c r="AS765" i="84"/>
  <c r="BC765" i="84"/>
  <c r="BC206" i="84"/>
  <c r="AS206" i="84"/>
  <c r="AP206" i="84"/>
  <c r="AV206" i="84"/>
  <c r="AY206" i="84"/>
  <c r="AS730" i="84"/>
  <c r="AY730" i="84"/>
  <c r="AV730" i="84"/>
  <c r="AP730" i="84"/>
  <c r="BC730" i="84"/>
  <c r="AS708" i="84"/>
  <c r="AP708" i="84"/>
  <c r="AV708" i="84"/>
  <c r="AY708" i="84"/>
  <c r="BC708" i="84"/>
  <c r="BC155" i="84"/>
  <c r="AV155" i="84"/>
  <c r="AS155" i="84"/>
  <c r="AP155" i="84"/>
  <c r="AY155" i="84"/>
  <c r="AP768" i="84"/>
  <c r="AV768" i="84"/>
  <c r="AS768" i="84"/>
  <c r="BC768" i="84"/>
  <c r="AY768" i="84"/>
  <c r="AY575" i="84"/>
  <c r="BC575" i="84"/>
  <c r="AS575" i="84"/>
  <c r="AV575" i="84"/>
  <c r="AP575" i="84"/>
  <c r="BC867" i="84"/>
  <c r="AV867" i="84"/>
  <c r="AS867" i="84"/>
  <c r="AP867" i="84"/>
  <c r="AY867" i="84"/>
  <c r="AY396" i="84"/>
  <c r="AV396" i="84"/>
  <c r="AS396" i="84"/>
  <c r="AP396" i="84"/>
  <c r="BC396" i="84"/>
  <c r="AY689" i="84"/>
  <c r="BC689" i="84"/>
  <c r="AP689" i="84"/>
  <c r="AS689" i="84"/>
  <c r="AV689" i="84"/>
  <c r="AY658" i="84"/>
  <c r="BC658" i="84"/>
  <c r="AV658" i="84"/>
  <c r="AP658" i="84"/>
  <c r="AS658" i="84"/>
  <c r="AV275" i="84"/>
  <c r="AY275" i="84"/>
  <c r="BC275" i="84"/>
  <c r="AS275" i="84"/>
  <c r="AP275" i="84"/>
  <c r="AY36" i="84"/>
  <c r="AV36" i="84"/>
  <c r="BC36" i="84"/>
  <c r="AP36" i="84"/>
  <c r="AS36" i="84"/>
  <c r="AS761" i="84"/>
  <c r="BC761" i="84"/>
  <c r="AY761" i="84"/>
  <c r="AP761" i="84"/>
  <c r="AV761" i="84"/>
  <c r="AS226" i="84"/>
  <c r="AP226" i="84"/>
  <c r="BC226" i="84"/>
  <c r="AY226" i="84"/>
  <c r="AV226" i="84"/>
  <c r="BC469" i="84"/>
  <c r="AV469" i="84"/>
  <c r="AP469" i="84"/>
  <c r="AS469" i="84"/>
  <c r="AY469" i="84"/>
  <c r="AS642" i="84"/>
  <c r="AY642" i="84"/>
  <c r="BC642" i="84"/>
  <c r="AP642" i="84"/>
  <c r="AV642" i="84"/>
  <c r="AP301" i="84"/>
  <c r="AY301" i="84"/>
  <c r="AV301" i="84"/>
  <c r="AS301" i="84"/>
  <c r="BC301" i="84"/>
  <c r="AY695" i="84"/>
  <c r="AS695" i="84"/>
  <c r="AV695" i="84"/>
  <c r="BC695" i="84"/>
  <c r="AP695" i="84"/>
  <c r="BC806" i="84"/>
  <c r="AP806" i="84"/>
  <c r="AV806" i="84"/>
  <c r="AY806" i="84"/>
  <c r="AS806" i="84"/>
  <c r="BC391" i="84"/>
  <c r="AP391" i="84"/>
  <c r="AV391" i="84"/>
  <c r="AY391" i="84"/>
  <c r="AS391" i="84"/>
  <c r="BC571" i="84"/>
  <c r="AP571" i="84"/>
  <c r="AS571" i="84"/>
  <c r="AY571" i="84"/>
  <c r="AV571" i="84"/>
  <c r="AS117" i="84"/>
  <c r="BC117" i="84"/>
  <c r="AV117" i="84"/>
  <c r="AY117" i="84"/>
  <c r="AP117" i="84"/>
  <c r="AV724" i="84"/>
  <c r="AP724" i="84"/>
  <c r="AS724" i="84"/>
  <c r="BC724" i="84"/>
  <c r="AY724" i="84"/>
  <c r="BC519" i="84"/>
  <c r="AV519" i="84"/>
  <c r="AP519" i="84"/>
  <c r="AY519" i="84"/>
  <c r="AS519" i="84"/>
  <c r="AY809" i="84"/>
  <c r="BC809" i="84"/>
  <c r="AS809" i="84"/>
  <c r="AV809" i="84"/>
  <c r="AP809" i="84"/>
  <c r="AV583" i="84"/>
  <c r="BC583" i="84"/>
  <c r="AS583" i="84"/>
  <c r="AY583" i="84"/>
  <c r="AP583" i="84"/>
  <c r="AS684" i="84"/>
  <c r="AV684" i="84"/>
  <c r="BC684" i="84"/>
  <c r="AP684" i="84"/>
  <c r="AY684" i="84"/>
  <c r="AP351" i="84"/>
  <c r="AY351" i="84"/>
  <c r="AS351" i="84"/>
  <c r="BC351" i="84"/>
  <c r="AV351" i="84"/>
  <c r="AP900" i="84"/>
  <c r="AY900" i="84"/>
  <c r="AV900" i="84"/>
  <c r="BC900" i="84"/>
  <c r="AS900" i="84"/>
  <c r="AP325" i="84"/>
  <c r="BC325" i="84"/>
  <c r="AV325" i="84"/>
  <c r="AY325" i="84"/>
  <c r="AS325" i="84"/>
  <c r="AS832" i="84"/>
  <c r="AV832" i="84"/>
  <c r="BC832" i="84"/>
  <c r="AY832" i="84"/>
  <c r="AP832" i="84"/>
  <c r="AS444" i="84"/>
  <c r="AV444" i="84"/>
  <c r="AY444" i="84"/>
  <c r="AP444" i="84"/>
  <c r="BC444" i="84"/>
  <c r="AV767" i="84"/>
  <c r="AS767" i="84"/>
  <c r="BC767" i="84"/>
  <c r="AY767" i="84"/>
  <c r="AP767" i="84"/>
  <c r="AP371" i="84"/>
  <c r="AY371" i="84"/>
  <c r="AS371" i="84"/>
  <c r="BC371" i="84"/>
  <c r="AV371" i="84"/>
  <c r="AS56" i="84"/>
  <c r="AP56" i="84"/>
  <c r="AV56" i="84"/>
  <c r="AY56" i="84"/>
  <c r="BC56" i="84"/>
  <c r="AP292" i="84"/>
  <c r="AS292" i="84"/>
  <c r="BC292" i="84"/>
  <c r="AV292" i="84"/>
  <c r="AY292" i="84"/>
  <c r="BC323" i="84"/>
  <c r="AY323" i="84"/>
  <c r="AS323" i="84"/>
  <c r="AV323" i="84"/>
  <c r="AP323" i="84"/>
  <c r="AP594" i="84"/>
  <c r="AS594" i="84"/>
  <c r="AY594" i="84"/>
  <c r="BC594" i="84"/>
  <c r="AV594" i="84"/>
  <c r="AP145" i="84"/>
  <c r="AV145" i="84"/>
  <c r="BC145" i="84"/>
  <c r="AS145" i="84"/>
  <c r="AY145" i="84"/>
  <c r="AS772" i="84"/>
  <c r="BC772" i="84"/>
  <c r="AP772" i="84"/>
  <c r="AV772" i="84"/>
  <c r="AY772" i="84"/>
  <c r="BC413" i="84"/>
  <c r="AP413" i="84"/>
  <c r="AY413" i="84"/>
  <c r="AS413" i="84"/>
  <c r="AV413" i="84"/>
  <c r="BC643" i="84"/>
  <c r="AY643" i="84"/>
  <c r="AS643" i="84"/>
  <c r="AP643" i="84"/>
  <c r="AV643" i="84"/>
  <c r="AS520" i="84"/>
  <c r="AV520" i="84"/>
  <c r="AP520" i="84"/>
  <c r="AY520" i="84"/>
  <c r="AY901" i="84"/>
  <c r="BC901" i="84"/>
  <c r="AV901" i="84"/>
  <c r="AP901" i="84"/>
  <c r="AS901" i="84"/>
  <c r="AP739" i="84"/>
  <c r="AV739" i="84"/>
  <c r="BC739" i="84"/>
  <c r="AY739" i="84"/>
  <c r="AS739" i="84"/>
  <c r="BC774" i="84"/>
  <c r="AV774" i="84"/>
  <c r="AS774" i="84"/>
  <c r="AY774" i="84"/>
  <c r="AP774" i="84"/>
  <c r="AP562" i="84"/>
  <c r="BC562" i="84"/>
  <c r="AS562" i="84"/>
  <c r="AY562" i="84"/>
  <c r="AV562" i="84"/>
  <c r="AV253" i="84"/>
  <c r="AS253" i="84"/>
  <c r="AP253" i="84"/>
  <c r="AY253" i="84"/>
  <c r="BC253" i="84"/>
  <c r="AS958" i="84"/>
  <c r="AP958" i="84"/>
  <c r="AV958" i="84"/>
  <c r="BC958" i="84"/>
  <c r="AY958" i="84"/>
  <c r="AY864" i="84"/>
  <c r="BC864" i="84"/>
  <c r="AS864" i="84"/>
  <c r="AP864" i="84"/>
  <c r="AV864" i="84"/>
  <c r="BC486" i="84"/>
  <c r="AP486" i="84"/>
  <c r="AV486" i="84"/>
  <c r="AY486" i="84"/>
  <c r="AS486" i="84"/>
  <c r="AS824" i="84"/>
  <c r="BC824" i="84"/>
  <c r="AV824" i="84"/>
  <c r="AY824" i="84"/>
  <c r="AP824" i="84"/>
  <c r="AY645" i="84"/>
  <c r="AP645" i="84"/>
  <c r="AV645" i="84"/>
  <c r="AS645" i="84"/>
  <c r="BC645" i="84"/>
  <c r="AS844" i="84"/>
  <c r="BC844" i="84"/>
  <c r="AP844" i="84"/>
  <c r="AV844" i="84"/>
  <c r="AY844" i="84"/>
  <c r="AP918" i="84"/>
  <c r="AV918" i="84"/>
  <c r="AY918" i="84"/>
  <c r="BC918" i="84"/>
  <c r="AS918" i="84"/>
  <c r="AP624" i="84"/>
  <c r="AS624" i="84"/>
  <c r="AV624" i="84"/>
  <c r="AY624" i="84"/>
  <c r="BC624" i="84"/>
  <c r="AP584" i="84"/>
  <c r="BC584" i="84"/>
  <c r="AV584" i="84"/>
  <c r="AY584" i="84"/>
  <c r="AS584" i="84"/>
  <c r="AY360" i="84"/>
  <c r="AS360" i="84"/>
  <c r="AV360" i="84"/>
  <c r="AP360" i="84"/>
  <c r="BC360" i="84"/>
  <c r="BC895" i="84"/>
  <c r="AP895" i="84"/>
  <c r="AV895" i="84"/>
  <c r="AS895" i="84"/>
  <c r="AY895" i="84"/>
  <c r="AY242" i="84"/>
  <c r="AS242" i="84"/>
  <c r="AV242" i="84"/>
  <c r="BC242" i="84"/>
  <c r="AP242" i="84"/>
  <c r="AV23" i="84"/>
  <c r="BC23" i="84"/>
  <c r="AP23" i="84"/>
  <c r="AS23" i="84"/>
  <c r="AY23" i="84"/>
  <c r="AS269" i="84"/>
  <c r="AV269" i="84"/>
  <c r="AP269" i="84"/>
  <c r="BC269" i="84"/>
  <c r="AY269" i="84"/>
  <c r="AY709" i="84"/>
  <c r="BC709" i="84"/>
  <c r="AP709" i="84"/>
  <c r="AV709" i="84"/>
  <c r="AS709" i="84"/>
  <c r="AS957" i="84"/>
  <c r="AP957" i="84"/>
  <c r="AY957" i="84"/>
  <c r="BC957" i="84"/>
  <c r="AV957" i="84"/>
  <c r="AP169" i="84"/>
  <c r="AV169" i="84"/>
  <c r="AY169" i="84"/>
  <c r="BC169" i="84"/>
  <c r="AS169" i="84"/>
  <c r="AS905" i="84"/>
  <c r="AV905" i="84"/>
  <c r="AY905" i="84"/>
  <c r="AP905" i="84"/>
  <c r="BC905" i="84"/>
  <c r="AV92" i="84"/>
  <c r="AP92" i="84"/>
  <c r="AS92" i="84"/>
  <c r="BC92" i="84"/>
  <c r="AY92" i="84"/>
  <c r="AP110" i="84"/>
  <c r="AS110" i="84"/>
  <c r="AV110" i="84"/>
  <c r="AY110" i="84"/>
  <c r="AP858" i="84"/>
  <c r="AV858" i="84"/>
  <c r="AY858" i="84"/>
  <c r="AS858" i="84"/>
  <c r="BC858" i="84"/>
  <c r="AP741" i="84"/>
  <c r="AY741" i="84"/>
  <c r="AS741" i="84"/>
  <c r="AV741" i="84"/>
  <c r="BC741" i="84"/>
  <c r="AP660" i="84"/>
  <c r="AY660" i="84"/>
  <c r="AS660" i="84"/>
  <c r="BC660" i="84"/>
  <c r="AV660" i="84"/>
  <c r="BC897" i="84"/>
  <c r="AP897" i="84"/>
  <c r="AS897" i="84"/>
  <c r="AV897" i="84"/>
  <c r="AY897" i="84"/>
  <c r="AS178" i="84"/>
  <c r="AY178" i="84"/>
  <c r="AV178" i="84"/>
  <c r="AP178" i="84"/>
  <c r="BC178" i="84"/>
  <c r="AY677" i="84"/>
  <c r="AP677" i="84"/>
  <c r="BC677" i="84"/>
  <c r="AV677" i="84"/>
  <c r="AS677" i="84"/>
  <c r="AV387" i="84"/>
  <c r="AP387" i="84"/>
  <c r="BC387" i="84"/>
  <c r="AS387" i="84"/>
  <c r="AY387" i="84"/>
  <c r="AV793" i="84"/>
  <c r="AY793" i="84"/>
  <c r="AS793" i="84"/>
  <c r="BC793" i="84"/>
  <c r="AP793" i="84"/>
  <c r="AV402" i="84"/>
  <c r="BC402" i="84"/>
  <c r="AP402" i="84"/>
  <c r="AS402" i="84"/>
  <c r="AY402" i="84"/>
  <c r="BC694" i="84"/>
  <c r="AV694" i="84"/>
  <c r="AP694" i="84"/>
  <c r="AS694" i="84"/>
  <c r="AY694" i="84"/>
  <c r="AY559" i="84"/>
  <c r="BC559" i="84"/>
  <c r="AS559" i="84"/>
  <c r="AV559" i="84"/>
  <c r="AP559" i="84"/>
  <c r="AP318" i="84"/>
  <c r="BC318" i="84"/>
  <c r="AV318" i="84"/>
  <c r="AS318" i="84"/>
  <c r="AY318" i="84"/>
  <c r="AY928" i="84"/>
  <c r="BC928" i="84"/>
  <c r="AV928" i="84"/>
  <c r="AS928" i="84"/>
  <c r="AP928" i="84"/>
  <c r="AP556" i="84"/>
  <c r="BC556" i="84"/>
  <c r="AV556" i="84"/>
  <c r="AY556" i="84"/>
  <c r="AS556" i="84"/>
  <c r="AP52" i="84"/>
  <c r="BC52" i="84"/>
  <c r="AY52" i="84"/>
  <c r="AV52" i="84"/>
  <c r="AS52" i="84"/>
  <c r="AS907" i="84"/>
  <c r="AY907" i="84"/>
  <c r="BC907" i="84"/>
  <c r="AV907" i="84"/>
  <c r="AP907" i="84"/>
  <c r="BC342" i="84"/>
  <c r="AY342" i="84"/>
  <c r="AV342" i="84"/>
  <c r="AP342" i="84"/>
  <c r="AS342" i="84"/>
  <c r="AY690" i="84"/>
  <c r="AV690" i="84"/>
  <c r="AP690" i="84"/>
  <c r="AS690" i="84"/>
  <c r="BC690" i="84"/>
  <c r="AY235" i="84"/>
  <c r="BC235" i="84"/>
  <c r="AP235" i="84"/>
  <c r="AV235" i="84"/>
  <c r="AS235" i="84"/>
  <c r="AP791" i="84"/>
  <c r="BC791" i="84"/>
  <c r="AY791" i="84"/>
  <c r="AS791" i="84"/>
  <c r="AV791" i="84"/>
  <c r="AV687" i="84"/>
  <c r="AS687" i="84"/>
  <c r="BC687" i="84"/>
  <c r="AY687" i="84"/>
  <c r="AP687" i="84"/>
  <c r="AS956" i="84"/>
  <c r="AY956" i="84"/>
  <c r="AV956" i="84"/>
  <c r="AP956" i="84"/>
  <c r="BC956" i="84"/>
  <c r="AY626" i="84"/>
  <c r="AP626" i="84"/>
  <c r="AV626" i="84"/>
  <c r="BC626" i="84"/>
  <c r="AS626" i="84"/>
  <c r="AV101" i="84"/>
  <c r="AS101" i="84"/>
  <c r="BC101" i="84"/>
  <c r="AY101" i="84"/>
  <c r="AP101" i="84"/>
  <c r="AY491" i="84"/>
  <c r="AS491" i="84"/>
  <c r="AV491" i="84"/>
  <c r="BC491" i="84"/>
  <c r="AP491" i="84"/>
  <c r="AP388" i="84"/>
  <c r="AY388" i="84"/>
  <c r="BC388" i="84"/>
  <c r="AV388" i="84"/>
  <c r="AS388" i="84"/>
  <c r="AS299" i="84"/>
  <c r="BC299" i="84"/>
  <c r="AP299" i="84"/>
  <c r="AV299" i="84"/>
  <c r="AY299" i="84"/>
  <c r="AY948" i="84"/>
  <c r="BC948" i="84"/>
  <c r="AV948" i="84"/>
  <c r="AS948" i="84"/>
  <c r="AP948" i="84"/>
  <c r="BC848" i="84"/>
  <c r="AP848" i="84"/>
  <c r="AY848" i="84"/>
  <c r="AV848" i="84"/>
  <c r="AS848" i="84"/>
  <c r="AS673" i="84"/>
  <c r="BC673" i="84"/>
  <c r="AY673" i="84"/>
  <c r="AV673" i="84"/>
  <c r="AP673" i="84"/>
  <c r="AV666" i="84"/>
  <c r="AY666" i="84"/>
  <c r="AP666" i="84"/>
  <c r="BC666" i="84"/>
  <c r="AS666" i="84"/>
  <c r="AV654" i="84"/>
  <c r="AP654" i="84"/>
  <c r="BC654" i="84"/>
  <c r="AY654" i="84"/>
  <c r="AS654" i="84"/>
  <c r="AS929" i="84"/>
  <c r="AY929" i="84"/>
  <c r="AV929" i="84"/>
  <c r="AP929" i="84"/>
  <c r="BC929" i="84"/>
  <c r="AS277" i="84"/>
  <c r="BC277" i="84"/>
  <c r="AP277" i="84"/>
  <c r="AY277" i="84"/>
  <c r="AV277" i="84"/>
  <c r="AP603" i="84"/>
  <c r="BC603" i="84"/>
  <c r="AS603" i="84"/>
  <c r="AV603" i="84"/>
  <c r="AY603" i="84"/>
  <c r="BC452" i="84"/>
  <c r="AP452" i="84"/>
  <c r="AS452" i="84"/>
  <c r="AY452" i="84"/>
  <c r="AV452" i="84"/>
  <c r="AS648" i="84"/>
  <c r="AY648" i="84"/>
  <c r="AP648" i="84"/>
  <c r="AV648" i="84"/>
  <c r="BC648" i="84"/>
  <c r="AV500" i="84"/>
  <c r="AP500" i="84"/>
  <c r="AY500" i="84"/>
  <c r="AS500" i="84"/>
  <c r="BC500" i="84"/>
  <c r="AV670" i="84"/>
  <c r="AS670" i="84"/>
  <c r="AY670" i="84"/>
  <c r="BC670" i="84"/>
  <c r="AP670" i="84"/>
  <c r="AP707" i="84"/>
  <c r="BC707" i="84"/>
  <c r="AY707" i="84"/>
  <c r="AS707" i="84"/>
  <c r="AV707" i="84"/>
  <c r="AS795" i="84"/>
  <c r="AY795" i="84"/>
  <c r="BC795" i="84"/>
  <c r="AP795" i="84"/>
  <c r="AV795" i="84"/>
  <c r="AP828" i="84"/>
  <c r="AV828" i="84"/>
  <c r="AY828" i="84"/>
  <c r="AS828" i="84"/>
  <c r="BC828" i="84"/>
  <c r="BC276" i="84"/>
  <c r="AP276" i="84"/>
  <c r="AV276" i="84"/>
  <c r="AY276" i="84"/>
  <c r="AS276" i="84"/>
  <c r="AP177" i="84"/>
  <c r="AS177" i="84"/>
  <c r="AV177" i="84"/>
  <c r="BC177" i="84"/>
  <c r="AY177" i="84"/>
  <c r="AP733" i="84"/>
  <c r="AY733" i="84"/>
  <c r="BC733" i="84"/>
  <c r="AS733" i="84"/>
  <c r="AV733" i="84"/>
  <c r="AS548" i="84"/>
  <c r="BC548" i="84"/>
  <c r="AV548" i="84"/>
  <c r="AY548" i="84"/>
  <c r="AP548" i="84"/>
  <c r="AV112" i="84"/>
  <c r="AP112" i="84"/>
  <c r="AY112" i="84"/>
  <c r="AS112" i="84"/>
  <c r="BC112" i="84"/>
  <c r="AP873" i="84"/>
  <c r="AS873" i="84"/>
  <c r="BC873" i="84"/>
  <c r="AV873" i="84"/>
  <c r="AY873" i="84"/>
  <c r="AS212" i="84"/>
  <c r="BC212" i="84"/>
  <c r="AY212" i="84"/>
  <c r="AP212" i="84"/>
  <c r="AV212" i="84"/>
  <c r="AP165" i="84"/>
  <c r="AS165" i="84"/>
  <c r="AY165" i="84"/>
  <c r="BC165" i="84"/>
  <c r="AV165" i="84"/>
  <c r="AV158" i="84"/>
  <c r="AY158" i="84"/>
  <c r="AS158" i="84"/>
  <c r="BC158" i="84"/>
  <c r="AP158" i="84"/>
  <c r="BC35" i="84"/>
  <c r="AP35" i="84"/>
  <c r="AV35" i="84"/>
  <c r="AS35" i="84"/>
  <c r="AY35" i="84"/>
  <c r="AP688" i="84"/>
  <c r="AS688" i="84"/>
  <c r="BC688" i="84"/>
  <c r="AV688" i="84"/>
  <c r="AY688" i="84"/>
  <c r="AV732" i="84"/>
  <c r="AS732" i="84"/>
  <c r="AP732" i="84"/>
  <c r="BC732" i="84"/>
  <c r="AY732" i="84"/>
  <c r="AV554" i="84"/>
  <c r="AS554" i="84"/>
  <c r="AY554" i="84"/>
  <c r="BC554" i="84"/>
  <c r="AP554" i="84"/>
  <c r="AV582" i="84"/>
  <c r="AP582" i="84"/>
  <c r="BC582" i="84"/>
  <c r="AY582" i="84"/>
  <c r="AS582" i="84"/>
  <c r="AY487" i="84"/>
  <c r="AV487" i="84"/>
  <c r="AS487" i="84"/>
  <c r="BC487" i="84"/>
  <c r="AP487" i="84"/>
  <c r="AS886" i="84"/>
  <c r="AP886" i="84"/>
  <c r="AV886" i="84"/>
  <c r="BC886" i="84"/>
  <c r="AY886" i="84"/>
  <c r="AV884" i="84"/>
  <c r="AS884" i="84"/>
  <c r="AP884" i="84"/>
  <c r="BC884" i="84"/>
  <c r="AY884" i="84"/>
  <c r="AS204" i="84"/>
  <c r="BC204" i="84"/>
  <c r="AY204" i="84"/>
  <c r="AV204" i="84"/>
  <c r="AP204" i="84"/>
  <c r="AS819" i="84"/>
  <c r="AV819" i="84"/>
  <c r="AP819" i="84"/>
  <c r="AY819" i="84"/>
  <c r="BC819" i="84"/>
  <c r="AS800" i="84"/>
  <c r="BC800" i="84"/>
  <c r="AV800" i="84"/>
  <c r="AP800" i="84"/>
  <c r="AY800" i="84"/>
  <c r="AS152" i="84"/>
  <c r="AY152" i="84"/>
  <c r="AV152" i="84"/>
  <c r="BC152" i="84"/>
  <c r="AP152" i="84"/>
  <c r="BC490" i="84"/>
  <c r="AS490" i="84"/>
  <c r="AY490" i="84"/>
  <c r="AP490" i="84"/>
  <c r="AV490" i="84"/>
  <c r="AS712" i="84"/>
  <c r="AP712" i="84"/>
  <c r="AY712" i="84"/>
  <c r="BC712" i="84"/>
  <c r="AV712" i="84"/>
  <c r="AV477" i="84"/>
  <c r="AS477" i="84"/>
  <c r="AY477" i="84"/>
  <c r="AP477" i="84"/>
  <c r="BC477" i="84"/>
  <c r="BC838" i="84"/>
  <c r="AP838" i="84"/>
  <c r="AY838" i="84"/>
  <c r="AS838" i="84"/>
  <c r="AV838" i="84"/>
  <c r="BC909" i="84"/>
  <c r="AS909" i="84"/>
  <c r="AV909" i="84"/>
  <c r="AY909" i="84"/>
  <c r="AP909" i="84"/>
  <c r="AS914" i="84"/>
  <c r="AP914" i="84"/>
  <c r="AY914" i="84"/>
  <c r="BC914" i="84"/>
  <c r="AV914" i="84"/>
  <c r="AP668" i="84"/>
  <c r="AY668" i="84"/>
  <c r="BC668" i="84"/>
  <c r="AV668" i="84"/>
  <c r="AS668" i="84"/>
  <c r="AV931" i="84"/>
  <c r="AY931" i="84"/>
  <c r="AP931" i="84"/>
  <c r="AS931" i="84"/>
  <c r="BC931" i="84"/>
  <c r="AP913" i="84"/>
  <c r="AY913" i="84"/>
  <c r="BC913" i="84"/>
  <c r="AS913" i="84"/>
  <c r="AV913" i="84"/>
  <c r="AP550" i="84"/>
  <c r="AS550" i="84"/>
  <c r="AV550" i="84"/>
  <c r="BC550" i="84"/>
  <c r="AY550" i="84"/>
  <c r="AP245" i="84"/>
  <c r="BC245" i="84"/>
  <c r="AV245" i="84"/>
  <c r="AS245" i="84"/>
  <c r="AY245" i="84"/>
  <c r="AS740" i="84"/>
  <c r="AV740" i="84"/>
  <c r="AY740" i="84"/>
  <c r="BC740" i="84"/>
  <c r="AP740" i="84"/>
  <c r="AV21" i="84"/>
  <c r="AY21" i="84"/>
  <c r="AS21" i="84"/>
  <c r="BC21" i="84"/>
  <c r="AP21" i="84"/>
  <c r="AY651" i="84"/>
  <c r="BC651" i="84"/>
  <c r="AV651" i="84"/>
  <c r="AP651" i="84"/>
  <c r="AS651" i="84"/>
  <c r="BC408" i="84"/>
  <c r="AV408" i="84"/>
  <c r="AS408" i="84"/>
  <c r="AY408" i="84"/>
  <c r="AP408" i="84"/>
  <c r="AS959" i="84"/>
  <c r="AV959" i="84"/>
  <c r="AP959" i="84"/>
  <c r="BC959" i="84"/>
  <c r="AY959" i="84"/>
  <c r="AY458" i="84"/>
  <c r="AS458" i="84"/>
  <c r="AP458" i="84"/>
  <c r="AV458" i="84"/>
  <c r="BC458" i="84"/>
  <c r="AP604" i="84"/>
  <c r="AY604" i="84"/>
  <c r="AV604" i="84"/>
  <c r="AS604" i="84"/>
  <c r="BC604" i="84"/>
  <c r="AP149" i="84"/>
  <c r="AV149" i="84"/>
  <c r="AS149" i="84"/>
  <c r="BC149" i="84"/>
  <c r="AY149" i="84"/>
  <c r="AS632" i="84"/>
  <c r="AY632" i="84"/>
  <c r="BC632" i="84"/>
  <c r="AP632" i="84"/>
  <c r="AV632" i="84"/>
  <c r="AY507" i="84"/>
  <c r="AS507" i="84"/>
  <c r="AP507" i="84"/>
  <c r="AV507" i="84"/>
  <c r="BC507" i="84"/>
  <c r="AS423" i="84"/>
  <c r="AV423" i="84"/>
  <c r="AP423" i="84"/>
  <c r="BC423" i="84"/>
  <c r="AY423" i="84"/>
  <c r="AY467" i="84"/>
  <c r="AV467" i="84"/>
  <c r="AS467" i="84"/>
  <c r="BC467" i="84"/>
  <c r="AP467" i="84"/>
  <c r="AP860" i="84"/>
  <c r="AV860" i="84"/>
  <c r="AY860" i="84"/>
  <c r="BC860" i="84"/>
  <c r="AS860" i="84"/>
  <c r="AP760" i="84"/>
  <c r="AV760" i="84"/>
  <c r="AY760" i="84"/>
  <c r="BC760" i="84"/>
  <c r="AS760" i="84"/>
  <c r="AP530" i="84"/>
  <c r="AV530" i="84"/>
  <c r="AY530" i="84"/>
  <c r="AS530" i="84"/>
  <c r="BC530" i="84"/>
  <c r="BC842" i="84"/>
  <c r="AY842" i="84"/>
  <c r="AV842" i="84"/>
  <c r="AP842" i="84"/>
  <c r="AS842" i="84"/>
  <c r="AV111" i="84"/>
  <c r="AP111" i="84"/>
  <c r="AS111" i="84"/>
  <c r="AY111" i="84"/>
  <c r="BC111" i="84"/>
  <c r="AV303" i="84"/>
  <c r="AY303" i="84"/>
  <c r="BC303" i="84"/>
  <c r="AP303" i="84"/>
  <c r="AS303" i="84"/>
  <c r="AP338" i="84"/>
  <c r="AV338" i="84"/>
  <c r="BC338" i="84"/>
  <c r="AY338" i="84"/>
  <c r="AS338" i="84"/>
  <c r="BC460" i="84"/>
  <c r="AP460" i="84"/>
  <c r="AS460" i="84"/>
  <c r="AV460" i="84"/>
  <c r="AY460" i="84"/>
  <c r="AP18" i="84"/>
  <c r="BC18" i="84"/>
  <c r="AS18" i="84"/>
  <c r="AV18" i="84"/>
  <c r="AY18" i="84"/>
  <c r="AY598" i="84"/>
  <c r="AS598" i="84"/>
  <c r="AV598" i="84"/>
  <c r="AP598" i="84"/>
  <c r="BC598" i="84"/>
  <c r="BC639" i="84"/>
  <c r="AY639" i="84"/>
  <c r="AS639" i="84"/>
  <c r="AP639" i="84"/>
  <c r="AV639" i="84"/>
  <c r="BC31" i="84"/>
  <c r="AY31" i="84"/>
  <c r="AV31" i="84"/>
  <c r="AP31" i="84"/>
  <c r="AS31" i="84"/>
  <c r="AV718" i="84"/>
  <c r="AP718" i="84"/>
  <c r="BC718" i="84"/>
  <c r="AS718" i="84"/>
  <c r="AY718" i="84"/>
  <c r="AP625" i="84"/>
  <c r="AS625" i="84"/>
  <c r="AV625" i="84"/>
  <c r="AY625" i="84"/>
  <c r="BC625" i="84"/>
  <c r="AY934" i="84"/>
  <c r="AP934" i="84"/>
  <c r="AS934" i="84"/>
  <c r="AV934" i="84"/>
  <c r="BC934" i="84"/>
  <c r="AY279" i="84"/>
  <c r="BC279" i="84"/>
  <c r="AV279" i="84"/>
  <c r="AS279" i="84"/>
  <c r="AP279" i="84"/>
  <c r="AY166" i="84"/>
  <c r="AP166" i="84"/>
  <c r="AV166" i="84"/>
  <c r="AS166" i="84"/>
  <c r="BC166" i="84"/>
  <c r="AV701" i="84"/>
  <c r="AS701" i="84"/>
  <c r="BC701" i="84"/>
  <c r="AP701" i="84"/>
  <c r="AY701" i="84"/>
  <c r="AV405" i="84"/>
  <c r="AS405" i="84"/>
  <c r="AY405" i="84"/>
  <c r="AP405" i="84"/>
  <c r="BC405" i="84"/>
  <c r="AY726" i="84"/>
  <c r="AV726" i="84"/>
  <c r="AS726" i="84"/>
  <c r="BC726" i="84"/>
  <c r="AP726" i="84"/>
  <c r="AY89" i="84"/>
  <c r="AP89" i="84"/>
  <c r="BC89" i="84"/>
  <c r="AS89" i="84"/>
  <c r="AV89" i="84"/>
  <c r="AV185" i="84"/>
  <c r="AP185" i="84"/>
  <c r="BC185" i="84"/>
  <c r="AY185" i="84"/>
  <c r="AS185" i="84"/>
  <c r="AP87" i="84"/>
  <c r="BC87" i="84"/>
  <c r="AY87" i="84"/>
  <c r="AV87" i="84"/>
  <c r="AS87" i="84"/>
  <c r="AY482" i="84"/>
  <c r="BC482" i="84"/>
  <c r="AP482" i="84"/>
  <c r="AV482" i="84"/>
  <c r="AS482" i="84"/>
  <c r="BC484" i="84"/>
  <c r="AV484" i="84"/>
  <c r="AP484" i="84"/>
  <c r="AS484" i="84"/>
  <c r="AY484" i="84"/>
  <c r="AV411" i="84"/>
  <c r="AP411" i="84"/>
  <c r="AY411" i="84"/>
  <c r="BC411" i="84"/>
  <c r="AS411" i="84"/>
  <c r="AP133" i="84"/>
  <c r="AY133" i="84"/>
  <c r="BC133" i="84"/>
  <c r="AS133" i="84"/>
  <c r="AV133" i="84"/>
  <c r="AP265" i="84"/>
  <c r="AY265" i="84"/>
  <c r="BC265" i="84"/>
  <c r="AV265" i="84"/>
  <c r="AS265" i="84"/>
  <c r="BC936" i="84"/>
  <c r="AV936" i="84"/>
  <c r="AS936" i="84"/>
  <c r="AY936" i="84"/>
  <c r="AP936" i="84"/>
  <c r="AY182" i="84"/>
  <c r="AV182" i="84"/>
  <c r="AP182" i="84"/>
  <c r="BC182" i="84"/>
  <c r="AS182" i="84"/>
  <c r="AP475" i="84"/>
  <c r="BC475" i="84"/>
  <c r="AV475" i="84"/>
  <c r="AS475" i="84"/>
  <c r="AY475" i="84"/>
  <c r="BC744" i="84"/>
  <c r="AY744" i="84"/>
  <c r="AV744" i="84"/>
  <c r="AP744" i="84"/>
  <c r="AS744" i="84"/>
  <c r="BC248" i="84"/>
  <c r="AS248" i="84"/>
  <c r="AP248" i="84"/>
  <c r="AY248" i="84"/>
  <c r="AY213" i="84"/>
  <c r="AS213" i="84"/>
  <c r="BC213" i="84"/>
  <c r="AP213" i="84"/>
  <c r="AV213" i="84"/>
  <c r="BC715" i="84"/>
  <c r="AS715" i="84"/>
  <c r="AY715" i="84"/>
  <c r="AV715" i="84"/>
  <c r="AP715" i="84"/>
  <c r="AY312" i="84"/>
  <c r="AP312" i="84"/>
  <c r="AS312" i="84"/>
  <c r="AV312" i="84"/>
  <c r="BC312" i="84"/>
  <c r="BC535" i="84"/>
  <c r="AV535" i="84"/>
  <c r="AS535" i="84"/>
  <c r="AP535" i="84"/>
  <c r="AY535" i="84"/>
  <c r="AV589" i="84"/>
  <c r="AP589" i="84"/>
  <c r="AY589" i="84"/>
  <c r="AS589" i="84"/>
  <c r="BC589" i="84"/>
  <c r="BC785" i="84"/>
  <c r="AY785" i="84"/>
  <c r="AV785" i="84"/>
  <c r="AP785" i="84"/>
  <c r="AS785" i="84"/>
  <c r="AP503" i="84"/>
  <c r="AY503" i="84"/>
  <c r="AV503" i="84"/>
  <c r="AS503" i="84"/>
  <c r="BC503" i="84"/>
  <c r="AV777" i="84"/>
  <c r="AP777" i="84"/>
  <c r="AY777" i="84"/>
  <c r="BC777" i="84"/>
  <c r="AS777" i="84"/>
  <c r="AP209" i="84"/>
  <c r="BC209" i="84"/>
  <c r="AV209" i="84"/>
  <c r="AS209" i="84"/>
  <c r="AY209" i="84"/>
  <c r="AS66" i="84"/>
  <c r="AP66" i="84"/>
  <c r="AV66" i="84"/>
  <c r="AY66" i="84"/>
  <c r="BC66" i="84"/>
  <c r="AV153" i="84"/>
  <c r="AP153" i="84"/>
  <c r="AY153" i="84"/>
  <c r="AS153" i="84"/>
  <c r="AY333" i="84"/>
  <c r="BC333" i="84"/>
  <c r="AS333" i="84"/>
  <c r="AP333" i="84"/>
  <c r="AV333" i="84"/>
  <c r="BC719" i="84"/>
  <c r="AS719" i="84"/>
  <c r="AP719" i="84"/>
  <c r="AY719" i="84"/>
  <c r="AV719" i="84"/>
  <c r="AV953" i="84"/>
  <c r="AP953" i="84"/>
  <c r="BC953" i="84"/>
  <c r="AY953" i="84"/>
  <c r="AS953" i="84"/>
  <c r="BC30" i="84"/>
  <c r="AV30" i="84"/>
  <c r="AP30" i="84"/>
  <c r="AY30" i="84"/>
  <c r="AS30" i="84"/>
  <c r="AY713" i="84"/>
  <c r="AS713" i="84"/>
  <c r="BC713" i="84"/>
  <c r="AP713" i="84"/>
  <c r="AV713" i="84"/>
  <c r="AS193" i="84"/>
  <c r="AP193" i="84"/>
  <c r="AY193" i="84"/>
  <c r="BC193" i="84"/>
  <c r="AV193" i="84"/>
  <c r="AV493" i="84"/>
  <c r="AP493" i="84"/>
  <c r="AS493" i="84"/>
  <c r="AY493" i="84"/>
  <c r="BC493" i="84"/>
  <c r="AY337" i="84"/>
  <c r="AS337" i="84"/>
  <c r="AP337" i="84"/>
  <c r="AV337" i="84"/>
  <c r="BC337" i="84"/>
  <c r="AV386" i="84"/>
  <c r="AY386" i="84"/>
  <c r="AS386" i="84"/>
  <c r="BC386" i="84"/>
  <c r="AP386" i="84"/>
  <c r="AP251" i="84"/>
  <c r="BC251" i="84"/>
  <c r="AS251" i="84"/>
  <c r="AV251" i="84"/>
  <c r="AY251" i="84"/>
  <c r="AV803" i="84"/>
  <c r="AS803" i="84"/>
  <c r="AY803" i="84"/>
  <c r="AP803" i="84"/>
  <c r="BC803" i="84"/>
  <c r="AS46" i="84"/>
  <c r="AV46" i="84"/>
  <c r="AY46" i="84"/>
  <c r="BC46" i="84"/>
  <c r="AP46" i="84"/>
  <c r="BC755" i="84"/>
  <c r="AY755" i="84"/>
  <c r="AV755" i="84"/>
  <c r="AS755" i="84"/>
  <c r="AP755" i="84"/>
  <c r="AY526" i="84"/>
  <c r="BC526" i="84"/>
  <c r="AV526" i="84"/>
  <c r="AP526" i="84"/>
  <c r="AS526" i="84"/>
  <c r="AY65" i="84"/>
  <c r="AP65" i="84"/>
  <c r="AV65" i="84"/>
  <c r="BC65" i="84"/>
  <c r="AS65" i="84"/>
  <c r="AP113" i="84"/>
  <c r="AV113" i="84"/>
  <c r="BC113" i="84"/>
  <c r="AY113" i="84"/>
  <c r="AS113" i="84"/>
  <c r="AS700" i="84"/>
  <c r="BC700" i="84"/>
  <c r="AP700" i="84"/>
  <c r="AV700" i="84"/>
  <c r="AY700" i="84"/>
  <c r="AV100" i="84"/>
  <c r="AP100" i="84"/>
  <c r="AY100" i="84"/>
  <c r="AS100" i="84"/>
  <c r="BC100" i="84"/>
  <c r="AS246" i="84"/>
  <c r="AV246" i="84"/>
  <c r="BC246" i="84"/>
  <c r="AY246" i="84"/>
  <c r="AP246" i="84"/>
  <c r="AV123" i="84"/>
  <c r="AY123" i="84"/>
  <c r="AP123" i="84"/>
  <c r="AS123" i="84"/>
  <c r="BC123" i="84"/>
  <c r="AY324" i="84"/>
  <c r="BC324" i="84"/>
  <c r="AV324" i="84"/>
  <c r="AS324" i="84"/>
  <c r="AP324" i="84"/>
  <c r="BC961" i="84"/>
  <c r="AV961" i="84"/>
  <c r="AY961" i="84"/>
  <c r="AS961" i="84"/>
  <c r="AP961" i="84"/>
  <c r="AS547" i="84"/>
  <c r="AY547" i="84"/>
  <c r="BC547" i="84"/>
  <c r="AP547" i="84"/>
  <c r="AV547" i="84"/>
  <c r="AY920" i="84"/>
  <c r="AS920" i="84"/>
  <c r="AV920" i="84"/>
  <c r="BC920" i="84"/>
  <c r="AP920" i="84"/>
  <c r="AV406" i="84"/>
  <c r="BC406" i="84"/>
  <c r="AP406" i="84"/>
  <c r="AY406" i="84"/>
  <c r="AS406" i="84"/>
  <c r="BC498" i="84"/>
  <c r="AV498" i="84"/>
  <c r="AY498" i="84"/>
  <c r="AS498" i="84"/>
  <c r="AP498" i="84"/>
  <c r="AP403" i="84"/>
  <c r="BC403" i="84"/>
  <c r="AV403" i="84"/>
  <c r="AS403" i="84"/>
  <c r="AY403" i="84"/>
  <c r="AP287" i="84"/>
  <c r="AV287" i="84"/>
  <c r="BC287" i="84"/>
  <c r="AY287" i="84"/>
  <c r="AS287" i="84"/>
  <c r="AY215" i="84"/>
  <c r="BC215" i="84"/>
  <c r="AP215" i="84"/>
  <c r="AS215" i="84"/>
  <c r="AV215" i="84"/>
  <c r="AS464" i="84"/>
  <c r="AY464" i="84"/>
  <c r="AP464" i="84"/>
  <c r="BC464" i="84"/>
  <c r="AV464" i="84"/>
  <c r="AS691" i="84"/>
  <c r="BC691" i="84"/>
  <c r="AV691" i="84"/>
  <c r="AP691" i="84"/>
  <c r="AY691" i="84"/>
  <c r="BC927" i="84"/>
  <c r="AP927" i="84"/>
  <c r="AY927" i="84"/>
  <c r="AV927" i="84"/>
  <c r="AS927" i="84"/>
  <c r="BC254" i="84"/>
  <c r="AV254" i="84"/>
  <c r="AS254" i="84"/>
  <c r="AY254" i="84"/>
  <c r="AP254" i="84"/>
  <c r="AS495" i="84"/>
  <c r="BC495" i="84"/>
  <c r="AY495" i="84"/>
  <c r="AV495" i="84"/>
  <c r="AP495" i="84"/>
  <c r="AY286" i="84"/>
  <c r="AV286" i="84"/>
  <c r="AP286" i="84"/>
  <c r="BC286" i="84"/>
  <c r="AS286" i="84"/>
  <c r="AV597" i="84"/>
  <c r="AS597" i="84"/>
  <c r="AY597" i="84"/>
  <c r="BC597" i="84"/>
  <c r="AP597" i="84"/>
  <c r="AV579" i="84"/>
  <c r="AP579" i="84"/>
  <c r="AS579" i="84"/>
  <c r="BC579" i="84"/>
  <c r="AY579" i="84"/>
  <c r="AP161" i="84"/>
  <c r="BC161" i="84"/>
  <c r="AV161" i="84"/>
  <c r="AY161" i="84"/>
  <c r="AS161" i="84"/>
  <c r="BC891" i="84"/>
  <c r="AY891" i="84"/>
  <c r="AP891" i="84"/>
  <c r="AV891" i="84"/>
  <c r="AS891" i="84"/>
  <c r="AV373" i="84"/>
  <c r="AP373" i="84"/>
  <c r="AY373" i="84"/>
  <c r="AS373" i="84"/>
  <c r="BC373" i="84"/>
  <c r="BC734" i="84"/>
  <c r="AV734" i="84"/>
  <c r="AY734" i="84"/>
  <c r="AS734" i="84"/>
  <c r="AP734" i="84"/>
  <c r="AP427" i="84"/>
  <c r="AY427" i="84"/>
  <c r="BC427" i="84"/>
  <c r="AS427" i="84"/>
  <c r="AV427" i="84"/>
  <c r="AP150" i="84"/>
  <c r="AV150" i="84"/>
  <c r="BC150" i="84"/>
  <c r="AS150" i="84"/>
  <c r="AY150" i="84"/>
  <c r="AV241" i="84"/>
  <c r="AS241" i="84"/>
  <c r="AY241" i="84"/>
  <c r="AP241" i="84"/>
  <c r="BC241" i="84"/>
  <c r="AS880" i="84"/>
  <c r="BC880" i="84"/>
  <c r="AP880" i="84"/>
  <c r="AV880" i="84"/>
  <c r="AY880" i="84"/>
  <c r="AY54" i="84"/>
  <c r="BC54" i="84"/>
  <c r="AP54" i="84"/>
  <c r="AS54" i="84"/>
  <c r="AV54" i="84"/>
  <c r="AP514" i="84"/>
  <c r="AY514" i="84"/>
  <c r="AS514" i="84"/>
  <c r="AV514" i="84"/>
  <c r="AY344" i="84"/>
  <c r="AP344" i="84"/>
  <c r="AS344" i="84"/>
  <c r="AV344" i="84"/>
  <c r="AY659" i="84"/>
  <c r="AP659" i="84"/>
  <c r="AV659" i="84"/>
  <c r="BC659" i="84"/>
  <c r="AS659" i="84"/>
  <c r="AY189" i="84"/>
  <c r="BC189" i="84"/>
  <c r="AV189" i="84"/>
  <c r="AP189" i="84"/>
  <c r="AS189" i="84"/>
  <c r="AS422" i="84"/>
  <c r="AY422" i="84"/>
  <c r="BC422" i="84"/>
  <c r="AV422" i="84"/>
  <c r="AP422" i="84"/>
  <c r="AP618" i="84"/>
  <c r="AY618" i="84"/>
  <c r="BC618" i="84"/>
  <c r="AV618" i="84"/>
  <c r="AS618" i="84"/>
  <c r="BC83" i="84"/>
  <c r="AV83" i="84"/>
  <c r="AP83" i="84"/>
  <c r="AS83" i="84"/>
  <c r="AY83" i="84"/>
  <c r="AV231" i="84"/>
  <c r="AY231" i="84"/>
  <c r="BC231" i="84"/>
  <c r="AS231" i="84"/>
  <c r="AP231" i="84"/>
  <c r="AY933" i="84"/>
  <c r="AS933" i="84"/>
  <c r="BC933" i="84"/>
  <c r="AV933" i="84"/>
  <c r="AP933" i="84"/>
  <c r="AY291" i="84"/>
  <c r="AP291" i="84"/>
  <c r="BC291" i="84"/>
  <c r="AS291" i="84"/>
  <c r="AV291" i="84"/>
  <c r="AY67" i="84"/>
  <c r="AV67" i="84"/>
  <c r="AP67" i="84"/>
  <c r="BC67" i="84"/>
  <c r="AS67" i="84"/>
  <c r="BC361" i="84"/>
  <c r="AY361" i="84"/>
  <c r="AP361" i="84"/>
  <c r="AS361" i="84"/>
  <c r="AV361" i="84"/>
  <c r="AY132" i="84"/>
  <c r="BC132" i="84"/>
  <c r="AP132" i="84"/>
  <c r="AS132" i="84"/>
  <c r="AV132" i="84"/>
  <c r="AV804" i="84"/>
  <c r="BC804" i="84"/>
  <c r="AS804" i="84"/>
  <c r="AY804" i="84"/>
  <c r="AP804" i="84"/>
  <c r="AS319" i="84"/>
  <c r="BC319" i="84"/>
  <c r="AY319" i="84"/>
  <c r="AV319" i="84"/>
  <c r="AP319" i="84"/>
  <c r="AV317" i="84"/>
  <c r="AP317" i="84"/>
  <c r="AY317" i="84"/>
  <c r="AS317" i="84"/>
  <c r="BC317" i="84"/>
  <c r="AP940" i="84"/>
  <c r="AS940" i="84"/>
  <c r="AV940" i="84"/>
  <c r="BC940" i="84"/>
  <c r="AY940" i="84"/>
  <c r="BC106" i="84"/>
  <c r="AY106" i="84"/>
  <c r="AS106" i="84"/>
  <c r="AV106" i="84"/>
  <c r="AP106" i="84"/>
  <c r="BC39" i="84"/>
  <c r="AV39" i="84"/>
  <c r="AS39" i="84"/>
  <c r="AP39" i="84"/>
  <c r="AY39" i="84"/>
  <c r="AP328" i="84"/>
  <c r="BC328" i="84"/>
  <c r="AV328" i="84"/>
  <c r="AS328" i="84"/>
  <c r="AY328" i="84"/>
  <c r="BC561" i="84"/>
  <c r="AY561" i="84"/>
  <c r="AP561" i="84"/>
  <c r="AS561" i="84"/>
  <c r="AV561" i="84"/>
  <c r="AS78" i="84"/>
  <c r="AY78" i="84"/>
  <c r="AV78" i="84"/>
  <c r="AP78" i="84"/>
  <c r="BC78" i="84"/>
  <c r="AP820" i="84"/>
  <c r="BC820" i="84"/>
  <c r="AY820" i="84"/>
  <c r="AV820" i="84"/>
  <c r="AS820" i="84"/>
  <c r="AV237" i="84"/>
  <c r="AP237" i="84"/>
  <c r="AY237" i="84"/>
  <c r="AS237" i="84"/>
  <c r="BC237" i="84"/>
  <c r="AV942" i="84"/>
  <c r="AS942" i="84"/>
  <c r="AP942" i="84"/>
  <c r="AY942" i="84"/>
  <c r="BC942" i="84"/>
  <c r="BC435" i="84"/>
  <c r="AV435" i="84"/>
  <c r="AS435" i="84"/>
  <c r="AY435" i="84"/>
  <c r="AP435" i="84"/>
  <c r="AY515" i="84"/>
  <c r="AS515" i="84"/>
  <c r="AV515" i="84"/>
  <c r="AP515" i="84"/>
  <c r="BC515" i="84"/>
  <c r="AP899" i="84"/>
  <c r="BC899" i="84"/>
  <c r="AY899" i="84"/>
  <c r="AV899" i="84"/>
  <c r="AS899" i="84"/>
  <c r="AS663" i="84"/>
  <c r="AP663" i="84"/>
  <c r="AV663" i="84"/>
  <c r="AY663" i="84"/>
  <c r="BC663" i="84"/>
  <c r="AV417" i="84"/>
  <c r="AP417" i="84"/>
  <c r="AY417" i="84"/>
  <c r="AS417" i="84"/>
  <c r="AP47" i="84"/>
  <c r="AV47" i="84"/>
  <c r="AS47" i="84"/>
  <c r="AY47" i="84"/>
  <c r="BC47" i="84"/>
  <c r="BC240" i="84"/>
  <c r="AY240" i="84"/>
  <c r="AP240" i="84"/>
  <c r="AV240" i="84"/>
  <c r="AS240" i="84"/>
  <c r="AP634" i="84"/>
  <c r="AY634" i="84"/>
  <c r="BC634" i="84"/>
  <c r="AS634" i="84"/>
  <c r="AV634" i="84"/>
  <c r="BC917" i="84"/>
  <c r="AS917" i="84"/>
  <c r="AV917" i="84"/>
  <c r="AY917" i="84"/>
  <c r="AP917" i="84"/>
  <c r="AY882" i="84"/>
  <c r="AP882" i="84"/>
  <c r="AV882" i="84"/>
  <c r="AS882" i="84"/>
  <c r="BC882" i="84"/>
  <c r="AY122" i="84"/>
  <c r="BC122" i="84"/>
  <c r="AV122" i="84"/>
  <c r="AS122" i="84"/>
  <c r="AP122" i="84"/>
  <c r="AP288" i="84"/>
  <c r="AS288" i="84"/>
  <c r="AV288" i="84"/>
  <c r="AY288" i="84"/>
  <c r="BC288" i="84"/>
  <c r="AS116" i="84"/>
  <c r="AY116" i="84"/>
  <c r="BC116" i="84"/>
  <c r="AP116" i="84"/>
  <c r="AV116" i="84"/>
  <c r="BC778" i="84"/>
  <c r="AS778" i="84"/>
  <c r="AP778" i="84"/>
  <c r="AY778" i="84"/>
  <c r="AV778" i="84"/>
  <c r="AY456" i="84"/>
  <c r="AS456" i="84"/>
  <c r="AV456" i="84"/>
  <c r="AP456" i="84"/>
  <c r="BC456" i="84"/>
  <c r="AY339" i="84"/>
  <c r="AS339" i="84"/>
  <c r="BC339" i="84"/>
  <c r="AV339" i="84"/>
  <c r="AP339" i="84"/>
  <c r="AP964" i="84"/>
  <c r="AS964" i="84"/>
  <c r="BC964" i="84"/>
  <c r="AV964" i="84"/>
  <c r="AY964" i="84"/>
  <c r="AP61" i="84"/>
  <c r="AY61" i="84"/>
  <c r="BC61" i="84"/>
  <c r="AS61" i="84"/>
  <c r="AV61" i="84"/>
  <c r="AY44" i="84"/>
  <c r="AS44" i="84"/>
  <c r="AV44" i="84"/>
  <c r="BC44" i="84"/>
  <c r="AP44" i="84"/>
  <c r="AV564" i="84"/>
  <c r="AY564" i="84"/>
  <c r="AS564" i="84"/>
  <c r="AP564" i="84"/>
  <c r="BC564" i="84"/>
  <c r="AY449" i="84"/>
  <c r="BC449" i="84"/>
  <c r="AP449" i="84"/>
  <c r="AV449" i="84"/>
  <c r="AS449" i="84"/>
  <c r="AS311" i="84"/>
  <c r="AP311" i="84"/>
  <c r="AY311" i="84"/>
  <c r="BC311" i="84"/>
  <c r="AV311" i="84"/>
  <c r="AV814" i="84"/>
  <c r="BC814" i="84"/>
  <c r="AS814" i="84"/>
  <c r="AY814" i="84"/>
  <c r="AP814" i="84"/>
  <c r="AY157" i="84"/>
  <c r="AS157" i="84"/>
  <c r="AP157" i="84"/>
  <c r="BC157" i="84"/>
  <c r="AV157" i="84"/>
  <c r="AY853" i="84"/>
  <c r="BC853" i="84"/>
  <c r="AV853" i="84"/>
  <c r="AP853" i="84"/>
  <c r="AS853" i="84"/>
  <c r="AS201" i="84"/>
  <c r="AV201" i="84"/>
  <c r="AP201" i="84"/>
  <c r="AY201" i="84"/>
  <c r="AY59" i="84"/>
  <c r="BC59" i="84"/>
  <c r="AS59" i="84"/>
  <c r="AP59" i="84"/>
  <c r="AV59" i="84"/>
  <c r="AP543" i="84"/>
  <c r="AS543" i="84"/>
  <c r="AY543" i="84"/>
  <c r="BC543" i="84"/>
  <c r="AV543" i="84"/>
  <c r="AS808" i="84"/>
  <c r="AV808" i="84"/>
  <c r="AY808" i="84"/>
  <c r="BC808" i="84"/>
  <c r="AP808" i="84"/>
  <c r="AS821" i="84"/>
  <c r="BC821" i="84"/>
  <c r="AY821" i="84"/>
  <c r="AV821" i="84"/>
  <c r="AP821" i="84"/>
  <c r="AV173" i="84"/>
  <c r="AP173" i="84"/>
  <c r="AS173" i="84"/>
  <c r="BC173" i="84"/>
  <c r="AY173" i="84"/>
  <c r="AV219" i="84"/>
  <c r="AS219" i="84"/>
  <c r="AP219" i="84"/>
  <c r="AY219" i="84"/>
  <c r="BC219" i="84"/>
  <c r="AP898" i="84"/>
  <c r="AV898" i="84"/>
  <c r="BC898" i="84"/>
  <c r="AS898" i="84"/>
  <c r="AY898" i="84"/>
  <c r="AY875" i="84"/>
  <c r="AS875" i="84"/>
  <c r="AP875" i="84"/>
  <c r="AV875" i="84"/>
  <c r="BC875" i="84"/>
  <c r="AY32" i="84"/>
  <c r="AS32" i="84"/>
  <c r="AP32" i="84"/>
  <c r="AV32" i="84"/>
  <c r="BC32" i="84"/>
  <c r="AV389" i="84"/>
  <c r="AP389" i="84"/>
  <c r="BC389" i="84"/>
  <c r="AY389" i="84"/>
  <c r="AS389" i="84"/>
  <c r="AP825" i="84"/>
  <c r="BC825" i="84"/>
  <c r="AS825" i="84"/>
  <c r="AV825" i="84"/>
  <c r="AY825" i="84"/>
  <c r="BC232" i="84"/>
  <c r="AY232" i="84"/>
  <c r="AP232" i="84"/>
  <c r="AV232" i="84"/>
  <c r="AS232" i="84"/>
  <c r="AP77" i="84"/>
  <c r="AY77" i="84"/>
  <c r="BC77" i="84"/>
  <c r="AV77" i="84"/>
  <c r="AS77" i="84"/>
  <c r="BC73" i="84"/>
  <c r="AP73" i="84"/>
  <c r="AS73" i="84"/>
  <c r="AY73" i="84"/>
  <c r="AV73" i="84"/>
  <c r="AV141" i="84"/>
  <c r="AS141" i="84"/>
  <c r="BC141" i="84"/>
  <c r="AY141" i="84"/>
  <c r="AP141" i="84"/>
  <c r="AS943" i="84"/>
  <c r="AP943" i="84"/>
  <c r="BC943" i="84"/>
  <c r="AY943" i="84"/>
  <c r="AV943" i="84"/>
  <c r="AP306" i="84"/>
  <c r="AV306" i="84"/>
  <c r="AS306" i="84"/>
  <c r="AY306" i="84"/>
  <c r="BC306" i="84"/>
  <c r="AY378" i="84"/>
  <c r="AP378" i="84"/>
  <c r="BC378" i="84"/>
  <c r="AV378" i="84"/>
  <c r="AS378" i="84"/>
  <c r="AY641" i="84"/>
  <c r="AS641" i="84"/>
  <c r="BC641" i="84"/>
  <c r="AP641" i="84"/>
  <c r="AV641" i="84"/>
  <c r="AY228" i="84"/>
  <c r="AV228" i="84"/>
  <c r="BC228" i="84"/>
  <c r="AP228" i="84"/>
  <c r="AS228" i="84"/>
  <c r="AS135" i="84"/>
  <c r="BC135" i="84"/>
  <c r="AV135" i="84"/>
  <c r="AP135" i="84"/>
  <c r="AY135" i="84"/>
  <c r="BC764" i="84"/>
  <c r="AY764" i="84"/>
  <c r="AV764" i="84"/>
  <c r="AP764" i="84"/>
  <c r="AS764" i="84"/>
  <c r="AS45" i="84"/>
  <c r="AV45" i="84"/>
  <c r="AY45" i="84"/>
  <c r="AP45" i="84"/>
  <c r="BC45" i="84"/>
  <c r="AV888" i="84"/>
  <c r="AP888" i="84"/>
  <c r="BC888" i="84"/>
  <c r="AY888" i="84"/>
  <c r="AS888" i="84"/>
  <c r="AP121" i="84"/>
  <c r="AS121" i="84"/>
  <c r="AY121" i="84"/>
  <c r="BC121" i="84"/>
  <c r="AV121" i="84"/>
  <c r="AS696" i="84"/>
  <c r="AV696" i="84"/>
  <c r="AP696" i="84"/>
  <c r="BC696" i="84"/>
  <c r="AY696" i="84"/>
  <c r="AP115" i="84"/>
  <c r="AY115" i="84"/>
  <c r="AS115" i="84"/>
  <c r="AV115" i="84"/>
  <c r="BC115" i="84"/>
  <c r="BC401" i="84"/>
  <c r="AS401" i="84"/>
  <c r="AV401" i="84"/>
  <c r="AP401" i="84"/>
  <c r="AY401" i="84"/>
  <c r="BC294" i="84"/>
  <c r="AY294" i="84"/>
  <c r="AP294" i="84"/>
  <c r="AS294" i="84"/>
  <c r="AV294" i="84"/>
  <c r="AV921" i="84"/>
  <c r="BC921" i="84"/>
  <c r="AS921" i="84"/>
  <c r="AY921" i="84"/>
  <c r="AP921" i="84"/>
  <c r="AS862" i="84"/>
  <c r="AV862" i="84"/>
  <c r="AP862" i="84"/>
  <c r="AY862" i="84"/>
  <c r="BC862" i="84"/>
  <c r="AP335" i="84"/>
  <c r="AS335" i="84"/>
  <c r="BC335" i="84"/>
  <c r="AY335" i="84"/>
  <c r="AV335" i="84"/>
  <c r="BC652" i="84"/>
  <c r="AP652" i="84"/>
  <c r="AS652" i="84"/>
  <c r="AY652" i="84"/>
  <c r="AV652" i="84"/>
  <c r="AS459" i="84"/>
  <c r="AY459" i="84"/>
  <c r="AP459" i="84"/>
  <c r="BC459" i="84"/>
  <c r="AV459" i="84"/>
  <c r="AP49" i="84"/>
  <c r="AV49" i="84"/>
  <c r="AY49" i="84"/>
  <c r="AS49" i="84"/>
  <c r="BC49" i="84"/>
  <c r="BC714" i="84"/>
  <c r="AS714" i="84"/>
  <c r="AP714" i="84"/>
  <c r="AV714" i="84"/>
  <c r="AY714" i="84"/>
  <c r="AS76" i="84"/>
  <c r="AV76" i="84"/>
  <c r="AY76" i="84"/>
  <c r="AP76" i="84"/>
  <c r="BC76" i="84"/>
  <c r="AS374" i="84"/>
  <c r="AP374" i="84"/>
  <c r="AY374" i="84"/>
  <c r="BC374" i="84"/>
  <c r="AV374" i="84"/>
  <c r="AY664" i="84"/>
  <c r="AP664" i="84"/>
  <c r="AV664" i="84"/>
  <c r="BC664" i="84"/>
  <c r="AS664" i="84"/>
  <c r="AV442" i="84"/>
  <c r="AY442" i="84"/>
  <c r="AS442" i="84"/>
  <c r="AP442" i="84"/>
  <c r="BC442" i="84"/>
  <c r="AY661" i="84"/>
  <c r="BC661" i="84"/>
  <c r="AP661" i="84"/>
  <c r="AV661" i="84"/>
  <c r="AS661" i="84"/>
  <c r="BC172" i="84"/>
  <c r="AY172" i="84"/>
  <c r="AV172" i="84"/>
  <c r="AP172" i="84"/>
  <c r="AS172" i="84"/>
  <c r="AS308" i="84"/>
  <c r="AP308" i="84"/>
  <c r="AY308" i="84"/>
  <c r="BC308" i="84"/>
  <c r="AV308" i="84"/>
  <c r="BC606" i="84"/>
  <c r="AS606" i="84"/>
  <c r="AP606" i="84"/>
  <c r="AY606" i="84"/>
  <c r="AV606" i="84"/>
  <c r="AS259" i="84"/>
  <c r="BC259" i="84"/>
  <c r="AP259" i="84"/>
  <c r="AV259" i="84"/>
  <c r="AY259" i="84"/>
  <c r="AP510" i="84"/>
  <c r="AS510" i="84"/>
  <c r="AY510" i="84"/>
  <c r="BC510" i="84"/>
  <c r="AV510" i="84"/>
  <c r="AS703" i="84"/>
  <c r="AY703" i="84"/>
  <c r="AP703" i="84"/>
  <c r="BC703" i="84"/>
  <c r="AV703" i="84"/>
  <c r="AV51" i="84"/>
  <c r="AS51" i="84"/>
  <c r="AP51" i="84"/>
  <c r="AY51" i="84"/>
  <c r="BC51" i="84"/>
  <c r="AY745" i="84"/>
  <c r="AS745" i="84"/>
  <c r="BC745" i="84"/>
  <c r="AV745" i="84"/>
  <c r="AP745" i="84"/>
  <c r="AY789" i="84"/>
  <c r="BC789" i="84"/>
  <c r="AV789" i="84"/>
  <c r="AS789" i="84"/>
  <c r="AP789" i="84"/>
  <c r="AV393" i="84"/>
  <c r="AY393" i="84"/>
  <c r="BC393" i="84"/>
  <c r="AP393" i="84"/>
  <c r="AS393" i="84"/>
  <c r="AY770" i="84"/>
  <c r="AS770" i="84"/>
  <c r="BC770" i="84"/>
  <c r="AV770" i="84"/>
  <c r="AP770" i="84"/>
  <c r="AP735" i="84"/>
  <c r="AY735" i="84"/>
  <c r="AV735" i="84"/>
  <c r="AS735" i="84"/>
  <c r="BC735" i="84"/>
  <c r="AV466" i="84"/>
  <c r="AP466" i="84"/>
  <c r="AY466" i="84"/>
  <c r="BC466" i="84"/>
  <c r="AS466" i="84"/>
  <c r="AY568" i="84"/>
  <c r="AS568" i="84"/>
  <c r="BC568" i="84"/>
  <c r="AP568" i="84"/>
  <c r="AV568" i="84"/>
  <c r="AV812" i="84"/>
  <c r="AP812" i="84"/>
  <c r="AS812" i="84"/>
  <c r="AY812" i="84"/>
  <c r="BC812" i="84"/>
  <c r="AY290" i="84"/>
  <c r="AS290" i="84"/>
  <c r="AV290" i="84"/>
  <c r="AP290" i="84"/>
  <c r="BC290" i="84"/>
  <c r="BC549" i="84"/>
  <c r="AP549" i="84"/>
  <c r="AY549" i="84"/>
  <c r="AS549" i="84"/>
  <c r="AV549" i="84"/>
  <c r="AV578" i="84"/>
  <c r="AS578" i="84"/>
  <c r="BC578" i="84"/>
  <c r="AP578" i="84"/>
  <c r="AY578" i="84"/>
  <c r="AP560" i="84"/>
  <c r="AV560" i="84"/>
  <c r="AY560" i="84"/>
  <c r="AS560" i="84"/>
  <c r="BC560" i="84"/>
  <c r="AY198" i="84"/>
  <c r="BC198" i="84"/>
  <c r="AS198" i="84"/>
  <c r="AP198" i="84"/>
  <c r="AV198" i="84"/>
  <c r="AS451" i="84"/>
  <c r="BC451" i="84"/>
  <c r="AV451" i="84"/>
  <c r="AY451" i="84"/>
  <c r="AP451" i="84"/>
  <c r="AP576" i="84"/>
  <c r="BC576" i="84"/>
  <c r="AV576" i="84"/>
  <c r="AY576" i="84"/>
  <c r="AS576" i="84"/>
  <c r="AY72" i="84"/>
  <c r="AV72" i="84"/>
  <c r="BC72" i="84"/>
  <c r="AP72" i="84"/>
  <c r="AS72" i="84"/>
  <c r="BC570" i="84"/>
  <c r="AP570" i="84"/>
  <c r="AV570" i="84"/>
  <c r="AS570" i="84"/>
  <c r="AY570" i="84"/>
  <c r="AY437" i="84"/>
  <c r="AP437" i="84"/>
  <c r="BC437" i="84"/>
  <c r="AS437" i="84"/>
  <c r="AV437" i="84"/>
  <c r="AP845" i="84"/>
  <c r="BC845" i="84"/>
  <c r="AY845" i="84"/>
  <c r="AV845" i="84"/>
  <c r="AS845" i="84"/>
  <c r="AV357" i="84"/>
  <c r="AS357" i="84"/>
  <c r="AP357" i="84"/>
  <c r="BC357" i="84"/>
  <c r="AY357" i="84"/>
  <c r="BC192" i="84"/>
  <c r="AY192" i="84"/>
  <c r="AV192" i="84"/>
  <c r="AS192" i="84"/>
  <c r="AP192" i="84"/>
  <c r="AV271" i="84"/>
  <c r="AP271" i="84"/>
  <c r="AS271" i="84"/>
  <c r="AY271" i="84"/>
  <c r="BC271" i="84"/>
  <c r="AS611" i="84"/>
  <c r="AP611" i="84"/>
  <c r="AV611" i="84"/>
  <c r="AY611" i="84"/>
  <c r="BC611" i="84"/>
  <c r="BC497" i="84"/>
  <c r="AV497" i="84"/>
  <c r="AS497" i="84"/>
  <c r="AY497" i="84"/>
  <c r="AP497" i="84"/>
  <c r="AY962" i="84"/>
  <c r="AV962" i="84"/>
  <c r="BC962" i="84"/>
  <c r="AP962" i="84"/>
  <c r="AS962" i="84"/>
  <c r="AS727" i="84"/>
  <c r="AP727" i="84"/>
  <c r="AY727" i="84"/>
  <c r="BC727" i="84"/>
  <c r="AV727" i="84"/>
  <c r="AV41" i="84"/>
  <c r="AY41" i="84"/>
  <c r="AS41" i="84"/>
  <c r="AP41" i="84"/>
  <c r="BC41" i="84"/>
  <c r="AS678" i="84"/>
  <c r="BC678" i="84"/>
  <c r="AV678" i="84"/>
  <c r="AY678" i="84"/>
  <c r="AP678" i="84"/>
  <c r="AP98" i="84"/>
  <c r="BC98" i="84"/>
  <c r="AY98" i="84"/>
  <c r="AS98" i="84"/>
  <c r="AV98" i="84"/>
  <c r="AV397" i="84"/>
  <c r="AS397" i="84"/>
  <c r="BC397" i="84"/>
  <c r="AY397" i="84"/>
  <c r="AP397" i="84"/>
  <c r="BC826" i="84"/>
  <c r="AV826" i="84"/>
  <c r="AP826" i="84"/>
  <c r="AY826" i="84"/>
  <c r="AS826" i="84"/>
  <c r="BC70" i="84"/>
  <c r="AP70" i="84"/>
  <c r="AY70" i="84"/>
  <c r="AV70" i="84"/>
  <c r="AS70" i="84"/>
  <c r="AP944" i="84"/>
  <c r="AS944" i="84"/>
  <c r="BC944" i="84"/>
  <c r="AV944" i="84"/>
  <c r="AY944" i="84"/>
  <c r="BC874" i="84"/>
  <c r="AV874" i="84"/>
  <c r="AP874" i="84"/>
  <c r="AS874" i="84"/>
  <c r="AY874" i="84"/>
  <c r="AS263" i="84"/>
  <c r="AV263" i="84"/>
  <c r="AP263" i="84"/>
  <c r="AY263" i="84"/>
  <c r="BC263" i="84"/>
  <c r="BC197" i="84"/>
  <c r="AV197" i="84"/>
  <c r="AS197" i="84"/>
  <c r="AY197" i="84"/>
  <c r="AP197" i="84"/>
  <c r="AY742" i="84"/>
  <c r="AP742" i="84"/>
  <c r="AV742" i="84"/>
  <c r="BC742" i="84"/>
  <c r="AS742" i="84"/>
  <c r="AY919" i="84"/>
  <c r="AP919" i="84"/>
  <c r="BC919" i="84"/>
  <c r="AV919" i="84"/>
  <c r="AS919" i="84"/>
  <c r="AP716" i="84"/>
  <c r="AV716" i="84"/>
  <c r="AS716" i="84"/>
  <c r="AY716" i="84"/>
  <c r="BC716" i="84"/>
  <c r="AY954" i="84"/>
  <c r="AV954" i="84"/>
  <c r="AP954" i="84"/>
  <c r="BC954" i="84"/>
  <c r="AS954" i="84"/>
  <c r="BC249" i="84"/>
  <c r="AS249" i="84"/>
  <c r="AV249" i="84"/>
  <c r="AY249" i="84"/>
  <c r="AP249" i="84"/>
  <c r="AY926" i="84"/>
  <c r="AS926" i="84"/>
  <c r="AP926" i="84"/>
  <c r="BC926" i="84"/>
  <c r="AV926" i="84"/>
  <c r="AY965" i="84"/>
  <c r="BC965" i="84"/>
  <c r="AS965" i="84"/>
  <c r="AV965" i="84"/>
  <c r="AP965" i="84"/>
  <c r="AP136" i="84"/>
  <c r="BC136" i="84"/>
  <c r="AV136" i="84"/>
  <c r="AY136" i="84"/>
  <c r="AS136" i="84"/>
  <c r="AY646" i="84"/>
  <c r="AS646" i="84"/>
  <c r="AP646" i="84"/>
  <c r="BC646" i="84"/>
  <c r="AV646" i="84"/>
  <c r="AP840" i="84"/>
  <c r="AY840" i="84"/>
  <c r="AV840" i="84"/>
  <c r="BC840" i="84"/>
  <c r="AS840" i="84"/>
  <c r="AV310" i="84"/>
  <c r="BC310" i="84"/>
  <c r="AY310" i="84"/>
  <c r="AP310" i="84"/>
  <c r="AS310" i="84"/>
  <c r="BC331" i="84"/>
  <c r="AS331" i="84"/>
  <c r="AP331" i="84"/>
  <c r="AV331" i="84"/>
  <c r="AY331" i="84"/>
  <c r="AP462" i="84"/>
  <c r="AY462" i="84"/>
  <c r="AV462" i="84"/>
  <c r="BC462" i="84"/>
  <c r="AS462" i="84"/>
  <c r="BC10" i="84"/>
  <c r="AP10" i="84"/>
  <c r="AY10" i="84"/>
  <c r="AS10" i="84"/>
  <c r="AV10" i="84"/>
  <c r="AS753" i="84"/>
  <c r="AP753" i="84"/>
  <c r="AV753" i="84"/>
  <c r="AY753" i="84"/>
  <c r="BC753" i="84"/>
  <c r="BC822" i="84"/>
  <c r="AP822" i="84"/>
  <c r="AY822" i="84"/>
  <c r="AS822" i="84"/>
  <c r="AV822" i="84"/>
  <c r="AP889" i="84"/>
  <c r="AS889" i="84"/>
  <c r="BC889" i="84"/>
  <c r="AY889" i="84"/>
  <c r="AV889" i="84"/>
  <c r="D57" i="86"/>
  <c r="A58" i="86"/>
  <c r="D58" i="86"/>
  <c r="A57" i="86"/>
  <c r="A59" i="86"/>
  <c r="D59" i="86"/>
  <c r="AY7" i="84"/>
  <c r="AV7" i="84"/>
  <c r="AP7" i="84"/>
  <c r="AS7" i="84"/>
  <c r="BC7" i="84"/>
  <c r="AS281" i="84"/>
  <c r="BC281" i="84"/>
  <c r="AY281" i="84"/>
  <c r="AV281" i="84"/>
  <c r="AP281" i="84"/>
  <c r="AY326" i="84"/>
  <c r="AS326" i="84"/>
  <c r="AV326" i="84"/>
  <c r="AP326" i="84"/>
  <c r="BC472" i="84"/>
  <c r="AV472" i="84"/>
  <c r="AY472" i="84"/>
  <c r="AS472" i="84"/>
  <c r="AP472" i="84"/>
  <c r="AP297" i="84"/>
  <c r="AY297" i="84"/>
  <c r="AS297" i="84"/>
  <c r="AV297" i="84"/>
  <c r="BC591" i="84"/>
  <c r="AS591" i="84"/>
  <c r="AV591" i="84"/>
  <c r="AP591" i="84"/>
  <c r="AY591" i="84"/>
  <c r="BC214" i="84"/>
  <c r="AV214" i="84"/>
  <c r="AP214" i="84"/>
  <c r="AS214" i="84"/>
  <c r="AY214" i="84"/>
  <c r="AV747" i="84"/>
  <c r="BC747" i="84"/>
  <c r="AP747" i="84"/>
  <c r="AS747" i="84"/>
  <c r="AY747" i="84"/>
  <c r="AV48" i="84"/>
  <c r="AP48" i="84"/>
  <c r="BC48" i="84"/>
  <c r="AY48" i="84"/>
  <c r="AS48" i="84"/>
  <c r="AS300" i="84"/>
  <c r="AY300" i="84"/>
  <c r="AP300" i="84"/>
  <c r="BC300" i="84"/>
  <c r="AV300" i="84"/>
  <c r="AY782" i="84"/>
  <c r="AP782" i="84"/>
  <c r="AS782" i="84"/>
  <c r="BC782" i="84"/>
  <c r="AV782" i="84"/>
  <c r="AV302" i="84"/>
  <c r="AS302" i="84"/>
  <c r="BC302" i="84"/>
  <c r="AP302" i="84"/>
  <c r="AY302" i="84"/>
  <c r="AY186" i="84"/>
  <c r="BC186" i="84"/>
  <c r="AV186" i="84"/>
  <c r="AS186" i="84"/>
  <c r="AP186" i="84"/>
  <c r="BC644" i="84"/>
  <c r="AP644" i="84"/>
  <c r="AY644" i="84"/>
  <c r="AS644" i="84"/>
  <c r="AV644" i="84"/>
  <c r="AY850" i="84"/>
  <c r="AP850" i="84"/>
  <c r="BC850" i="84"/>
  <c r="AV850" i="84"/>
  <c r="AS850" i="84"/>
  <c r="AY217" i="84"/>
  <c r="BC217" i="84"/>
  <c r="AV217" i="84"/>
  <c r="AP217" i="84"/>
  <c r="AS217" i="84"/>
  <c r="AS22" i="84"/>
  <c r="AV22" i="84"/>
  <c r="AY22" i="84"/>
  <c r="BC22" i="84"/>
  <c r="AP22" i="84"/>
  <c r="AV457" i="84"/>
  <c r="AP457" i="84"/>
  <c r="BC457" i="84"/>
  <c r="AS457" i="84"/>
  <c r="AY457" i="84"/>
  <c r="AV532" i="84"/>
  <c r="AP532" i="84"/>
  <c r="BC532" i="84"/>
  <c r="AY532" i="84"/>
  <c r="AS532" i="84"/>
  <c r="AP502" i="84"/>
  <c r="AY502" i="84"/>
  <c r="AV502" i="84"/>
  <c r="AS502" i="84"/>
  <c r="BC502" i="84"/>
  <c r="BC674" i="84"/>
  <c r="AS674" i="84"/>
  <c r="AV674" i="84"/>
  <c r="AP674" i="84"/>
  <c r="AY674" i="84"/>
  <c r="AP108" i="84"/>
  <c r="AS108" i="84"/>
  <c r="AY108" i="84"/>
  <c r="AV108" i="84"/>
  <c r="BC108" i="84"/>
  <c r="AY43" i="84"/>
  <c r="AS43" i="84"/>
  <c r="AP43" i="84"/>
  <c r="BC43" i="84"/>
  <c r="AV43" i="84"/>
  <c r="AV105" i="84"/>
  <c r="BC105" i="84"/>
  <c r="AS105" i="84"/>
  <c r="AY105" i="84"/>
  <c r="AP105" i="84"/>
  <c r="AP725" i="84"/>
  <c r="BC725" i="84"/>
  <c r="AY725" i="84"/>
  <c r="AS725" i="84"/>
  <c r="AV725" i="84"/>
  <c r="BC938" i="84"/>
  <c r="AP938" i="84"/>
  <c r="AS938" i="84"/>
  <c r="AY938" i="84"/>
  <c r="AV938" i="84"/>
  <c r="BC485" i="84"/>
  <c r="AV485" i="84"/>
  <c r="AY485" i="84"/>
  <c r="AS485" i="84"/>
  <c r="AP485" i="84"/>
  <c r="BC409" i="84"/>
  <c r="AV409" i="84"/>
  <c r="AS409" i="84"/>
  <c r="AY409" i="84"/>
  <c r="AP409" i="84"/>
  <c r="AP364" i="84"/>
  <c r="BC364" i="84"/>
  <c r="AS364" i="84"/>
  <c r="AV364" i="84"/>
  <c r="AY364" i="84"/>
  <c r="AY488" i="84"/>
  <c r="AS488" i="84"/>
  <c r="AP488" i="84"/>
  <c r="AV488" i="84"/>
  <c r="BC488" i="84"/>
  <c r="BC492" i="84"/>
  <c r="AY492" i="84"/>
  <c r="AV492" i="84"/>
  <c r="AS492" i="84"/>
  <c r="AP492" i="84"/>
  <c r="AV552" i="84"/>
  <c r="AP552" i="84"/>
  <c r="BC552" i="84"/>
  <c r="AS552" i="84"/>
  <c r="AY552" i="84"/>
  <c r="AS870" i="84"/>
  <c r="AP870" i="84"/>
  <c r="AV870" i="84"/>
  <c r="AY870" i="84"/>
  <c r="BC870" i="84"/>
  <c r="AP95" i="84"/>
  <c r="AY95" i="84"/>
  <c r="AS95" i="84"/>
  <c r="BC95" i="84"/>
  <c r="AV95" i="84"/>
  <c r="AV636" i="84"/>
  <c r="AY636" i="84"/>
  <c r="AP636" i="84"/>
  <c r="BC636" i="84"/>
  <c r="AS636" i="84"/>
  <c r="AV792" i="84"/>
  <c r="BC792" i="84"/>
  <c r="AY792" i="84"/>
  <c r="AP792" i="84"/>
  <c r="AS792" i="84"/>
  <c r="BC264" i="84"/>
  <c r="AY264" i="84"/>
  <c r="AV264" i="84"/>
  <c r="AS264" i="84"/>
  <c r="AP264" i="84"/>
  <c r="BC773" i="84"/>
  <c r="AS773" i="84"/>
  <c r="AP773" i="84"/>
  <c r="AY773" i="84"/>
  <c r="AV773" i="84"/>
  <c r="AQ416" i="84" l="1"/>
  <c r="AZ416" i="84"/>
  <c r="AQ264" i="84"/>
  <c r="BD792" i="84"/>
  <c r="BD95" i="84"/>
  <c r="AW492" i="84"/>
  <c r="AZ364" i="84"/>
  <c r="AW409" i="84"/>
  <c r="AT442" i="84"/>
  <c r="BD416" i="84"/>
  <c r="AT416" i="84"/>
  <c r="AW374" i="84"/>
  <c r="AW76" i="84"/>
  <c r="AT49" i="84"/>
  <c r="AT459" i="84"/>
  <c r="BD335" i="84"/>
  <c r="AQ921" i="84"/>
  <c r="AZ294" i="84"/>
  <c r="AW115" i="84"/>
  <c r="AT696" i="84"/>
  <c r="BD888" i="84"/>
  <c r="AT764" i="84"/>
  <c r="BD135" i="84"/>
  <c r="AQ641" i="84"/>
  <c r="AZ378" i="84"/>
  <c r="BD943" i="84"/>
  <c r="AW141" i="84"/>
  <c r="BD77" i="84"/>
  <c r="AZ825" i="84"/>
  <c r="AQ389" i="84"/>
  <c r="AW875" i="84"/>
  <c r="AQ898" i="84"/>
  <c r="AT173" i="84"/>
  <c r="AQ808" i="84"/>
  <c r="AT543" i="84"/>
  <c r="AQ201" i="84"/>
  <c r="AW157" i="84"/>
  <c r="BD814" i="84"/>
  <c r="AW449" i="84"/>
  <c r="AW564" i="84"/>
  <c r="BD61" i="84"/>
  <c r="AQ339" i="84"/>
  <c r="AT456" i="84"/>
  <c r="AQ116" i="84"/>
  <c r="AQ288" i="84"/>
  <c r="AW882" i="84"/>
  <c r="AW634" i="84"/>
  <c r="AZ240" i="84"/>
  <c r="AZ417" i="84"/>
  <c r="AT899" i="84"/>
  <c r="AT515" i="84"/>
  <c r="AZ942" i="84"/>
  <c r="AW237" i="84"/>
  <c r="AW78" i="84"/>
  <c r="AZ328" i="84"/>
  <c r="AW39" i="84"/>
  <c r="BD940" i="84"/>
  <c r="AW317" i="84"/>
  <c r="AT804" i="84"/>
  <c r="AW361" i="84"/>
  <c r="AW67" i="84"/>
  <c r="AW933" i="84"/>
  <c r="AW231" i="84"/>
  <c r="BD618" i="84"/>
  <c r="AT189" i="84"/>
  <c r="AQ659" i="84"/>
  <c r="AZ514" i="84"/>
  <c r="AW880" i="84"/>
  <c r="AW241" i="84"/>
  <c r="BD427" i="84"/>
  <c r="BD373" i="84"/>
  <c r="AZ891" i="84"/>
  <c r="BD579" i="84"/>
  <c r="AW597" i="84"/>
  <c r="AZ495" i="84"/>
  <c r="AT927" i="84"/>
  <c r="BD691" i="84"/>
  <c r="AT215" i="84"/>
  <c r="AQ287" i="84"/>
  <c r="AZ498" i="84"/>
  <c r="AQ920" i="84"/>
  <c r="AZ547" i="84"/>
  <c r="AT324" i="84"/>
  <c r="AW123" i="84"/>
  <c r="AZ100" i="84"/>
  <c r="AT113" i="84"/>
  <c r="AQ65" i="84"/>
  <c r="AT755" i="84"/>
  <c r="AT46" i="84"/>
  <c r="AT251" i="84"/>
  <c r="BD337" i="84"/>
  <c r="AQ493" i="84"/>
  <c r="AQ713" i="84"/>
  <c r="BD30" i="84"/>
  <c r="AQ719" i="84"/>
  <c r="AT153" i="84"/>
  <c r="AT66" i="84"/>
  <c r="AT777" i="84"/>
  <c r="AZ503" i="84"/>
  <c r="AT589" i="84"/>
  <c r="BD535" i="84"/>
  <c r="AZ715" i="84"/>
  <c r="AZ248" i="84"/>
  <c r="BD744" i="84"/>
  <c r="AQ182" i="84"/>
  <c r="AT265" i="84"/>
  <c r="AZ133" i="84"/>
  <c r="AT484" i="84"/>
  <c r="AZ482" i="84"/>
  <c r="BD185" i="84"/>
  <c r="AQ726" i="84"/>
  <c r="AT405" i="84"/>
  <c r="AT166" i="84"/>
  <c r="AZ279" i="84"/>
  <c r="AW625" i="84"/>
  <c r="AT31" i="84"/>
  <c r="AZ639" i="84"/>
  <c r="AW18" i="84"/>
  <c r="BD460" i="84"/>
  <c r="BD303" i="84"/>
  <c r="AT842" i="84"/>
  <c r="AW530" i="84"/>
  <c r="BD860" i="84"/>
  <c r="AZ467" i="84"/>
  <c r="AQ507" i="84"/>
  <c r="AZ149" i="84"/>
  <c r="AZ604" i="84"/>
  <c r="BD959" i="84"/>
  <c r="BD408" i="84"/>
  <c r="AT21" i="84"/>
  <c r="AZ245" i="84"/>
  <c r="AT550" i="84"/>
  <c r="AT931" i="84"/>
  <c r="AQ668" i="84"/>
  <c r="AW909" i="84"/>
  <c r="BD477" i="84"/>
  <c r="AQ712" i="84"/>
  <c r="BD152" i="84"/>
  <c r="AT800" i="84"/>
  <c r="AZ204" i="84"/>
  <c r="AZ886" i="84"/>
  <c r="AW487" i="84"/>
  <c r="BD554" i="84"/>
  <c r="AW732" i="84"/>
  <c r="AW35" i="84"/>
  <c r="AW165" i="84"/>
  <c r="BD212" i="84"/>
  <c r="AT112" i="84"/>
  <c r="AT548" i="84"/>
  <c r="AW177" i="84"/>
  <c r="BD828" i="84"/>
  <c r="AZ795" i="84"/>
  <c r="BD670" i="84"/>
  <c r="AW500" i="84"/>
  <c r="AT452" i="84"/>
  <c r="AW277" i="84"/>
  <c r="AZ929" i="84"/>
  <c r="BD666" i="84"/>
  <c r="AT673" i="84"/>
  <c r="AW948" i="84"/>
  <c r="AT388" i="84"/>
  <c r="AT491" i="84"/>
  <c r="BD626" i="84"/>
  <c r="AT956" i="84"/>
  <c r="AZ791" i="84"/>
  <c r="AZ235" i="84"/>
  <c r="AW342" i="84"/>
  <c r="AT52" i="84"/>
  <c r="BD556" i="84"/>
  <c r="AT318" i="84"/>
  <c r="AZ559" i="84"/>
  <c r="AQ402" i="84"/>
  <c r="AZ387" i="84"/>
  <c r="AQ677" i="84"/>
  <c r="AW897" i="84"/>
  <c r="AQ660" i="84"/>
  <c r="AZ858" i="84"/>
  <c r="BD92" i="84"/>
  <c r="AT905" i="84"/>
  <c r="AZ957" i="84"/>
  <c r="AZ269" i="84"/>
  <c r="BD23" i="84"/>
  <c r="AT895" i="84"/>
  <c r="AZ360" i="84"/>
  <c r="AW624" i="84"/>
  <c r="AZ844" i="84"/>
  <c r="AQ645" i="84"/>
  <c r="AZ486" i="84"/>
  <c r="AZ864" i="84"/>
  <c r="AQ253" i="84"/>
  <c r="AQ774" i="84"/>
  <c r="AW739" i="84"/>
  <c r="AQ520" i="84"/>
  <c r="AW413" i="84"/>
  <c r="BD772" i="84"/>
  <c r="BD594" i="84"/>
  <c r="BD323" i="84"/>
  <c r="AW56" i="84"/>
  <c r="AQ767" i="84"/>
  <c r="AW444" i="84"/>
  <c r="AZ325" i="84"/>
  <c r="AQ900" i="84"/>
  <c r="BD684" i="84"/>
  <c r="AQ809" i="84"/>
  <c r="AW519" i="84"/>
  <c r="AZ117" i="84"/>
  <c r="BD571" i="84"/>
  <c r="AW806" i="84"/>
  <c r="BD301" i="84"/>
  <c r="AZ642" i="84"/>
  <c r="AZ226" i="84"/>
  <c r="AT761" i="84"/>
  <c r="BD275" i="84"/>
  <c r="AW689" i="84"/>
  <c r="AW396" i="84"/>
  <c r="AW575" i="84"/>
  <c r="AQ768" i="84"/>
  <c r="AW708" i="84"/>
  <c r="AZ206" i="84"/>
  <c r="AW765" i="84"/>
  <c r="AW29" i="84"/>
  <c r="BD352" i="84"/>
  <c r="AW392" i="84"/>
  <c r="AW682" i="84"/>
  <c r="AZ426" i="84"/>
  <c r="AQ529" i="84"/>
  <c r="AQ859" i="84"/>
  <c r="AW869" i="84"/>
  <c r="AQ681" i="84"/>
  <c r="AZ650" i="84"/>
  <c r="BD569" i="84"/>
  <c r="AZ415" i="84"/>
  <c r="BD260" i="84"/>
  <c r="BD595" i="84"/>
  <c r="AQ171" i="84"/>
  <c r="AT829" i="84"/>
  <c r="BD748" i="84"/>
  <c r="BD399" i="84"/>
  <c r="AQ463" i="84"/>
  <c r="AQ230" i="84"/>
  <c r="BD64" i="84"/>
  <c r="BD817" i="84"/>
  <c r="BD950" i="84"/>
  <c r="AZ946" i="84"/>
  <c r="AQ270" i="84"/>
  <c r="AZ628" i="84"/>
  <c r="BD876" i="84"/>
  <c r="AZ949" i="84"/>
  <c r="AW261" i="84"/>
  <c r="AQ585" i="84"/>
  <c r="BD347" i="84"/>
  <c r="AZ675" i="84"/>
  <c r="AZ706" i="84"/>
  <c r="AQ24" i="84"/>
  <c r="AQ353" i="84"/>
  <c r="BD667" i="84"/>
  <c r="AW470" i="84"/>
  <c r="AT81" i="84"/>
  <c r="AT794" i="84"/>
  <c r="BD199" i="84"/>
  <c r="AT91" i="84"/>
  <c r="BD685" i="84"/>
  <c r="BD307" i="84"/>
  <c r="AW722" i="84"/>
  <c r="BD432" i="84"/>
  <c r="BD124" i="84"/>
  <c r="AT120" i="84"/>
  <c r="AQ320" i="84"/>
  <c r="AT893" i="84"/>
  <c r="AZ752" i="84"/>
  <c r="AQ657" i="84"/>
  <c r="AT890" i="84"/>
  <c r="AQ229" i="84"/>
  <c r="AZ40" i="84"/>
  <c r="AQ8" i="84"/>
  <c r="AW170" i="84"/>
  <c r="AZ383" i="84"/>
  <c r="BD896" i="84"/>
  <c r="BD759" i="84"/>
  <c r="AQ857" i="84"/>
  <c r="BD358" i="84"/>
  <c r="AZ479" i="84"/>
  <c r="AW68" i="84"/>
  <c r="BD671" i="84"/>
  <c r="AQ590" i="84"/>
  <c r="AW16" i="84"/>
  <c r="AT866" i="84"/>
  <c r="AW892" i="84"/>
  <c r="AQ924" i="84"/>
  <c r="BD483" i="84"/>
  <c r="AT85" i="84"/>
  <c r="AT779" i="84"/>
  <c r="BD544" i="84"/>
  <c r="AZ205" i="84"/>
  <c r="AZ379" i="84"/>
  <c r="AW627" i="84"/>
  <c r="AT143" i="84"/>
  <c r="AZ704" i="84"/>
  <c r="AW509" i="84"/>
  <c r="AZ563" i="84"/>
  <c r="AT904" i="84"/>
  <c r="AQ538" i="84"/>
  <c r="AZ799" i="84"/>
  <c r="AT839" i="84"/>
  <c r="AQ296" i="84"/>
  <c r="AZ455" i="84"/>
  <c r="AW119" i="84"/>
  <c r="AT370" i="84"/>
  <c r="AQ679" i="84"/>
  <c r="AZ879" i="84"/>
  <c r="AW769" i="84"/>
  <c r="AQ330" i="84"/>
  <c r="AT9" i="84"/>
  <c r="AQ329" i="84"/>
  <c r="AZ686" i="84"/>
  <c r="AT53" i="84"/>
  <c r="BD168" i="84"/>
  <c r="BD680" i="84"/>
  <c r="AZ425" i="84"/>
  <c r="AQ553" i="84"/>
  <c r="AT450" i="84"/>
  <c r="BD937" i="84"/>
  <c r="AT82" i="84"/>
  <c r="AT304" i="84"/>
  <c r="AZ327" i="84"/>
  <c r="AQ102" i="84"/>
  <c r="AQ148" i="84"/>
  <c r="AW797" i="84"/>
  <c r="BD612" i="84"/>
  <c r="AW97" i="84"/>
  <c r="AT15" i="84"/>
  <c r="AZ672" i="84"/>
  <c r="BD534" i="84"/>
  <c r="AQ438" i="84"/>
  <c r="AQ877" i="84"/>
  <c r="AT621" i="84"/>
  <c r="BD179" i="84"/>
  <c r="AT609" i="84"/>
  <c r="AT180" i="84"/>
  <c r="AQ637" i="84"/>
  <c r="AT289" i="84"/>
  <c r="AQ181" i="84"/>
  <c r="AZ96" i="84"/>
  <c r="BD400" i="84"/>
  <c r="AQ531" i="84"/>
  <c r="AW574" i="84"/>
  <c r="AT142" i="84"/>
  <c r="BD345" i="84"/>
  <c r="BD615" i="84"/>
  <c r="AW20" i="84"/>
  <c r="AZ481" i="84"/>
  <c r="AT656" i="84"/>
  <c r="AW881" i="84"/>
  <c r="AZ545" i="84"/>
  <c r="AT638" i="84"/>
  <c r="AQ776" i="84"/>
  <c r="BD555" i="84"/>
  <c r="AT766" i="84"/>
  <c r="AQ951" i="84"/>
  <c r="AW322" i="84"/>
  <c r="AZ798" i="84"/>
  <c r="AQ781" i="84"/>
  <c r="AW200" i="84"/>
  <c r="BD906" i="84"/>
  <c r="AZ355" i="84"/>
  <c r="AT653" i="84"/>
  <c r="AZ489" i="84"/>
  <c r="AT380" i="84"/>
  <c r="AZ963" i="84"/>
  <c r="BD841" i="84"/>
  <c r="AQ28" i="84"/>
  <c r="AT758" i="84"/>
  <c r="BD815" i="84"/>
  <c r="AQ126" i="84"/>
  <c r="AW428" i="84"/>
  <c r="AT566" i="84"/>
  <c r="BD775" i="84"/>
  <c r="AW103" i="84"/>
  <c r="AQ453" i="84"/>
  <c r="AZ577" i="84"/>
  <c r="BD763" i="84"/>
  <c r="AZ607" i="84"/>
  <c r="BD375" i="84"/>
  <c r="AT363" i="84"/>
  <c r="AT341" i="84"/>
  <c r="AZ613" i="84"/>
  <c r="AZ801" i="84"/>
  <c r="AT939" i="84"/>
  <c r="AZ478" i="84"/>
  <c r="AT34" i="84"/>
  <c r="AQ448" i="84"/>
  <c r="AQ79" i="84"/>
  <c r="BD284" i="84"/>
  <c r="AQ440" i="84"/>
  <c r="BD377" i="84"/>
  <c r="AW75" i="84"/>
  <c r="AZ210" i="84"/>
  <c r="AT194" i="84"/>
  <c r="AZ384" i="84"/>
  <c r="AQ362" i="84"/>
  <c r="AQ536" i="84"/>
  <c r="BD93" i="84"/>
  <c r="AZ622" i="84"/>
  <c r="AW268" i="84"/>
  <c r="AT580" i="84"/>
  <c r="AZ369" i="84"/>
  <c r="AT57" i="84"/>
  <c r="AT12" i="84"/>
  <c r="AW446" i="84"/>
  <c r="BD295" i="84"/>
  <c r="BD183" i="84"/>
  <c r="AW37" i="84"/>
  <c r="AQ676" i="84"/>
  <c r="AZ346" i="84"/>
  <c r="AQ151" i="84"/>
  <c r="AW309" i="84"/>
  <c r="BD385" i="84"/>
  <c r="AT813" i="84"/>
  <c r="BD162" i="84"/>
  <c r="AT565" i="84"/>
  <c r="AW191" i="84"/>
  <c r="AQ225" i="84"/>
  <c r="AQ58" i="84"/>
  <c r="AT414" i="84"/>
  <c r="AT629" i="84"/>
  <c r="AQ887" i="84"/>
  <c r="AT247" i="84"/>
  <c r="AT365" i="84"/>
  <c r="AZ846" i="84"/>
  <c r="AT332" i="84"/>
  <c r="BD461" i="84"/>
  <c r="AT516" i="84"/>
  <c r="BD468" i="84"/>
  <c r="AQ586" i="84"/>
  <c r="AW830" i="84"/>
  <c r="AZ419" i="84"/>
  <c r="AW109" i="84"/>
  <c r="AW398" i="84"/>
  <c r="AZ617" i="84"/>
  <c r="AT394" i="84"/>
  <c r="AW945" i="84"/>
  <c r="BD350" i="84"/>
  <c r="AZ834" i="84"/>
  <c r="AT941" i="84"/>
  <c r="AW542" i="84"/>
  <c r="BD267" i="84"/>
  <c r="AT176" i="84"/>
  <c r="AT354" i="84"/>
  <c r="BD540" i="84"/>
  <c r="BD421" i="84"/>
  <c r="AT697" i="84"/>
  <c r="BD737" i="84"/>
  <c r="BD558" i="84"/>
  <c r="AT910" i="84"/>
  <c r="AQ88" i="84"/>
  <c r="AZ523" i="84"/>
  <c r="AT127" i="84"/>
  <c r="AW925" i="84"/>
  <c r="AZ521" i="84"/>
  <c r="AW771" i="84"/>
  <c r="AQ298" i="84"/>
  <c r="BD465" i="84"/>
  <c r="BD430" i="84"/>
  <c r="AW802" i="84"/>
  <c r="AT786" i="84"/>
  <c r="AW196" i="84"/>
  <c r="AQ750" i="84"/>
  <c r="AW13" i="84"/>
  <c r="AW541" i="84"/>
  <c r="AZ823" i="84"/>
  <c r="AT754" i="84"/>
  <c r="AT736" i="84"/>
  <c r="BD50" i="84"/>
  <c r="AZ238" i="84"/>
  <c r="AW872" i="84"/>
  <c r="AZ167" i="84"/>
  <c r="BD780" i="84"/>
  <c r="BD285" i="84"/>
  <c r="AZ751" i="84"/>
  <c r="AZ221" i="84"/>
  <c r="AZ146" i="84"/>
  <c r="AT512" i="84"/>
  <c r="BD107" i="84"/>
  <c r="AT336" i="84"/>
  <c r="BD356" i="84"/>
  <c r="AW807" i="84"/>
  <c r="BD911" i="84"/>
  <c r="AT220" i="84"/>
  <c r="AW935" i="84"/>
  <c r="BD223" i="84"/>
  <c r="AZ125" i="84"/>
  <c r="AT525" i="84"/>
  <c r="BD366" i="84"/>
  <c r="AW420" i="84"/>
  <c r="AW474" i="84"/>
  <c r="AQ69" i="84"/>
  <c r="AQ504" i="84"/>
  <c r="AQ885" i="84"/>
  <c r="AZ218" i="84"/>
  <c r="AZ250" i="84"/>
  <c r="BD99" i="84"/>
  <c r="AT692" i="84"/>
  <c r="AW871" i="84"/>
  <c r="AW811" i="84"/>
  <c r="AZ314" i="84"/>
  <c r="AW243" i="84"/>
  <c r="AQ131" i="84"/>
  <c r="AQ55" i="84"/>
  <c r="AZ412" i="84"/>
  <c r="AQ266" i="84"/>
  <c r="AZ960" i="84"/>
  <c r="AT159" i="84"/>
  <c r="AZ572" i="84"/>
  <c r="BD861" i="84"/>
  <c r="AZ139" i="84"/>
  <c r="AZ236" i="84"/>
  <c r="AT647" i="84"/>
  <c r="AQ581" i="84"/>
  <c r="AT810" i="84"/>
  <c r="AZ480" i="84"/>
  <c r="AT833" i="84"/>
  <c r="AZ349" i="84"/>
  <c r="AZ762" i="84"/>
  <c r="BD836" i="84"/>
  <c r="AQ721" i="84"/>
  <c r="AW343" i="84"/>
  <c r="AQ244" i="84"/>
  <c r="AZ710" i="84"/>
  <c r="AW410" i="84"/>
  <c r="BD494" i="84"/>
  <c r="AQ835" i="84"/>
  <c r="BD915" i="84"/>
  <c r="AT524" i="84"/>
  <c r="AW174" i="84"/>
  <c r="BD80" i="84"/>
  <c r="AW702" i="84"/>
  <c r="AZ431" i="84"/>
  <c r="AT282" i="84"/>
  <c r="AW395" i="84"/>
  <c r="AQ184" i="84"/>
  <c r="AQ784" i="84"/>
  <c r="AZ863" i="84"/>
  <c r="AQ662" i="84"/>
  <c r="BD878" i="84"/>
  <c r="AW602" i="84"/>
  <c r="AT870" i="84"/>
  <c r="AT302" i="84"/>
  <c r="AQ331" i="84"/>
  <c r="AQ742" i="84"/>
  <c r="AQ41" i="84"/>
  <c r="AW845" i="84"/>
  <c r="BD549" i="84"/>
  <c r="AZ789" i="84"/>
  <c r="AT95" i="84"/>
  <c r="AT43" i="84"/>
  <c r="AQ850" i="84"/>
  <c r="AT297" i="84"/>
  <c r="AT462" i="84"/>
  <c r="AW919" i="84"/>
  <c r="AZ397" i="84"/>
  <c r="AQ98" i="84"/>
  <c r="AT41" i="84"/>
  <c r="AT962" i="84"/>
  <c r="AW497" i="84"/>
  <c r="AZ271" i="84"/>
  <c r="BD192" i="84"/>
  <c r="AZ845" i="84"/>
  <c r="AZ570" i="84"/>
  <c r="AW72" i="84"/>
  <c r="AZ451" i="84"/>
  <c r="AZ198" i="84"/>
  <c r="BD578" i="84"/>
  <c r="BD290" i="84"/>
  <c r="AQ812" i="84"/>
  <c r="BD466" i="84"/>
  <c r="AQ735" i="84"/>
  <c r="BD393" i="84"/>
  <c r="AQ745" i="84"/>
  <c r="AT51" i="84"/>
  <c r="BD510" i="84"/>
  <c r="AT259" i="84"/>
  <c r="AZ308" i="84"/>
  <c r="AT661" i="84"/>
  <c r="AZ442" i="84"/>
  <c r="BD374" i="84"/>
  <c r="AT76" i="84"/>
  <c r="AZ49" i="84"/>
  <c r="AW652" i="84"/>
  <c r="AT335" i="84"/>
  <c r="AZ921" i="84"/>
  <c r="BD294" i="84"/>
  <c r="AT115" i="84"/>
  <c r="AW121" i="84"/>
  <c r="AQ888" i="84"/>
  <c r="AQ764" i="84"/>
  <c r="AT135" i="84"/>
  <c r="BD641" i="84"/>
  <c r="BD306" i="84"/>
  <c r="AQ943" i="84"/>
  <c r="AW73" i="84"/>
  <c r="AZ77" i="84"/>
  <c r="AW825" i="84"/>
  <c r="AW389" i="84"/>
  <c r="AQ875" i="84"/>
  <c r="BD219" i="84"/>
  <c r="AQ173" i="84"/>
  <c r="BD808" i="84"/>
  <c r="AQ543" i="84"/>
  <c r="AW201" i="84"/>
  <c r="BD157" i="84"/>
  <c r="AW814" i="84"/>
  <c r="AQ449" i="84"/>
  <c r="AQ44" i="84"/>
  <c r="AZ61" i="84"/>
  <c r="AW339" i="84"/>
  <c r="AZ456" i="84"/>
  <c r="BD116" i="84"/>
  <c r="AQ122" i="84"/>
  <c r="AQ882" i="84"/>
  <c r="AT634" i="84"/>
  <c r="BD240" i="84"/>
  <c r="AQ417" i="84"/>
  <c r="AW899" i="84"/>
  <c r="AZ515" i="84"/>
  <c r="AQ942" i="84"/>
  <c r="AT820" i="84"/>
  <c r="AZ78" i="84"/>
  <c r="AT328" i="84"/>
  <c r="BD39" i="84"/>
  <c r="AW940" i="84"/>
  <c r="AQ319" i="84"/>
  <c r="BD804" i="84"/>
  <c r="AT361" i="84"/>
  <c r="AZ67" i="84"/>
  <c r="BD933" i="84"/>
  <c r="AZ83" i="84"/>
  <c r="AZ618" i="84"/>
  <c r="AQ189" i="84"/>
  <c r="AZ659" i="84"/>
  <c r="AQ514" i="84"/>
  <c r="AQ880" i="84"/>
  <c r="AZ150" i="84"/>
  <c r="AZ427" i="84"/>
  <c r="AT373" i="84"/>
  <c r="BD891" i="84"/>
  <c r="AT579" i="84"/>
  <c r="AT286" i="84"/>
  <c r="BD495" i="84"/>
  <c r="AW927" i="84"/>
  <c r="AT691" i="84"/>
  <c r="AQ215" i="84"/>
  <c r="AZ403" i="84"/>
  <c r="AW498" i="84"/>
  <c r="BD920" i="84"/>
  <c r="AT547" i="84"/>
  <c r="AW324" i="84"/>
  <c r="AQ246" i="84"/>
  <c r="AQ100" i="84"/>
  <c r="AZ113" i="84"/>
  <c r="AZ65" i="84"/>
  <c r="AW755" i="84"/>
  <c r="BD803" i="84"/>
  <c r="BD251" i="84"/>
  <c r="AW337" i="84"/>
  <c r="AW493" i="84"/>
  <c r="BD713" i="84"/>
  <c r="AT953" i="84"/>
  <c r="AT719" i="84"/>
  <c r="AZ153" i="84"/>
  <c r="BD777" i="84"/>
  <c r="AQ503" i="84"/>
  <c r="AZ589" i="84"/>
  <c r="BD312" i="84"/>
  <c r="AT715" i="84"/>
  <c r="AQ248" i="84"/>
  <c r="AZ475" i="84"/>
  <c r="AW182" i="84"/>
  <c r="AW265" i="84"/>
  <c r="AQ133" i="84"/>
  <c r="AQ484" i="84"/>
  <c r="AT87" i="84"/>
  <c r="AQ185" i="84"/>
  <c r="BD726" i="84"/>
  <c r="AW405" i="84"/>
  <c r="AW166" i="84"/>
  <c r="BD934" i="84"/>
  <c r="AT625" i="84"/>
  <c r="AQ31" i="84"/>
  <c r="BD639" i="84"/>
  <c r="AT18" i="84"/>
  <c r="AT338" i="84"/>
  <c r="AZ303" i="84"/>
  <c r="AQ842" i="84"/>
  <c r="AQ530" i="84"/>
  <c r="AZ860" i="84"/>
  <c r="AZ423" i="84"/>
  <c r="AT507" i="84"/>
  <c r="BD149" i="84"/>
  <c r="AQ604" i="84"/>
  <c r="AQ959" i="84"/>
  <c r="AT651" i="84"/>
  <c r="AZ21" i="84"/>
  <c r="AT245" i="84"/>
  <c r="AQ550" i="84"/>
  <c r="AQ931" i="84"/>
  <c r="AW914" i="84"/>
  <c r="AT909" i="84"/>
  <c r="AQ477" i="84"/>
  <c r="AT712" i="84"/>
  <c r="AW152" i="84"/>
  <c r="BD819" i="84"/>
  <c r="BD204" i="84"/>
  <c r="BD886" i="84"/>
  <c r="AZ487" i="84"/>
  <c r="AZ554" i="84"/>
  <c r="AZ688" i="84"/>
  <c r="AQ35" i="84"/>
  <c r="BD165" i="84"/>
  <c r="AT212" i="84"/>
  <c r="AZ112" i="84"/>
  <c r="AW733" i="84"/>
  <c r="AT177" i="84"/>
  <c r="AT828" i="84"/>
  <c r="AT795" i="84"/>
  <c r="AZ670" i="84"/>
  <c r="BD648" i="84"/>
  <c r="AQ452" i="84"/>
  <c r="AZ277" i="84"/>
  <c r="AT929" i="84"/>
  <c r="AQ666" i="84"/>
  <c r="AT848" i="84"/>
  <c r="BD948" i="84"/>
  <c r="AW388" i="84"/>
  <c r="AZ491" i="84"/>
  <c r="AW626" i="84"/>
  <c r="AQ687" i="84"/>
  <c r="BD791" i="84"/>
  <c r="BD690" i="84"/>
  <c r="AZ342" i="84"/>
  <c r="AW52" i="84"/>
  <c r="AQ556" i="84"/>
  <c r="AW318" i="84"/>
  <c r="AZ694" i="84"/>
  <c r="BD402" i="84"/>
  <c r="AT387" i="84"/>
  <c r="AZ677" i="84"/>
  <c r="AT897" i="84"/>
  <c r="BD741" i="84"/>
  <c r="AW858" i="84"/>
  <c r="AT92" i="84"/>
  <c r="AT169" i="84"/>
  <c r="AQ957" i="84"/>
  <c r="BD269" i="84"/>
  <c r="AW23" i="84"/>
  <c r="AW895" i="84"/>
  <c r="AT584" i="84"/>
  <c r="AT624" i="84"/>
  <c r="AW844" i="84"/>
  <c r="AZ645" i="84"/>
  <c r="AW486" i="84"/>
  <c r="AZ958" i="84"/>
  <c r="AT253" i="84"/>
  <c r="AZ774" i="84"/>
  <c r="AQ739" i="84"/>
  <c r="AW520" i="84"/>
  <c r="AT413" i="84"/>
  <c r="AT772" i="84"/>
  <c r="AZ594" i="84"/>
  <c r="AZ292" i="84"/>
  <c r="AQ56" i="84"/>
  <c r="AZ767" i="84"/>
  <c r="AT444" i="84"/>
  <c r="AW325" i="84"/>
  <c r="AW351" i="84"/>
  <c r="AW684" i="84"/>
  <c r="AW809" i="84"/>
  <c r="BD519" i="84"/>
  <c r="AW117" i="84"/>
  <c r="AT391" i="84"/>
  <c r="AQ806" i="84"/>
  <c r="AT301" i="84"/>
  <c r="AT642" i="84"/>
  <c r="BD226" i="84"/>
  <c r="AT36" i="84"/>
  <c r="AZ275" i="84"/>
  <c r="AT689" i="84"/>
  <c r="AZ396" i="84"/>
  <c r="AT575" i="84"/>
  <c r="AZ155" i="84"/>
  <c r="AQ708" i="84"/>
  <c r="AW206" i="84"/>
  <c r="AQ765" i="84"/>
  <c r="BD29" i="84"/>
  <c r="AZ605" i="84"/>
  <c r="AQ392" i="84"/>
  <c r="BD682" i="84"/>
  <c r="AQ426" i="84"/>
  <c r="AT529" i="84"/>
  <c r="AW859" i="84"/>
  <c r="AT278" i="84"/>
  <c r="AT681" i="84"/>
  <c r="AW650" i="84"/>
  <c r="AT569" i="84"/>
  <c r="AT415" i="84"/>
  <c r="AZ854" i="84"/>
  <c r="AT595" i="84"/>
  <c r="AZ171" i="84"/>
  <c r="BD829" i="84"/>
  <c r="AZ748" i="84"/>
  <c r="AW164" i="84"/>
  <c r="BD463" i="84"/>
  <c r="AZ230" i="84"/>
  <c r="AQ64" i="84"/>
  <c r="AW817" i="84"/>
  <c r="AQ923" i="84"/>
  <c r="AQ946" i="84"/>
  <c r="AW270" i="84"/>
  <c r="AT628" i="84"/>
  <c r="AW876" i="84"/>
  <c r="AW454" i="84"/>
  <c r="BD261" i="84"/>
  <c r="AZ585" i="84"/>
  <c r="AW347" i="84"/>
  <c r="AT675" i="84"/>
  <c r="AT222" i="84"/>
  <c r="AW24" i="84"/>
  <c r="BD353" i="84"/>
  <c r="AZ667" i="84"/>
  <c r="AQ470" i="84"/>
  <c r="AZ359" i="84"/>
  <c r="AZ794" i="84"/>
  <c r="AT199" i="84"/>
  <c r="AW91" i="84"/>
  <c r="AZ685" i="84"/>
  <c r="AT902" i="84"/>
  <c r="BD722" i="84"/>
  <c r="AW432" i="84"/>
  <c r="AT124" i="84"/>
  <c r="BD120" i="84"/>
  <c r="AQ517" i="84"/>
  <c r="AZ893" i="84"/>
  <c r="BD752" i="84"/>
  <c r="BD657" i="84"/>
  <c r="AQ890" i="84"/>
  <c r="AW144" i="84"/>
  <c r="AT40" i="84"/>
  <c r="AW8" i="84"/>
  <c r="BD847" i="84"/>
  <c r="AW383" i="84"/>
  <c r="AT896" i="84"/>
  <c r="AT759" i="84"/>
  <c r="AW857" i="84"/>
  <c r="AQ340" i="84"/>
  <c r="AW479" i="84"/>
  <c r="AZ68" i="84"/>
  <c r="AW671" i="84"/>
  <c r="AT590" i="84"/>
  <c r="AW496" i="84"/>
  <c r="AQ866" i="84"/>
  <c r="AT892" i="84"/>
  <c r="AZ924" i="84"/>
  <c r="AT483" i="84"/>
  <c r="AQ551" i="84"/>
  <c r="AZ779" i="84"/>
  <c r="AW544" i="84"/>
  <c r="AQ205" i="84"/>
  <c r="AQ379" i="84"/>
  <c r="AZ471" i="84"/>
  <c r="BD143" i="84"/>
  <c r="AQ704" i="84"/>
  <c r="AQ509" i="84"/>
  <c r="AW563" i="84"/>
  <c r="AT175" i="84"/>
  <c r="AT538" i="84"/>
  <c r="AT799" i="84"/>
  <c r="AW839" i="84"/>
  <c r="AT296" i="84"/>
  <c r="BD104" i="84"/>
  <c r="AQ119" i="84"/>
  <c r="BD370" i="84"/>
  <c r="AZ679" i="84"/>
  <c r="AT879" i="84"/>
  <c r="AZ372" i="84"/>
  <c r="AT330" i="84"/>
  <c r="BD9" i="84"/>
  <c r="AT640" i="84"/>
  <c r="AT686" i="84"/>
  <c r="AQ53" i="84"/>
  <c r="AW168" i="84"/>
  <c r="AW680" i="84"/>
  <c r="BD262" i="84"/>
  <c r="BD553" i="84"/>
  <c r="AQ450" i="84"/>
  <c r="AZ937" i="84"/>
  <c r="BD82" i="84"/>
  <c r="AW837" i="84"/>
  <c r="AQ327" i="84"/>
  <c r="AW102" i="84"/>
  <c r="BD148" i="84"/>
  <c r="AZ797" i="84"/>
  <c r="AT90" i="84"/>
  <c r="BD97" i="84"/>
  <c r="AZ15" i="84"/>
  <c r="AW672" i="84"/>
  <c r="AW534" i="84"/>
  <c r="AQ749" i="84"/>
  <c r="BD877" i="84"/>
  <c r="AQ621" i="84"/>
  <c r="AQ179" i="84"/>
  <c r="AZ609" i="84"/>
  <c r="AW499" i="84"/>
  <c r="BD637" i="84"/>
  <c r="AW289" i="84"/>
  <c r="AZ181" i="84"/>
  <c r="AW96" i="84"/>
  <c r="AQ665" i="84"/>
  <c r="BD531" i="84"/>
  <c r="AT574" i="84"/>
  <c r="BD142" i="84"/>
  <c r="AW345" i="84"/>
  <c r="AQ25" i="84"/>
  <c r="AT20" i="84"/>
  <c r="BD481" i="84"/>
  <c r="AW656" i="84"/>
  <c r="AQ881" i="84"/>
  <c r="BD17" i="84"/>
  <c r="AW638" i="84"/>
  <c r="AW776" i="84"/>
  <c r="AT555" i="84"/>
  <c r="BD766" i="84"/>
  <c r="BD633" i="84"/>
  <c r="AQ322" i="84"/>
  <c r="AW798" i="84"/>
  <c r="BD781" i="84"/>
  <c r="AT200" i="84"/>
  <c r="AT513" i="84"/>
  <c r="AT355" i="84"/>
  <c r="AQ653" i="84"/>
  <c r="AZ128" i="84"/>
  <c r="AZ380" i="84"/>
  <c r="AQ963" i="84"/>
  <c r="AT841" i="84"/>
  <c r="AW28" i="84"/>
  <c r="AZ274" i="84"/>
  <c r="AW815" i="84"/>
  <c r="AW126" i="84"/>
  <c r="BD428" i="84"/>
  <c r="BD566" i="84"/>
  <c r="AZ134" i="84"/>
  <c r="AT103" i="84"/>
  <c r="AW453" i="84"/>
  <c r="AQ577" i="84"/>
  <c r="AW763" i="84"/>
  <c r="BD607" i="84"/>
  <c r="AZ729" i="84"/>
  <c r="AZ363" i="84"/>
  <c r="AQ341" i="84"/>
  <c r="AW613" i="84"/>
  <c r="AW801" i="84"/>
  <c r="BD71" i="84"/>
  <c r="AQ478" i="84"/>
  <c r="AZ34" i="84"/>
  <c r="AW448" i="84"/>
  <c r="AT79" i="84"/>
  <c r="AT390" i="84"/>
  <c r="BD440" i="84"/>
  <c r="AT377" i="84"/>
  <c r="AT75" i="84"/>
  <c r="AQ210" i="84"/>
  <c r="BD903" i="84"/>
  <c r="AQ384" i="84"/>
  <c r="BD362" i="84"/>
  <c r="AZ536" i="84"/>
  <c r="AW93" i="84"/>
  <c r="AQ805" i="84"/>
  <c r="AQ268" i="84"/>
  <c r="AQ580" i="84"/>
  <c r="BD620" i="84"/>
  <c r="AZ57" i="84"/>
  <c r="AQ12" i="84"/>
  <c r="AQ446" i="84"/>
  <c r="AQ295" i="84"/>
  <c r="BD439" i="84"/>
  <c r="AT37" i="84"/>
  <c r="AT676" i="84"/>
  <c r="AQ346" i="84"/>
  <c r="AZ151" i="84"/>
  <c r="AT367" i="84"/>
  <c r="AQ385" i="84"/>
  <c r="AQ813" i="84"/>
  <c r="AT162" i="84"/>
  <c r="BD565" i="84"/>
  <c r="AT593" i="84"/>
  <c r="AZ225" i="84"/>
  <c r="AT58" i="84"/>
  <c r="BD293" i="84"/>
  <c r="AQ629" i="84"/>
  <c r="AW887" i="84"/>
  <c r="BD247" i="84"/>
  <c r="AW365" i="84"/>
  <c r="BD731" i="84"/>
  <c r="AW332" i="84"/>
  <c r="AT461" i="84"/>
  <c r="AW516" i="84"/>
  <c r="AT468" i="84"/>
  <c r="AZ843" i="84"/>
  <c r="BD830" i="84"/>
  <c r="BD419" i="84"/>
  <c r="BD109" i="84"/>
  <c r="BD398" i="84"/>
  <c r="AQ368" i="84"/>
  <c r="BD394" i="84"/>
  <c r="AZ945" i="84"/>
  <c r="AQ883" i="84"/>
  <c r="AT834" i="84"/>
  <c r="AQ941" i="84"/>
  <c r="AT546" i="84"/>
  <c r="AW267" i="84"/>
  <c r="AW176" i="84"/>
  <c r="AZ856" i="84"/>
  <c r="AT540" i="84"/>
  <c r="AQ421" i="84"/>
  <c r="AQ697" i="84"/>
  <c r="AQ737" i="84"/>
  <c r="AW818" i="84"/>
  <c r="AQ910" i="84"/>
  <c r="AW88" i="84"/>
  <c r="AQ523" i="84"/>
  <c r="AQ127" i="84"/>
  <c r="AT757" i="84"/>
  <c r="AT521" i="84"/>
  <c r="AT771" i="84"/>
  <c r="BD298" i="84"/>
  <c r="AW465" i="84"/>
  <c r="AT315" i="84"/>
  <c r="BD802" i="84"/>
  <c r="BD786" i="84"/>
  <c r="AT196" i="84"/>
  <c r="BD750" i="84"/>
  <c r="AZ717" i="84"/>
  <c r="BD541" i="84"/>
  <c r="AQ823" i="84"/>
  <c r="AW754" i="84"/>
  <c r="AQ736" i="84"/>
  <c r="AQ38" i="84"/>
  <c r="AT238" i="84"/>
  <c r="AQ872" i="84"/>
  <c r="AW167" i="84"/>
  <c r="AQ780" i="84"/>
  <c r="BD600" i="84"/>
  <c r="AQ751" i="84"/>
  <c r="AW221" i="84"/>
  <c r="AT146" i="84"/>
  <c r="AZ512" i="84"/>
  <c r="AT42" i="84"/>
  <c r="AZ336" i="84"/>
  <c r="AW356" i="84"/>
  <c r="BD807" i="84"/>
  <c r="AZ911" i="84"/>
  <c r="AQ539" i="84"/>
  <c r="AZ935" i="84"/>
  <c r="AQ223" i="84"/>
  <c r="AT125" i="84"/>
  <c r="AZ525" i="84"/>
  <c r="AZ211" i="84"/>
  <c r="AT420" i="84"/>
  <c r="AZ474" i="84"/>
  <c r="BD69" i="84"/>
  <c r="AW504" i="84"/>
  <c r="AW511" i="84"/>
  <c r="AW218" i="84"/>
  <c r="AQ250" i="84"/>
  <c r="AW99" i="84"/>
  <c r="BD692" i="84"/>
  <c r="AW316" i="84"/>
  <c r="AZ811" i="84"/>
  <c r="BD314" i="84"/>
  <c r="BD243" i="84"/>
  <c r="AT131" i="84"/>
  <c r="AT55" i="84"/>
  <c r="AT412" i="84"/>
  <c r="AT266" i="84"/>
  <c r="AT258" i="84"/>
  <c r="AQ159" i="84"/>
  <c r="AW572" i="84"/>
  <c r="AQ861" i="84"/>
  <c r="AQ139" i="84"/>
  <c r="AT619" i="84"/>
  <c r="AQ647" i="84"/>
  <c r="AZ581" i="84"/>
  <c r="BD810" i="84"/>
  <c r="AW480" i="84"/>
  <c r="AT518" i="84"/>
  <c r="BD349" i="84"/>
  <c r="AW762" i="84"/>
  <c r="AQ836" i="84"/>
  <c r="AT721" i="84"/>
  <c r="BD216" i="84"/>
  <c r="AZ244" i="84"/>
  <c r="AT710" i="84"/>
  <c r="BD410" i="84"/>
  <c r="AQ494" i="84"/>
  <c r="AT26" i="84"/>
  <c r="AZ915" i="84"/>
  <c r="BD524" i="84"/>
  <c r="BD174" i="84"/>
  <c r="AT80" i="84"/>
  <c r="AW827" i="84"/>
  <c r="AW431" i="84"/>
  <c r="AQ282" i="84"/>
  <c r="AQ395" i="84"/>
  <c r="AT184" i="84"/>
  <c r="AZ784" i="84"/>
  <c r="AW863" i="84"/>
  <c r="AW662" i="84"/>
  <c r="AZ129" i="84"/>
  <c r="AZ602" i="84"/>
  <c r="AT457" i="84"/>
  <c r="AW48" i="84"/>
  <c r="AZ753" i="84"/>
  <c r="AW965" i="84"/>
  <c r="BD98" i="84"/>
  <c r="BD172" i="84"/>
  <c r="AW364" i="84"/>
  <c r="BD457" i="84"/>
  <c r="AZ747" i="84"/>
  <c r="AW753" i="84"/>
  <c r="AW954" i="84"/>
  <c r="AZ944" i="84"/>
  <c r="AT552" i="84"/>
  <c r="AT532" i="84"/>
  <c r="AW782" i="84"/>
  <c r="AZ297" i="84"/>
  <c r="AQ753" i="84"/>
  <c r="BD965" i="84"/>
  <c r="AW263" i="84"/>
  <c r="AZ41" i="84"/>
  <c r="AT570" i="84"/>
  <c r="AZ466" i="84"/>
  <c r="AQ770" i="84"/>
  <c r="AZ393" i="84"/>
  <c r="AW745" i="84"/>
  <c r="AW51" i="84"/>
  <c r="AZ510" i="84"/>
  <c r="AW606" i="84"/>
  <c r="AQ308" i="84"/>
  <c r="AW661" i="84"/>
  <c r="AW442" i="84"/>
  <c r="AZ374" i="84"/>
  <c r="AZ714" i="84"/>
  <c r="AW49" i="84"/>
  <c r="AZ652" i="84"/>
  <c r="AQ335" i="84"/>
  <c r="AT921" i="84"/>
  <c r="AZ401" i="84"/>
  <c r="AZ115" i="84"/>
  <c r="BD121" i="84"/>
  <c r="AW888" i="84"/>
  <c r="AW764" i="84"/>
  <c r="AT228" i="84"/>
  <c r="AT641" i="84"/>
  <c r="AZ306" i="84"/>
  <c r="AT943" i="84"/>
  <c r="AZ73" i="84"/>
  <c r="AQ77" i="84"/>
  <c r="AT825" i="84"/>
  <c r="BD32" i="84"/>
  <c r="AT875" i="84"/>
  <c r="AZ219" i="84"/>
  <c r="AW173" i="84"/>
  <c r="AZ808" i="84"/>
  <c r="AW59" i="84"/>
  <c r="AT201" i="84"/>
  <c r="AQ157" i="84"/>
  <c r="AW311" i="84"/>
  <c r="BD449" i="84"/>
  <c r="BD44" i="84"/>
  <c r="AQ61" i="84"/>
  <c r="BD339" i="84"/>
  <c r="AW778" i="84"/>
  <c r="AZ116" i="84"/>
  <c r="AT122" i="84"/>
  <c r="AZ882" i="84"/>
  <c r="BD634" i="84"/>
  <c r="BD47" i="84"/>
  <c r="AW417" i="84"/>
  <c r="AZ899" i="84"/>
  <c r="AQ435" i="84"/>
  <c r="AT942" i="84"/>
  <c r="AW820" i="84"/>
  <c r="AT78" i="84"/>
  <c r="AW328" i="84"/>
  <c r="AQ106" i="84"/>
  <c r="AT940" i="84"/>
  <c r="AW319" i="84"/>
  <c r="AW804" i="84"/>
  <c r="AQ361" i="84"/>
  <c r="AW291" i="84"/>
  <c r="AT933" i="84"/>
  <c r="AT83" i="84"/>
  <c r="AQ618" i="84"/>
  <c r="AW189" i="84"/>
  <c r="AW344" i="84"/>
  <c r="AW54" i="84"/>
  <c r="BD880" i="84"/>
  <c r="AT150" i="84"/>
  <c r="AQ427" i="84"/>
  <c r="AZ373" i="84"/>
  <c r="AT161" i="84"/>
  <c r="AQ579" i="84"/>
  <c r="BD286" i="84"/>
  <c r="AT495" i="84"/>
  <c r="AZ927" i="84"/>
  <c r="AW464" i="84"/>
  <c r="BD215" i="84"/>
  <c r="AT403" i="84"/>
  <c r="BD498" i="84"/>
  <c r="AW920" i="84"/>
  <c r="AQ961" i="84"/>
  <c r="BD324" i="84"/>
  <c r="AZ246" i="84"/>
  <c r="AW100" i="84"/>
  <c r="BD113" i="84"/>
  <c r="AT526" i="84"/>
  <c r="AZ755" i="84"/>
  <c r="AQ803" i="84"/>
  <c r="AQ251" i="84"/>
  <c r="AQ337" i="84"/>
  <c r="AW193" i="84"/>
  <c r="AT713" i="84"/>
  <c r="AZ953" i="84"/>
  <c r="BD719" i="84"/>
  <c r="AQ153" i="84"/>
  <c r="AZ777" i="84"/>
  <c r="AT785" i="84"/>
  <c r="AQ589" i="84"/>
  <c r="AW312" i="84"/>
  <c r="BD715" i="84"/>
  <c r="AT248" i="84"/>
  <c r="AT475" i="84"/>
  <c r="AZ182" i="84"/>
  <c r="BD265" i="84"/>
  <c r="AT411" i="84"/>
  <c r="AW484" i="84"/>
  <c r="AW87" i="84"/>
  <c r="AW185" i="84"/>
  <c r="AT726" i="84"/>
  <c r="AZ701" i="84"/>
  <c r="AQ166" i="84"/>
  <c r="AW934" i="84"/>
  <c r="AQ625" i="84"/>
  <c r="AW31" i="84"/>
  <c r="BD598" i="84"/>
  <c r="BD18" i="84"/>
  <c r="AZ338" i="84"/>
  <c r="AW303" i="84"/>
  <c r="AW842" i="84"/>
  <c r="AT760" i="84"/>
  <c r="AW860" i="84"/>
  <c r="BD423" i="84"/>
  <c r="AZ507" i="84"/>
  <c r="AT149" i="84"/>
  <c r="BD458" i="84"/>
  <c r="AW959" i="84"/>
  <c r="AQ651" i="84"/>
  <c r="AW21" i="84"/>
  <c r="AW245" i="84"/>
  <c r="AW913" i="84"/>
  <c r="AZ931" i="84"/>
  <c r="BD914" i="84"/>
  <c r="BD909" i="84"/>
  <c r="AZ477" i="84"/>
  <c r="AW490" i="84"/>
  <c r="AZ152" i="84"/>
  <c r="AZ819" i="84"/>
  <c r="AT204" i="84"/>
  <c r="AW886" i="84"/>
  <c r="AT582" i="84"/>
  <c r="AT554" i="84"/>
  <c r="AW688" i="84"/>
  <c r="BD35" i="84"/>
  <c r="AZ165" i="84"/>
  <c r="AZ873" i="84"/>
  <c r="AQ112" i="84"/>
  <c r="AT733" i="84"/>
  <c r="AQ177" i="84"/>
  <c r="AZ828" i="84"/>
  <c r="AW707" i="84"/>
  <c r="AT670" i="84"/>
  <c r="AW648" i="84"/>
  <c r="BD452" i="84"/>
  <c r="AQ277" i="84"/>
  <c r="AT654" i="84"/>
  <c r="AZ666" i="84"/>
  <c r="AW848" i="84"/>
  <c r="AZ948" i="84"/>
  <c r="BD388" i="84"/>
  <c r="AQ101" i="84"/>
  <c r="AQ626" i="84"/>
  <c r="AZ687" i="84"/>
  <c r="AQ791" i="84"/>
  <c r="AT690" i="84"/>
  <c r="BD342" i="84"/>
  <c r="AZ52" i="84"/>
  <c r="AQ928" i="84"/>
  <c r="BD318" i="84"/>
  <c r="AT694" i="84"/>
  <c r="AW402" i="84"/>
  <c r="BD387" i="84"/>
  <c r="BD178" i="84"/>
  <c r="AQ897" i="84"/>
  <c r="AW741" i="84"/>
  <c r="AQ858" i="84"/>
  <c r="AQ92" i="84"/>
  <c r="BD169" i="84"/>
  <c r="AT957" i="84"/>
  <c r="AQ269" i="84"/>
  <c r="AQ242" i="84"/>
  <c r="AQ895" i="84"/>
  <c r="AZ584" i="84"/>
  <c r="AQ624" i="84"/>
  <c r="AQ844" i="84"/>
  <c r="AQ824" i="84"/>
  <c r="AQ486" i="84"/>
  <c r="BD958" i="84"/>
  <c r="AW253" i="84"/>
  <c r="AT774" i="84"/>
  <c r="AT901" i="84"/>
  <c r="AT520" i="84"/>
  <c r="AZ413" i="84"/>
  <c r="AZ145" i="84"/>
  <c r="AT594" i="84"/>
  <c r="AW292" i="84"/>
  <c r="AT56" i="84"/>
  <c r="BD767" i="84"/>
  <c r="AQ832" i="84"/>
  <c r="BD325" i="84"/>
  <c r="BD351" i="84"/>
  <c r="AT684" i="84"/>
  <c r="AT809" i="84"/>
  <c r="AZ724" i="84"/>
  <c r="BD117" i="84"/>
  <c r="AZ391" i="84"/>
  <c r="BD806" i="84"/>
  <c r="AW301" i="84"/>
  <c r="AZ469" i="84"/>
  <c r="AQ226" i="84"/>
  <c r="AQ36" i="84"/>
  <c r="AW275" i="84"/>
  <c r="AQ689" i="84"/>
  <c r="AZ867" i="84"/>
  <c r="BD575" i="84"/>
  <c r="AQ155" i="84"/>
  <c r="AT708" i="84"/>
  <c r="AQ206" i="84"/>
  <c r="AW855" i="84"/>
  <c r="AQ29" i="84"/>
  <c r="AT605" i="84"/>
  <c r="AQ14" i="84"/>
  <c r="AQ682" i="84"/>
  <c r="AW426" i="84"/>
  <c r="BD163" i="84"/>
  <c r="BD859" i="84"/>
  <c r="BD278" i="84"/>
  <c r="AW681" i="84"/>
  <c r="AQ650" i="84"/>
  <c r="AQ207" i="84"/>
  <c r="BD415" i="84"/>
  <c r="AQ854" i="84"/>
  <c r="AW595" i="84"/>
  <c r="BD171" i="84"/>
  <c r="AZ234" i="84"/>
  <c r="AW748" i="84"/>
  <c r="AT164" i="84"/>
  <c r="AT463" i="84"/>
  <c r="AT230" i="84"/>
  <c r="AW623" i="84"/>
  <c r="AQ817" i="84"/>
  <c r="AT923" i="84"/>
  <c r="AT946" i="84"/>
  <c r="BD270" i="84"/>
  <c r="AQ537" i="84"/>
  <c r="AT876" i="84"/>
  <c r="BD454" i="84"/>
  <c r="AT261" i="84"/>
  <c r="BD585" i="84"/>
  <c r="AQ252" i="84"/>
  <c r="AQ675" i="84"/>
  <c r="AW222" i="84"/>
  <c r="AZ24" i="84"/>
  <c r="AT353" i="84"/>
  <c r="AT567" i="84"/>
  <c r="BD470" i="84"/>
  <c r="AQ359" i="84"/>
  <c r="BD794" i="84"/>
  <c r="AQ199" i="84"/>
  <c r="AW669" i="84"/>
  <c r="AT685" i="84"/>
  <c r="BD902" i="84"/>
  <c r="AZ722" i="84"/>
  <c r="AZ432" i="84"/>
  <c r="AW788" i="84"/>
  <c r="AZ120" i="84"/>
  <c r="BD517" i="84"/>
  <c r="AQ893" i="84"/>
  <c r="AW752" i="84"/>
  <c r="AT160" i="84"/>
  <c r="AW890" i="84"/>
  <c r="AZ144" i="84"/>
  <c r="AZ74" i="84"/>
  <c r="BD8" i="84"/>
  <c r="AQ847" i="84"/>
  <c r="AQ383" i="84"/>
  <c r="AQ896" i="84"/>
  <c r="BD908" i="84"/>
  <c r="AT857" i="84"/>
  <c r="AT340" i="84"/>
  <c r="AQ479" i="84"/>
  <c r="AQ68" i="84"/>
  <c r="AQ62" i="84"/>
  <c r="AW590" i="84"/>
  <c r="BD496" i="84"/>
  <c r="AW866" i="84"/>
  <c r="AZ892" i="84"/>
  <c r="BD608" i="84"/>
  <c r="AQ483" i="84"/>
  <c r="AZ551" i="84"/>
  <c r="BD779" i="84"/>
  <c r="AT544" i="84"/>
  <c r="AQ693" i="84"/>
  <c r="BD379" i="84"/>
  <c r="AW471" i="84"/>
  <c r="AZ143" i="84"/>
  <c r="BD704" i="84"/>
  <c r="BD476" i="84"/>
  <c r="AT563" i="84"/>
  <c r="AQ175" i="84"/>
  <c r="BD538" i="84"/>
  <c r="BD799" i="84"/>
  <c r="AW434" i="84"/>
  <c r="AZ296" i="84"/>
  <c r="AQ104" i="84"/>
  <c r="AZ119" i="84"/>
  <c r="AQ370" i="84"/>
  <c r="AZ195" i="84"/>
  <c r="AQ879" i="84"/>
  <c r="AT372" i="84"/>
  <c r="BD330" i="84"/>
  <c r="AW9" i="84"/>
  <c r="BD640" i="84"/>
  <c r="AW686" i="84"/>
  <c r="BD53" i="84"/>
  <c r="AQ283" i="84"/>
  <c r="AT680" i="84"/>
  <c r="AW262" i="84"/>
  <c r="AW553" i="84"/>
  <c r="AW450" i="84"/>
  <c r="AW445" i="84"/>
  <c r="AQ82" i="84"/>
  <c r="AZ837" i="84"/>
  <c r="AW327" i="84"/>
  <c r="AZ102" i="84"/>
  <c r="BD783" i="84"/>
  <c r="AQ797" i="84"/>
  <c r="AZ90" i="84"/>
  <c r="AT97" i="84"/>
  <c r="AQ15" i="84"/>
  <c r="BD447" i="84"/>
  <c r="AZ534" i="84"/>
  <c r="AW749" i="84"/>
  <c r="AW877" i="84"/>
  <c r="AW621" i="84"/>
  <c r="AZ728" i="84"/>
  <c r="AQ609" i="84"/>
  <c r="AT499" i="84"/>
  <c r="AW637" i="84"/>
  <c r="AZ289" i="84"/>
  <c r="BD321" i="84"/>
  <c r="BD96" i="84"/>
  <c r="BD665" i="84"/>
  <c r="AT531" i="84"/>
  <c r="AQ574" i="84"/>
  <c r="BD505" i="84"/>
  <c r="AT345" i="84"/>
  <c r="AW25" i="84"/>
  <c r="AQ20" i="84"/>
  <c r="AQ481" i="84"/>
  <c r="AZ19" i="84"/>
  <c r="AT881" i="84"/>
  <c r="AQ17" i="84"/>
  <c r="BD638" i="84"/>
  <c r="AZ776" i="84"/>
  <c r="AW239" i="84"/>
  <c r="AZ766" i="84"/>
  <c r="AQ633" i="84"/>
  <c r="BD322" i="84"/>
  <c r="BD798" i="84"/>
  <c r="AQ376" i="84"/>
  <c r="AQ200" i="84"/>
  <c r="AW513" i="84"/>
  <c r="AQ355" i="84"/>
  <c r="AZ653" i="84"/>
  <c r="AW128" i="84"/>
  <c r="BD380" i="84"/>
  <c r="BD963" i="84"/>
  <c r="AW849" i="84"/>
  <c r="AZ28" i="84"/>
  <c r="BD274" i="84"/>
  <c r="AZ815" i="84"/>
  <c r="AZ126" i="84"/>
  <c r="AQ557" i="84"/>
  <c r="AQ566" i="84"/>
  <c r="AT134" i="84"/>
  <c r="AW255" i="84"/>
  <c r="AT453" i="84"/>
  <c r="AW577" i="84"/>
  <c r="AZ84" i="84"/>
  <c r="AW607" i="84"/>
  <c r="AW729" i="84"/>
  <c r="AQ363" i="84"/>
  <c r="BD341" i="84"/>
  <c r="AW256" i="84"/>
  <c r="BD801" i="84"/>
  <c r="AW71" i="84"/>
  <c r="BD478" i="84"/>
  <c r="AQ34" i="84"/>
  <c r="AW699" i="84"/>
  <c r="AW79" i="84"/>
  <c r="AW390" i="84"/>
  <c r="AW440" i="84"/>
  <c r="AW377" i="84"/>
  <c r="AT404" i="84"/>
  <c r="AT210" i="84"/>
  <c r="AW903" i="84"/>
  <c r="AW384" i="84"/>
  <c r="AW362" i="84"/>
  <c r="AW508" i="84"/>
  <c r="AQ93" i="84"/>
  <c r="BD805" i="84"/>
  <c r="BD268" i="84"/>
  <c r="BD580" i="84"/>
  <c r="AQ620" i="84"/>
  <c r="BD57" i="84"/>
  <c r="AW12" i="84"/>
  <c r="AZ912" i="84"/>
  <c r="AW295" i="84"/>
  <c r="AT439" i="84"/>
  <c r="AQ37" i="84"/>
  <c r="AW676" i="84"/>
  <c r="AZ527" i="84"/>
  <c r="AT151" i="84"/>
  <c r="AW367" i="84"/>
  <c r="AZ385" i="84"/>
  <c r="AZ813" i="84"/>
  <c r="AZ790" i="84"/>
  <c r="AQ565" i="84"/>
  <c r="AQ593" i="84"/>
  <c r="AW60" i="84"/>
  <c r="AW58" i="84"/>
  <c r="AQ293" i="84"/>
  <c r="AZ629" i="84"/>
  <c r="AT887" i="84"/>
  <c r="AT202" i="84"/>
  <c r="AZ365" i="84"/>
  <c r="AZ731" i="84"/>
  <c r="BD332" i="84"/>
  <c r="AW461" i="84"/>
  <c r="BD816" i="84"/>
  <c r="AW468" i="84"/>
  <c r="AQ843" i="84"/>
  <c r="AQ830" i="84"/>
  <c r="AQ419" i="84"/>
  <c r="AT588" i="84"/>
  <c r="AT398" i="84"/>
  <c r="AT368" i="84"/>
  <c r="AT114" i="84"/>
  <c r="AQ945" i="84"/>
  <c r="AT883" i="84"/>
  <c r="AW834" i="84"/>
  <c r="AZ941" i="84"/>
  <c r="AQ546" i="84"/>
  <c r="AQ267" i="84"/>
  <c r="AQ176" i="84"/>
  <c r="BD856" i="84"/>
  <c r="AW540" i="84"/>
  <c r="AW421" i="84"/>
  <c r="AW137" i="84"/>
  <c r="AZ737" i="84"/>
  <c r="AT818" i="84"/>
  <c r="BD910" i="84"/>
  <c r="AT88" i="84"/>
  <c r="AW227" i="84"/>
  <c r="AW127" i="84"/>
  <c r="AQ757" i="84"/>
  <c r="AW521" i="84"/>
  <c r="BD771" i="84"/>
  <c r="AT705" i="84"/>
  <c r="AZ465" i="84"/>
  <c r="AZ315" i="84"/>
  <c r="AQ802" i="84"/>
  <c r="AW786" i="84"/>
  <c r="AT443" i="84"/>
  <c r="AT750" i="84"/>
  <c r="BD717" i="84"/>
  <c r="AT541" i="84"/>
  <c r="BD823" i="84"/>
  <c r="BD429" i="84"/>
  <c r="BD736" i="84"/>
  <c r="AT38" i="84"/>
  <c r="BD238" i="84"/>
  <c r="BD872" i="84"/>
  <c r="AT233" i="84"/>
  <c r="AZ780" i="84"/>
  <c r="AT600" i="84"/>
  <c r="AT751" i="84"/>
  <c r="BD221" i="84"/>
  <c r="BD528" i="84"/>
  <c r="BD512" i="84"/>
  <c r="AZ42" i="84"/>
  <c r="BD336" i="84"/>
  <c r="AT356" i="84"/>
  <c r="AZ865" i="84"/>
  <c r="AQ911" i="84"/>
  <c r="AW539" i="84"/>
  <c r="AT935" i="84"/>
  <c r="AZ223" i="84"/>
  <c r="AT473" i="84"/>
  <c r="AQ525" i="84"/>
  <c r="BD211" i="84"/>
  <c r="BD420" i="84"/>
  <c r="AT474" i="84"/>
  <c r="BD348" i="84"/>
  <c r="AT504" i="84"/>
  <c r="BD511" i="84"/>
  <c r="AQ218" i="84"/>
  <c r="AW250" i="84"/>
  <c r="AW952" i="84"/>
  <c r="AQ692" i="84"/>
  <c r="AQ316" i="84"/>
  <c r="AT811" i="84"/>
  <c r="AT314" i="84"/>
  <c r="AT63" i="84"/>
  <c r="BD131" i="84"/>
  <c r="BD55" i="84"/>
  <c r="AW94" i="84"/>
  <c r="AW266" i="84"/>
  <c r="AZ258" i="84"/>
  <c r="AZ159" i="84"/>
  <c r="AQ572" i="84"/>
  <c r="AQ635" i="84"/>
  <c r="AT139" i="84"/>
  <c r="BD619" i="84"/>
  <c r="AZ647" i="84"/>
  <c r="AT581" i="84"/>
  <c r="AZ631" i="84"/>
  <c r="BD480" i="84"/>
  <c r="AW518" i="84"/>
  <c r="AT349" i="84"/>
  <c r="AT762" i="84"/>
  <c r="AQ720" i="84"/>
  <c r="AZ721" i="84"/>
  <c r="AT216" i="84"/>
  <c r="AT244" i="84"/>
  <c r="AQ710" i="84"/>
  <c r="AZ522" i="84"/>
  <c r="AZ494" i="84"/>
  <c r="BD26" i="84"/>
  <c r="AQ915" i="84"/>
  <c r="AW524" i="84"/>
  <c r="AT208" i="84"/>
  <c r="AQ80" i="84"/>
  <c r="AZ827" i="84"/>
  <c r="AQ431" i="84"/>
  <c r="AZ282" i="84"/>
  <c r="BD382" i="84"/>
  <c r="AW184" i="84"/>
  <c r="BD784" i="84"/>
  <c r="BD140" i="84"/>
  <c r="AT662" i="84"/>
  <c r="BD129" i="84"/>
  <c r="BD602" i="84"/>
  <c r="AT466" i="84"/>
  <c r="AT264" i="84"/>
  <c r="AZ492" i="84"/>
  <c r="AQ300" i="84"/>
  <c r="AQ889" i="84"/>
  <c r="AT965" i="84"/>
  <c r="BD492" i="84"/>
  <c r="AZ43" i="84"/>
  <c r="AZ850" i="84"/>
  <c r="AT747" i="84"/>
  <c r="BD462" i="84"/>
  <c r="AZ954" i="84"/>
  <c r="BD397" i="84"/>
  <c r="AZ357" i="84"/>
  <c r="BD560" i="84"/>
  <c r="AQ95" i="84"/>
  <c r="BD552" i="84"/>
  <c r="BD488" i="84"/>
  <c r="BD364" i="84"/>
  <c r="AT485" i="84"/>
  <c r="BD938" i="84"/>
  <c r="AT105" i="84"/>
  <c r="BD108" i="84"/>
  <c r="AT674" i="84"/>
  <c r="AZ532" i="84"/>
  <c r="AW457" i="84"/>
  <c r="AW217" i="84"/>
  <c r="AW644" i="84"/>
  <c r="BD186" i="84"/>
  <c r="BD782" i="84"/>
  <c r="AT300" i="84"/>
  <c r="AQ747" i="84"/>
  <c r="AZ591" i="84"/>
  <c r="AQ297" i="84"/>
  <c r="AT326" i="84"/>
  <c r="AT7" i="84"/>
  <c r="AT822" i="84"/>
  <c r="AT753" i="84"/>
  <c r="AW462" i="84"/>
  <c r="AT310" i="84"/>
  <c r="AZ840" i="84"/>
  <c r="AZ136" i="84"/>
  <c r="AZ965" i="84"/>
  <c r="AW249" i="84"/>
  <c r="BD716" i="84"/>
  <c r="AQ919" i="84"/>
  <c r="AZ197" i="84"/>
  <c r="AT263" i="84"/>
  <c r="BD944" i="84"/>
  <c r="AT826" i="84"/>
  <c r="AT397" i="84"/>
  <c r="AZ678" i="84"/>
  <c r="AW41" i="84"/>
  <c r="BD962" i="84"/>
  <c r="BD611" i="84"/>
  <c r="AQ271" i="84"/>
  <c r="BD357" i="84"/>
  <c r="AQ845" i="84"/>
  <c r="AW570" i="84"/>
  <c r="AT576" i="84"/>
  <c r="BD451" i="84"/>
  <c r="AT560" i="84"/>
  <c r="AW578" i="84"/>
  <c r="AW290" i="84"/>
  <c r="AW568" i="84"/>
  <c r="AQ466" i="84"/>
  <c r="AW770" i="84"/>
  <c r="AW393" i="84"/>
  <c r="BD745" i="84"/>
  <c r="AW703" i="84"/>
  <c r="AT510" i="84"/>
  <c r="AZ606" i="84"/>
  <c r="AT308" i="84"/>
  <c r="AQ661" i="84"/>
  <c r="AT664" i="84"/>
  <c r="AQ374" i="84"/>
  <c r="AW714" i="84"/>
  <c r="AQ49" i="84"/>
  <c r="AT652" i="84"/>
  <c r="BD862" i="84"/>
  <c r="BD921" i="84"/>
  <c r="AQ401" i="84"/>
  <c r="AQ115" i="84"/>
  <c r="AZ121" i="84"/>
  <c r="BD45" i="84"/>
  <c r="AZ764" i="84"/>
  <c r="AQ228" i="84"/>
  <c r="AZ641" i="84"/>
  <c r="AT306" i="84"/>
  <c r="AT73" i="84"/>
  <c r="AT232" i="84"/>
  <c r="BD825" i="84"/>
  <c r="AW32" i="84"/>
  <c r="AZ875" i="84"/>
  <c r="AQ219" i="84"/>
  <c r="AQ821" i="84"/>
  <c r="AW808" i="84"/>
  <c r="AQ59" i="84"/>
  <c r="AT853" i="84"/>
  <c r="AT157" i="84"/>
  <c r="BD311" i="84"/>
  <c r="AZ449" i="84"/>
  <c r="AW44" i="84"/>
  <c r="AZ964" i="84"/>
  <c r="AT339" i="84"/>
  <c r="AZ778" i="84"/>
  <c r="AT116" i="84"/>
  <c r="AW122" i="84"/>
  <c r="AQ917" i="84"/>
  <c r="AZ634" i="84"/>
  <c r="AZ47" i="84"/>
  <c r="BD663" i="84"/>
  <c r="BD899" i="84"/>
  <c r="AZ435" i="84"/>
  <c r="AW942" i="84"/>
  <c r="AZ820" i="84"/>
  <c r="AW561" i="84"/>
  <c r="BD328" i="84"/>
  <c r="AW106" i="84"/>
  <c r="AQ940" i="84"/>
  <c r="AZ319" i="84"/>
  <c r="AW132" i="84"/>
  <c r="AZ361" i="84"/>
  <c r="AT291" i="84"/>
  <c r="AZ933" i="84"/>
  <c r="AQ83" i="84"/>
  <c r="AQ422" i="84"/>
  <c r="BD189" i="84"/>
  <c r="AT344" i="84"/>
  <c r="AT54" i="84"/>
  <c r="AT880" i="84"/>
  <c r="BD150" i="84"/>
  <c r="AQ734" i="84"/>
  <c r="AQ373" i="84"/>
  <c r="AZ161" i="84"/>
  <c r="AW579" i="84"/>
  <c r="AQ286" i="84"/>
  <c r="AQ254" i="84"/>
  <c r="AQ927" i="84"/>
  <c r="BD464" i="84"/>
  <c r="AZ215" i="84"/>
  <c r="AW403" i="84"/>
  <c r="AT406" i="84"/>
  <c r="AT920" i="84"/>
  <c r="AT961" i="84"/>
  <c r="AZ324" i="84"/>
  <c r="BD246" i="84"/>
  <c r="AZ700" i="84"/>
  <c r="AW113" i="84"/>
  <c r="AQ526" i="84"/>
  <c r="BD755" i="84"/>
  <c r="AZ803" i="84"/>
  <c r="AQ386" i="84"/>
  <c r="AT337" i="84"/>
  <c r="BD193" i="84"/>
  <c r="AZ713" i="84"/>
  <c r="BD953" i="84"/>
  <c r="AW333" i="84"/>
  <c r="AW153" i="84"/>
  <c r="AZ209" i="84"/>
  <c r="AQ777" i="84"/>
  <c r="AQ785" i="84"/>
  <c r="AW589" i="84"/>
  <c r="AT312" i="84"/>
  <c r="AW213" i="84"/>
  <c r="BD248" i="84"/>
  <c r="AW475" i="84"/>
  <c r="AQ936" i="84"/>
  <c r="AZ265" i="84"/>
  <c r="BD411" i="84"/>
  <c r="BD484" i="84"/>
  <c r="AZ87" i="84"/>
  <c r="AW89" i="84"/>
  <c r="AW726" i="84"/>
  <c r="AQ701" i="84"/>
  <c r="AZ166" i="84"/>
  <c r="AT934" i="84"/>
  <c r="AZ718" i="84"/>
  <c r="AZ31" i="84"/>
  <c r="AQ598" i="84"/>
  <c r="AQ18" i="84"/>
  <c r="BD338" i="84"/>
  <c r="BD111" i="84"/>
  <c r="AZ842" i="84"/>
  <c r="BD760" i="84"/>
  <c r="AQ860" i="84"/>
  <c r="AQ423" i="84"/>
  <c r="AW632" i="84"/>
  <c r="AW149" i="84"/>
  <c r="AW458" i="84"/>
  <c r="AT959" i="84"/>
  <c r="AW651" i="84"/>
  <c r="AQ740" i="84"/>
  <c r="BD245" i="84"/>
  <c r="AT913" i="84"/>
  <c r="AW931" i="84"/>
  <c r="AZ914" i="84"/>
  <c r="AW838" i="84"/>
  <c r="AT477" i="84"/>
  <c r="AQ490" i="84"/>
  <c r="AT152" i="84"/>
  <c r="AQ819" i="84"/>
  <c r="AZ884" i="84"/>
  <c r="AQ886" i="84"/>
  <c r="AZ582" i="84"/>
  <c r="AW554" i="84"/>
  <c r="BD688" i="84"/>
  <c r="AQ158" i="84"/>
  <c r="AT165" i="84"/>
  <c r="AW873" i="84"/>
  <c r="AW112" i="84"/>
  <c r="BD733" i="84"/>
  <c r="AT276" i="84"/>
  <c r="AW828" i="84"/>
  <c r="AT707" i="84"/>
  <c r="AW670" i="84"/>
  <c r="AQ648" i="84"/>
  <c r="AZ603" i="84"/>
  <c r="BD277" i="84"/>
  <c r="AZ654" i="84"/>
  <c r="AW666" i="84"/>
  <c r="AZ848" i="84"/>
  <c r="AZ299" i="84"/>
  <c r="AZ388" i="84"/>
  <c r="AZ101" i="84"/>
  <c r="AZ626" i="84"/>
  <c r="BD687" i="84"/>
  <c r="AQ690" i="84"/>
  <c r="AQ907" i="84"/>
  <c r="BD52" i="84"/>
  <c r="AT928" i="84"/>
  <c r="AQ318" i="84"/>
  <c r="AQ694" i="84"/>
  <c r="AQ793" i="84"/>
  <c r="AQ387" i="84"/>
  <c r="AQ178" i="84"/>
  <c r="BD897" i="84"/>
  <c r="AT741" i="84"/>
  <c r="AZ110" i="84"/>
  <c r="AW92" i="84"/>
  <c r="AZ169" i="84"/>
  <c r="AT709" i="84"/>
  <c r="AW269" i="84"/>
  <c r="BD242" i="84"/>
  <c r="BD895" i="84"/>
  <c r="AW584" i="84"/>
  <c r="AT918" i="84"/>
  <c r="BD844" i="84"/>
  <c r="AZ824" i="84"/>
  <c r="BD486" i="84"/>
  <c r="AW958" i="84"/>
  <c r="AW562" i="84"/>
  <c r="AW774" i="84"/>
  <c r="AQ901" i="84"/>
  <c r="AW643" i="84"/>
  <c r="AQ413" i="84"/>
  <c r="AT145" i="84"/>
  <c r="AQ594" i="84"/>
  <c r="BD292" i="84"/>
  <c r="AW371" i="84"/>
  <c r="AT767" i="84"/>
  <c r="AZ832" i="84"/>
  <c r="AQ325" i="84"/>
  <c r="AT351" i="84"/>
  <c r="AQ583" i="84"/>
  <c r="BD809" i="84"/>
  <c r="BD724" i="84"/>
  <c r="AT117" i="84"/>
  <c r="AW391" i="84"/>
  <c r="AQ695" i="84"/>
  <c r="AZ301" i="84"/>
  <c r="AT469" i="84"/>
  <c r="AT226" i="84"/>
  <c r="BD36" i="84"/>
  <c r="AT658" i="84"/>
  <c r="BD689" i="84"/>
  <c r="AQ867" i="84"/>
  <c r="AZ575" i="84"/>
  <c r="AT155" i="84"/>
  <c r="BD730" i="84"/>
  <c r="AT206" i="84"/>
  <c r="AT855" i="84"/>
  <c r="AZ29" i="84"/>
  <c r="BD605" i="84"/>
  <c r="AZ14" i="84"/>
  <c r="AZ305" i="84"/>
  <c r="BD426" i="84"/>
  <c r="AW163" i="84"/>
  <c r="AZ859" i="84"/>
  <c r="AQ278" i="84"/>
  <c r="AW738" i="84"/>
  <c r="AT650" i="84"/>
  <c r="AZ207" i="84"/>
  <c r="AQ415" i="84"/>
  <c r="BD854" i="84"/>
  <c r="AQ599" i="84"/>
  <c r="AW171" i="84"/>
  <c r="AT234" i="84"/>
  <c r="AQ748" i="84"/>
  <c r="BD164" i="84"/>
  <c r="AW280" i="84"/>
  <c r="BD230" i="84"/>
  <c r="AT623" i="84"/>
  <c r="AT817" i="84"/>
  <c r="BD923" i="84"/>
  <c r="BD587" i="84"/>
  <c r="AZ270" i="84"/>
  <c r="AT537" i="84"/>
  <c r="AZ876" i="84"/>
  <c r="AT454" i="84"/>
  <c r="AQ334" i="84"/>
  <c r="AW585" i="84"/>
  <c r="AZ252" i="84"/>
  <c r="AW675" i="84"/>
  <c r="BD222" i="84"/>
  <c r="AT86" i="84"/>
  <c r="AZ353" i="84"/>
  <c r="AQ567" i="84"/>
  <c r="AT470" i="84"/>
  <c r="BD359" i="84"/>
  <c r="AZ433" i="84"/>
  <c r="AW199" i="84"/>
  <c r="AQ669" i="84"/>
  <c r="AW685" i="84"/>
  <c r="AW902" i="84"/>
  <c r="AZ436" i="84"/>
  <c r="AT432" i="84"/>
  <c r="AZ788" i="84"/>
  <c r="AQ120" i="84"/>
  <c r="AW517" i="84"/>
  <c r="AZ224" i="84"/>
  <c r="AQ752" i="84"/>
  <c r="AW160" i="84"/>
  <c r="BD890" i="84"/>
  <c r="BD144" i="84"/>
  <c r="AW74" i="84"/>
  <c r="AT8" i="84"/>
  <c r="AZ847" i="84"/>
  <c r="AZ894" i="84"/>
  <c r="AW896" i="84"/>
  <c r="AT908" i="84"/>
  <c r="BD857" i="84"/>
  <c r="AZ340" i="84"/>
  <c r="AZ616" i="84"/>
  <c r="AT68" i="84"/>
  <c r="BD62" i="84"/>
  <c r="BD590" i="84"/>
  <c r="AQ496" i="84"/>
  <c r="AZ851" i="84"/>
  <c r="BD892" i="84"/>
  <c r="AZ608" i="84"/>
  <c r="AZ483" i="84"/>
  <c r="AW551" i="84"/>
  <c r="BD610" i="84"/>
  <c r="AZ544" i="84"/>
  <c r="AZ693" i="84"/>
  <c r="AW379" i="84"/>
  <c r="BD471" i="84"/>
  <c r="AZ723" i="84"/>
  <c r="AT704" i="84"/>
  <c r="AQ476" i="84"/>
  <c r="AQ563" i="84"/>
  <c r="AZ175" i="84"/>
  <c r="AQ187" i="84"/>
  <c r="AW799" i="84"/>
  <c r="AT434" i="84"/>
  <c r="AW296" i="84"/>
  <c r="AT104" i="84"/>
  <c r="AZ922" i="84"/>
  <c r="AZ370" i="84"/>
  <c r="BD195" i="84"/>
  <c r="BD879" i="84"/>
  <c r="AW372" i="84"/>
  <c r="AQ441" i="84"/>
  <c r="AZ9" i="84"/>
  <c r="AZ640" i="84"/>
  <c r="AQ655" i="84"/>
  <c r="AW53" i="84"/>
  <c r="BD283" i="84"/>
  <c r="AZ680" i="84"/>
  <c r="AQ262" i="84"/>
  <c r="AT33" i="84"/>
  <c r="AZ450" i="84"/>
  <c r="AT445" i="84"/>
  <c r="AZ82" i="84"/>
  <c r="AQ837" i="84"/>
  <c r="AZ407" i="84"/>
  <c r="AT102" i="84"/>
  <c r="AZ783" i="84"/>
  <c r="AT797" i="84"/>
  <c r="AW90" i="84"/>
  <c r="AZ272" i="84"/>
  <c r="AW15" i="84"/>
  <c r="AQ447" i="84"/>
  <c r="AQ534" i="84"/>
  <c r="AT749" i="84"/>
  <c r="BD630" i="84"/>
  <c r="AZ621" i="84"/>
  <c r="AW728" i="84"/>
  <c r="BD609" i="84"/>
  <c r="AQ499" i="84"/>
  <c r="AT273" i="84"/>
  <c r="AQ289" i="84"/>
  <c r="AW321" i="84"/>
  <c r="AT96" i="84"/>
  <c r="AW665" i="84"/>
  <c r="AW868" i="84"/>
  <c r="AZ574" i="84"/>
  <c r="AZ505" i="84"/>
  <c r="AQ345" i="84"/>
  <c r="AT25" i="84"/>
  <c r="AQ796" i="84"/>
  <c r="AT481" i="84"/>
  <c r="AQ19" i="84"/>
  <c r="BD881" i="84"/>
  <c r="AW17" i="84"/>
  <c r="AT756" i="84"/>
  <c r="BD776" i="84"/>
  <c r="BD239" i="84"/>
  <c r="AW766" i="84"/>
  <c r="AZ633" i="84"/>
  <c r="AT138" i="84"/>
  <c r="AT798" i="84"/>
  <c r="AW376" i="84"/>
  <c r="BD200" i="84"/>
  <c r="AQ513" i="84"/>
  <c r="AQ501" i="84"/>
  <c r="BD653" i="84"/>
  <c r="AQ128" i="84"/>
  <c r="AQ601" i="84"/>
  <c r="AW963" i="84"/>
  <c r="AQ849" i="84"/>
  <c r="AT28" i="84"/>
  <c r="AW274" i="84"/>
  <c r="AT27" i="84"/>
  <c r="AT126" i="84"/>
  <c r="AZ557" i="84"/>
  <c r="AZ566" i="84"/>
  <c r="BD134" i="84"/>
  <c r="AZ255" i="84"/>
  <c r="BD453" i="84"/>
  <c r="AT577" i="84"/>
  <c r="BD84" i="84"/>
  <c r="AQ607" i="84"/>
  <c r="BD729" i="84"/>
  <c r="AW916" i="84"/>
  <c r="AZ341" i="84"/>
  <c r="AT256" i="84"/>
  <c r="AQ801" i="84"/>
  <c r="AZ71" i="84"/>
  <c r="AQ313" i="84"/>
  <c r="AW34" i="84"/>
  <c r="AQ699" i="84"/>
  <c r="AZ79" i="84"/>
  <c r="AQ390" i="84"/>
  <c r="BD966" i="84"/>
  <c r="AQ377" i="84"/>
  <c r="AW404" i="84"/>
  <c r="BD210" i="84"/>
  <c r="AT903" i="84"/>
  <c r="AW190" i="84"/>
  <c r="AT362" i="84"/>
  <c r="AT508" i="84"/>
  <c r="AZ93" i="84"/>
  <c r="AW805" i="84"/>
  <c r="BD118" i="84"/>
  <c r="AW580" i="84"/>
  <c r="AW620" i="84"/>
  <c r="AT947" i="84"/>
  <c r="AZ12" i="84"/>
  <c r="AQ912" i="84"/>
  <c r="AZ295" i="84"/>
  <c r="AQ439" i="84"/>
  <c r="AZ698" i="84"/>
  <c r="AZ676" i="84"/>
  <c r="AT527" i="84"/>
  <c r="AW151" i="84"/>
  <c r="AZ367" i="84"/>
  <c r="BD573" i="84"/>
  <c r="AW813" i="84"/>
  <c r="AQ790" i="84"/>
  <c r="AZ565" i="84"/>
  <c r="BD593" i="84"/>
  <c r="AZ60" i="84"/>
  <c r="BD58" i="84"/>
  <c r="AZ293" i="84"/>
  <c r="AZ614" i="84"/>
  <c r="AZ887" i="84"/>
  <c r="AQ202" i="84"/>
  <c r="BD365" i="84"/>
  <c r="AW731" i="84"/>
  <c r="AQ592" i="84"/>
  <c r="AQ461" i="84"/>
  <c r="AZ816" i="84"/>
  <c r="AQ468" i="84"/>
  <c r="AT843" i="84"/>
  <c r="AW381" i="84"/>
  <c r="AW419" i="84"/>
  <c r="AZ588" i="84"/>
  <c r="AQ398" i="84"/>
  <c r="AZ368" i="84"/>
  <c r="AQ114" i="84"/>
  <c r="AT945" i="84"/>
  <c r="BD883" i="84"/>
  <c r="AW130" i="84"/>
  <c r="AW941" i="84"/>
  <c r="AW546" i="84"/>
  <c r="AT930" i="84"/>
  <c r="AZ176" i="84"/>
  <c r="AT856" i="84"/>
  <c r="AT156" i="84"/>
  <c r="AZ421" i="84"/>
  <c r="BD137" i="84"/>
  <c r="AW737" i="84"/>
  <c r="BD818" i="84"/>
  <c r="AQ424" i="84"/>
  <c r="BD88" i="84"/>
  <c r="BD227" i="84"/>
  <c r="AZ127" i="84"/>
  <c r="AZ757" i="84"/>
  <c r="AW506" i="84"/>
  <c r="AQ771" i="84"/>
  <c r="BD705" i="84"/>
  <c r="AT465" i="84"/>
  <c r="AW315" i="84"/>
  <c r="AQ649" i="84"/>
  <c r="AQ786" i="84"/>
  <c r="AZ443" i="84"/>
  <c r="AZ750" i="84"/>
  <c r="AQ717" i="84"/>
  <c r="AZ257" i="84"/>
  <c r="AT823" i="84"/>
  <c r="AQ429" i="84"/>
  <c r="AW736" i="84"/>
  <c r="AW38" i="84"/>
  <c r="AW596" i="84"/>
  <c r="AT872" i="84"/>
  <c r="AW233" i="84"/>
  <c r="AT780" i="84"/>
  <c r="AW600" i="84"/>
  <c r="BD955" i="84"/>
  <c r="AT221" i="84"/>
  <c r="AQ528" i="84"/>
  <c r="AQ512" i="84"/>
  <c r="AW42" i="84"/>
  <c r="AT932" i="84"/>
  <c r="AZ356" i="84"/>
  <c r="AT865" i="84"/>
  <c r="AT911" i="84"/>
  <c r="BD539" i="84"/>
  <c r="BD831" i="84"/>
  <c r="AW223" i="84"/>
  <c r="AZ473" i="84"/>
  <c r="AW525" i="84"/>
  <c r="AQ211" i="84"/>
  <c r="BD743" i="84"/>
  <c r="AQ474" i="84"/>
  <c r="AZ348" i="84"/>
  <c r="BD504" i="84"/>
  <c r="AZ511" i="84"/>
  <c r="AW418" i="84"/>
  <c r="AT250" i="84"/>
  <c r="AZ952" i="84"/>
  <c r="AW692" i="84"/>
  <c r="BD316" i="84"/>
  <c r="AW188" i="84"/>
  <c r="AW314" i="84"/>
  <c r="AW63" i="84"/>
  <c r="AW746" i="84"/>
  <c r="AW55" i="84"/>
  <c r="AZ94" i="84"/>
  <c r="AZ266" i="84"/>
  <c r="BD258" i="84"/>
  <c r="AT711" i="84"/>
  <c r="AT572" i="84"/>
  <c r="AZ635" i="84"/>
  <c r="BD139" i="84"/>
  <c r="AZ619" i="84"/>
  <c r="AZ11" i="84"/>
  <c r="BD581" i="84"/>
  <c r="AT631" i="84"/>
  <c r="AQ480" i="84"/>
  <c r="BD518" i="84"/>
  <c r="AZ147" i="84"/>
  <c r="BD762" i="84"/>
  <c r="AT720" i="84"/>
  <c r="AW721" i="84"/>
  <c r="AW216" i="84"/>
  <c r="AW852" i="84"/>
  <c r="BD710" i="84"/>
  <c r="AW522" i="84"/>
  <c r="AW494" i="84"/>
  <c r="AZ26" i="84"/>
  <c r="AZ683" i="84"/>
  <c r="AQ524" i="84"/>
  <c r="AQ208" i="84"/>
  <c r="AZ80" i="84"/>
  <c r="AQ827" i="84"/>
  <c r="AW787" i="84"/>
  <c r="AW282" i="84"/>
  <c r="AT382" i="84"/>
  <c r="AQ203" i="84"/>
  <c r="AW784" i="84"/>
  <c r="AW140" i="84"/>
  <c r="AZ662" i="84"/>
  <c r="AW129" i="84"/>
  <c r="AZ533" i="84"/>
  <c r="AQ725" i="84"/>
  <c r="AT22" i="84"/>
  <c r="BD472" i="84"/>
  <c r="AT840" i="84"/>
  <c r="AT919" i="84"/>
  <c r="BD874" i="84"/>
  <c r="AT727" i="84"/>
  <c r="BD72" i="84"/>
  <c r="BD259" i="84"/>
  <c r="BD409" i="84"/>
  <c r="AQ502" i="84"/>
  <c r="AW214" i="84"/>
  <c r="AZ646" i="84"/>
  <c r="AZ742" i="84"/>
  <c r="AT636" i="84"/>
  <c r="AQ938" i="84"/>
  <c r="AQ217" i="84"/>
  <c r="BD214" i="84"/>
  <c r="AW822" i="84"/>
  <c r="AZ249" i="84"/>
  <c r="BD497" i="84"/>
  <c r="AW451" i="84"/>
  <c r="AW773" i="84"/>
  <c r="AZ773" i="84"/>
  <c r="AQ636" i="84"/>
  <c r="BD870" i="84"/>
  <c r="AW488" i="84"/>
  <c r="AQ364" i="84"/>
  <c r="AZ485" i="84"/>
  <c r="AW725" i="84"/>
  <c r="BD105" i="84"/>
  <c r="AW108" i="84"/>
  <c r="BD674" i="84"/>
  <c r="BD532" i="84"/>
  <c r="AQ22" i="84"/>
  <c r="BD217" i="84"/>
  <c r="AT644" i="84"/>
  <c r="AZ186" i="84"/>
  <c r="AT782" i="84"/>
  <c r="AT48" i="84"/>
  <c r="BD747" i="84"/>
  <c r="AQ591" i="84"/>
  <c r="AQ472" i="84"/>
  <c r="AZ326" i="84"/>
  <c r="AQ7" i="84"/>
  <c r="AQ40" i="84"/>
  <c r="AQ134" i="84"/>
  <c r="AZ822" i="84"/>
  <c r="AW10" i="84"/>
  <c r="AZ462" i="84"/>
  <c r="AQ310" i="84"/>
  <c r="AQ840" i="84"/>
  <c r="AW136" i="84"/>
  <c r="AW926" i="84"/>
  <c r="AT249" i="84"/>
  <c r="AZ716" i="84"/>
  <c r="AZ919" i="84"/>
  <c r="AT197" i="84"/>
  <c r="AZ874" i="84"/>
  <c r="AT944" i="84"/>
  <c r="AZ826" i="84"/>
  <c r="AW397" i="84"/>
  <c r="AW678" i="84"/>
  <c r="AW727" i="84"/>
  <c r="AW962" i="84"/>
  <c r="AZ611" i="84"/>
  <c r="AW271" i="84"/>
  <c r="AQ357" i="84"/>
  <c r="AW437" i="84"/>
  <c r="AQ570" i="84"/>
  <c r="AZ576" i="84"/>
  <c r="AT451" i="84"/>
  <c r="AZ560" i="84"/>
  <c r="AW549" i="84"/>
  <c r="AT290" i="84"/>
  <c r="AQ568" i="84"/>
  <c r="AW466" i="84"/>
  <c r="BD770" i="84"/>
  <c r="AQ789" i="84"/>
  <c r="AT745" i="84"/>
  <c r="BD703" i="84"/>
  <c r="AQ510" i="84"/>
  <c r="AQ606" i="84"/>
  <c r="AT172" i="84"/>
  <c r="BD661" i="84"/>
  <c r="BD664" i="84"/>
  <c r="AT374" i="84"/>
  <c r="AQ714" i="84"/>
  <c r="AW459" i="84"/>
  <c r="AQ652" i="84"/>
  <c r="AZ862" i="84"/>
  <c r="AW921" i="84"/>
  <c r="AW401" i="84"/>
  <c r="AZ696" i="84"/>
  <c r="AT121" i="84"/>
  <c r="AQ45" i="84"/>
  <c r="BD764" i="84"/>
  <c r="BD228" i="84"/>
  <c r="AT378" i="84"/>
  <c r="AW306" i="84"/>
  <c r="AQ141" i="84"/>
  <c r="AQ73" i="84"/>
  <c r="AW232" i="84"/>
  <c r="AQ825" i="84"/>
  <c r="AQ32" i="84"/>
  <c r="AZ898" i="84"/>
  <c r="AT219" i="84"/>
  <c r="AW821" i="84"/>
  <c r="AT808" i="84"/>
  <c r="AT59" i="84"/>
  <c r="AQ853" i="84"/>
  <c r="AZ157" i="84"/>
  <c r="AZ311" i="84"/>
  <c r="BD564" i="84"/>
  <c r="AT44" i="84"/>
  <c r="AW964" i="84"/>
  <c r="AZ339" i="84"/>
  <c r="AQ778" i="84"/>
  <c r="BD288" i="84"/>
  <c r="BD122" i="84"/>
  <c r="AZ917" i="84"/>
  <c r="AQ634" i="84"/>
  <c r="AT47" i="84"/>
  <c r="AZ663" i="84"/>
  <c r="AQ899" i="84"/>
  <c r="AT435" i="84"/>
  <c r="BD237" i="84"/>
  <c r="BD820" i="84"/>
  <c r="AT561" i="84"/>
  <c r="AQ328" i="84"/>
  <c r="AT106" i="84"/>
  <c r="BD317" i="84"/>
  <c r="BD319" i="84"/>
  <c r="AT132" i="84"/>
  <c r="BD361" i="84"/>
  <c r="BD291" i="84"/>
  <c r="AQ231" i="84"/>
  <c r="AW83" i="84"/>
  <c r="AW422" i="84"/>
  <c r="AZ189" i="84"/>
  <c r="AQ344" i="84"/>
  <c r="AQ54" i="84"/>
  <c r="BD241" i="84"/>
  <c r="AW150" i="84"/>
  <c r="AT734" i="84"/>
  <c r="AW373" i="84"/>
  <c r="AW161" i="84"/>
  <c r="AQ597" i="84"/>
  <c r="AW286" i="84"/>
  <c r="AZ254" i="84"/>
  <c r="BD927" i="84"/>
  <c r="AQ464" i="84"/>
  <c r="AT287" i="84"/>
  <c r="BD403" i="84"/>
  <c r="AZ406" i="84"/>
  <c r="AZ920" i="84"/>
  <c r="AZ961" i="84"/>
  <c r="BD123" i="84"/>
  <c r="AW246" i="84"/>
  <c r="AW700" i="84"/>
  <c r="AQ113" i="84"/>
  <c r="AW526" i="84"/>
  <c r="AQ46" i="84"/>
  <c r="AT803" i="84"/>
  <c r="BD386" i="84"/>
  <c r="AZ337" i="84"/>
  <c r="AZ193" i="84"/>
  <c r="AT30" i="84"/>
  <c r="AQ953" i="84"/>
  <c r="AQ333" i="84"/>
  <c r="BD66" i="84"/>
  <c r="AT209" i="84"/>
  <c r="AW777" i="84"/>
  <c r="AW785" i="84"/>
  <c r="AZ535" i="84"/>
  <c r="AQ312" i="84"/>
  <c r="AQ213" i="84"/>
  <c r="AT744" i="84"/>
  <c r="BD475" i="84"/>
  <c r="AZ936" i="84"/>
  <c r="AQ265" i="84"/>
  <c r="AZ411" i="84"/>
  <c r="AT482" i="84"/>
  <c r="BD87" i="84"/>
  <c r="AT89" i="84"/>
  <c r="AZ726" i="84"/>
  <c r="BD701" i="84"/>
  <c r="AQ279" i="84"/>
  <c r="AQ934" i="84"/>
  <c r="AT718" i="84"/>
  <c r="BD31" i="84"/>
  <c r="AW598" i="84"/>
  <c r="AZ460" i="84"/>
  <c r="AW338" i="84"/>
  <c r="AZ111" i="84"/>
  <c r="BD842" i="84"/>
  <c r="AZ760" i="84"/>
  <c r="AQ467" i="84"/>
  <c r="AW423" i="84"/>
  <c r="AQ632" i="84"/>
  <c r="AQ149" i="84"/>
  <c r="AQ458" i="84"/>
  <c r="AQ408" i="84"/>
  <c r="BD651" i="84"/>
  <c r="BD740" i="84"/>
  <c r="AQ245" i="84"/>
  <c r="BD913" i="84"/>
  <c r="AT668" i="84"/>
  <c r="AQ914" i="84"/>
  <c r="AT838" i="84"/>
  <c r="AW477" i="84"/>
  <c r="AZ490" i="84"/>
  <c r="AZ800" i="84"/>
  <c r="AW819" i="84"/>
  <c r="BD884" i="84"/>
  <c r="AT886" i="84"/>
  <c r="BD582" i="84"/>
  <c r="AZ732" i="84"/>
  <c r="AT688" i="84"/>
  <c r="BD158" i="84"/>
  <c r="AQ165" i="84"/>
  <c r="BD873" i="84"/>
  <c r="AQ548" i="84"/>
  <c r="AZ733" i="84"/>
  <c r="AZ276" i="84"/>
  <c r="AQ828" i="84"/>
  <c r="AZ707" i="84"/>
  <c r="BD500" i="84"/>
  <c r="AZ648" i="84"/>
  <c r="AW603" i="84"/>
  <c r="AT277" i="84"/>
  <c r="BD654" i="84"/>
  <c r="AQ673" i="84"/>
  <c r="AQ848" i="84"/>
  <c r="AW299" i="84"/>
  <c r="AQ388" i="84"/>
  <c r="BD101" i="84"/>
  <c r="BD956" i="84"/>
  <c r="AT687" i="84"/>
  <c r="AT235" i="84"/>
  <c r="AW690" i="84"/>
  <c r="AW907" i="84"/>
  <c r="AQ52" i="84"/>
  <c r="AW928" i="84"/>
  <c r="AQ559" i="84"/>
  <c r="AW694" i="84"/>
  <c r="BD793" i="84"/>
  <c r="AW387" i="84"/>
  <c r="AW178" i="84"/>
  <c r="AW660" i="84"/>
  <c r="AZ741" i="84"/>
  <c r="AW110" i="84"/>
  <c r="BD905" i="84"/>
  <c r="AW169" i="84"/>
  <c r="AW709" i="84"/>
  <c r="AT269" i="84"/>
  <c r="AW242" i="84"/>
  <c r="BD360" i="84"/>
  <c r="BD584" i="84"/>
  <c r="BD918" i="84"/>
  <c r="AT844" i="84"/>
  <c r="AW824" i="84"/>
  <c r="AW864" i="84"/>
  <c r="AQ958" i="84"/>
  <c r="AZ562" i="84"/>
  <c r="BD774" i="84"/>
  <c r="AW901" i="84"/>
  <c r="AQ643" i="84"/>
  <c r="BD413" i="84"/>
  <c r="BD145" i="84"/>
  <c r="AQ323" i="84"/>
  <c r="AT292" i="84"/>
  <c r="BD371" i="84"/>
  <c r="AW767" i="84"/>
  <c r="BD832" i="84"/>
  <c r="AT900" i="84"/>
  <c r="AZ351" i="84"/>
  <c r="AZ583" i="84"/>
  <c r="AZ809" i="84"/>
  <c r="AT724" i="84"/>
  <c r="AW571" i="84"/>
  <c r="AQ391" i="84"/>
  <c r="BD695" i="84"/>
  <c r="AQ301" i="84"/>
  <c r="AQ469" i="84"/>
  <c r="AW761" i="84"/>
  <c r="AW36" i="84"/>
  <c r="AQ658" i="84"/>
  <c r="AZ689" i="84"/>
  <c r="AT867" i="84"/>
  <c r="AZ768" i="84"/>
  <c r="AW155" i="84"/>
  <c r="AQ730" i="84"/>
  <c r="BD206" i="84"/>
  <c r="AZ855" i="84"/>
  <c r="AT352" i="84"/>
  <c r="AQ605" i="84"/>
  <c r="BD14" i="84"/>
  <c r="BD305" i="84"/>
  <c r="AT426" i="84"/>
  <c r="AT163" i="84"/>
  <c r="BD869" i="84"/>
  <c r="AW278" i="84"/>
  <c r="AQ738" i="84"/>
  <c r="BD650" i="84"/>
  <c r="BD207" i="84"/>
  <c r="AT260" i="84"/>
  <c r="AT854" i="84"/>
  <c r="AT599" i="84"/>
  <c r="AT171" i="84"/>
  <c r="AQ234" i="84"/>
  <c r="AZ399" i="84"/>
  <c r="AQ164" i="84"/>
  <c r="AZ280" i="84"/>
  <c r="AW230" i="84"/>
  <c r="AZ623" i="84"/>
  <c r="AT950" i="84"/>
  <c r="AW923" i="84"/>
  <c r="AT587" i="84"/>
  <c r="AT270" i="84"/>
  <c r="AZ537" i="84"/>
  <c r="BD949" i="84"/>
  <c r="AQ454" i="84"/>
  <c r="AW334" i="84"/>
  <c r="AT585" i="84"/>
  <c r="AT252" i="84"/>
  <c r="AQ706" i="84"/>
  <c r="AQ222" i="84"/>
  <c r="BD86" i="84"/>
  <c r="AW353" i="84"/>
  <c r="AZ567" i="84"/>
  <c r="AZ81" i="84"/>
  <c r="AT359" i="84"/>
  <c r="AQ433" i="84"/>
  <c r="AZ199" i="84"/>
  <c r="AT669" i="84"/>
  <c r="AW307" i="84"/>
  <c r="AQ902" i="84"/>
  <c r="BD436" i="84"/>
  <c r="AQ432" i="84"/>
  <c r="BD788" i="84"/>
  <c r="AZ320" i="84"/>
  <c r="AT517" i="84"/>
  <c r="AT224" i="84"/>
  <c r="AT752" i="84"/>
  <c r="AZ160" i="84"/>
  <c r="AT229" i="84"/>
  <c r="AT144" i="84"/>
  <c r="BD74" i="84"/>
  <c r="AQ170" i="84"/>
  <c r="AW847" i="84"/>
  <c r="AT894" i="84"/>
  <c r="AZ896" i="84"/>
  <c r="AW908" i="84"/>
  <c r="AT358" i="84"/>
  <c r="BD340" i="84"/>
  <c r="BD616" i="84"/>
  <c r="BD68" i="84"/>
  <c r="AT62" i="84"/>
  <c r="AQ16" i="84"/>
  <c r="AZ496" i="84"/>
  <c r="AW851" i="84"/>
  <c r="AQ892" i="84"/>
  <c r="AT608" i="84"/>
  <c r="AZ85" i="84"/>
  <c r="AT551" i="84"/>
  <c r="AW610" i="84"/>
  <c r="AQ544" i="84"/>
  <c r="AW693" i="84"/>
  <c r="AT627" i="84"/>
  <c r="AQ471" i="84"/>
  <c r="AQ723" i="84"/>
  <c r="AW704" i="84"/>
  <c r="AZ476" i="84"/>
  <c r="AQ904" i="84"/>
  <c r="BD175" i="84"/>
  <c r="AW187" i="84"/>
  <c r="AQ799" i="84"/>
  <c r="AZ434" i="84"/>
  <c r="BD455" i="84"/>
  <c r="AZ104" i="84"/>
  <c r="AW922" i="84"/>
  <c r="AW370" i="84"/>
  <c r="AT195" i="84"/>
  <c r="BD769" i="84"/>
  <c r="AQ372" i="84"/>
  <c r="AW441" i="84"/>
  <c r="AW329" i="84"/>
  <c r="AW640" i="84"/>
  <c r="AT655" i="84"/>
  <c r="AZ53" i="84"/>
  <c r="AT283" i="84"/>
  <c r="AT425" i="84"/>
  <c r="AT262" i="84"/>
  <c r="AW33" i="84"/>
  <c r="BD450" i="84"/>
  <c r="AQ445" i="84"/>
  <c r="AZ304" i="84"/>
  <c r="AT837" i="84"/>
  <c r="AW407" i="84"/>
  <c r="BD102" i="84"/>
  <c r="AT783" i="84"/>
  <c r="AT612" i="84"/>
  <c r="BD90" i="84"/>
  <c r="AW272" i="84"/>
  <c r="BD15" i="84"/>
  <c r="AW447" i="84"/>
  <c r="AZ438" i="84"/>
  <c r="AZ749" i="84"/>
  <c r="AT630" i="84"/>
  <c r="BD621" i="84"/>
  <c r="AQ728" i="84"/>
  <c r="AW180" i="84"/>
  <c r="BD499" i="84"/>
  <c r="AQ273" i="84"/>
  <c r="BD289" i="84"/>
  <c r="AQ321" i="84"/>
  <c r="AZ400" i="84"/>
  <c r="AT665" i="84"/>
  <c r="BD868" i="84"/>
  <c r="BD574" i="84"/>
  <c r="AW505" i="84"/>
  <c r="AZ615" i="84"/>
  <c r="AZ25" i="84"/>
  <c r="AZ796" i="84"/>
  <c r="AW481" i="84"/>
  <c r="AT19" i="84"/>
  <c r="BD545" i="84"/>
  <c r="AZ17" i="84"/>
  <c r="AW756" i="84"/>
  <c r="AT776" i="84"/>
  <c r="AT239" i="84"/>
  <c r="AW951" i="84"/>
  <c r="AT633" i="84"/>
  <c r="AQ138" i="84"/>
  <c r="AQ798" i="84"/>
  <c r="AT376" i="84"/>
  <c r="AW906" i="84"/>
  <c r="AZ513" i="84"/>
  <c r="AT501" i="84"/>
  <c r="AW653" i="84"/>
  <c r="BD128" i="84"/>
  <c r="AW601" i="84"/>
  <c r="AT963" i="84"/>
  <c r="AT849" i="84"/>
  <c r="AQ758" i="84"/>
  <c r="AT274" i="84"/>
  <c r="AW27" i="84"/>
  <c r="BD126" i="84"/>
  <c r="AT557" i="84"/>
  <c r="AQ775" i="84"/>
  <c r="AW134" i="84"/>
  <c r="AT255" i="84"/>
  <c r="AW154" i="84"/>
  <c r="BD577" i="84"/>
  <c r="AQ84" i="84"/>
  <c r="AQ375" i="84"/>
  <c r="AQ729" i="84"/>
  <c r="AZ916" i="84"/>
  <c r="AW341" i="84"/>
  <c r="AZ256" i="84"/>
  <c r="AQ939" i="84"/>
  <c r="AQ71" i="84"/>
  <c r="AT313" i="84"/>
  <c r="BD34" i="84"/>
  <c r="BD699" i="84"/>
  <c r="AQ284" i="84"/>
  <c r="AZ390" i="84"/>
  <c r="AQ966" i="84"/>
  <c r="AZ377" i="84"/>
  <c r="AZ404" i="84"/>
  <c r="AZ194" i="84"/>
  <c r="AZ903" i="84"/>
  <c r="AQ190" i="84"/>
  <c r="AZ362" i="84"/>
  <c r="BD508" i="84"/>
  <c r="AQ622" i="84"/>
  <c r="AZ805" i="84"/>
  <c r="AQ118" i="84"/>
  <c r="AZ580" i="84"/>
  <c r="AT620" i="84"/>
  <c r="BD947" i="84"/>
  <c r="BD12" i="84"/>
  <c r="BD912" i="84"/>
  <c r="AW183" i="84"/>
  <c r="AZ439" i="84"/>
  <c r="AT698" i="84"/>
  <c r="BD676" i="84"/>
  <c r="BD527" i="84"/>
  <c r="AT309" i="84"/>
  <c r="AQ367" i="84"/>
  <c r="AT573" i="84"/>
  <c r="BD813" i="84"/>
  <c r="AW790" i="84"/>
  <c r="AZ191" i="84"/>
  <c r="AW593" i="84"/>
  <c r="AT60" i="84"/>
  <c r="AW414" i="84"/>
  <c r="AW293" i="84"/>
  <c r="AW614" i="84"/>
  <c r="BD887" i="84"/>
  <c r="AZ202" i="84"/>
  <c r="AW846" i="84"/>
  <c r="AT731" i="84"/>
  <c r="AT592" i="84"/>
  <c r="AZ461" i="84"/>
  <c r="AT816" i="84"/>
  <c r="AZ586" i="84"/>
  <c r="AW843" i="84"/>
  <c r="AZ381" i="84"/>
  <c r="AT419" i="84"/>
  <c r="AW588" i="84"/>
  <c r="AQ617" i="84"/>
  <c r="AW368" i="84"/>
  <c r="BD114" i="84"/>
  <c r="AQ350" i="84"/>
  <c r="AW883" i="84"/>
  <c r="AQ130" i="84"/>
  <c r="AT542" i="84"/>
  <c r="AZ546" i="84"/>
  <c r="AZ930" i="84"/>
  <c r="BD354" i="84"/>
  <c r="AW856" i="84"/>
  <c r="AZ156" i="84"/>
  <c r="AT421" i="84"/>
  <c r="AZ137" i="84"/>
  <c r="AQ558" i="84"/>
  <c r="AZ818" i="84"/>
  <c r="AT424" i="84"/>
  <c r="AZ88" i="84"/>
  <c r="AT227" i="84"/>
  <c r="AT925" i="84"/>
  <c r="AW757" i="84"/>
  <c r="AT506" i="84"/>
  <c r="AZ771" i="84"/>
  <c r="AW705" i="84"/>
  <c r="AZ430" i="84"/>
  <c r="BD315" i="84"/>
  <c r="AT649" i="84"/>
  <c r="AZ786" i="84"/>
  <c r="AQ443" i="84"/>
  <c r="AZ13" i="84"/>
  <c r="AW717" i="84"/>
  <c r="BD257" i="84"/>
  <c r="AW823" i="84"/>
  <c r="AW429" i="84"/>
  <c r="AZ50" i="84"/>
  <c r="BD38" i="84"/>
  <c r="AQ596" i="84"/>
  <c r="AZ872" i="84"/>
  <c r="BD233" i="84"/>
  <c r="AZ285" i="84"/>
  <c r="AQ600" i="84"/>
  <c r="AT955" i="84"/>
  <c r="AQ221" i="84"/>
  <c r="AZ528" i="84"/>
  <c r="AT107" i="84"/>
  <c r="BD42" i="84"/>
  <c r="AW932" i="84"/>
  <c r="AQ356" i="84"/>
  <c r="BD865" i="84"/>
  <c r="AQ220" i="84"/>
  <c r="AZ539" i="84"/>
  <c r="AZ831" i="84"/>
  <c r="AT223" i="84"/>
  <c r="AW473" i="84"/>
  <c r="AQ366" i="84"/>
  <c r="AW211" i="84"/>
  <c r="AQ743" i="84"/>
  <c r="BD474" i="84"/>
  <c r="AT348" i="84"/>
  <c r="BD885" i="84"/>
  <c r="AQ511" i="84"/>
  <c r="AT418" i="84"/>
  <c r="BD250" i="84"/>
  <c r="AT952" i="84"/>
  <c r="AQ871" i="84"/>
  <c r="AT316" i="84"/>
  <c r="AZ188" i="84"/>
  <c r="AQ314" i="84"/>
  <c r="AZ63" i="84"/>
  <c r="AQ746" i="84"/>
  <c r="AZ55" i="84"/>
  <c r="AT94" i="84"/>
  <c r="AT960" i="84"/>
  <c r="AW258" i="84"/>
  <c r="BD711" i="84"/>
  <c r="BD572" i="84"/>
  <c r="AW635" i="84"/>
  <c r="AQ236" i="84"/>
  <c r="AQ619" i="84"/>
  <c r="AW11" i="84"/>
  <c r="AW581" i="84"/>
  <c r="BD631" i="84"/>
  <c r="AW833" i="84"/>
  <c r="AZ518" i="84"/>
  <c r="AT147" i="84"/>
  <c r="AQ762" i="84"/>
  <c r="AW720" i="84"/>
  <c r="AZ343" i="84"/>
  <c r="AZ216" i="84"/>
  <c r="BD852" i="84"/>
  <c r="AW710" i="84"/>
  <c r="AT522" i="84"/>
  <c r="AZ835" i="84"/>
  <c r="AQ26" i="84"/>
  <c r="AQ683" i="84"/>
  <c r="AZ524" i="84"/>
  <c r="AW208" i="84"/>
  <c r="BD702" i="84"/>
  <c r="AT827" i="84"/>
  <c r="AQ787" i="84"/>
  <c r="BD282" i="84"/>
  <c r="AQ382" i="84"/>
  <c r="AW203" i="84"/>
  <c r="AT784" i="84"/>
  <c r="AZ140" i="84"/>
  <c r="AZ878" i="84"/>
  <c r="AQ129" i="84"/>
  <c r="AW533" i="84"/>
  <c r="AZ674" i="84"/>
  <c r="BD300" i="84"/>
  <c r="BD281" i="84"/>
  <c r="AT646" i="84"/>
  <c r="AZ263" i="84"/>
  <c r="BD271" i="84"/>
  <c r="BD198" i="84"/>
  <c r="AZ735" i="84"/>
  <c r="AW510" i="84"/>
  <c r="AW792" i="84"/>
  <c r="AT938" i="84"/>
  <c r="AT217" i="84"/>
  <c r="AT331" i="84"/>
  <c r="AQ263" i="84"/>
  <c r="AW416" i="84"/>
  <c r="AT364" i="84"/>
  <c r="AQ457" i="84"/>
  <c r="BD7" i="84"/>
  <c r="BD344" i="84"/>
  <c r="BD154" i="84"/>
  <c r="BD184" i="84"/>
  <c r="BD520" i="84"/>
  <c r="BD369" i="84"/>
  <c r="BD130" i="84"/>
  <c r="BD153" i="84"/>
  <c r="BD63" i="84"/>
  <c r="BD441" i="84"/>
  <c r="BD201" i="84"/>
  <c r="BD326" i="84"/>
  <c r="BD297" i="84"/>
  <c r="BD417" i="84"/>
  <c r="BD110" i="84"/>
  <c r="BD225" i="84"/>
  <c r="BD368" i="84"/>
  <c r="BD514" i="84"/>
  <c r="BD392" i="84"/>
  <c r="BD489" i="84"/>
  <c r="BD176" i="84"/>
  <c r="AW840" i="84"/>
  <c r="AQ197" i="84"/>
  <c r="AQ678" i="84"/>
  <c r="BD845" i="84"/>
  <c r="AT578" i="84"/>
  <c r="AZ264" i="84"/>
  <c r="BD264" i="84"/>
  <c r="AQ552" i="84"/>
  <c r="AQ773" i="84"/>
  <c r="AT792" i="84"/>
  <c r="AZ636" i="84"/>
  <c r="AZ870" i="84"/>
  <c r="AW552" i="84"/>
  <c r="AQ488" i="84"/>
  <c r="AQ409" i="84"/>
  <c r="AW485" i="84"/>
  <c r="AT725" i="84"/>
  <c r="AW105" i="84"/>
  <c r="AZ108" i="84"/>
  <c r="BD502" i="84"/>
  <c r="AQ532" i="84"/>
  <c r="BD22" i="84"/>
  <c r="AZ217" i="84"/>
  <c r="AZ644" i="84"/>
  <c r="AZ302" i="84"/>
  <c r="AQ782" i="84"/>
  <c r="AZ48" i="84"/>
  <c r="AW747" i="84"/>
  <c r="AW591" i="84"/>
  <c r="AT472" i="84"/>
  <c r="AQ281" i="84"/>
  <c r="AW7" i="84"/>
  <c r="AW248" i="84"/>
  <c r="AW14" i="84"/>
  <c r="AW889" i="84"/>
  <c r="AQ822" i="84"/>
  <c r="AT10" i="84"/>
  <c r="AQ462" i="84"/>
  <c r="AZ310" i="84"/>
  <c r="AW646" i="84"/>
  <c r="BD136" i="84"/>
  <c r="BD926" i="84"/>
  <c r="BD249" i="84"/>
  <c r="AT716" i="84"/>
  <c r="AT742" i="84"/>
  <c r="AW197" i="84"/>
  <c r="AT874" i="84"/>
  <c r="AQ944" i="84"/>
  <c r="AQ826" i="84"/>
  <c r="AW98" i="84"/>
  <c r="BD678" i="84"/>
  <c r="BD727" i="84"/>
  <c r="AZ962" i="84"/>
  <c r="AW611" i="84"/>
  <c r="AQ192" i="84"/>
  <c r="AT357" i="84"/>
  <c r="AT437" i="84"/>
  <c r="BD570" i="84"/>
  <c r="AW576" i="84"/>
  <c r="AW198" i="84"/>
  <c r="AW560" i="84"/>
  <c r="AT549" i="84"/>
  <c r="AZ290" i="84"/>
  <c r="BD568" i="84"/>
  <c r="BD735" i="84"/>
  <c r="AT770" i="84"/>
  <c r="AT789" i="84"/>
  <c r="AZ745" i="84"/>
  <c r="AQ703" i="84"/>
  <c r="AZ259" i="84"/>
  <c r="AT606" i="84"/>
  <c r="AQ172" i="84"/>
  <c r="AZ661" i="84"/>
  <c r="AW664" i="84"/>
  <c r="BD76" i="84"/>
  <c r="AT714" i="84"/>
  <c r="BD459" i="84"/>
  <c r="BD652" i="84"/>
  <c r="AQ862" i="84"/>
  <c r="AW294" i="84"/>
  <c r="AT401" i="84"/>
  <c r="BD696" i="84"/>
  <c r="AQ121" i="84"/>
  <c r="AZ45" i="84"/>
  <c r="AZ135" i="84"/>
  <c r="AW228" i="84"/>
  <c r="AW378" i="84"/>
  <c r="AQ306" i="84"/>
  <c r="AZ141" i="84"/>
  <c r="BD73" i="84"/>
  <c r="AQ232" i="84"/>
  <c r="AT389" i="84"/>
  <c r="AT32" i="84"/>
  <c r="AT898" i="84"/>
  <c r="AW219" i="84"/>
  <c r="AZ821" i="84"/>
  <c r="AW543" i="84"/>
  <c r="BD59" i="84"/>
  <c r="AW853" i="84"/>
  <c r="AQ814" i="84"/>
  <c r="AQ311" i="84"/>
  <c r="AQ564" i="84"/>
  <c r="AZ44" i="84"/>
  <c r="BD964" i="84"/>
  <c r="BD456" i="84"/>
  <c r="AT778" i="84"/>
  <c r="AZ288" i="84"/>
  <c r="AZ122" i="84"/>
  <c r="AW917" i="84"/>
  <c r="AT240" i="84"/>
  <c r="AW47" i="84"/>
  <c r="AW663" i="84"/>
  <c r="BD515" i="84"/>
  <c r="AW435" i="84"/>
  <c r="AT237" i="84"/>
  <c r="AQ820" i="84"/>
  <c r="AQ561" i="84"/>
  <c r="AZ39" i="84"/>
  <c r="AZ106" i="84"/>
  <c r="AT317" i="84"/>
  <c r="AT319" i="84"/>
  <c r="AQ132" i="84"/>
  <c r="AT67" i="84"/>
  <c r="AQ291" i="84"/>
  <c r="AT231" i="84"/>
  <c r="BD83" i="84"/>
  <c r="BD422" i="84"/>
  <c r="AT659" i="84"/>
  <c r="AZ344" i="84"/>
  <c r="BD54" i="84"/>
  <c r="AQ241" i="84"/>
  <c r="AQ150" i="84"/>
  <c r="AZ734" i="84"/>
  <c r="AT891" i="84"/>
  <c r="BD161" i="84"/>
  <c r="BD597" i="84"/>
  <c r="AZ286" i="84"/>
  <c r="AT254" i="84"/>
  <c r="AZ691" i="84"/>
  <c r="AZ464" i="84"/>
  <c r="AZ287" i="84"/>
  <c r="AQ403" i="84"/>
  <c r="AQ406" i="84"/>
  <c r="AW547" i="84"/>
  <c r="AW961" i="84"/>
  <c r="AT123" i="84"/>
  <c r="AT246" i="84"/>
  <c r="AQ700" i="84"/>
  <c r="AT65" i="84"/>
  <c r="BD526" i="84"/>
  <c r="BD46" i="84"/>
  <c r="AW803" i="84"/>
  <c r="AT386" i="84"/>
  <c r="BD493" i="84"/>
  <c r="AQ193" i="84"/>
  <c r="AZ30" i="84"/>
  <c r="AW953" i="84"/>
  <c r="AT333" i="84"/>
  <c r="AZ66" i="84"/>
  <c r="AW209" i="84"/>
  <c r="BD503" i="84"/>
  <c r="AZ785" i="84"/>
  <c r="AQ535" i="84"/>
  <c r="AZ312" i="84"/>
  <c r="BD213" i="84"/>
  <c r="AQ744" i="84"/>
  <c r="AQ475" i="84"/>
  <c r="AT936" i="84"/>
  <c r="AW133" i="84"/>
  <c r="AQ411" i="84"/>
  <c r="AW482" i="84"/>
  <c r="AQ87" i="84"/>
  <c r="BD89" i="84"/>
  <c r="BD405" i="84"/>
  <c r="AT701" i="84"/>
  <c r="AT279" i="84"/>
  <c r="AZ934" i="84"/>
  <c r="BD718" i="84"/>
  <c r="AW639" i="84"/>
  <c r="AT598" i="84"/>
  <c r="AW460" i="84"/>
  <c r="AQ338" i="84"/>
  <c r="AT111" i="84"/>
  <c r="BD530" i="84"/>
  <c r="AW760" i="84"/>
  <c r="BD467" i="84"/>
  <c r="AT423" i="84"/>
  <c r="BD632" i="84"/>
  <c r="BD604" i="84"/>
  <c r="AT458" i="84"/>
  <c r="AZ408" i="84"/>
  <c r="AZ651" i="84"/>
  <c r="AZ740" i="84"/>
  <c r="AZ550" i="84"/>
  <c r="AZ913" i="84"/>
  <c r="AW668" i="84"/>
  <c r="AT914" i="84"/>
  <c r="AZ838" i="84"/>
  <c r="AW712" i="84"/>
  <c r="AT490" i="84"/>
  <c r="AQ800" i="84"/>
  <c r="AT819" i="84"/>
  <c r="AQ884" i="84"/>
  <c r="AQ487" i="84"/>
  <c r="AQ582" i="84"/>
  <c r="BD732" i="84"/>
  <c r="AQ688" i="84"/>
  <c r="AT158" i="84"/>
  <c r="AW212" i="84"/>
  <c r="AT873" i="84"/>
  <c r="AZ548" i="84"/>
  <c r="AQ733" i="84"/>
  <c r="AW276" i="84"/>
  <c r="AW795" i="84"/>
  <c r="BD707" i="84"/>
  <c r="AT500" i="84"/>
  <c r="AT648" i="84"/>
  <c r="AT603" i="84"/>
  <c r="BD929" i="84"/>
  <c r="AQ654" i="84"/>
  <c r="AW673" i="84"/>
  <c r="BD848" i="84"/>
  <c r="AQ299" i="84"/>
  <c r="AQ491" i="84"/>
  <c r="AT101" i="84"/>
  <c r="AQ956" i="84"/>
  <c r="AW687" i="84"/>
  <c r="AW235" i="84"/>
  <c r="AZ690" i="84"/>
  <c r="BD907" i="84"/>
  <c r="AT556" i="84"/>
  <c r="BD928" i="84"/>
  <c r="AW559" i="84"/>
  <c r="BD694" i="84"/>
  <c r="AT793" i="84"/>
  <c r="AT677" i="84"/>
  <c r="AZ178" i="84"/>
  <c r="BD660" i="84"/>
  <c r="AQ741" i="84"/>
  <c r="AT110" i="84"/>
  <c r="AQ905" i="84"/>
  <c r="AQ169" i="84"/>
  <c r="AQ709" i="84"/>
  <c r="AZ23" i="84"/>
  <c r="AT242" i="84"/>
  <c r="AQ360" i="84"/>
  <c r="AQ584" i="84"/>
  <c r="AZ918" i="84"/>
  <c r="BD645" i="84"/>
  <c r="BD824" i="84"/>
  <c r="AQ864" i="84"/>
  <c r="AT958" i="84"/>
  <c r="AT562" i="84"/>
  <c r="AT739" i="84"/>
  <c r="BD901" i="84"/>
  <c r="AT643" i="84"/>
  <c r="AZ772" i="84"/>
  <c r="AW145" i="84"/>
  <c r="AW323" i="84"/>
  <c r="AQ292" i="84"/>
  <c r="AT371" i="84"/>
  <c r="BD444" i="84"/>
  <c r="AW832" i="84"/>
  <c r="BD900" i="84"/>
  <c r="AQ351" i="84"/>
  <c r="AT583" i="84"/>
  <c r="AT519" i="84"/>
  <c r="AQ724" i="84"/>
  <c r="AZ571" i="84"/>
  <c r="BD391" i="84"/>
  <c r="AW695" i="84"/>
  <c r="AW642" i="84"/>
  <c r="AW469" i="84"/>
  <c r="AQ761" i="84"/>
  <c r="AZ36" i="84"/>
  <c r="AW658" i="84"/>
  <c r="BD396" i="84"/>
  <c r="AW867" i="84"/>
  <c r="BD768" i="84"/>
  <c r="BD155" i="84"/>
  <c r="AW730" i="84"/>
  <c r="BD765" i="84"/>
  <c r="BD855" i="84"/>
  <c r="AQ352" i="84"/>
  <c r="AW605" i="84"/>
  <c r="AT14" i="84"/>
  <c r="AQ305" i="84"/>
  <c r="BD529" i="84"/>
  <c r="AQ163" i="84"/>
  <c r="AQ869" i="84"/>
  <c r="AZ278" i="84"/>
  <c r="BD738" i="84"/>
  <c r="AW569" i="84"/>
  <c r="AT207" i="84"/>
  <c r="AW260" i="84"/>
  <c r="AW854" i="84"/>
  <c r="BD599" i="84"/>
  <c r="AQ829" i="84"/>
  <c r="BD234" i="84"/>
  <c r="AT399" i="84"/>
  <c r="AZ164" i="84"/>
  <c r="AT280" i="84"/>
  <c r="AZ64" i="84"/>
  <c r="BD623" i="84"/>
  <c r="AZ950" i="84"/>
  <c r="AZ923" i="84"/>
  <c r="AW587" i="84"/>
  <c r="AW628" i="84"/>
  <c r="BD537" i="84"/>
  <c r="AQ949" i="84"/>
  <c r="AZ454" i="84"/>
  <c r="AT334" i="84"/>
  <c r="AZ347" i="84"/>
  <c r="BD252" i="84"/>
  <c r="AW706" i="84"/>
  <c r="AZ222" i="84"/>
  <c r="AW86" i="84"/>
  <c r="AT667" i="84"/>
  <c r="AW567" i="84"/>
  <c r="AQ81" i="84"/>
  <c r="AW359" i="84"/>
  <c r="AW433" i="84"/>
  <c r="AQ91" i="84"/>
  <c r="BD669" i="84"/>
  <c r="AT307" i="84"/>
  <c r="AZ902" i="84"/>
  <c r="AW436" i="84"/>
  <c r="AZ124" i="84"/>
  <c r="AT788" i="84"/>
  <c r="AW320" i="84"/>
  <c r="AZ517" i="84"/>
  <c r="AW224" i="84"/>
  <c r="AZ657" i="84"/>
  <c r="BD160" i="84"/>
  <c r="AZ229" i="84"/>
  <c r="AQ144" i="84"/>
  <c r="AQ74" i="84"/>
  <c r="BD170" i="84"/>
  <c r="AT847" i="84"/>
  <c r="AW894" i="84"/>
  <c r="AQ759" i="84"/>
  <c r="AZ908" i="84"/>
  <c r="AQ358" i="84"/>
  <c r="AW340" i="84"/>
  <c r="AQ616" i="84"/>
  <c r="AZ671" i="84"/>
  <c r="AW62" i="84"/>
  <c r="AZ16" i="84"/>
  <c r="AT496" i="84"/>
  <c r="BD851" i="84"/>
  <c r="AT924" i="84"/>
  <c r="AQ608" i="84"/>
  <c r="AW85" i="84"/>
  <c r="BD551" i="84"/>
  <c r="AQ610" i="84"/>
  <c r="AW205" i="84"/>
  <c r="AT693" i="84"/>
  <c r="AZ627" i="84"/>
  <c r="AT471" i="84"/>
  <c r="AT723" i="84"/>
  <c r="AZ509" i="84"/>
  <c r="AT476" i="84"/>
  <c r="BD904" i="84"/>
  <c r="AW175" i="84"/>
  <c r="AT187" i="84"/>
  <c r="AQ839" i="84"/>
  <c r="AQ434" i="84"/>
  <c r="AQ455" i="84"/>
  <c r="AW104" i="84"/>
  <c r="AQ922" i="84"/>
  <c r="AW679" i="84"/>
  <c r="AQ195" i="84"/>
  <c r="AQ769" i="84"/>
  <c r="BD372" i="84"/>
  <c r="AT441" i="84"/>
  <c r="AT329" i="84"/>
  <c r="AQ640" i="84"/>
  <c r="BD655" i="84"/>
  <c r="AQ168" i="84"/>
  <c r="AW283" i="84"/>
  <c r="AQ425" i="84"/>
  <c r="AZ262" i="84"/>
  <c r="AQ33" i="84"/>
  <c r="AW937" i="84"/>
  <c r="AZ445" i="84"/>
  <c r="BD304" i="84"/>
  <c r="BD837" i="84"/>
  <c r="AQ407" i="84"/>
  <c r="AZ148" i="84"/>
  <c r="AQ783" i="84"/>
  <c r="AZ612" i="84"/>
  <c r="AQ90" i="84"/>
  <c r="BD272" i="84"/>
  <c r="AQ672" i="84"/>
  <c r="AT447" i="84"/>
  <c r="AW438" i="84"/>
  <c r="BD749" i="84"/>
  <c r="AZ630" i="84"/>
  <c r="AT179" i="84"/>
  <c r="BD728" i="84"/>
  <c r="AQ180" i="84"/>
  <c r="AZ499" i="84"/>
  <c r="AZ273" i="84"/>
  <c r="BD181" i="84"/>
  <c r="AT321" i="84"/>
  <c r="AW400" i="84"/>
  <c r="AZ665" i="84"/>
  <c r="AQ868" i="84"/>
  <c r="AZ142" i="84"/>
  <c r="AQ505" i="84"/>
  <c r="AQ615" i="84"/>
  <c r="BD25" i="84"/>
  <c r="AT796" i="84"/>
  <c r="AZ656" i="84"/>
  <c r="BD19" i="84"/>
  <c r="AW545" i="84"/>
  <c r="AT17" i="84"/>
  <c r="AZ756" i="84"/>
  <c r="AW555" i="84"/>
  <c r="AQ239" i="84"/>
  <c r="BD951" i="84"/>
  <c r="AW633" i="84"/>
  <c r="BD138" i="84"/>
  <c r="AW781" i="84"/>
  <c r="AZ376" i="84"/>
  <c r="AT906" i="84"/>
  <c r="BD513" i="84"/>
  <c r="AZ501" i="84"/>
  <c r="AT489" i="84"/>
  <c r="AT128" i="84"/>
  <c r="AT601" i="84"/>
  <c r="AW841" i="84"/>
  <c r="BD849" i="84"/>
  <c r="AW758" i="84"/>
  <c r="AQ274" i="84"/>
  <c r="AQ27" i="84"/>
  <c r="AT428" i="84"/>
  <c r="BD557" i="84"/>
  <c r="AT775" i="84"/>
  <c r="AZ103" i="84"/>
  <c r="BD255" i="84"/>
  <c r="AT154" i="84"/>
  <c r="AT763" i="84"/>
  <c r="AW84" i="84"/>
  <c r="AZ375" i="84"/>
  <c r="AT729" i="84"/>
  <c r="BD916" i="84"/>
  <c r="AT613" i="84"/>
  <c r="AQ256" i="84"/>
  <c r="AZ939" i="84"/>
  <c r="AT71" i="84"/>
  <c r="BD313" i="84"/>
  <c r="AZ448" i="84"/>
  <c r="AT699" i="84"/>
  <c r="AT284" i="84"/>
  <c r="BD390" i="84"/>
  <c r="AZ966" i="84"/>
  <c r="BD75" i="84"/>
  <c r="BD404" i="84"/>
  <c r="AQ194" i="84"/>
  <c r="AQ903" i="84"/>
  <c r="AZ190" i="84"/>
  <c r="AT536" i="84"/>
  <c r="AZ508" i="84"/>
  <c r="AT622" i="84"/>
  <c r="AT805" i="84"/>
  <c r="AT118" i="84"/>
  <c r="AT369" i="84"/>
  <c r="AZ620" i="84"/>
  <c r="AQ947" i="84"/>
  <c r="AZ446" i="84"/>
  <c r="AT912" i="84"/>
  <c r="AT183" i="84"/>
  <c r="AW439" i="84"/>
  <c r="AQ698" i="84"/>
  <c r="AW346" i="84"/>
  <c r="AQ527" i="84"/>
  <c r="BD309" i="84"/>
  <c r="BD367" i="84"/>
  <c r="AQ573" i="84"/>
  <c r="AZ162" i="84"/>
  <c r="AT790" i="84"/>
  <c r="BD191" i="84"/>
  <c r="AZ593" i="84"/>
  <c r="AQ60" i="84"/>
  <c r="AZ414" i="84"/>
  <c r="AT293" i="84"/>
  <c r="BD614" i="84"/>
  <c r="AW247" i="84"/>
  <c r="AW202" i="84"/>
  <c r="AT846" i="84"/>
  <c r="AQ731" i="84"/>
  <c r="AW592" i="84"/>
  <c r="BD516" i="84"/>
  <c r="AQ816" i="84"/>
  <c r="BD586" i="84"/>
  <c r="BD843" i="84"/>
  <c r="AT381" i="84"/>
  <c r="AQ109" i="84"/>
  <c r="BD588" i="84"/>
  <c r="BD617" i="84"/>
  <c r="AZ394" i="84"/>
  <c r="AZ114" i="84"/>
  <c r="AW350" i="84"/>
  <c r="AZ883" i="84"/>
  <c r="AZ130" i="84"/>
  <c r="AQ542" i="84"/>
  <c r="BD546" i="84"/>
  <c r="AW930" i="84"/>
  <c r="AQ354" i="84"/>
  <c r="AQ856" i="84"/>
  <c r="AQ156" i="84"/>
  <c r="AZ697" i="84"/>
  <c r="AQ137" i="84"/>
  <c r="AT558" i="84"/>
  <c r="AQ818" i="84"/>
  <c r="AZ424" i="84"/>
  <c r="AT523" i="84"/>
  <c r="AQ227" i="84"/>
  <c r="BD925" i="84"/>
  <c r="BD757" i="84"/>
  <c r="BD506" i="84"/>
  <c r="AT298" i="84"/>
  <c r="AZ705" i="84"/>
  <c r="AT430" i="84"/>
  <c r="AQ315" i="84"/>
  <c r="BD649" i="84"/>
  <c r="AZ196" i="84"/>
  <c r="BD443" i="84"/>
  <c r="BD13" i="84"/>
  <c r="AT717" i="84"/>
  <c r="AW257" i="84"/>
  <c r="AZ754" i="84"/>
  <c r="AZ429" i="84"/>
  <c r="AQ50" i="84"/>
  <c r="AZ38" i="84"/>
  <c r="BD596" i="84"/>
  <c r="AQ167" i="84"/>
  <c r="AQ233" i="84"/>
  <c r="AW285" i="84"/>
  <c r="AZ600" i="84"/>
  <c r="AZ955" i="84"/>
  <c r="AQ146" i="84"/>
  <c r="AT528" i="84"/>
  <c r="AQ107" i="84"/>
  <c r="AQ42" i="84"/>
  <c r="BD932" i="84"/>
  <c r="AT807" i="84"/>
  <c r="AW865" i="84"/>
  <c r="AZ220" i="84"/>
  <c r="AT539" i="84"/>
  <c r="AT831" i="84"/>
  <c r="AW125" i="84"/>
  <c r="AQ473" i="84"/>
  <c r="AW366" i="84"/>
  <c r="AT211" i="84"/>
  <c r="AZ743" i="84"/>
  <c r="AT69" i="84"/>
  <c r="AQ348" i="84"/>
  <c r="AZ885" i="84"/>
  <c r="AT511" i="84"/>
  <c r="BD418" i="84"/>
  <c r="AT99" i="84"/>
  <c r="BD952" i="84"/>
  <c r="AZ871" i="84"/>
  <c r="AZ316" i="84"/>
  <c r="AQ188" i="84"/>
  <c r="AZ243" i="84"/>
  <c r="AQ63" i="84"/>
  <c r="AZ746" i="84"/>
  <c r="BD412" i="84"/>
  <c r="BD94" i="84"/>
  <c r="AQ960" i="84"/>
  <c r="AQ258" i="84"/>
  <c r="AW711" i="84"/>
  <c r="AZ861" i="84"/>
  <c r="BD635" i="84"/>
  <c r="BD236" i="84"/>
  <c r="AW619" i="84"/>
  <c r="BD11" i="84"/>
  <c r="AQ810" i="84"/>
  <c r="AQ631" i="84"/>
  <c r="AZ833" i="84"/>
  <c r="AQ518" i="84"/>
  <c r="BD147" i="84"/>
  <c r="AZ836" i="84"/>
  <c r="AZ720" i="84"/>
  <c r="AT343" i="84"/>
  <c r="AQ216" i="84"/>
  <c r="AQ852" i="84"/>
  <c r="AT410" i="84"/>
  <c r="AQ522" i="84"/>
  <c r="AT835" i="84"/>
  <c r="AW26" i="84"/>
  <c r="AT683" i="84"/>
  <c r="AT174" i="84"/>
  <c r="BD208" i="84"/>
  <c r="AT702" i="84"/>
  <c r="BD827" i="84"/>
  <c r="BD787" i="84"/>
  <c r="BD395" i="84"/>
  <c r="AZ382" i="84"/>
  <c r="AZ203" i="84"/>
  <c r="BD863" i="84"/>
  <c r="AT140" i="84"/>
  <c r="AQ878" i="84"/>
  <c r="AT129" i="84"/>
  <c r="AT533" i="84"/>
  <c r="AQ43" i="84"/>
  <c r="BD850" i="84"/>
  <c r="AQ214" i="84"/>
  <c r="AT889" i="84"/>
  <c r="AZ926" i="84"/>
  <c r="AQ397" i="84"/>
  <c r="AZ192" i="84"/>
  <c r="AQ451" i="84"/>
  <c r="AT812" i="84"/>
  <c r="AQ51" i="84"/>
  <c r="AQ105" i="84"/>
  <c r="AT186" i="84"/>
  <c r="AT281" i="84"/>
  <c r="BD840" i="84"/>
  <c r="AQ70" i="84"/>
  <c r="AZ95" i="84"/>
  <c r="AZ105" i="84"/>
  <c r="AW186" i="84"/>
  <c r="BD331" i="84"/>
  <c r="BD919" i="84"/>
  <c r="AW944" i="84"/>
  <c r="AQ962" i="84"/>
  <c r="AZ72" i="84"/>
  <c r="AW812" i="84"/>
  <c r="AT773" i="84"/>
  <c r="AW636" i="84"/>
  <c r="AT488" i="84"/>
  <c r="BD485" i="84"/>
  <c r="AW43" i="84"/>
  <c r="AT108" i="84"/>
  <c r="AT502" i="84"/>
  <c r="AW532" i="84"/>
  <c r="AZ22" i="84"/>
  <c r="AT850" i="84"/>
  <c r="AQ644" i="84"/>
  <c r="AQ302" i="84"/>
  <c r="AZ782" i="84"/>
  <c r="BD48" i="84"/>
  <c r="AZ214" i="84"/>
  <c r="AT591" i="84"/>
  <c r="AZ472" i="84"/>
  <c r="AW281" i="84"/>
  <c r="AZ7" i="84"/>
  <c r="AZ889" i="84"/>
  <c r="BD822" i="84"/>
  <c r="AZ10" i="84"/>
  <c r="AZ331" i="84"/>
  <c r="BD310" i="84"/>
  <c r="BD646" i="84"/>
  <c r="AQ136" i="84"/>
  <c r="AQ926" i="84"/>
  <c r="AT954" i="84"/>
  <c r="AW716" i="84"/>
  <c r="BD742" i="84"/>
  <c r="BD197" i="84"/>
  <c r="AQ874" i="84"/>
  <c r="AT70" i="84"/>
  <c r="AW826" i="84"/>
  <c r="AT98" i="84"/>
  <c r="AT678" i="84"/>
  <c r="AZ727" i="84"/>
  <c r="AQ497" i="84"/>
  <c r="AQ611" i="84"/>
  <c r="AT192" i="84"/>
  <c r="AW357" i="84"/>
  <c r="BD437" i="84"/>
  <c r="AT72" i="84"/>
  <c r="BD576" i="84"/>
  <c r="AQ198" i="84"/>
  <c r="AQ560" i="84"/>
  <c r="AZ549" i="84"/>
  <c r="BD812" i="84"/>
  <c r="AT568" i="84"/>
  <c r="AT735" i="84"/>
  <c r="AZ770" i="84"/>
  <c r="AW789" i="84"/>
  <c r="BD51" i="84"/>
  <c r="AZ703" i="84"/>
  <c r="AW259" i="84"/>
  <c r="BD606" i="84"/>
  <c r="AW172" i="84"/>
  <c r="BD442" i="84"/>
  <c r="AQ664" i="84"/>
  <c r="AQ76" i="84"/>
  <c r="BD714" i="84"/>
  <c r="AQ459" i="84"/>
  <c r="AW335" i="84"/>
  <c r="AW862" i="84"/>
  <c r="AT294" i="84"/>
  <c r="BD401" i="84"/>
  <c r="AQ696" i="84"/>
  <c r="AT888" i="84"/>
  <c r="AW45" i="84"/>
  <c r="AQ135" i="84"/>
  <c r="AZ228" i="84"/>
  <c r="BD378" i="84"/>
  <c r="AW943" i="84"/>
  <c r="BD141" i="84"/>
  <c r="AT77" i="84"/>
  <c r="AZ232" i="84"/>
  <c r="AZ389" i="84"/>
  <c r="AZ32" i="84"/>
  <c r="BD898" i="84"/>
  <c r="AZ173" i="84"/>
  <c r="BD821" i="84"/>
  <c r="BD543" i="84"/>
  <c r="AZ59" i="84"/>
  <c r="BD853" i="84"/>
  <c r="AZ814" i="84"/>
  <c r="AT311" i="84"/>
  <c r="AT564" i="84"/>
  <c r="AW61" i="84"/>
  <c r="AT964" i="84"/>
  <c r="AQ456" i="84"/>
  <c r="BD778" i="84"/>
  <c r="AW288" i="84"/>
  <c r="BD882" i="84"/>
  <c r="AT917" i="84"/>
  <c r="AW240" i="84"/>
  <c r="AQ47" i="84"/>
  <c r="AQ663" i="84"/>
  <c r="AQ515" i="84"/>
  <c r="BD435" i="84"/>
  <c r="AZ237" i="84"/>
  <c r="BD78" i="84"/>
  <c r="AZ561" i="84"/>
  <c r="AQ39" i="84"/>
  <c r="BD106" i="84"/>
  <c r="AZ317" i="84"/>
  <c r="AQ804" i="84"/>
  <c r="BD132" i="84"/>
  <c r="BD67" i="84"/>
  <c r="AZ291" i="84"/>
  <c r="BD231" i="84"/>
  <c r="AT618" i="84"/>
  <c r="AZ422" i="84"/>
  <c r="BD659" i="84"/>
  <c r="AW514" i="84"/>
  <c r="AZ54" i="84"/>
  <c r="AZ241" i="84"/>
  <c r="AW427" i="84"/>
  <c r="AW734" i="84"/>
  <c r="AW891" i="84"/>
  <c r="AQ161" i="84"/>
  <c r="AZ597" i="84"/>
  <c r="AQ495" i="84"/>
  <c r="AW254" i="84"/>
  <c r="AQ691" i="84"/>
  <c r="AT464" i="84"/>
  <c r="BD287" i="84"/>
  <c r="AQ498" i="84"/>
  <c r="BD406" i="84"/>
  <c r="AQ547" i="84"/>
  <c r="BD961" i="84"/>
  <c r="AQ123" i="84"/>
  <c r="BD100" i="84"/>
  <c r="BD700" i="84"/>
  <c r="BD65" i="84"/>
  <c r="AZ526" i="84"/>
  <c r="AZ46" i="84"/>
  <c r="AZ251" i="84"/>
  <c r="AZ386" i="84"/>
  <c r="AZ493" i="84"/>
  <c r="AT193" i="84"/>
  <c r="AQ30" i="84"/>
  <c r="AW719" i="84"/>
  <c r="BD333" i="84"/>
  <c r="AW66" i="84"/>
  <c r="BD209" i="84"/>
  <c r="AT503" i="84"/>
  <c r="BD785" i="84"/>
  <c r="AT535" i="84"/>
  <c r="AQ715" i="84"/>
  <c r="AT213" i="84"/>
  <c r="AW744" i="84"/>
  <c r="AT182" i="84"/>
  <c r="AW936" i="84"/>
  <c r="AT133" i="84"/>
  <c r="AW411" i="84"/>
  <c r="AQ482" i="84"/>
  <c r="AT185" i="84"/>
  <c r="AQ89" i="84"/>
  <c r="AQ405" i="84"/>
  <c r="AW701" i="84"/>
  <c r="AW279" i="84"/>
  <c r="BD625" i="84"/>
  <c r="AQ718" i="84"/>
  <c r="AQ639" i="84"/>
  <c r="AZ598" i="84"/>
  <c r="AT460" i="84"/>
  <c r="AT303" i="84"/>
  <c r="AQ111" i="84"/>
  <c r="AT530" i="84"/>
  <c r="AQ760" i="84"/>
  <c r="AT467" i="84"/>
  <c r="BD507" i="84"/>
  <c r="AZ632" i="84"/>
  <c r="AT604" i="84"/>
  <c r="AZ458" i="84"/>
  <c r="AT408" i="84"/>
  <c r="AQ21" i="84"/>
  <c r="AW740" i="84"/>
  <c r="BD550" i="84"/>
  <c r="AQ913" i="84"/>
  <c r="BD668" i="84"/>
  <c r="AQ909" i="84"/>
  <c r="AQ838" i="84"/>
  <c r="BD712" i="84"/>
  <c r="BD490" i="84"/>
  <c r="AW800" i="84"/>
  <c r="AQ204" i="84"/>
  <c r="AT884" i="84"/>
  <c r="BD487" i="84"/>
  <c r="AW582" i="84"/>
  <c r="AQ732" i="84"/>
  <c r="AZ35" i="84"/>
  <c r="AZ158" i="84"/>
  <c r="AQ212" i="84"/>
  <c r="AQ873" i="84"/>
  <c r="AW548" i="84"/>
  <c r="AZ177" i="84"/>
  <c r="AQ276" i="84"/>
  <c r="AQ795" i="84"/>
  <c r="AQ707" i="84"/>
  <c r="AZ500" i="84"/>
  <c r="AW452" i="84"/>
  <c r="BD603" i="84"/>
  <c r="AQ929" i="84"/>
  <c r="AW654" i="84"/>
  <c r="AZ673" i="84"/>
  <c r="AQ948" i="84"/>
  <c r="BD299" i="84"/>
  <c r="BD491" i="84"/>
  <c r="AW101" i="84"/>
  <c r="AW956" i="84"/>
  <c r="AW791" i="84"/>
  <c r="AQ235" i="84"/>
  <c r="AT342" i="84"/>
  <c r="AZ907" i="84"/>
  <c r="AZ556" i="84"/>
  <c r="AZ928" i="84"/>
  <c r="AT559" i="84"/>
  <c r="AZ402" i="84"/>
  <c r="AZ793" i="84"/>
  <c r="AW677" i="84"/>
  <c r="AT178" i="84"/>
  <c r="AT660" i="84"/>
  <c r="BD858" i="84"/>
  <c r="AQ110" i="84"/>
  <c r="AZ905" i="84"/>
  <c r="AW957" i="84"/>
  <c r="BD709" i="84"/>
  <c r="AT23" i="84"/>
  <c r="AZ242" i="84"/>
  <c r="AW360" i="84"/>
  <c r="BD624" i="84"/>
  <c r="AW918" i="84"/>
  <c r="AT645" i="84"/>
  <c r="AT824" i="84"/>
  <c r="AT864" i="84"/>
  <c r="BD253" i="84"/>
  <c r="BD562" i="84"/>
  <c r="AZ739" i="84"/>
  <c r="AZ901" i="84"/>
  <c r="AZ643" i="84"/>
  <c r="AW772" i="84"/>
  <c r="AQ145" i="84"/>
  <c r="AT323" i="84"/>
  <c r="BD56" i="84"/>
  <c r="AZ371" i="84"/>
  <c r="AQ444" i="84"/>
  <c r="AT832" i="84"/>
  <c r="AW900" i="84"/>
  <c r="AZ684" i="84"/>
  <c r="BD583" i="84"/>
  <c r="AZ519" i="84"/>
  <c r="AW724" i="84"/>
  <c r="AT571" i="84"/>
  <c r="AT806" i="84"/>
  <c r="AT695" i="84"/>
  <c r="AQ642" i="84"/>
  <c r="BD469" i="84"/>
  <c r="AZ761" i="84"/>
  <c r="AQ275" i="84"/>
  <c r="BD658" i="84"/>
  <c r="AQ396" i="84"/>
  <c r="BD867" i="84"/>
  <c r="AT768" i="84"/>
  <c r="BD708" i="84"/>
  <c r="AZ730" i="84"/>
  <c r="AT765" i="84"/>
  <c r="AQ855" i="84"/>
  <c r="AW352" i="84"/>
  <c r="AZ392" i="84"/>
  <c r="AZ682" i="84"/>
  <c r="AW305" i="84"/>
  <c r="AW529" i="84"/>
  <c r="AZ163" i="84"/>
  <c r="AT869" i="84"/>
  <c r="BD681" i="84"/>
  <c r="AT738" i="84"/>
  <c r="AQ569" i="84"/>
  <c r="AW207" i="84"/>
  <c r="AZ260" i="84"/>
  <c r="AQ595" i="84"/>
  <c r="AZ599" i="84"/>
  <c r="AZ829" i="84"/>
  <c r="AW234" i="84"/>
  <c r="AW399" i="84"/>
  <c r="AW463" i="84"/>
  <c r="BD280" i="84"/>
  <c r="AW64" i="84"/>
  <c r="AQ623" i="84"/>
  <c r="AW950" i="84"/>
  <c r="AW946" i="84"/>
  <c r="AQ587" i="84"/>
  <c r="BD628" i="84"/>
  <c r="AW537" i="84"/>
  <c r="AW949" i="84"/>
  <c r="AZ261" i="84"/>
  <c r="BD334" i="84"/>
  <c r="AQ347" i="84"/>
  <c r="AW252" i="84"/>
  <c r="AT706" i="84"/>
  <c r="BD24" i="84"/>
  <c r="AQ86" i="84"/>
  <c r="AW667" i="84"/>
  <c r="BD567" i="84"/>
  <c r="AW81" i="84"/>
  <c r="AW794" i="84"/>
  <c r="BD433" i="84"/>
  <c r="BD91" i="84"/>
  <c r="AZ669" i="84"/>
  <c r="AZ307" i="84"/>
  <c r="AT722" i="84"/>
  <c r="AQ436" i="84"/>
  <c r="AQ124" i="84"/>
  <c r="AQ788" i="84"/>
  <c r="AT320" i="84"/>
  <c r="BD893" i="84"/>
  <c r="BD224" i="84"/>
  <c r="AT657" i="84"/>
  <c r="AQ160" i="84"/>
  <c r="AW229" i="84"/>
  <c r="BD40" i="84"/>
  <c r="AT74" i="84"/>
  <c r="AT170" i="84"/>
  <c r="BD383" i="84"/>
  <c r="AQ894" i="84"/>
  <c r="AZ759" i="84"/>
  <c r="AQ908" i="84"/>
  <c r="AW358" i="84"/>
  <c r="AT479" i="84"/>
  <c r="AW616" i="84"/>
  <c r="AQ671" i="84"/>
  <c r="AZ62" i="84"/>
  <c r="AT16" i="84"/>
  <c r="BD866" i="84"/>
  <c r="AQ851" i="84"/>
  <c r="AW924" i="84"/>
  <c r="AW608" i="84"/>
  <c r="AQ85" i="84"/>
  <c r="AQ779" i="84"/>
  <c r="AZ610" i="84"/>
  <c r="BD205" i="84"/>
  <c r="BD693" i="84"/>
  <c r="AQ627" i="84"/>
  <c r="AW143" i="84"/>
  <c r="BD723" i="84"/>
  <c r="BD509" i="84"/>
  <c r="AW476" i="84"/>
  <c r="AW904" i="84"/>
  <c r="AW538" i="84"/>
  <c r="AZ187" i="84"/>
  <c r="AZ839" i="84"/>
  <c r="BD434" i="84"/>
  <c r="AW455" i="84"/>
  <c r="BD119" i="84"/>
  <c r="AT922" i="84"/>
  <c r="BD679" i="84"/>
  <c r="AW195" i="84"/>
  <c r="AT769" i="84"/>
  <c r="AZ330" i="84"/>
  <c r="AZ441" i="84"/>
  <c r="BD329" i="84"/>
  <c r="AQ686" i="84"/>
  <c r="AW655" i="84"/>
  <c r="AT168" i="84"/>
  <c r="AZ283" i="84"/>
  <c r="AW425" i="84"/>
  <c r="AZ553" i="84"/>
  <c r="BD33" i="84"/>
  <c r="AT937" i="84"/>
  <c r="BD445" i="84"/>
  <c r="AQ304" i="84"/>
  <c r="AT327" i="84"/>
  <c r="AT407" i="84"/>
  <c r="AT148" i="84"/>
  <c r="AW783" i="84"/>
  <c r="AW612" i="84"/>
  <c r="AZ97" i="84"/>
  <c r="AT272" i="84"/>
  <c r="AT672" i="84"/>
  <c r="AZ447" i="84"/>
  <c r="BD438" i="84"/>
  <c r="AZ877" i="84"/>
  <c r="AQ630" i="84"/>
  <c r="AW179" i="84"/>
  <c r="AT728" i="84"/>
  <c r="AZ180" i="84"/>
  <c r="AT637" i="84"/>
  <c r="AW273" i="84"/>
  <c r="AT181" i="84"/>
  <c r="AZ321" i="84"/>
  <c r="AT400" i="84"/>
  <c r="AW531" i="84"/>
  <c r="AZ868" i="84"/>
  <c r="AW142" i="84"/>
  <c r="AT505" i="84"/>
  <c r="AT615" i="84"/>
  <c r="AZ20" i="84"/>
  <c r="AW796" i="84"/>
  <c r="AQ656" i="84"/>
  <c r="AW19" i="84"/>
  <c r="AQ545" i="84"/>
  <c r="AQ638" i="84"/>
  <c r="AQ756" i="84"/>
  <c r="AZ555" i="84"/>
  <c r="AZ239" i="84"/>
  <c r="AT951" i="84"/>
  <c r="AZ322" i="84"/>
  <c r="AZ138" i="84"/>
  <c r="AT781" i="84"/>
  <c r="BD376" i="84"/>
  <c r="AQ906" i="84"/>
  <c r="BD355" i="84"/>
  <c r="AW501" i="84"/>
  <c r="AQ489" i="84"/>
  <c r="AQ380" i="84"/>
  <c r="BD601" i="84"/>
  <c r="AQ841" i="84"/>
  <c r="AZ849" i="84"/>
  <c r="BD758" i="84"/>
  <c r="AQ815" i="84"/>
  <c r="BD27" i="84"/>
  <c r="AZ428" i="84"/>
  <c r="AW557" i="84"/>
  <c r="AZ775" i="84"/>
  <c r="AQ103" i="84"/>
  <c r="AQ255" i="84"/>
  <c r="AZ154" i="84"/>
  <c r="AZ763" i="84"/>
  <c r="AT84" i="84"/>
  <c r="AT375" i="84"/>
  <c r="AW363" i="84"/>
  <c r="AQ916" i="84"/>
  <c r="BD613" i="84"/>
  <c r="BD256" i="84"/>
  <c r="AW939" i="84"/>
  <c r="AT478" i="84"/>
  <c r="AZ313" i="84"/>
  <c r="BD448" i="84"/>
  <c r="AZ699" i="84"/>
  <c r="AZ284" i="84"/>
  <c r="AT440" i="84"/>
  <c r="AT966" i="84"/>
  <c r="AQ75" i="84"/>
  <c r="AQ404" i="84"/>
  <c r="AW194" i="84"/>
  <c r="BD384" i="84"/>
  <c r="BD190" i="84"/>
  <c r="AW536" i="84"/>
  <c r="AQ508" i="84"/>
  <c r="AW622" i="84"/>
  <c r="AT268" i="84"/>
  <c r="AW118" i="84"/>
  <c r="AW369" i="84"/>
  <c r="AQ57" i="84"/>
  <c r="AW947" i="84"/>
  <c r="BD446" i="84"/>
  <c r="AW912" i="84"/>
  <c r="AQ183" i="84"/>
  <c r="AZ37" i="84"/>
  <c r="BD698" i="84"/>
  <c r="BD346" i="84"/>
  <c r="AW527" i="84"/>
  <c r="AZ309" i="84"/>
  <c r="AT385" i="84"/>
  <c r="AZ573" i="84"/>
  <c r="AQ162" i="84"/>
  <c r="BD790" i="84"/>
  <c r="AQ191" i="84"/>
  <c r="AW225" i="84"/>
  <c r="BD60" i="84"/>
  <c r="BD414" i="84"/>
  <c r="AW629" i="84"/>
  <c r="AQ614" i="84"/>
  <c r="AZ247" i="84"/>
  <c r="BD202" i="84"/>
  <c r="BD846" i="84"/>
  <c r="AZ332" i="84"/>
  <c r="BD592" i="84"/>
  <c r="AQ516" i="84"/>
  <c r="AW816" i="84"/>
  <c r="AT586" i="84"/>
  <c r="AZ830" i="84"/>
  <c r="BD381" i="84"/>
  <c r="AZ109" i="84"/>
  <c r="AQ588" i="84"/>
  <c r="AW617" i="84"/>
  <c r="AW394" i="84"/>
  <c r="AW114" i="84"/>
  <c r="AT350" i="84"/>
  <c r="AQ834" i="84"/>
  <c r="AT130" i="84"/>
  <c r="AZ542" i="84"/>
  <c r="AT267" i="84"/>
  <c r="BD930" i="84"/>
  <c r="AZ354" i="84"/>
  <c r="AZ540" i="84"/>
  <c r="BD156" i="84"/>
  <c r="BD697" i="84"/>
  <c r="AT137" i="84"/>
  <c r="AZ558" i="84"/>
  <c r="AZ910" i="84"/>
  <c r="BD424" i="84"/>
  <c r="AW523" i="84"/>
  <c r="AZ227" i="84"/>
  <c r="AZ925" i="84"/>
  <c r="BD521" i="84"/>
  <c r="AZ506" i="84"/>
  <c r="AW298" i="84"/>
  <c r="AQ705" i="84"/>
  <c r="AQ430" i="84"/>
  <c r="AZ802" i="84"/>
  <c r="AW649" i="84"/>
  <c r="AQ196" i="84"/>
  <c r="AW443" i="84"/>
  <c r="AT13" i="84"/>
  <c r="AZ541" i="84"/>
  <c r="AQ257" i="84"/>
  <c r="AQ754" i="84"/>
  <c r="AT429" i="84"/>
  <c r="AT50" i="84"/>
  <c r="AW238" i="84"/>
  <c r="AZ596" i="84"/>
  <c r="AT167" i="84"/>
  <c r="AZ233" i="84"/>
  <c r="AT285" i="84"/>
  <c r="AW751" i="84"/>
  <c r="AQ955" i="84"/>
  <c r="BD146" i="84"/>
  <c r="AW528" i="84"/>
  <c r="AW107" i="84"/>
  <c r="AQ336" i="84"/>
  <c r="AZ932" i="84"/>
  <c r="AZ807" i="84"/>
  <c r="AQ865" i="84"/>
  <c r="AW220" i="84"/>
  <c r="BD935" i="84"/>
  <c r="AW831" i="84"/>
  <c r="AQ125" i="84"/>
  <c r="BD473" i="84"/>
  <c r="AZ366" i="84"/>
  <c r="AQ420" i="84"/>
  <c r="AW743" i="84"/>
  <c r="AW69" i="84"/>
  <c r="AW348" i="84"/>
  <c r="AT885" i="84"/>
  <c r="AT218" i="84"/>
  <c r="AQ418" i="84"/>
  <c r="AZ99" i="84"/>
  <c r="AQ952" i="84"/>
  <c r="BD871" i="84"/>
  <c r="AQ811" i="84"/>
  <c r="BD188" i="84"/>
  <c r="AT243" i="84"/>
  <c r="AW131" i="84"/>
  <c r="AT746" i="84"/>
  <c r="AQ412" i="84"/>
  <c r="AQ94" i="84"/>
  <c r="BD960" i="84"/>
  <c r="BD159" i="84"/>
  <c r="AZ711" i="84"/>
  <c r="AT861" i="84"/>
  <c r="AT635" i="84"/>
  <c r="AW236" i="84"/>
  <c r="BD647" i="84"/>
  <c r="AT11" i="84"/>
  <c r="AW810" i="84"/>
  <c r="AW631" i="84"/>
  <c r="AQ833" i="84"/>
  <c r="AQ349" i="84"/>
  <c r="AW147" i="84"/>
  <c r="AT836" i="84"/>
  <c r="BD720" i="84"/>
  <c r="AQ343" i="84"/>
  <c r="BD244" i="84"/>
  <c r="AZ852" i="84"/>
  <c r="AZ410" i="84"/>
  <c r="BD522" i="84"/>
  <c r="BD835" i="84"/>
  <c r="AW915" i="84"/>
  <c r="BD683" i="84"/>
  <c r="AZ174" i="84"/>
  <c r="AZ208" i="84"/>
  <c r="AZ702" i="84"/>
  <c r="BD431" i="84"/>
  <c r="AT787" i="84"/>
  <c r="AZ395" i="84"/>
  <c r="AW382" i="84"/>
  <c r="AT203" i="84"/>
  <c r="AQ863" i="84"/>
  <c r="AQ140" i="84"/>
  <c r="AW878" i="84"/>
  <c r="AT602" i="84"/>
  <c r="AQ533" i="84"/>
  <c r="AZ938" i="84"/>
  <c r="AZ502" i="84"/>
  <c r="AQ186" i="84"/>
  <c r="AW297" i="84"/>
  <c r="BD10" i="84"/>
  <c r="AQ954" i="84"/>
  <c r="AZ70" i="84"/>
  <c r="AT497" i="84"/>
  <c r="AZ437" i="84"/>
  <c r="AQ578" i="84"/>
  <c r="AQ393" i="84"/>
  <c r="BD308" i="84"/>
  <c r="AZ552" i="84"/>
  <c r="AQ674" i="84"/>
  <c r="AW302" i="84"/>
  <c r="AQ326" i="84"/>
  <c r="AQ249" i="84"/>
  <c r="AW264" i="84"/>
  <c r="AQ485" i="84"/>
  <c r="AW674" i="84"/>
  <c r="AZ300" i="84"/>
  <c r="AW326" i="84"/>
  <c r="AT136" i="84"/>
  <c r="BD70" i="84"/>
  <c r="AT271" i="84"/>
  <c r="AQ290" i="84"/>
  <c r="BD636" i="84"/>
  <c r="AQ792" i="84"/>
  <c r="AW870" i="84"/>
  <c r="AQ492" i="84"/>
  <c r="AZ409" i="84"/>
  <c r="AZ725" i="84"/>
  <c r="BD773" i="84"/>
  <c r="AZ792" i="84"/>
  <c r="AW95" i="84"/>
  <c r="AQ870" i="84"/>
  <c r="AT492" i="84"/>
  <c r="AZ488" i="84"/>
  <c r="AT409" i="84"/>
  <c r="AW938" i="84"/>
  <c r="BD725" i="84"/>
  <c r="BD43" i="84"/>
  <c r="AQ108" i="84"/>
  <c r="AW502" i="84"/>
  <c r="AZ457" i="84"/>
  <c r="AW22" i="84"/>
  <c r="AW850" i="84"/>
  <c r="BD644" i="84"/>
  <c r="BD302" i="84"/>
  <c r="AW300" i="84"/>
  <c r="AQ48" i="84"/>
  <c r="AT214" i="84"/>
  <c r="BD591" i="84"/>
  <c r="AW472" i="84"/>
  <c r="AZ281" i="84"/>
  <c r="BD889" i="84"/>
  <c r="BD753" i="84"/>
  <c r="AQ10" i="84"/>
  <c r="AW331" i="84"/>
  <c r="AW310" i="84"/>
  <c r="AQ646" i="84"/>
  <c r="AQ965" i="84"/>
  <c r="AT926" i="84"/>
  <c r="BD954" i="84"/>
  <c r="AQ716" i="84"/>
  <c r="AW742" i="84"/>
  <c r="BD263" i="84"/>
  <c r="AW874" i="84"/>
  <c r="AW70" i="84"/>
  <c r="BD826" i="84"/>
  <c r="AZ98" i="84"/>
  <c r="BD41" i="84"/>
  <c r="AQ727" i="84"/>
  <c r="AZ497" i="84"/>
  <c r="AT611" i="84"/>
  <c r="AW192" i="84"/>
  <c r="AT845" i="84"/>
  <c r="AQ437" i="84"/>
  <c r="AQ72" i="84"/>
  <c r="AQ576" i="84"/>
  <c r="AT198" i="84"/>
  <c r="AZ578" i="84"/>
  <c r="AQ549" i="84"/>
  <c r="AZ812" i="84"/>
  <c r="AZ568" i="84"/>
  <c r="AW735" i="84"/>
  <c r="AT393" i="84"/>
  <c r="BD789" i="84"/>
  <c r="AZ51" i="84"/>
  <c r="AT703" i="84"/>
  <c r="AQ259" i="84"/>
  <c r="AW308" i="84"/>
  <c r="AZ172" i="84"/>
  <c r="AQ442" i="84"/>
  <c r="AZ664" i="84"/>
  <c r="AZ76" i="84"/>
  <c r="BD49" i="84"/>
  <c r="AZ459" i="84"/>
  <c r="AZ335" i="84"/>
  <c r="AT862" i="84"/>
  <c r="AQ294" i="84"/>
  <c r="BD115" i="84"/>
  <c r="AW696" i="84"/>
  <c r="AZ888" i="84"/>
  <c r="AT45" i="84"/>
  <c r="AW135" i="84"/>
  <c r="AW641" i="84"/>
  <c r="AQ378" i="84"/>
  <c r="AZ943" i="84"/>
  <c r="AT141" i="84"/>
  <c r="AW77" i="84"/>
  <c r="BD232" i="84"/>
  <c r="BD389" i="84"/>
  <c r="BD875" i="84"/>
  <c r="AW898" i="84"/>
  <c r="BD173" i="84"/>
  <c r="AT821" i="84"/>
  <c r="AZ543" i="84"/>
  <c r="AZ201" i="84"/>
  <c r="AZ853" i="84"/>
  <c r="AT814" i="84"/>
  <c r="AT449" i="84"/>
  <c r="AZ564" i="84"/>
  <c r="AT61" i="84"/>
  <c r="AQ964" i="84"/>
  <c r="AW456" i="84"/>
  <c r="AW116" i="84"/>
  <c r="AT288" i="84"/>
  <c r="AT882" i="84"/>
  <c r="BD917" i="84"/>
  <c r="AQ240" i="84"/>
  <c r="AT417" i="84"/>
  <c r="AT663" i="84"/>
  <c r="AW515" i="84"/>
  <c r="BD942" i="84"/>
  <c r="AQ237" i="84"/>
  <c r="AQ78" i="84"/>
  <c r="BD561" i="84"/>
  <c r="AT39" i="84"/>
  <c r="AZ940" i="84"/>
  <c r="AQ317" i="84"/>
  <c r="AZ804" i="84"/>
  <c r="AZ132" i="84"/>
  <c r="AQ67" i="84"/>
  <c r="AQ933" i="84"/>
  <c r="AZ231" i="84"/>
  <c r="AW618" i="84"/>
  <c r="AT422" i="84"/>
  <c r="AW659" i="84"/>
  <c r="AT514" i="84"/>
  <c r="AZ880" i="84"/>
  <c r="AT241" i="84"/>
  <c r="AT427" i="84"/>
  <c r="BD734" i="84"/>
  <c r="AQ891" i="84"/>
  <c r="AZ579" i="84"/>
  <c r="AT597" i="84"/>
  <c r="AW495" i="84"/>
  <c r="BD254" i="84"/>
  <c r="AW691" i="84"/>
  <c r="AW215" i="84"/>
  <c r="AW287" i="84"/>
  <c r="AT498" i="84"/>
  <c r="AW406" i="84"/>
  <c r="BD547" i="84"/>
  <c r="AQ324" i="84"/>
  <c r="AZ123" i="84"/>
  <c r="AT100" i="84"/>
  <c r="AT700" i="84"/>
  <c r="AW65" i="84"/>
  <c r="AQ755" i="84"/>
  <c r="AW46" i="84"/>
  <c r="AW251" i="84"/>
  <c r="AW386" i="84"/>
  <c r="AT493" i="84"/>
  <c r="AW713" i="84"/>
  <c r="AW30" i="84"/>
  <c r="AZ719" i="84"/>
  <c r="AZ333" i="84"/>
  <c r="AQ66" i="84"/>
  <c r="AQ209" i="84"/>
  <c r="AW503" i="84"/>
  <c r="BD589" i="84"/>
  <c r="AW535" i="84"/>
  <c r="AW715" i="84"/>
  <c r="AZ213" i="84"/>
  <c r="AZ744" i="84"/>
  <c r="BD182" i="84"/>
  <c r="BD936" i="84"/>
  <c r="BD133" i="84"/>
  <c r="AZ484" i="84"/>
  <c r="BD482" i="84"/>
  <c r="AZ185" i="84"/>
  <c r="AZ89" i="84"/>
  <c r="AZ405" i="84"/>
  <c r="BD166" i="84"/>
  <c r="BD279" i="84"/>
  <c r="AZ625" i="84"/>
  <c r="AW718" i="84"/>
  <c r="AT639" i="84"/>
  <c r="AZ18" i="84"/>
  <c r="AQ460" i="84"/>
  <c r="AQ303" i="84"/>
  <c r="AW111" i="84"/>
  <c r="AZ530" i="84"/>
  <c r="AT860" i="84"/>
  <c r="AW467" i="84"/>
  <c r="AW507" i="84"/>
  <c r="AT632" i="84"/>
  <c r="AW604" i="84"/>
  <c r="AZ959" i="84"/>
  <c r="AW408" i="84"/>
  <c r="BD21" i="84"/>
  <c r="AT740" i="84"/>
  <c r="AW550" i="84"/>
  <c r="BD931" i="84"/>
  <c r="AZ668" i="84"/>
  <c r="AZ909" i="84"/>
  <c r="BD838" i="84"/>
  <c r="AZ712" i="84"/>
  <c r="AQ152" i="84"/>
  <c r="BD800" i="84"/>
  <c r="AW204" i="84"/>
  <c r="AW884" i="84"/>
  <c r="AT487" i="84"/>
  <c r="AQ554" i="84"/>
  <c r="AT732" i="84"/>
  <c r="AT35" i="84"/>
  <c r="AW158" i="84"/>
  <c r="AZ212" i="84"/>
  <c r="BD112" i="84"/>
  <c r="BD548" i="84"/>
  <c r="BD177" i="84"/>
  <c r="BD276" i="84"/>
  <c r="BD795" i="84"/>
  <c r="AQ670" i="84"/>
  <c r="AQ500" i="84"/>
  <c r="AZ452" i="84"/>
  <c r="AQ603" i="84"/>
  <c r="AW929" i="84"/>
  <c r="AT666" i="84"/>
  <c r="BD673" i="84"/>
  <c r="AT948" i="84"/>
  <c r="AT299" i="84"/>
  <c r="AW491" i="84"/>
  <c r="AT626" i="84"/>
  <c r="AZ956" i="84"/>
  <c r="AT791" i="84"/>
  <c r="BD235" i="84"/>
  <c r="AQ342" i="84"/>
  <c r="AT907" i="84"/>
  <c r="AW556" i="84"/>
  <c r="AZ318" i="84"/>
  <c r="BD559" i="84"/>
  <c r="AT402" i="84"/>
  <c r="AW793" i="84"/>
  <c r="BD677" i="84"/>
  <c r="AZ897" i="84"/>
  <c r="AZ660" i="84"/>
  <c r="AT858" i="84"/>
  <c r="AZ92" i="84"/>
  <c r="AW905" i="84"/>
  <c r="BD957" i="84"/>
  <c r="AZ709" i="84"/>
  <c r="AQ23" i="84"/>
  <c r="AZ895" i="84"/>
  <c r="AT360" i="84"/>
  <c r="AZ624" i="84"/>
  <c r="AQ918" i="84"/>
  <c r="AW645" i="84"/>
  <c r="AT486" i="84"/>
  <c r="BD864" i="84"/>
  <c r="AZ253" i="84"/>
  <c r="AQ562" i="84"/>
  <c r="BD739" i="84"/>
  <c r="AZ520" i="84"/>
  <c r="BD643" i="84"/>
  <c r="AQ772" i="84"/>
  <c r="AW594" i="84"/>
  <c r="AZ323" i="84"/>
  <c r="AZ56" i="84"/>
  <c r="AQ371" i="84"/>
  <c r="AZ444" i="84"/>
  <c r="AT325" i="84"/>
  <c r="AZ900" i="84"/>
  <c r="AQ684" i="84"/>
  <c r="AW583" i="84"/>
  <c r="AQ519" i="84"/>
  <c r="AQ117" i="84"/>
  <c r="AQ571" i="84"/>
  <c r="AZ806" i="84"/>
  <c r="AZ695" i="84"/>
  <c r="BD642" i="84"/>
  <c r="AW226" i="84"/>
  <c r="BD761" i="84"/>
  <c r="AT275" i="84"/>
  <c r="AZ658" i="84"/>
  <c r="AT396" i="84"/>
  <c r="AQ575" i="84"/>
  <c r="AW768" i="84"/>
  <c r="AZ708" i="84"/>
  <c r="AT730" i="84"/>
  <c r="AZ765" i="84"/>
  <c r="AT29" i="84"/>
  <c r="AZ352" i="84"/>
  <c r="AT392" i="84"/>
  <c r="AT682" i="84"/>
  <c r="AT305" i="84"/>
  <c r="AZ529" i="84"/>
  <c r="AT859" i="84"/>
  <c r="AZ869" i="84"/>
  <c r="AZ681" i="84"/>
  <c r="AZ738" i="84"/>
  <c r="AZ569" i="84"/>
  <c r="AW415" i="84"/>
  <c r="AQ260" i="84"/>
  <c r="AZ595" i="84"/>
  <c r="AW599" i="84"/>
  <c r="AW829" i="84"/>
  <c r="AT748" i="84"/>
  <c r="AQ399" i="84"/>
  <c r="AZ463" i="84"/>
  <c r="AQ280" i="84"/>
  <c r="AT64" i="84"/>
  <c r="AZ817" i="84"/>
  <c r="AQ950" i="84"/>
  <c r="BD946" i="84"/>
  <c r="AZ587" i="84"/>
  <c r="AQ628" i="84"/>
  <c r="AQ876" i="84"/>
  <c r="AT949" i="84"/>
  <c r="AQ261" i="84"/>
  <c r="AZ334" i="84"/>
  <c r="AT347" i="84"/>
  <c r="BD675" i="84"/>
  <c r="BD706" i="84"/>
  <c r="AT24" i="84"/>
  <c r="AZ86" i="84"/>
  <c r="AQ667" i="84"/>
  <c r="AZ470" i="84"/>
  <c r="BD81" i="84"/>
  <c r="AQ794" i="84"/>
  <c r="AT433" i="84"/>
  <c r="AZ91" i="84"/>
  <c r="AQ685" i="84"/>
  <c r="AQ307" i="84"/>
  <c r="AQ722" i="84"/>
  <c r="AT436" i="84"/>
  <c r="AW124" i="84"/>
  <c r="AW120" i="84"/>
  <c r="BD320" i="84"/>
  <c r="AW893" i="84"/>
  <c r="AQ224" i="84"/>
  <c r="AW657" i="84"/>
  <c r="AZ890" i="84"/>
  <c r="BD229" i="84"/>
  <c r="AW40" i="84"/>
  <c r="AZ8" i="84"/>
  <c r="AZ170" i="84"/>
  <c r="AT383" i="84"/>
  <c r="BD894" i="84"/>
  <c r="AW759" i="84"/>
  <c r="AZ857" i="84"/>
  <c r="AZ358" i="84"/>
  <c r="BD479" i="84"/>
  <c r="AT616" i="84"/>
  <c r="AT671" i="84"/>
  <c r="AZ590" i="84"/>
  <c r="BD16" i="84"/>
  <c r="AZ866" i="84"/>
  <c r="AT851" i="84"/>
  <c r="BD924" i="84"/>
  <c r="AW483" i="84"/>
  <c r="BD85" i="84"/>
  <c r="AW779" i="84"/>
  <c r="AT610" i="84"/>
  <c r="AT205" i="84"/>
  <c r="AT379" i="84"/>
  <c r="BD627" i="84"/>
  <c r="AQ143" i="84"/>
  <c r="AW723" i="84"/>
  <c r="AT509" i="84"/>
  <c r="BD563" i="84"/>
  <c r="AZ904" i="84"/>
  <c r="AZ538" i="84"/>
  <c r="BD187" i="84"/>
  <c r="BD839" i="84"/>
  <c r="BD296" i="84"/>
  <c r="AT455" i="84"/>
  <c r="AT119" i="84"/>
  <c r="BD922" i="84"/>
  <c r="AT679" i="84"/>
  <c r="AW879" i="84"/>
  <c r="AZ769" i="84"/>
  <c r="AW330" i="84"/>
  <c r="AQ9" i="84"/>
  <c r="AZ329" i="84"/>
  <c r="BD686" i="84"/>
  <c r="AZ655" i="84"/>
  <c r="AZ168" i="84"/>
  <c r="AQ680" i="84"/>
  <c r="BD425" i="84"/>
  <c r="AT553" i="84"/>
  <c r="AZ33" i="84"/>
  <c r="AQ937" i="84"/>
  <c r="AW82" i="84"/>
  <c r="AW304" i="84"/>
  <c r="BD327" i="84"/>
  <c r="BD407" i="84"/>
  <c r="AW148" i="84"/>
  <c r="BD797" i="84"/>
  <c r="AQ612" i="84"/>
  <c r="AQ97" i="84"/>
  <c r="AQ272" i="84"/>
  <c r="BD672" i="84"/>
  <c r="AT534" i="84"/>
  <c r="AT438" i="84"/>
  <c r="AT877" i="84"/>
  <c r="AW630" i="84"/>
  <c r="AZ179" i="84"/>
  <c r="AW609" i="84"/>
  <c r="BD180" i="84"/>
  <c r="AZ637" i="84"/>
  <c r="BD273" i="84"/>
  <c r="AW181" i="84"/>
  <c r="AQ96" i="84"/>
  <c r="AQ400" i="84"/>
  <c r="AZ531" i="84"/>
  <c r="AT868" i="84"/>
  <c r="AQ142" i="84"/>
  <c r="AZ345" i="84"/>
  <c r="AW615" i="84"/>
  <c r="BD20" i="84"/>
  <c r="BD796" i="84"/>
  <c r="BD656" i="84"/>
  <c r="AZ881" i="84"/>
  <c r="AT545" i="84"/>
  <c r="AZ638" i="84"/>
  <c r="BD756" i="84"/>
  <c r="AQ555" i="84"/>
  <c r="AQ766" i="84"/>
  <c r="AZ951" i="84"/>
  <c r="AT322" i="84"/>
  <c r="AW138" i="84"/>
  <c r="AZ781" i="84"/>
  <c r="AZ200" i="84"/>
  <c r="AZ906" i="84"/>
  <c r="AW355" i="84"/>
  <c r="BD501" i="84"/>
  <c r="AW489" i="84"/>
  <c r="AW380" i="84"/>
  <c r="AZ601" i="84"/>
  <c r="AZ841" i="84"/>
  <c r="BD28" i="84"/>
  <c r="AZ758" i="84"/>
  <c r="AT815" i="84"/>
  <c r="AZ27" i="84"/>
  <c r="AQ428" i="84"/>
  <c r="AW566" i="84"/>
  <c r="AW775" i="84"/>
  <c r="BD103" i="84"/>
  <c r="AZ453" i="84"/>
  <c r="AQ154" i="84"/>
  <c r="AQ763" i="84"/>
  <c r="AT607" i="84"/>
  <c r="AW375" i="84"/>
  <c r="BD363" i="84"/>
  <c r="AT916" i="84"/>
  <c r="AQ613" i="84"/>
  <c r="AT801" i="84"/>
  <c r="BD939" i="84"/>
  <c r="AW478" i="84"/>
  <c r="AW313" i="84"/>
  <c r="AT448" i="84"/>
  <c r="BD79" i="84"/>
  <c r="AW284" i="84"/>
  <c r="AZ440" i="84"/>
  <c r="AW966" i="84"/>
  <c r="AZ75" i="84"/>
  <c r="AW210" i="84"/>
  <c r="BD194" i="84"/>
  <c r="AT384" i="84"/>
  <c r="AT190" i="84"/>
  <c r="BD536" i="84"/>
  <c r="AT93" i="84"/>
  <c r="BD622" i="84"/>
  <c r="AZ268" i="84"/>
  <c r="AZ118" i="84"/>
  <c r="AQ369" i="84"/>
  <c r="AW57" i="84"/>
  <c r="AZ947" i="84"/>
  <c r="AT446" i="84"/>
  <c r="AT295" i="84"/>
  <c r="AZ183" i="84"/>
  <c r="BD37" i="84"/>
  <c r="AW698" i="84"/>
  <c r="AT346" i="84"/>
  <c r="BD151" i="84"/>
  <c r="AQ309" i="84"/>
  <c r="AW385" i="84"/>
  <c r="AW573" i="84"/>
  <c r="AW162" i="84"/>
  <c r="AW565" i="84"/>
  <c r="AT191" i="84"/>
  <c r="AT225" i="84"/>
  <c r="AZ58" i="84"/>
  <c r="AQ414" i="84"/>
  <c r="BD629" i="84"/>
  <c r="AT614" i="84"/>
  <c r="AQ247" i="84"/>
  <c r="AQ365" i="84"/>
  <c r="AQ846" i="84"/>
  <c r="AQ332" i="84"/>
  <c r="AZ592" i="84"/>
  <c r="AZ516" i="84"/>
  <c r="AZ468" i="84"/>
  <c r="AW586" i="84"/>
  <c r="AT830" i="84"/>
  <c r="AQ381" i="84"/>
  <c r="AT109" i="84"/>
  <c r="AZ398" i="84"/>
  <c r="AT617" i="84"/>
  <c r="AQ394" i="84"/>
  <c r="BD945" i="84"/>
  <c r="AZ350" i="84"/>
  <c r="BD834" i="84"/>
  <c r="BD941" i="84"/>
  <c r="BD542" i="84"/>
  <c r="AZ267" i="84"/>
  <c r="AQ930" i="84"/>
  <c r="AW354" i="84"/>
  <c r="AQ540" i="84"/>
  <c r="AW156" i="84"/>
  <c r="AW697" i="84"/>
  <c r="AT737" i="84"/>
  <c r="AW558" i="84"/>
  <c r="AW910" i="84"/>
  <c r="AW424" i="84"/>
  <c r="BD523" i="84"/>
  <c r="BD127" i="84"/>
  <c r="AQ925" i="84"/>
  <c r="AQ521" i="84"/>
  <c r="AQ506" i="84"/>
  <c r="AZ298" i="84"/>
  <c r="AQ465" i="84"/>
  <c r="AW430" i="84"/>
  <c r="AT802" i="84"/>
  <c r="AZ649" i="84"/>
  <c r="BD196" i="84"/>
  <c r="AW750" i="84"/>
  <c r="AQ13" i="84"/>
  <c r="AQ541" i="84"/>
  <c r="AT257" i="84"/>
  <c r="BD754" i="84"/>
  <c r="AZ736" i="84"/>
  <c r="AW50" i="84"/>
  <c r="AQ238" i="84"/>
  <c r="AT596" i="84"/>
  <c r="BD167" i="84"/>
  <c r="AW780" i="84"/>
  <c r="AQ285" i="84"/>
  <c r="BD751" i="84"/>
  <c r="AW955" i="84"/>
  <c r="AW146" i="84"/>
  <c r="AW512" i="84"/>
  <c r="AZ107" i="84"/>
  <c r="AW336" i="84"/>
  <c r="AQ932" i="84"/>
  <c r="AQ807" i="84"/>
  <c r="AW911" i="84"/>
  <c r="BD220" i="84"/>
  <c r="AQ935" i="84"/>
  <c r="AQ831" i="84"/>
  <c r="BD125" i="84"/>
  <c r="BD525" i="84"/>
  <c r="AT366" i="84"/>
  <c r="AZ420" i="84"/>
  <c r="AT743" i="84"/>
  <c r="AZ69" i="84"/>
  <c r="AZ504" i="84"/>
  <c r="AW885" i="84"/>
  <c r="BD218" i="84"/>
  <c r="AZ418" i="84"/>
  <c r="AQ99" i="84"/>
  <c r="AZ692" i="84"/>
  <c r="AT871" i="84"/>
  <c r="BD811" i="84"/>
  <c r="AT188" i="84"/>
  <c r="AQ243" i="84"/>
  <c r="AZ131" i="84"/>
  <c r="BD746" i="84"/>
  <c r="AW412" i="84"/>
  <c r="BD266" i="84"/>
  <c r="AW960" i="84"/>
  <c r="AW159" i="84"/>
  <c r="AQ711" i="84"/>
  <c r="AW861" i="84"/>
  <c r="AW139" i="84"/>
  <c r="AT236" i="84"/>
  <c r="AW647" i="84"/>
  <c r="AQ11" i="84"/>
  <c r="AZ810" i="84"/>
  <c r="AT480" i="84"/>
  <c r="BD833" i="84"/>
  <c r="AW349" i="84"/>
  <c r="AQ147" i="84"/>
  <c r="AW836" i="84"/>
  <c r="BD721" i="84"/>
  <c r="BD343" i="84"/>
  <c r="AW244" i="84"/>
  <c r="AT852" i="84"/>
  <c r="AQ410" i="84"/>
  <c r="AT494" i="84"/>
  <c r="AW835" i="84"/>
  <c r="AT915" i="84"/>
  <c r="AW683" i="84"/>
  <c r="AQ174" i="84"/>
  <c r="AW80" i="84"/>
  <c r="AQ702" i="84"/>
  <c r="AT431" i="84"/>
  <c r="AZ787" i="84"/>
  <c r="AT395" i="84"/>
  <c r="AZ184" i="84"/>
  <c r="BD203" i="84"/>
  <c r="AT863" i="84"/>
  <c r="BD662" i="84"/>
  <c r="AT878" i="84"/>
  <c r="AQ602" i="84"/>
  <c r="BD533" i="84"/>
  <c r="D63" i="86" l="1"/>
  <c r="A64" i="86"/>
  <c r="D64" i="86"/>
  <c r="D62" i="86"/>
  <c r="A63" i="86"/>
  <c r="A62" i="86"/>
  <c r="N64" i="86"/>
  <c r="T64" i="86"/>
  <c r="N63" i="86"/>
  <c r="N62" i="86"/>
  <c r="T62" i="86"/>
  <c r="T63" i="86"/>
  <c r="F62" i="86"/>
  <c r="L64" i="86"/>
  <c r="F64" i="86"/>
  <c r="F63" i="86"/>
  <c r="L63" i="86"/>
  <c r="L62" i="86"/>
  <c r="F58" i="86"/>
  <c r="F57" i="86"/>
  <c r="L57" i="86"/>
  <c r="F59" i="86"/>
  <c r="L59" i="86"/>
  <c r="L58" i="86"/>
  <c r="N59" i="86"/>
  <c r="T57" i="86"/>
  <c r="N58" i="86"/>
  <c r="T59" i="86"/>
  <c r="N57" i="86"/>
  <c r="T58" i="86"/>
</calcChain>
</file>

<file path=xl/comments1.xml><?xml version="1.0" encoding="utf-8"?>
<comments xmlns="http://schemas.openxmlformats.org/spreadsheetml/2006/main">
  <authors>
    <author>dan</author>
  </authors>
  <commentList>
    <comment ref="D6" authorId="0" shapeId="0">
      <text>
        <r>
          <rPr>
            <b/>
            <sz val="9"/>
            <color indexed="81"/>
            <rFont val="Tahoma"/>
            <family val="2"/>
          </rPr>
          <t>1 if player entered game.  Else, leave blank</t>
        </r>
      </text>
    </comment>
  </commentList>
</comments>
</file>

<file path=xl/comments10.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11.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12.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13.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14.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15.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16.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17.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18.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19.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xml><?xml version="1.0" encoding="utf-8"?>
<comments xmlns="http://schemas.openxmlformats.org/spreadsheetml/2006/main">
  <authors>
    <author>dan</author>
  </authors>
  <commentList>
    <comment ref="E6" authorId="0" shapeId="0">
      <text>
        <r>
          <rPr>
            <b/>
            <sz val="9"/>
            <color indexed="81"/>
            <rFont val="Tahoma"/>
            <family val="2"/>
          </rPr>
          <t>1 if player entered game.  Else, leave blank</t>
        </r>
      </text>
    </comment>
  </commentList>
</comments>
</file>

<file path=xl/comments20.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1.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2.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3.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4.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5.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6.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7.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8.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29.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xml><?xml version="1.0" encoding="utf-8"?>
<comments xmlns="http://schemas.openxmlformats.org/spreadsheetml/2006/main">
  <authors>
    <author>Dan Bleak</author>
  </authors>
  <commentList>
    <comment ref="A1" authorId="0" shapeId="0">
      <text>
        <r>
          <rPr>
            <b/>
            <sz val="9"/>
            <color indexed="81"/>
            <rFont val="Tahoma"/>
            <family val="2"/>
          </rPr>
          <t xml:space="preserve">Select Player Here </t>
        </r>
        <r>
          <rPr>
            <sz val="9"/>
            <color indexed="81"/>
            <rFont val="Tahoma"/>
            <family val="2"/>
          </rPr>
          <t xml:space="preserve">(pulls from the Roster)
</t>
        </r>
      </text>
    </comment>
  </commentList>
</comments>
</file>

<file path=xl/comments30.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1.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2.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3.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4.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5.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6.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7.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8.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39.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4.xml><?xml version="1.0" encoding="utf-8"?>
<comments xmlns="http://schemas.openxmlformats.org/spreadsheetml/2006/main">
  <authors>
    <author>Dan Bleak</author>
    <author>dan</author>
  </authors>
  <commentList>
    <comment ref="B1" authorId="0" shapeId="0">
      <text>
        <r>
          <rPr>
            <b/>
            <sz val="9"/>
            <color indexed="81"/>
            <rFont val="Tahoma"/>
            <family val="2"/>
          </rPr>
          <t>Select the Team from the Drop Down list</t>
        </r>
        <r>
          <rPr>
            <sz val="9"/>
            <color indexed="81"/>
            <rFont val="Tahoma"/>
            <family val="2"/>
          </rPr>
          <t xml:space="preserve">
</t>
        </r>
      </text>
    </comment>
    <comment ref="B6" authorId="1" shapeId="0">
      <text>
        <r>
          <rPr>
            <b/>
            <sz val="10"/>
            <color indexed="81"/>
            <rFont val="Calibri"/>
            <family val="2"/>
          </rPr>
          <t>First Name, Last Name</t>
        </r>
        <r>
          <rPr>
            <sz val="10"/>
            <color indexed="81"/>
            <rFont val="Calibri"/>
            <family val="2"/>
          </rPr>
          <t xml:space="preserve">
</t>
        </r>
      </text>
    </comment>
    <comment ref="D8" authorId="0" shapeId="0">
      <text>
        <r>
          <rPr>
            <b/>
            <sz val="9"/>
            <color indexed="81"/>
            <rFont val="Tahoma"/>
            <family val="2"/>
          </rPr>
          <t>Enter first last name:</t>
        </r>
        <r>
          <rPr>
            <sz val="9"/>
            <color indexed="81"/>
            <rFont val="Tahoma"/>
            <family val="2"/>
          </rPr>
          <t xml:space="preserve">
</t>
        </r>
      </text>
    </comment>
  </commentList>
</comments>
</file>

<file path=xl/comments40.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41.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42.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43.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44.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5.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6.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7.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8.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comments9.xml><?xml version="1.0" encoding="utf-8"?>
<comments xmlns="http://schemas.openxmlformats.org/spreadsheetml/2006/main">
  <authors>
    <author>Dan Bleak</author>
    <author>dan</author>
  </authors>
  <commentList>
    <comment ref="B3" authorId="0" shapeId="0">
      <text>
        <r>
          <rPr>
            <b/>
            <sz val="9"/>
            <color indexed="81"/>
            <rFont val="Tahoma"/>
            <family val="2"/>
          </rPr>
          <t>Enter Opponent Here</t>
        </r>
      </text>
    </comment>
    <comment ref="J4" authorId="1" shapeId="0">
      <text>
        <r>
          <rPr>
            <b/>
            <sz val="9"/>
            <color indexed="81"/>
            <rFont val="Tahoma"/>
            <family val="2"/>
          </rPr>
          <t>Enter 1, 2, 3, 4, etc. if OT's were played</t>
        </r>
      </text>
    </comment>
    <comment ref="M4" authorId="1" shapeId="0">
      <text>
        <r>
          <rPr>
            <b/>
            <sz val="10"/>
            <color indexed="81"/>
            <rFont val="Tahoma"/>
            <family val="2"/>
          </rPr>
          <t>MM/DD/YY</t>
        </r>
        <r>
          <rPr>
            <sz val="10"/>
            <color indexed="81"/>
            <rFont val="Tahoma"/>
            <family val="2"/>
          </rPr>
          <t xml:space="preserve">
</t>
        </r>
        <r>
          <rPr>
            <sz val="10"/>
            <color indexed="81"/>
            <rFont val="Calibri"/>
            <family val="2"/>
          </rPr>
          <t>MM/DD/YY</t>
        </r>
      </text>
    </comment>
    <comment ref="S4" authorId="0" shapeId="0">
      <text>
        <r>
          <rPr>
            <b/>
            <sz val="9"/>
            <color indexed="81"/>
            <rFont val="Tahoma"/>
            <family val="2"/>
          </rPr>
          <t>Enter 1 for Forfeit W:</t>
        </r>
        <r>
          <rPr>
            <sz val="9"/>
            <color indexed="81"/>
            <rFont val="Tahoma"/>
            <family val="2"/>
          </rPr>
          <t xml:space="preserve">
Only enter opponent and date of game.  Leave all else blank (except for Conf W/L if applicable)</t>
        </r>
      </text>
    </comment>
    <comment ref="U4" authorId="0" shapeId="0">
      <text>
        <r>
          <rPr>
            <b/>
            <sz val="9"/>
            <color indexed="81"/>
            <rFont val="Tahoma"/>
            <family val="2"/>
          </rPr>
          <t xml:space="preserve">Enter 1 for Forfeit L:
</t>
        </r>
        <r>
          <rPr>
            <sz val="9"/>
            <color indexed="81"/>
            <rFont val="Tahoma"/>
            <family val="2"/>
          </rPr>
          <t>Only enter opponent and date of game.  Leave all else blank (except for Conf W/L if applicable)</t>
        </r>
      </text>
    </comment>
    <comment ref="C6" authorId="0" shapeId="0">
      <text>
        <r>
          <rPr>
            <sz val="9"/>
            <color indexed="81"/>
            <rFont val="Tahoma"/>
            <family val="2"/>
          </rPr>
          <t>Enter s for player who started the game</t>
        </r>
      </text>
    </comment>
    <comment ref="D6" authorId="1" shapeId="0">
      <text>
        <r>
          <rPr>
            <b/>
            <sz val="9"/>
            <color indexed="81"/>
            <rFont val="Tahoma"/>
            <family val="2"/>
          </rPr>
          <t>1 if player entered game.  Else, leave blank</t>
        </r>
      </text>
    </comment>
    <comment ref="E6" authorId="0" shapeId="0">
      <text>
        <r>
          <rPr>
            <b/>
            <sz val="9"/>
            <color indexed="81"/>
            <rFont val="Tahoma"/>
            <family val="2"/>
          </rPr>
          <t xml:space="preserve">Minutes Played:
</t>
        </r>
        <r>
          <rPr>
            <sz val="9"/>
            <color indexed="81"/>
            <rFont val="Tahoma"/>
            <family val="2"/>
          </rPr>
          <t xml:space="preserve">Will help provide enhanced stats if coach chooses to enter them.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<sst xmlns="http://schemas.openxmlformats.org/spreadsheetml/2006/main" count="3253" uniqueCount="375">
  <si>
    <t>Class</t>
  </si>
  <si>
    <t>Conference</t>
  </si>
  <si>
    <t>Select Team Name</t>
  </si>
  <si>
    <t>Region</t>
  </si>
  <si>
    <t>Sub Region</t>
  </si>
  <si>
    <t>Mascot</t>
  </si>
  <si>
    <t>Lady Mascot</t>
  </si>
  <si>
    <t>Arvada Clearmont</t>
  </si>
  <si>
    <t>1A</t>
  </si>
  <si>
    <t>Northeast</t>
  </si>
  <si>
    <t>North</t>
  </si>
  <si>
    <t>Panthers</t>
  </si>
  <si>
    <t>Big Horn</t>
  </si>
  <si>
    <t>2A</t>
  </si>
  <si>
    <t>Rams</t>
  </si>
  <si>
    <t>Men (BB) / Women (GB)</t>
  </si>
  <si>
    <t>Big Piney</t>
  </si>
  <si>
    <t>Southwest</t>
  </si>
  <si>
    <t>South</t>
  </si>
  <si>
    <t>Punchers</t>
  </si>
  <si>
    <t>game1 (1)</t>
  </si>
  <si>
    <t>#</t>
  </si>
  <si>
    <t>PLAYER - First Name Last Name</t>
  </si>
  <si>
    <t>Buffalo</t>
  </si>
  <si>
    <t>3A</t>
  </si>
  <si>
    <t>Bison</t>
  </si>
  <si>
    <t>game1 (2)</t>
  </si>
  <si>
    <t>Northwest</t>
  </si>
  <si>
    <t>game1 (3)</t>
  </si>
  <si>
    <t>Southeast</t>
  </si>
  <si>
    <t>Broncs</t>
  </si>
  <si>
    <t>game1 (4)</t>
  </si>
  <si>
    <t>4A</t>
  </si>
  <si>
    <t>game1 (5)</t>
  </si>
  <si>
    <t>game1 (6)</t>
  </si>
  <si>
    <t>Buffalos</t>
  </si>
  <si>
    <t>game1 (7)</t>
  </si>
  <si>
    <t>Fillies</t>
  </si>
  <si>
    <t>game1 (8)</t>
  </si>
  <si>
    <t>game1 (9)</t>
  </si>
  <si>
    <t>game1 (10)</t>
  </si>
  <si>
    <t>game1 (11)</t>
  </si>
  <si>
    <t>game1 (12)</t>
  </si>
  <si>
    <t>Tigers</t>
  </si>
  <si>
    <t>game1 (13)</t>
  </si>
  <si>
    <t>game1 (14)</t>
  </si>
  <si>
    <t>game1 (15)</t>
  </si>
  <si>
    <t>Eagles</t>
  </si>
  <si>
    <t>game1 (16)</t>
  </si>
  <si>
    <t>game1 (17)</t>
  </si>
  <si>
    <t>Wolves</t>
  </si>
  <si>
    <t>game1 (18)</t>
  </si>
  <si>
    <t>game1 (19)</t>
  </si>
  <si>
    <t>game1 (20)</t>
  </si>
  <si>
    <t>game1 (21)</t>
  </si>
  <si>
    <t>game1 (22)</t>
  </si>
  <si>
    <t>game1 (23)</t>
  </si>
  <si>
    <t>game1 (24)</t>
  </si>
  <si>
    <t>game1 (25)</t>
  </si>
  <si>
    <t>game1 (26)</t>
  </si>
  <si>
    <t>game1 (27)</t>
  </si>
  <si>
    <t>game1 (28)</t>
  </si>
  <si>
    <t>Lingle</t>
  </si>
  <si>
    <t>Doggers</t>
  </si>
  <si>
    <t>game1 (29)</t>
  </si>
  <si>
    <t>Bulldogs</t>
  </si>
  <si>
    <t>game1 (30)</t>
  </si>
  <si>
    <t>Lusk</t>
  </si>
  <si>
    <t>game1 (31)</t>
  </si>
  <si>
    <t>Lyman</t>
  </si>
  <si>
    <t>game1 (32)</t>
  </si>
  <si>
    <t>Meeteetse</t>
  </si>
  <si>
    <t>Longhorns</t>
  </si>
  <si>
    <t>game1 (33)</t>
  </si>
  <si>
    <t>Midwest</t>
  </si>
  <si>
    <t>Oilers</t>
  </si>
  <si>
    <t>game1 (34)</t>
  </si>
  <si>
    <t>Moorcroft</t>
  </si>
  <si>
    <t>game1 (35)</t>
  </si>
  <si>
    <t>Mountain View</t>
  </si>
  <si>
    <t>game1 (36)</t>
  </si>
  <si>
    <t>Natrona</t>
  </si>
  <si>
    <t>Mustangs</t>
  </si>
  <si>
    <t>game1 (37)</t>
  </si>
  <si>
    <t>Newcastle</t>
  </si>
  <si>
    <t>Dogies</t>
  </si>
  <si>
    <t>game1 (38)</t>
  </si>
  <si>
    <t>NSI</t>
  </si>
  <si>
    <t>game1 (39)</t>
  </si>
  <si>
    <t>Pine Bluffs</t>
  </si>
  <si>
    <t>Hornets</t>
  </si>
  <si>
    <t>game1 (40)</t>
  </si>
  <si>
    <t>Pinedale</t>
  </si>
  <si>
    <t>Wranglers</t>
  </si>
  <si>
    <t>Powell</t>
  </si>
  <si>
    <t>Rawlins</t>
  </si>
  <si>
    <t>Outlaws</t>
  </si>
  <si>
    <t>Riverside</t>
  </si>
  <si>
    <t>Rebels</t>
  </si>
  <si>
    <t>Riverton</t>
  </si>
  <si>
    <t>Wolverines</t>
  </si>
  <si>
    <t>Rock River</t>
  </si>
  <si>
    <t>Rock Springs</t>
  </si>
  <si>
    <t>Rocky Mountain</t>
  </si>
  <si>
    <t>Grizzlies</t>
  </si>
  <si>
    <t>Saratoga</t>
  </si>
  <si>
    <t>Sheridan</t>
  </si>
  <si>
    <t>Shoshoni</t>
  </si>
  <si>
    <t>Snake River</t>
  </si>
  <si>
    <t>Rattlers</t>
  </si>
  <si>
    <t>Cyclones</t>
  </si>
  <si>
    <t>St Stephens</t>
  </si>
  <si>
    <t>Star Valley</t>
  </si>
  <si>
    <t>Braves</t>
  </si>
  <si>
    <t>Sundance</t>
  </si>
  <si>
    <t>Ten Sleep</t>
  </si>
  <si>
    <t>Pioneers</t>
  </si>
  <si>
    <t>Thermopolis</t>
  </si>
  <si>
    <t>Bobcats</t>
  </si>
  <si>
    <t>Thunder Basin</t>
  </si>
  <si>
    <t>Bolts</t>
  </si>
  <si>
    <t>Tongue River</t>
  </si>
  <si>
    <t>Torrington</t>
  </si>
  <si>
    <t>Trailblazers</t>
  </si>
  <si>
    <t>Upton</t>
  </si>
  <si>
    <t>Wheatland</t>
  </si>
  <si>
    <t>Wind River</t>
  </si>
  <si>
    <t>Cougars</t>
  </si>
  <si>
    <t>Worland</t>
  </si>
  <si>
    <t>Warriors</t>
  </si>
  <si>
    <t>Wright</t>
  </si>
  <si>
    <t>Wyoming Indian</t>
  </si>
  <si>
    <t>Chiefs</t>
  </si>
  <si>
    <t>Date of Game</t>
  </si>
  <si>
    <t>Win</t>
  </si>
  <si>
    <t>Conf W</t>
  </si>
  <si>
    <t>Loss</t>
  </si>
  <si>
    <t>Conf L</t>
  </si>
  <si>
    <t>Forfeit W?</t>
  </si>
  <si>
    <t>Forfeit L?</t>
  </si>
  <si>
    <t>PLAYER</t>
  </si>
  <si>
    <t>GP</t>
  </si>
  <si>
    <t>3FGM</t>
  </si>
  <si>
    <t>3FGA</t>
  </si>
  <si>
    <t>2FGM</t>
  </si>
  <si>
    <t>2FGA</t>
  </si>
  <si>
    <t>FTM</t>
  </si>
  <si>
    <t>FTA</t>
  </si>
  <si>
    <t>OFF REB</t>
  </si>
  <si>
    <t>DEF REB</t>
  </si>
  <si>
    <t>AST</t>
  </si>
  <si>
    <t>STL</t>
  </si>
  <si>
    <t>BLK</t>
  </si>
  <si>
    <t>TO</t>
  </si>
  <si>
    <t>FOUL</t>
  </si>
  <si>
    <t>TL PTS</t>
  </si>
  <si>
    <t>3FG %</t>
  </si>
  <si>
    <t>2FG %</t>
  </si>
  <si>
    <t>FT %</t>
  </si>
  <si>
    <t>FG%</t>
  </si>
  <si>
    <t>FGA</t>
  </si>
  <si>
    <t>Team Totals</t>
  </si>
  <si>
    <t>Opponent Totals</t>
  </si>
  <si>
    <t>Top Points</t>
  </si>
  <si>
    <t>MINUTES</t>
  </si>
  <si>
    <t># OT's</t>
  </si>
  <si>
    <t>eFG%</t>
  </si>
  <si>
    <t>CHRG TKN</t>
  </si>
  <si>
    <t>OFF ATT</t>
  </si>
  <si>
    <t>Top Assists</t>
  </si>
  <si>
    <t>Top Steals</t>
  </si>
  <si>
    <t>Top Blocks</t>
  </si>
  <si>
    <t>Top Rebounds</t>
  </si>
  <si>
    <t>Score by Quarters</t>
  </si>
  <si>
    <t>Q1</t>
  </si>
  <si>
    <t>Q2</t>
  </si>
  <si>
    <t>Q3</t>
  </si>
  <si>
    <t>Q4</t>
  </si>
  <si>
    <t>OT's</t>
  </si>
  <si>
    <t>Final</t>
  </si>
  <si>
    <t>PTS 3's</t>
  </si>
  <si>
    <t>PTS 2's</t>
  </si>
  <si>
    <t>PTS FT</t>
  </si>
  <si>
    <t>OREB %</t>
  </si>
  <si>
    <t>DREB%</t>
  </si>
  <si>
    <t>AST / FGM</t>
  </si>
  <si>
    <t>School</t>
  </si>
  <si>
    <t>Opponent</t>
  </si>
  <si>
    <t>Date</t>
  </si>
  <si>
    <t>3 FG%*</t>
  </si>
  <si>
    <t>2 FG%*</t>
  </si>
  <si>
    <t>FT %*</t>
  </si>
  <si>
    <t>FG%*</t>
  </si>
  <si>
    <t>Opp GP</t>
  </si>
  <si>
    <t>Opp 3FGM</t>
  </si>
  <si>
    <t>Opp 3FGA</t>
  </si>
  <si>
    <t>Opp 2FGM</t>
  </si>
  <si>
    <t>Opp 2FGA</t>
  </si>
  <si>
    <t>Opp FTM</t>
  </si>
  <si>
    <t>Opp FTA</t>
  </si>
  <si>
    <t>Opp OFF REB</t>
  </si>
  <si>
    <t>Opp DEF REB</t>
  </si>
  <si>
    <t>Opp AST</t>
  </si>
  <si>
    <t>Opp STL</t>
  </si>
  <si>
    <t>Opp BLK</t>
  </si>
  <si>
    <t>Opp TO</t>
  </si>
  <si>
    <t>Opp FOUL</t>
  </si>
  <si>
    <t>Opp TL PTS</t>
  </si>
  <si>
    <t>Opp 3 FG%*</t>
  </si>
  <si>
    <t>Opp 2 FG%*</t>
  </si>
  <si>
    <t>Opp FT %*</t>
  </si>
  <si>
    <t>Opp FG%*</t>
  </si>
  <si>
    <t>OREB Margin</t>
  </si>
  <si>
    <t>DREB Margin</t>
  </si>
  <si>
    <t>REB Margin</t>
  </si>
  <si>
    <t>Game#</t>
  </si>
  <si>
    <t>School, Opponent,Game#</t>
  </si>
  <si>
    <t>Region Game "R"</t>
  </si>
  <si>
    <t>Score</t>
  </si>
  <si>
    <t>Visible</t>
  </si>
  <si>
    <t>TOT REB</t>
  </si>
  <si>
    <t>Opp MINUTES</t>
  </si>
  <si>
    <t>Opp CHRG TAKEN</t>
  </si>
  <si>
    <t>Opp eFG%</t>
  </si>
  <si>
    <t>Opp TOT REB</t>
  </si>
  <si>
    <t>SubRegion</t>
  </si>
  <si>
    <t>Conf Win</t>
  </si>
  <si>
    <t>Conf Loss</t>
  </si>
  <si>
    <t>PLAYER, #</t>
  </si>
  <si>
    <t>Player #, Opponent,Game#</t>
  </si>
  <si>
    <t>Games</t>
  </si>
  <si>
    <t>Chosen</t>
  </si>
  <si>
    <t>Opponent GM AVG</t>
  </si>
  <si>
    <t>MINS</t>
  </si>
  <si>
    <t>PointRank</t>
  </si>
  <si>
    <t>PointOrder</t>
  </si>
  <si>
    <t>PointTieBreak</t>
  </si>
  <si>
    <t>VisibleOrder</t>
  </si>
  <si>
    <t>REB</t>
  </si>
  <si>
    <t>REBOrder</t>
  </si>
  <si>
    <t>REBTieBreak</t>
  </si>
  <si>
    <t>REBRank</t>
  </si>
  <si>
    <t>ASTOrder</t>
  </si>
  <si>
    <t>ASTTieBreak</t>
  </si>
  <si>
    <t>ASTRank</t>
  </si>
  <si>
    <t>STLOrder</t>
  </si>
  <si>
    <t>STLTieBreak</t>
  </si>
  <si>
    <t>STLRank</t>
  </si>
  <si>
    <t>BLKOrder</t>
  </si>
  <si>
    <t>BLKTieBreak</t>
  </si>
  <si>
    <t>BLKRank</t>
  </si>
  <si>
    <t>EligFG</t>
  </si>
  <si>
    <t>EligFGOrder</t>
  </si>
  <si>
    <t>EligFGTieBreak</t>
  </si>
  <si>
    <t>EligFGRank</t>
  </si>
  <si>
    <t>Top FG%</t>
  </si>
  <si>
    <t>Opponent(s)</t>
  </si>
  <si>
    <t>Est # Poss</t>
  </si>
  <si>
    <t>OT</t>
  </si>
  <si>
    <t>Opp Q1</t>
  </si>
  <si>
    <t>Opp Q2</t>
  </si>
  <si>
    <t>Opp Q3</t>
  </si>
  <si>
    <t>Opp Q4</t>
  </si>
  <si>
    <t>Opp OT</t>
  </si>
  <si>
    <t>FG_Part</t>
  </si>
  <si>
    <t>qAST</t>
  </si>
  <si>
    <t>FGM</t>
  </si>
  <si>
    <t>AST_Part</t>
  </si>
  <si>
    <t>FT_Part</t>
  </si>
  <si>
    <t>Team_Scoring_Poss</t>
  </si>
  <si>
    <t>Team_ORB_Weight</t>
  </si>
  <si>
    <t>Regional</t>
  </si>
  <si>
    <t>SubRegional</t>
  </si>
  <si>
    <t>Forfeit W</t>
  </si>
  <si>
    <t>Forfeit L</t>
  </si>
  <si>
    <t>START</t>
  </si>
  <si>
    <t>CHG TKN</t>
  </si>
  <si>
    <t>STRT</t>
  </si>
  <si>
    <t>Coach</t>
  </si>
  <si>
    <t>Game Summary Report (Per Minute Average)</t>
  </si>
  <si>
    <t>Game Summary Report (Per Game Average)</t>
  </si>
  <si>
    <t>Game Breakdown</t>
  </si>
  <si>
    <t>Opponent, Date</t>
  </si>
  <si>
    <t>W/L</t>
  </si>
  <si>
    <t>Pvisible</t>
  </si>
  <si>
    <t>Pvisible Order</t>
  </si>
  <si>
    <t>Total All Games</t>
  </si>
  <si>
    <t>Total Games Won</t>
  </si>
  <si>
    <t>Total Games Lost</t>
  </si>
  <si>
    <t>Total Selected Games</t>
  </si>
  <si>
    <t>Average</t>
  </si>
  <si>
    <t>Record</t>
  </si>
  <si>
    <t>East</t>
  </si>
  <si>
    <t>West</t>
  </si>
  <si>
    <t>Burlington</t>
  </si>
  <si>
    <t>Huskies</t>
  </si>
  <si>
    <t>Burns</t>
  </si>
  <si>
    <t>Lady Broncs</t>
  </si>
  <si>
    <t>Campbell Co.</t>
  </si>
  <si>
    <t>Camels</t>
  </si>
  <si>
    <t>Central</t>
  </si>
  <si>
    <t>Indians</t>
  </si>
  <si>
    <t>Cody</t>
  </si>
  <si>
    <t>Cokeville</t>
  </si>
  <si>
    <t>Douglas</t>
  </si>
  <si>
    <t>Bearcats</t>
  </si>
  <si>
    <t>Dubois</t>
  </si>
  <si>
    <t>Thunderbirds</t>
  </si>
  <si>
    <t>Encampment</t>
  </si>
  <si>
    <t>Evanston</t>
  </si>
  <si>
    <t>Red Devils</t>
  </si>
  <si>
    <t>Farson Eden</t>
  </si>
  <si>
    <t>Pronghorns</t>
  </si>
  <si>
    <t>Glenrock</t>
  </si>
  <si>
    <t>Herders</t>
  </si>
  <si>
    <t>Green River</t>
  </si>
  <si>
    <t>Greybull</t>
  </si>
  <si>
    <t>Guernsey</t>
  </si>
  <si>
    <t>Vikings</t>
  </si>
  <si>
    <t>HEM</t>
  </si>
  <si>
    <t>Miners</t>
  </si>
  <si>
    <t>Hulett</t>
  </si>
  <si>
    <t>Jackson</t>
  </si>
  <si>
    <t>Kaycee</t>
  </si>
  <si>
    <t>Buckaroos</t>
  </si>
  <si>
    <t>Lady Bucs</t>
  </si>
  <si>
    <t>Kelly Walsh</t>
  </si>
  <si>
    <t>Trojans</t>
  </si>
  <si>
    <t>Kemmerer</t>
  </si>
  <si>
    <t>Rangers</t>
  </si>
  <si>
    <t>Lander Valley</t>
  </si>
  <si>
    <t>Laramie</t>
  </si>
  <si>
    <t>Plainsmen</t>
  </si>
  <si>
    <t>Lovell</t>
  </si>
  <si>
    <t>Subregion</t>
  </si>
  <si>
    <t>Chugwater</t>
  </si>
  <si>
    <t>Glendo</t>
  </si>
  <si>
    <t>2022 - 2023  Season</t>
  </si>
  <si>
    <t xml:space="preserve">, </t>
  </si>
  <si>
    <t>Per Possession</t>
  </si>
  <si>
    <t>Total</t>
  </si>
  <si>
    <t>Per Game</t>
  </si>
  <si>
    <t>Points</t>
  </si>
  <si>
    <t>O Reb</t>
  </si>
  <si>
    <t>D Reb</t>
  </si>
  <si>
    <t>Rebounds</t>
  </si>
  <si>
    <t>Assists</t>
  </si>
  <si>
    <t>Steals</t>
  </si>
  <si>
    <t>Blocks</t>
  </si>
  <si>
    <t>Turnovers</t>
  </si>
  <si>
    <t>Per 65 Possessions</t>
  </si>
  <si>
    <t>Reb</t>
  </si>
  <si>
    <t>Opp</t>
  </si>
  <si>
    <t>Assist</t>
  </si>
  <si>
    <t>Logan Timberman</t>
  </si>
  <si>
    <t>Chase Mills</t>
  </si>
  <si>
    <t>Rhett Watt</t>
  </si>
  <si>
    <t>Keith Coburn</t>
  </si>
  <si>
    <t>Ethan Schiller</t>
  </si>
  <si>
    <t>Bridger Bruce</t>
  </si>
  <si>
    <t>Kailer Duarte</t>
  </si>
  <si>
    <t>Ryan Baker</t>
  </si>
  <si>
    <t>Jacob McNutt</t>
  </si>
  <si>
    <t>Joe Samuelson</t>
  </si>
  <si>
    <t>BB</t>
  </si>
  <si>
    <t>Landon Butler</t>
  </si>
  <si>
    <t>Carson Barritt</t>
  </si>
  <si>
    <t>Ben Carpenter</t>
  </si>
  <si>
    <t>Matt Stirmel</t>
  </si>
  <si>
    <t>s</t>
  </si>
  <si>
    <t>Little Snake River</t>
  </si>
  <si>
    <t>New Underwood, SD</t>
  </si>
  <si>
    <t>Faith, SD</t>
  </si>
  <si>
    <t>Thunder Basin JV</t>
  </si>
  <si>
    <t>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</si>
</sst>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d/yy;@"/>
    <numFmt numFmtId="165" formatCode="0.0"/>
  </numFmts>
  <fonts count="92" x14ac:knownFonts="1">
    <font>
      <sz val="11"/>
      <color theme="1"/>
      <name val="Calibri"/>
      <family val="2"/>
      <scheme val="minor"/>
    </font>
    <font>
      <sz val="11"/>
      <color theme="1"/>
      <name val="Arial Narrow"/>
      <family val="2"/>
    </font>
    <font>
      <sz val="11"/>
      <color theme="1"/>
      <name val="Calibri"/>
      <family val="2"/>
      <scheme val="minor"/>
    </font>
    <font>
      <sz val="9"/>
      <name val="Courier New"/>
      <family val="3"/>
    </font>
    <font>
      <b/>
      <sz val="10"/>
      <color indexed="81"/>
      <name val="Calibri"/>
      <family val="2"/>
    </font>
    <font>
      <sz val="10"/>
      <color indexed="81"/>
      <name val="Calibri"/>
      <family val="2"/>
    </font>
    <font>
      <sz val="9"/>
      <color theme="0"/>
      <name val="Calibri"/>
      <family val="2"/>
    </font>
    <font>
      <b/>
      <sz val="10"/>
      <color indexed="81"/>
      <name val="Tahoma"/>
      <family val="2"/>
    </font>
    <font>
      <sz val="10"/>
      <color indexed="81"/>
      <name val="Tahoma"/>
      <family val="2"/>
    </font>
    <font>
      <sz val="9"/>
      <color indexed="81"/>
      <name val="Tahoma"/>
      <family val="2"/>
    </font>
    <font>
      <b/>
      <sz val="9"/>
      <color indexed="81"/>
      <name val="Tahoma"/>
      <family val="2"/>
    </font>
    <font>
      <b/>
      <sz val="10"/>
      <name val="Arial Narrow"/>
      <family val="2"/>
    </font>
    <font>
      <b/>
      <sz val="9"/>
      <name val="Arial Narrow"/>
      <family val="2"/>
    </font>
    <font>
      <sz val="12"/>
      <color theme="0"/>
      <name val="Calibri"/>
      <family val="2"/>
    </font>
    <font>
      <sz val="9"/>
      <color theme="1"/>
      <name val="Arial Narrow"/>
      <family val="2"/>
    </font>
    <font>
      <b/>
      <sz val="9"/>
      <color theme="1"/>
      <name val="Arial Narrow"/>
      <family val="2"/>
    </font>
    <font>
      <b/>
      <sz val="8"/>
      <name val="Arial Narrow"/>
      <family val="2"/>
    </font>
    <font>
      <sz val="8"/>
      <color theme="1"/>
      <name val="Arial Narrow"/>
      <family val="2"/>
    </font>
    <font>
      <sz val="9"/>
      <name val="Arial Narrow"/>
      <family val="2"/>
    </font>
    <font>
      <sz val="10"/>
      <name val="Arial Narrow"/>
      <family val="2"/>
    </font>
    <font>
      <sz val="9"/>
      <color rgb="FFFF0000"/>
      <name val="Arial Narrow"/>
      <family val="2"/>
    </font>
    <font>
      <sz val="11"/>
      <color theme="1"/>
      <name val="Arial Narrow"/>
      <family val="2"/>
    </font>
    <font>
      <b/>
      <sz val="12"/>
      <name val="Arial Narrow"/>
      <family val="2"/>
    </font>
    <font>
      <sz val="12"/>
      <name val="Arial Narrow"/>
      <family val="2"/>
    </font>
    <font>
      <b/>
      <sz val="12"/>
      <color theme="1"/>
      <name val="Arial Narrow"/>
      <family val="2"/>
    </font>
    <font>
      <b/>
      <sz val="10"/>
      <color indexed="12"/>
      <name val="Arial Narrow"/>
      <family val="2"/>
    </font>
    <font>
      <i/>
      <sz val="11"/>
      <color theme="1" tint="0.499984740745262"/>
      <name val="Arial Narrow"/>
      <family val="2"/>
    </font>
    <font>
      <sz val="11"/>
      <name val="Arial Narrow"/>
      <family val="2"/>
    </font>
    <font>
      <i/>
      <sz val="11"/>
      <color theme="2" tint="-0.499984740745262"/>
      <name val="Arial Narrow"/>
      <family val="2"/>
    </font>
    <font>
      <sz val="11"/>
      <color theme="2" tint="-0.499984740745262"/>
      <name val="Arial Narrow"/>
      <family val="2"/>
    </font>
    <font>
      <i/>
      <sz val="11"/>
      <name val="Arial Narrow"/>
      <family val="2"/>
    </font>
    <font>
      <b/>
      <sz val="11"/>
      <name val="Arial Narrow"/>
      <family val="2"/>
    </font>
    <font>
      <b/>
      <i/>
      <sz val="11"/>
      <name val="Arial Narrow"/>
      <family val="2"/>
    </font>
    <font>
      <i/>
      <sz val="11"/>
      <color rgb="FF0000FF"/>
      <name val="Arial Narrow"/>
      <family val="2"/>
    </font>
    <font>
      <b/>
      <sz val="11"/>
      <color rgb="FF0000FF"/>
      <name val="Arial Narrow"/>
      <family val="2"/>
    </font>
    <font>
      <b/>
      <i/>
      <sz val="11"/>
      <color rgb="FF0000FF"/>
      <name val="Arial Narrow"/>
      <family val="2"/>
    </font>
    <font>
      <b/>
      <i/>
      <sz val="11"/>
      <color indexed="12"/>
      <name val="Arial Narrow"/>
      <family val="2"/>
    </font>
    <font>
      <sz val="11"/>
      <color rgb="FFFF0000"/>
      <name val="Calibri"/>
      <family val="2"/>
      <scheme val="minor"/>
    </font>
    <font>
      <sz val="10"/>
      <color theme="0"/>
      <name val="Arial Narrow"/>
      <family val="2"/>
    </font>
    <font>
      <sz val="9"/>
      <color theme="0"/>
      <name val="Arial Narrow"/>
      <family val="2"/>
    </font>
    <font>
      <sz val="12"/>
      <color theme="0"/>
      <name val="Arial Narrow"/>
      <family val="2"/>
    </font>
    <font>
      <sz val="10"/>
      <color theme="4" tint="-0.249977111117893"/>
      <name val="Arial Narrow"/>
      <family val="2"/>
    </font>
    <font>
      <sz val="12"/>
      <color theme="4" tint="-0.249977111117893"/>
      <name val="Arial Narrow"/>
      <family val="2"/>
    </font>
    <font>
      <sz val="10"/>
      <color rgb="FFFF0000"/>
      <name val="Arial Narrow"/>
      <family val="2"/>
    </font>
    <font>
      <sz val="12"/>
      <color rgb="FFFF0000"/>
      <name val="Arial Narrow"/>
      <family val="2"/>
    </font>
    <font>
      <b/>
      <sz val="10"/>
      <color rgb="FFFF0000"/>
      <name val="Arial Narrow"/>
      <family val="2"/>
    </font>
    <font>
      <b/>
      <i/>
      <sz val="14"/>
      <name val="Arial Narrow"/>
      <family val="2"/>
    </font>
    <font>
      <i/>
      <sz val="10"/>
      <color theme="0"/>
      <name val="Arial Narrow"/>
      <family val="2"/>
    </font>
    <font>
      <sz val="8"/>
      <color theme="0"/>
      <name val="Arial Narrow"/>
      <family val="2"/>
    </font>
    <font>
      <b/>
      <sz val="12"/>
      <color rgb="FF0000FF"/>
      <name val="Arial Narrow"/>
      <family val="2"/>
    </font>
    <font>
      <sz val="12"/>
      <color theme="1" tint="0.499984740745262"/>
      <name val="Arial Narrow"/>
      <family val="2"/>
    </font>
    <font>
      <b/>
      <i/>
      <sz val="12"/>
      <name val="Arial Narrow"/>
      <family val="2"/>
    </font>
    <font>
      <b/>
      <sz val="12"/>
      <color indexed="12"/>
      <name val="Arial Narrow"/>
      <family val="2"/>
    </font>
    <font>
      <sz val="12"/>
      <color indexed="12"/>
      <name val="Arial Narrow"/>
      <family val="2"/>
    </font>
    <font>
      <b/>
      <sz val="12"/>
      <color rgb="FF0070C0"/>
      <name val="Arial Narrow"/>
      <family val="2"/>
    </font>
    <font>
      <b/>
      <i/>
      <sz val="12"/>
      <color indexed="12"/>
      <name val="Arial Narrow"/>
      <family val="2"/>
    </font>
    <font>
      <sz val="8"/>
      <name val="Arial Narrow"/>
      <family val="2"/>
    </font>
    <font>
      <sz val="10"/>
      <color theme="2" tint="-0.499984740745262"/>
      <name val="Arial Narrow"/>
      <family val="2"/>
    </font>
    <font>
      <sz val="11"/>
      <color theme="0" tint="-0.249977111117893"/>
      <name val="Arial Narrow"/>
      <family val="2"/>
    </font>
    <font>
      <sz val="10"/>
      <color theme="0" tint="-0.34998626667073579"/>
      <name val="Arial Narrow"/>
      <family val="2"/>
    </font>
    <font>
      <b/>
      <sz val="11"/>
      <color rgb="FF3F3F3F"/>
      <name val="Arial"/>
      <family val="2"/>
    </font>
    <font>
      <sz val="9"/>
      <color rgb="FF000000"/>
      <name val="Arial Narrow"/>
      <family val="2"/>
    </font>
    <font>
      <sz val="9"/>
      <name val="Arial Narrow"/>
      <family val="2"/>
    </font>
    <font>
      <sz val="10"/>
      <color theme="1"/>
      <name val="Arial Narrow"/>
      <family val="2"/>
    </font>
    <font>
      <i/>
      <sz val="11"/>
      <color theme="1"/>
      <name val="Arial Narrow"/>
      <family val="2"/>
    </font>
    <font>
      <sz val="8"/>
      <color theme="1"/>
      <name val="Arial Narrow"/>
      <family val="2"/>
    </font>
    <font>
      <b/>
      <sz val="8"/>
      <name val="Arial Narrow"/>
      <family val="2"/>
    </font>
    <font>
      <b/>
      <sz val="10"/>
      <color theme="0" tint="-0.499984740745262"/>
      <name val="Arial Narrow"/>
      <family val="2"/>
    </font>
    <font>
      <b/>
      <sz val="11"/>
      <color theme="1" tint="0.499984740745262"/>
      <name val="Arial Narrow"/>
      <family val="2"/>
    </font>
    <font>
      <b/>
      <sz val="10"/>
      <color theme="9" tint="-0.499984740745262"/>
      <name val="Arial Narrow"/>
      <family val="2"/>
    </font>
    <font>
      <i/>
      <sz val="11"/>
      <color theme="9" tint="-0.499984740745262"/>
      <name val="Arial Narrow"/>
      <family val="2"/>
    </font>
    <font>
      <b/>
      <sz val="11"/>
      <color theme="9" tint="-0.499984740745262"/>
      <name val="Arial Narrow"/>
      <family val="2"/>
    </font>
    <font>
      <b/>
      <i/>
      <sz val="11"/>
      <color theme="9" tint="-0.499984740745262"/>
      <name val="Arial Narrow"/>
      <family val="2"/>
    </font>
    <font>
      <b/>
      <sz val="10"/>
      <color theme="9" tint="-0.249977111117893"/>
      <name val="Arial Narrow"/>
      <family val="2"/>
    </font>
    <font>
      <i/>
      <sz val="11"/>
      <color theme="9" tint="-0.249977111117893"/>
      <name val="Arial Narrow"/>
      <family val="2"/>
    </font>
    <font>
      <b/>
      <sz val="11"/>
      <color theme="9" tint="-0.249977111117893"/>
      <name val="Arial Narrow"/>
      <family val="2"/>
    </font>
    <font>
      <b/>
      <i/>
      <sz val="11"/>
      <color theme="9" tint="-0.249977111117893"/>
      <name val="Arial Narrow"/>
      <family val="2"/>
    </font>
    <font>
      <b/>
      <sz val="10"/>
      <color rgb="FF800000"/>
      <name val="Arial Narrow"/>
      <family val="2"/>
    </font>
    <font>
      <i/>
      <sz val="11"/>
      <color rgb="FF800000"/>
      <name val="Arial Narrow"/>
      <family val="2"/>
    </font>
    <font>
      <b/>
      <sz val="11"/>
      <color rgb="FF800000"/>
      <name val="Arial Narrow"/>
      <family val="2"/>
    </font>
    <font>
      <b/>
      <i/>
      <sz val="11"/>
      <color rgb="FF800000"/>
      <name val="Arial Narrow"/>
      <family val="2"/>
    </font>
    <font>
      <b/>
      <sz val="10"/>
      <color rgb="FFFF5050"/>
      <name val="Arial Narrow"/>
      <family val="2"/>
    </font>
    <font>
      <i/>
      <sz val="11"/>
      <color rgb="FFFF5050"/>
      <name val="Arial Narrow"/>
      <family val="2"/>
    </font>
    <font>
      <b/>
      <sz val="11"/>
      <color rgb="FFFF5050"/>
      <name val="Arial Narrow"/>
      <family val="2"/>
    </font>
    <font>
      <b/>
      <i/>
      <sz val="11"/>
      <color rgb="FFFF5050"/>
      <name val="Arial Narrow"/>
      <family val="2"/>
    </font>
    <font>
      <b/>
      <sz val="10"/>
      <color theme="8" tint="-0.249977111117893"/>
      <name val="Arial Narrow"/>
      <family val="2"/>
    </font>
    <font>
      <i/>
      <sz val="11"/>
      <color theme="8" tint="-0.249977111117893"/>
      <name val="Arial Narrow"/>
      <family val="2"/>
    </font>
    <font>
      <b/>
      <sz val="11"/>
      <color theme="8" tint="-0.249977111117893"/>
      <name val="Arial Narrow"/>
      <family val="2"/>
    </font>
    <font>
      <b/>
      <i/>
      <sz val="11"/>
      <color theme="8" tint="-0.249977111117893"/>
      <name val="Arial Narrow"/>
      <family val="2"/>
    </font>
    <font>
      <sz val="12"/>
      <color theme="1"/>
      <name val="Arial Narrow"/>
      <family val="2"/>
    </font>
    <font>
      <sz val="12"/>
      <color theme="1"/>
      <name val="Calibri"/>
      <family val="2"/>
    </font>
    <font>
      <b/>
      <sz val="12"/>
      <color theme="1"/>
      <name val="Calibri"/>
      <family val="2"/>
    </font>
  </fonts>
  <fills count="11">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5" tint="0.79998168889431442"/>
        <bgColor indexed="65"/>
      </patternFill>
    </fill>
    <fill>
      <patternFill patternType="solid">
        <fgColor theme="0" tint="-4.9989318521683403E-2"/>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F2F2F2"/>
      </patternFill>
    </fill>
    <fill>
      <patternFill patternType="solid">
        <fgColor theme="0"/>
        <bgColor theme="0"/>
      </patternFill>
    </fill>
    <fill>
      <patternFill patternType="solid">
        <fgColor rgb="FFE7E6E6"/>
        <bgColor rgb="FFE7E6E6"/>
      </patternFill>
    </fill>
  </fills>
  <borders count="131">
    <border>
      <left/>
      <right/>
      <top/>
      <bottom/>
      <diagonal/>
    </border>
    <border>
      <left/>
      <right/>
      <top/>
      <bottom style="thin">
        <color indexed="64"/>
      </bottom>
      <diagonal/>
    </border>
    <border>
      <left/>
      <right style="dashDotDot">
        <color indexed="64"/>
      </right>
      <top style="dashDotDot">
        <color indexed="64"/>
      </top>
      <bottom style="dashDotDot">
        <color indexed="64"/>
      </bottom>
      <diagonal/>
    </border>
    <border>
      <left style="dashDotDot">
        <color indexed="64"/>
      </left>
      <right/>
      <top style="dashDotDot">
        <color indexed="64"/>
      </top>
      <bottom style="dashDotDot">
        <color indexed="64"/>
      </bottom>
      <diagonal/>
    </border>
    <border>
      <left/>
      <right style="dashDotDot">
        <color indexed="64"/>
      </right>
      <top style="dashDotDot">
        <color indexed="64"/>
      </top>
      <bottom/>
      <diagonal/>
    </border>
    <border>
      <left style="dashDotDot">
        <color indexed="64"/>
      </left>
      <right/>
      <top style="dashDotDot">
        <color indexed="64"/>
      </top>
      <bottom/>
      <diagonal/>
    </border>
    <border>
      <left style="medium">
        <color indexed="64"/>
      </left>
      <right/>
      <top/>
      <bottom/>
      <diagonal/>
    </border>
    <border>
      <left/>
      <right/>
      <top/>
      <bottom style="medium">
        <color indexed="64"/>
      </bottom>
      <diagonal/>
    </border>
    <border>
      <left/>
      <right style="dashDotDot">
        <color indexed="64"/>
      </right>
      <top/>
      <bottom/>
      <diagonal/>
    </border>
    <border>
      <left/>
      <right/>
      <top style="medium">
        <color indexed="64"/>
      </top>
      <bottom/>
      <diagonal/>
    </border>
    <border>
      <left/>
      <right style="dashDotDot">
        <color indexed="64"/>
      </right>
      <top/>
      <bottom style="hair">
        <color indexed="64"/>
      </bottom>
      <diagonal/>
    </border>
    <border>
      <left/>
      <right/>
      <top/>
      <bottom style="hair">
        <color indexed="64"/>
      </bottom>
      <diagonal/>
    </border>
    <border>
      <left/>
      <right style="dashDotDot">
        <color indexed="64"/>
      </right>
      <top/>
      <bottom style="thin">
        <color indexed="64"/>
      </bottom>
      <diagonal/>
    </border>
    <border>
      <left/>
      <right style="dashDotDot">
        <color indexed="64"/>
      </right>
      <top style="thin">
        <color indexed="64"/>
      </top>
      <bottom style="double">
        <color indexed="64"/>
      </bottom>
      <diagonal/>
    </border>
    <border>
      <left/>
      <right/>
      <top style="thin">
        <color indexed="64"/>
      </top>
      <bottom style="double">
        <color indexed="64"/>
      </bottom>
      <diagonal/>
    </border>
    <border>
      <left style="thick">
        <color theme="8" tint="-0.24994659260841701"/>
      </left>
      <right style="thick">
        <color theme="8" tint="-0.24994659260841701"/>
      </right>
      <top style="thick">
        <color theme="8" tint="-0.24994659260841701"/>
      </top>
      <bottom style="thick">
        <color theme="8" tint="-0.24994659260841701"/>
      </bottom>
      <diagonal/>
    </border>
    <border>
      <left style="thick">
        <color theme="8" tint="-0.24994659260841701"/>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right/>
      <top/>
      <bottom style="double">
        <color indexed="64"/>
      </bottom>
      <diagonal/>
    </border>
    <border>
      <left/>
      <right/>
      <top style="thick">
        <color theme="8" tint="-0.24994659260841701"/>
      </top>
      <bottom/>
      <diagonal/>
    </border>
    <border>
      <left/>
      <right style="dashDotDot">
        <color indexed="64"/>
      </right>
      <top style="thick">
        <color theme="8" tint="-0.24994659260841701"/>
      </top>
      <bottom/>
      <diagonal/>
    </border>
    <border>
      <left/>
      <right/>
      <top/>
      <bottom style="thick">
        <color theme="8" tint="-0.24994659260841701"/>
      </bottom>
      <diagonal/>
    </border>
    <border>
      <left/>
      <right style="dashDotDot">
        <color indexed="64"/>
      </right>
      <top/>
      <bottom style="thick">
        <color theme="8" tint="-0.24994659260841701"/>
      </bottom>
      <diagonal/>
    </border>
    <border>
      <left style="dashDotDot">
        <color indexed="64"/>
      </left>
      <right/>
      <top/>
      <bottom/>
      <diagonal/>
    </border>
    <border>
      <left/>
      <right/>
      <top style="double">
        <color theme="8" tint="-0.24994659260841701"/>
      </top>
      <bottom style="double">
        <color theme="8" tint="-0.24994659260841701"/>
      </bottom>
      <diagonal/>
    </border>
    <border>
      <left/>
      <right style="dashDotDot">
        <color indexed="64"/>
      </right>
      <top style="double">
        <color theme="8" tint="-0.24994659260841701"/>
      </top>
      <bottom style="double">
        <color theme="8" tint="-0.24994659260841701"/>
      </bottom>
      <diagonal/>
    </border>
    <border>
      <left style="dashDotDot">
        <color theme="8" tint="-0.24994659260841701"/>
      </left>
      <right/>
      <top style="double">
        <color theme="8" tint="-0.24994659260841701"/>
      </top>
      <bottom style="double">
        <color theme="8" tint="-0.24994659260841701"/>
      </bottom>
      <diagonal/>
    </border>
    <border>
      <left style="dashDotDot">
        <color auto="1"/>
      </left>
      <right/>
      <top style="thick">
        <color theme="8" tint="-0.24994659260841701"/>
      </top>
      <bottom/>
      <diagonal/>
    </border>
    <border>
      <left style="dashDotDot">
        <color auto="1"/>
      </left>
      <right/>
      <top/>
      <bottom style="hair">
        <color indexed="64"/>
      </bottom>
      <diagonal/>
    </border>
    <border>
      <left style="dashDotDot">
        <color auto="1"/>
      </left>
      <right/>
      <top/>
      <bottom style="thick">
        <color theme="8" tint="-0.24994659260841701"/>
      </bottom>
      <diagonal/>
    </border>
    <border>
      <left style="thick">
        <color theme="8" tint="-0.24994659260841701"/>
      </left>
      <right/>
      <top style="thick">
        <color theme="8" tint="-0.24994659260841701"/>
      </top>
      <bottom/>
      <diagonal/>
    </border>
    <border>
      <left style="thick">
        <color theme="8" tint="-0.24994659260841701"/>
      </left>
      <right/>
      <top/>
      <bottom style="hair">
        <color indexed="64"/>
      </bottom>
      <diagonal/>
    </border>
    <border>
      <left style="thick">
        <color theme="8" tint="-0.24994659260841701"/>
      </left>
      <right/>
      <top/>
      <bottom/>
      <diagonal/>
    </border>
    <border>
      <left style="thick">
        <color theme="8" tint="-0.24994659260841701"/>
      </left>
      <right/>
      <top/>
      <bottom style="thick">
        <color theme="8" tint="-0.24994659260841701"/>
      </bottom>
      <diagonal/>
    </border>
    <border>
      <left/>
      <right style="medium">
        <color indexed="64"/>
      </right>
      <top style="medium">
        <color indexed="64"/>
      </top>
      <bottom/>
      <diagonal/>
    </border>
    <border>
      <left/>
      <right style="medium">
        <color indexed="64"/>
      </right>
      <top/>
      <bottom style="hair">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ck">
        <color theme="8" tint="-0.24994659260841701"/>
      </right>
      <top style="thick">
        <color theme="8" tint="-0.24994659260841701"/>
      </top>
      <bottom/>
      <diagonal/>
    </border>
    <border>
      <left/>
      <right style="thick">
        <color theme="8" tint="-0.24994659260841701"/>
      </right>
      <top/>
      <bottom style="hair">
        <color indexed="64"/>
      </bottom>
      <diagonal/>
    </border>
    <border>
      <left/>
      <right style="thick">
        <color theme="8" tint="-0.24994659260841701"/>
      </right>
      <top/>
      <bottom/>
      <diagonal/>
    </border>
    <border>
      <left/>
      <right style="thick">
        <color theme="8" tint="-0.24994659260841701"/>
      </right>
      <top/>
      <bottom style="thick">
        <color theme="8" tint="-0.24994659260841701"/>
      </bottom>
      <diagonal/>
    </border>
    <border>
      <left/>
      <right style="thin">
        <color indexed="64"/>
      </right>
      <top/>
      <bottom/>
      <diagonal/>
    </border>
    <border>
      <left/>
      <right style="thin">
        <color indexed="64"/>
      </right>
      <top style="double">
        <color theme="8" tint="-0.24994659260841701"/>
      </top>
      <bottom style="double">
        <color theme="8" tint="-0.2499465926084170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dashed">
        <color auto="1"/>
      </bottom>
      <diagonal/>
    </border>
    <border>
      <left/>
      <right style="medium">
        <color indexed="64"/>
      </right>
      <top style="medium">
        <color auto="1"/>
      </top>
      <bottom style="dashed">
        <color auto="1"/>
      </bottom>
      <diagonal/>
    </border>
    <border>
      <left/>
      <right/>
      <top style="medium">
        <color auto="1"/>
      </top>
      <bottom style="dashed">
        <color auto="1"/>
      </bottom>
      <diagonal/>
    </border>
    <border>
      <left style="thick">
        <color theme="8" tint="-0.24994659260841701"/>
      </left>
      <right style="thin">
        <color indexed="64"/>
      </right>
      <top style="thick">
        <color theme="8" tint="-0.24994659260841701"/>
      </top>
      <bottom style="thin">
        <color indexed="64"/>
      </bottom>
      <diagonal/>
    </border>
    <border>
      <left style="thin">
        <color indexed="64"/>
      </left>
      <right style="thin">
        <color indexed="64"/>
      </right>
      <top style="thick">
        <color theme="8" tint="-0.24994659260841701"/>
      </top>
      <bottom style="thin">
        <color indexed="64"/>
      </bottom>
      <diagonal/>
    </border>
    <border>
      <left style="thick">
        <color theme="8" tint="-0.24994659260841701"/>
      </left>
      <right style="thin">
        <color indexed="64"/>
      </right>
      <top style="thin">
        <color indexed="64"/>
      </top>
      <bottom style="thick">
        <color theme="8" tint="-0.24994659260841701"/>
      </bottom>
      <diagonal/>
    </border>
    <border>
      <left style="thin">
        <color indexed="64"/>
      </left>
      <right style="thin">
        <color indexed="64"/>
      </right>
      <top style="thin">
        <color indexed="64"/>
      </top>
      <bottom style="thick">
        <color theme="8" tint="-0.24994659260841701"/>
      </bottom>
      <diagonal/>
    </border>
    <border>
      <left style="thin">
        <color indexed="64"/>
      </left>
      <right/>
      <top style="thick">
        <color theme="8" tint="-0.24994659260841701"/>
      </top>
      <bottom style="thin">
        <color indexed="64"/>
      </bottom>
      <diagonal/>
    </border>
    <border>
      <left style="thin">
        <color indexed="64"/>
      </left>
      <right/>
      <top style="thin">
        <color indexed="64"/>
      </top>
      <bottom style="thick">
        <color theme="8" tint="-0.2499465926084170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medium">
        <color indexed="64"/>
      </left>
      <right/>
      <top style="medium">
        <color indexed="64"/>
      </top>
      <bottom/>
      <diagonal/>
    </border>
    <border>
      <left/>
      <right style="dashDotDot">
        <color indexed="64"/>
      </right>
      <top style="medium">
        <color indexed="64"/>
      </top>
      <bottom/>
      <diagonal/>
    </border>
    <border>
      <left/>
      <right style="dashDotDot">
        <color indexed="64"/>
      </right>
      <top style="medium">
        <color indexed="64"/>
      </top>
      <bottom style="mediumDashed">
        <color indexed="64"/>
      </bottom>
      <diagonal/>
    </border>
    <border>
      <left/>
      <right/>
      <top style="medium">
        <color indexed="64"/>
      </top>
      <bottom style="mediumDashed">
        <color indexed="64"/>
      </bottom>
      <diagonal/>
    </border>
    <border>
      <left/>
      <right style="thin">
        <color indexed="64"/>
      </right>
      <top style="medium">
        <color indexed="64"/>
      </top>
      <bottom style="mediumDashed">
        <color indexed="64"/>
      </bottom>
      <diagonal/>
    </border>
    <border>
      <left style="thin">
        <color indexed="64"/>
      </left>
      <right/>
      <top style="medium">
        <color indexed="64"/>
      </top>
      <bottom style="mediumDashed">
        <color indexed="64"/>
      </bottom>
      <diagonal/>
    </border>
    <border>
      <left/>
      <right style="medium">
        <color indexed="64"/>
      </right>
      <top style="medium">
        <color indexed="64"/>
      </top>
      <bottom style="mediumDashed">
        <color indexed="64"/>
      </bottom>
      <diagonal/>
    </border>
    <border>
      <left/>
      <right style="dashDotDot">
        <color indexed="64"/>
      </right>
      <top style="mediumDashed">
        <color indexed="64"/>
      </top>
      <bottom style="double">
        <color indexed="64"/>
      </bottom>
      <diagonal/>
    </border>
    <border>
      <left/>
      <right/>
      <top style="mediumDashed">
        <color indexed="64"/>
      </top>
      <bottom style="double">
        <color indexed="64"/>
      </bottom>
      <diagonal/>
    </border>
    <border>
      <left style="dashDotDot">
        <color theme="8" tint="-0.24994659260841701"/>
      </left>
      <right/>
      <top style="mediumDashed">
        <color indexed="64"/>
      </top>
      <bottom style="double">
        <color indexed="64"/>
      </bottom>
      <diagonal/>
    </border>
    <border>
      <left/>
      <right style="thin">
        <color indexed="64"/>
      </right>
      <top style="mediumDashed">
        <color indexed="64"/>
      </top>
      <bottom style="double">
        <color indexed="64"/>
      </bottom>
      <diagonal/>
    </border>
    <border>
      <left style="thin">
        <color indexed="64"/>
      </left>
      <right/>
      <top style="mediumDashed">
        <color indexed="64"/>
      </top>
      <bottom style="double">
        <color indexed="64"/>
      </bottom>
      <diagonal/>
    </border>
    <border>
      <left/>
      <right style="medium">
        <color indexed="64"/>
      </right>
      <top style="mediumDashed">
        <color indexed="64"/>
      </top>
      <bottom style="double">
        <color indexed="64"/>
      </bottom>
      <diagonal/>
    </border>
    <border>
      <left/>
      <right style="thin">
        <color indexed="64"/>
      </right>
      <top style="double">
        <color indexed="64"/>
      </top>
      <bottom style="mediumDashed">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
      <left/>
      <right style="medium">
        <color indexed="64"/>
      </right>
      <top/>
      <bottom style="dashDotDot">
        <color indexed="64"/>
      </bottom>
      <diagonal/>
    </border>
    <border>
      <left/>
      <right/>
      <top/>
      <bottom style="dashDotDot">
        <color indexed="64"/>
      </bottom>
      <diagonal/>
    </border>
    <border>
      <left style="medium">
        <color indexed="64"/>
      </left>
      <right/>
      <top/>
      <bottom style="dashDotDot">
        <color indexed="64"/>
      </bottom>
      <diagonal/>
    </border>
    <border>
      <left/>
      <right style="dashDotDot">
        <color indexed="64"/>
      </right>
      <top/>
      <bottom style="dashDotDot">
        <color indexed="64"/>
      </bottom>
      <diagonal/>
    </border>
    <border>
      <left/>
      <right/>
      <top style="dashDotDot">
        <color indexed="64"/>
      </top>
      <bottom/>
      <diagonal/>
    </border>
    <border>
      <left style="medium">
        <color indexed="64"/>
      </left>
      <right/>
      <top style="dashDotDot">
        <color indexed="64"/>
      </top>
      <bottom/>
      <diagonal/>
    </border>
    <border>
      <left/>
      <right style="medium">
        <color indexed="64"/>
      </right>
      <top style="dashDotDot">
        <color indexed="64"/>
      </top>
      <bottom/>
      <diagonal/>
    </border>
    <border>
      <left/>
      <right style="thin">
        <color indexed="64"/>
      </right>
      <top style="medium">
        <color indexed="64"/>
      </top>
      <bottom/>
      <diagonal/>
    </border>
    <border>
      <left/>
      <right style="thin">
        <color indexed="64"/>
      </right>
      <top/>
      <bottom style="dashDotDot">
        <color indexed="64"/>
      </bottom>
      <diagonal/>
    </border>
    <border>
      <left/>
      <right style="thin">
        <color indexed="64"/>
      </right>
      <top style="dashDotDot">
        <color indexed="64"/>
      </top>
      <bottom/>
      <diagonal/>
    </border>
    <border>
      <left/>
      <right style="thin">
        <color indexed="64"/>
      </right>
      <top style="mediumDashed">
        <color indexed="64"/>
      </top>
      <bottom style="medium">
        <color indexed="64"/>
      </bottom>
      <diagonal/>
    </border>
    <border>
      <left style="medium">
        <color indexed="64"/>
      </left>
      <right/>
      <top style="dashed">
        <color auto="1"/>
      </top>
      <bottom/>
      <diagonal/>
    </border>
    <border>
      <left/>
      <right/>
      <top style="dashed">
        <color auto="1"/>
      </top>
      <bottom/>
      <diagonal/>
    </border>
    <border>
      <left style="medium">
        <color indexed="64"/>
      </left>
      <right style="medium">
        <color indexed="64"/>
      </right>
      <top style="medium">
        <color indexed="64"/>
      </top>
      <bottom style="mediumDashed">
        <color indexed="64"/>
      </bottom>
      <diagonal/>
    </border>
    <border>
      <left style="medium">
        <color indexed="64"/>
      </left>
      <right/>
      <top style="medium">
        <color indexed="64"/>
      </top>
      <bottom style="mediumDashed">
        <color indexed="64"/>
      </bottom>
      <diagonal/>
    </border>
    <border>
      <left style="medium">
        <color indexed="64"/>
      </left>
      <right style="medium">
        <color indexed="64"/>
      </right>
      <top style="mediumDashed">
        <color indexed="64"/>
      </top>
      <bottom style="double">
        <color indexed="64"/>
      </bottom>
      <diagonal/>
    </border>
    <border>
      <left style="medium">
        <color indexed="64"/>
      </left>
      <right/>
      <top style="mediumDashed">
        <color indexed="64"/>
      </top>
      <bottom style="double">
        <color indexed="64"/>
      </bottom>
      <diagonal/>
    </border>
    <border>
      <left style="medium">
        <color indexed="64"/>
      </left>
      <right style="medium">
        <color indexed="64"/>
      </right>
      <top style="double">
        <color indexed="64"/>
      </top>
      <bottom style="mediumDashed">
        <color indexed="64"/>
      </bottom>
      <diagonal/>
    </border>
    <border>
      <left style="medium">
        <color indexed="64"/>
      </left>
      <right/>
      <top style="double">
        <color indexed="64"/>
      </top>
      <bottom style="mediumDashed">
        <color indexed="64"/>
      </bottom>
      <diagonal/>
    </border>
    <border>
      <left style="medium">
        <color indexed="64"/>
      </left>
      <right style="medium">
        <color indexed="64"/>
      </right>
      <top style="mediumDashed">
        <color indexed="64"/>
      </top>
      <bottom style="medium">
        <color indexed="64"/>
      </bottom>
      <diagonal/>
    </border>
    <border>
      <left style="medium">
        <color indexed="64"/>
      </left>
      <right/>
      <top style="mediumDashed">
        <color indexed="64"/>
      </top>
      <bottom style="medium">
        <color indexed="64"/>
      </bottom>
      <diagonal/>
    </border>
    <border>
      <left/>
      <right style="dashDotDot">
        <color indexed="64"/>
      </right>
      <top style="mediumDashed">
        <color indexed="64"/>
      </top>
      <bottom style="medium">
        <color indexed="64"/>
      </bottom>
      <diagonal/>
    </border>
    <border>
      <left style="dashDotDot">
        <color theme="8" tint="-0.24994659260841701"/>
      </left>
      <right/>
      <top style="mediumDashed">
        <color indexed="64"/>
      </top>
      <bottom style="medium">
        <color indexed="64"/>
      </bottom>
      <diagonal/>
    </border>
    <border>
      <left style="thin">
        <color indexed="64"/>
      </left>
      <right/>
      <top style="mediumDashed">
        <color indexed="64"/>
      </top>
      <bottom style="medium">
        <color indexed="64"/>
      </bottom>
      <diagonal/>
    </border>
    <border>
      <left style="medium">
        <color indexed="64"/>
      </left>
      <right/>
      <top/>
      <bottom style="hair">
        <color indexed="64"/>
      </bottom>
      <diagonal/>
    </border>
    <border>
      <left style="dashDotDot">
        <color indexed="64"/>
      </left>
      <right/>
      <top style="thick">
        <color theme="8" tint="-0.24994659260841701"/>
      </top>
      <bottom style="double">
        <color indexed="64"/>
      </bottom>
      <diagonal/>
    </border>
    <border>
      <left/>
      <right/>
      <top style="thick">
        <color theme="8" tint="-0.24994659260841701"/>
      </top>
      <bottom style="double">
        <color indexed="64"/>
      </bottom>
      <diagonal/>
    </border>
    <border>
      <left style="dashDotDot">
        <color indexed="64"/>
      </left>
      <right/>
      <top style="thin">
        <color indexed="64"/>
      </top>
      <bottom style="double">
        <color indexed="64"/>
      </bottom>
      <diagonal/>
    </border>
    <border>
      <left/>
      <right/>
      <top style="double">
        <color indexed="64"/>
      </top>
      <bottom style="mediumDash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auto="1"/>
      </right>
      <top/>
      <bottom style="medium">
        <color auto="1"/>
      </bottom>
      <diagonal/>
    </border>
    <border>
      <left style="thin">
        <color rgb="FF3F3F3F"/>
      </left>
      <right style="thin">
        <color rgb="FF3F3F3F"/>
      </right>
      <top style="thin">
        <color rgb="FF3F3F3F"/>
      </top>
      <bottom style="thin">
        <color rgb="FF3F3F3F"/>
      </bottom>
      <diagonal/>
    </border>
    <border>
      <left/>
      <right/>
      <top/>
      <bottom style="dashDot">
        <color auto="1"/>
      </bottom>
      <diagonal/>
    </border>
    <border>
      <left/>
      <right/>
      <top/>
      <bottom style="dashed">
        <color auto="1"/>
      </bottom>
      <diagonal/>
    </border>
    <border>
      <left style="medium">
        <color indexed="64"/>
      </left>
      <right/>
      <top/>
      <bottom style="dashDot">
        <color auto="1"/>
      </bottom>
      <diagonal/>
    </border>
    <border>
      <left/>
      <right style="medium">
        <color indexed="64"/>
      </right>
      <top/>
      <bottom style="dashDot">
        <color auto="1"/>
      </bottom>
      <diagonal/>
    </border>
    <border>
      <left style="medium">
        <color indexed="64"/>
      </left>
      <right/>
      <top/>
      <bottom style="dashed">
        <color auto="1"/>
      </bottom>
      <diagonal/>
    </border>
    <border>
      <left/>
      <right style="medium">
        <color indexed="64"/>
      </right>
      <top/>
      <bottom style="dashed">
        <color auto="1"/>
      </bottom>
      <diagonal/>
    </border>
    <border>
      <left style="dashDot">
        <color indexed="64"/>
      </left>
      <right/>
      <top style="medium">
        <color indexed="64"/>
      </top>
      <bottom/>
      <diagonal/>
    </border>
    <border>
      <left style="dashDot">
        <color indexed="64"/>
      </left>
      <right/>
      <top/>
      <bottom style="dashDot">
        <color auto="1"/>
      </bottom>
      <diagonal/>
    </border>
    <border>
      <left style="dashDot">
        <color indexed="64"/>
      </left>
      <right/>
      <top/>
      <bottom/>
      <diagonal/>
    </border>
    <border>
      <left style="dashDot">
        <color indexed="64"/>
      </left>
      <right/>
      <top/>
      <bottom style="dashed">
        <color auto="1"/>
      </bottom>
      <diagonal/>
    </border>
    <border>
      <left style="dashDot">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ashDot">
        <color auto="1"/>
      </bottom>
      <diagonal/>
    </border>
    <border>
      <left style="thin">
        <color indexed="64"/>
      </left>
      <right style="thin">
        <color indexed="64"/>
      </right>
      <top/>
      <bottom/>
      <diagonal/>
    </border>
    <border>
      <left style="thin">
        <color indexed="64"/>
      </left>
      <right style="thin">
        <color indexed="64"/>
      </right>
      <top/>
      <bottom style="dashed">
        <color auto="1"/>
      </bottom>
      <diagonal/>
    </border>
    <border>
      <left style="thin">
        <color indexed="64"/>
      </left>
      <right style="thin">
        <color indexed="64"/>
      </right>
      <top/>
      <bottom style="medium">
        <color indexed="64"/>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7">
    <xf numFmtId="0" fontId="0" fillId="0" borderId="0"/>
    <xf numFmtId="9" fontId="2" fillId="0" borderId="0" applyFont="0" applyFill="0" applyBorder="0" applyAlignment="0" applyProtection="0"/>
    <xf numFmtId="0" fontId="3" fillId="0" borderId="0"/>
    <xf numFmtId="0" fontId="3" fillId="0" borderId="0"/>
    <xf numFmtId="0" fontId="2" fillId="4" borderId="0" applyNumberFormat="0" applyBorder="0" applyAlignment="0" applyProtection="0"/>
    <xf numFmtId="0" fontId="37" fillId="0" borderId="0" applyNumberFormat="0" applyFill="0" applyBorder="0" applyAlignment="0" applyProtection="0"/>
    <xf numFmtId="0" fontId="60" fillId="8" borderId="107" applyNumberFormat="0" applyAlignment="0" applyProtection="0"/>
  </cellStyleXfs>
  <cellXfs count="406">
    <xf numFmtId="0" fontId="0" fillId="0" borderId="0" xfId="0"/>
    <xf numFmtId="0" fontId="11" fillId="3" borderId="7" xfId="2" applyFont="1" applyFill="1" applyBorder="1" applyAlignment="1">
      <alignment horizontal="center" vertical="center" wrapText="1"/>
    </xf>
    <xf numFmtId="0" fontId="11" fillId="3" borderId="0" xfId="2" applyFont="1" applyFill="1" applyAlignment="1">
      <alignment horizontal="center" vertical="center" wrapText="1"/>
    </xf>
    <xf numFmtId="0" fontId="14" fillId="0" borderId="0" xfId="0" applyFont="1"/>
    <xf numFmtId="0" fontId="12" fillId="3" borderId="7" xfId="2" applyFont="1" applyFill="1" applyBorder="1" applyAlignment="1">
      <alignment horizontal="center" vertical="center" wrapText="1"/>
    </xf>
    <xf numFmtId="0" fontId="15" fillId="4" borderId="7" xfId="4" applyFont="1" applyBorder="1" applyAlignment="1">
      <alignment horizontal="center" vertical="center" wrapText="1"/>
    </xf>
    <xf numFmtId="164" fontId="14" fillId="0" borderId="0" xfId="0" applyNumberFormat="1" applyFont="1"/>
    <xf numFmtId="9" fontId="14" fillId="0" borderId="0" xfId="1" applyFont="1"/>
    <xf numFmtId="0" fontId="17" fillId="0" borderId="0" xfId="0" applyFont="1"/>
    <xf numFmtId="0" fontId="16" fillId="3" borderId="7" xfId="2" applyFont="1" applyFill="1" applyBorder="1" applyAlignment="1">
      <alignment horizontal="center" vertical="center" wrapText="1"/>
    </xf>
    <xf numFmtId="164" fontId="17" fillId="0" borderId="0" xfId="0" applyNumberFormat="1" applyFont="1"/>
    <xf numFmtId="9" fontId="17" fillId="0" borderId="0" xfId="1" applyFont="1"/>
    <xf numFmtId="0" fontId="18" fillId="3" borderId="0" xfId="2" applyFont="1" applyFill="1"/>
    <xf numFmtId="0" fontId="19" fillId="3" borderId="0" xfId="0" applyFont="1" applyFill="1"/>
    <xf numFmtId="0" fontId="20" fillId="3" borderId="0" xfId="2" applyFont="1" applyFill="1"/>
    <xf numFmtId="0" fontId="21" fillId="0" borderId="0" xfId="0" applyFont="1"/>
    <xf numFmtId="0" fontId="19" fillId="3" borderId="0" xfId="2" applyFont="1" applyFill="1" applyAlignment="1">
      <alignment horizontal="center" vertical="center" wrapText="1"/>
    </xf>
    <xf numFmtId="0" fontId="19" fillId="3" borderId="0" xfId="2" applyFont="1" applyFill="1" applyAlignment="1" applyProtection="1">
      <alignment horizontal="center"/>
      <protection hidden="1"/>
    </xf>
    <xf numFmtId="0" fontId="23" fillId="3" borderId="0" xfId="2" applyFont="1" applyFill="1"/>
    <xf numFmtId="0" fontId="19" fillId="3" borderId="11" xfId="2" applyFont="1" applyFill="1" applyBorder="1" applyAlignment="1" applyProtection="1">
      <alignment horizontal="center"/>
      <protection hidden="1"/>
    </xf>
    <xf numFmtId="0" fontId="27" fillId="3" borderId="9" xfId="2" applyFont="1" applyFill="1" applyBorder="1" applyProtection="1">
      <protection hidden="1"/>
    </xf>
    <xf numFmtId="9" fontId="27" fillId="3" borderId="9" xfId="2" applyNumberFormat="1" applyFont="1" applyFill="1" applyBorder="1" applyProtection="1">
      <protection hidden="1"/>
    </xf>
    <xf numFmtId="9" fontId="27" fillId="3" borderId="60" xfId="2" applyNumberFormat="1" applyFont="1" applyFill="1" applyBorder="1" applyProtection="1">
      <protection hidden="1"/>
    </xf>
    <xf numFmtId="9" fontId="27" fillId="3" borderId="34" xfId="2" applyNumberFormat="1" applyFont="1" applyFill="1" applyBorder="1" applyProtection="1">
      <protection hidden="1"/>
    </xf>
    <xf numFmtId="0" fontId="27" fillId="3" borderId="76" xfId="2" applyFont="1" applyFill="1" applyBorder="1" applyProtection="1">
      <protection hidden="1"/>
    </xf>
    <xf numFmtId="9" fontId="27" fillId="3" borderId="76" xfId="2" applyNumberFormat="1" applyFont="1" applyFill="1" applyBorder="1" applyProtection="1">
      <protection hidden="1"/>
    </xf>
    <xf numFmtId="9" fontId="27" fillId="3" borderId="78" xfId="2" applyNumberFormat="1" applyFont="1" applyFill="1" applyBorder="1" applyProtection="1">
      <protection hidden="1"/>
    </xf>
    <xf numFmtId="9" fontId="27" fillId="3" borderId="75" xfId="2" applyNumberFormat="1" applyFont="1" applyFill="1" applyBorder="1" applyProtection="1">
      <protection hidden="1"/>
    </xf>
    <xf numFmtId="0" fontId="27" fillId="3" borderId="79" xfId="2" applyFont="1" applyFill="1" applyBorder="1" applyProtection="1">
      <protection hidden="1"/>
    </xf>
    <xf numFmtId="9" fontId="27" fillId="3" borderId="79" xfId="2" applyNumberFormat="1" applyFont="1" applyFill="1" applyBorder="1" applyProtection="1">
      <protection hidden="1"/>
    </xf>
    <xf numFmtId="9" fontId="27" fillId="3" borderId="4" xfId="2" applyNumberFormat="1" applyFont="1" applyFill="1" applyBorder="1" applyProtection="1">
      <protection hidden="1"/>
    </xf>
    <xf numFmtId="9" fontId="27" fillId="3" borderId="81" xfId="2" applyNumberFormat="1" applyFont="1" applyFill="1" applyBorder="1" applyProtection="1">
      <protection hidden="1"/>
    </xf>
    <xf numFmtId="0" fontId="31" fillId="3" borderId="62" xfId="2" applyFont="1" applyFill="1" applyBorder="1" applyAlignment="1" applyProtection="1">
      <alignment horizontal="center"/>
      <protection hidden="1"/>
    </xf>
    <xf numFmtId="0" fontId="31" fillId="3" borderId="61" xfId="2" applyFont="1" applyFill="1" applyBorder="1" applyAlignment="1" applyProtection="1">
      <alignment horizontal="center"/>
      <protection hidden="1"/>
    </xf>
    <xf numFmtId="0" fontId="31" fillId="3" borderId="63" xfId="2" applyFont="1" applyFill="1" applyBorder="1" applyAlignment="1" applyProtection="1">
      <alignment horizontal="center"/>
      <protection hidden="1"/>
    </xf>
    <xf numFmtId="0" fontId="32" fillId="3" borderId="64" xfId="2" applyFont="1" applyFill="1" applyBorder="1" applyProtection="1">
      <protection hidden="1"/>
    </xf>
    <xf numFmtId="9" fontId="32" fillId="3" borderId="62" xfId="1" applyFont="1" applyFill="1" applyBorder="1" applyProtection="1">
      <protection hidden="1"/>
    </xf>
    <xf numFmtId="9" fontId="32" fillId="3" borderId="61" xfId="1" applyFont="1" applyFill="1" applyBorder="1" applyProtection="1">
      <protection hidden="1"/>
    </xf>
    <xf numFmtId="9" fontId="32" fillId="3" borderId="65" xfId="1" applyFont="1" applyFill="1" applyBorder="1" applyProtection="1">
      <protection hidden="1"/>
    </xf>
    <xf numFmtId="0" fontId="33" fillId="5" borderId="69" xfId="2" applyFont="1" applyFill="1" applyBorder="1" applyAlignment="1" applyProtection="1">
      <alignment horizontal="center"/>
      <protection hidden="1"/>
    </xf>
    <xf numFmtId="0" fontId="35" fillId="5" borderId="70" xfId="2" applyFont="1" applyFill="1" applyBorder="1" applyProtection="1">
      <protection hidden="1"/>
    </xf>
    <xf numFmtId="9" fontId="36" fillId="5" borderId="67" xfId="1" applyFont="1" applyFill="1" applyBorder="1" applyProtection="1">
      <protection hidden="1"/>
    </xf>
    <xf numFmtId="9" fontId="36" fillId="5" borderId="66" xfId="1" applyFont="1" applyFill="1" applyBorder="1" applyProtection="1">
      <protection hidden="1"/>
    </xf>
    <xf numFmtId="9" fontId="36" fillId="5" borderId="71" xfId="1" applyFont="1" applyFill="1" applyBorder="1" applyProtection="1">
      <protection hidden="1"/>
    </xf>
    <xf numFmtId="0" fontId="33" fillId="5" borderId="85" xfId="2" applyFont="1" applyFill="1" applyBorder="1" applyAlignment="1" applyProtection="1">
      <alignment horizontal="center"/>
      <protection hidden="1"/>
    </xf>
    <xf numFmtId="9" fontId="36" fillId="5" borderId="73" xfId="1" applyFont="1" applyFill="1" applyBorder="1" applyProtection="1">
      <protection hidden="1"/>
    </xf>
    <xf numFmtId="9" fontId="36" fillId="5" borderId="74" xfId="1" applyFont="1" applyFill="1" applyBorder="1" applyProtection="1">
      <protection hidden="1"/>
    </xf>
    <xf numFmtId="0" fontId="17" fillId="0" borderId="0" xfId="1" applyNumberFormat="1" applyFont="1"/>
    <xf numFmtId="0" fontId="39" fillId="3" borderId="0" xfId="2" applyFont="1" applyFill="1"/>
    <xf numFmtId="0" fontId="37" fillId="0" borderId="0" xfId="5"/>
    <xf numFmtId="0" fontId="38" fillId="3" borderId="0" xfId="2" applyFont="1" applyFill="1" applyAlignment="1">
      <alignment horizontal="center" vertical="center" wrapText="1"/>
    </xf>
    <xf numFmtId="0" fontId="40" fillId="3" borderId="0" xfId="2" applyFont="1" applyFill="1"/>
    <xf numFmtId="0" fontId="33" fillId="5" borderId="91" xfId="2" applyFont="1" applyFill="1" applyBorder="1" applyAlignment="1" applyProtection="1">
      <alignment horizontal="center"/>
      <protection hidden="1"/>
    </xf>
    <xf numFmtId="0" fontId="33" fillId="5" borderId="95" xfId="2" applyFont="1" applyFill="1" applyBorder="1" applyAlignment="1" applyProtection="1">
      <alignment horizontal="center"/>
      <protection hidden="1"/>
    </xf>
    <xf numFmtId="0" fontId="35" fillId="5" borderId="98" xfId="2" applyFont="1" applyFill="1" applyBorder="1" applyProtection="1">
      <protection hidden="1"/>
    </xf>
    <xf numFmtId="9" fontId="36" fillId="5" borderId="96" xfId="1" applyFont="1" applyFill="1" applyBorder="1" applyProtection="1">
      <protection hidden="1"/>
    </xf>
    <xf numFmtId="9" fontId="27" fillId="3" borderId="8" xfId="2" applyNumberFormat="1" applyFont="1" applyFill="1" applyBorder="1" applyProtection="1">
      <protection hidden="1"/>
    </xf>
    <xf numFmtId="9" fontId="27" fillId="3" borderId="36" xfId="2" applyNumberFormat="1" applyFont="1" applyFill="1" applyBorder="1" applyProtection="1">
      <protection hidden="1"/>
    </xf>
    <xf numFmtId="0" fontId="19" fillId="3" borderId="59" xfId="2" applyFont="1" applyFill="1" applyBorder="1" applyAlignment="1" applyProtection="1">
      <alignment horizontal="center"/>
      <protection hidden="1"/>
    </xf>
    <xf numFmtId="0" fontId="19" fillId="3" borderId="6" xfId="2" applyFont="1" applyFill="1" applyBorder="1" applyAlignment="1" applyProtection="1">
      <alignment horizontal="center"/>
      <protection hidden="1"/>
    </xf>
    <xf numFmtId="0" fontId="29" fillId="3" borderId="76" xfId="2" applyFont="1" applyFill="1" applyBorder="1" applyProtection="1">
      <protection hidden="1"/>
    </xf>
    <xf numFmtId="0" fontId="46" fillId="3" borderId="0" xfId="2" applyFont="1" applyFill="1" applyAlignment="1">
      <alignment horizontal="center"/>
    </xf>
    <xf numFmtId="0" fontId="19" fillId="3" borderId="0" xfId="0" applyFont="1" applyFill="1" applyAlignment="1">
      <alignment horizontal="right"/>
    </xf>
    <xf numFmtId="0" fontId="19" fillId="3" borderId="0" xfId="0" applyFont="1" applyFill="1" applyAlignment="1">
      <alignment horizontal="center"/>
    </xf>
    <xf numFmtId="0" fontId="18" fillId="3" borderId="0" xfId="2" applyFont="1" applyFill="1" applyAlignment="1">
      <alignment horizontal="center"/>
    </xf>
    <xf numFmtId="0" fontId="18" fillId="0" borderId="0" xfId="2" applyFont="1"/>
    <xf numFmtId="0" fontId="47" fillId="3" borderId="0" xfId="2" applyFont="1" applyFill="1"/>
    <xf numFmtId="14" fontId="48" fillId="3" borderId="0" xfId="2" applyNumberFormat="1" applyFont="1" applyFill="1"/>
    <xf numFmtId="14" fontId="48" fillId="3" borderId="0" xfId="0" applyNumberFormat="1" applyFont="1" applyFill="1"/>
    <xf numFmtId="0" fontId="49" fillId="0" borderId="15" xfId="2" applyFont="1" applyBorder="1" applyAlignment="1" applyProtection="1">
      <alignment horizontal="right"/>
      <protection locked="0"/>
    </xf>
    <xf numFmtId="0" fontId="18" fillId="3" borderId="51" xfId="2" applyFont="1" applyFill="1" applyBorder="1" applyAlignment="1" applyProtection="1">
      <alignment horizontal="center"/>
      <protection locked="0"/>
    </xf>
    <xf numFmtId="0" fontId="18" fillId="3" borderId="52" xfId="2" applyFont="1" applyFill="1" applyBorder="1" applyAlignment="1" applyProtection="1">
      <alignment horizontal="center"/>
      <protection locked="0"/>
    </xf>
    <xf numFmtId="0" fontId="18" fillId="3" borderId="55" xfId="2" applyFont="1" applyFill="1" applyBorder="1" applyAlignment="1" applyProtection="1">
      <alignment horizontal="center"/>
      <protection locked="0"/>
    </xf>
    <xf numFmtId="0" fontId="18" fillId="3" borderId="57" xfId="2" applyFont="1" applyFill="1" applyBorder="1" applyAlignment="1">
      <alignment horizontal="center"/>
    </xf>
    <xf numFmtId="0" fontId="11" fillId="3" borderId="0" xfId="2" applyFont="1" applyFill="1" applyAlignment="1">
      <alignment horizontal="center"/>
    </xf>
    <xf numFmtId="0" fontId="16" fillId="0" borderId="0" xfId="2" applyFont="1" applyAlignment="1">
      <alignment horizontal="center"/>
    </xf>
    <xf numFmtId="0" fontId="16" fillId="0" borderId="0" xfId="2" applyFont="1" applyAlignment="1">
      <alignment horizontal="left"/>
    </xf>
    <xf numFmtId="0" fontId="31" fillId="3" borderId="0" xfId="2" applyFont="1" applyFill="1" applyAlignment="1">
      <alignment horizontal="center"/>
    </xf>
    <xf numFmtId="0" fontId="22" fillId="3" borderId="0" xfId="2" applyFont="1" applyFill="1" applyAlignment="1">
      <alignment horizontal="right" indent="1"/>
    </xf>
    <xf numFmtId="0" fontId="18" fillId="3" borderId="53" xfId="2" applyFont="1" applyFill="1" applyBorder="1" applyAlignment="1" applyProtection="1">
      <alignment horizontal="center"/>
      <protection locked="0"/>
    </xf>
    <xf numFmtId="0" fontId="18" fillId="3" borderId="54" xfId="2" applyFont="1" applyFill="1" applyBorder="1" applyAlignment="1" applyProtection="1">
      <alignment horizontal="center"/>
      <protection locked="0"/>
    </xf>
    <xf numFmtId="0" fontId="18" fillId="3" borderId="56" xfId="2" applyFont="1" applyFill="1" applyBorder="1" applyAlignment="1" applyProtection="1">
      <alignment horizontal="center"/>
      <protection locked="0"/>
    </xf>
    <xf numFmtId="0" fontId="18" fillId="3" borderId="58" xfId="2" applyFont="1" applyFill="1" applyBorder="1" applyAlignment="1">
      <alignment horizontal="center"/>
    </xf>
    <xf numFmtId="0" fontId="11" fillId="0" borderId="15" xfId="2" applyFont="1" applyBorder="1" applyAlignment="1" applyProtection="1">
      <alignment horizontal="center"/>
      <protection locked="0"/>
    </xf>
    <xf numFmtId="0" fontId="11" fillId="3" borderId="0" xfId="0" applyFont="1" applyFill="1" applyAlignment="1">
      <alignment horizontal="right"/>
    </xf>
    <xf numFmtId="0" fontId="11" fillId="3" borderId="0" xfId="2" applyFont="1" applyFill="1" applyAlignment="1" applyProtection="1">
      <alignment horizontal="center"/>
      <protection hidden="1"/>
    </xf>
    <xf numFmtId="0" fontId="11" fillId="3" borderId="0" xfId="2" applyFont="1" applyFill="1" applyAlignment="1">
      <alignment horizontal="right"/>
    </xf>
    <xf numFmtId="0" fontId="23" fillId="3" borderId="0" xfId="2" applyFont="1" applyFill="1" applyAlignment="1">
      <alignment horizontal="right"/>
    </xf>
    <xf numFmtId="0" fontId="50" fillId="0" borderId="30" xfId="2" applyFont="1" applyBorder="1" applyAlignment="1" applyProtection="1">
      <alignment horizontal="center"/>
      <protection locked="0"/>
    </xf>
    <xf numFmtId="0" fontId="50" fillId="0" borderId="20" xfId="2" applyFont="1" applyBorder="1" applyAlignment="1" applyProtection="1">
      <alignment horizontal="center"/>
      <protection locked="0"/>
    </xf>
    <xf numFmtId="0" fontId="23" fillId="0" borderId="27" xfId="2" applyFont="1" applyBorder="1" applyAlignment="1" applyProtection="1">
      <alignment horizontal="center"/>
      <protection locked="0"/>
    </xf>
    <xf numFmtId="0" fontId="23" fillId="0" borderId="20" xfId="2" applyFont="1" applyBorder="1" applyAlignment="1" applyProtection="1">
      <alignment horizontal="center"/>
      <protection locked="0"/>
    </xf>
    <xf numFmtId="0" fontId="23" fillId="0" borderId="19" xfId="2" applyFont="1" applyBorder="1" applyAlignment="1" applyProtection="1">
      <alignment horizontal="center"/>
      <protection locked="0"/>
    </xf>
    <xf numFmtId="0" fontId="23" fillId="0" borderId="40" xfId="2" applyFont="1" applyBorder="1" applyAlignment="1" applyProtection="1">
      <alignment horizontal="center"/>
      <protection locked="0"/>
    </xf>
    <xf numFmtId="0" fontId="23" fillId="3" borderId="9" xfId="2" applyFont="1" applyFill="1" applyBorder="1" applyProtection="1">
      <protection hidden="1"/>
    </xf>
    <xf numFmtId="9" fontId="23" fillId="3" borderId="0" xfId="2" applyNumberFormat="1" applyFont="1" applyFill="1" applyProtection="1">
      <protection hidden="1"/>
    </xf>
    <xf numFmtId="9" fontId="23" fillId="3" borderId="8" xfId="2" applyNumberFormat="1" applyFont="1" applyFill="1" applyBorder="1" applyProtection="1">
      <protection hidden="1"/>
    </xf>
    <xf numFmtId="9" fontId="23" fillId="3" borderId="9" xfId="2" applyNumberFormat="1" applyFont="1" applyFill="1" applyBorder="1" applyProtection="1">
      <protection hidden="1"/>
    </xf>
    <xf numFmtId="9" fontId="23" fillId="3" borderId="34" xfId="2" applyNumberFormat="1" applyFont="1" applyFill="1" applyBorder="1" applyProtection="1">
      <protection hidden="1"/>
    </xf>
    <xf numFmtId="0" fontId="50" fillId="0" borderId="31" xfId="2" applyFont="1" applyBorder="1" applyAlignment="1" applyProtection="1">
      <alignment horizontal="center"/>
      <protection locked="0"/>
    </xf>
    <xf numFmtId="0" fontId="50" fillId="0" borderId="10" xfId="2" applyFont="1" applyBorder="1" applyAlignment="1" applyProtection="1">
      <alignment horizontal="center"/>
      <protection locked="0"/>
    </xf>
    <xf numFmtId="0" fontId="23" fillId="0" borderId="28" xfId="2" applyFont="1" applyBorder="1" applyAlignment="1" applyProtection="1">
      <alignment horizontal="center"/>
      <protection locked="0"/>
    </xf>
    <xf numFmtId="0" fontId="23" fillId="0" borderId="10" xfId="2" applyFont="1" applyBorder="1" applyAlignment="1" applyProtection="1">
      <alignment horizontal="center"/>
      <protection locked="0"/>
    </xf>
    <xf numFmtId="0" fontId="23" fillId="0" borderId="11" xfId="2" applyFont="1" applyBorder="1" applyAlignment="1" applyProtection="1">
      <alignment horizontal="center"/>
      <protection locked="0"/>
    </xf>
    <xf numFmtId="0" fontId="23" fillId="0" borderId="41" xfId="2" applyFont="1" applyBorder="1" applyAlignment="1" applyProtection="1">
      <alignment horizontal="center"/>
      <protection locked="0"/>
    </xf>
    <xf numFmtId="0" fontId="23" fillId="3" borderId="11" xfId="2" applyFont="1" applyFill="1" applyBorder="1" applyProtection="1">
      <protection hidden="1"/>
    </xf>
    <xf numFmtId="9" fontId="23" fillId="3" borderId="11" xfId="2" applyNumberFormat="1" applyFont="1" applyFill="1" applyBorder="1" applyProtection="1">
      <protection hidden="1"/>
    </xf>
    <xf numFmtId="9" fontId="23" fillId="3" borderId="10" xfId="2" applyNumberFormat="1" applyFont="1" applyFill="1" applyBorder="1" applyProtection="1">
      <protection hidden="1"/>
    </xf>
    <xf numFmtId="9" fontId="23" fillId="3" borderId="35" xfId="2" applyNumberFormat="1" applyFont="1" applyFill="1" applyBorder="1" applyProtection="1">
      <protection hidden="1"/>
    </xf>
    <xf numFmtId="0" fontId="50" fillId="0" borderId="32" xfId="2" applyFont="1" applyBorder="1" applyAlignment="1" applyProtection="1">
      <alignment horizontal="center"/>
      <protection locked="0"/>
    </xf>
    <xf numFmtId="0" fontId="50" fillId="0" borderId="8" xfId="2" applyFont="1" applyBorder="1" applyAlignment="1" applyProtection="1">
      <alignment horizontal="center"/>
      <protection locked="0"/>
    </xf>
    <xf numFmtId="0" fontId="23" fillId="0" borderId="23" xfId="2" applyFont="1" applyBorder="1" applyAlignment="1" applyProtection="1">
      <alignment horizontal="center"/>
      <protection locked="0"/>
    </xf>
    <xf numFmtId="0" fontId="23" fillId="0" borderId="8" xfId="2" applyFont="1" applyBorder="1" applyAlignment="1" applyProtection="1">
      <alignment horizontal="center"/>
      <protection locked="0"/>
    </xf>
    <xf numFmtId="0" fontId="23" fillId="0" borderId="0" xfId="2" applyFont="1" applyAlignment="1" applyProtection="1">
      <alignment horizontal="center"/>
      <protection locked="0"/>
    </xf>
    <xf numFmtId="0" fontId="23" fillId="0" borderId="42" xfId="2" applyFont="1" applyBorder="1" applyAlignment="1" applyProtection="1">
      <alignment horizontal="center"/>
      <protection locked="0"/>
    </xf>
    <xf numFmtId="0" fontId="23" fillId="3" borderId="0" xfId="2" applyFont="1" applyFill="1" applyProtection="1">
      <protection hidden="1"/>
    </xf>
    <xf numFmtId="9" fontId="23" fillId="3" borderId="36" xfId="2" applyNumberFormat="1" applyFont="1" applyFill="1" applyBorder="1" applyProtection="1">
      <protection hidden="1"/>
    </xf>
    <xf numFmtId="0" fontId="50" fillId="0" borderId="33" xfId="2" applyFont="1" applyBorder="1" applyAlignment="1" applyProtection="1">
      <alignment horizontal="center"/>
      <protection locked="0"/>
    </xf>
    <xf numFmtId="0" fontId="50" fillId="0" borderId="22" xfId="2" applyFont="1" applyBorder="1" applyAlignment="1" applyProtection="1">
      <alignment horizontal="center"/>
      <protection locked="0"/>
    </xf>
    <xf numFmtId="0" fontId="23" fillId="0" borderId="29" xfId="2" applyFont="1" applyBorder="1" applyAlignment="1" applyProtection="1">
      <alignment horizontal="center"/>
      <protection locked="0"/>
    </xf>
    <xf numFmtId="0" fontId="23" fillId="0" borderId="22" xfId="2" applyFont="1" applyBorder="1" applyAlignment="1" applyProtection="1">
      <alignment horizontal="center"/>
      <protection locked="0"/>
    </xf>
    <xf numFmtId="0" fontId="23" fillId="0" borderId="21" xfId="2" applyFont="1" applyBorder="1" applyAlignment="1" applyProtection="1">
      <alignment horizontal="center"/>
      <protection locked="0"/>
    </xf>
    <xf numFmtId="0" fontId="23" fillId="0" borderId="43" xfId="2" applyFont="1" applyBorder="1" applyAlignment="1" applyProtection="1">
      <alignment horizontal="center"/>
      <protection locked="0"/>
    </xf>
    <xf numFmtId="9" fontId="23" fillId="3" borderId="1" xfId="2" applyNumberFormat="1" applyFont="1" applyFill="1" applyBorder="1" applyProtection="1">
      <protection hidden="1"/>
    </xf>
    <xf numFmtId="9" fontId="23" fillId="3" borderId="12" xfId="2" applyNumberFormat="1" applyFont="1" applyFill="1" applyBorder="1" applyProtection="1">
      <protection hidden="1"/>
    </xf>
    <xf numFmtId="9" fontId="23" fillId="3" borderId="37" xfId="2" applyNumberFormat="1" applyFont="1" applyFill="1" applyBorder="1" applyProtection="1">
      <protection hidden="1"/>
    </xf>
    <xf numFmtId="0" fontId="22" fillId="3" borderId="13" xfId="2" applyFont="1" applyFill="1" applyBorder="1" applyAlignment="1">
      <alignment horizontal="center"/>
    </xf>
    <xf numFmtId="0" fontId="23" fillId="0" borderId="18" xfId="2" applyFont="1" applyBorder="1" applyAlignment="1">
      <alignment horizontal="center"/>
    </xf>
    <xf numFmtId="0" fontId="22" fillId="3" borderId="23" xfId="2" applyFont="1" applyFill="1" applyBorder="1" applyAlignment="1" applyProtection="1">
      <alignment horizontal="center"/>
      <protection hidden="1"/>
    </xf>
    <xf numFmtId="0" fontId="22" fillId="3" borderId="0" xfId="2" applyFont="1" applyFill="1" applyAlignment="1" applyProtection="1">
      <alignment horizontal="center"/>
      <protection hidden="1"/>
    </xf>
    <xf numFmtId="0" fontId="22" fillId="3" borderId="8" xfId="2" applyFont="1" applyFill="1" applyBorder="1" applyAlignment="1" applyProtection="1">
      <alignment horizontal="center"/>
      <protection hidden="1"/>
    </xf>
    <xf numFmtId="0" fontId="22" fillId="3" borderId="44" xfId="2" applyFont="1" applyFill="1" applyBorder="1" applyAlignment="1" applyProtection="1">
      <alignment horizontal="center"/>
      <protection hidden="1"/>
    </xf>
    <xf numFmtId="0" fontId="51" fillId="3" borderId="39" xfId="2" applyFont="1" applyFill="1" applyBorder="1" applyProtection="1">
      <protection hidden="1"/>
    </xf>
    <xf numFmtId="9" fontId="51" fillId="3" borderId="14" xfId="1" applyFont="1" applyFill="1" applyBorder="1" applyProtection="1">
      <protection hidden="1"/>
    </xf>
    <xf numFmtId="9" fontId="51" fillId="3" borderId="13" xfId="1" applyFont="1" applyFill="1" applyBorder="1" applyProtection="1">
      <protection hidden="1"/>
    </xf>
    <xf numFmtId="9" fontId="51" fillId="3" borderId="38" xfId="1" applyFont="1" applyFill="1" applyBorder="1" applyProtection="1">
      <protection hidden="1"/>
    </xf>
    <xf numFmtId="9" fontId="40" fillId="3" borderId="0" xfId="1" applyFont="1" applyFill="1"/>
    <xf numFmtId="0" fontId="52" fillId="3" borderId="13" xfId="2" applyFont="1" applyFill="1" applyBorder="1" applyAlignment="1">
      <alignment horizontal="center"/>
    </xf>
    <xf numFmtId="0" fontId="53" fillId="0" borderId="14" xfId="2" applyFont="1" applyBorder="1" applyAlignment="1" applyProtection="1">
      <alignment horizontal="center"/>
      <protection hidden="1"/>
    </xf>
    <xf numFmtId="0" fontId="54" fillId="0" borderId="26" xfId="2" applyFont="1" applyBorder="1" applyAlignment="1" applyProtection="1">
      <alignment horizontal="center"/>
      <protection locked="0"/>
    </xf>
    <xf numFmtId="0" fontId="54" fillId="0" borderId="24" xfId="2" applyFont="1" applyBorder="1" applyAlignment="1" applyProtection="1">
      <alignment horizontal="center"/>
      <protection locked="0"/>
    </xf>
    <xf numFmtId="0" fontId="54" fillId="0" borderId="25" xfId="2" applyFont="1" applyBorder="1" applyAlignment="1" applyProtection="1">
      <alignment horizontal="center"/>
      <protection locked="0"/>
    </xf>
    <xf numFmtId="0" fontId="54" fillId="0" borderId="45" xfId="2" applyFont="1" applyBorder="1" applyAlignment="1" applyProtection="1">
      <alignment horizontal="center"/>
      <protection locked="0"/>
    </xf>
    <xf numFmtId="0" fontId="55" fillId="3" borderId="39" xfId="2" applyFont="1" applyFill="1" applyBorder="1" applyProtection="1">
      <protection hidden="1"/>
    </xf>
    <xf numFmtId="9" fontId="55" fillId="3" borderId="14" xfId="1" applyFont="1" applyFill="1" applyBorder="1" applyProtection="1">
      <protection hidden="1"/>
    </xf>
    <xf numFmtId="9" fontId="55" fillId="3" borderId="13" xfId="1" applyFont="1" applyFill="1" applyBorder="1" applyProtection="1">
      <protection hidden="1"/>
    </xf>
    <xf numFmtId="9" fontId="55" fillId="3" borderId="38" xfId="1" applyFont="1" applyFill="1" applyBorder="1" applyProtection="1">
      <protection hidden="1"/>
    </xf>
    <xf numFmtId="0" fontId="50" fillId="0" borderId="19" xfId="2" applyFont="1" applyBorder="1" applyAlignment="1" applyProtection="1">
      <alignment horizontal="center"/>
      <protection locked="0"/>
    </xf>
    <xf numFmtId="0" fontId="50" fillId="0" borderId="11" xfId="2" applyFont="1" applyBorder="1" applyAlignment="1" applyProtection="1">
      <alignment horizontal="center"/>
      <protection locked="0"/>
    </xf>
    <xf numFmtId="0" fontId="50" fillId="0" borderId="0" xfId="2" applyFont="1" applyAlignment="1" applyProtection="1">
      <alignment horizontal="center"/>
      <protection locked="0"/>
    </xf>
    <xf numFmtId="0" fontId="50" fillId="0" borderId="21" xfId="2" applyFont="1" applyBorder="1" applyAlignment="1" applyProtection="1">
      <alignment horizontal="center"/>
      <protection locked="0"/>
    </xf>
    <xf numFmtId="0" fontId="23" fillId="0" borderId="100" xfId="2" applyFont="1" applyBorder="1" applyAlignment="1">
      <alignment horizontal="center"/>
    </xf>
    <xf numFmtId="0" fontId="23" fillId="0" borderId="101" xfId="2" applyFont="1" applyBorder="1" applyAlignment="1">
      <alignment horizontal="center"/>
    </xf>
    <xf numFmtId="0" fontId="53" fillId="0" borderId="102" xfId="2" applyFont="1" applyBorder="1" applyAlignment="1" applyProtection="1">
      <alignment horizontal="center"/>
      <protection hidden="1"/>
    </xf>
    <xf numFmtId="0" fontId="56" fillId="3" borderId="0" xfId="2" applyFont="1" applyFill="1" applyAlignment="1">
      <alignment horizontal="center" vertical="center" wrapText="1"/>
    </xf>
    <xf numFmtId="0" fontId="33" fillId="5" borderId="67" xfId="2" applyFont="1" applyFill="1" applyBorder="1" applyAlignment="1" applyProtection="1">
      <alignment horizontal="center"/>
      <protection hidden="1"/>
    </xf>
    <xf numFmtId="0" fontId="33" fillId="5" borderId="73" xfId="2" applyFont="1" applyFill="1" applyBorder="1" applyAlignment="1" applyProtection="1">
      <alignment horizontal="center"/>
      <protection hidden="1"/>
    </xf>
    <xf numFmtId="0" fontId="18" fillId="0" borderId="0" xfId="2" applyFont="1" applyAlignment="1">
      <alignment horizontal="center"/>
    </xf>
    <xf numFmtId="0" fontId="46" fillId="2" borderId="0" xfId="2" applyFont="1" applyFill="1" applyProtection="1">
      <protection locked="0"/>
    </xf>
    <xf numFmtId="0" fontId="19" fillId="0" borderId="0" xfId="0" applyFont="1" applyAlignment="1">
      <alignment horizontal="center"/>
    </xf>
    <xf numFmtId="0" fontId="57" fillId="3" borderId="0" xfId="0" applyFont="1" applyFill="1" applyAlignment="1">
      <alignment horizontal="center"/>
    </xf>
    <xf numFmtId="0" fontId="19" fillId="0" borderId="0" xfId="0" applyFont="1"/>
    <xf numFmtId="14" fontId="38" fillId="0" borderId="0" xfId="0" applyNumberFormat="1" applyFont="1"/>
    <xf numFmtId="0" fontId="56" fillId="0" borderId="0" xfId="0" applyFont="1" applyAlignment="1">
      <alignment horizontal="left"/>
    </xf>
    <xf numFmtId="0" fontId="46" fillId="3" borderId="0" xfId="2" applyFont="1" applyFill="1"/>
    <xf numFmtId="0" fontId="19" fillId="0" borderId="0" xfId="0" applyFont="1" applyAlignment="1">
      <alignment horizontal="left"/>
    </xf>
    <xf numFmtId="0" fontId="46" fillId="0" borderId="0" xfId="2" applyFont="1"/>
    <xf numFmtId="0" fontId="45" fillId="0" borderId="0" xfId="0" applyFont="1" applyAlignment="1">
      <alignment horizontal="center" wrapText="1"/>
    </xf>
    <xf numFmtId="0" fontId="19" fillId="2" borderId="0" xfId="0" applyFont="1" applyFill="1" applyAlignment="1" applyProtection="1">
      <alignment horizontal="center" vertical="center" wrapText="1"/>
      <protection locked="0"/>
    </xf>
    <xf numFmtId="0" fontId="18" fillId="0" borderId="1" xfId="2" applyFont="1" applyBorder="1" applyAlignment="1">
      <alignment horizontal="center"/>
    </xf>
    <xf numFmtId="0" fontId="11" fillId="0" borderId="1" xfId="2" applyFont="1" applyBorder="1" applyAlignment="1">
      <alignment horizontal="center"/>
    </xf>
    <xf numFmtId="0" fontId="23" fillId="0" borderId="0" xfId="0" applyFont="1"/>
    <xf numFmtId="0" fontId="23" fillId="2" borderId="2" xfId="2" quotePrefix="1" applyFont="1" applyFill="1" applyBorder="1" applyAlignment="1" applyProtection="1">
      <alignment horizontal="center"/>
      <protection locked="0"/>
    </xf>
    <xf numFmtId="0" fontId="23" fillId="2" borderId="3" xfId="3" applyFont="1" applyFill="1" applyBorder="1" applyAlignment="1" applyProtection="1">
      <alignment horizontal="left"/>
      <protection locked="0"/>
    </xf>
    <xf numFmtId="0" fontId="23" fillId="2" borderId="2" xfId="2" applyFont="1" applyFill="1" applyBorder="1" applyAlignment="1" applyProtection="1">
      <alignment horizontal="center"/>
      <protection locked="0"/>
    </xf>
    <xf numFmtId="0" fontId="23" fillId="2" borderId="3" xfId="3" applyFont="1" applyFill="1" applyBorder="1" applyProtection="1">
      <protection locked="0"/>
    </xf>
    <xf numFmtId="0" fontId="23" fillId="2" borderId="3" xfId="2" applyFont="1" applyFill="1" applyBorder="1" applyProtection="1">
      <protection locked="0"/>
    </xf>
    <xf numFmtId="0" fontId="23" fillId="2" borderId="4" xfId="2" applyFont="1" applyFill="1" applyBorder="1" applyAlignment="1" applyProtection="1">
      <alignment horizontal="center"/>
      <protection locked="0"/>
    </xf>
    <xf numFmtId="0" fontId="23" fillId="2" borderId="5" xfId="2" applyFont="1" applyFill="1" applyBorder="1" applyProtection="1">
      <protection locked="0"/>
    </xf>
    <xf numFmtId="0" fontId="58" fillId="3" borderId="76" xfId="2" applyFont="1" applyFill="1" applyBorder="1" applyProtection="1">
      <protection hidden="1"/>
    </xf>
    <xf numFmtId="9" fontId="58" fillId="3" borderId="76" xfId="2" applyNumberFormat="1" applyFont="1" applyFill="1" applyBorder="1" applyProtection="1">
      <protection hidden="1"/>
    </xf>
    <xf numFmtId="9" fontId="58" fillId="3" borderId="78" xfId="2" applyNumberFormat="1" applyFont="1" applyFill="1" applyBorder="1" applyProtection="1">
      <protection hidden="1"/>
    </xf>
    <xf numFmtId="9" fontId="58" fillId="3" borderId="75" xfId="2" applyNumberFormat="1" applyFont="1" applyFill="1" applyBorder="1" applyProtection="1">
      <protection hidden="1"/>
    </xf>
    <xf numFmtId="0" fontId="59" fillId="3" borderId="99" xfId="2" applyFont="1" applyFill="1" applyBorder="1" applyAlignment="1" applyProtection="1">
      <alignment horizontal="center"/>
      <protection hidden="1"/>
    </xf>
    <xf numFmtId="9" fontId="27" fillId="3" borderId="0" xfId="2" applyNumberFormat="1" applyFont="1" applyFill="1" applyProtection="1">
      <protection hidden="1"/>
    </xf>
    <xf numFmtId="9" fontId="58" fillId="3" borderId="0" xfId="2" applyNumberFormat="1" applyFont="1" applyFill="1" applyProtection="1">
      <protection hidden="1"/>
    </xf>
    <xf numFmtId="9" fontId="32" fillId="3" borderId="0" xfId="1" applyFont="1" applyFill="1" applyBorder="1" applyProtection="1">
      <protection hidden="1"/>
    </xf>
    <xf numFmtId="9" fontId="36" fillId="3" borderId="0" xfId="1" applyFont="1" applyFill="1" applyBorder="1" applyProtection="1">
      <protection hidden="1"/>
    </xf>
    <xf numFmtId="0" fontId="59" fillId="3" borderId="77" xfId="2" applyFont="1" applyFill="1" applyBorder="1" applyAlignment="1" applyProtection="1">
      <alignment horizontal="center"/>
      <protection hidden="1"/>
    </xf>
    <xf numFmtId="0" fontId="19" fillId="3" borderId="80" xfId="2" applyFont="1" applyFill="1" applyBorder="1" applyAlignment="1" applyProtection="1">
      <alignment horizontal="center"/>
      <protection hidden="1"/>
    </xf>
    <xf numFmtId="0" fontId="59" fillId="3" borderId="106" xfId="2" applyFont="1" applyFill="1" applyBorder="1" applyAlignment="1" applyProtection="1">
      <alignment horizontal="center"/>
      <protection hidden="1"/>
    </xf>
    <xf numFmtId="0" fontId="27" fillId="3" borderId="0" xfId="2" applyFont="1" applyFill="1" applyProtection="1">
      <protection hidden="1"/>
    </xf>
    <xf numFmtId="0" fontId="63" fillId="3" borderId="6" xfId="2" applyFont="1" applyFill="1" applyBorder="1" applyAlignment="1" applyProtection="1">
      <alignment horizontal="center"/>
      <protection hidden="1"/>
    </xf>
    <xf numFmtId="9" fontId="21" fillId="3" borderId="0" xfId="2" applyNumberFormat="1" applyFont="1" applyFill="1" applyProtection="1">
      <protection hidden="1"/>
    </xf>
    <xf numFmtId="9" fontId="21" fillId="3" borderId="36" xfId="2" applyNumberFormat="1" applyFont="1" applyFill="1" applyBorder="1" applyProtection="1">
      <protection hidden="1"/>
    </xf>
    <xf numFmtId="9" fontId="21" fillId="3" borderId="9" xfId="2" applyNumberFormat="1" applyFont="1" applyFill="1" applyBorder="1" applyProtection="1">
      <protection hidden="1"/>
    </xf>
    <xf numFmtId="9" fontId="21" fillId="3" borderId="34" xfId="2" applyNumberFormat="1" applyFont="1" applyFill="1" applyBorder="1" applyProtection="1">
      <protection hidden="1"/>
    </xf>
    <xf numFmtId="0" fontId="65" fillId="0" borderId="0" xfId="0" applyFont="1"/>
    <xf numFmtId="0" fontId="66" fillId="3" borderId="7" xfId="2" applyFont="1" applyFill="1" applyBorder="1" applyAlignment="1">
      <alignment horizontal="center" vertical="center" wrapText="1"/>
    </xf>
    <xf numFmtId="0" fontId="31" fillId="3" borderId="0" xfId="2" applyFont="1" applyFill="1" applyAlignment="1" applyProtection="1">
      <alignment horizontal="center"/>
      <protection hidden="1"/>
    </xf>
    <xf numFmtId="9" fontId="32" fillId="3" borderId="36" xfId="1" applyFont="1" applyFill="1" applyBorder="1" applyProtection="1">
      <protection hidden="1"/>
    </xf>
    <xf numFmtId="0" fontId="79" fillId="3" borderId="0" xfId="2" applyFont="1" applyFill="1" applyAlignment="1" applyProtection="1">
      <alignment horizontal="center"/>
      <protection hidden="1"/>
    </xf>
    <xf numFmtId="9" fontId="80" fillId="3" borderId="0" xfId="1" applyFont="1" applyFill="1" applyBorder="1" applyProtection="1">
      <protection hidden="1"/>
    </xf>
    <xf numFmtId="0" fontId="70" fillId="3" borderId="0" xfId="2" applyFont="1" applyFill="1" applyAlignment="1" applyProtection="1">
      <alignment horizontal="center"/>
      <protection hidden="1"/>
    </xf>
    <xf numFmtId="9" fontId="72" fillId="3" borderId="0" xfId="1" applyFont="1" applyFill="1" applyBorder="1" applyProtection="1">
      <protection hidden="1"/>
    </xf>
    <xf numFmtId="0" fontId="33" fillId="3" borderId="0" xfId="2" applyFont="1" applyFill="1" applyAlignment="1" applyProtection="1">
      <alignment horizontal="center"/>
      <protection hidden="1"/>
    </xf>
    <xf numFmtId="9" fontId="21" fillId="3" borderId="108" xfId="2" applyNumberFormat="1" applyFont="1" applyFill="1" applyBorder="1" applyProtection="1">
      <protection hidden="1"/>
    </xf>
    <xf numFmtId="165" fontId="68" fillId="3" borderId="109" xfId="2" applyNumberFormat="1" applyFont="1" applyFill="1" applyBorder="1" applyAlignment="1" applyProtection="1">
      <alignment horizontal="center"/>
      <protection hidden="1"/>
    </xf>
    <xf numFmtId="9" fontId="32" fillId="3" borderId="109" xfId="1" applyFont="1" applyFill="1" applyBorder="1" applyProtection="1">
      <protection hidden="1"/>
    </xf>
    <xf numFmtId="165" fontId="75" fillId="3" borderId="109" xfId="2" applyNumberFormat="1" applyFont="1" applyFill="1" applyBorder="1" applyAlignment="1" applyProtection="1">
      <alignment horizontal="center"/>
      <protection hidden="1"/>
    </xf>
    <xf numFmtId="9" fontId="76" fillId="3" borderId="109" xfId="1" applyFont="1" applyFill="1" applyBorder="1" applyProtection="1">
      <protection hidden="1"/>
    </xf>
    <xf numFmtId="9" fontId="36" fillId="3" borderId="109" xfId="1" applyFont="1" applyFill="1" applyBorder="1" applyProtection="1">
      <protection hidden="1"/>
    </xf>
    <xf numFmtId="0" fontId="63" fillId="3" borderId="110" xfId="2" applyFont="1" applyFill="1" applyBorder="1" applyAlignment="1" applyProtection="1">
      <alignment horizontal="left"/>
      <protection hidden="1"/>
    </xf>
    <xf numFmtId="9" fontId="21" fillId="3" borderId="111" xfId="2" applyNumberFormat="1" applyFont="1" applyFill="1" applyBorder="1" applyProtection="1">
      <protection hidden="1"/>
    </xf>
    <xf numFmtId="9" fontId="32" fillId="3" borderId="113" xfId="1" applyFont="1" applyFill="1" applyBorder="1" applyProtection="1">
      <protection hidden="1"/>
    </xf>
    <xf numFmtId="9" fontId="72" fillId="3" borderId="36" xfId="1" applyFont="1" applyFill="1" applyBorder="1" applyProtection="1">
      <protection hidden="1"/>
    </xf>
    <xf numFmtId="9" fontId="36" fillId="3" borderId="113" xfId="1" applyFont="1" applyFill="1" applyBorder="1" applyProtection="1">
      <protection hidden="1"/>
    </xf>
    <xf numFmtId="9" fontId="80" fillId="3" borderId="36" xfId="1" applyFont="1" applyFill="1" applyBorder="1" applyProtection="1">
      <protection hidden="1"/>
    </xf>
    <xf numFmtId="9" fontId="36" fillId="3" borderId="36" xfId="1" applyFont="1" applyFill="1" applyBorder="1" applyProtection="1">
      <protection hidden="1"/>
    </xf>
    <xf numFmtId="165" fontId="87" fillId="3" borderId="7" xfId="2" applyNumberFormat="1" applyFont="1" applyFill="1" applyBorder="1" applyAlignment="1" applyProtection="1">
      <alignment horizontal="center"/>
      <protection hidden="1"/>
    </xf>
    <xf numFmtId="9" fontId="88" fillId="3" borderId="7" xfId="1" applyFont="1" applyFill="1" applyBorder="1" applyProtection="1">
      <protection hidden="1"/>
    </xf>
    <xf numFmtId="9" fontId="88" fillId="3" borderId="47" xfId="1" applyFont="1" applyFill="1" applyBorder="1" applyProtection="1">
      <protection hidden="1"/>
    </xf>
    <xf numFmtId="165" fontId="83" fillId="3" borderId="109" xfId="2" applyNumberFormat="1" applyFont="1" applyFill="1" applyBorder="1" applyAlignment="1" applyProtection="1">
      <alignment horizontal="center"/>
      <protection hidden="1"/>
    </xf>
    <xf numFmtId="9" fontId="84" fillId="3" borderId="109" xfId="1" applyFont="1" applyFill="1" applyBorder="1" applyProtection="1">
      <protection hidden="1"/>
    </xf>
    <xf numFmtId="9" fontId="84" fillId="3" borderId="113" xfId="1" applyFont="1" applyFill="1" applyBorder="1" applyProtection="1">
      <protection hidden="1"/>
    </xf>
    <xf numFmtId="0" fontId="31" fillId="3" borderId="116" xfId="2" applyFont="1" applyFill="1" applyBorder="1" applyAlignment="1" applyProtection="1">
      <alignment horizontal="center"/>
      <protection hidden="1"/>
    </xf>
    <xf numFmtId="165" fontId="68" fillId="3" borderId="117" xfId="2" applyNumberFormat="1" applyFont="1" applyFill="1" applyBorder="1" applyAlignment="1" applyProtection="1">
      <alignment horizontal="center"/>
      <protection hidden="1"/>
    </xf>
    <xf numFmtId="165" fontId="75" fillId="3" borderId="117" xfId="2" applyNumberFormat="1" applyFont="1" applyFill="1" applyBorder="1" applyAlignment="1" applyProtection="1">
      <alignment horizontal="center"/>
      <protection hidden="1"/>
    </xf>
    <xf numFmtId="0" fontId="79" fillId="3" borderId="116" xfId="2" applyFont="1" applyFill="1" applyBorder="1" applyAlignment="1" applyProtection="1">
      <alignment horizontal="center"/>
      <protection hidden="1"/>
    </xf>
    <xf numFmtId="165" fontId="83" fillId="3" borderId="117" xfId="2" applyNumberFormat="1" applyFont="1" applyFill="1" applyBorder="1" applyAlignment="1" applyProtection="1">
      <alignment horizontal="center"/>
      <protection hidden="1"/>
    </xf>
    <xf numFmtId="165" fontId="87" fillId="3" borderId="118" xfId="2" applyNumberFormat="1" applyFont="1" applyFill="1" applyBorder="1" applyAlignment="1" applyProtection="1">
      <alignment horizontal="center"/>
      <protection hidden="1"/>
    </xf>
    <xf numFmtId="0" fontId="31" fillId="3" borderId="121" xfId="2" applyFont="1" applyFill="1" applyBorder="1" applyAlignment="1" applyProtection="1">
      <alignment horizontal="center"/>
      <protection hidden="1"/>
    </xf>
    <xf numFmtId="165" fontId="68" fillId="3" borderId="122" xfId="2" applyNumberFormat="1" applyFont="1" applyFill="1" applyBorder="1" applyAlignment="1" applyProtection="1">
      <alignment horizontal="center"/>
      <protection hidden="1"/>
    </xf>
    <xf numFmtId="165" fontId="75" fillId="3" borderId="122" xfId="2" applyNumberFormat="1" applyFont="1" applyFill="1" applyBorder="1" applyAlignment="1" applyProtection="1">
      <alignment horizontal="center"/>
      <protection hidden="1"/>
    </xf>
    <xf numFmtId="0" fontId="79" fillId="3" borderId="121" xfId="2" applyFont="1" applyFill="1" applyBorder="1" applyAlignment="1" applyProtection="1">
      <alignment horizontal="center"/>
      <protection hidden="1"/>
    </xf>
    <xf numFmtId="165" fontId="83" fillId="3" borderId="122" xfId="2" applyNumberFormat="1" applyFont="1" applyFill="1" applyBorder="1" applyAlignment="1" applyProtection="1">
      <alignment horizontal="center"/>
      <protection hidden="1"/>
    </xf>
    <xf numFmtId="165" fontId="87" fillId="3" borderId="123" xfId="2" applyNumberFormat="1" applyFont="1" applyFill="1" applyBorder="1" applyAlignment="1" applyProtection="1">
      <alignment horizontal="center"/>
      <protection hidden="1"/>
    </xf>
    <xf numFmtId="0" fontId="21" fillId="6" borderId="0" xfId="0" applyFont="1" applyFill="1" applyProtection="1">
      <protection locked="0"/>
    </xf>
    <xf numFmtId="0" fontId="21" fillId="0" borderId="0" xfId="0" applyFont="1" applyProtection="1">
      <protection locked="0"/>
    </xf>
    <xf numFmtId="0" fontId="62" fillId="3" borderId="0" xfId="2" applyFont="1" applyFill="1" applyProtection="1">
      <protection locked="0"/>
    </xf>
    <xf numFmtId="0" fontId="14" fillId="0" borderId="0" xfId="0" applyFont="1" applyProtection="1">
      <protection locked="0"/>
    </xf>
    <xf numFmtId="0" fontId="61" fillId="3" borderId="0" xfId="2" applyFont="1" applyFill="1" applyProtection="1">
      <protection locked="0"/>
    </xf>
    <xf numFmtId="14" fontId="61" fillId="3" borderId="0" xfId="2" applyNumberFormat="1" applyFont="1" applyFill="1" applyProtection="1">
      <protection locked="0"/>
    </xf>
    <xf numFmtId="0" fontId="14" fillId="3" borderId="0" xfId="2" applyFont="1" applyFill="1" applyProtection="1">
      <protection locked="0"/>
    </xf>
    <xf numFmtId="0" fontId="24" fillId="3" borderId="0" xfId="0" applyFont="1" applyFill="1"/>
    <xf numFmtId="0" fontId="21" fillId="3" borderId="0" xfId="0" applyFont="1" applyFill="1"/>
    <xf numFmtId="0" fontId="12" fillId="3" borderId="0" xfId="2" applyFont="1" applyFill="1" applyAlignment="1">
      <alignment horizontal="right"/>
    </xf>
    <xf numFmtId="0" fontId="12" fillId="3" borderId="0" xfId="2" applyFont="1" applyFill="1" applyAlignment="1">
      <alignment horizontal="center" vertical="center" wrapText="1"/>
    </xf>
    <xf numFmtId="0" fontId="64" fillId="3" borderId="9" xfId="2" applyFont="1" applyFill="1" applyBorder="1" applyAlignment="1">
      <alignment horizontal="center"/>
    </xf>
    <xf numFmtId="0" fontId="21" fillId="3" borderId="114" xfId="2" applyFont="1" applyFill="1" applyBorder="1" applyAlignment="1">
      <alignment horizontal="center"/>
    </xf>
    <xf numFmtId="0" fontId="21" fillId="3" borderId="9" xfId="2" applyFont="1" applyFill="1" applyBorder="1" applyAlignment="1">
      <alignment horizontal="center"/>
    </xf>
    <xf numFmtId="0" fontId="21" fillId="3" borderId="119" xfId="2" applyFont="1" applyFill="1" applyBorder="1" applyAlignment="1">
      <alignment horizontal="center"/>
    </xf>
    <xf numFmtId="0" fontId="64" fillId="3" borderId="108" xfId="2" applyFont="1" applyFill="1" applyBorder="1" applyAlignment="1">
      <alignment horizontal="center"/>
    </xf>
    <xf numFmtId="0" fontId="21" fillId="3" borderId="115" xfId="2" applyFont="1" applyFill="1" applyBorder="1" applyAlignment="1">
      <alignment horizontal="center"/>
    </xf>
    <xf numFmtId="0" fontId="21" fillId="3" borderId="108" xfId="2" applyFont="1" applyFill="1" applyBorder="1" applyAlignment="1">
      <alignment horizontal="center"/>
    </xf>
    <xf numFmtId="0" fontId="21" fillId="3" borderId="120" xfId="2" applyFont="1" applyFill="1" applyBorder="1" applyAlignment="1">
      <alignment horizontal="center"/>
    </xf>
    <xf numFmtId="0" fontId="64" fillId="3" borderId="0" xfId="2" applyFont="1" applyFill="1" applyAlignment="1">
      <alignment horizontal="center"/>
    </xf>
    <xf numFmtId="0" fontId="21" fillId="3" borderId="116" xfId="2" applyFont="1" applyFill="1" applyBorder="1" applyAlignment="1">
      <alignment horizontal="center"/>
    </xf>
    <xf numFmtId="0" fontId="21" fillId="3" borderId="0" xfId="2" applyFont="1" applyFill="1" applyAlignment="1">
      <alignment horizontal="center"/>
    </xf>
    <xf numFmtId="0" fontId="21" fillId="3" borderId="121" xfId="2" applyFont="1" applyFill="1" applyBorder="1" applyAlignment="1">
      <alignment horizontal="center"/>
    </xf>
    <xf numFmtId="0" fontId="11" fillId="3" borderId="6" xfId="2" applyFont="1" applyFill="1" applyBorder="1" applyAlignment="1">
      <alignment horizontal="center"/>
    </xf>
    <xf numFmtId="0" fontId="30" fillId="3" borderId="0" xfId="2" applyFont="1" applyFill="1" applyAlignment="1">
      <alignment horizontal="center"/>
    </xf>
    <xf numFmtId="0" fontId="67" fillId="3" borderId="112" xfId="2" applyFont="1" applyFill="1" applyBorder="1" applyAlignment="1">
      <alignment horizontal="right" indent="1"/>
    </xf>
    <xf numFmtId="0" fontId="30" fillId="3" borderId="109" xfId="2" applyFont="1" applyFill="1" applyBorder="1" applyAlignment="1">
      <alignment horizontal="center"/>
    </xf>
    <xf numFmtId="0" fontId="69" fillId="3" borderId="6" xfId="2" applyFont="1" applyFill="1" applyBorder="1" applyAlignment="1">
      <alignment horizontal="center"/>
    </xf>
    <xf numFmtId="0" fontId="71" fillId="3" borderId="116" xfId="2" applyFont="1" applyFill="1" applyBorder="1" applyAlignment="1">
      <alignment horizontal="center"/>
    </xf>
    <xf numFmtId="0" fontId="71" fillId="3" borderId="0" xfId="2" applyFont="1" applyFill="1" applyAlignment="1">
      <alignment horizontal="center"/>
    </xf>
    <xf numFmtId="0" fontId="71" fillId="3" borderId="121" xfId="2" applyFont="1" applyFill="1" applyBorder="1" applyAlignment="1">
      <alignment horizontal="center"/>
    </xf>
    <xf numFmtId="0" fontId="73" fillId="3" borderId="112" xfId="2" applyFont="1" applyFill="1" applyBorder="1" applyAlignment="1">
      <alignment horizontal="right" indent="1"/>
    </xf>
    <xf numFmtId="0" fontId="74" fillId="3" borderId="109" xfId="2" applyFont="1" applyFill="1" applyBorder="1" applyAlignment="1">
      <alignment horizontal="center"/>
    </xf>
    <xf numFmtId="0" fontId="77" fillId="3" borderId="6" xfId="2" applyFont="1" applyFill="1" applyBorder="1" applyAlignment="1">
      <alignment horizontal="center"/>
    </xf>
    <xf numFmtId="0" fontId="78" fillId="3" borderId="0" xfId="2" applyFont="1" applyFill="1" applyAlignment="1">
      <alignment horizontal="center"/>
    </xf>
    <xf numFmtId="0" fontId="81" fillId="3" borderId="112" xfId="2" applyFont="1" applyFill="1" applyBorder="1" applyAlignment="1">
      <alignment horizontal="right" indent="1"/>
    </xf>
    <xf numFmtId="0" fontId="82" fillId="3" borderId="109" xfId="2" applyFont="1" applyFill="1" applyBorder="1" applyAlignment="1">
      <alignment horizontal="center"/>
    </xf>
    <xf numFmtId="0" fontId="25" fillId="3" borderId="6" xfId="2" applyFont="1" applyFill="1" applyBorder="1" applyAlignment="1">
      <alignment horizontal="center"/>
    </xf>
    <xf numFmtId="0" fontId="34" fillId="3" borderId="116" xfId="2" applyFont="1" applyFill="1" applyBorder="1" applyAlignment="1">
      <alignment horizontal="center"/>
    </xf>
    <xf numFmtId="0" fontId="34" fillId="3" borderId="0" xfId="2" applyFont="1" applyFill="1" applyAlignment="1">
      <alignment horizontal="center"/>
    </xf>
    <xf numFmtId="0" fontId="34" fillId="3" borderId="121" xfId="2" applyFont="1" applyFill="1" applyBorder="1" applyAlignment="1">
      <alignment horizontal="center"/>
    </xf>
    <xf numFmtId="0" fontId="85" fillId="3" borderId="46" xfId="2" applyFont="1" applyFill="1" applyBorder="1" applyAlignment="1">
      <alignment horizontal="right" indent="1"/>
    </xf>
    <xf numFmtId="0" fontId="86" fillId="3" borderId="7" xfId="2" applyFont="1" applyFill="1" applyBorder="1" applyAlignment="1">
      <alignment horizontal="center"/>
    </xf>
    <xf numFmtId="0" fontId="22" fillId="3" borderId="0" xfId="2" applyFont="1" applyFill="1" applyAlignment="1">
      <alignment horizontal="right"/>
    </xf>
    <xf numFmtId="0" fontId="12" fillId="3" borderId="59" xfId="2" applyFont="1" applyFill="1" applyBorder="1" applyAlignment="1">
      <alignment horizontal="center" vertical="center" wrapText="1"/>
    </xf>
    <xf numFmtId="0" fontId="56" fillId="3" borderId="9" xfId="2" applyFont="1" applyFill="1" applyBorder="1" applyAlignment="1">
      <alignment horizontal="center" vertical="center" wrapText="1"/>
    </xf>
    <xf numFmtId="0" fontId="56" fillId="3" borderId="34" xfId="2" applyFont="1" applyFill="1" applyBorder="1" applyAlignment="1">
      <alignment horizontal="center" vertical="center" wrapText="1"/>
    </xf>
    <xf numFmtId="0" fontId="43" fillId="3" borderId="0" xfId="2" applyFont="1" applyFill="1" applyAlignment="1">
      <alignment horizontal="center" vertical="center" wrapText="1"/>
    </xf>
    <xf numFmtId="0" fontId="41" fillId="3" borderId="0" xfId="2" applyFont="1" applyFill="1" applyAlignment="1">
      <alignment horizontal="center" vertical="center" wrapText="1"/>
    </xf>
    <xf numFmtId="0" fontId="26" fillId="3" borderId="80" xfId="2" applyFont="1" applyFill="1" applyBorder="1" applyAlignment="1">
      <alignment horizontal="center"/>
    </xf>
    <xf numFmtId="0" fontId="26" fillId="3" borderId="79" xfId="2" applyFont="1" applyFill="1" applyBorder="1" applyAlignment="1">
      <alignment horizontal="center"/>
    </xf>
    <xf numFmtId="0" fontId="26" fillId="3" borderId="84" xfId="2" applyFont="1" applyFill="1" applyBorder="1" applyAlignment="1">
      <alignment horizontal="center"/>
    </xf>
    <xf numFmtId="0" fontId="27" fillId="3" borderId="79" xfId="2" applyFont="1" applyFill="1" applyBorder="1" applyAlignment="1">
      <alignment horizontal="center"/>
    </xf>
    <xf numFmtId="0" fontId="27" fillId="3" borderId="4" xfId="2" applyFont="1" applyFill="1" applyBorder="1" applyAlignment="1">
      <alignment horizontal="center"/>
    </xf>
    <xf numFmtId="0" fontId="27" fillId="3" borderId="81" xfId="2" applyFont="1" applyFill="1" applyBorder="1" applyAlignment="1">
      <alignment horizontal="center"/>
    </xf>
    <xf numFmtId="0" fontId="44" fillId="3" borderId="0" xfId="2" applyFont="1" applyFill="1"/>
    <xf numFmtId="0" fontId="42" fillId="3" borderId="0" xfId="2" applyFont="1" applyFill="1"/>
    <xf numFmtId="0" fontId="28" fillId="3" borderId="77" xfId="2" applyFont="1" applyFill="1" applyBorder="1" applyAlignment="1">
      <alignment horizontal="center"/>
    </xf>
    <xf numFmtId="0" fontId="28" fillId="3" borderId="76" xfId="2" applyFont="1" applyFill="1" applyBorder="1" applyAlignment="1">
      <alignment horizontal="center"/>
    </xf>
    <xf numFmtId="0" fontId="28" fillId="3" borderId="83" xfId="2" applyFont="1" applyFill="1" applyBorder="1" applyAlignment="1">
      <alignment horizontal="center"/>
    </xf>
    <xf numFmtId="0" fontId="58" fillId="3" borderId="76" xfId="2" applyFont="1" applyFill="1" applyBorder="1" applyAlignment="1">
      <alignment horizontal="center"/>
    </xf>
    <xf numFmtId="0" fontId="58" fillId="3" borderId="78" xfId="2" applyFont="1" applyFill="1" applyBorder="1" applyAlignment="1">
      <alignment horizontal="center"/>
    </xf>
    <xf numFmtId="0" fontId="58" fillId="3" borderId="75" xfId="2" applyFont="1" applyFill="1" applyBorder="1" applyAlignment="1">
      <alignment horizontal="center"/>
    </xf>
    <xf numFmtId="0" fontId="29" fillId="3" borderId="76" xfId="2" applyFont="1" applyFill="1" applyBorder="1" applyAlignment="1">
      <alignment horizontal="center"/>
    </xf>
    <xf numFmtId="0" fontId="29" fillId="3" borderId="78" xfId="2" applyFont="1" applyFill="1" applyBorder="1" applyAlignment="1">
      <alignment horizontal="center"/>
    </xf>
    <xf numFmtId="0" fontId="29" fillId="3" borderId="75" xfId="2" applyFont="1" applyFill="1" applyBorder="1" applyAlignment="1">
      <alignment horizontal="center"/>
    </xf>
    <xf numFmtId="0" fontId="28" fillId="3" borderId="6" xfId="2" applyFont="1" applyFill="1" applyBorder="1" applyAlignment="1">
      <alignment horizontal="center"/>
    </xf>
    <xf numFmtId="0" fontId="28" fillId="3" borderId="0" xfId="2" applyFont="1" applyFill="1" applyAlignment="1">
      <alignment horizontal="center"/>
    </xf>
    <xf numFmtId="0" fontId="29" fillId="3" borderId="0" xfId="2" applyFont="1" applyFill="1" applyAlignment="1">
      <alignment horizontal="center"/>
    </xf>
    <xf numFmtId="0" fontId="29" fillId="3" borderId="8" xfId="2" applyFont="1" applyFill="1" applyBorder="1" applyAlignment="1">
      <alignment horizontal="center"/>
    </xf>
    <xf numFmtId="0" fontId="29" fillId="3" borderId="36" xfId="2" applyFont="1" applyFill="1" applyBorder="1" applyAlignment="1">
      <alignment horizontal="center"/>
    </xf>
    <xf numFmtId="0" fontId="26" fillId="3" borderId="59" xfId="2" applyFont="1" applyFill="1" applyBorder="1" applyAlignment="1">
      <alignment horizontal="center"/>
    </xf>
    <xf numFmtId="0" fontId="26" fillId="3" borderId="9" xfId="2" applyFont="1" applyFill="1" applyBorder="1" applyAlignment="1">
      <alignment horizontal="center"/>
    </xf>
    <xf numFmtId="0" fontId="26" fillId="3" borderId="82" xfId="2" applyFont="1" applyFill="1" applyBorder="1" applyAlignment="1">
      <alignment horizontal="center"/>
    </xf>
    <xf numFmtId="0" fontId="27" fillId="3" borderId="9" xfId="2" applyFont="1" applyFill="1" applyBorder="1" applyAlignment="1">
      <alignment horizontal="center"/>
    </xf>
    <xf numFmtId="0" fontId="27" fillId="3" borderId="60" xfId="2" applyFont="1" applyFill="1" applyBorder="1" applyAlignment="1">
      <alignment horizontal="center"/>
    </xf>
    <xf numFmtId="0" fontId="27" fillId="3" borderId="34" xfId="2" applyFont="1" applyFill="1" applyBorder="1" applyAlignment="1">
      <alignment horizontal="center"/>
    </xf>
    <xf numFmtId="0" fontId="11" fillId="3" borderId="88" xfId="2" applyFont="1" applyFill="1" applyBorder="1" applyAlignment="1">
      <alignment horizontal="center"/>
    </xf>
    <xf numFmtId="0" fontId="30" fillId="3" borderId="89" xfId="2" applyFont="1" applyFill="1" applyBorder="1" applyAlignment="1">
      <alignment horizontal="center"/>
    </xf>
    <xf numFmtId="0" fontId="30" fillId="3" borderId="62" xfId="2" applyFont="1" applyFill="1" applyBorder="1" applyAlignment="1">
      <alignment horizontal="center"/>
    </xf>
    <xf numFmtId="0" fontId="30" fillId="3" borderId="63" xfId="2" applyFont="1" applyFill="1" applyBorder="1" applyAlignment="1">
      <alignment horizontal="center"/>
    </xf>
    <xf numFmtId="0" fontId="13" fillId="3" borderId="0" xfId="2" applyFont="1" applyFill="1" applyAlignment="1">
      <alignment horizontal="right"/>
    </xf>
    <xf numFmtId="9" fontId="13" fillId="3" borderId="0" xfId="1" applyFont="1" applyFill="1" applyAlignment="1" applyProtection="1">
      <alignment horizontal="right"/>
    </xf>
    <xf numFmtId="0" fontId="40" fillId="3" borderId="0" xfId="2" applyFont="1" applyFill="1" applyAlignment="1">
      <alignment horizontal="right"/>
    </xf>
    <xf numFmtId="0" fontId="25" fillId="5" borderId="90" xfId="2" applyFont="1" applyFill="1" applyBorder="1" applyAlignment="1">
      <alignment horizontal="center"/>
    </xf>
    <xf numFmtId="0" fontId="34" fillId="5" borderId="67" xfId="2" applyFont="1" applyFill="1" applyBorder="1" applyAlignment="1">
      <alignment horizontal="center"/>
    </xf>
    <xf numFmtId="0" fontId="34" fillId="5" borderId="66" xfId="2" applyFont="1" applyFill="1" applyBorder="1" applyAlignment="1">
      <alignment horizontal="center"/>
    </xf>
    <xf numFmtId="0" fontId="34" fillId="5" borderId="68" xfId="2" applyFont="1" applyFill="1" applyBorder="1" applyAlignment="1">
      <alignment horizontal="center"/>
    </xf>
    <xf numFmtId="0" fontId="34" fillId="5" borderId="69" xfId="2" applyFont="1" applyFill="1" applyBorder="1" applyAlignment="1">
      <alignment horizontal="center"/>
    </xf>
    <xf numFmtId="0" fontId="11" fillId="3" borderId="92" xfId="2" applyFont="1" applyFill="1" applyBorder="1" applyAlignment="1">
      <alignment horizontal="center"/>
    </xf>
    <xf numFmtId="0" fontId="30" fillId="3" borderId="93" xfId="2" applyFont="1" applyFill="1" applyBorder="1" applyAlignment="1">
      <alignment horizontal="center"/>
    </xf>
    <xf numFmtId="0" fontId="30" fillId="3" borderId="103" xfId="2" applyFont="1" applyFill="1" applyBorder="1" applyAlignment="1">
      <alignment horizontal="center"/>
    </xf>
    <xf numFmtId="0" fontId="30" fillId="3" borderId="72" xfId="2" applyFont="1" applyFill="1" applyBorder="1" applyAlignment="1">
      <alignment horizontal="center"/>
    </xf>
    <xf numFmtId="1" fontId="40" fillId="3" borderId="0" xfId="2" applyNumberFormat="1" applyFont="1" applyFill="1" applyAlignment="1">
      <alignment horizontal="right"/>
    </xf>
    <xf numFmtId="1" fontId="40" fillId="3" borderId="0" xfId="2" applyNumberFormat="1" applyFont="1" applyFill="1"/>
    <xf numFmtId="0" fontId="25" fillId="5" borderId="94" xfId="2" applyFont="1" applyFill="1" applyBorder="1" applyAlignment="1">
      <alignment horizontal="center"/>
    </xf>
    <xf numFmtId="0" fontId="34" fillId="5" borderId="73" xfId="2" applyFont="1" applyFill="1" applyBorder="1" applyAlignment="1">
      <alignment horizontal="center"/>
    </xf>
    <xf numFmtId="0" fontId="34" fillId="5" borderId="96" xfId="2" applyFont="1" applyFill="1" applyBorder="1" applyAlignment="1">
      <alignment horizontal="center"/>
    </xf>
    <xf numFmtId="0" fontId="34" fillId="5" borderId="97" xfId="2" applyFont="1" applyFill="1" applyBorder="1" applyAlignment="1">
      <alignment horizontal="center"/>
    </xf>
    <xf numFmtId="0" fontId="34" fillId="5" borderId="85" xfId="2" applyFont="1" applyFill="1" applyBorder="1" applyAlignment="1">
      <alignment horizontal="center"/>
    </xf>
    <xf numFmtId="0" fontId="6" fillId="3" borderId="0" xfId="2" applyFont="1" applyFill="1" applyAlignment="1">
      <alignment horizontal="right"/>
    </xf>
    <xf numFmtId="0" fontId="39" fillId="3" borderId="0" xfId="2" applyFont="1" applyFill="1" applyAlignment="1">
      <alignment horizontal="right"/>
    </xf>
    <xf numFmtId="0" fontId="11" fillId="3" borderId="48" xfId="0" applyFont="1" applyFill="1" applyBorder="1" applyAlignment="1">
      <alignment horizontal="centerContinuous"/>
    </xf>
    <xf numFmtId="0" fontId="11" fillId="3" borderId="50" xfId="0" applyFont="1" applyFill="1" applyBorder="1" applyAlignment="1">
      <alignment horizontal="centerContinuous"/>
    </xf>
    <xf numFmtId="0" fontId="11" fillId="3" borderId="49" xfId="0" applyFont="1" applyFill="1" applyBorder="1" applyAlignment="1">
      <alignment horizontal="centerContinuous"/>
    </xf>
    <xf numFmtId="0" fontId="0" fillId="3" borderId="0" xfId="0" applyFill="1"/>
    <xf numFmtId="0" fontId="19" fillId="3" borderId="86" xfId="0" applyFont="1" applyFill="1" applyBorder="1"/>
    <xf numFmtId="0" fontId="19" fillId="3" borderId="87" xfId="0" applyFont="1" applyFill="1" applyBorder="1"/>
    <xf numFmtId="0" fontId="19" fillId="3" borderId="36" xfId="0" applyFont="1" applyFill="1" applyBorder="1" applyAlignment="1">
      <alignment horizontal="center"/>
    </xf>
    <xf numFmtId="0" fontId="19" fillId="3" borderId="6" xfId="0" applyFont="1" applyFill="1" applyBorder="1"/>
    <xf numFmtId="0" fontId="27" fillId="3" borderId="0" xfId="0" applyFont="1" applyFill="1"/>
    <xf numFmtId="0" fontId="19" fillId="3" borderId="46" xfId="0" applyFont="1" applyFill="1" applyBorder="1"/>
    <xf numFmtId="0" fontId="19" fillId="3" borderId="7" xfId="0" applyFont="1" applyFill="1" applyBorder="1"/>
    <xf numFmtId="0" fontId="19" fillId="3" borderId="47" xfId="0" applyFont="1" applyFill="1" applyBorder="1" applyAlignment="1">
      <alignment horizontal="center"/>
    </xf>
    <xf numFmtId="0" fontId="27" fillId="3" borderId="7" xfId="0" applyFont="1" applyFill="1" applyBorder="1"/>
    <xf numFmtId="0" fontId="18" fillId="3" borderId="7" xfId="2" applyFont="1" applyFill="1" applyBorder="1"/>
    <xf numFmtId="9" fontId="19" fillId="3" borderId="36" xfId="1" applyFont="1" applyFill="1" applyBorder="1" applyAlignment="1" applyProtection="1">
      <alignment horizontal="center"/>
    </xf>
    <xf numFmtId="9" fontId="19" fillId="3" borderId="47" xfId="1" applyFont="1" applyFill="1" applyBorder="1" applyAlignment="1" applyProtection="1">
      <alignment horizontal="center"/>
    </xf>
    <xf numFmtId="0" fontId="63" fillId="3" borderId="0" xfId="0" applyFont="1" applyFill="1"/>
    <xf numFmtId="0" fontId="60" fillId="8" borderId="107" xfId="6" applyAlignment="1" applyProtection="1">
      <alignment horizontal="right"/>
      <protection locked="0"/>
    </xf>
    <xf numFmtId="0" fontId="11" fillId="0" borderId="0" xfId="0" applyFont="1" applyAlignment="1">
      <alignment horizontal="center"/>
    </xf>
    <xf numFmtId="0" fontId="63" fillId="3" borderId="59" xfId="2" applyFont="1" applyFill="1" applyBorder="1" applyProtection="1">
      <protection hidden="1"/>
    </xf>
    <xf numFmtId="0" fontId="63" fillId="3" borderId="110" xfId="2" applyFont="1" applyFill="1" applyBorder="1" applyProtection="1">
      <protection hidden="1"/>
    </xf>
    <xf numFmtId="0" fontId="63" fillId="3" borderId="6" xfId="2" applyFont="1" applyFill="1" applyBorder="1" applyProtection="1">
      <protection hidden="1"/>
    </xf>
    <xf numFmtId="0" fontId="1" fillId="6" borderId="0" xfId="0" applyFont="1" applyFill="1" applyProtection="1">
      <protection locked="0"/>
    </xf>
    <xf numFmtId="0" fontId="89" fillId="9" borderId="124" xfId="0" applyFont="1" applyFill="1" applyBorder="1"/>
    <xf numFmtId="0" fontId="24" fillId="9" borderId="125" xfId="0" applyFont="1" applyFill="1" applyBorder="1"/>
    <xf numFmtId="0" fontId="89" fillId="9" borderId="126" xfId="0" applyFont="1" applyFill="1" applyBorder="1"/>
    <xf numFmtId="0" fontId="89" fillId="9" borderId="0" xfId="0" applyFont="1" applyFill="1" applyBorder="1"/>
    <xf numFmtId="0" fontId="24" fillId="10" borderId="0" xfId="0" applyFont="1" applyFill="1" applyBorder="1"/>
    <xf numFmtId="0" fontId="24" fillId="10" borderId="127" xfId="0" applyFont="1" applyFill="1" applyBorder="1"/>
    <xf numFmtId="0" fontId="24" fillId="9" borderId="0" xfId="0" applyFont="1" applyFill="1" applyBorder="1"/>
    <xf numFmtId="2" fontId="89" fillId="9" borderId="0" xfId="0" applyNumberFormat="1" applyFont="1" applyFill="1" applyBorder="1"/>
    <xf numFmtId="0" fontId="24" fillId="9" borderId="128" xfId="0" applyFont="1" applyFill="1" applyBorder="1"/>
    <xf numFmtId="0" fontId="89" fillId="9" borderId="125" xfId="0" applyFont="1" applyFill="1" applyBorder="1"/>
    <xf numFmtId="0" fontId="89" fillId="9" borderId="128" xfId="0" applyFont="1" applyFill="1" applyBorder="1"/>
    <xf numFmtId="2" fontId="89" fillId="9" borderId="0" xfId="0" applyNumberFormat="1" applyFont="1" applyFill="1" applyBorder="1"/>
    <xf numFmtId="2" fontId="89" fillId="9" borderId="127" xfId="0" applyNumberFormat="1" applyFont="1" applyFill="1" applyBorder="1"/>
    <xf numFmtId="2" fontId="89" fillId="9" borderId="0" xfId="0" applyNumberFormat="1" applyFont="1" applyFill="1" applyBorder="1"/>
    <xf numFmtId="2" fontId="89" fillId="9" borderId="127" xfId="0" applyNumberFormat="1" applyFont="1" applyFill="1" applyBorder="1"/>
    <xf numFmtId="2" fontId="89" fillId="9" borderId="0" xfId="0" applyNumberFormat="1" applyFont="1" applyFill="1" applyBorder="1"/>
    <xf numFmtId="2" fontId="89" fillId="9" borderId="127" xfId="0" applyNumberFormat="1" applyFont="1" applyFill="1" applyBorder="1"/>
    <xf numFmtId="2" fontId="89" fillId="9" borderId="129" xfId="0" applyNumberFormat="1" applyFont="1" applyFill="1" applyBorder="1"/>
    <xf numFmtId="2" fontId="89" fillId="9" borderId="127" xfId="0" applyNumberFormat="1" applyFont="1" applyFill="1" applyBorder="1"/>
    <xf numFmtId="0" fontId="90" fillId="9" borderId="124" xfId="0" applyFont="1" applyFill="1" applyBorder="1"/>
    <xf numFmtId="0" fontId="91" fillId="9" borderId="125" xfId="0" applyFont="1" applyFill="1" applyBorder="1"/>
    <xf numFmtId="0" fontId="90" fillId="9" borderId="125" xfId="0" applyFont="1" applyFill="1" applyBorder="1"/>
    <xf numFmtId="0" fontId="90" fillId="9" borderId="126" xfId="0" applyFont="1" applyFill="1" applyBorder="1"/>
    <xf numFmtId="0" fontId="90" fillId="9" borderId="0" xfId="0" applyFont="1" applyFill="1" applyBorder="1"/>
    <xf numFmtId="0" fontId="91" fillId="10" borderId="0" xfId="0" applyFont="1" applyFill="1" applyBorder="1"/>
    <xf numFmtId="0" fontId="91" fillId="10" borderId="127" xfId="0" applyFont="1" applyFill="1" applyBorder="1"/>
    <xf numFmtId="0" fontId="91" fillId="9" borderId="0" xfId="0" applyFont="1" applyFill="1" applyBorder="1"/>
    <xf numFmtId="0" fontId="90" fillId="9" borderId="127" xfId="0" applyFont="1" applyFill="1" applyBorder="1"/>
    <xf numFmtId="0" fontId="90" fillId="10" borderId="0" xfId="0" applyFont="1" applyFill="1" applyBorder="1"/>
    <xf numFmtId="0" fontId="90" fillId="10" borderId="127" xfId="0" applyFont="1" applyFill="1" applyBorder="1"/>
    <xf numFmtId="0" fontId="90" fillId="9" borderId="128" xfId="0" applyFont="1" applyFill="1" applyBorder="1"/>
    <xf numFmtId="0" fontId="90" fillId="9" borderId="129" xfId="0" applyFont="1" applyFill="1" applyBorder="1"/>
    <xf numFmtId="0" fontId="90" fillId="9" borderId="130" xfId="0" applyFont="1" applyFill="1" applyBorder="1"/>
    <xf numFmtId="0" fontId="91" fillId="9" borderId="126" xfId="0" applyFont="1" applyFill="1" applyBorder="1"/>
    <xf numFmtId="0" fontId="23" fillId="2" borderId="3" xfId="3" applyFont="1" applyFill="1" applyBorder="1" applyAlignment="1" applyProtection="1">
      <alignment horizontal="left"/>
      <protection locked="0"/>
    </xf>
    <xf numFmtId="0" fontId="23" fillId="2" borderId="2" xfId="2" applyFont="1" applyFill="1" applyBorder="1" applyAlignment="1" applyProtection="1">
      <alignment horizontal="center"/>
      <protection locked="0"/>
    </xf>
    <xf numFmtId="0" fontId="31" fillId="3" borderId="48" xfId="0" applyFont="1" applyFill="1" applyBorder="1" applyAlignment="1">
      <alignment horizontal="center"/>
    </xf>
    <xf numFmtId="0" fontId="31" fillId="3" borderId="50" xfId="0" applyFont="1" applyFill="1" applyBorder="1" applyAlignment="1">
      <alignment horizontal="center"/>
    </xf>
    <xf numFmtId="0" fontId="31" fillId="3" borderId="49" xfId="0" applyFont="1" applyFill="1" applyBorder="1" applyAlignment="1">
      <alignment horizontal="center"/>
    </xf>
    <xf numFmtId="0" fontId="23" fillId="7" borderId="104" xfId="0" applyFont="1" applyFill="1" applyBorder="1" applyAlignment="1" applyProtection="1">
      <alignment horizontal="center"/>
      <protection locked="0"/>
    </xf>
    <xf numFmtId="0" fontId="23" fillId="7" borderId="105" xfId="0" applyFont="1" applyFill="1" applyBorder="1" applyAlignment="1" applyProtection="1">
      <alignment horizontal="center"/>
      <protection locked="0"/>
    </xf>
    <xf numFmtId="0" fontId="46" fillId="3" borderId="0" xfId="2" applyFont="1" applyFill="1" applyAlignment="1">
      <alignment horizontal="center"/>
    </xf>
    <xf numFmtId="14" fontId="22" fillId="0" borderId="16" xfId="0" applyNumberFormat="1" applyFont="1" applyBorder="1" applyAlignment="1" applyProtection="1">
      <alignment horizontal="center"/>
      <protection locked="0"/>
    </xf>
    <xf numFmtId="14" fontId="22" fillId="0" borderId="17" xfId="0" applyNumberFormat="1" applyFont="1" applyBorder="1" applyAlignment="1" applyProtection="1">
      <alignment horizontal="center"/>
      <protection locked="0"/>
    </xf>
  </cellXfs>
  <cellStyles count="7">
    <cellStyle name="20% - Accent2" xfId="4" builtinId="34"/>
    <cellStyle name="Normal" xfId="0" builtinId="0"/>
    <cellStyle name="Normal_Central" xfId="2"/>
    <cellStyle name="Normal_team template" xfId="3"/>
    <cellStyle name="Output" xfId="6" builtinId="21"/>
    <cellStyle name="Percent" xfId="1" builtinId="5"/>
    <cellStyle name="Warning Text" xfId="5" builtinId="11"/>
  </cellStyles>
  <dxfs count="1382">
    <dxf>
      <fill>
        <patternFill>
          <bgColor theme="7" tint="0.59996337778862885"/>
        </patternFill>
      </fill>
    </dxf>
    <dxf>
      <fill>
        <patternFill>
          <bgColor theme="7" tint="0.59996337778862885"/>
        </patternFill>
      </fill>
    </dxf>
    <dxf>
      <fill>
        <patternFill>
          <bgColor theme="7" tint="0.59996337778862885"/>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ill>
        <patternFill>
          <bgColor theme="7" tint="0.59996337778862885"/>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ill>
        <patternFill>
          <bgColor theme="7" tint="0.59996337778862885"/>
        </patternFill>
      </fill>
    </dxf>
    <dxf>
      <fill>
        <patternFill>
          <bgColor theme="7" tint="0.59996337778862885"/>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ill>
        <patternFill>
          <bgColor theme="7" tint="0.59996337778862885"/>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color rgb="FFFF0000"/>
      </font>
    </dxf>
    <dxf>
      <font>
        <color rgb="FFFF0000"/>
      </font>
    </dxf>
    <dxf>
      <font>
        <color rgb="FFFF0000"/>
      </font>
    </dxf>
    <dxf>
      <font>
        <color rgb="FFFF0000"/>
      </font>
    </dxf>
    <dxf>
      <fill>
        <patternFill>
          <bgColor theme="7" tint="0.59996337778862885"/>
        </patternFill>
      </fill>
    </dxf>
    <dxf>
      <font>
        <b/>
        <i/>
        <color rgb="FFFF0000"/>
      </font>
    </dxf>
    <dxf>
      <font>
        <b/>
        <i val="0"/>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b/>
        <i val="0"/>
        <color rgb="FFFF0000"/>
      </font>
    </dxf>
    <dxf>
      <font>
        <b val="0"/>
        <i val="0"/>
        <color rgb="FFFF0000"/>
      </font>
    </dxf>
    <dxf>
      <font>
        <color rgb="FFFF0000"/>
      </font>
      <fill>
        <patternFill patternType="none">
          <bgColor auto="1"/>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b/>
        <i val="0"/>
        <color rgb="FFFF0000"/>
      </font>
      <fill>
        <patternFill patternType="solid">
          <bgColor theme="5" tint="0.79998168889431442"/>
        </patternFill>
      </fill>
    </dxf>
    <dxf>
      <font>
        <b/>
        <i val="0"/>
        <color rgb="FFFF0000"/>
      </font>
      <fill>
        <patternFill patternType="solid">
          <bgColor theme="5" tint="0.79998168889431442"/>
        </patternFill>
      </fill>
    </dxf>
    <dxf>
      <font>
        <strike val="0"/>
        <outline val="0"/>
        <shadow val="0"/>
        <u val="none"/>
        <vertAlign val="baseline"/>
        <sz val="9"/>
        <color theme="1"/>
        <name val="Arial Narrow"/>
        <scheme val="none"/>
      </font>
      <numFmt numFmtId="0" formatCode="General"/>
      <fill>
        <patternFill patternType="solid">
          <fgColor indexed="64"/>
          <bgColor theme="0"/>
        </patternFill>
      </fill>
      <protection locked="0" hidden="0"/>
    </dxf>
    <dxf>
      <font>
        <strike val="0"/>
        <outline val="0"/>
        <shadow val="0"/>
        <u val="none"/>
        <vertAlign val="baseline"/>
        <sz val="9"/>
        <color theme="1"/>
        <name val="Arial Narrow"/>
        <scheme val="none"/>
      </font>
      <fill>
        <patternFill patternType="solid">
          <fgColor indexed="64"/>
          <bgColor theme="0"/>
        </patternFill>
      </fill>
      <protection locked="0" hidden="0"/>
    </dxf>
    <dxf>
      <font>
        <strike val="0"/>
        <outline val="0"/>
        <shadow val="0"/>
        <u val="none"/>
        <vertAlign val="baseline"/>
        <sz val="9"/>
        <color theme="1"/>
        <name val="Arial Narrow"/>
        <scheme val="none"/>
      </font>
      <numFmt numFmtId="0" formatCode="General"/>
      <protection locked="0" hidden="0"/>
    </dxf>
    <dxf>
      <font>
        <strike val="0"/>
        <outline val="0"/>
        <shadow val="0"/>
        <u val="none"/>
        <vertAlign val="baseline"/>
        <sz val="9"/>
        <color theme="1"/>
        <name val="Arial Narrow"/>
        <scheme val="none"/>
      </font>
      <protection locked="0" hidden="0"/>
    </dxf>
    <dxf>
      <font>
        <strike val="0"/>
        <outline val="0"/>
        <shadow val="0"/>
        <u val="none"/>
        <vertAlign val="baseline"/>
        <sz val="9"/>
        <color theme="1"/>
        <name val="Arial Narrow"/>
        <scheme val="none"/>
      </font>
      <protection locked="0" hidden="0"/>
    </dxf>
    <dxf>
      <font>
        <strike val="0"/>
        <outline val="0"/>
        <shadow val="0"/>
        <u val="none"/>
        <vertAlign val="baseline"/>
        <sz val="9"/>
        <color theme="1"/>
        <name val="Arial Narrow"/>
        <scheme val="none"/>
      </font>
      <protection locked="0" hidden="0"/>
    </dxf>
    <dxf>
      <font>
        <strike val="0"/>
        <outline val="0"/>
        <shadow val="0"/>
        <u val="none"/>
        <vertAlign val="baseline"/>
        <name val="Arial Narrow"/>
        <scheme val="none"/>
      </font>
      <protection locked="0"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outline val="0"/>
        <shadow val="0"/>
        <u val="none"/>
        <vertAlign val="baseline"/>
        <sz val="9"/>
        <color rgb="FF000000"/>
        <name val="Arial Narrow"/>
        <scheme val="none"/>
      </font>
      <numFmt numFmtId="19" formatCode="m/d/yyyy"/>
      <protection locked="0" hidden="0"/>
    </dxf>
    <dxf>
      <font>
        <strike val="0"/>
        <outline val="0"/>
        <shadow val="0"/>
        <u val="none"/>
        <vertAlign val="baseline"/>
        <sz val="9"/>
        <color rgb="FF000000"/>
        <name val="Arial Narrow"/>
        <scheme val="none"/>
      </font>
      <numFmt numFmtId="0" formatCode="General"/>
      <protection locked="0" hidden="0"/>
    </dxf>
    <dxf>
      <font>
        <strike val="0"/>
        <outline val="0"/>
        <shadow val="0"/>
        <u val="none"/>
        <vertAlign val="baseline"/>
        <sz val="9"/>
        <color theme="1"/>
        <name val="Arial Narrow"/>
        <scheme val="none"/>
      </font>
      <numFmt numFmtId="0" formatCode="General"/>
      <fill>
        <patternFill patternType="solid">
          <fgColor indexed="64"/>
          <bgColor theme="0"/>
        </patternFill>
      </fill>
      <protection locked="0" hidden="0"/>
    </dxf>
    <dxf>
      <font>
        <strike val="0"/>
        <outline val="0"/>
        <shadow val="0"/>
        <u val="none"/>
        <vertAlign val="baseline"/>
        <sz val="9"/>
        <color theme="1"/>
        <name val="Arial Narrow"/>
        <scheme val="none"/>
      </font>
      <fill>
        <patternFill patternType="solid">
          <fgColor indexed="64"/>
          <bgColor theme="0"/>
        </patternFill>
      </fill>
      <protection locked="0" hidden="0"/>
    </dxf>
    <dxf>
      <font>
        <strike val="0"/>
        <outline val="0"/>
        <shadow val="0"/>
        <u val="none"/>
        <vertAlign val="baseline"/>
        <sz val="9"/>
        <color theme="1"/>
        <name val="Arial Narrow"/>
        <scheme val="none"/>
      </font>
      <numFmt numFmtId="0" formatCode="General"/>
      <protection locked="0" hidden="0"/>
    </dxf>
    <dxf>
      <font>
        <strike val="0"/>
        <outline val="0"/>
        <shadow val="0"/>
        <u val="none"/>
        <vertAlign val="baseline"/>
        <sz val="9"/>
        <color theme="1"/>
        <name val="Arial Narrow"/>
        <scheme val="none"/>
      </font>
      <numFmt numFmtId="0" formatCode="General"/>
      <protection locked="0" hidden="0"/>
    </dxf>
    <dxf>
      <font>
        <strike val="0"/>
        <outline val="0"/>
        <shadow val="0"/>
        <u val="none"/>
        <vertAlign val="baseline"/>
        <sz val="9"/>
        <color theme="1"/>
        <name val="Arial Narrow"/>
        <scheme val="none"/>
      </font>
      <numFmt numFmtId="0" formatCode="General"/>
      <protection locked="0" hidden="0"/>
    </dxf>
    <dxf>
      <font>
        <strike val="0"/>
        <outline val="0"/>
        <shadow val="0"/>
        <u val="none"/>
        <vertAlign val="baseline"/>
        <sz val="9"/>
        <color rgb="FF000000"/>
        <name val="Arial Narrow"/>
        <scheme val="none"/>
      </font>
      <protection locked="0" hidden="0"/>
    </dxf>
    <dxf>
      <font>
        <strike val="0"/>
        <outline val="0"/>
        <shadow val="0"/>
        <u val="none"/>
        <vertAlign val="baseline"/>
        <name val="Arial Narrow"/>
        <scheme val="none"/>
      </font>
      <protection locked="0" hidden="0"/>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164" formatCode="m/d/yy;@"/>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numFmt numFmtId="0" formatCode="General"/>
    </dxf>
    <dxf>
      <font>
        <b val="0"/>
        <i val="0"/>
        <strike val="0"/>
        <condense val="0"/>
        <extend val="0"/>
        <outline val="0"/>
        <shadow val="0"/>
        <u val="none"/>
        <vertAlign val="baseline"/>
        <sz val="8"/>
        <color theme="1"/>
        <name val="Arial Narrow"/>
        <scheme val="none"/>
      </font>
    </dxf>
    <dxf>
      <font>
        <b val="0"/>
        <i val="0"/>
        <strike val="0"/>
        <condense val="0"/>
        <extend val="0"/>
        <outline val="0"/>
        <shadow val="0"/>
        <u val="none"/>
        <vertAlign val="baseline"/>
        <sz val="8"/>
        <color theme="1"/>
        <name val="Arial Narrow"/>
        <scheme val="none"/>
      </font>
    </dxf>
    <dxf>
      <border outline="0">
        <bottom style="medium">
          <color indexed="64"/>
        </bottom>
      </border>
    </dxf>
    <dxf>
      <font>
        <b/>
        <i val="0"/>
        <strike val="0"/>
        <condense val="0"/>
        <extend val="0"/>
        <outline val="0"/>
        <shadow val="0"/>
        <u val="none"/>
        <vertAlign val="baseline"/>
        <sz val="8"/>
        <color auto="1"/>
        <name val="Arial Narrow"/>
        <scheme val="none"/>
      </font>
      <fill>
        <patternFill patternType="solid">
          <fgColor indexed="64"/>
          <bgColor theme="0"/>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164" formatCode="m/d/yy;@"/>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13" formatCode="0%"/>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0" formatCode="General"/>
    </dxf>
    <dxf>
      <font>
        <b val="0"/>
        <i val="0"/>
        <strike val="0"/>
        <condense val="0"/>
        <extend val="0"/>
        <outline val="0"/>
        <shadow val="0"/>
        <u val="none"/>
        <vertAlign val="baseline"/>
        <sz val="9"/>
        <color theme="1"/>
        <name val="Arial Narrow"/>
        <scheme val="none"/>
      </font>
      <numFmt numFmtId="164" formatCode="m/d/yy;@"/>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font>
        <b val="0"/>
        <i val="0"/>
        <strike val="0"/>
        <condense val="0"/>
        <extend val="0"/>
        <outline val="0"/>
        <shadow val="0"/>
        <u val="none"/>
        <vertAlign val="baseline"/>
        <sz val="9"/>
        <color theme="1"/>
        <name val="Arial Narrow"/>
        <scheme val="none"/>
      </font>
    </dxf>
    <dxf>
      <border outline="0">
        <bottom style="medium">
          <color indexed="64"/>
        </bottom>
      </border>
    </dxf>
    <dxf>
      <font>
        <b/>
        <i val="0"/>
        <strike val="0"/>
        <condense val="0"/>
        <extend val="0"/>
        <outline val="0"/>
        <shadow val="0"/>
        <u val="none"/>
        <vertAlign val="baseline"/>
        <sz val="9"/>
        <color auto="1"/>
        <name val="Arial Narrow"/>
        <scheme val="none"/>
      </font>
      <fill>
        <patternFill patternType="solid">
          <fgColor indexed="64"/>
          <bgColor theme="0"/>
        </patternFill>
      </fill>
      <alignment horizontal="center" vertical="center" textRotation="0" wrapText="1" indent="0" justifyLastLine="0" shrinkToFit="0" readingOrder="0"/>
      <protection locked="1" hidden="0"/>
    </dxf>
  </dxfs>
  <tableStyles count="1" defaultTableStyle="TableStyleMedium2" defaultPivotStyle="PivotStyleLight16">
    <tableStyle name="Invisible" pivot="0" table="0" count="0"/>
  </tableStyles>
  <colors>
    <mruColors>
      <color rgb="FFFF5050"/>
      <color rgb="FF80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07/relationships/slicerCache" Target="slicerCaches/slicerCache2.xml"/><Relationship Id="rId50" Type="http://schemas.microsoft.com/office/2007/relationships/slicerCache" Target="slicerCaches/slicerCache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07/relationships/slicerCache" Target="slicerCaches/slicerCache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07/relationships/slicerCache" Target="slicerCaches/slicerCache4.xml"/><Relationship Id="rId57"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07/relationships/slicerCache" Target="slicerCaches/slicerCache3.xml"/><Relationship Id="rId56" Type="http://schemas.openxmlformats.org/officeDocument/2006/relationships/sharedStrings" Target="sharedStrings.xml"/><Relationship Id="rId8" Type="http://schemas.openxmlformats.org/officeDocument/2006/relationships/worksheet" Target="worksheets/sheet8.xml"/><Relationship Id="rId51" Type="http://schemas.microsoft.com/office/2007/relationships/slicerCache" Target="slicerCaches/slicerCache6.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Arial" panose="020B0604020202020204" pitchFamily="34" charset="0"/>
              </a:defRPr>
            </a:pPr>
            <a:r>
              <a:rPr lang="en-US" sz="1000"/>
              <a:t>FG &amp; FT Made Avg</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Team_Report!$E$2</c:f>
              <c:strCache>
                <c:ptCount val="1"/>
                <c:pt idx="0">
                  <c:v>3FGM</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Narrow" panose="020B060602020203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Team_Report!$BU$1:$BU$2</c:f>
              <c:strCache>
                <c:ptCount val="2"/>
                <c:pt idx="0">
                  <c:v>Upton</c:v>
                </c:pt>
                <c:pt idx="1">
                  <c:v>Opponent(s)</c:v>
                </c:pt>
              </c:strCache>
            </c:strRef>
          </c:cat>
          <c:val>
            <c:numRef>
              <c:f>Team_Report!$E$53:$E$54</c:f>
              <c:numCache>
                <c:formatCode>General</c:formatCode>
                <c:ptCount val="2"/>
                <c:pt idx="0">
                  <c:v>6.1</c:v>
                </c:pt>
                <c:pt idx="1">
                  <c:v>3.9</c:v>
                </c:pt>
              </c:numCache>
            </c:numRef>
          </c:val>
          <c:extLst>
            <c:ext xmlns:c16="http://schemas.microsoft.com/office/drawing/2014/chart" uri="{C3380CC4-5D6E-409C-BE32-E72D297353CC}">
              <c16:uniqueId val="{00000000-C8B0-4207-B453-D5B968CCEFA5}"/>
            </c:ext>
          </c:extLst>
        </c:ser>
        <c:ser>
          <c:idx val="1"/>
          <c:order val="1"/>
          <c:tx>
            <c:strRef>
              <c:f>Team_Report!$G$2</c:f>
              <c:strCache>
                <c:ptCount val="1"/>
                <c:pt idx="0">
                  <c:v>2FGM</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Team_Report!$BU$1:$BU$2</c:f>
              <c:strCache>
                <c:ptCount val="2"/>
                <c:pt idx="0">
                  <c:v>Upton</c:v>
                </c:pt>
                <c:pt idx="1">
                  <c:v>Opponent(s)</c:v>
                </c:pt>
              </c:strCache>
            </c:strRef>
          </c:cat>
          <c:val>
            <c:numRef>
              <c:f>Team_Report!$G$53:$G$54</c:f>
              <c:numCache>
                <c:formatCode>General</c:formatCode>
                <c:ptCount val="2"/>
                <c:pt idx="0">
                  <c:v>17</c:v>
                </c:pt>
                <c:pt idx="1">
                  <c:v>12.2</c:v>
                </c:pt>
              </c:numCache>
            </c:numRef>
          </c:val>
          <c:extLst>
            <c:ext xmlns:c16="http://schemas.microsoft.com/office/drawing/2014/chart" uri="{C3380CC4-5D6E-409C-BE32-E72D297353CC}">
              <c16:uniqueId val="{00000001-C8B0-4207-B453-D5B968CCEFA5}"/>
            </c:ext>
          </c:extLst>
        </c:ser>
        <c:ser>
          <c:idx val="2"/>
          <c:order val="2"/>
          <c:tx>
            <c:strRef>
              <c:f>Team_Report!$I$2</c:f>
              <c:strCache>
                <c:ptCount val="1"/>
                <c:pt idx="0">
                  <c:v>FTM</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Narrow" panose="020B060602020203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Team_Report!$BU$1:$BU$2</c:f>
              <c:strCache>
                <c:ptCount val="2"/>
                <c:pt idx="0">
                  <c:v>Upton</c:v>
                </c:pt>
                <c:pt idx="1">
                  <c:v>Opponent(s)</c:v>
                </c:pt>
              </c:strCache>
            </c:strRef>
          </c:cat>
          <c:val>
            <c:numRef>
              <c:f>Team_Report!$I$53:$I$54</c:f>
              <c:numCache>
                <c:formatCode>General</c:formatCode>
                <c:ptCount val="2"/>
                <c:pt idx="0">
                  <c:v>7.7</c:v>
                </c:pt>
                <c:pt idx="1">
                  <c:v>4.5</c:v>
                </c:pt>
              </c:numCache>
            </c:numRef>
          </c:val>
          <c:extLst>
            <c:ext xmlns:c16="http://schemas.microsoft.com/office/drawing/2014/chart" uri="{C3380CC4-5D6E-409C-BE32-E72D297353CC}">
              <c16:uniqueId val="{00000002-C8B0-4207-B453-D5B968CCEFA5}"/>
            </c:ext>
          </c:extLst>
        </c:ser>
        <c:dLbls>
          <c:dLblPos val="ctr"/>
          <c:showLegendKey val="0"/>
          <c:showVal val="1"/>
          <c:showCatName val="0"/>
          <c:showSerName val="0"/>
          <c:showPercent val="0"/>
          <c:showBubbleSize val="0"/>
        </c:dLbls>
        <c:gapWidth val="150"/>
        <c:overlap val="100"/>
        <c:axId val="383226384"/>
        <c:axId val="383231480"/>
      </c:barChart>
      <c:catAx>
        <c:axId val="38322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en-US"/>
          </a:p>
        </c:txPr>
        <c:crossAx val="383231480"/>
        <c:crosses val="autoZero"/>
        <c:auto val="1"/>
        <c:lblAlgn val="ctr"/>
        <c:lblOffset val="100"/>
        <c:noMultiLvlLbl val="0"/>
      </c:catAx>
      <c:valAx>
        <c:axId val="383231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en-US"/>
          </a:p>
        </c:txPr>
        <c:crossAx val="38322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000"/>
              <a:t>FG &amp; FT Att Avg</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barChart>
        <c:barDir val="col"/>
        <c:grouping val="stacked"/>
        <c:varyColors val="0"/>
        <c:ser>
          <c:idx val="0"/>
          <c:order val="0"/>
          <c:tx>
            <c:strRef>
              <c:f>Team_Report!$F$2</c:f>
              <c:strCache>
                <c:ptCount val="1"/>
                <c:pt idx="0">
                  <c:v>3FGA</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Team_Report!$BU$1:$BU$2</c:f>
              <c:strCache>
                <c:ptCount val="2"/>
                <c:pt idx="0">
                  <c:v>Upton</c:v>
                </c:pt>
                <c:pt idx="1">
                  <c:v>Opponent(s)</c:v>
                </c:pt>
              </c:strCache>
            </c:strRef>
          </c:cat>
          <c:val>
            <c:numRef>
              <c:f>Team_Report!$F$53:$F$54</c:f>
              <c:numCache>
                <c:formatCode>General</c:formatCode>
                <c:ptCount val="2"/>
                <c:pt idx="0">
                  <c:v>21.6</c:v>
                </c:pt>
                <c:pt idx="1">
                  <c:v>14.4</c:v>
                </c:pt>
              </c:numCache>
            </c:numRef>
          </c:val>
          <c:extLst>
            <c:ext xmlns:c16="http://schemas.microsoft.com/office/drawing/2014/chart" uri="{C3380CC4-5D6E-409C-BE32-E72D297353CC}">
              <c16:uniqueId val="{00000000-4C88-4733-9BB5-7DF962CD359D}"/>
            </c:ext>
          </c:extLst>
        </c:ser>
        <c:ser>
          <c:idx val="1"/>
          <c:order val="1"/>
          <c:tx>
            <c:strRef>
              <c:f>Team_Report!$H$2</c:f>
              <c:strCache>
                <c:ptCount val="1"/>
                <c:pt idx="0">
                  <c:v>2FGA</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Team_Report!$BU$1:$BU$2</c:f>
              <c:strCache>
                <c:ptCount val="2"/>
                <c:pt idx="0">
                  <c:v>Upton</c:v>
                </c:pt>
                <c:pt idx="1">
                  <c:v>Opponent(s)</c:v>
                </c:pt>
              </c:strCache>
            </c:strRef>
          </c:cat>
          <c:val>
            <c:numRef>
              <c:f>Team_Report!$H$53:$H$54</c:f>
              <c:numCache>
                <c:formatCode>General</c:formatCode>
                <c:ptCount val="2"/>
                <c:pt idx="0">
                  <c:v>33</c:v>
                </c:pt>
                <c:pt idx="1">
                  <c:v>30.2</c:v>
                </c:pt>
              </c:numCache>
            </c:numRef>
          </c:val>
          <c:extLst>
            <c:ext xmlns:c16="http://schemas.microsoft.com/office/drawing/2014/chart" uri="{C3380CC4-5D6E-409C-BE32-E72D297353CC}">
              <c16:uniqueId val="{00000001-4C88-4733-9BB5-7DF962CD359D}"/>
            </c:ext>
          </c:extLst>
        </c:ser>
        <c:ser>
          <c:idx val="2"/>
          <c:order val="2"/>
          <c:tx>
            <c:strRef>
              <c:f>Team_Report!$J$2</c:f>
              <c:strCache>
                <c:ptCount val="1"/>
                <c:pt idx="0">
                  <c:v>FTA</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Team_Report!$BU$1:$BU$2</c:f>
              <c:strCache>
                <c:ptCount val="2"/>
                <c:pt idx="0">
                  <c:v>Upton</c:v>
                </c:pt>
                <c:pt idx="1">
                  <c:v>Opponent(s)</c:v>
                </c:pt>
              </c:strCache>
            </c:strRef>
          </c:cat>
          <c:val>
            <c:numRef>
              <c:f>Team_Report!$J$53:$J$54</c:f>
              <c:numCache>
                <c:formatCode>General</c:formatCode>
                <c:ptCount val="2"/>
                <c:pt idx="0">
                  <c:v>13.4</c:v>
                </c:pt>
                <c:pt idx="1">
                  <c:v>9</c:v>
                </c:pt>
              </c:numCache>
            </c:numRef>
          </c:val>
          <c:extLst>
            <c:ext xmlns:c16="http://schemas.microsoft.com/office/drawing/2014/chart" uri="{C3380CC4-5D6E-409C-BE32-E72D297353CC}">
              <c16:uniqueId val="{00000002-4C88-4733-9BB5-7DF962CD359D}"/>
            </c:ext>
          </c:extLst>
        </c:ser>
        <c:dLbls>
          <c:dLblPos val="ctr"/>
          <c:showLegendKey val="0"/>
          <c:showVal val="1"/>
          <c:showCatName val="0"/>
          <c:showSerName val="0"/>
          <c:showPercent val="0"/>
          <c:showBubbleSize val="0"/>
        </c:dLbls>
        <c:gapWidth val="150"/>
        <c:overlap val="100"/>
        <c:axId val="383225992"/>
        <c:axId val="383228736"/>
      </c:barChart>
      <c:catAx>
        <c:axId val="383225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83228736"/>
        <c:crosses val="autoZero"/>
        <c:auto val="1"/>
        <c:lblAlgn val="ctr"/>
        <c:lblOffset val="100"/>
        <c:noMultiLvlLbl val="0"/>
      </c:catAx>
      <c:valAx>
        <c:axId val="383228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83225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000"/>
              <a:t>Shooting %'s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tx>
            <c:strRef>
              <c:f>Team_Report!$BU$1</c:f>
              <c:strCache>
                <c:ptCount val="1"/>
                <c:pt idx="0">
                  <c:v>Upton</c:v>
                </c:pt>
              </c:strCache>
            </c:strRef>
          </c:tx>
          <c:spPr>
            <a:solidFill>
              <a:schemeClr val="dk1">
                <a:tint val="88500"/>
              </a:schemeClr>
            </a:solidFill>
            <a:ln>
              <a:noFill/>
            </a:ln>
            <a:effectLst/>
          </c:spPr>
          <c:invertIfNegative val="0"/>
          <c:cat>
            <c:strRef>
              <c:f>(Team_Report!$U$2,Team_Report!$V$2,Team_Report!$W$2,Team_Report!$Y$2)</c:f>
              <c:strCache>
                <c:ptCount val="4"/>
                <c:pt idx="0">
                  <c:v>3FG %</c:v>
                </c:pt>
                <c:pt idx="1">
                  <c:v>2FG %</c:v>
                </c:pt>
                <c:pt idx="2">
                  <c:v>FT %</c:v>
                </c:pt>
                <c:pt idx="3">
                  <c:v>eFG%</c:v>
                </c:pt>
              </c:strCache>
            </c:strRef>
          </c:cat>
          <c:val>
            <c:numRef>
              <c:f>(Team_Report!$U$51,Team_Report!$V$51,Team_Report!$W$51,Team_Report!$Y$51)</c:f>
              <c:numCache>
                <c:formatCode>0%</c:formatCode>
                <c:ptCount val="4"/>
                <c:pt idx="0">
                  <c:v>0.28342245989304815</c:v>
                </c:pt>
                <c:pt idx="1">
                  <c:v>0.51455180442374859</c:v>
                </c:pt>
                <c:pt idx="2">
                  <c:v>0.57020057306590255</c:v>
                </c:pt>
                <c:pt idx="3">
                  <c:v>0.47922535211267608</c:v>
                </c:pt>
              </c:numCache>
            </c:numRef>
          </c:val>
          <c:extLst>
            <c:ext xmlns:c16="http://schemas.microsoft.com/office/drawing/2014/chart" uri="{C3380CC4-5D6E-409C-BE32-E72D297353CC}">
              <c16:uniqueId val="{00000000-014A-46D1-BF95-93CE63F689E4}"/>
            </c:ext>
          </c:extLst>
        </c:ser>
        <c:ser>
          <c:idx val="1"/>
          <c:order val="1"/>
          <c:tx>
            <c:strRef>
              <c:f>Team_Report!$BU$2</c:f>
              <c:strCache>
                <c:ptCount val="1"/>
                <c:pt idx="0">
                  <c:v>Opponent(s)</c:v>
                </c:pt>
              </c:strCache>
            </c:strRef>
          </c:tx>
          <c:spPr>
            <a:solidFill>
              <a:schemeClr val="dk1">
                <a:tint val="55000"/>
              </a:schemeClr>
            </a:solidFill>
            <a:ln>
              <a:noFill/>
            </a:ln>
            <a:effectLst/>
          </c:spPr>
          <c:invertIfNegative val="0"/>
          <c:cat>
            <c:strRef>
              <c:f>(Team_Report!$U$2,Team_Report!$V$2,Team_Report!$W$2,Team_Report!$Y$2)</c:f>
              <c:strCache>
                <c:ptCount val="4"/>
                <c:pt idx="0">
                  <c:v>3FG %</c:v>
                </c:pt>
                <c:pt idx="1">
                  <c:v>2FG %</c:v>
                </c:pt>
                <c:pt idx="2">
                  <c:v>FT %</c:v>
                </c:pt>
                <c:pt idx="3">
                  <c:v>eFG%</c:v>
                </c:pt>
              </c:strCache>
            </c:strRef>
          </c:cat>
          <c:val>
            <c:numRef>
              <c:f>(Team_Report!$U$52,Team_Report!$V$52,Team_Report!$W$52,Team_Report!$Y$52)</c:f>
              <c:numCache>
                <c:formatCode>0%</c:formatCode>
                <c:ptCount val="4"/>
                <c:pt idx="0">
                  <c:v>0.26933333333333331</c:v>
                </c:pt>
                <c:pt idx="1">
                  <c:v>0.40433673469387754</c:v>
                </c:pt>
                <c:pt idx="2">
                  <c:v>0.50427350427350426</c:v>
                </c:pt>
                <c:pt idx="3">
                  <c:v>0.40422778257118203</c:v>
                </c:pt>
              </c:numCache>
            </c:numRef>
          </c:val>
          <c:extLst>
            <c:ext xmlns:c16="http://schemas.microsoft.com/office/drawing/2014/chart" uri="{C3380CC4-5D6E-409C-BE32-E72D297353CC}">
              <c16:uniqueId val="{00000001-014A-46D1-BF95-93CE63F689E4}"/>
            </c:ext>
          </c:extLst>
        </c:ser>
        <c:dLbls>
          <c:showLegendKey val="0"/>
          <c:showVal val="0"/>
          <c:showCatName val="0"/>
          <c:showSerName val="0"/>
          <c:showPercent val="0"/>
          <c:showBubbleSize val="0"/>
        </c:dLbls>
        <c:gapWidth val="219"/>
        <c:overlap val="-27"/>
        <c:axId val="383230696"/>
        <c:axId val="383226776"/>
      </c:barChart>
      <c:catAx>
        <c:axId val="383230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83226776"/>
        <c:crosses val="autoZero"/>
        <c:auto val="1"/>
        <c:lblAlgn val="ctr"/>
        <c:lblOffset val="100"/>
        <c:noMultiLvlLbl val="0"/>
      </c:catAx>
      <c:valAx>
        <c:axId val="383226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83230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000">
                <a:latin typeface="Arial Narrow" panose="020B0606020202030204" pitchFamily="34" charset="0"/>
              </a:rPr>
              <a:t>Rebounding % of FGA</a:t>
            </a:r>
          </a:p>
        </c:rich>
      </c:tx>
      <c:layout>
        <c:manualLayout>
          <c:xMode val="edge"/>
          <c:yMode val="edge"/>
          <c:x val="0.19429088605303643"/>
          <c:y val="3.627694859038142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tx>
            <c:strRef>
              <c:f>Team_Report!$BU$1</c:f>
              <c:strCache>
                <c:ptCount val="1"/>
                <c:pt idx="0">
                  <c:v>Upton</c:v>
                </c:pt>
              </c:strCache>
            </c:strRef>
          </c:tx>
          <c:spPr>
            <a:solidFill>
              <a:schemeClr val="dk1">
                <a:tint val="88500"/>
              </a:schemeClr>
            </a:solidFill>
            <a:ln>
              <a:noFill/>
            </a:ln>
            <a:effectLst/>
          </c:spPr>
          <c:invertIfNegative val="0"/>
          <c:cat>
            <c:strRef>
              <c:f>Team_Report!$BY$55:$BZ$55</c:f>
              <c:strCache>
                <c:ptCount val="2"/>
                <c:pt idx="0">
                  <c:v>OREB %</c:v>
                </c:pt>
                <c:pt idx="1">
                  <c:v>DREB%</c:v>
                </c:pt>
              </c:strCache>
            </c:strRef>
          </c:cat>
          <c:val>
            <c:numRef>
              <c:f>Team_Report!$BZ$53:$CA$53</c:f>
              <c:numCache>
                <c:formatCode>0%</c:formatCode>
                <c:ptCount val="2"/>
                <c:pt idx="0">
                  <c:v>0.43189368770764119</c:v>
                </c:pt>
                <c:pt idx="1">
                  <c:v>0.71923076923076923</c:v>
                </c:pt>
              </c:numCache>
            </c:numRef>
          </c:val>
          <c:extLst>
            <c:ext xmlns:c16="http://schemas.microsoft.com/office/drawing/2014/chart" uri="{C3380CC4-5D6E-409C-BE32-E72D297353CC}">
              <c16:uniqueId val="{00000000-F0D3-40DA-B6D2-AE101438A911}"/>
            </c:ext>
          </c:extLst>
        </c:ser>
        <c:ser>
          <c:idx val="1"/>
          <c:order val="1"/>
          <c:tx>
            <c:strRef>
              <c:f>Team_Report!$BU$2</c:f>
              <c:strCache>
                <c:ptCount val="1"/>
                <c:pt idx="0">
                  <c:v>Opponent(s)</c:v>
                </c:pt>
              </c:strCache>
            </c:strRef>
          </c:tx>
          <c:spPr>
            <a:solidFill>
              <a:schemeClr val="dk1">
                <a:tint val="55000"/>
              </a:schemeClr>
            </a:solidFill>
            <a:ln>
              <a:noFill/>
            </a:ln>
            <a:effectLst/>
          </c:spPr>
          <c:invertIfNegative val="0"/>
          <c:cat>
            <c:strRef>
              <c:f>Team_Report!$BY$55:$BZ$55</c:f>
              <c:strCache>
                <c:ptCount val="2"/>
                <c:pt idx="0">
                  <c:v>OREB %</c:v>
                </c:pt>
                <c:pt idx="1">
                  <c:v>DREB%</c:v>
                </c:pt>
              </c:strCache>
            </c:strRef>
          </c:cat>
          <c:val>
            <c:numRef>
              <c:f>Team_Report!$BZ$54:$CA$54</c:f>
              <c:numCache>
                <c:formatCode>0%</c:formatCode>
                <c:ptCount val="2"/>
                <c:pt idx="0">
                  <c:v>0.28076923076923077</c:v>
                </c:pt>
                <c:pt idx="1">
                  <c:v>0.56810631229235886</c:v>
                </c:pt>
              </c:numCache>
            </c:numRef>
          </c:val>
          <c:extLst>
            <c:ext xmlns:c16="http://schemas.microsoft.com/office/drawing/2014/chart" uri="{C3380CC4-5D6E-409C-BE32-E72D297353CC}">
              <c16:uniqueId val="{00000001-F0D3-40DA-B6D2-AE101438A911}"/>
            </c:ext>
          </c:extLst>
        </c:ser>
        <c:dLbls>
          <c:showLegendKey val="0"/>
          <c:showVal val="0"/>
          <c:showCatName val="0"/>
          <c:showSerName val="0"/>
          <c:showPercent val="0"/>
          <c:showBubbleSize val="0"/>
        </c:dLbls>
        <c:gapWidth val="219"/>
        <c:overlap val="-27"/>
        <c:axId val="383227952"/>
        <c:axId val="383224032"/>
      </c:barChart>
      <c:catAx>
        <c:axId val="38322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83224032"/>
        <c:crosses val="autoZero"/>
        <c:auto val="1"/>
        <c:lblAlgn val="ctr"/>
        <c:lblOffset val="100"/>
        <c:noMultiLvlLbl val="0"/>
      </c:catAx>
      <c:valAx>
        <c:axId val="38322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83227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000"/>
              <a:t>Est. Avg # Possesions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tx>
            <c:v># Poss</c:v>
          </c:tx>
          <c:spPr>
            <a:solidFill>
              <a:schemeClr val="dk1">
                <a:tint val="88500"/>
              </a:schemeClr>
            </a:solidFill>
            <a:ln>
              <a:noFill/>
            </a:ln>
            <a:effectLst/>
          </c:spPr>
          <c:invertIfNegative val="0"/>
          <c:dPt>
            <c:idx val="1"/>
            <c:invertIfNegative val="0"/>
            <c:bubble3D val="0"/>
            <c:spPr>
              <a:solidFill>
                <a:schemeClr val="bg2">
                  <a:lumMod val="75000"/>
                </a:schemeClr>
              </a:solidFill>
              <a:ln>
                <a:noFill/>
              </a:ln>
              <a:effectLst/>
            </c:spPr>
            <c:extLst>
              <c:ext xmlns:c16="http://schemas.microsoft.com/office/drawing/2014/chart" uri="{C3380CC4-5D6E-409C-BE32-E72D297353CC}">
                <c16:uniqueId val="{00000001-17EF-4BA7-9994-59F7EFFD184B}"/>
              </c:ext>
            </c:extLst>
          </c:dPt>
          <c:cat>
            <c:strRef>
              <c:f>Team_Report!$BU$1:$BU$2</c:f>
              <c:strCache>
                <c:ptCount val="2"/>
                <c:pt idx="0">
                  <c:v>Upton</c:v>
                </c:pt>
                <c:pt idx="1">
                  <c:v>Opponent(s)</c:v>
                </c:pt>
              </c:strCache>
            </c:strRef>
          </c:cat>
          <c:val>
            <c:numRef>
              <c:f>Team_Report!$CC$53:$CC$54</c:f>
              <c:numCache>
                <c:formatCode>General</c:formatCode>
                <c:ptCount val="2"/>
                <c:pt idx="0">
                  <c:v>61</c:v>
                </c:pt>
                <c:pt idx="1">
                  <c:v>62</c:v>
                </c:pt>
              </c:numCache>
            </c:numRef>
          </c:val>
          <c:extLst>
            <c:ext xmlns:c16="http://schemas.microsoft.com/office/drawing/2014/chart" uri="{C3380CC4-5D6E-409C-BE32-E72D297353CC}">
              <c16:uniqueId val="{00000000-7BA6-4A36-BEA1-8D07C37C4B67}"/>
            </c:ext>
          </c:extLst>
        </c:ser>
        <c:dLbls>
          <c:showLegendKey val="0"/>
          <c:showVal val="0"/>
          <c:showCatName val="0"/>
          <c:showSerName val="0"/>
          <c:showPercent val="0"/>
          <c:showBubbleSize val="0"/>
        </c:dLbls>
        <c:gapWidth val="219"/>
        <c:overlap val="-27"/>
        <c:axId val="383227560"/>
        <c:axId val="136448704"/>
      </c:barChart>
      <c:catAx>
        <c:axId val="383227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36448704"/>
        <c:crosses val="autoZero"/>
        <c:auto val="1"/>
        <c:lblAlgn val="ctr"/>
        <c:lblOffset val="100"/>
        <c:noMultiLvlLbl val="0"/>
      </c:catAx>
      <c:valAx>
        <c:axId val="136448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832275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000"/>
              <a:t>Assists to FGM</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tx>
            <c:strRef>
              <c:f>Team_Report!$CA$55</c:f>
              <c:strCache>
                <c:ptCount val="1"/>
                <c:pt idx="0">
                  <c:v>AST / FGM</c:v>
                </c:pt>
              </c:strCache>
            </c:strRef>
          </c:tx>
          <c:spPr>
            <a:solidFill>
              <a:schemeClr val="dk1">
                <a:tint val="88500"/>
              </a:schemeClr>
            </a:solidFill>
            <a:ln>
              <a:noFill/>
            </a:ln>
            <a:effectLst/>
          </c:spPr>
          <c:invertIfNegative val="0"/>
          <c:dPt>
            <c:idx val="1"/>
            <c:invertIfNegative val="0"/>
            <c:bubble3D val="0"/>
            <c:spPr>
              <a:solidFill>
                <a:schemeClr val="bg2">
                  <a:lumMod val="75000"/>
                </a:schemeClr>
              </a:solidFill>
              <a:ln>
                <a:noFill/>
              </a:ln>
              <a:effectLst/>
            </c:spPr>
            <c:extLst>
              <c:ext xmlns:c16="http://schemas.microsoft.com/office/drawing/2014/chart" uri="{C3380CC4-5D6E-409C-BE32-E72D297353CC}">
                <c16:uniqueId val="{00000001-5FDD-44AD-8492-2DF8DDCE88E4}"/>
              </c:ext>
            </c:extLst>
          </c:dPt>
          <c:cat>
            <c:strRef>
              <c:f>Team_Report!$BU$1:$BU$2</c:f>
              <c:strCache>
                <c:ptCount val="2"/>
                <c:pt idx="0">
                  <c:v>Upton</c:v>
                </c:pt>
                <c:pt idx="1">
                  <c:v>Opponent(s)</c:v>
                </c:pt>
              </c:strCache>
            </c:strRef>
          </c:cat>
          <c:val>
            <c:numRef>
              <c:f>Team_Report!$CB$53:$CB$54</c:f>
              <c:numCache>
                <c:formatCode>0%</c:formatCode>
                <c:ptCount val="2"/>
                <c:pt idx="0">
                  <c:v>0.68831168831168832</c:v>
                </c:pt>
                <c:pt idx="1">
                  <c:v>0.63975155279503115</c:v>
                </c:pt>
              </c:numCache>
            </c:numRef>
          </c:val>
          <c:extLst>
            <c:ext xmlns:c16="http://schemas.microsoft.com/office/drawing/2014/chart" uri="{C3380CC4-5D6E-409C-BE32-E72D297353CC}">
              <c16:uniqueId val="{00000000-6471-4CBE-AA02-DC0A74A7C14C}"/>
            </c:ext>
          </c:extLst>
        </c:ser>
        <c:dLbls>
          <c:showLegendKey val="0"/>
          <c:showVal val="0"/>
          <c:showCatName val="0"/>
          <c:showSerName val="0"/>
          <c:showPercent val="0"/>
          <c:showBubbleSize val="0"/>
        </c:dLbls>
        <c:gapWidth val="219"/>
        <c:overlap val="-27"/>
        <c:axId val="383225208"/>
        <c:axId val="383228344"/>
      </c:barChart>
      <c:catAx>
        <c:axId val="383225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83228344"/>
        <c:crosses val="autoZero"/>
        <c:auto val="1"/>
        <c:lblAlgn val="ctr"/>
        <c:lblOffset val="100"/>
        <c:noMultiLvlLbl val="0"/>
      </c:catAx>
      <c:valAx>
        <c:axId val="383228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83225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000"/>
              <a:t>Scoring By Quarters</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lineChart>
        <c:grouping val="standard"/>
        <c:varyColors val="0"/>
        <c:ser>
          <c:idx val="0"/>
          <c:order val="0"/>
          <c:tx>
            <c:strRef>
              <c:f>Team_Report!$BU$1</c:f>
              <c:strCache>
                <c:ptCount val="1"/>
                <c:pt idx="0">
                  <c:v>Upton</c:v>
                </c:pt>
              </c:strCache>
            </c:strRef>
          </c:tx>
          <c:spPr>
            <a:ln w="28575" cap="rnd">
              <a:solidFill>
                <a:schemeClr val="bg2">
                  <a:lumMod val="25000"/>
                </a:schemeClr>
              </a:solidFill>
              <a:round/>
            </a:ln>
            <a:effectLst/>
          </c:spPr>
          <c:marker>
            <c:symbol val="circle"/>
            <c:size val="5"/>
            <c:spPr>
              <a:solidFill>
                <a:schemeClr val="tx1">
                  <a:lumMod val="95000"/>
                  <a:lumOff val="5000"/>
                </a:schemeClr>
              </a:solidFill>
              <a:ln w="9525">
                <a:solidFill>
                  <a:schemeClr val="bg2">
                    <a:lumMod val="25000"/>
                  </a:schemeClr>
                </a:solidFill>
              </a:ln>
              <a:effectLst/>
            </c:spPr>
          </c:marker>
          <c:cat>
            <c:strRef>
              <c:f>Team_Report!$CH$55:$CL$55</c:f>
              <c:strCache>
                <c:ptCount val="5"/>
                <c:pt idx="0">
                  <c:v>Q1</c:v>
                </c:pt>
                <c:pt idx="1">
                  <c:v>Q2</c:v>
                </c:pt>
                <c:pt idx="2">
                  <c:v>Q3</c:v>
                </c:pt>
                <c:pt idx="3">
                  <c:v>Q4</c:v>
                </c:pt>
                <c:pt idx="4">
                  <c:v>OT</c:v>
                </c:pt>
              </c:strCache>
            </c:strRef>
          </c:cat>
          <c:val>
            <c:numRef>
              <c:f>Team_Report!$CI$53:$CM$53</c:f>
              <c:numCache>
                <c:formatCode>0</c:formatCode>
                <c:ptCount val="5"/>
                <c:pt idx="0">
                  <c:v>16.23076923076923</c:v>
                </c:pt>
                <c:pt idx="1">
                  <c:v>32.346153846153847</c:v>
                </c:pt>
                <c:pt idx="2">
                  <c:v>46.269230769230774</c:v>
                </c:pt>
                <c:pt idx="3">
                  <c:v>59.65384615384616</c:v>
                </c:pt>
                <c:pt idx="4">
                  <c:v>60.000000000000007</c:v>
                </c:pt>
              </c:numCache>
            </c:numRef>
          </c:val>
          <c:smooth val="0"/>
          <c:extLst>
            <c:ext xmlns:c16="http://schemas.microsoft.com/office/drawing/2014/chart" uri="{C3380CC4-5D6E-409C-BE32-E72D297353CC}">
              <c16:uniqueId val="{00000000-1315-4404-A7AE-1ABEE52D16D3}"/>
            </c:ext>
          </c:extLst>
        </c:ser>
        <c:ser>
          <c:idx val="1"/>
          <c:order val="1"/>
          <c:tx>
            <c:strRef>
              <c:f>Team_Report!$BU$2</c:f>
              <c:strCache>
                <c:ptCount val="1"/>
                <c:pt idx="0">
                  <c:v>Opponent(s)</c:v>
                </c:pt>
              </c:strCache>
            </c:strRef>
          </c:tx>
          <c:spPr>
            <a:ln w="28575"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cat>
            <c:strRef>
              <c:f>Team_Report!$CH$55:$CL$55</c:f>
              <c:strCache>
                <c:ptCount val="5"/>
                <c:pt idx="0">
                  <c:v>Q1</c:v>
                </c:pt>
                <c:pt idx="1">
                  <c:v>Q2</c:v>
                </c:pt>
                <c:pt idx="2">
                  <c:v>Q3</c:v>
                </c:pt>
                <c:pt idx="3">
                  <c:v>Q4</c:v>
                </c:pt>
                <c:pt idx="4">
                  <c:v>OT</c:v>
                </c:pt>
              </c:strCache>
            </c:strRef>
          </c:cat>
          <c:val>
            <c:numRef>
              <c:f>Team_Report!$CI$54:$CM$54</c:f>
              <c:numCache>
                <c:formatCode>0</c:formatCode>
                <c:ptCount val="5"/>
                <c:pt idx="0">
                  <c:v>9.0384615384615383</c:v>
                </c:pt>
                <c:pt idx="1">
                  <c:v>18.384615384615387</c:v>
                </c:pt>
                <c:pt idx="2">
                  <c:v>29.03846153846154</c:v>
                </c:pt>
                <c:pt idx="3">
                  <c:v>40.153846153846153</c:v>
                </c:pt>
                <c:pt idx="4">
                  <c:v>40.576923076923073</c:v>
                </c:pt>
              </c:numCache>
            </c:numRef>
          </c:val>
          <c:smooth val="0"/>
          <c:extLst>
            <c:ext xmlns:c16="http://schemas.microsoft.com/office/drawing/2014/chart" uri="{C3380CC4-5D6E-409C-BE32-E72D297353CC}">
              <c16:uniqueId val="{00000001-1315-4404-A7AE-1ABEE52D16D3}"/>
            </c:ext>
          </c:extLst>
        </c:ser>
        <c:dLbls>
          <c:showLegendKey val="0"/>
          <c:showVal val="0"/>
          <c:showCatName val="0"/>
          <c:showSerName val="0"/>
          <c:showPercent val="0"/>
          <c:showBubbleSize val="0"/>
        </c:dLbls>
        <c:marker val="1"/>
        <c:smooth val="0"/>
        <c:axId val="395183024"/>
        <c:axId val="395179104"/>
      </c:lineChart>
      <c:catAx>
        <c:axId val="39518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95179104"/>
        <c:crosses val="autoZero"/>
        <c:auto val="1"/>
        <c:lblAlgn val="ctr"/>
        <c:lblOffset val="100"/>
        <c:noMultiLvlLbl val="0"/>
      </c:catAx>
      <c:valAx>
        <c:axId val="395179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95183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25</xdr:col>
      <xdr:colOff>216694</xdr:colOff>
      <xdr:row>8</xdr:row>
      <xdr:rowOff>190498</xdr:rowOff>
    </xdr:from>
    <xdr:to>
      <xdr:col>29</xdr:col>
      <xdr:colOff>235744</xdr:colOff>
      <xdr:row>14</xdr:row>
      <xdr:rowOff>142874</xdr:rowOff>
    </xdr:to>
    <mc:AlternateContent xmlns:mc="http://schemas.openxmlformats.org/markup-compatibility/2006" xmlns:sle15="http://schemas.microsoft.com/office/drawing/2012/slicer">
      <mc:Choice Requires="sle15">
        <xdr:graphicFrame macro="">
          <xdr:nvGraphicFramePr>
            <xdr:cNvPr id="13" name="W/L">
              <a:extLst>
                <a:ext uri="{FF2B5EF4-FFF2-40B4-BE49-F238E27FC236}">
                  <a16:creationId xmlns:a16="http://schemas.microsoft.com/office/drawing/2014/main" id="{8E861192-86CD-4CEF-A518-3C634FDD03DA}"/>
                </a:ext>
              </a:extLst>
            </xdr:cNvPr>
            <xdr:cNvGraphicFramePr/>
          </xdr:nvGraphicFramePr>
          <xdr:xfrm>
            <a:off x="0" y="0"/>
            <a:ext cx="0" cy="0"/>
          </xdr:xfrm>
          <a:graphic>
            <a:graphicData uri="http://schemas.microsoft.com/office/drawing/2010/slicer">
              <sle:slicer xmlns:sle="http://schemas.microsoft.com/office/drawing/2010/slicer" name="W/L"/>
            </a:graphicData>
          </a:graphic>
        </xdr:graphicFrame>
      </mc:Choice>
      <mc:Fallback xmlns="">
        <xdr:sp macro="" textlink="">
          <xdr:nvSpPr>
            <xdr:cNvPr id="0" name=""/>
            <xdr:cNvSpPr>
              <a:spLocks noTextEdit="1"/>
            </xdr:cNvSpPr>
          </xdr:nvSpPr>
          <xdr:spPr>
            <a:xfrm>
              <a:off x="11218069" y="1886742"/>
              <a:ext cx="1828800" cy="1173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25</xdr:col>
      <xdr:colOff>220662</xdr:colOff>
      <xdr:row>15</xdr:row>
      <xdr:rowOff>56355</xdr:rowOff>
    </xdr:from>
    <xdr:to>
      <xdr:col>33</xdr:col>
      <xdr:colOff>122237</xdr:colOff>
      <xdr:row>65</xdr:row>
      <xdr:rowOff>6350</xdr:rowOff>
    </xdr:to>
    <mc:AlternateContent xmlns:mc="http://schemas.openxmlformats.org/markup-compatibility/2006" xmlns:sle15="http://schemas.microsoft.com/office/drawing/2012/slicer">
      <mc:Choice Requires="sle15">
        <xdr:graphicFrame macro="">
          <xdr:nvGraphicFramePr>
            <xdr:cNvPr id="16" name="Games 2">
              <a:extLst>
                <a:ext uri="{FF2B5EF4-FFF2-40B4-BE49-F238E27FC236}">
                  <a16:creationId xmlns:a16="http://schemas.microsoft.com/office/drawing/2014/main" id="{37A4A444-82B3-41C4-AB0C-455A5C2B9D17}"/>
                </a:ext>
              </a:extLst>
            </xdr:cNvPr>
            <xdr:cNvGraphicFramePr/>
          </xdr:nvGraphicFramePr>
          <xdr:xfrm>
            <a:off x="0" y="0"/>
            <a:ext cx="0" cy="0"/>
          </xdr:xfrm>
          <a:graphic>
            <a:graphicData uri="http://schemas.microsoft.com/office/drawing/2010/slicer">
              <sle:slicer xmlns:sle="http://schemas.microsoft.com/office/drawing/2010/slicer" name="Games 2"/>
            </a:graphicData>
          </a:graphic>
        </xdr:graphicFrame>
      </mc:Choice>
      <mc:Fallback xmlns="">
        <xdr:sp macro="" textlink="">
          <xdr:nvSpPr>
            <xdr:cNvPr id="0" name=""/>
            <xdr:cNvSpPr>
              <a:spLocks noTextEdit="1"/>
            </xdr:cNvSpPr>
          </xdr:nvSpPr>
          <xdr:spPr>
            <a:xfrm>
              <a:off x="11218862" y="3175793"/>
              <a:ext cx="3527425" cy="715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25</xdr:col>
      <xdr:colOff>217486</xdr:colOff>
      <xdr:row>2</xdr:row>
      <xdr:rowOff>83345</xdr:rowOff>
    </xdr:from>
    <xdr:to>
      <xdr:col>29</xdr:col>
      <xdr:colOff>273842</xdr:colOff>
      <xdr:row>7</xdr:row>
      <xdr:rowOff>180975</xdr:rowOff>
    </xdr:to>
    <mc:AlternateContent xmlns:mc="http://schemas.openxmlformats.org/markup-compatibility/2006" xmlns:sle15="http://schemas.microsoft.com/office/drawing/2012/slicer">
      <mc:Choice Requires="sle15">
        <xdr:graphicFrame macro="">
          <xdr:nvGraphicFramePr>
            <xdr:cNvPr id="17" name="Region 2">
              <a:extLst>
                <a:ext uri="{FF2B5EF4-FFF2-40B4-BE49-F238E27FC236}">
                  <a16:creationId xmlns:a16="http://schemas.microsoft.com/office/drawing/2014/main" id="{2F2EF050-4FF0-4A10-97A3-757BE602F5D3}"/>
                </a:ext>
              </a:extLst>
            </xdr:cNvPr>
            <xdr:cNvGraphicFramePr/>
          </xdr:nvGraphicFramePr>
          <xdr:xfrm>
            <a:off x="0" y="0"/>
            <a:ext cx="0" cy="0"/>
          </xdr:xfrm>
          <a:graphic>
            <a:graphicData uri="http://schemas.microsoft.com/office/drawing/2010/slicer">
              <sle:slicer xmlns:sle="http://schemas.microsoft.com/office/drawing/2010/slicer" name="Region 2"/>
            </a:graphicData>
          </a:graphic>
        </xdr:graphicFrame>
      </mc:Choice>
      <mc:Fallback xmlns="">
        <xdr:sp macro="" textlink="">
          <xdr:nvSpPr>
            <xdr:cNvPr id="0" name=""/>
            <xdr:cNvSpPr>
              <a:spLocks noTextEdit="1"/>
            </xdr:cNvSpPr>
          </xdr:nvSpPr>
          <xdr:spPr>
            <a:xfrm>
              <a:off x="11222036" y="574676"/>
              <a:ext cx="1866106" cy="11033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30</xdr:col>
      <xdr:colOff>0</xdr:colOff>
      <xdr:row>2</xdr:row>
      <xdr:rowOff>46832</xdr:rowOff>
    </xdr:from>
    <xdr:to>
      <xdr:col>34</xdr:col>
      <xdr:colOff>19050</xdr:colOff>
      <xdr:row>7</xdr:row>
      <xdr:rowOff>190499</xdr:rowOff>
    </xdr:to>
    <mc:AlternateContent xmlns:mc="http://schemas.openxmlformats.org/markup-compatibility/2006" xmlns:sle15="http://schemas.microsoft.com/office/drawing/2012/slicer">
      <mc:Choice Requires="sle15">
        <xdr:graphicFrame macro="">
          <xdr:nvGraphicFramePr>
            <xdr:cNvPr id="18" name="SubRegion 2">
              <a:extLst>
                <a:ext uri="{FF2B5EF4-FFF2-40B4-BE49-F238E27FC236}">
                  <a16:creationId xmlns:a16="http://schemas.microsoft.com/office/drawing/2014/main" id="{DF3AE74A-E31B-4E21-8696-7D4C13868822}"/>
                </a:ext>
              </a:extLst>
            </xdr:cNvPr>
            <xdr:cNvGraphicFramePr/>
          </xdr:nvGraphicFramePr>
          <xdr:xfrm>
            <a:off x="0" y="0"/>
            <a:ext cx="0" cy="0"/>
          </xdr:xfrm>
          <a:graphic>
            <a:graphicData uri="http://schemas.microsoft.com/office/drawing/2010/slicer">
              <sle:slicer xmlns:sle="http://schemas.microsoft.com/office/drawing/2010/slicer" name="SubRegion 2"/>
            </a:graphicData>
          </a:graphic>
        </xdr:graphicFrame>
      </mc:Choice>
      <mc:Fallback xmlns="">
        <xdr:sp macro="" textlink="">
          <xdr:nvSpPr>
            <xdr:cNvPr id="0" name=""/>
            <xdr:cNvSpPr>
              <a:spLocks noTextEdit="1"/>
            </xdr:cNvSpPr>
          </xdr:nvSpPr>
          <xdr:spPr>
            <a:xfrm>
              <a:off x="13263563" y="538163"/>
              <a:ext cx="1828800" cy="115252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261937</xdr:colOff>
      <xdr:row>79</xdr:row>
      <xdr:rowOff>116967</xdr:rowOff>
    </xdr:to>
    <xdr:graphicFrame macro="">
      <xdr:nvGraphicFramePr>
        <xdr:cNvPr id="3" name="Chart 2">
          <a:extLst>
            <a:ext uri="{FF2B5EF4-FFF2-40B4-BE49-F238E27FC236}">
              <a16:creationId xmlns:a16="http://schemas.microsoft.com/office/drawing/2014/main" id="{52ACE1A2-68DC-4844-8ECD-2641EBFB2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321468</xdr:colOff>
      <xdr:row>65</xdr:row>
      <xdr:rowOff>9526</xdr:rowOff>
    </xdr:from>
    <xdr:to>
      <xdr:col>6</xdr:col>
      <xdr:colOff>83343</xdr:colOff>
      <xdr:row>79</xdr:row>
      <xdr:rowOff>126493</xdr:rowOff>
    </xdr:to>
    <xdr:graphicFrame macro="">
      <xdr:nvGraphicFramePr>
        <xdr:cNvPr id="4" name="Chart 3">
          <a:extLst>
            <a:ext uri="{FF2B5EF4-FFF2-40B4-BE49-F238E27FC236}">
              <a16:creationId xmlns:a16="http://schemas.microsoft.com/office/drawing/2014/main" id="{A03BABE0-74A4-4E11-BC5C-D58568E38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166688</xdr:colOff>
      <xdr:row>65</xdr:row>
      <xdr:rowOff>0</xdr:rowOff>
    </xdr:from>
    <xdr:to>
      <xdr:col>11</xdr:col>
      <xdr:colOff>226219</xdr:colOff>
      <xdr:row>79</xdr:row>
      <xdr:rowOff>116967</xdr:rowOff>
    </xdr:to>
    <xdr:graphicFrame macro="">
      <xdr:nvGraphicFramePr>
        <xdr:cNvPr id="5" name="Chart 4">
          <a:extLst>
            <a:ext uri="{FF2B5EF4-FFF2-40B4-BE49-F238E27FC236}">
              <a16:creationId xmlns:a16="http://schemas.microsoft.com/office/drawing/2014/main" id="{3E2FCA82-4E73-4941-AD7F-D7FE70774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309563</xdr:colOff>
      <xdr:row>65</xdr:row>
      <xdr:rowOff>0</xdr:rowOff>
    </xdr:from>
    <xdr:to>
      <xdr:col>16</xdr:col>
      <xdr:colOff>300832</xdr:colOff>
      <xdr:row>79</xdr:row>
      <xdr:rowOff>116967</xdr:rowOff>
    </xdr:to>
    <xdr:graphicFrame macro="">
      <xdr:nvGraphicFramePr>
        <xdr:cNvPr id="6" name="Chart 5">
          <a:extLst>
            <a:ext uri="{FF2B5EF4-FFF2-40B4-BE49-F238E27FC236}">
              <a16:creationId xmlns:a16="http://schemas.microsoft.com/office/drawing/2014/main" id="{A396A057-DDA4-4B63-B4D7-7AD41F2E3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229393</xdr:colOff>
      <xdr:row>71</xdr:row>
      <xdr:rowOff>101601</xdr:rowOff>
    </xdr:from>
    <xdr:to>
      <xdr:col>24</xdr:col>
      <xdr:colOff>702341</xdr:colOff>
      <xdr:row>79</xdr:row>
      <xdr:rowOff>133859</xdr:rowOff>
    </xdr:to>
    <xdr:graphicFrame macro="">
      <xdr:nvGraphicFramePr>
        <xdr:cNvPr id="7" name="Chart 6">
          <a:extLst>
            <a:ext uri="{FF2B5EF4-FFF2-40B4-BE49-F238E27FC236}">
              <a16:creationId xmlns:a16="http://schemas.microsoft.com/office/drawing/2014/main" id="{BC8EC484-4DCE-44F3-85E0-1F6961C24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26988</xdr:colOff>
      <xdr:row>65</xdr:row>
      <xdr:rowOff>2064</xdr:rowOff>
    </xdr:from>
    <xdr:to>
      <xdr:col>21</xdr:col>
      <xdr:colOff>152083</xdr:colOff>
      <xdr:row>79</xdr:row>
      <xdr:rowOff>105251</xdr:rowOff>
    </xdr:to>
    <xdr:graphicFrame macro="">
      <xdr:nvGraphicFramePr>
        <xdr:cNvPr id="8" name="Chart 7">
          <a:extLst>
            <a:ext uri="{FF2B5EF4-FFF2-40B4-BE49-F238E27FC236}">
              <a16:creationId xmlns:a16="http://schemas.microsoft.com/office/drawing/2014/main" id="{385485B1-3E65-4294-972E-2255218F8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229394</xdr:colOff>
      <xdr:row>54</xdr:row>
      <xdr:rowOff>51593</xdr:rowOff>
    </xdr:from>
    <xdr:to>
      <xdr:col>24</xdr:col>
      <xdr:colOff>707232</xdr:colOff>
      <xdr:row>71</xdr:row>
      <xdr:rowOff>71279</xdr:rowOff>
    </xdr:to>
    <xdr:graphicFrame macro="">
      <xdr:nvGraphicFramePr>
        <xdr:cNvPr id="11" name="Chart 10">
          <a:extLst>
            <a:ext uri="{FF2B5EF4-FFF2-40B4-BE49-F238E27FC236}">
              <a16:creationId xmlns:a16="http://schemas.microsoft.com/office/drawing/2014/main" id="{25716B8B-61AB-42C1-BC09-0C6C0B1F2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358774</xdr:colOff>
      <xdr:row>8</xdr:row>
      <xdr:rowOff>101598</xdr:rowOff>
    </xdr:from>
    <xdr:to>
      <xdr:col>33</xdr:col>
      <xdr:colOff>360364</xdr:colOff>
      <xdr:row>34</xdr:row>
      <xdr:rowOff>119061</xdr:rowOff>
    </xdr:to>
    <mc:AlternateContent xmlns:mc="http://schemas.openxmlformats.org/markup-compatibility/2006" xmlns:sle15="http://schemas.microsoft.com/office/drawing/2012/slicer">
      <mc:Choice Requires="sle15">
        <xdr:graphicFrame macro="">
          <xdr:nvGraphicFramePr>
            <xdr:cNvPr id="12" name="Games">
              <a:extLst>
                <a:ext uri="{FF2B5EF4-FFF2-40B4-BE49-F238E27FC236}">
                  <a16:creationId xmlns:a16="http://schemas.microsoft.com/office/drawing/2014/main" id="{1DC127CA-6B0E-4FC9-8C12-71ED16F38CDC}"/>
                </a:ext>
              </a:extLst>
            </xdr:cNvPr>
            <xdr:cNvGraphicFramePr/>
          </xdr:nvGraphicFramePr>
          <xdr:xfrm>
            <a:off x="0" y="0"/>
            <a:ext cx="0" cy="0"/>
          </xdr:xfrm>
          <a:graphic>
            <a:graphicData uri="http://schemas.microsoft.com/office/drawing/2010/slicer">
              <sle:slicer xmlns:sle="http://schemas.microsoft.com/office/drawing/2010/slicer" name="Games"/>
            </a:graphicData>
          </a:graphic>
        </xdr:graphicFrame>
      </mc:Choice>
      <mc:Fallback xmlns="">
        <xdr:sp macro="" textlink="">
          <xdr:nvSpPr>
            <xdr:cNvPr id="0" name=""/>
            <xdr:cNvSpPr>
              <a:spLocks noTextEdit="1"/>
            </xdr:cNvSpPr>
          </xdr:nvSpPr>
          <xdr:spPr>
            <a:xfrm>
              <a:off x="11210925" y="1831973"/>
              <a:ext cx="3676651" cy="517683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25</xdr:col>
      <xdr:colOff>158750</xdr:colOff>
      <xdr:row>2</xdr:row>
      <xdr:rowOff>26987</xdr:rowOff>
    </xdr:from>
    <xdr:to>
      <xdr:col>28</xdr:col>
      <xdr:colOff>0</xdr:colOff>
      <xdr:row>8</xdr:row>
      <xdr:rowOff>58737</xdr:rowOff>
    </xdr:to>
    <mc:AlternateContent xmlns:mc="http://schemas.openxmlformats.org/markup-compatibility/2006" xmlns:sle15="http://schemas.microsoft.com/office/drawing/2012/slicer">
      <mc:Choice Requires="sle15">
        <xdr:graphicFrame macro="">
          <xdr:nvGraphicFramePr>
            <xdr:cNvPr id="13" name="Region">
              <a:extLst>
                <a:ext uri="{FF2B5EF4-FFF2-40B4-BE49-F238E27FC236}">
                  <a16:creationId xmlns:a16="http://schemas.microsoft.com/office/drawing/2014/main" id="{50ED4839-ABDA-4335-82CA-05A5200EDD89}"/>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1001376" y="566737"/>
              <a:ext cx="1293811" cy="12223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28</xdr:col>
      <xdr:colOff>54770</xdr:colOff>
      <xdr:row>2</xdr:row>
      <xdr:rowOff>25401</xdr:rowOff>
    </xdr:from>
    <xdr:to>
      <xdr:col>31</xdr:col>
      <xdr:colOff>111125</xdr:colOff>
      <xdr:row>8</xdr:row>
      <xdr:rowOff>39689</xdr:rowOff>
    </xdr:to>
    <mc:AlternateContent xmlns:mc="http://schemas.openxmlformats.org/markup-compatibility/2006" xmlns:sle15="http://schemas.microsoft.com/office/drawing/2012/slicer">
      <mc:Choice Requires="sle15">
        <xdr:graphicFrame macro="">
          <xdr:nvGraphicFramePr>
            <xdr:cNvPr id="14" name="SubRegion">
              <a:extLst>
                <a:ext uri="{FF2B5EF4-FFF2-40B4-BE49-F238E27FC236}">
                  <a16:creationId xmlns:a16="http://schemas.microsoft.com/office/drawing/2014/main" id="{5E9895D8-8E23-4B98-8D3E-883DBDC12C7A}"/>
                </a:ext>
              </a:extLst>
            </xdr:cNvPr>
            <xdr:cNvGraphicFramePr/>
          </xdr:nvGraphicFramePr>
          <xdr:xfrm>
            <a:off x="0" y="0"/>
            <a:ext cx="0" cy="0"/>
          </xdr:xfrm>
          <a:graphic>
            <a:graphicData uri="http://schemas.microsoft.com/office/drawing/2010/slicer">
              <sle:slicer xmlns:sle="http://schemas.microsoft.com/office/drawing/2010/slicer" name="SubRegion"/>
            </a:graphicData>
          </a:graphic>
        </xdr:graphicFrame>
      </mc:Choice>
      <mc:Fallback xmlns="">
        <xdr:sp macro="" textlink="">
          <xdr:nvSpPr>
            <xdr:cNvPr id="0" name=""/>
            <xdr:cNvSpPr>
              <a:spLocks noTextEdit="1"/>
            </xdr:cNvSpPr>
          </xdr:nvSpPr>
          <xdr:spPr>
            <a:xfrm>
              <a:off x="12349957" y="565151"/>
              <a:ext cx="1389855" cy="120491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31</xdr:col>
      <xdr:colOff>190502</xdr:colOff>
      <xdr:row>2</xdr:row>
      <xdr:rowOff>23813</xdr:rowOff>
    </xdr:from>
    <xdr:to>
      <xdr:col>34</xdr:col>
      <xdr:colOff>214314</xdr:colOff>
      <xdr:row>8</xdr:row>
      <xdr:rowOff>39688</xdr:rowOff>
    </xdr:to>
    <mc:AlternateContent xmlns:mc="http://schemas.openxmlformats.org/markup-compatibility/2006" xmlns:sle15="http://schemas.microsoft.com/office/drawing/2012/slicer">
      <mc:Choice Requires="sle15">
        <xdr:graphicFrame macro="">
          <xdr:nvGraphicFramePr>
            <xdr:cNvPr id="9" name="W/L 1">
              <a:extLst>
                <a:ext uri="{FF2B5EF4-FFF2-40B4-BE49-F238E27FC236}">
                  <a16:creationId xmlns:a16="http://schemas.microsoft.com/office/drawing/2014/main" id="{5499099F-A7BB-4A64-85EB-E8EB92A41378}"/>
                </a:ext>
              </a:extLst>
            </xdr:cNvPr>
            <xdr:cNvGraphicFramePr/>
          </xdr:nvGraphicFramePr>
          <xdr:xfrm>
            <a:off x="0" y="0"/>
            <a:ext cx="0" cy="0"/>
          </xdr:xfrm>
          <a:graphic>
            <a:graphicData uri="http://schemas.microsoft.com/office/drawing/2010/slicer">
              <sle:slicer xmlns:sle="http://schemas.microsoft.com/office/drawing/2010/slicer" name="W/L 1"/>
            </a:graphicData>
          </a:graphic>
        </xdr:graphicFrame>
      </mc:Choice>
      <mc:Fallback xmlns="">
        <xdr:sp macro="" textlink="">
          <xdr:nvSpPr>
            <xdr:cNvPr id="0" name=""/>
            <xdr:cNvSpPr>
              <a:spLocks noTextEdit="1"/>
            </xdr:cNvSpPr>
          </xdr:nvSpPr>
          <xdr:spPr>
            <a:xfrm>
              <a:off x="13819189" y="563563"/>
              <a:ext cx="1357312" cy="12065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Games" sourceName="Games">
  <extLst>
    <x:ext xmlns:x15="http://schemas.microsoft.com/office/spreadsheetml/2010/11/main" uri="{2F2917AC-EB37-4324-AD4E-5DD8C200BD13}">
      <x15:tableSlicerCache tableId="3"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gion" sourceName="Region">
  <extLst>
    <x:ext xmlns:x15="http://schemas.microsoft.com/office/spreadsheetml/2010/11/main" uri="{2F2917AC-EB37-4324-AD4E-5DD8C200BD13}">
      <x15:tableSlicerCache tableId="3"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SubRegion" sourceName="SubRegion">
  <extLst>
    <x:ext xmlns:x15="http://schemas.microsoft.com/office/spreadsheetml/2010/11/main" uri="{2F2917AC-EB37-4324-AD4E-5DD8C200BD13}">
      <x15:tableSlicerCache tableId="3" column="4"/>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W_L" sourceName="W/L">
  <extLst>
    <x:ext xmlns:x15="http://schemas.microsoft.com/office/spreadsheetml/2010/11/main" uri="{2F2917AC-EB37-4324-AD4E-5DD8C200BD13}">
      <x15:tableSlicerCache tableId="4" column="5"/>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ames1" sourceName="Games">
  <extLst>
    <x:ext xmlns:x15="http://schemas.microsoft.com/office/spreadsheetml/2010/11/main" uri="{2F2917AC-EB37-4324-AD4E-5DD8C200BD13}">
      <x15:tableSlicerCache tableId="4"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Region1" sourceName="Region">
  <extLst>
    <x:ext xmlns:x15="http://schemas.microsoft.com/office/spreadsheetml/2010/11/main" uri="{2F2917AC-EB37-4324-AD4E-5DD8C200BD13}">
      <x15:tableSlicerCache tableId="4" column="3"/>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ubRegion1" sourceName="SubRegion">
  <extLst>
    <x:ext xmlns:x15="http://schemas.microsoft.com/office/spreadsheetml/2010/11/main" uri="{2F2917AC-EB37-4324-AD4E-5DD8C200BD13}">
      <x15:tableSlicerCache tableId="4" column="4"/>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W_L1" sourceName="W/L">
  <extLst>
    <x:ext xmlns:x15="http://schemas.microsoft.com/office/spreadsheetml/2010/11/main" uri="{2F2917AC-EB37-4324-AD4E-5DD8C200BD13}">
      <x15:tableSlicerCache tableId="3"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W/L" cache="Slicer_W_L" caption="Win/Loss" rowHeight="241300"/>
  <slicer name="Games 2" cache="Slicer_Games1" caption="Games" rowHeight="241300"/>
  <slicer name="Region 2" cache="Slicer_Region1" caption="Region" rowHeight="241300"/>
  <slicer name="SubRegion 2" cache="Slicer_SubRegion1" caption="SubRegion"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Games" cache="Slicer_Games" caption="Games" rowHeight="241300"/>
  <slicer name="Region" cache="Slicer_Region" caption="Region" rowHeight="241300"/>
  <slicer name="SubRegion" cache="Slicer_SubRegion" caption="SubRegion" rowHeight="241300"/>
  <slicer name="W/L 1" cache="Slicer_W_L1" caption="Win/Loss" rowHeight="241300"/>
</slicers>
</file>

<file path=xl/tables/table1.xml><?xml version="1.0" encoding="utf-8"?>
<table xmlns="http://schemas.openxmlformats.org/spreadsheetml/2006/main" id="1" name="TeamGameData" displayName="TeamGameData" ref="A6:CA46" totalsRowShown="0" headerRowDxfId="1381" dataDxfId="1379" headerRowBorderDxfId="1380" headerRowCellStyle="Normal_Central">
  <autoFilter ref="A6:CA46"/>
  <tableColumns count="79">
    <tableColumn id="1" name="School" dataDxfId="1378">
      <calculatedColumnFormula>Roster!$B$1</calculatedColumnFormula>
    </tableColumn>
    <tableColumn id="2" name="Opponent" dataDxfId="1377">
      <calculatedColumnFormula>INDIRECT("'game1 ("&amp;$BO7&amp;")'!$b$3")</calculatedColumnFormula>
    </tableColumn>
    <tableColumn id="3" name="Date" dataDxfId="1376">
      <calculatedColumnFormula>INDIRECT("'game1 ("&amp;$BO7&amp;")'!$m$4")</calculatedColumnFormula>
    </tableColumn>
    <tableColumn id="4" name="GP" dataDxfId="1375">
      <calculatedColumnFormula>IF(INDIRECT("'game1 ("&amp;$BO7&amp;")'!"&amp;ADDRESS(ROW(B$31),COLUMN(D7)))=1,1,0)</calculatedColumnFormula>
    </tableColumn>
    <tableColumn id="53" name="MINUTES" dataDxfId="1374">
      <calculatedColumnFormula>IF(ISNUMBER(INDIRECT("'game1 ("&amp;$BO7&amp;")'!"&amp;ADDRESS(ROW(C$31),COLUMN(D7)))),INDIRECT("'game1 ("&amp;$BO7&amp;")'!"&amp;ADDRESS(ROW(C$31),COLUMN(E7))),0)</calculatedColumnFormula>
    </tableColumn>
    <tableColumn id="5" name="3FGM" dataDxfId="1373">
      <calculatedColumnFormula>INDIRECT("'game1 ("&amp;$BO7&amp;")'!"&amp;ADDRESS(ROW(C$31),COLUMN(F7)))</calculatedColumnFormula>
    </tableColumn>
    <tableColumn id="6" name="3FGA" dataDxfId="1372">
      <calculatedColumnFormula>INDIRECT("'game1 ("&amp;$BO7&amp;")'!"&amp;ADDRESS(ROW(D$31),COLUMN(G7)))</calculatedColumnFormula>
    </tableColumn>
    <tableColumn id="7" name="2FGM" dataDxfId="1371">
      <calculatedColumnFormula>INDIRECT("'game1 ("&amp;$BO7&amp;")'!"&amp;ADDRESS(ROW(F$31),COLUMN(H7)))</calculatedColumnFormula>
    </tableColumn>
    <tableColumn id="8" name="2FGA" dataDxfId="1370">
      <calculatedColumnFormula>INDIRECT("'game1 ("&amp;$BO7&amp;")'!"&amp;ADDRESS(ROW(G$31),COLUMN(I7)))</calculatedColumnFormula>
    </tableColumn>
    <tableColumn id="9" name="FTM" dataDxfId="1369">
      <calculatedColumnFormula>INDIRECT("'game1 ("&amp;$BO7&amp;")'!"&amp;ADDRESS(ROW(H$31),COLUMN(J7)))</calculatedColumnFormula>
    </tableColumn>
    <tableColumn id="10" name="FTA" dataDxfId="1368">
      <calculatedColumnFormula>INDIRECT("'game1 ("&amp;$BO7&amp;")'!"&amp;ADDRESS(ROW(I$31),COLUMN(K7)))</calculatedColumnFormula>
    </tableColumn>
    <tableColumn id="11" name="OFF REB" dataDxfId="1367">
      <calculatedColumnFormula>INDIRECT("'game1 ("&amp;$BO7&amp;")'!"&amp;ADDRESS(ROW(J$31),COLUMN(L7)))</calculatedColumnFormula>
    </tableColumn>
    <tableColumn id="12" name="DEF REB" dataDxfId="1366">
      <calculatedColumnFormula>INDIRECT("'game1 ("&amp;$BO7&amp;")'!"&amp;ADDRESS(ROW(K$31),COLUMN(M7)))</calculatedColumnFormula>
    </tableColumn>
    <tableColumn id="13" name="AST" dataDxfId="1365">
      <calculatedColumnFormula>INDIRECT("'game1 ("&amp;$BO7&amp;")'!"&amp;ADDRESS(ROW(L$31),COLUMN(N7)))</calculatedColumnFormula>
    </tableColumn>
    <tableColumn id="14" name="STL" dataDxfId="1364">
      <calculatedColumnFormula>INDIRECT("'game1 ("&amp;$BO7&amp;")'!"&amp;ADDRESS(ROW(M$31),COLUMN(O7)))</calculatedColumnFormula>
    </tableColumn>
    <tableColumn id="15" name="BLK" dataDxfId="1363">
      <calculatedColumnFormula>INDIRECT("'game1 ("&amp;$BO7&amp;")'!"&amp;ADDRESS(ROW(N$31),COLUMN(P7)))</calculatedColumnFormula>
    </tableColumn>
    <tableColumn id="16" name="TO" dataDxfId="1362">
      <calculatedColumnFormula>INDIRECT("'game1 ("&amp;$BO7&amp;")'!"&amp;ADDRESS(ROW(O$31),COLUMN(Q7)))</calculatedColumnFormula>
    </tableColumn>
    <tableColumn id="17" name="FOUL" dataDxfId="1361">
      <calculatedColumnFormula>INDIRECT("'game1 ("&amp;$BO7&amp;")'!"&amp;ADDRESS(ROW(P$31),COLUMN(R7)))</calculatedColumnFormula>
    </tableColumn>
    <tableColumn id="54" name="CHRG TKN" dataDxfId="1360">
      <calculatedColumnFormula>INDIRECT("'game1 ("&amp;$BO7&amp;")'!"&amp;ADDRESS(ROW(Q$31),COLUMN(S7)))</calculatedColumnFormula>
    </tableColumn>
    <tableColumn id="18" name="TL PTS" dataDxfId="1359">
      <calculatedColumnFormula>INDIRECT("'game1 ("&amp;$BO7&amp;")'!"&amp;ADDRESS(ROW(Q$31),COLUMN(T7)))</calculatedColumnFormula>
    </tableColumn>
    <tableColumn id="19" name="3 FG%*" dataDxfId="1358" dataCellStyle="Percent">
      <calculatedColumnFormula>IF($G7&gt;$D$2,INDIRECT("'game1 ("&amp;$BO7&amp;")'!"&amp;ADDRESS(ROW(R$31),COLUMN(U7))),"")</calculatedColumnFormula>
    </tableColumn>
    <tableColumn id="20" name="2 FG%*" dataDxfId="1357" dataCellStyle="Percent">
      <calculatedColumnFormula>IF($G7&gt;$D$2,INDIRECT("'game1 ("&amp;$BO7&amp;")'!"&amp;ADDRESS(ROW(S$31),COLUMN(V7))),"")</calculatedColumnFormula>
    </tableColumn>
    <tableColumn id="21" name="FT %*" dataDxfId="1356" dataCellStyle="Percent">
      <calculatedColumnFormula>IF($G7&gt;$D$2,INDIRECT("'game1 ("&amp;$BO7&amp;")'!"&amp;ADDRESS(ROW(T$31),COLUMN(W7))),"")</calculatedColumnFormula>
    </tableColumn>
    <tableColumn id="22" name="FG%*" dataDxfId="1355" dataCellStyle="Percent">
      <calculatedColumnFormula>IF($G7&gt;$D$2,INDIRECT("'game1 ("&amp;$BO7&amp;")'!"&amp;ADDRESS(ROW(U$31),COLUMN(X7))),"")</calculatedColumnFormula>
    </tableColumn>
    <tableColumn id="55" name="eFG%" dataDxfId="1354" dataCellStyle="Percent">
      <calculatedColumnFormula>IF($G7&gt;$D$2,INDIRECT("'game1 ("&amp;$BO7&amp;")'!"&amp;ADDRESS(ROW(V$31),COLUMN(Y7))),"")</calculatedColumnFormula>
    </tableColumn>
    <tableColumn id="56" name="TOT REB" dataDxfId="1353" dataCellStyle="Percent">
      <calculatedColumnFormula>TeamGameData[[#This Row],[OFF REB]]+TeamGameData[[#This Row],[DEF REB]]</calculatedColumnFormula>
    </tableColumn>
    <tableColumn id="74" name="Q1" dataDxfId="1352">
      <calculatedColumnFormula>INDIRECT("'game1 ("&amp;$BO7&amp;")'!"&amp;ADDRESS(ROW(Q$4),COLUMN(C7)))</calculatedColumnFormula>
    </tableColumn>
    <tableColumn id="75" name="Q2" dataDxfId="1351">
      <calculatedColumnFormula>INDIRECT("'game1 ("&amp;$BO7&amp;")'!"&amp;ADDRESS(ROW(R$4),COLUMN(D7)))</calculatedColumnFormula>
    </tableColumn>
    <tableColumn id="76" name="Q3" dataDxfId="1350">
      <calculatedColumnFormula>INDIRECT("'game1 ("&amp;$BO7&amp;")'!"&amp;ADDRESS(ROW(S$4),COLUMN(E7)))</calculatedColumnFormula>
    </tableColumn>
    <tableColumn id="77" name="Q4" dataDxfId="1349">
      <calculatedColumnFormula>INDIRECT("'game1 ("&amp;$BO7&amp;")'!"&amp;ADDRESS(ROW(T$4),COLUMN(F7)))</calculatedColumnFormula>
    </tableColumn>
    <tableColumn id="78" name="OT" dataDxfId="1348">
      <calculatedColumnFormula>INDIRECT("'game1 ("&amp;$BO7&amp;")'!"&amp;ADDRESS(ROW(U$4),COLUMN(G7)))</calculatedColumnFormula>
    </tableColumn>
    <tableColumn id="23" name="Opp GP" dataDxfId="1347">
      <calculatedColumnFormula>IF(INDIRECT("'game1 ("&amp;$BO7&amp;")'!"&amp;ADDRESS(ROW(B$32),COLUMN(D7)))=1,1,0)</calculatedColumnFormula>
    </tableColumn>
    <tableColumn id="57" name="Opp MINUTES" dataDxfId="1346">
      <calculatedColumnFormula>IF(ISNUMBER(INDIRECT("'game1 ("&amp;$BO7&amp;")'!"&amp;ADDRESS(ROW(C$32),COLUMN(D7)))),INDIRECT("'game1 ("&amp;$BO7&amp;")'!"&amp;ADDRESS(ROW(C$32),COLUMN(D7))),0)</calculatedColumnFormula>
    </tableColumn>
    <tableColumn id="24" name="Opp 3FGM" dataDxfId="1345">
      <calculatedColumnFormula>INDIRECT("'game1 ("&amp;$BO7&amp;")'!"&amp;ADDRESS(ROW(Y$32),COLUMN(F7)))</calculatedColumnFormula>
    </tableColumn>
    <tableColumn id="25" name="Opp 3FGA" dataDxfId="1344">
      <calculatedColumnFormula>INDIRECT("'game1 ("&amp;$BO7&amp;")'!"&amp;ADDRESS(ROW(Z$32),COLUMN(G7)))</calculatedColumnFormula>
    </tableColumn>
    <tableColumn id="26" name="Opp 2FGM" dataDxfId="1343">
      <calculatedColumnFormula>INDIRECT("'game1 ("&amp;$BO7&amp;")'!"&amp;ADDRESS(ROW(AA$32),COLUMN(H7)))</calculatedColumnFormula>
    </tableColumn>
    <tableColumn id="27" name="Opp 2FGA" dataDxfId="1342">
      <calculatedColumnFormula>INDIRECT("'game1 ("&amp;$BO7&amp;")'!"&amp;ADDRESS(ROW(AB$32),COLUMN(I7)))</calculatedColumnFormula>
    </tableColumn>
    <tableColumn id="28" name="Opp FTM" dataDxfId="1341">
      <calculatedColumnFormula>INDIRECT("'game1 ("&amp;$BO7&amp;")'!"&amp;ADDRESS(ROW(AC$32),COLUMN(J7)))</calculatedColumnFormula>
    </tableColumn>
    <tableColumn id="29" name="Opp FTA" dataDxfId="1340">
      <calculatedColumnFormula>INDIRECT("'game1 ("&amp;$BO7&amp;")'!"&amp;ADDRESS(ROW(AD$32),COLUMN(K7)))</calculatedColumnFormula>
    </tableColumn>
    <tableColumn id="30" name="Opp OFF REB" dataDxfId="1339">
      <calculatedColumnFormula>INDIRECT("'game1 ("&amp;$BO7&amp;")'!"&amp;ADDRESS(ROW(AE$32),COLUMN(L7)))</calculatedColumnFormula>
    </tableColumn>
    <tableColumn id="31" name="Opp DEF REB" dataDxfId="1338">
      <calculatedColumnFormula>INDIRECT("'game1 ("&amp;$BO7&amp;")'!"&amp;ADDRESS(ROW(AF$32),COLUMN(M7)))</calculatedColumnFormula>
    </tableColumn>
    <tableColumn id="32" name="Opp AST" dataDxfId="1337">
      <calculatedColumnFormula>INDIRECT("'game1 ("&amp;$BO7&amp;")'!"&amp;ADDRESS(ROW(AG$32),COLUMN(N7)))</calculatedColumnFormula>
    </tableColumn>
    <tableColumn id="33" name="Opp STL" dataDxfId="1336">
      <calculatedColumnFormula>INDIRECT("'game1 ("&amp;$BO7&amp;")'!"&amp;ADDRESS(ROW(AH$32),COLUMN(O7)))</calculatedColumnFormula>
    </tableColumn>
    <tableColumn id="34" name="Opp BLK" dataDxfId="1335">
      <calculatedColumnFormula>INDIRECT("'game1 ("&amp;$BO7&amp;")'!"&amp;ADDRESS(ROW(AI$32),COLUMN(P7)))</calculatedColumnFormula>
    </tableColumn>
    <tableColumn id="35" name="Opp TO" dataDxfId="1334">
      <calculatedColumnFormula>INDIRECT("'game1 ("&amp;$BO7&amp;")'!"&amp;ADDRESS(ROW(AJ$32),COLUMN(Q7)))</calculatedColumnFormula>
    </tableColumn>
    <tableColumn id="36" name="Opp FOUL" dataDxfId="1333">
      <calculatedColumnFormula>INDIRECT("'game1 ("&amp;$BO7&amp;")'!"&amp;ADDRESS(ROW(AK$32),COLUMN(R7)))</calculatedColumnFormula>
    </tableColumn>
    <tableColumn id="58" name="Opp CHRG TAKEN" dataDxfId="1332">
      <calculatedColumnFormula>INDIRECT("'game1 ("&amp;$BO7&amp;")'!"&amp;ADDRESS(ROW(AL$32),COLUMN(S7)))</calculatedColumnFormula>
    </tableColumn>
    <tableColumn id="37" name="Opp TL PTS" dataDxfId="1331">
      <calculatedColumnFormula>INDIRECT("'game1 ("&amp;$BO7&amp;")'!"&amp;ADDRESS(ROW(AM$32),COLUMN(T7)))</calculatedColumnFormula>
    </tableColumn>
    <tableColumn id="38" name="Opp 3 FG%*" dataDxfId="1330" dataCellStyle="Percent">
      <calculatedColumnFormula>INDIRECT("'game1 ("&amp;$BO7&amp;")'!"&amp;ADDRESS(ROW(AS$32),COLUMN(U7)))</calculatedColumnFormula>
    </tableColumn>
    <tableColumn id="39" name="Opp 2 FG%*" dataDxfId="1329" dataCellStyle="Percent">
      <calculatedColumnFormula>INDIRECT("'game1 ("&amp;$BO7&amp;")'!"&amp;ADDRESS(ROW(AT$32),COLUMN(V7)))</calculatedColumnFormula>
    </tableColumn>
    <tableColumn id="40" name="Opp FT %*" dataDxfId="1328" dataCellStyle="Percent">
      <calculatedColumnFormula>INDIRECT("'game1 ("&amp;$BO7&amp;")'!"&amp;ADDRESS(ROW(AU$32),COLUMN(W7)))</calculatedColumnFormula>
    </tableColumn>
    <tableColumn id="41" name="Opp FG%*" dataDxfId="1327" dataCellStyle="Percent">
      <calculatedColumnFormula>INDIRECT("'game1 ("&amp;$BO7&amp;")'!"&amp;ADDRESS(ROW(AV$32),COLUMN(X7)))</calculatedColumnFormula>
    </tableColumn>
    <tableColumn id="59" name="Opp eFG%" dataDxfId="1326" dataCellStyle="Percent">
      <calculatedColumnFormula>INDIRECT("'game1 ("&amp;$BO7&amp;")'!"&amp;ADDRESS(ROW(AW$32),COLUMN(Y7)))</calculatedColumnFormula>
    </tableColumn>
    <tableColumn id="42" name="Opp TOT REB" dataDxfId="1325">
      <calculatedColumnFormula>TeamGameData[[#This Row],[Opp OFF REB]]+TeamGameData[[#This Row],[Opp DEF REB]]</calculatedColumnFormula>
    </tableColumn>
    <tableColumn id="69" name="Opp Q1" dataDxfId="1324">
      <calculatedColumnFormula>INDIRECT("'game1 ("&amp;$BO7&amp;")'!"&amp;ADDRESS(ROW(AS$3),COLUMN(C7)))</calculatedColumnFormula>
    </tableColumn>
    <tableColumn id="70" name="Opp Q2" dataDxfId="1323">
      <calculatedColumnFormula>INDIRECT("'game1 ("&amp;$BO7&amp;")'!"&amp;ADDRESS(ROW(AT$3),COLUMN(D7)))</calculatedColumnFormula>
    </tableColumn>
    <tableColumn id="71" name="Opp Q3" dataDxfId="1322">
      <calculatedColumnFormula>INDIRECT("'game1 ("&amp;$BO7&amp;")'!"&amp;ADDRESS(ROW(AU$3),COLUMN(E7)))</calculatedColumnFormula>
    </tableColumn>
    <tableColumn id="72" name="Opp Q4" dataDxfId="1321">
      <calculatedColumnFormula>INDIRECT("'game1 ("&amp;$BO7&amp;")'!"&amp;ADDRESS(ROW(AV$3),COLUMN(F7)))</calculatedColumnFormula>
    </tableColumn>
    <tableColumn id="73" name="Opp OT" dataDxfId="1320">
      <calculatedColumnFormula>INDIRECT("'game1 ("&amp;$BO7&amp;")'!"&amp;ADDRESS(ROW(AW$3),COLUMN(G7)))</calculatedColumnFormula>
    </tableColumn>
    <tableColumn id="43" name="OREB Margin" dataDxfId="1319">
      <calculatedColumnFormula>IF($AF7=1,TeamGameData[[#This Row],[OFF REB]]-TeamGameData[[#This Row],[Opp OFF REB]],"")</calculatedColumnFormula>
    </tableColumn>
    <tableColumn id="44" name="DREB Margin" dataDxfId="1318">
      <calculatedColumnFormula>IF($AF7=1,TeamGameData[[#This Row],[DEF REB]]-TeamGameData[[#This Row],[Opp DEF REB]],"")</calculatedColumnFormula>
    </tableColumn>
    <tableColumn id="45" name="REB Margin" dataDxfId="1317">
      <calculatedColumnFormula>IF($AF7=1,TeamGameData[[#This Row],[TOT REB]]-TeamGameData[[#This Row],[Opp TOT REB]],"")</calculatedColumnFormula>
    </tableColumn>
    <tableColumn id="60" name="Win" dataDxfId="1316">
      <calculatedColumnFormula>INDIRECT("'game1 ("&amp;$BO7&amp;")'!"&amp;ADDRESS(ROW(BB$4),COLUMN(W7)))</calculatedColumnFormula>
    </tableColumn>
    <tableColumn id="61" name="Loss" dataDxfId="1315">
      <calculatedColumnFormula>INDIRECT("'game1 ("&amp;$BO7&amp;")'!"&amp;ADDRESS(ROW(BH$4),COLUMN(X7)))</calculatedColumnFormula>
    </tableColumn>
    <tableColumn id="62" name="Conf Win" dataDxfId="1314">
      <calculatedColumnFormula>INDIRECT("'game1 ("&amp;$BO7&amp;")'!"&amp;ADDRESS(ROW(BI$4),COLUMN(P7)))</calculatedColumnFormula>
    </tableColumn>
    <tableColumn id="63" name="Conf Loss" dataDxfId="1313">
      <calculatedColumnFormula>INDIRECT("'game1 ("&amp;$BO7&amp;")'!"&amp;ADDRESS(ROW(BJ$4),COLUMN(Q7)))</calculatedColumnFormula>
    </tableColumn>
    <tableColumn id="46" name="Game#" dataDxfId="1312">
      <calculatedColumnFormula>INT((ROW(BO7)-7))+1</calculatedColumnFormula>
    </tableColumn>
    <tableColumn id="47" name="School, Opponent,Game#" dataDxfId="1311">
      <calculatedColumnFormula>IF($B7&lt;&gt;0,CONCATENATE(A7," - ",B7," ",MONTH(C7),"/",DAY(C7),"/",YEAR(C7)),"Blank")</calculatedColumnFormula>
    </tableColumn>
    <tableColumn id="48" name="Region Game &quot;R&quot;" dataDxfId="1310">
      <calculatedColumnFormula>IFERROR(INDIRECT("'game1 ("&amp;$BO7&amp;")'!$a$2"),"")</calculatedColumnFormula>
    </tableColumn>
    <tableColumn id="49" name="Score" dataDxfId="1309">
      <calculatedColumnFormula>IF(BP7="Blank","",IF(TeamGameData[[#This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calculatedColumnFormula>
    </tableColumn>
    <tableColumn id="50" name="SubRegion" dataDxfId="1308">
      <calculatedColumnFormula>IFERROR(IF(BP7="Blank","",IF(AND(VLOOKUP(TeamGameData[[#This Row],[Opponent]],WYTeamInfo,2,FALSE)=Roster!$D$1,VLOOKUP(TeamGameData[[#This Row],[Opponent]],WYTeamInfo,3,FALSE)=Roster!$D$2),"SR","")),"")</calculatedColumnFormula>
    </tableColumn>
    <tableColumn id="51" name="Class" dataDxfId="1307">
      <calculatedColumnFormula>CONCATENATE(Roster!$D$1," ",Roster!$D$5)</calculatedColumnFormula>
    </tableColumn>
    <tableColumn id="52" name="Visible" dataDxfId="1306">
      <calculatedColumnFormula>Team_Report!$B222</calculatedColumnFormula>
    </tableColumn>
    <tableColumn id="64" name="Regional" dataDxfId="1305">
      <calculatedColumnFormula>Roster!$D$3</calculatedColumnFormula>
    </tableColumn>
    <tableColumn id="65" name="Conference" dataDxfId="1304">
      <calculatedColumnFormula>Roster!$D$2</calculatedColumnFormula>
    </tableColumn>
    <tableColumn id="66" name="SubRegional" dataDxfId="1303">
      <calculatedColumnFormula>Roster!$D$4</calculatedColumnFormula>
    </tableColumn>
    <tableColumn id="67" name="Forfeit W" dataDxfId="1302">
      <calculatedColumnFormula>INDIRECT("'game1 ("&amp;$BO7&amp;")'!"&amp;ADDRESS(ROW(BU$4),COLUMN(S7)))</calculatedColumnFormula>
    </tableColumn>
    <tableColumn id="68" name="Forfeit L" dataDxfId="1301">
      <calculatedColumnFormula>INDIRECT("'game1 ("&amp;$BO7&amp;")'!"&amp;ADDRESS(ROW(BV$4),COLUMN(U7)))</calculatedColumnFormula>
    </tableColumn>
    <tableColumn id="79" name="Coach" dataDxfId="1300">
      <calculatedColumnFormula>Roster!$D$8</calculatedColumnFormula>
    </tableColumn>
  </tableColumns>
  <tableStyleInfo name="TableStyleLight10" showFirstColumn="0" showLastColumn="0" showRowStripes="1" showColumnStripes="0"/>
</table>
</file>

<file path=xl/tables/table2.xml><?xml version="1.0" encoding="utf-8"?>
<table xmlns="http://schemas.openxmlformats.org/spreadsheetml/2006/main" id="2" name="PlayerGameData" displayName="PlayerGameData" ref="A6:BK966" totalsRowShown="0" headerRowDxfId="1299" dataDxfId="1297" headerRowBorderDxfId="1298" headerRowCellStyle="Normal_Central">
  <autoFilter ref="A6:BK966"/>
  <tableColumns count="63">
    <tableColumn id="1" name="PLAYER, #" dataDxfId="1296">
      <calculatedColumnFormula>CONCATENATE(INDIRECT("Roster!B"&amp;ROW(A$7)+MOD(ROW(A7)-7,24)),", ",INDIRECT("Roster!a"&amp;ROW(A$7)+MOD(ROW(A7)-7,24)))</calculatedColumnFormula>
    </tableColumn>
    <tableColumn id="2" name="School" dataDxfId="1295">
      <calculatedColumnFormula>Roster!$B$1</calculatedColumnFormula>
    </tableColumn>
    <tableColumn id="3" name="Opponent" dataDxfId="1294">
      <calculatedColumnFormula>INDIRECT("'game1 ("&amp;$AD7&amp;")'!$b$3")</calculatedColumnFormula>
    </tableColumn>
    <tableColumn id="4" name="Date" dataDxfId="1293">
      <calculatedColumnFormula>INDIRECT("'game1 ("&amp;$AD7&amp;")'!$m$4")</calculatedColumnFormula>
    </tableColumn>
    <tableColumn id="5" name="GP" dataDxfId="1292">
      <calculatedColumnFormula>INDIRECT("'game1 ("&amp;$AD7&amp;")'!"&amp;ADDRESS(ROW(A$7)+MOD(ROW(A7)-7,24),COLUMN(D7)))</calculatedColumnFormula>
    </tableColumn>
    <tableColumn id="60" name="START" dataDxfId="1291">
      <calculatedColumnFormula>IF(INDIRECT("'game1 ("&amp;$AD7&amp;")'!"&amp;ADDRESS(ROW(B$7)+MOD(ROW(B7)-7,24),COLUMN(C7)))="s",1,0)</calculatedColumnFormula>
    </tableColumn>
    <tableColumn id="28" name="MINUTES" dataDxfId="1290">
      <calculatedColumnFormula>INDIRECT("'game1 ("&amp;$AD7&amp;")'!"&amp;ADDRESS(ROW(B$7)+MOD(ROW(B7)-7,24),COLUMN(E7)))</calculatedColumnFormula>
    </tableColumn>
    <tableColumn id="6" name="3FGM" dataDxfId="1289">
      <calculatedColumnFormula>INDIRECT("'game1 ("&amp;$AD7&amp;")'!"&amp;ADDRESS(ROW(B$7)+MOD(ROW(B7)-7,24),COLUMN(F7)))</calculatedColumnFormula>
    </tableColumn>
    <tableColumn id="7" name="3FGA" dataDxfId="1288">
      <calculatedColumnFormula>INDIRECT("'game1 ("&amp;$AD7&amp;")'!"&amp;ADDRESS(ROW(C$7)+MOD(ROW(C7)-7,24),COLUMN(G7)))</calculatedColumnFormula>
    </tableColumn>
    <tableColumn id="8" name="2FGM" dataDxfId="1287">
      <calculatedColumnFormula>INDIRECT("'game1 ("&amp;$AD7&amp;")'!"&amp;ADDRESS(ROW(D$7)+MOD(ROW(D7)-7,24),COLUMN(H7)))</calculatedColumnFormula>
    </tableColumn>
    <tableColumn id="9" name="2FGA" dataDxfId="1286">
      <calculatedColumnFormula>INDIRECT("'game1 ("&amp;$AD7&amp;")'!"&amp;ADDRESS(ROW(E$7)+MOD(ROW(E7)-7,24),COLUMN(I7)))</calculatedColumnFormula>
    </tableColumn>
    <tableColumn id="10" name="FTM" dataDxfId="1285">
      <calculatedColumnFormula>INDIRECT("'game1 ("&amp;$AD7&amp;")'!"&amp;ADDRESS(ROW(G$7)+MOD(ROW(G7)-7,24),COLUMN(J7)))</calculatedColumnFormula>
    </tableColumn>
    <tableColumn id="11" name="FTA" dataDxfId="1284">
      <calculatedColumnFormula>INDIRECT("'game1 ("&amp;$AD7&amp;")'!"&amp;ADDRESS(ROW(H$7)+MOD(ROW(H7)-7,24),COLUMN(K7)))</calculatedColumnFormula>
    </tableColumn>
    <tableColumn id="12" name="OFF REB" dataDxfId="1283">
      <calculatedColumnFormula>INDIRECT("'game1 ("&amp;$AD7&amp;")'!"&amp;ADDRESS(ROW(I$7)+MOD(ROW(I7)-7,24),COLUMN(L7)))</calculatedColumnFormula>
    </tableColumn>
    <tableColumn id="13" name="DEF REB" dataDxfId="1282">
      <calculatedColumnFormula>INDIRECT("'game1 ("&amp;$AD7&amp;")'!"&amp;ADDRESS(ROW(J$7)+MOD(ROW(J7)-7,24),COLUMN(M7)))</calculatedColumnFormula>
    </tableColumn>
    <tableColumn id="14" name="AST" dataDxfId="1281">
      <calculatedColumnFormula>INDIRECT("'game1 ("&amp;$AD7&amp;")'!"&amp;ADDRESS(ROW(K$7)+MOD(ROW(K7)-7,24),COLUMN(N7)))</calculatedColumnFormula>
    </tableColumn>
    <tableColumn id="15" name="STL" dataDxfId="1280">
      <calculatedColumnFormula>INDIRECT("'game1 ("&amp;$AD7&amp;")'!"&amp;ADDRESS(ROW(L$7)+MOD(ROW(L7)-7,24),COLUMN(O7)))</calculatedColumnFormula>
    </tableColumn>
    <tableColumn id="16" name="BLK" dataDxfId="1279">
      <calculatedColumnFormula>INDIRECT("'game1 ("&amp;$AD7&amp;")'!"&amp;ADDRESS(ROW(M$7)+MOD(ROW(M7)-7,24),COLUMN(P7)))</calculatedColumnFormula>
    </tableColumn>
    <tableColumn id="17" name="TO" dataDxfId="1278">
      <calculatedColumnFormula>INDIRECT("'game1 ("&amp;$AD7&amp;")'!"&amp;ADDRESS(ROW(N$7)+MOD(ROW(N7)-7,24),COLUMN(Q7)))</calculatedColumnFormula>
    </tableColumn>
    <tableColumn id="18" name="FOUL" dataDxfId="1277">
      <calculatedColumnFormula>INDIRECT("'game1 ("&amp;$AD7&amp;")'!"&amp;ADDRESS(ROW(O$7)+MOD(ROW(O7)-7,24),COLUMN(R7)))</calculatedColumnFormula>
    </tableColumn>
    <tableColumn id="29" name="CHRG TKN" dataDxfId="1276">
      <calculatedColumnFormula>INDIRECT("'game1 ("&amp;$AD7&amp;")'!"&amp;ADDRESS(ROW(P$7)+MOD(ROW(P7)-7,24),COLUMN(S7)))</calculatedColumnFormula>
    </tableColumn>
    <tableColumn id="19" name="TL PTS" dataDxfId="1275">
      <calculatedColumnFormula>INDIRECT("'game1 ("&amp;$AD7&amp;")'!"&amp;ADDRESS(ROW(Q$7)+MOD(ROW(Q7)-7,24),COLUMN(T7)))</calculatedColumnFormula>
    </tableColumn>
    <tableColumn id="20" name="3 FG%*" dataDxfId="1274" dataCellStyle="Percent">
      <calculatedColumnFormula>INDIRECT("'game1 ("&amp;$AD7&amp;")'!"&amp;ADDRESS(ROW(R$7)+MOD(ROW(R7)-7,24),COLUMN(U7)))</calculatedColumnFormula>
    </tableColumn>
    <tableColumn id="21" name="2 FG%*" dataDxfId="1273" dataCellStyle="Percent">
      <calculatedColumnFormula>INDIRECT("'game1 ("&amp;$AD7&amp;")'!"&amp;ADDRESS(ROW(S$7)+MOD(ROW(S7)-7,24),COLUMN(V7)))</calculatedColumnFormula>
    </tableColumn>
    <tableColumn id="22" name="FT %*" dataDxfId="1272" dataCellStyle="Percent">
      <calculatedColumnFormula>INDIRECT("'game1 ("&amp;$AD7&amp;")'!"&amp;ADDRESS(ROW(T$7)+MOD(ROW(T7)-7,24),COLUMN(W7)))</calculatedColumnFormula>
    </tableColumn>
    <tableColumn id="23" name="FG%*" dataDxfId="1271" dataCellStyle="Percent">
      <calculatedColumnFormula>INDIRECT("'game1 ("&amp;$AD7&amp;")'!"&amp;ADDRESS(ROW(U$7)+MOD(ROW(U7)-7,24),COLUMN(X7)))</calculatedColumnFormula>
    </tableColumn>
    <tableColumn id="30" name="eFG%" dataDxfId="1270" dataCellStyle="Percent">
      <calculatedColumnFormula>INDIRECT("'game1 ("&amp;$AD7&amp;")'!"&amp;ADDRESS(ROW(V$7)+MOD(ROW(V7)-7,24),COLUMN(Y7)))</calculatedColumnFormula>
    </tableColumn>
    <tableColumn id="35" name="FGA" dataDxfId="1269" dataCellStyle="Percent">
      <calculatedColumnFormula>PlayerGameData[[#This Row],[3FGA]]+PlayerGameData[[#This Row],[2FGA]]</calculatedColumnFormula>
    </tableColumn>
    <tableColumn id="39" name="REB" dataDxfId="1268" dataCellStyle="Percent">
      <calculatedColumnFormula>PlayerGameData[[#This Row],[OFF REB]]+PlayerGameData[[#This Row],[DEF REB]]</calculatedColumnFormula>
    </tableColumn>
    <tableColumn id="24" name="Game#" dataDxfId="1267">
      <calculatedColumnFormula>INT((ROW(A7)-7)/24)+1</calculatedColumnFormula>
    </tableColumn>
    <tableColumn id="25" name="Player #, Opponent,Game#" dataDxfId="1266">
      <calculatedColumnFormula>CONCATENATE(A7," - ",C7," ",MONTH(D7),"/",DAY(D7),"/",YEAR(D7))</calculatedColumnFormula>
    </tableColumn>
    <tableColumn id="26" name="Region Game &quot;R&quot;" dataDxfId="1265">
      <calculatedColumnFormula>IFERROR(INDIRECT("'game1 ("&amp;$AD7&amp;")'!$a$2"),"")</calculatedColumnFormula>
    </tableColumn>
    <tableColumn id="31" name="SubRegion" dataDxfId="1264">
      <calculatedColumnFormula>IFERROR(IF(C7=0,"",IF(AND(VLOOKUP(PlayerGameData[[#This Row],[Opponent]],WYTeamInfo,2,FALSE)=Roster!$D$1,VLOOKUP(PlayerGameData[[#This Row],[Opponent]],WYTeamInfo,3,FALSE)=Roster!$D$2),"SR","")),"")</calculatedColumnFormula>
    </tableColumn>
    <tableColumn id="27" name="Class" dataDxfId="1263">
      <calculatedColumnFormula>CONCATENATE(Roster!$D$1," ",Roster!$D$5)</calculatedColumnFormula>
    </tableColumn>
    <tableColumn id="32" name="School, Opponent,Game#" dataDxfId="1262">
      <calculatedColumnFormula>IF($C7&lt;&gt;0,CONCATENATE($B7," - ",$C7," ",MONTH($D7),"/",DAY($D7),"/",YEAR($D7)),"Blank")</calculatedColumnFormula>
    </tableColumn>
    <tableColumn id="33" name="Visible" dataDxfId="1261">
      <calculatedColumnFormula>IFERROR(VLOOKUP(PlayerGameData[[#This Row],[School, Opponent,Game'#]],Table3[],2,FALSE),0)</calculatedColumnFormula>
    </tableColumn>
    <tableColumn id="38" name="VisibleOrder" dataDxfId="1260">
      <calculatedColumnFormula>IF(PlayerGameData[[#This Row],[Visible]]=1,1,1000)</calculatedColumnFormula>
    </tableColumn>
    <tableColumn id="34" name="PointOrder" dataDxfId="1259">
      <calculatedColumnFormula>RANK(PlayerGameData[[#This Row],[TL PTS]],PlayerGameData[TL PTS],0)+PlayerGameData[[#This Row],[VisibleOrder]]</calculatedColumnFormula>
    </tableColumn>
    <tableColumn id="36" name="PointTieBreak" dataDxfId="1258">
      <calculatedColumnFormula>IF(COUNTIF(PlayerGameData[PointOrder],PlayerGameData[[#This Row],[PointOrder]])&gt;1,RANK(PlayerGameData[[#This Row],[FGA]],PlayerGameData[FGA],0)/100,0)+PlayerGameData[[#This Row],[PointOrder]]</calculatedColumnFormula>
    </tableColumn>
    <tableColumn id="37" name="PointRank" dataDxfId="1257">
      <calculatedColumnFormula>RANK(PlayerGameData[[#This Row],[PointTieBreak]],PlayerGameData[PointTieBreak],1)</calculatedColumnFormula>
    </tableColumn>
    <tableColumn id="41" name="REBOrder" dataDxfId="1256">
      <calculatedColumnFormula>RANK(PlayerGameData[[#This Row],[REB]],PlayerGameData[REB],0)+PlayerGameData[[#This Row],[VisibleOrder]]</calculatedColumnFormula>
    </tableColumn>
    <tableColumn id="42" name="REBTieBreak" dataDxfId="1255">
      <calculatedColumnFormula>IF(COUNTIF(PlayerGameData[REBOrder],PlayerGameData[[#This Row],[REBOrder]])&gt;1,PlayerGameData[[#This Row],[PointRank]]/100+PlayerGameData[[#This Row],[REBOrder]],PlayerGameData[[#This Row],[REBOrder]])</calculatedColumnFormula>
    </tableColumn>
    <tableColumn id="43" name="REBRank" dataDxfId="1254">
      <calculatedColumnFormula>RANK(PlayerGameData[[#This Row],[REBTieBreak]],PlayerGameData[REBTieBreak],1)</calculatedColumnFormula>
    </tableColumn>
    <tableColumn id="44" name="ASTOrder" dataDxfId="1253">
      <calculatedColumnFormula>RANK(PlayerGameData[[#This Row],[AST]],PlayerGameData[AST],0)+PlayerGameData[[#This Row],[VisibleOrder]]</calculatedColumnFormula>
    </tableColumn>
    <tableColumn id="45" name="ASTTieBreak" dataDxfId="1252">
      <calculatedColumnFormula>IF(COUNTIF(PlayerGameData[ASTOrder],PlayerGameData[[#This Row],[ASTOrder]])&gt;1,PlayerGameData[[#This Row],[PointRank]]/100+PlayerGameData[[#This Row],[ASTOrder]],PlayerGameData[[#This Row],[ASTOrder]])</calculatedColumnFormula>
    </tableColumn>
    <tableColumn id="46" name="ASTRank" dataDxfId="1251">
      <calculatedColumnFormula>RANK(PlayerGameData[[#This Row],[ASTTieBreak]],PlayerGameData[ASTTieBreak],1)</calculatedColumnFormula>
    </tableColumn>
    <tableColumn id="47" name="STLOrder" dataDxfId="1250">
      <calculatedColumnFormula>RANK(PlayerGameData[[#This Row],[STL]],PlayerGameData[STL],0)+PlayerGameData[[#This Row],[VisibleOrder]]</calculatedColumnFormula>
    </tableColumn>
    <tableColumn id="48" name="STLTieBreak" dataDxfId="1249">
      <calculatedColumnFormula>IF(COUNTIF(PlayerGameData[STLOrder],PlayerGameData[[#This Row],[STLOrder]])&gt;1,PlayerGameData[[#This Row],[PointRank]]/100+PlayerGameData[[#This Row],[STLOrder]],PlayerGameData[[#This Row],[STLOrder]])</calculatedColumnFormula>
    </tableColumn>
    <tableColumn id="49" name="STLRank" dataDxfId="1248">
      <calculatedColumnFormula>RANK(PlayerGameData[[#This Row],[STLTieBreak]],PlayerGameData[STLTieBreak],1)</calculatedColumnFormula>
    </tableColumn>
    <tableColumn id="50" name="BLKOrder" dataDxfId="1247">
      <calculatedColumnFormula>RANK(PlayerGameData[[#This Row],[BLK]],PlayerGameData[BLK],0)+PlayerGameData[[#This Row],[VisibleOrder]]</calculatedColumnFormula>
    </tableColumn>
    <tableColumn id="51" name="BLKTieBreak" dataDxfId="1246">
      <calculatedColumnFormula>IF(COUNTIF(PlayerGameData[BLKOrder],PlayerGameData[[#This Row],[BLKOrder]])&gt;1,PlayerGameData[[#This Row],[PointRank]]/100+PlayerGameData[[#This Row],[BLKOrder]],PlayerGameData[[#This Row],[BLKOrder]])</calculatedColumnFormula>
    </tableColumn>
    <tableColumn id="52" name="BLKRank" dataDxfId="1245">
      <calculatedColumnFormula>RANK(PlayerGameData[[#This Row],[BLKTieBreak]],PlayerGameData[BLKTieBreak],1)</calculatedColumnFormula>
    </tableColumn>
    <tableColumn id="53" name="EligFG" dataDxfId="1244" dataCellStyle="Percent">
      <calculatedColumnFormula>IFERROR(IF(PlayerGameData[[#This Row],[FGA]]&gt;$AA$5,PlayerGameData[[#This Row],[FG%*]],PlayerGameData[[#This Row],[FG%*]]*-1),-2)</calculatedColumnFormula>
    </tableColumn>
    <tableColumn id="54" name="EligFGOrder" dataDxfId="1243">
      <calculatedColumnFormula>RANK(PlayerGameData[[#This Row],[EligFG]],PlayerGameData[EligFG],0)+PlayerGameData[[#This Row],[VisibleOrder]]</calculatedColumnFormula>
    </tableColumn>
    <tableColumn id="55" name="EligFGTieBreak" dataDxfId="1242">
      <calculatedColumnFormula>IF(COUNTIF(PlayerGameData[EligFGOrder],PlayerGameData[[#This Row],[EligFGOrder]])&gt;1,PlayerGameData[[#This Row],[PointRank]]/100+PlayerGameData[[#This Row],[EligFGOrder]],PlayerGameData[[#This Row],[EligFGOrder]])</calculatedColumnFormula>
    </tableColumn>
    <tableColumn id="56" name="EligFGRank" dataDxfId="1241">
      <calculatedColumnFormula>RANK(PlayerGameData[[#This Row],[EligFGTieBreak]],PlayerGameData[EligFGTieBreak],1)</calculatedColumnFormula>
    </tableColumn>
    <tableColumn id="40" name="Regional" dataDxfId="1240">
      <calculatedColumnFormula>Roster!$D$3</calculatedColumnFormula>
    </tableColumn>
    <tableColumn id="57" name="Conference" dataDxfId="1239">
      <calculatedColumnFormula>Roster!$D$2</calculatedColumnFormula>
    </tableColumn>
    <tableColumn id="58" name="SubRegional" dataDxfId="1238">
      <calculatedColumnFormula>Roster!$D$4</calculatedColumnFormula>
    </tableColumn>
    <tableColumn id="59" name="Pvisible" dataDxfId="1237">
      <calculatedColumnFormula>IFERROR(VLOOKUP(CONCATENATE(PlayerGameData[[#This Row],[Opponent]]," ",MONTH(PlayerGameData[[#This Row],[Date]]),"/",DAY(PlayerGameData[[#This Row],[Date]]),"/",YEAR(PlayerGameData[[#This Row],[Date]])),Table35[],2,FALSE),0)</calculatedColumnFormula>
    </tableColumn>
    <tableColumn id="61" name="Pvisible Order" dataDxfId="1236">
      <calculatedColumnFormula>IF(PlayerGameData[[#This Row],[Visible]]=1,1,1000)</calculatedColumnFormula>
    </tableColumn>
    <tableColumn id="62" name="Win" dataDxfId="1235">
      <calculatedColumnFormula>_xlfn.MAXIFS(TeamGameData[Win],TeamGameData[School, Opponent,Game'#],PlayerGameData[[#This Row],[School, Opponent,Game'#]])</calculatedColumnFormula>
    </tableColumn>
    <tableColumn id="63" name="Loss" dataDxfId="1234">
      <calculatedColumnFormula>_xlfn.MAXIFS(TeamGameData[Loss],TeamGameData[School, Opponent,Game'#],PlayerGameData[[#This Row],[School, Opponent,Game'#]])</calculatedColumnFormula>
    </tableColumn>
  </tableColumns>
  <tableStyleInfo name="TableStyleLight12" showFirstColumn="0" showLastColumn="0" showRowStripes="1" showColumnStripes="0"/>
</table>
</file>

<file path=xl/tables/table3.xml><?xml version="1.0" encoding="utf-8"?>
<table xmlns="http://schemas.openxmlformats.org/spreadsheetml/2006/main" id="4" name="Table35" displayName="Table35" ref="A190:G230" totalsRowShown="0" headerRowDxfId="1233" dataDxfId="1232">
  <autoFilter ref="A190:G230"/>
  <tableColumns count="7">
    <tableColumn id="1" name="Games" dataDxfId="1231">
      <calculatedColumnFormula>IF(TeamHistory!$BP7="Blank","",CONCATENATE(TeamHistory!$B7," ",MONTH(TeamHistory!$C7),"/",DAY(TeamHistory!$C7),"/",YEAR(TeamHistory!$C7)))</calculatedColumnFormula>
    </tableColumn>
    <tableColumn id="2" name="Chosen" dataDxfId="1230">
      <calculatedColumnFormula>IF(SUBTOTAL(103,A191)=1,1,0)</calculatedColumnFormula>
    </tableColumn>
    <tableColumn id="3" name="Region" dataDxfId="1229">
      <calculatedColumnFormula>IF(Table35[[#This Row],[Games]]="","",TeamHistory!BQ7)</calculatedColumnFormula>
    </tableColumn>
    <tableColumn id="4" name="SubRegion" dataDxfId="1228" dataCellStyle="Normal_Central">
      <calculatedColumnFormula>IF(Table35[[#This Row],[Games]]="","",TeamHistory!BS7)</calculatedColumnFormula>
    </tableColumn>
    <tableColumn id="5" name="W/L" dataDxfId="1227" dataCellStyle="Normal_Central">
      <calculatedColumnFormula>IF(TeamHistory!$BP7="Blank","",IF(TeamHistory!$BK7=1,"W","L"))</calculatedColumnFormula>
    </tableColumn>
    <tableColumn id="6" name="Opponent" dataDxfId="1226">
      <calculatedColumnFormula>IF(TeamHistory!$BP7="Blank","",TeamHistory!$B7)</calculatedColumnFormula>
    </tableColumn>
    <tableColumn id="7" name="Date" dataDxfId="1225">
      <calculatedColumnFormula>IF(TeamHistory!$BP7="Blank","",TeamHistory!$C7)</calculatedColumnFormula>
    </tableColumn>
  </tableColumns>
  <tableStyleInfo name="TableStyleMedium5" showFirstColumn="0" showLastColumn="0" showRowStripes="1" showColumnStripes="0"/>
</table>
</file>

<file path=xl/tables/table4.xml><?xml version="1.0" encoding="utf-8"?>
<table xmlns="http://schemas.openxmlformats.org/spreadsheetml/2006/main" id="3" name="Table3" displayName="Table3" ref="A221:E261" totalsRowShown="0" headerRowDxfId="1213" dataDxfId="1212">
  <autoFilter ref="A221:E261"/>
  <tableColumns count="5">
    <tableColumn id="1" name="Games" dataDxfId="1211"/>
    <tableColumn id="2" name="Chosen" dataDxfId="1210">
      <calculatedColumnFormula>IF(SUBTOTAL(103,A222)=1,1,0)</calculatedColumnFormula>
    </tableColumn>
    <tableColumn id="3" name="Region" dataDxfId="1209"/>
    <tableColumn id="4" name="SubRegion" dataDxfId="1208" dataCellStyle="Normal_Central"/>
    <tableColumn id="5" name="W/L" dataDxfId="1207" dataCellStyle="Normal_Central">
      <calculatedColumnFormula>IF(Table3[[#This Row],[Games]]="","",IF(TeamHistory!$BP7="Blank","",IF(TeamHistory!$BK7=1,"W","L")))</calculatedColumnFormula>
    </tableColumn>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3.xml"/><Relationship Id="rId5" Type="http://schemas.microsoft.com/office/2007/relationships/slicer" Target="../slicers/slicer1.xml"/><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6:CA46"/>
  <sheetViews>
    <sheetView workbookViewId="0">
      <selection activeCell="B27" sqref="B27"/>
    </sheetView>
  </sheetViews>
  <sheetFormatPr defaultColWidth="8.85546875" defaultRowHeight="13.5" x14ac:dyDescent="0.25"/>
  <cols>
    <col min="1" max="67" width="8.85546875" style="3"/>
    <col min="68" max="68" width="23.5703125" style="3" customWidth="1"/>
    <col min="69" max="69" width="8.85546875" style="3"/>
    <col min="70" max="70" width="23.42578125" style="3" customWidth="1"/>
    <col min="71" max="16384" width="8.85546875" style="3"/>
  </cols>
  <sheetData>
    <row r="6" spans="1:79" ht="23.45" thickBot="1" x14ac:dyDescent="0.3">
      <c r="A6" s="4" t="s">
        <v>186</v>
      </c>
      <c r="B6" s="4" t="s">
        <v>187</v>
      </c>
      <c r="C6" s="4" t="s">
        <v>188</v>
      </c>
      <c r="D6" s="4" t="s">
        <v>141</v>
      </c>
      <c r="E6" s="4" t="s">
        <v>164</v>
      </c>
      <c r="F6" s="4" t="s">
        <v>142</v>
      </c>
      <c r="G6" s="4" t="s">
        <v>143</v>
      </c>
      <c r="H6" s="4" t="s">
        <v>144</v>
      </c>
      <c r="I6" s="4" t="s">
        <v>145</v>
      </c>
      <c r="J6" s="4" t="s">
        <v>146</v>
      </c>
      <c r="K6" s="4" t="s">
        <v>147</v>
      </c>
      <c r="L6" s="4" t="s">
        <v>148</v>
      </c>
      <c r="M6" s="4" t="s">
        <v>149</v>
      </c>
      <c r="N6" s="4" t="s">
        <v>150</v>
      </c>
      <c r="O6" s="4" t="s">
        <v>151</v>
      </c>
      <c r="P6" s="4" t="s">
        <v>152</v>
      </c>
      <c r="Q6" s="4" t="s">
        <v>153</v>
      </c>
      <c r="R6" s="4" t="s">
        <v>154</v>
      </c>
      <c r="S6" s="4" t="s">
        <v>167</v>
      </c>
      <c r="T6" s="4" t="s">
        <v>155</v>
      </c>
      <c r="U6" s="4" t="s">
        <v>189</v>
      </c>
      <c r="V6" s="4" t="s">
        <v>190</v>
      </c>
      <c r="W6" s="4" t="s">
        <v>191</v>
      </c>
      <c r="X6" s="4" t="s">
        <v>192</v>
      </c>
      <c r="Y6" s="4" t="s">
        <v>166</v>
      </c>
      <c r="Z6" s="4" t="s">
        <v>220</v>
      </c>
      <c r="AA6" s="4" t="s">
        <v>174</v>
      </c>
      <c r="AB6" s="4" t="s">
        <v>175</v>
      </c>
      <c r="AC6" s="4" t="s">
        <v>176</v>
      </c>
      <c r="AD6" s="4" t="s">
        <v>177</v>
      </c>
      <c r="AE6" s="4" t="s">
        <v>258</v>
      </c>
      <c r="AF6" s="5" t="s">
        <v>193</v>
      </c>
      <c r="AG6" s="5" t="s">
        <v>221</v>
      </c>
      <c r="AH6" s="5" t="s">
        <v>194</v>
      </c>
      <c r="AI6" s="5" t="s">
        <v>195</v>
      </c>
      <c r="AJ6" s="5" t="s">
        <v>196</v>
      </c>
      <c r="AK6" s="5" t="s">
        <v>197</v>
      </c>
      <c r="AL6" s="5" t="s">
        <v>198</v>
      </c>
      <c r="AM6" s="5" t="s">
        <v>199</v>
      </c>
      <c r="AN6" s="5" t="s">
        <v>200</v>
      </c>
      <c r="AO6" s="5" t="s">
        <v>201</v>
      </c>
      <c r="AP6" s="5" t="s">
        <v>202</v>
      </c>
      <c r="AQ6" s="5" t="s">
        <v>203</v>
      </c>
      <c r="AR6" s="5" t="s">
        <v>204</v>
      </c>
      <c r="AS6" s="5" t="s">
        <v>205</v>
      </c>
      <c r="AT6" s="5" t="s">
        <v>206</v>
      </c>
      <c r="AU6" s="5" t="s">
        <v>222</v>
      </c>
      <c r="AV6" s="5" t="s">
        <v>207</v>
      </c>
      <c r="AW6" s="5" t="s">
        <v>208</v>
      </c>
      <c r="AX6" s="5" t="s">
        <v>209</v>
      </c>
      <c r="AY6" s="5" t="s">
        <v>210</v>
      </c>
      <c r="AZ6" s="5" t="s">
        <v>211</v>
      </c>
      <c r="BA6" s="5" t="s">
        <v>223</v>
      </c>
      <c r="BB6" s="5" t="s">
        <v>224</v>
      </c>
      <c r="BC6" s="5" t="s">
        <v>259</v>
      </c>
      <c r="BD6" s="5" t="s">
        <v>260</v>
      </c>
      <c r="BE6" s="5" t="s">
        <v>261</v>
      </c>
      <c r="BF6" s="5" t="s">
        <v>262</v>
      </c>
      <c r="BG6" s="5" t="s">
        <v>263</v>
      </c>
      <c r="BH6" s="4" t="s">
        <v>212</v>
      </c>
      <c r="BI6" s="4" t="s">
        <v>213</v>
      </c>
      <c r="BJ6" s="4" t="s">
        <v>214</v>
      </c>
      <c r="BK6" s="4" t="s">
        <v>134</v>
      </c>
      <c r="BL6" s="4" t="s">
        <v>136</v>
      </c>
      <c r="BM6" s="4" t="s">
        <v>226</v>
      </c>
      <c r="BN6" s="4" t="s">
        <v>227</v>
      </c>
      <c r="BO6" s="4" t="s">
        <v>215</v>
      </c>
      <c r="BP6" s="4" t="s">
        <v>216</v>
      </c>
      <c r="BQ6" s="4" t="s">
        <v>217</v>
      </c>
      <c r="BR6" s="4" t="s">
        <v>218</v>
      </c>
      <c r="BS6" s="4" t="s">
        <v>225</v>
      </c>
      <c r="BT6" s="4" t="s">
        <v>0</v>
      </c>
      <c r="BU6" s="4" t="s">
        <v>219</v>
      </c>
      <c r="BV6" s="4" t="s">
        <v>271</v>
      </c>
      <c r="BW6" s="4" t="s">
        <v>1</v>
      </c>
      <c r="BX6" s="4" t="s">
        <v>272</v>
      </c>
      <c r="BY6" s="4" t="s">
        <v>273</v>
      </c>
      <c r="BZ6" s="4" t="s">
        <v>274</v>
      </c>
      <c r="CA6" s="4" t="s">
        <v>278</v>
      </c>
    </row>
    <row r="7" spans="1:79" ht="11.45" x14ac:dyDescent="0.25">
      <c r="A7" s="3" t="str">
        <f>Roster!$B$1</f>
        <v>Upton</v>
      </c>
      <c r="B7" s="3" t="str">
        <f ca="1">INDIRECT("'game1 ("&amp;$BO7&amp;")'!$b$3")</f>
        <v>Ten Sleep</v>
      </c>
      <c r="C7" s="6">
        <f ca="1">INDIRECT("'game1 ("&amp;$BO7&amp;")'!$m$4")</f>
        <v>44904</v>
      </c>
      <c r="D7" s="3">
        <f t="shared" ref="D7:D46" ca="1" si="0">IF(INDIRECT("'game1 ("&amp;$BO7&amp;")'!"&amp;ADDRESS(ROW(B$31),COLUMN(D7)))=1,1,0)</f>
        <v>1</v>
      </c>
      <c r="E7" s="3">
        <f t="shared" ref="E7:E46" ca="1" si="1">IF(ISNUMBER(INDIRECT("'game1 ("&amp;$BO7&amp;")'!"&amp;ADDRESS(ROW(C$31),COLUMN(D7)))),INDIRECT("'game1 ("&amp;$BO7&amp;")'!"&amp;ADDRESS(ROW(C$31),COLUMN(E7))),0)</f>
        <v>32</v>
      </c>
      <c r="F7" s="3">
        <f t="shared" ref="F7:F46" ca="1" si="2">INDIRECT("'game1 ("&amp;$BO7&amp;")'!"&amp;ADDRESS(ROW(C$31),COLUMN(F7)))</f>
        <v>10</v>
      </c>
      <c r="G7" s="3">
        <f t="shared" ref="G7:G46" ca="1" si="3">INDIRECT("'game1 ("&amp;$BO7&amp;")'!"&amp;ADDRESS(ROW(D$31),COLUMN(G7)))</f>
        <v>26</v>
      </c>
      <c r="H7" s="3">
        <f t="shared" ref="H7:H46" ca="1" si="4">INDIRECT("'game1 ("&amp;$BO7&amp;")'!"&amp;ADDRESS(ROW(F$31),COLUMN(H7)))</f>
        <v>14</v>
      </c>
      <c r="I7" s="3">
        <f t="shared" ref="I7:I46" ca="1" si="5">INDIRECT("'game1 ("&amp;$BO7&amp;")'!"&amp;ADDRESS(ROW(G$31),COLUMN(I7)))</f>
        <v>26</v>
      </c>
      <c r="J7" s="3">
        <f t="shared" ref="J7:J46" ca="1" si="6">INDIRECT("'game1 ("&amp;$BO7&amp;")'!"&amp;ADDRESS(ROW(H$31),COLUMN(J7)))</f>
        <v>7</v>
      </c>
      <c r="K7" s="3">
        <f t="shared" ref="K7:K46" ca="1" si="7">INDIRECT("'game1 ("&amp;$BO7&amp;")'!"&amp;ADDRESS(ROW(I$31),COLUMN(K7)))</f>
        <v>17</v>
      </c>
      <c r="L7" s="3">
        <f t="shared" ref="L7:L46" ca="1" si="8">INDIRECT("'game1 ("&amp;$BO7&amp;")'!"&amp;ADDRESS(ROW(J$31),COLUMN(L7)))</f>
        <v>10</v>
      </c>
      <c r="M7" s="3">
        <f t="shared" ref="M7:M46" ca="1" si="9">INDIRECT("'game1 ("&amp;$BO7&amp;")'!"&amp;ADDRESS(ROW(K$31),COLUMN(M7)))</f>
        <v>19</v>
      </c>
      <c r="N7" s="3">
        <f t="shared" ref="N7:N46" ca="1" si="10">INDIRECT("'game1 ("&amp;$BO7&amp;")'!"&amp;ADDRESS(ROW(L$31),COLUMN(N7)))</f>
        <v>22</v>
      </c>
      <c r="O7" s="3">
        <f t="shared" ref="O7:O46" ca="1" si="11">INDIRECT("'game1 ("&amp;$BO7&amp;")'!"&amp;ADDRESS(ROW(M$31),COLUMN(O7)))</f>
        <v>19</v>
      </c>
      <c r="P7" s="3">
        <f t="shared" ref="P7:P46" ca="1" si="12">INDIRECT("'game1 ("&amp;$BO7&amp;")'!"&amp;ADDRESS(ROW(N$31),COLUMN(P7)))</f>
        <v>5</v>
      </c>
      <c r="Q7" s="3">
        <f t="shared" ref="Q7:Q46" ca="1" si="13">INDIRECT("'game1 ("&amp;$BO7&amp;")'!"&amp;ADDRESS(ROW(O$31),COLUMN(Q7)))</f>
        <v>17</v>
      </c>
      <c r="R7" s="3">
        <f t="shared" ref="R7:R46" ca="1" si="14">INDIRECT("'game1 ("&amp;$BO7&amp;")'!"&amp;ADDRESS(ROW(P$31),COLUMN(R7)))</f>
        <v>12</v>
      </c>
      <c r="S7" s="3">
        <f t="shared" ref="S7:S46" ca="1" si="15">INDIRECT("'game1 ("&amp;$BO7&amp;")'!"&amp;ADDRESS(ROW(Q$31),COLUMN(S7)))</f>
        <v>0</v>
      </c>
      <c r="T7" s="3">
        <f t="shared" ref="T7:T46" ca="1" si="16">INDIRECT("'game1 ("&amp;$BO7&amp;")'!"&amp;ADDRESS(ROW(Q$31),COLUMN(T7)))</f>
        <v>65</v>
      </c>
      <c r="U7" s="7">
        <f t="shared" ref="U7:U46" ca="1" si="17">IF($G7&gt;$D$2,INDIRECT("'game1 ("&amp;$BO7&amp;")'!"&amp;ADDRESS(ROW(R$31),COLUMN(U7))),"")</f>
        <v>0.38461538461538464</v>
      </c>
      <c r="V7" s="7">
        <f t="shared" ref="V7:V46" ca="1" si="18">IF($G7&gt;$D$2,INDIRECT("'game1 ("&amp;$BO7&amp;")'!"&amp;ADDRESS(ROW(S$31),COLUMN(V7))),"")</f>
        <v>0.53846153846153844</v>
      </c>
      <c r="W7" s="7">
        <f t="shared" ref="W7:W46" ca="1" si="19">IF($G7&gt;$D$2,INDIRECT("'game1 ("&amp;$BO7&amp;")'!"&amp;ADDRESS(ROW(T$31),COLUMN(W7))),"")</f>
        <v>0.41176470588235292</v>
      </c>
      <c r="X7" s="7">
        <f t="shared" ref="X7:X46" ca="1" si="20">IF($G7&gt;$D$2,INDIRECT("'game1 ("&amp;$BO7&amp;")'!"&amp;ADDRESS(ROW(U$31),COLUMN(X7))),"")</f>
        <v>0.46153846153846156</v>
      </c>
      <c r="Y7" s="7">
        <f t="shared" ref="Y7:Y46" ca="1" si="21">IF($G7&gt;$D$2,INDIRECT("'game1 ("&amp;$BO7&amp;")'!"&amp;ADDRESS(ROW(V$31),COLUMN(Y7))),"")</f>
        <v>0.55769230769230771</v>
      </c>
      <c r="Z7" s="3">
        <f ca="1">TeamGameData[[#This Row],[OFF REB]]+TeamGameData[[#This Row],[DEF REB]]</f>
        <v>29</v>
      </c>
      <c r="AA7" s="3">
        <f t="shared" ref="AA7:AA46" ca="1" si="22">INDIRECT("'game1 ("&amp;$BO7&amp;")'!"&amp;ADDRESS(ROW(Q$4),COLUMN(C7)))</f>
        <v>19</v>
      </c>
      <c r="AB7" s="3">
        <f ca="1">INDIRECT("'game1 ("&amp;$BO7&amp;")'!"&amp;ADDRESS(ROW(R$4),COLUMN(D7)))</f>
        <v>24</v>
      </c>
      <c r="AC7" s="3">
        <f ca="1">INDIRECT("'game1 ("&amp;$BO7&amp;")'!"&amp;ADDRESS(ROW(S$4),COLUMN(E7)))</f>
        <v>17</v>
      </c>
      <c r="AD7" s="3">
        <f ca="1">INDIRECT("'game1 ("&amp;$BO7&amp;")'!"&amp;ADDRESS(ROW(T$4),COLUMN(F7)))</f>
        <v>5</v>
      </c>
      <c r="AE7" s="3">
        <f ca="1">INDIRECT("'game1 ("&amp;$BO7&amp;")'!"&amp;ADDRESS(ROW(U$4),COLUMN(G7)))</f>
        <v>0</v>
      </c>
      <c r="AF7" s="3">
        <f t="shared" ref="AF7:AF46" ca="1" si="23">IF(INDIRECT("'game1 ("&amp;$BO7&amp;")'!"&amp;ADDRESS(ROW(B$32),COLUMN(D7)))=1,1,0)</f>
        <v>1</v>
      </c>
      <c r="AG7" s="3">
        <f t="shared" ref="AG7:AG46" ca="1" si="24">IF(ISNUMBER(INDIRECT("'game1 ("&amp;$BO7&amp;")'!"&amp;ADDRESS(ROW(C$32),COLUMN(D7)))),INDIRECT("'game1 ("&amp;$BO7&amp;")'!"&amp;ADDRESS(ROW(C$32),COLUMN(D7))),0)</f>
        <v>1</v>
      </c>
      <c r="AH7" s="3">
        <f t="shared" ref="AH7:AH46" ca="1" si="25">INDIRECT("'game1 ("&amp;$BO7&amp;")'!"&amp;ADDRESS(ROW(Y$32),COLUMN(F7)))</f>
        <v>1</v>
      </c>
      <c r="AI7" s="3">
        <f t="shared" ref="AI7:AI46" ca="1" si="26">INDIRECT("'game1 ("&amp;$BO7&amp;")'!"&amp;ADDRESS(ROW(Z$32),COLUMN(G7)))</f>
        <v>9</v>
      </c>
      <c r="AJ7" s="3">
        <f t="shared" ref="AJ7:AJ46" ca="1" si="27">INDIRECT("'game1 ("&amp;$BO7&amp;")'!"&amp;ADDRESS(ROW(AA$32),COLUMN(H7)))</f>
        <v>8</v>
      </c>
      <c r="AK7" s="3">
        <f t="shared" ref="AK7:AK46" ca="1" si="28">INDIRECT("'game1 ("&amp;$BO7&amp;")'!"&amp;ADDRESS(ROW(AB$32),COLUMN(I7)))</f>
        <v>25</v>
      </c>
      <c r="AL7" s="3">
        <f t="shared" ref="AL7:AL46" ca="1" si="29">INDIRECT("'game1 ("&amp;$BO7&amp;")'!"&amp;ADDRESS(ROW(AC$32),COLUMN(J7)))</f>
        <v>2</v>
      </c>
      <c r="AM7" s="3">
        <f t="shared" ref="AM7:AM46" ca="1" si="30">INDIRECT("'game1 ("&amp;$BO7&amp;")'!"&amp;ADDRESS(ROW(AD$32),COLUMN(K7)))</f>
        <v>13</v>
      </c>
      <c r="AN7" s="3">
        <f t="shared" ref="AN7:AN46" ca="1" si="31">INDIRECT("'game1 ("&amp;$BO7&amp;")'!"&amp;ADDRESS(ROW(AE$32),COLUMN(L7)))</f>
        <v>6</v>
      </c>
      <c r="AO7" s="3">
        <f t="shared" ref="AO7:AO46" ca="1" si="32">INDIRECT("'game1 ("&amp;$BO7&amp;")'!"&amp;ADDRESS(ROW(AF$32),COLUMN(M7)))</f>
        <v>16</v>
      </c>
      <c r="AP7" s="3">
        <f t="shared" ref="AP7:AP46" ca="1" si="33">INDIRECT("'game1 ("&amp;$BO7&amp;")'!"&amp;ADDRESS(ROW(AG$32),COLUMN(N7)))</f>
        <v>2</v>
      </c>
      <c r="AQ7" s="3">
        <f t="shared" ref="AQ7:AQ46" ca="1" si="34">INDIRECT("'game1 ("&amp;$BO7&amp;")'!"&amp;ADDRESS(ROW(AH$32),COLUMN(O7)))</f>
        <v>10</v>
      </c>
      <c r="AR7" s="3">
        <f t="shared" ref="AR7:AR46" ca="1" si="35">INDIRECT("'game1 ("&amp;$BO7&amp;")'!"&amp;ADDRESS(ROW(AI$32),COLUMN(P7)))</f>
        <v>2</v>
      </c>
      <c r="AS7" s="3">
        <f t="shared" ref="AS7:AS46" ca="1" si="36">INDIRECT("'game1 ("&amp;$BO7&amp;")'!"&amp;ADDRESS(ROW(AJ$32),COLUMN(Q7)))</f>
        <v>32</v>
      </c>
      <c r="AT7" s="3">
        <f t="shared" ref="AT7:AT46" ca="1" si="37">INDIRECT("'game1 ("&amp;$BO7&amp;")'!"&amp;ADDRESS(ROW(AK$32),COLUMN(R7)))</f>
        <v>12</v>
      </c>
      <c r="AU7" s="3">
        <f t="shared" ref="AU7:AU46" ca="1" si="38">INDIRECT("'game1 ("&amp;$BO7&amp;")'!"&amp;ADDRESS(ROW(AL$32),COLUMN(S7)))</f>
        <v>0</v>
      </c>
      <c r="AV7" s="3">
        <f t="shared" ref="AV7:AV46" ca="1" si="39">INDIRECT("'game1 ("&amp;$BO7&amp;")'!"&amp;ADDRESS(ROW(AM$32),COLUMN(T7)))</f>
        <v>21</v>
      </c>
      <c r="AW7" s="7">
        <f t="shared" ref="AW7:AW46" ca="1" si="40">INDIRECT("'game1 ("&amp;$BO7&amp;")'!"&amp;ADDRESS(ROW(AS$32),COLUMN(U7)))</f>
        <v>0.1111111111111111</v>
      </c>
      <c r="AX7" s="7">
        <f t="shared" ref="AX7:AX46" ca="1" si="41">INDIRECT("'game1 ("&amp;$BO7&amp;")'!"&amp;ADDRESS(ROW(AT$32),COLUMN(V7)))</f>
        <v>0.32</v>
      </c>
      <c r="AY7" s="7">
        <f t="shared" ref="AY7:AY46" ca="1" si="42">INDIRECT("'game1 ("&amp;$BO7&amp;")'!"&amp;ADDRESS(ROW(AU$32),COLUMN(W7)))</f>
        <v>0.15384615384615385</v>
      </c>
      <c r="AZ7" s="7">
        <f t="shared" ref="AZ7:AZ46" ca="1" si="43">INDIRECT("'game1 ("&amp;$BO7&amp;")'!"&amp;ADDRESS(ROW(AV$32),COLUMN(X7)))</f>
        <v>0.26470588235294118</v>
      </c>
      <c r="BA7" s="7">
        <f t="shared" ref="BA7:BA46" ca="1" si="44">INDIRECT("'game1 ("&amp;$BO7&amp;")'!"&amp;ADDRESS(ROW(AW$32),COLUMN(Y7)))</f>
        <v>0.27941176470588236</v>
      </c>
      <c r="BB7" s="3">
        <f ca="1">TeamGameData[[#This Row],[Opp OFF REB]]+TeamGameData[[#This Row],[Opp DEF REB]]</f>
        <v>22</v>
      </c>
      <c r="BC7" s="3">
        <f ca="1">INDIRECT("'game1 ("&amp;$BO7&amp;")'!"&amp;ADDRESS(ROW(AS$3),COLUMN(C7)))</f>
        <v>7</v>
      </c>
      <c r="BD7" s="3">
        <f t="shared" ref="BD7:BG7" ca="1" si="45">INDIRECT("'game1 ("&amp;$BO7&amp;")'!"&amp;ADDRESS(ROW(AT$3),COLUMN(D7)))</f>
        <v>3</v>
      </c>
      <c r="BE7" s="3">
        <f t="shared" ca="1" si="45"/>
        <v>6</v>
      </c>
      <c r="BF7" s="3">
        <f t="shared" ca="1" si="45"/>
        <v>5</v>
      </c>
      <c r="BG7" s="3">
        <f t="shared" ca="1" si="45"/>
        <v>0</v>
      </c>
      <c r="BH7" s="3">
        <f ca="1">IF($AF7=1,TeamGameData[[#This Row],[OFF REB]]-TeamGameData[[#This Row],[Opp OFF REB]],"")</f>
        <v>4</v>
      </c>
      <c r="BI7" s="3">
        <f ca="1">IF($AF7=1,TeamGameData[[#This Row],[DEF REB]]-TeamGameData[[#This Row],[Opp DEF REB]],"")</f>
        <v>3</v>
      </c>
      <c r="BJ7" s="3">
        <f ca="1">IF($AF7=1,TeamGameData[[#This Row],[TOT REB]]-TeamGameData[[#This Row],[Opp TOT REB]],"")</f>
        <v>7</v>
      </c>
      <c r="BK7" s="3">
        <f t="shared" ref="BK7:BK46" ca="1" si="46">INDIRECT("'game1 ("&amp;$BO7&amp;")'!"&amp;ADDRESS(ROW(BB$4),COLUMN(W7)))</f>
        <v>1</v>
      </c>
      <c r="BL7" s="3" t="str">
        <f t="shared" ref="BL7:BL46" ca="1" si="47">INDIRECT("'game1 ("&amp;$BO7&amp;")'!"&amp;ADDRESS(ROW(BH$4),COLUMN(X7)))</f>
        <v/>
      </c>
      <c r="BM7" s="3">
        <f t="shared" ref="BM7:BM46" ca="1" si="48">INDIRECT("'game1 ("&amp;$BO7&amp;")'!"&amp;ADDRESS(ROW(BI$4),COLUMN(P7)))</f>
        <v>0</v>
      </c>
      <c r="BN7" s="3">
        <f t="shared" ref="BN7:BN46" ca="1" si="49">INDIRECT("'game1 ("&amp;$BO7&amp;")'!"&amp;ADDRESS(ROW(BJ$4),COLUMN(Q7)))</f>
        <v>0</v>
      </c>
      <c r="BO7" s="3">
        <f>INT((ROW(BO7)-7))+1</f>
        <v>1</v>
      </c>
      <c r="BP7" s="3" t="str">
        <f ca="1">IF($B7&lt;&gt;0,CONCATENATE(A7," - ",B7," ",MONTH(C7),"/",DAY(C7),"/",YEAR(C7)),"Blank")</f>
        <v>Upton - Ten Sleep 12/9/2022</v>
      </c>
      <c r="BQ7" s="3" t="str">
        <f t="shared" ref="BQ7:BQ46" ca="1" si="50">IFERROR(INDIRECT("'game1 ("&amp;$BO7&amp;")'!$a$2"),"")</f>
        <v/>
      </c>
      <c r="BR7" s="3" t="str">
        <f ca="1">IF(BP7="Blank","",IF(TeamGameData[[#This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65, Ten Sleep 21</v>
      </c>
      <c r="BS7" s="6" t="str">
        <f ca="1">IFERROR(IF(BP7="Blank","",IF(AND(VLOOKUP(TeamGameData[[#This Row],[Opponent]],WYTeamInfo,2,FALSE)=Roster!$D$1,VLOOKUP(TeamGameData[[#This Row],[Opponent]],WYTeamInfo,3,FALSE)=Roster!$D$2),"SR","")),"")</f>
        <v/>
      </c>
      <c r="BT7" s="3" t="str">
        <f>CONCATENATE(Roster!$D$1," ",Roster!$D$5)</f>
        <v>1A BB</v>
      </c>
      <c r="BU7" s="3">
        <f ca="1">Team_Report!$B222</f>
        <v>1</v>
      </c>
      <c r="BV7" s="3" t="str">
        <f>Roster!$D$3</f>
        <v>East</v>
      </c>
      <c r="BW7" s="3" t="str">
        <f>Roster!$D$2</f>
        <v>Northeast</v>
      </c>
      <c r="BX7" s="3" t="str">
        <f>Roster!$D$4</f>
        <v>North</v>
      </c>
      <c r="BY7" s="3">
        <f t="shared" ref="BY7:BY46" ca="1" si="51">INDIRECT("'game1 ("&amp;$BO7&amp;")'!"&amp;ADDRESS(ROW(BU$4),COLUMN(S7)))</f>
        <v>0</v>
      </c>
      <c r="BZ7" s="3">
        <f t="shared" ref="BZ7:BZ46" ca="1" si="52">INDIRECT("'game1 ("&amp;$BO7&amp;")'!"&amp;ADDRESS(ROW(BV$4),COLUMN(U7)))</f>
        <v>0</v>
      </c>
      <c r="CA7" s="3" t="str">
        <f>Roster!$D$8</f>
        <v>Joe Samuelson</v>
      </c>
    </row>
    <row r="8" spans="1:79" ht="11.45" x14ac:dyDescent="0.25">
      <c r="A8" s="3" t="str">
        <f>Roster!$B$1</f>
        <v>Upton</v>
      </c>
      <c r="B8" s="3" t="str">
        <f t="shared" ref="B8:B46" ca="1" si="53">INDIRECT("'game1 ("&amp;$BO8&amp;")'!$b$3")</f>
        <v>Riverside</v>
      </c>
      <c r="C8" s="6">
        <f t="shared" ref="C8:C46" ca="1" si="54">INDIRECT("'game1 ("&amp;$BO8&amp;")'!$m$4")</f>
        <v>44904</v>
      </c>
      <c r="D8" s="3">
        <f t="shared" ca="1" si="0"/>
        <v>1</v>
      </c>
      <c r="E8" s="3">
        <f t="shared" ca="1" si="1"/>
        <v>32</v>
      </c>
      <c r="F8" s="3">
        <f t="shared" ca="1" si="2"/>
        <v>5</v>
      </c>
      <c r="G8" s="3">
        <f t="shared" ca="1" si="3"/>
        <v>25</v>
      </c>
      <c r="H8" s="3">
        <f t="shared" ca="1" si="4"/>
        <v>18</v>
      </c>
      <c r="I8" s="3">
        <f t="shared" ca="1" si="5"/>
        <v>45</v>
      </c>
      <c r="J8" s="3">
        <f t="shared" ca="1" si="6"/>
        <v>6</v>
      </c>
      <c r="K8" s="3">
        <f t="shared" ca="1" si="7"/>
        <v>11</v>
      </c>
      <c r="L8" s="3">
        <f t="shared" ca="1" si="8"/>
        <v>26</v>
      </c>
      <c r="M8" s="3">
        <f t="shared" ca="1" si="9"/>
        <v>23</v>
      </c>
      <c r="N8" s="3">
        <f t="shared" ca="1" si="10"/>
        <v>16</v>
      </c>
      <c r="O8" s="3">
        <f t="shared" ca="1" si="11"/>
        <v>8</v>
      </c>
      <c r="P8" s="3">
        <f t="shared" ca="1" si="12"/>
        <v>1</v>
      </c>
      <c r="Q8" s="3">
        <f t="shared" ca="1" si="13"/>
        <v>13</v>
      </c>
      <c r="R8" s="3">
        <f t="shared" ca="1" si="14"/>
        <v>9</v>
      </c>
      <c r="S8" s="3">
        <f t="shared" ca="1" si="15"/>
        <v>2</v>
      </c>
      <c r="T8" s="3">
        <f t="shared" ca="1" si="16"/>
        <v>57</v>
      </c>
      <c r="U8" s="7">
        <f t="shared" ca="1" si="17"/>
        <v>0.2</v>
      </c>
      <c r="V8" s="7">
        <f t="shared" ca="1" si="18"/>
        <v>0.4</v>
      </c>
      <c r="W8" s="7">
        <f t="shared" ca="1" si="19"/>
        <v>0.54545454545454541</v>
      </c>
      <c r="X8" s="7">
        <f t="shared" ca="1" si="20"/>
        <v>0.32857142857142857</v>
      </c>
      <c r="Y8" s="7">
        <f t="shared" ca="1" si="21"/>
        <v>0.36428571428571427</v>
      </c>
      <c r="Z8" s="3">
        <f ca="1">TeamGameData[[#This Row],[OFF REB]]+TeamGameData[[#This Row],[DEF REB]]</f>
        <v>49</v>
      </c>
      <c r="AA8" s="3">
        <f t="shared" ca="1" si="22"/>
        <v>25</v>
      </c>
      <c r="AB8" s="3">
        <f t="shared" ref="AB8:AB46" ca="1" si="55">INDIRECT("'game1 ("&amp;$BO8&amp;")'!"&amp;ADDRESS(ROW(R$4),COLUMN(D8)))</f>
        <v>16</v>
      </c>
      <c r="AC8" s="3">
        <f t="shared" ref="AC8:AC46" ca="1" si="56">INDIRECT("'game1 ("&amp;$BO8&amp;")'!"&amp;ADDRESS(ROW(S$4),COLUMN(E8)))</f>
        <v>12</v>
      </c>
      <c r="AD8" s="3">
        <f t="shared" ref="AD8:AD46" ca="1" si="57">INDIRECT("'game1 ("&amp;$BO8&amp;")'!"&amp;ADDRESS(ROW(T$4),COLUMN(F8)))</f>
        <v>4</v>
      </c>
      <c r="AE8" s="3">
        <f t="shared" ref="AE8:AE46" ca="1" si="58">INDIRECT("'game1 ("&amp;$BO8&amp;")'!"&amp;ADDRESS(ROW(U$4),COLUMN(G8)))</f>
        <v>0</v>
      </c>
      <c r="AF8" s="3">
        <f t="shared" ca="1" si="23"/>
        <v>1</v>
      </c>
      <c r="AG8" s="3">
        <f t="shared" ca="1" si="24"/>
        <v>1</v>
      </c>
      <c r="AH8" s="3">
        <f t="shared" ca="1" si="25"/>
        <v>5</v>
      </c>
      <c r="AI8" s="3">
        <f t="shared" ca="1" si="26"/>
        <v>27</v>
      </c>
      <c r="AJ8" s="3">
        <f t="shared" ca="1" si="27"/>
        <v>9</v>
      </c>
      <c r="AK8" s="3">
        <f t="shared" ca="1" si="28"/>
        <v>23</v>
      </c>
      <c r="AL8" s="3">
        <f t="shared" ca="1" si="29"/>
        <v>5</v>
      </c>
      <c r="AM8" s="3">
        <f t="shared" ca="1" si="30"/>
        <v>8</v>
      </c>
      <c r="AN8" s="3">
        <f t="shared" ca="1" si="31"/>
        <v>7</v>
      </c>
      <c r="AO8" s="3">
        <f t="shared" ca="1" si="32"/>
        <v>22</v>
      </c>
      <c r="AP8" s="3">
        <f t="shared" ca="1" si="33"/>
        <v>7</v>
      </c>
      <c r="AQ8" s="3">
        <f t="shared" ca="1" si="34"/>
        <v>9</v>
      </c>
      <c r="AR8" s="3">
        <f t="shared" ca="1" si="35"/>
        <v>2</v>
      </c>
      <c r="AS8" s="3">
        <f t="shared" ca="1" si="36"/>
        <v>18</v>
      </c>
      <c r="AT8" s="3">
        <f t="shared" ca="1" si="37"/>
        <v>11</v>
      </c>
      <c r="AU8" s="3">
        <f t="shared" ca="1" si="38"/>
        <v>0</v>
      </c>
      <c r="AV8" s="3">
        <f t="shared" ca="1" si="39"/>
        <v>38</v>
      </c>
      <c r="AW8" s="7">
        <f t="shared" ca="1" si="40"/>
        <v>0.18518518518518517</v>
      </c>
      <c r="AX8" s="7">
        <f t="shared" ca="1" si="41"/>
        <v>0.39130434782608697</v>
      </c>
      <c r="AY8" s="7">
        <f t="shared" ca="1" si="42"/>
        <v>0.625</v>
      </c>
      <c r="AZ8" s="7">
        <f t="shared" ca="1" si="43"/>
        <v>0.28000000000000003</v>
      </c>
      <c r="BA8" s="7">
        <f t="shared" ca="1" si="44"/>
        <v>0.33</v>
      </c>
      <c r="BB8" s="3">
        <f ca="1">TeamGameData[[#This Row],[Opp OFF REB]]+TeamGameData[[#This Row],[Opp DEF REB]]</f>
        <v>29</v>
      </c>
      <c r="BC8" s="3">
        <f t="shared" ref="BC8:BC46" ca="1" si="59">INDIRECT("'game1 ("&amp;$BO8&amp;")'!"&amp;ADDRESS(ROW(AS$3),COLUMN(C8)))</f>
        <v>10</v>
      </c>
      <c r="BD8" s="3">
        <f t="shared" ref="BD8:BD46" ca="1" si="60">INDIRECT("'game1 ("&amp;$BO8&amp;")'!"&amp;ADDRESS(ROW(AT$3),COLUMN(D8)))</f>
        <v>8</v>
      </c>
      <c r="BE8" s="3">
        <f t="shared" ref="BE8:BE46" ca="1" si="61">INDIRECT("'game1 ("&amp;$BO8&amp;")'!"&amp;ADDRESS(ROW(AU$3),COLUMN(E8)))</f>
        <v>4</v>
      </c>
      <c r="BF8" s="3">
        <f t="shared" ref="BF8:BF46" ca="1" si="62">INDIRECT("'game1 ("&amp;$BO8&amp;")'!"&amp;ADDRESS(ROW(AV$3),COLUMN(F8)))</f>
        <v>16</v>
      </c>
      <c r="BG8" s="3">
        <f t="shared" ref="BG8:BG46" ca="1" si="63">INDIRECT("'game1 ("&amp;$BO8&amp;")'!"&amp;ADDRESS(ROW(AW$3),COLUMN(G8)))</f>
        <v>0</v>
      </c>
      <c r="BH8" s="3">
        <f ca="1">IF($AF8=1,TeamGameData[[#This Row],[OFF REB]]-TeamGameData[[#This Row],[Opp OFF REB]],"")</f>
        <v>19</v>
      </c>
      <c r="BI8" s="3">
        <f ca="1">IF($AF8=1,TeamGameData[[#This Row],[DEF REB]]-TeamGameData[[#This Row],[Opp DEF REB]],"")</f>
        <v>1</v>
      </c>
      <c r="BJ8" s="3">
        <f ca="1">IF($AF8=1,TeamGameData[[#This Row],[TOT REB]]-TeamGameData[[#This Row],[Opp TOT REB]],"")</f>
        <v>20</v>
      </c>
      <c r="BK8" s="3">
        <f t="shared" ca="1" si="46"/>
        <v>1</v>
      </c>
      <c r="BL8" s="3" t="str">
        <f t="shared" ca="1" si="47"/>
        <v/>
      </c>
      <c r="BM8" s="3">
        <f t="shared" ca="1" si="48"/>
        <v>0</v>
      </c>
      <c r="BN8" s="3">
        <f t="shared" ca="1" si="49"/>
        <v>0</v>
      </c>
      <c r="BO8" s="3">
        <f t="shared" ref="BO8:BO46" si="64">INT((ROW(BO8)-7))+1</f>
        <v>2</v>
      </c>
      <c r="BP8" s="3" t="str">
        <f t="shared" ref="BP8:BP46" ca="1" si="65">IF($B8&lt;&gt;0,CONCATENATE(A8," - ",B8," ",MONTH(C8),"/",DAY(C8),"/",YEAR(C8)),"Blank")</f>
        <v>Upton - Riverside 12/9/2022</v>
      </c>
      <c r="BQ8" s="3" t="str">
        <f t="shared" ca="1" si="50"/>
        <v/>
      </c>
      <c r="BR8" s="3" t="str">
        <f ca="1">IF(BP8="Blank","",IF(TeamGameData[[#This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57, Riverside 38</v>
      </c>
      <c r="BS8" s="6" t="str">
        <f ca="1">IFERROR(IF(BP8="Blank","",IF(AND(VLOOKUP(TeamGameData[[#This Row],[Opponent]],WYTeamInfo,2,FALSE)=Roster!$D$1,VLOOKUP(TeamGameData[[#This Row],[Opponent]],WYTeamInfo,3,FALSE)=Roster!$D$2),"SR","")),"")</f>
        <v/>
      </c>
      <c r="BT8" s="3" t="str">
        <f>CONCATENATE(Roster!$D$1," ",Roster!$D$5)</f>
        <v>1A BB</v>
      </c>
      <c r="BU8" s="3">
        <f ca="1">Team_Report!$B223</f>
        <v>1</v>
      </c>
      <c r="BV8" s="3" t="str">
        <f>Roster!$D$3</f>
        <v>East</v>
      </c>
      <c r="BW8" s="3" t="str">
        <f>Roster!$D$2</f>
        <v>Northeast</v>
      </c>
      <c r="BX8" s="3" t="str">
        <f>Roster!$D$4</f>
        <v>North</v>
      </c>
      <c r="BY8" s="3">
        <f t="shared" ca="1" si="51"/>
        <v>0</v>
      </c>
      <c r="BZ8" s="3">
        <f t="shared" ca="1" si="52"/>
        <v>0</v>
      </c>
      <c r="CA8" s="3" t="str">
        <f>Roster!$D$8</f>
        <v>Joe Samuelson</v>
      </c>
    </row>
    <row r="9" spans="1:79" ht="11.45" x14ac:dyDescent="0.25">
      <c r="A9" s="3" t="str">
        <f>Roster!$B$1</f>
        <v>Upton</v>
      </c>
      <c r="B9" s="3" t="str">
        <f t="shared" ca="1" si="53"/>
        <v>Sundance</v>
      </c>
      <c r="C9" s="6">
        <f t="shared" ca="1" si="54"/>
        <v>0</v>
      </c>
      <c r="D9" s="3">
        <f t="shared" ca="1" si="0"/>
        <v>1</v>
      </c>
      <c r="E9" s="3">
        <f t="shared" ca="1" si="1"/>
        <v>32</v>
      </c>
      <c r="F9" s="3">
        <f t="shared" ca="1" si="2"/>
        <v>4</v>
      </c>
      <c r="G9" s="3">
        <f t="shared" ca="1" si="3"/>
        <v>19</v>
      </c>
      <c r="H9" s="3">
        <f t="shared" ca="1" si="4"/>
        <v>17</v>
      </c>
      <c r="I9" s="3">
        <f t="shared" ca="1" si="5"/>
        <v>30</v>
      </c>
      <c r="J9" s="3">
        <f t="shared" ca="1" si="6"/>
        <v>11</v>
      </c>
      <c r="K9" s="3">
        <f t="shared" ca="1" si="7"/>
        <v>19</v>
      </c>
      <c r="L9" s="3">
        <f t="shared" ca="1" si="8"/>
        <v>9</v>
      </c>
      <c r="M9" s="3">
        <f t="shared" ca="1" si="9"/>
        <v>17</v>
      </c>
      <c r="N9" s="3">
        <f t="shared" ca="1" si="10"/>
        <v>11</v>
      </c>
      <c r="O9" s="3">
        <f t="shared" ca="1" si="11"/>
        <v>11</v>
      </c>
      <c r="P9" s="3">
        <f t="shared" ca="1" si="12"/>
        <v>3</v>
      </c>
      <c r="Q9" s="3">
        <f t="shared" ca="1" si="13"/>
        <v>8</v>
      </c>
      <c r="R9" s="3">
        <f t="shared" ca="1" si="14"/>
        <v>19</v>
      </c>
      <c r="S9" s="3">
        <f t="shared" ca="1" si="15"/>
        <v>0</v>
      </c>
      <c r="T9" s="3">
        <f t="shared" ca="1" si="16"/>
        <v>57</v>
      </c>
      <c r="U9" s="7">
        <f t="shared" ca="1" si="17"/>
        <v>0.21052631578947367</v>
      </c>
      <c r="V9" s="7">
        <f t="shared" ca="1" si="18"/>
        <v>0.56666666666666665</v>
      </c>
      <c r="W9" s="7">
        <f t="shared" ca="1" si="19"/>
        <v>0.57894736842105265</v>
      </c>
      <c r="X9" s="7">
        <f t="shared" ca="1" si="20"/>
        <v>0.42857142857142855</v>
      </c>
      <c r="Y9" s="7">
        <f t="shared" ca="1" si="21"/>
        <v>0.46938775510204084</v>
      </c>
      <c r="Z9" s="3">
        <f ca="1">TeamGameData[[#This Row],[OFF REB]]+TeamGameData[[#This Row],[DEF REB]]</f>
        <v>26</v>
      </c>
      <c r="AA9" s="3">
        <f t="shared" ca="1" si="22"/>
        <v>13</v>
      </c>
      <c r="AB9" s="3">
        <f t="shared" ca="1" si="55"/>
        <v>10</v>
      </c>
      <c r="AC9" s="3">
        <f t="shared" ca="1" si="56"/>
        <v>18</v>
      </c>
      <c r="AD9" s="3">
        <f t="shared" ca="1" si="57"/>
        <v>16</v>
      </c>
      <c r="AE9" s="3">
        <f t="shared" ca="1" si="58"/>
        <v>0</v>
      </c>
      <c r="AF9" s="3">
        <f t="shared" ca="1" si="23"/>
        <v>1</v>
      </c>
      <c r="AG9" s="3">
        <f t="shared" ca="1" si="24"/>
        <v>1</v>
      </c>
      <c r="AH9" s="3">
        <f t="shared" ca="1" si="25"/>
        <v>5</v>
      </c>
      <c r="AI9" s="3">
        <f t="shared" ca="1" si="26"/>
        <v>18</v>
      </c>
      <c r="AJ9" s="3">
        <f t="shared" ca="1" si="27"/>
        <v>10</v>
      </c>
      <c r="AK9" s="3">
        <f t="shared" ca="1" si="28"/>
        <v>29</v>
      </c>
      <c r="AL9" s="3">
        <f t="shared" ca="1" si="29"/>
        <v>7</v>
      </c>
      <c r="AM9" s="3">
        <f t="shared" ca="1" si="30"/>
        <v>18</v>
      </c>
      <c r="AN9" s="3">
        <f t="shared" ca="1" si="31"/>
        <v>12</v>
      </c>
      <c r="AO9" s="3">
        <f t="shared" ca="1" si="32"/>
        <v>16</v>
      </c>
      <c r="AP9" s="3">
        <f t="shared" ca="1" si="33"/>
        <v>9</v>
      </c>
      <c r="AQ9" s="3">
        <f t="shared" ca="1" si="34"/>
        <v>4</v>
      </c>
      <c r="AR9" s="3">
        <f t="shared" ca="1" si="35"/>
        <v>1</v>
      </c>
      <c r="AS9" s="3">
        <f t="shared" ca="1" si="36"/>
        <v>18</v>
      </c>
      <c r="AT9" s="3">
        <f t="shared" ca="1" si="37"/>
        <v>15</v>
      </c>
      <c r="AU9" s="3">
        <f t="shared" ca="1" si="38"/>
        <v>0</v>
      </c>
      <c r="AV9" s="3">
        <f t="shared" ca="1" si="39"/>
        <v>42</v>
      </c>
      <c r="AW9" s="7">
        <f t="shared" ca="1" si="40"/>
        <v>0.27777777777777779</v>
      </c>
      <c r="AX9" s="7">
        <f t="shared" ca="1" si="41"/>
        <v>0.34482758620689657</v>
      </c>
      <c r="AY9" s="7">
        <f t="shared" ca="1" si="42"/>
        <v>0.3888888888888889</v>
      </c>
      <c r="AZ9" s="7">
        <f t="shared" ca="1" si="43"/>
        <v>0.31914893617021278</v>
      </c>
      <c r="BA9" s="7">
        <f t="shared" ca="1" si="44"/>
        <v>0.37234042553191488</v>
      </c>
      <c r="BB9" s="3">
        <f ca="1">TeamGameData[[#This Row],[Opp OFF REB]]+TeamGameData[[#This Row],[Opp DEF REB]]</f>
        <v>28</v>
      </c>
      <c r="BC9" s="3">
        <f t="shared" ca="1" si="59"/>
        <v>11</v>
      </c>
      <c r="BD9" s="3">
        <f t="shared" ca="1" si="60"/>
        <v>8</v>
      </c>
      <c r="BE9" s="3">
        <f t="shared" ca="1" si="61"/>
        <v>13</v>
      </c>
      <c r="BF9" s="3">
        <f t="shared" ca="1" si="62"/>
        <v>10</v>
      </c>
      <c r="BG9" s="3">
        <f t="shared" ca="1" si="63"/>
        <v>0</v>
      </c>
      <c r="BH9" s="3">
        <f ca="1">IF($AF9=1,TeamGameData[[#This Row],[OFF REB]]-TeamGameData[[#This Row],[Opp OFF REB]],"")</f>
        <v>-3</v>
      </c>
      <c r="BI9" s="3">
        <f ca="1">IF($AF9=1,TeamGameData[[#This Row],[DEF REB]]-TeamGameData[[#This Row],[Opp DEF REB]],"")</f>
        <v>1</v>
      </c>
      <c r="BJ9" s="3">
        <f ca="1">IF($AF9=1,TeamGameData[[#This Row],[TOT REB]]-TeamGameData[[#This Row],[Opp TOT REB]],"")</f>
        <v>-2</v>
      </c>
      <c r="BK9" s="3">
        <f t="shared" ca="1" si="46"/>
        <v>1</v>
      </c>
      <c r="BL9" s="3" t="str">
        <f t="shared" ca="1" si="47"/>
        <v/>
      </c>
      <c r="BM9" s="3">
        <f t="shared" ca="1" si="48"/>
        <v>0</v>
      </c>
      <c r="BN9" s="3">
        <f t="shared" ca="1" si="49"/>
        <v>0</v>
      </c>
      <c r="BO9" s="3">
        <f t="shared" si="64"/>
        <v>3</v>
      </c>
      <c r="BP9" s="3" t="str">
        <f t="shared" ca="1" si="65"/>
        <v>Upton - Sundance 1/0/1900</v>
      </c>
      <c r="BQ9" s="3" t="str">
        <f t="shared" ca="1" si="50"/>
        <v/>
      </c>
      <c r="BR9" s="3" t="str">
        <f ca="1">IF(BP9="Blank","",IF(TeamGameData[[#This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57, Sundance 42</v>
      </c>
      <c r="BS9" s="6" t="str">
        <f ca="1">IFERROR(IF(BP9="Blank","",IF(AND(VLOOKUP(TeamGameData[[#This Row],[Opponent]],WYTeamInfo,2,FALSE)=Roster!$D$1,VLOOKUP(TeamGameData[[#This Row],[Opponent]],WYTeamInfo,3,FALSE)=Roster!$D$2),"SR","")),"")</f>
        <v/>
      </c>
      <c r="BT9" s="3" t="str">
        <f>CONCATENATE(Roster!$D$1," ",Roster!$D$5)</f>
        <v>1A BB</v>
      </c>
      <c r="BU9" s="3">
        <f ca="1">Team_Report!$B224</f>
        <v>1</v>
      </c>
      <c r="BV9" s="3" t="str">
        <f>Roster!$D$3</f>
        <v>East</v>
      </c>
      <c r="BW9" s="3" t="str">
        <f>Roster!$D$2</f>
        <v>Northeast</v>
      </c>
      <c r="BX9" s="3" t="str">
        <f>Roster!$D$4</f>
        <v>North</v>
      </c>
      <c r="BY9" s="3">
        <f t="shared" ca="1" si="51"/>
        <v>0</v>
      </c>
      <c r="BZ9" s="3">
        <f t="shared" ca="1" si="52"/>
        <v>0</v>
      </c>
      <c r="CA9" s="3" t="str">
        <f>Roster!$D$8</f>
        <v>Joe Samuelson</v>
      </c>
    </row>
    <row r="10" spans="1:79" ht="11.45" x14ac:dyDescent="0.25">
      <c r="A10" s="3" t="str">
        <f>Roster!$B$1</f>
        <v>Upton</v>
      </c>
      <c r="B10" s="3" t="str">
        <f t="shared" ca="1" si="53"/>
        <v>Cokeville</v>
      </c>
      <c r="C10" s="6">
        <f t="shared" ca="1" si="54"/>
        <v>44914</v>
      </c>
      <c r="D10" s="3">
        <f t="shared" ca="1" si="0"/>
        <v>1</v>
      </c>
      <c r="E10" s="3">
        <f t="shared" ca="1" si="1"/>
        <v>32</v>
      </c>
      <c r="F10" s="3">
        <f t="shared" ca="1" si="2"/>
        <v>6</v>
      </c>
      <c r="G10" s="3">
        <f t="shared" ca="1" si="3"/>
        <v>19</v>
      </c>
      <c r="H10" s="3">
        <f t="shared" ca="1" si="4"/>
        <v>13</v>
      </c>
      <c r="I10" s="3">
        <f t="shared" ca="1" si="5"/>
        <v>31</v>
      </c>
      <c r="J10" s="3">
        <f t="shared" ca="1" si="6"/>
        <v>3</v>
      </c>
      <c r="K10" s="3">
        <f t="shared" ca="1" si="7"/>
        <v>4</v>
      </c>
      <c r="L10" s="3">
        <f t="shared" ca="1" si="8"/>
        <v>9</v>
      </c>
      <c r="M10" s="3">
        <f t="shared" ca="1" si="9"/>
        <v>19</v>
      </c>
      <c r="N10" s="3">
        <f t="shared" ca="1" si="10"/>
        <v>13</v>
      </c>
      <c r="O10" s="3">
        <f t="shared" ca="1" si="11"/>
        <v>12</v>
      </c>
      <c r="P10" s="3">
        <f t="shared" ca="1" si="12"/>
        <v>3</v>
      </c>
      <c r="Q10" s="3">
        <f t="shared" ca="1" si="13"/>
        <v>23</v>
      </c>
      <c r="R10" s="3">
        <f t="shared" ca="1" si="14"/>
        <v>11</v>
      </c>
      <c r="S10" s="3">
        <f t="shared" ca="1" si="15"/>
        <v>1</v>
      </c>
      <c r="T10" s="3">
        <f t="shared" ca="1" si="16"/>
        <v>47</v>
      </c>
      <c r="U10" s="7">
        <f t="shared" ca="1" si="17"/>
        <v>0.31578947368421051</v>
      </c>
      <c r="V10" s="7">
        <f t="shared" ca="1" si="18"/>
        <v>0.41935483870967744</v>
      </c>
      <c r="W10" s="7">
        <f t="shared" ca="1" si="19"/>
        <v>0.75</v>
      </c>
      <c r="X10" s="7">
        <f t="shared" ca="1" si="20"/>
        <v>0.38</v>
      </c>
      <c r="Y10" s="7">
        <f t="shared" ca="1" si="21"/>
        <v>0.44</v>
      </c>
      <c r="Z10" s="3">
        <f ca="1">TeamGameData[[#This Row],[OFF REB]]+TeamGameData[[#This Row],[DEF REB]]</f>
        <v>28</v>
      </c>
      <c r="AA10" s="3">
        <f t="shared" ca="1" si="22"/>
        <v>9</v>
      </c>
      <c r="AB10" s="3">
        <f t="shared" ca="1" si="55"/>
        <v>11</v>
      </c>
      <c r="AC10" s="3">
        <f t="shared" ca="1" si="56"/>
        <v>10</v>
      </c>
      <c r="AD10" s="3">
        <f t="shared" ca="1" si="57"/>
        <v>17</v>
      </c>
      <c r="AE10" s="3">
        <f t="shared" ca="1" si="58"/>
        <v>0</v>
      </c>
      <c r="AF10" s="3">
        <f t="shared" ca="1" si="23"/>
        <v>1</v>
      </c>
      <c r="AG10" s="3">
        <f t="shared" ca="1" si="24"/>
        <v>1</v>
      </c>
      <c r="AH10" s="3">
        <f t="shared" ca="1" si="25"/>
        <v>6</v>
      </c>
      <c r="AI10" s="3">
        <f t="shared" ca="1" si="26"/>
        <v>15</v>
      </c>
      <c r="AJ10" s="3">
        <f t="shared" ca="1" si="27"/>
        <v>12</v>
      </c>
      <c r="AK10" s="3">
        <f t="shared" ca="1" si="28"/>
        <v>34</v>
      </c>
      <c r="AL10" s="3">
        <f t="shared" ca="1" si="29"/>
        <v>7</v>
      </c>
      <c r="AM10" s="3">
        <f t="shared" ca="1" si="30"/>
        <v>11</v>
      </c>
      <c r="AN10" s="3">
        <f t="shared" ca="1" si="31"/>
        <v>8</v>
      </c>
      <c r="AO10" s="3">
        <f t="shared" ca="1" si="32"/>
        <v>16</v>
      </c>
      <c r="AP10" s="3">
        <f t="shared" ca="1" si="33"/>
        <v>13</v>
      </c>
      <c r="AQ10" s="3">
        <f t="shared" ca="1" si="34"/>
        <v>14</v>
      </c>
      <c r="AR10" s="3">
        <f t="shared" ca="1" si="35"/>
        <v>5</v>
      </c>
      <c r="AS10" s="3">
        <f t="shared" ca="1" si="36"/>
        <v>21</v>
      </c>
      <c r="AT10" s="3">
        <f t="shared" ca="1" si="37"/>
        <v>6</v>
      </c>
      <c r="AU10" s="3">
        <f t="shared" ca="1" si="38"/>
        <v>1</v>
      </c>
      <c r="AV10" s="3">
        <f t="shared" ca="1" si="39"/>
        <v>49</v>
      </c>
      <c r="AW10" s="7">
        <f t="shared" ca="1" si="40"/>
        <v>0.4</v>
      </c>
      <c r="AX10" s="7">
        <f t="shared" ca="1" si="41"/>
        <v>0.35294117647058826</v>
      </c>
      <c r="AY10" s="7">
        <f t="shared" ca="1" si="42"/>
        <v>0.63636363636363635</v>
      </c>
      <c r="AZ10" s="7">
        <f t="shared" ca="1" si="43"/>
        <v>0.36734693877551022</v>
      </c>
      <c r="BA10" s="7">
        <f t="shared" ca="1" si="44"/>
        <v>0.42857142857142855</v>
      </c>
      <c r="BB10" s="3">
        <f ca="1">TeamGameData[[#This Row],[Opp OFF REB]]+TeamGameData[[#This Row],[Opp DEF REB]]</f>
        <v>24</v>
      </c>
      <c r="BC10" s="3">
        <f t="shared" ca="1" si="59"/>
        <v>9</v>
      </c>
      <c r="BD10" s="3">
        <f t="shared" ca="1" si="60"/>
        <v>8</v>
      </c>
      <c r="BE10" s="3">
        <f t="shared" ca="1" si="61"/>
        <v>19</v>
      </c>
      <c r="BF10" s="3">
        <f t="shared" ca="1" si="62"/>
        <v>13</v>
      </c>
      <c r="BG10" s="3">
        <f t="shared" ca="1" si="63"/>
        <v>0</v>
      </c>
      <c r="BH10" s="3">
        <f ca="1">IF($AF10=1,TeamGameData[[#This Row],[OFF REB]]-TeamGameData[[#This Row],[Opp OFF REB]],"")</f>
        <v>1</v>
      </c>
      <c r="BI10" s="3">
        <f ca="1">IF($AF10=1,TeamGameData[[#This Row],[DEF REB]]-TeamGameData[[#This Row],[Opp DEF REB]],"")</f>
        <v>3</v>
      </c>
      <c r="BJ10" s="3">
        <f ca="1">IF($AF10=1,TeamGameData[[#This Row],[TOT REB]]-TeamGameData[[#This Row],[Opp TOT REB]],"")</f>
        <v>4</v>
      </c>
      <c r="BK10" s="3" t="str">
        <f t="shared" ca="1" si="46"/>
        <v/>
      </c>
      <c r="BL10" s="3">
        <f t="shared" ca="1" si="47"/>
        <v>1</v>
      </c>
      <c r="BM10" s="3">
        <f t="shared" ca="1" si="48"/>
        <v>0</v>
      </c>
      <c r="BN10" s="3">
        <f t="shared" ca="1" si="49"/>
        <v>0</v>
      </c>
      <c r="BO10" s="3">
        <f t="shared" si="64"/>
        <v>4</v>
      </c>
      <c r="BP10" s="3" t="str">
        <f t="shared" ca="1" si="65"/>
        <v>Upton - Cokeville 12/19/2022</v>
      </c>
      <c r="BQ10" s="3" t="str">
        <f t="shared" ca="1" si="50"/>
        <v/>
      </c>
      <c r="BR10" s="3" t="str">
        <f ca="1">IF(BP10="Blank","",IF(TeamGameData[[#This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Cokeville 49, Upton 47</v>
      </c>
      <c r="BS10" s="6" t="str">
        <f ca="1">IFERROR(IF(BP10="Blank","",IF(AND(VLOOKUP(TeamGameData[[#This Row],[Opponent]],WYTeamInfo,2,FALSE)=Roster!$D$1,VLOOKUP(TeamGameData[[#This Row],[Opponent]],WYTeamInfo,3,FALSE)=Roster!$D$2),"SR","")),"")</f>
        <v/>
      </c>
      <c r="BT10" s="3" t="str">
        <f>CONCATENATE(Roster!$D$1," ",Roster!$D$5)</f>
        <v>1A BB</v>
      </c>
      <c r="BU10" s="3">
        <f ca="1">Team_Report!$B225</f>
        <v>1</v>
      </c>
      <c r="BV10" s="3" t="str">
        <f>Roster!$D$3</f>
        <v>East</v>
      </c>
      <c r="BW10" s="3" t="str">
        <f>Roster!$D$2</f>
        <v>Northeast</v>
      </c>
      <c r="BX10" s="3" t="str">
        <f>Roster!$D$4</f>
        <v>North</v>
      </c>
      <c r="BY10" s="3">
        <f t="shared" ca="1" si="51"/>
        <v>0</v>
      </c>
      <c r="BZ10" s="3">
        <f t="shared" ca="1" si="52"/>
        <v>0</v>
      </c>
      <c r="CA10" s="3" t="str">
        <f>Roster!$D$8</f>
        <v>Joe Samuelson</v>
      </c>
    </row>
    <row r="11" spans="1:79" ht="11.45" x14ac:dyDescent="0.25">
      <c r="A11" s="3" t="str">
        <f>Roster!$B$1</f>
        <v>Upton</v>
      </c>
      <c r="B11" s="3" t="str">
        <f t="shared" ca="1" si="53"/>
        <v>Little Snake River</v>
      </c>
      <c r="C11" s="6">
        <f t="shared" ca="1" si="54"/>
        <v>44912</v>
      </c>
      <c r="D11" s="3">
        <f t="shared" ca="1" si="0"/>
        <v>1</v>
      </c>
      <c r="E11" s="3">
        <f t="shared" ca="1" si="1"/>
        <v>32</v>
      </c>
      <c r="F11" s="3">
        <f t="shared" ca="1" si="2"/>
        <v>5</v>
      </c>
      <c r="G11" s="3">
        <f t="shared" ca="1" si="3"/>
        <v>22</v>
      </c>
      <c r="H11" s="3">
        <f t="shared" ca="1" si="4"/>
        <v>10</v>
      </c>
      <c r="I11" s="3">
        <f t="shared" ca="1" si="5"/>
        <v>30</v>
      </c>
      <c r="J11" s="3">
        <f t="shared" ca="1" si="6"/>
        <v>13</v>
      </c>
      <c r="K11" s="3">
        <f t="shared" ca="1" si="7"/>
        <v>18</v>
      </c>
      <c r="L11" s="3">
        <f t="shared" ca="1" si="8"/>
        <v>10</v>
      </c>
      <c r="M11" s="3">
        <f t="shared" ca="1" si="9"/>
        <v>19</v>
      </c>
      <c r="N11" s="3">
        <f t="shared" ca="1" si="10"/>
        <v>14</v>
      </c>
      <c r="O11" s="3">
        <f t="shared" ca="1" si="11"/>
        <v>9</v>
      </c>
      <c r="P11" s="3">
        <f t="shared" ca="1" si="12"/>
        <v>1</v>
      </c>
      <c r="Q11" s="3">
        <f t="shared" ca="1" si="13"/>
        <v>15</v>
      </c>
      <c r="R11" s="3">
        <f t="shared" ca="1" si="14"/>
        <v>19</v>
      </c>
      <c r="S11" s="3">
        <f t="shared" ca="1" si="15"/>
        <v>0</v>
      </c>
      <c r="T11" s="3">
        <f t="shared" ca="1" si="16"/>
        <v>48</v>
      </c>
      <c r="U11" s="7">
        <f t="shared" ca="1" si="17"/>
        <v>0.22727272727272727</v>
      </c>
      <c r="V11" s="7">
        <f t="shared" ca="1" si="18"/>
        <v>0.33333333333333331</v>
      </c>
      <c r="W11" s="7">
        <f t="shared" ca="1" si="19"/>
        <v>0.72222222222222221</v>
      </c>
      <c r="X11" s="7">
        <f t="shared" ca="1" si="20"/>
        <v>0.28846153846153844</v>
      </c>
      <c r="Y11" s="7">
        <f t="shared" ca="1" si="21"/>
        <v>0.33653846153846156</v>
      </c>
      <c r="Z11" s="3">
        <f ca="1">TeamGameData[[#This Row],[OFF REB]]+TeamGameData[[#This Row],[DEF REB]]</f>
        <v>29</v>
      </c>
      <c r="AA11" s="3">
        <f t="shared" ca="1" si="22"/>
        <v>17</v>
      </c>
      <c r="AB11" s="3">
        <f t="shared" ca="1" si="55"/>
        <v>23</v>
      </c>
      <c r="AC11" s="3">
        <f t="shared" ca="1" si="56"/>
        <v>3</v>
      </c>
      <c r="AD11" s="3">
        <f t="shared" ca="1" si="57"/>
        <v>5</v>
      </c>
      <c r="AE11" s="3">
        <f t="shared" ca="1" si="58"/>
        <v>0</v>
      </c>
      <c r="AF11" s="3">
        <f t="shared" ca="1" si="23"/>
        <v>1</v>
      </c>
      <c r="AG11" s="3">
        <f t="shared" ca="1" si="24"/>
        <v>1</v>
      </c>
      <c r="AH11" s="3">
        <f t="shared" ca="1" si="25"/>
        <v>8</v>
      </c>
      <c r="AI11" s="3">
        <f t="shared" ca="1" si="26"/>
        <v>19</v>
      </c>
      <c r="AJ11" s="3">
        <f t="shared" ca="1" si="27"/>
        <v>12</v>
      </c>
      <c r="AK11" s="3">
        <f t="shared" ca="1" si="28"/>
        <v>25</v>
      </c>
      <c r="AL11" s="3">
        <f t="shared" ca="1" si="29"/>
        <v>12</v>
      </c>
      <c r="AM11" s="3">
        <f t="shared" ca="1" si="30"/>
        <v>22</v>
      </c>
      <c r="AN11" s="3">
        <f t="shared" ca="1" si="31"/>
        <v>5</v>
      </c>
      <c r="AO11" s="3">
        <f t="shared" ca="1" si="32"/>
        <v>18</v>
      </c>
      <c r="AP11" s="3">
        <f t="shared" ca="1" si="33"/>
        <v>16</v>
      </c>
      <c r="AQ11" s="3">
        <f t="shared" ca="1" si="34"/>
        <v>9</v>
      </c>
      <c r="AR11" s="3">
        <f t="shared" ca="1" si="35"/>
        <v>3</v>
      </c>
      <c r="AS11" s="3">
        <f t="shared" ca="1" si="36"/>
        <v>11</v>
      </c>
      <c r="AT11" s="3">
        <f t="shared" ca="1" si="37"/>
        <v>18</v>
      </c>
      <c r="AU11" s="3">
        <f t="shared" ca="1" si="38"/>
        <v>0</v>
      </c>
      <c r="AV11" s="3">
        <f t="shared" ca="1" si="39"/>
        <v>60</v>
      </c>
      <c r="AW11" s="7">
        <f t="shared" ca="1" si="40"/>
        <v>0.42105263157894735</v>
      </c>
      <c r="AX11" s="7">
        <f t="shared" ca="1" si="41"/>
        <v>0.48</v>
      </c>
      <c r="AY11" s="7">
        <f t="shared" ca="1" si="42"/>
        <v>0.54545454545454541</v>
      </c>
      <c r="AZ11" s="7">
        <f t="shared" ca="1" si="43"/>
        <v>0.45454545454545453</v>
      </c>
      <c r="BA11" s="7">
        <f t="shared" ca="1" si="44"/>
        <v>0.54545454545454541</v>
      </c>
      <c r="BB11" s="3">
        <f ca="1">TeamGameData[[#This Row],[Opp OFF REB]]+TeamGameData[[#This Row],[Opp DEF REB]]</f>
        <v>23</v>
      </c>
      <c r="BC11" s="3">
        <f t="shared" ca="1" si="59"/>
        <v>12</v>
      </c>
      <c r="BD11" s="3">
        <f t="shared" ca="1" si="60"/>
        <v>24</v>
      </c>
      <c r="BE11" s="3">
        <f t="shared" ca="1" si="61"/>
        <v>9</v>
      </c>
      <c r="BF11" s="3">
        <f t="shared" ca="1" si="62"/>
        <v>15</v>
      </c>
      <c r="BG11" s="3">
        <f t="shared" ca="1" si="63"/>
        <v>0</v>
      </c>
      <c r="BH11" s="3">
        <f ca="1">IF($AF11=1,TeamGameData[[#This Row],[OFF REB]]-TeamGameData[[#This Row],[Opp OFF REB]],"")</f>
        <v>5</v>
      </c>
      <c r="BI11" s="3">
        <f ca="1">IF($AF11=1,TeamGameData[[#This Row],[DEF REB]]-TeamGameData[[#This Row],[Opp DEF REB]],"")</f>
        <v>1</v>
      </c>
      <c r="BJ11" s="3">
        <f ca="1">IF($AF11=1,TeamGameData[[#This Row],[TOT REB]]-TeamGameData[[#This Row],[Opp TOT REB]],"")</f>
        <v>6</v>
      </c>
      <c r="BK11" s="3" t="str">
        <f t="shared" ca="1" si="46"/>
        <v/>
      </c>
      <c r="BL11" s="3">
        <f t="shared" ca="1" si="47"/>
        <v>1</v>
      </c>
      <c r="BM11" s="3">
        <f t="shared" ca="1" si="48"/>
        <v>0</v>
      </c>
      <c r="BN11" s="3">
        <f t="shared" ca="1" si="49"/>
        <v>0</v>
      </c>
      <c r="BO11" s="3">
        <f t="shared" si="64"/>
        <v>5</v>
      </c>
      <c r="BP11" s="3" t="str">
        <f t="shared" ca="1" si="65"/>
        <v>Upton - Little Snake River 12/17/2022</v>
      </c>
      <c r="BQ11" s="3" t="str">
        <f t="shared" ca="1" si="50"/>
        <v/>
      </c>
      <c r="BR11" s="3" t="str">
        <f ca="1">IF(BP11="Blank","",IF(TeamGameData[[#This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Little Snake River 60, Upton 48</v>
      </c>
      <c r="BS11" s="6" t="str">
        <f ca="1">IFERROR(IF(BP11="Blank","",IF(AND(VLOOKUP(TeamGameData[[#This Row],[Opponent]],WYTeamInfo,2,FALSE)=Roster!$D$1,VLOOKUP(TeamGameData[[#This Row],[Opponent]],WYTeamInfo,3,FALSE)=Roster!$D$2),"SR","")),"")</f>
        <v/>
      </c>
      <c r="BT11" s="3" t="str">
        <f>CONCATENATE(Roster!$D$1," ",Roster!$D$5)</f>
        <v>1A BB</v>
      </c>
      <c r="BU11" s="3">
        <f ca="1">Team_Report!$B226</f>
        <v>1</v>
      </c>
      <c r="BV11" s="3" t="str">
        <f>Roster!$D$3</f>
        <v>East</v>
      </c>
      <c r="BW11" s="3" t="str">
        <f>Roster!$D$2</f>
        <v>Northeast</v>
      </c>
      <c r="BX11" s="3" t="str">
        <f>Roster!$D$4</f>
        <v>North</v>
      </c>
      <c r="BY11" s="3">
        <f t="shared" ca="1" si="51"/>
        <v>0</v>
      </c>
      <c r="BZ11" s="3">
        <f t="shared" ca="1" si="52"/>
        <v>0</v>
      </c>
      <c r="CA11" s="3" t="str">
        <f>Roster!$D$8</f>
        <v>Joe Samuelson</v>
      </c>
    </row>
    <row r="12" spans="1:79" ht="11.45" x14ac:dyDescent="0.25">
      <c r="A12" s="3" t="str">
        <f>Roster!$B$1</f>
        <v>Upton</v>
      </c>
      <c r="B12" s="3" t="str">
        <f t="shared" ca="1" si="53"/>
        <v>Meeteetse</v>
      </c>
      <c r="C12" s="6">
        <f t="shared" ca="1" si="54"/>
        <v>44912</v>
      </c>
      <c r="D12" s="3">
        <f t="shared" ca="1" si="0"/>
        <v>1</v>
      </c>
      <c r="E12" s="3">
        <f t="shared" ca="1" si="1"/>
        <v>32</v>
      </c>
      <c r="F12" s="3">
        <f t="shared" ca="1" si="2"/>
        <v>4</v>
      </c>
      <c r="G12" s="3">
        <f t="shared" ca="1" si="3"/>
        <v>21</v>
      </c>
      <c r="H12" s="3">
        <f t="shared" ca="1" si="4"/>
        <v>20</v>
      </c>
      <c r="I12" s="3">
        <f t="shared" ca="1" si="5"/>
        <v>46</v>
      </c>
      <c r="J12" s="3">
        <f t="shared" ca="1" si="6"/>
        <v>4</v>
      </c>
      <c r="K12" s="3">
        <f t="shared" ca="1" si="7"/>
        <v>9</v>
      </c>
      <c r="L12" s="3">
        <f t="shared" ca="1" si="8"/>
        <v>19</v>
      </c>
      <c r="M12" s="3">
        <f t="shared" ca="1" si="9"/>
        <v>26</v>
      </c>
      <c r="N12" s="3">
        <f t="shared" ca="1" si="10"/>
        <v>11</v>
      </c>
      <c r="O12" s="3">
        <f t="shared" ca="1" si="11"/>
        <v>15</v>
      </c>
      <c r="P12" s="3">
        <f t="shared" ca="1" si="12"/>
        <v>2</v>
      </c>
      <c r="Q12" s="3">
        <f t="shared" ca="1" si="13"/>
        <v>12</v>
      </c>
      <c r="R12" s="3">
        <f t="shared" ca="1" si="14"/>
        <v>10</v>
      </c>
      <c r="S12" s="3">
        <f t="shared" ca="1" si="15"/>
        <v>2</v>
      </c>
      <c r="T12" s="3">
        <f t="shared" ca="1" si="16"/>
        <v>56</v>
      </c>
      <c r="U12" s="7">
        <f t="shared" ca="1" si="17"/>
        <v>0.19047619047619047</v>
      </c>
      <c r="V12" s="7">
        <f t="shared" ca="1" si="18"/>
        <v>0.43478260869565216</v>
      </c>
      <c r="W12" s="7">
        <f t="shared" ca="1" si="19"/>
        <v>0.44444444444444442</v>
      </c>
      <c r="X12" s="7">
        <f t="shared" ca="1" si="20"/>
        <v>0.35820895522388058</v>
      </c>
      <c r="Y12" s="7">
        <f t="shared" ca="1" si="21"/>
        <v>0.38805970149253732</v>
      </c>
      <c r="Z12" s="3">
        <f ca="1">TeamGameData[[#This Row],[OFF REB]]+TeamGameData[[#This Row],[DEF REB]]</f>
        <v>45</v>
      </c>
      <c r="AA12" s="3">
        <f t="shared" ca="1" si="22"/>
        <v>19</v>
      </c>
      <c r="AB12" s="3">
        <f t="shared" ca="1" si="55"/>
        <v>12</v>
      </c>
      <c r="AC12" s="3">
        <f t="shared" ca="1" si="56"/>
        <v>13</v>
      </c>
      <c r="AD12" s="3">
        <f t="shared" ca="1" si="57"/>
        <v>12</v>
      </c>
      <c r="AE12" s="3">
        <f t="shared" ca="1" si="58"/>
        <v>0</v>
      </c>
      <c r="AF12" s="3">
        <f t="shared" ca="1" si="23"/>
        <v>1</v>
      </c>
      <c r="AG12" s="3">
        <f t="shared" ca="1" si="24"/>
        <v>1</v>
      </c>
      <c r="AH12" s="3">
        <f t="shared" ca="1" si="25"/>
        <v>1</v>
      </c>
      <c r="AI12" s="3">
        <f t="shared" ca="1" si="26"/>
        <v>11</v>
      </c>
      <c r="AJ12" s="3">
        <f t="shared" ca="1" si="27"/>
        <v>8</v>
      </c>
      <c r="AK12" s="3">
        <f t="shared" ca="1" si="28"/>
        <v>38</v>
      </c>
      <c r="AL12" s="3">
        <f t="shared" ca="1" si="29"/>
        <v>5</v>
      </c>
      <c r="AM12" s="3">
        <f t="shared" ca="1" si="30"/>
        <v>9</v>
      </c>
      <c r="AN12" s="3">
        <f t="shared" ca="1" si="31"/>
        <v>13</v>
      </c>
      <c r="AO12" s="3">
        <f t="shared" ca="1" si="32"/>
        <v>22</v>
      </c>
      <c r="AP12" s="3">
        <f t="shared" ca="1" si="33"/>
        <v>7</v>
      </c>
      <c r="AQ12" s="3">
        <f t="shared" ca="1" si="34"/>
        <v>8</v>
      </c>
      <c r="AR12" s="3">
        <f t="shared" ca="1" si="35"/>
        <v>4</v>
      </c>
      <c r="AS12" s="3">
        <f t="shared" ca="1" si="36"/>
        <v>23</v>
      </c>
      <c r="AT12" s="3">
        <f t="shared" ca="1" si="37"/>
        <v>11</v>
      </c>
      <c r="AU12" s="3">
        <f t="shared" ca="1" si="38"/>
        <v>1</v>
      </c>
      <c r="AV12" s="3">
        <f t="shared" ca="1" si="39"/>
        <v>24</v>
      </c>
      <c r="AW12" s="7">
        <f t="shared" ca="1" si="40"/>
        <v>9.0909090909090912E-2</v>
      </c>
      <c r="AX12" s="7">
        <f t="shared" ca="1" si="41"/>
        <v>0.21052631578947367</v>
      </c>
      <c r="AY12" s="7">
        <f t="shared" ca="1" si="42"/>
        <v>0.55555555555555558</v>
      </c>
      <c r="AZ12" s="7">
        <f t="shared" ca="1" si="43"/>
        <v>0.18367346938775511</v>
      </c>
      <c r="BA12" s="7">
        <f t="shared" ca="1" si="44"/>
        <v>0.19387755102040816</v>
      </c>
      <c r="BB12" s="3">
        <f ca="1">TeamGameData[[#This Row],[Opp OFF REB]]+TeamGameData[[#This Row],[Opp DEF REB]]</f>
        <v>35</v>
      </c>
      <c r="BC12" s="3">
        <f t="shared" ca="1" si="59"/>
        <v>7</v>
      </c>
      <c r="BD12" s="3">
        <f t="shared" ca="1" si="60"/>
        <v>2</v>
      </c>
      <c r="BE12" s="3">
        <f t="shared" ca="1" si="61"/>
        <v>6</v>
      </c>
      <c r="BF12" s="3">
        <f t="shared" ca="1" si="62"/>
        <v>9</v>
      </c>
      <c r="BG12" s="3">
        <f t="shared" ca="1" si="63"/>
        <v>0</v>
      </c>
      <c r="BH12" s="3">
        <f ca="1">IF($AF12=1,TeamGameData[[#This Row],[OFF REB]]-TeamGameData[[#This Row],[Opp OFF REB]],"")</f>
        <v>6</v>
      </c>
      <c r="BI12" s="3">
        <f ca="1">IF($AF12=1,TeamGameData[[#This Row],[DEF REB]]-TeamGameData[[#This Row],[Opp DEF REB]],"")</f>
        <v>4</v>
      </c>
      <c r="BJ12" s="3">
        <f ca="1">IF($AF12=1,TeamGameData[[#This Row],[TOT REB]]-TeamGameData[[#This Row],[Opp TOT REB]],"")</f>
        <v>10</v>
      </c>
      <c r="BK12" s="3">
        <f t="shared" ca="1" si="46"/>
        <v>1</v>
      </c>
      <c r="BL12" s="3" t="str">
        <f t="shared" ca="1" si="47"/>
        <v/>
      </c>
      <c r="BM12" s="3">
        <f t="shared" ca="1" si="48"/>
        <v>0</v>
      </c>
      <c r="BN12" s="3">
        <f t="shared" ca="1" si="49"/>
        <v>0</v>
      </c>
      <c r="BO12" s="3">
        <f t="shared" si="64"/>
        <v>6</v>
      </c>
      <c r="BP12" s="3" t="str">
        <f t="shared" ca="1" si="65"/>
        <v>Upton - Meeteetse 12/17/2022</v>
      </c>
      <c r="BQ12" s="3" t="str">
        <f t="shared" ca="1" si="50"/>
        <v/>
      </c>
      <c r="BR12" s="3" t="str">
        <f ca="1">IF(BP12="Blank","",IF(TeamGameData[[#This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56, Meeteetse 24</v>
      </c>
      <c r="BS12" s="6" t="str">
        <f ca="1">IFERROR(IF(BP12="Blank","",IF(AND(VLOOKUP(TeamGameData[[#This Row],[Opponent]],WYTeamInfo,2,FALSE)=Roster!$D$1,VLOOKUP(TeamGameData[[#This Row],[Opponent]],WYTeamInfo,3,FALSE)=Roster!$D$2),"SR","")),"")</f>
        <v/>
      </c>
      <c r="BT12" s="3" t="str">
        <f>CONCATENATE(Roster!$D$1," ",Roster!$D$5)</f>
        <v>1A BB</v>
      </c>
      <c r="BU12" s="3">
        <f ca="1">Team_Report!$B227</f>
        <v>1</v>
      </c>
      <c r="BV12" s="3" t="str">
        <f>Roster!$D$3</f>
        <v>East</v>
      </c>
      <c r="BW12" s="3" t="str">
        <f>Roster!$D$2</f>
        <v>Northeast</v>
      </c>
      <c r="BX12" s="3" t="str">
        <f>Roster!$D$4</f>
        <v>North</v>
      </c>
      <c r="BY12" s="3">
        <f t="shared" ca="1" si="51"/>
        <v>0</v>
      </c>
      <c r="BZ12" s="3">
        <f t="shared" ca="1" si="52"/>
        <v>0</v>
      </c>
      <c r="CA12" s="3" t="str">
        <f>Roster!$D$8</f>
        <v>Joe Samuelson</v>
      </c>
    </row>
    <row r="13" spans="1:79" ht="11.45" x14ac:dyDescent="0.25">
      <c r="A13" s="3" t="str">
        <f>Roster!$B$1</f>
        <v>Upton</v>
      </c>
      <c r="B13" s="3" t="str">
        <f t="shared" ca="1" si="53"/>
        <v>Moorcroft</v>
      </c>
      <c r="C13" s="6">
        <f t="shared" ca="1" si="54"/>
        <v>44935</v>
      </c>
      <c r="D13" s="3">
        <f t="shared" ca="1" si="0"/>
        <v>1</v>
      </c>
      <c r="E13" s="3">
        <f t="shared" ca="1" si="1"/>
        <v>32</v>
      </c>
      <c r="F13" s="3">
        <f t="shared" ca="1" si="2"/>
        <v>8</v>
      </c>
      <c r="G13" s="3">
        <f t="shared" ca="1" si="3"/>
        <v>26</v>
      </c>
      <c r="H13" s="3">
        <f t="shared" ca="1" si="4"/>
        <v>16</v>
      </c>
      <c r="I13" s="3">
        <f t="shared" ca="1" si="5"/>
        <v>32</v>
      </c>
      <c r="J13" s="3">
        <f t="shared" ca="1" si="6"/>
        <v>6</v>
      </c>
      <c r="K13" s="3">
        <f t="shared" ca="1" si="7"/>
        <v>7</v>
      </c>
      <c r="L13" s="3">
        <f t="shared" ca="1" si="8"/>
        <v>12</v>
      </c>
      <c r="M13" s="3">
        <f t="shared" ca="1" si="9"/>
        <v>24</v>
      </c>
      <c r="N13" s="3">
        <f t="shared" ca="1" si="10"/>
        <v>18</v>
      </c>
      <c r="O13" s="3">
        <f t="shared" ca="1" si="11"/>
        <v>11</v>
      </c>
      <c r="P13" s="3">
        <f t="shared" ca="1" si="12"/>
        <v>4</v>
      </c>
      <c r="Q13" s="3">
        <f t="shared" ca="1" si="13"/>
        <v>18</v>
      </c>
      <c r="R13" s="3">
        <f t="shared" ca="1" si="14"/>
        <v>9</v>
      </c>
      <c r="S13" s="3">
        <f t="shared" ca="1" si="15"/>
        <v>1</v>
      </c>
      <c r="T13" s="3">
        <f t="shared" ca="1" si="16"/>
        <v>62</v>
      </c>
      <c r="U13" s="7">
        <f t="shared" ca="1" si="17"/>
        <v>0.30769230769230771</v>
      </c>
      <c r="V13" s="7">
        <f t="shared" ca="1" si="18"/>
        <v>0.5</v>
      </c>
      <c r="W13" s="7">
        <f t="shared" ca="1" si="19"/>
        <v>0.8571428571428571</v>
      </c>
      <c r="X13" s="7">
        <f t="shared" ca="1" si="20"/>
        <v>0.41379310344827586</v>
      </c>
      <c r="Y13" s="7">
        <f t="shared" ca="1" si="21"/>
        <v>0.48275862068965519</v>
      </c>
      <c r="Z13" s="3">
        <f ca="1">TeamGameData[[#This Row],[OFF REB]]+TeamGameData[[#This Row],[DEF REB]]</f>
        <v>36</v>
      </c>
      <c r="AA13" s="3">
        <f t="shared" ca="1" si="22"/>
        <v>14</v>
      </c>
      <c r="AB13" s="3">
        <f t="shared" ca="1" si="55"/>
        <v>23</v>
      </c>
      <c r="AC13" s="3">
        <f t="shared" ca="1" si="56"/>
        <v>16</v>
      </c>
      <c r="AD13" s="3">
        <f t="shared" ca="1" si="57"/>
        <v>9</v>
      </c>
      <c r="AE13" s="3">
        <f t="shared" ca="1" si="58"/>
        <v>0</v>
      </c>
      <c r="AF13" s="3">
        <f t="shared" ca="1" si="23"/>
        <v>1</v>
      </c>
      <c r="AG13" s="3">
        <f t="shared" ca="1" si="24"/>
        <v>1</v>
      </c>
      <c r="AH13" s="3">
        <f t="shared" ca="1" si="25"/>
        <v>3</v>
      </c>
      <c r="AI13" s="3">
        <f t="shared" ca="1" si="26"/>
        <v>16</v>
      </c>
      <c r="AJ13" s="3">
        <f t="shared" ca="1" si="27"/>
        <v>15</v>
      </c>
      <c r="AK13" s="3">
        <f t="shared" ca="1" si="28"/>
        <v>39</v>
      </c>
      <c r="AL13" s="3">
        <f t="shared" ca="1" si="29"/>
        <v>3</v>
      </c>
      <c r="AM13" s="3">
        <f t="shared" ca="1" si="30"/>
        <v>7</v>
      </c>
      <c r="AN13" s="3">
        <f t="shared" ca="1" si="31"/>
        <v>7</v>
      </c>
      <c r="AO13" s="3">
        <f t="shared" ca="1" si="32"/>
        <v>18</v>
      </c>
      <c r="AP13" s="3">
        <f t="shared" ca="1" si="33"/>
        <v>8</v>
      </c>
      <c r="AQ13" s="3">
        <f t="shared" ca="1" si="34"/>
        <v>10</v>
      </c>
      <c r="AR13" s="3">
        <f t="shared" ca="1" si="35"/>
        <v>0</v>
      </c>
      <c r="AS13" s="3">
        <f t="shared" ca="1" si="36"/>
        <v>20</v>
      </c>
      <c r="AT13" s="3">
        <f t="shared" ca="1" si="37"/>
        <v>9</v>
      </c>
      <c r="AU13" s="3">
        <f t="shared" ca="1" si="38"/>
        <v>0</v>
      </c>
      <c r="AV13" s="3">
        <f t="shared" ca="1" si="39"/>
        <v>42</v>
      </c>
      <c r="AW13" s="7">
        <f t="shared" ca="1" si="40"/>
        <v>0.1875</v>
      </c>
      <c r="AX13" s="7">
        <f t="shared" ca="1" si="41"/>
        <v>0.38461538461538464</v>
      </c>
      <c r="AY13" s="7">
        <f t="shared" ca="1" si="42"/>
        <v>0.42857142857142855</v>
      </c>
      <c r="AZ13" s="7">
        <f t="shared" ca="1" si="43"/>
        <v>0.32727272727272727</v>
      </c>
      <c r="BA13" s="7">
        <f t="shared" ca="1" si="44"/>
        <v>0.35454545454545455</v>
      </c>
      <c r="BB13" s="3">
        <f ca="1">TeamGameData[[#This Row],[Opp OFF REB]]+TeamGameData[[#This Row],[Opp DEF REB]]</f>
        <v>25</v>
      </c>
      <c r="BC13" s="3">
        <f t="shared" ca="1" si="59"/>
        <v>13</v>
      </c>
      <c r="BD13" s="3">
        <f t="shared" ca="1" si="60"/>
        <v>6</v>
      </c>
      <c r="BE13" s="3">
        <f t="shared" ca="1" si="61"/>
        <v>8</v>
      </c>
      <c r="BF13" s="3">
        <f t="shared" ca="1" si="62"/>
        <v>15</v>
      </c>
      <c r="BG13" s="3">
        <f t="shared" ca="1" si="63"/>
        <v>0</v>
      </c>
      <c r="BH13" s="3">
        <f ca="1">IF($AF13=1,TeamGameData[[#This Row],[OFF REB]]-TeamGameData[[#This Row],[Opp OFF REB]],"")</f>
        <v>5</v>
      </c>
      <c r="BI13" s="3">
        <f ca="1">IF($AF13=1,TeamGameData[[#This Row],[DEF REB]]-TeamGameData[[#This Row],[Opp DEF REB]],"")</f>
        <v>6</v>
      </c>
      <c r="BJ13" s="3">
        <f ca="1">IF($AF13=1,TeamGameData[[#This Row],[TOT REB]]-TeamGameData[[#This Row],[Opp TOT REB]],"")</f>
        <v>11</v>
      </c>
      <c r="BK13" s="3">
        <f t="shared" ca="1" si="46"/>
        <v>1</v>
      </c>
      <c r="BL13" s="3" t="str">
        <f t="shared" ca="1" si="47"/>
        <v/>
      </c>
      <c r="BM13" s="3">
        <f t="shared" ca="1" si="48"/>
        <v>0</v>
      </c>
      <c r="BN13" s="3">
        <f t="shared" ca="1" si="49"/>
        <v>0</v>
      </c>
      <c r="BO13" s="3">
        <f t="shared" si="64"/>
        <v>7</v>
      </c>
      <c r="BP13" s="3" t="str">
        <f t="shared" ca="1" si="65"/>
        <v>Upton - Moorcroft 1/9/2023</v>
      </c>
      <c r="BQ13" s="3" t="str">
        <f t="shared" ca="1" si="50"/>
        <v/>
      </c>
      <c r="BR13" s="3" t="str">
        <f ca="1">IF(BP13="Blank","",IF(TeamGameData[[#This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62, Moorcroft 42</v>
      </c>
      <c r="BS13" s="6" t="str">
        <f ca="1">IFERROR(IF(BP13="Blank","",IF(AND(VLOOKUP(TeamGameData[[#This Row],[Opponent]],WYTeamInfo,2,FALSE)=Roster!$D$1,VLOOKUP(TeamGameData[[#This Row],[Opponent]],WYTeamInfo,3,FALSE)=Roster!$D$2),"SR","")),"")</f>
        <v/>
      </c>
      <c r="BT13" s="3" t="str">
        <f>CONCATENATE(Roster!$D$1," ",Roster!$D$5)</f>
        <v>1A BB</v>
      </c>
      <c r="BU13" s="3">
        <f ca="1">Team_Report!$B228</f>
        <v>1</v>
      </c>
      <c r="BV13" s="3" t="str">
        <f>Roster!$D$3</f>
        <v>East</v>
      </c>
      <c r="BW13" s="3" t="str">
        <f>Roster!$D$2</f>
        <v>Northeast</v>
      </c>
      <c r="BX13" s="3" t="str">
        <f>Roster!$D$4</f>
        <v>North</v>
      </c>
      <c r="BY13" s="3">
        <f t="shared" ca="1" si="51"/>
        <v>0</v>
      </c>
      <c r="BZ13" s="3">
        <f t="shared" ca="1" si="52"/>
        <v>0</v>
      </c>
      <c r="CA13" s="3" t="str">
        <f>Roster!$D$8</f>
        <v>Joe Samuelson</v>
      </c>
    </row>
    <row r="14" spans="1:79" ht="11.45" x14ac:dyDescent="0.25">
      <c r="A14" s="3" t="str">
        <f>Roster!$B$1</f>
        <v>Upton</v>
      </c>
      <c r="B14" s="3" t="str">
        <f t="shared" ca="1" si="53"/>
        <v>New Underwood, SD</v>
      </c>
      <c r="C14" s="6">
        <f t="shared" ca="1" si="54"/>
        <v>44938</v>
      </c>
      <c r="D14" s="3">
        <f t="shared" ca="1" si="0"/>
        <v>1</v>
      </c>
      <c r="E14" s="3">
        <f t="shared" ca="1" si="1"/>
        <v>32</v>
      </c>
      <c r="F14" s="3">
        <f t="shared" ca="1" si="2"/>
        <v>2</v>
      </c>
      <c r="G14" s="3">
        <f t="shared" ca="1" si="3"/>
        <v>25</v>
      </c>
      <c r="H14" s="3">
        <f t="shared" ca="1" si="4"/>
        <v>12</v>
      </c>
      <c r="I14" s="3">
        <f t="shared" ca="1" si="5"/>
        <v>31</v>
      </c>
      <c r="J14" s="3">
        <f t="shared" ca="1" si="6"/>
        <v>12</v>
      </c>
      <c r="K14" s="3">
        <f t="shared" ca="1" si="7"/>
        <v>20</v>
      </c>
      <c r="L14" s="3">
        <f t="shared" ca="1" si="8"/>
        <v>13</v>
      </c>
      <c r="M14" s="3">
        <f t="shared" ca="1" si="9"/>
        <v>21</v>
      </c>
      <c r="N14" s="3">
        <f t="shared" ca="1" si="10"/>
        <v>7</v>
      </c>
      <c r="O14" s="3">
        <f t="shared" ca="1" si="11"/>
        <v>10</v>
      </c>
      <c r="P14" s="3">
        <f t="shared" ca="1" si="12"/>
        <v>2</v>
      </c>
      <c r="Q14" s="3">
        <f t="shared" ca="1" si="13"/>
        <v>9</v>
      </c>
      <c r="R14" s="3">
        <f t="shared" ca="1" si="14"/>
        <v>12</v>
      </c>
      <c r="S14" s="3">
        <f t="shared" ca="1" si="15"/>
        <v>0</v>
      </c>
      <c r="T14" s="3">
        <f t="shared" ca="1" si="16"/>
        <v>42</v>
      </c>
      <c r="U14" s="7">
        <f t="shared" ca="1" si="17"/>
        <v>0.08</v>
      </c>
      <c r="V14" s="7">
        <f t="shared" ca="1" si="18"/>
        <v>0.38709677419354838</v>
      </c>
      <c r="W14" s="7">
        <f t="shared" ca="1" si="19"/>
        <v>0.6</v>
      </c>
      <c r="X14" s="7">
        <f t="shared" ca="1" si="20"/>
        <v>0.25</v>
      </c>
      <c r="Y14" s="7">
        <f t="shared" ca="1" si="21"/>
        <v>0.26785714285714285</v>
      </c>
      <c r="Z14" s="3">
        <f ca="1">TeamGameData[[#This Row],[OFF REB]]+TeamGameData[[#This Row],[DEF REB]]</f>
        <v>34</v>
      </c>
      <c r="AA14" s="3">
        <f t="shared" ca="1" si="22"/>
        <v>4</v>
      </c>
      <c r="AB14" s="3">
        <f t="shared" ca="1" si="55"/>
        <v>11</v>
      </c>
      <c r="AC14" s="3">
        <f t="shared" ca="1" si="56"/>
        <v>2</v>
      </c>
      <c r="AD14" s="3">
        <f t="shared" ca="1" si="57"/>
        <v>25</v>
      </c>
      <c r="AE14" s="3">
        <f t="shared" ca="1" si="58"/>
        <v>0</v>
      </c>
      <c r="AF14" s="3">
        <f t="shared" ca="1" si="23"/>
        <v>1</v>
      </c>
      <c r="AG14" s="3">
        <f t="shared" ca="1" si="24"/>
        <v>1</v>
      </c>
      <c r="AH14" s="3">
        <f t="shared" ca="1" si="25"/>
        <v>6</v>
      </c>
      <c r="AI14" s="3">
        <f t="shared" ca="1" si="26"/>
        <v>24</v>
      </c>
      <c r="AJ14" s="3">
        <f t="shared" ca="1" si="27"/>
        <v>10</v>
      </c>
      <c r="AK14" s="3">
        <f t="shared" ca="1" si="28"/>
        <v>25</v>
      </c>
      <c r="AL14" s="3">
        <f t="shared" ca="1" si="29"/>
        <v>0</v>
      </c>
      <c r="AM14" s="3">
        <f t="shared" ca="1" si="30"/>
        <v>1</v>
      </c>
      <c r="AN14" s="3">
        <f t="shared" ca="1" si="31"/>
        <v>8</v>
      </c>
      <c r="AO14" s="3">
        <f t="shared" ca="1" si="32"/>
        <v>27</v>
      </c>
      <c r="AP14" s="3">
        <f t="shared" ca="1" si="33"/>
        <v>10</v>
      </c>
      <c r="AQ14" s="3">
        <f t="shared" ca="1" si="34"/>
        <v>2</v>
      </c>
      <c r="AR14" s="3">
        <f t="shared" ca="1" si="35"/>
        <v>4</v>
      </c>
      <c r="AS14" s="3">
        <f t="shared" ca="1" si="36"/>
        <v>20</v>
      </c>
      <c r="AT14" s="3">
        <f t="shared" ca="1" si="37"/>
        <v>18</v>
      </c>
      <c r="AU14" s="3">
        <f t="shared" ca="1" si="38"/>
        <v>0</v>
      </c>
      <c r="AV14" s="3">
        <f t="shared" ca="1" si="39"/>
        <v>38</v>
      </c>
      <c r="AW14" s="7">
        <f t="shared" ca="1" si="40"/>
        <v>0.25</v>
      </c>
      <c r="AX14" s="7">
        <f t="shared" ca="1" si="41"/>
        <v>0.4</v>
      </c>
      <c r="AY14" s="7">
        <f t="shared" ca="1" si="42"/>
        <v>0</v>
      </c>
      <c r="AZ14" s="7">
        <f t="shared" ca="1" si="43"/>
        <v>0.32653061224489793</v>
      </c>
      <c r="BA14" s="7">
        <f t="shared" ca="1" si="44"/>
        <v>0.38775510204081631</v>
      </c>
      <c r="BB14" s="3">
        <f ca="1">TeamGameData[[#This Row],[Opp OFF REB]]+TeamGameData[[#This Row],[Opp DEF REB]]</f>
        <v>35</v>
      </c>
      <c r="BC14" s="3">
        <f t="shared" ca="1" si="59"/>
        <v>14</v>
      </c>
      <c r="BD14" s="3">
        <f t="shared" ca="1" si="60"/>
        <v>4</v>
      </c>
      <c r="BE14" s="3">
        <f t="shared" ca="1" si="61"/>
        <v>12</v>
      </c>
      <c r="BF14" s="3">
        <f t="shared" ca="1" si="62"/>
        <v>8</v>
      </c>
      <c r="BG14" s="3">
        <f t="shared" ca="1" si="63"/>
        <v>0</v>
      </c>
      <c r="BH14" s="3">
        <f ca="1">IF($AF14=1,TeamGameData[[#This Row],[OFF REB]]-TeamGameData[[#This Row],[Opp OFF REB]],"")</f>
        <v>5</v>
      </c>
      <c r="BI14" s="3">
        <f ca="1">IF($AF14=1,TeamGameData[[#This Row],[DEF REB]]-TeamGameData[[#This Row],[Opp DEF REB]],"")</f>
        <v>-6</v>
      </c>
      <c r="BJ14" s="3">
        <f ca="1">IF($AF14=1,TeamGameData[[#This Row],[TOT REB]]-TeamGameData[[#This Row],[Opp TOT REB]],"")</f>
        <v>-1</v>
      </c>
      <c r="BK14" s="3">
        <f t="shared" ca="1" si="46"/>
        <v>1</v>
      </c>
      <c r="BL14" s="3" t="str">
        <f t="shared" ca="1" si="47"/>
        <v/>
      </c>
      <c r="BM14" s="3">
        <f t="shared" ca="1" si="48"/>
        <v>0</v>
      </c>
      <c r="BN14" s="3">
        <f t="shared" ca="1" si="49"/>
        <v>0</v>
      </c>
      <c r="BO14" s="3">
        <f t="shared" si="64"/>
        <v>8</v>
      </c>
      <c r="BP14" s="3" t="str">
        <f t="shared" ca="1" si="65"/>
        <v>Upton - New Underwood, SD 1/12/2023</v>
      </c>
      <c r="BQ14" s="3" t="str">
        <f t="shared" ca="1" si="50"/>
        <v/>
      </c>
      <c r="BR14" s="3" t="str">
        <f ca="1">IF(BP14="Blank","",IF(TeamGameData[[#This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42, New Underwood, SD 38</v>
      </c>
      <c r="BS14" s="6" t="str">
        <f ca="1">IFERROR(IF(BP14="Blank","",IF(AND(VLOOKUP(TeamGameData[[#This Row],[Opponent]],WYTeamInfo,2,FALSE)=Roster!$D$1,VLOOKUP(TeamGameData[[#This Row],[Opponent]],WYTeamInfo,3,FALSE)=Roster!$D$2),"SR","")),"")</f>
        <v/>
      </c>
      <c r="BT14" s="3" t="str">
        <f>CONCATENATE(Roster!$D$1," ",Roster!$D$5)</f>
        <v>1A BB</v>
      </c>
      <c r="BU14" s="3">
        <f ca="1">Team_Report!$B229</f>
        <v>1</v>
      </c>
      <c r="BV14" s="3" t="str">
        <f>Roster!$D$3</f>
        <v>East</v>
      </c>
      <c r="BW14" s="3" t="str">
        <f>Roster!$D$2</f>
        <v>Northeast</v>
      </c>
      <c r="BX14" s="3" t="str">
        <f>Roster!$D$4</f>
        <v>North</v>
      </c>
      <c r="BY14" s="3">
        <f t="shared" ca="1" si="51"/>
        <v>0</v>
      </c>
      <c r="BZ14" s="3">
        <f t="shared" ca="1" si="52"/>
        <v>0</v>
      </c>
      <c r="CA14" s="3" t="str">
        <f>Roster!$D$8</f>
        <v>Joe Samuelson</v>
      </c>
    </row>
    <row r="15" spans="1:79" ht="11.45" x14ac:dyDescent="0.25">
      <c r="A15" s="3" t="str">
        <f>Roster!$B$1</f>
        <v>Upton</v>
      </c>
      <c r="B15" s="3" t="str">
        <f t="shared" ca="1" si="53"/>
        <v>Faith, SD</v>
      </c>
      <c r="C15" s="6">
        <f t="shared" ca="1" si="54"/>
        <v>44939</v>
      </c>
      <c r="D15" s="3">
        <f t="shared" ca="1" si="0"/>
        <v>1</v>
      </c>
      <c r="E15" s="3">
        <f t="shared" ca="1" si="1"/>
        <v>32</v>
      </c>
      <c r="F15" s="3">
        <f t="shared" ca="1" si="2"/>
        <v>7</v>
      </c>
      <c r="G15" s="3">
        <f t="shared" ca="1" si="3"/>
        <v>29</v>
      </c>
      <c r="H15" s="3">
        <f t="shared" ca="1" si="4"/>
        <v>11</v>
      </c>
      <c r="I15" s="3">
        <f t="shared" ca="1" si="5"/>
        <v>26</v>
      </c>
      <c r="J15" s="3">
        <f t="shared" ca="1" si="6"/>
        <v>10</v>
      </c>
      <c r="K15" s="3">
        <f t="shared" ca="1" si="7"/>
        <v>24</v>
      </c>
      <c r="L15" s="3">
        <f t="shared" ca="1" si="8"/>
        <v>19</v>
      </c>
      <c r="M15" s="3">
        <f t="shared" ca="1" si="9"/>
        <v>12</v>
      </c>
      <c r="N15" s="3">
        <f t="shared" ca="1" si="10"/>
        <v>11</v>
      </c>
      <c r="O15" s="3">
        <f t="shared" ca="1" si="11"/>
        <v>5</v>
      </c>
      <c r="P15" s="3">
        <f t="shared" ca="1" si="12"/>
        <v>1</v>
      </c>
      <c r="Q15" s="3">
        <f t="shared" ca="1" si="13"/>
        <v>17</v>
      </c>
      <c r="R15" s="3">
        <f t="shared" ca="1" si="14"/>
        <v>13</v>
      </c>
      <c r="S15" s="3">
        <f t="shared" ca="1" si="15"/>
        <v>0</v>
      </c>
      <c r="T15" s="3">
        <f t="shared" ca="1" si="16"/>
        <v>53</v>
      </c>
      <c r="U15" s="7">
        <f t="shared" ca="1" si="17"/>
        <v>0.2413793103448276</v>
      </c>
      <c r="V15" s="7">
        <f t="shared" ca="1" si="18"/>
        <v>0.42307692307692307</v>
      </c>
      <c r="W15" s="7">
        <f t="shared" ca="1" si="19"/>
        <v>0.41666666666666669</v>
      </c>
      <c r="X15" s="7">
        <f t="shared" ca="1" si="20"/>
        <v>0.32727272727272727</v>
      </c>
      <c r="Y15" s="7">
        <f t="shared" ca="1" si="21"/>
        <v>0.39090909090909093</v>
      </c>
      <c r="Z15" s="3">
        <f ca="1">TeamGameData[[#This Row],[OFF REB]]+TeamGameData[[#This Row],[DEF REB]]</f>
        <v>31</v>
      </c>
      <c r="AA15" s="3">
        <f t="shared" ca="1" si="22"/>
        <v>8</v>
      </c>
      <c r="AB15" s="3">
        <f t="shared" ca="1" si="55"/>
        <v>13</v>
      </c>
      <c r="AC15" s="3">
        <f t="shared" ca="1" si="56"/>
        <v>21</v>
      </c>
      <c r="AD15" s="3">
        <f t="shared" ca="1" si="57"/>
        <v>11</v>
      </c>
      <c r="AE15" s="3">
        <f t="shared" ca="1" si="58"/>
        <v>0</v>
      </c>
      <c r="AF15" s="3">
        <f t="shared" ca="1" si="23"/>
        <v>1</v>
      </c>
      <c r="AG15" s="3">
        <f t="shared" ca="1" si="24"/>
        <v>1</v>
      </c>
      <c r="AH15" s="3">
        <f t="shared" ca="1" si="25"/>
        <v>6</v>
      </c>
      <c r="AI15" s="3">
        <f t="shared" ca="1" si="26"/>
        <v>15</v>
      </c>
      <c r="AJ15" s="3">
        <f t="shared" ca="1" si="27"/>
        <v>25</v>
      </c>
      <c r="AK15" s="3">
        <f t="shared" ca="1" si="28"/>
        <v>39</v>
      </c>
      <c r="AL15" s="3">
        <f t="shared" ca="1" si="29"/>
        <v>8</v>
      </c>
      <c r="AM15" s="3">
        <f t="shared" ca="1" si="30"/>
        <v>11</v>
      </c>
      <c r="AN15" s="3">
        <f t="shared" ca="1" si="31"/>
        <v>5</v>
      </c>
      <c r="AO15" s="3">
        <f t="shared" ca="1" si="32"/>
        <v>25</v>
      </c>
      <c r="AP15" s="3">
        <f t="shared" ca="1" si="33"/>
        <v>24</v>
      </c>
      <c r="AQ15" s="3">
        <f t="shared" ca="1" si="34"/>
        <v>8</v>
      </c>
      <c r="AR15" s="3">
        <f t="shared" ca="1" si="35"/>
        <v>1</v>
      </c>
      <c r="AS15" s="3">
        <f t="shared" ca="1" si="36"/>
        <v>12</v>
      </c>
      <c r="AT15" s="3">
        <f t="shared" ca="1" si="37"/>
        <v>17</v>
      </c>
      <c r="AU15" s="3">
        <f t="shared" ca="1" si="38"/>
        <v>0</v>
      </c>
      <c r="AV15" s="3">
        <f t="shared" ca="1" si="39"/>
        <v>76</v>
      </c>
      <c r="AW15" s="7">
        <f t="shared" ca="1" si="40"/>
        <v>0.4</v>
      </c>
      <c r="AX15" s="7">
        <f t="shared" ca="1" si="41"/>
        <v>0.64102564102564108</v>
      </c>
      <c r="AY15" s="7">
        <f t="shared" ca="1" si="42"/>
        <v>0.72727272727272729</v>
      </c>
      <c r="AZ15" s="7">
        <f t="shared" ca="1" si="43"/>
        <v>0.57407407407407407</v>
      </c>
      <c r="BA15" s="7">
        <f t="shared" ca="1" si="44"/>
        <v>0.62962962962962965</v>
      </c>
      <c r="BB15" s="3">
        <f ca="1">TeamGameData[[#This Row],[Opp OFF REB]]+TeamGameData[[#This Row],[Opp DEF REB]]</f>
        <v>30</v>
      </c>
      <c r="BC15" s="3">
        <f t="shared" ca="1" si="59"/>
        <v>11</v>
      </c>
      <c r="BD15" s="3">
        <f t="shared" ca="1" si="60"/>
        <v>19</v>
      </c>
      <c r="BE15" s="3">
        <f t="shared" ca="1" si="61"/>
        <v>23</v>
      </c>
      <c r="BF15" s="3">
        <f t="shared" ca="1" si="62"/>
        <v>23</v>
      </c>
      <c r="BG15" s="3">
        <f t="shared" ca="1" si="63"/>
        <v>0</v>
      </c>
      <c r="BH15" s="3">
        <f ca="1">IF($AF15=1,TeamGameData[[#This Row],[OFF REB]]-TeamGameData[[#This Row],[Opp OFF REB]],"")</f>
        <v>14</v>
      </c>
      <c r="BI15" s="3">
        <f ca="1">IF($AF15=1,TeamGameData[[#This Row],[DEF REB]]-TeamGameData[[#This Row],[Opp DEF REB]],"")</f>
        <v>-13</v>
      </c>
      <c r="BJ15" s="3">
        <f ca="1">IF($AF15=1,TeamGameData[[#This Row],[TOT REB]]-TeamGameData[[#This Row],[Opp TOT REB]],"")</f>
        <v>1</v>
      </c>
      <c r="BK15" s="3" t="str">
        <f t="shared" ca="1" si="46"/>
        <v/>
      </c>
      <c r="BL15" s="3">
        <f t="shared" ca="1" si="47"/>
        <v>1</v>
      </c>
      <c r="BM15" s="3">
        <f t="shared" ca="1" si="48"/>
        <v>0</v>
      </c>
      <c r="BN15" s="3">
        <f t="shared" ca="1" si="49"/>
        <v>0</v>
      </c>
      <c r="BO15" s="3">
        <f t="shared" si="64"/>
        <v>9</v>
      </c>
      <c r="BP15" s="3" t="str">
        <f t="shared" ca="1" si="65"/>
        <v>Upton - Faith, SD 1/13/2023</v>
      </c>
      <c r="BQ15" s="3" t="str">
        <f t="shared" ca="1" si="50"/>
        <v/>
      </c>
      <c r="BR15" s="3" t="str">
        <f ca="1">IF(BP15="Blank","",IF(TeamGameData[[#This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Faith, SD 76, Upton 53</v>
      </c>
      <c r="BS15" s="6" t="str">
        <f ca="1">IFERROR(IF(BP15="Blank","",IF(AND(VLOOKUP(TeamGameData[[#This Row],[Opponent]],WYTeamInfo,2,FALSE)=Roster!$D$1,VLOOKUP(TeamGameData[[#This Row],[Opponent]],WYTeamInfo,3,FALSE)=Roster!$D$2),"SR","")),"")</f>
        <v/>
      </c>
      <c r="BT15" s="3" t="str">
        <f>CONCATENATE(Roster!$D$1," ",Roster!$D$5)</f>
        <v>1A BB</v>
      </c>
      <c r="BU15" s="3">
        <f ca="1">Team_Report!$B230</f>
        <v>1</v>
      </c>
      <c r="BV15" s="3" t="str">
        <f>Roster!$D$3</f>
        <v>East</v>
      </c>
      <c r="BW15" s="3" t="str">
        <f>Roster!$D$2</f>
        <v>Northeast</v>
      </c>
      <c r="BX15" s="3" t="str">
        <f>Roster!$D$4</f>
        <v>North</v>
      </c>
      <c r="BY15" s="3">
        <f t="shared" ca="1" si="51"/>
        <v>0</v>
      </c>
      <c r="BZ15" s="3">
        <f t="shared" ca="1" si="52"/>
        <v>0</v>
      </c>
      <c r="CA15" s="3" t="str">
        <f>Roster!$D$8</f>
        <v>Joe Samuelson</v>
      </c>
    </row>
    <row r="16" spans="1:79" ht="11.45" x14ac:dyDescent="0.25">
      <c r="A16" s="3" t="str">
        <f>Roster!$B$1</f>
        <v>Upton</v>
      </c>
      <c r="B16" s="3" t="str">
        <f t="shared" ca="1" si="53"/>
        <v>Moorcroft</v>
      </c>
      <c r="C16" s="6">
        <f t="shared" ca="1" si="54"/>
        <v>44940</v>
      </c>
      <c r="D16" s="3">
        <f t="shared" ca="1" si="0"/>
        <v>1</v>
      </c>
      <c r="E16" s="3">
        <f t="shared" ca="1" si="1"/>
        <v>32</v>
      </c>
      <c r="F16" s="3">
        <f t="shared" ca="1" si="2"/>
        <v>7</v>
      </c>
      <c r="G16" s="3">
        <f t="shared" ca="1" si="3"/>
        <v>26</v>
      </c>
      <c r="H16" s="3">
        <f t="shared" ca="1" si="4"/>
        <v>16</v>
      </c>
      <c r="I16" s="3">
        <f t="shared" ca="1" si="5"/>
        <v>39</v>
      </c>
      <c r="J16" s="3">
        <f t="shared" ca="1" si="6"/>
        <v>2</v>
      </c>
      <c r="K16" s="3">
        <f t="shared" ca="1" si="7"/>
        <v>3</v>
      </c>
      <c r="L16" s="3">
        <f t="shared" ca="1" si="8"/>
        <v>16</v>
      </c>
      <c r="M16" s="3">
        <f t="shared" ca="1" si="9"/>
        <v>24</v>
      </c>
      <c r="N16" s="3">
        <f t="shared" ca="1" si="10"/>
        <v>18</v>
      </c>
      <c r="O16" s="3">
        <f t="shared" ca="1" si="11"/>
        <v>6</v>
      </c>
      <c r="P16" s="3">
        <f t="shared" ca="1" si="12"/>
        <v>3</v>
      </c>
      <c r="Q16" s="3">
        <f t="shared" ca="1" si="13"/>
        <v>11</v>
      </c>
      <c r="R16" s="3">
        <f t="shared" ca="1" si="14"/>
        <v>5</v>
      </c>
      <c r="S16" s="3">
        <f t="shared" ca="1" si="15"/>
        <v>2</v>
      </c>
      <c r="T16" s="3">
        <f t="shared" ca="1" si="16"/>
        <v>55</v>
      </c>
      <c r="U16" s="7">
        <f t="shared" ca="1" si="17"/>
        <v>0.26923076923076922</v>
      </c>
      <c r="V16" s="7">
        <f t="shared" ca="1" si="18"/>
        <v>0.41025641025641024</v>
      </c>
      <c r="W16" s="7">
        <f t="shared" ca="1" si="19"/>
        <v>0.66666666666666663</v>
      </c>
      <c r="X16" s="7">
        <f t="shared" ca="1" si="20"/>
        <v>0.35384615384615387</v>
      </c>
      <c r="Y16" s="7">
        <f t="shared" ca="1" si="21"/>
        <v>0.40769230769230769</v>
      </c>
      <c r="Z16" s="3">
        <f ca="1">TeamGameData[[#This Row],[OFF REB]]+TeamGameData[[#This Row],[DEF REB]]</f>
        <v>40</v>
      </c>
      <c r="AA16" s="3">
        <f t="shared" ca="1" si="22"/>
        <v>21</v>
      </c>
      <c r="AB16" s="3">
        <f t="shared" ca="1" si="55"/>
        <v>15</v>
      </c>
      <c r="AC16" s="3">
        <f t="shared" ca="1" si="56"/>
        <v>9</v>
      </c>
      <c r="AD16" s="3">
        <f t="shared" ca="1" si="57"/>
        <v>10</v>
      </c>
      <c r="AE16" s="3">
        <f t="shared" ca="1" si="58"/>
        <v>0</v>
      </c>
      <c r="AF16" s="3">
        <f t="shared" ca="1" si="23"/>
        <v>1</v>
      </c>
      <c r="AG16" s="3">
        <f t="shared" ca="1" si="24"/>
        <v>1</v>
      </c>
      <c r="AH16" s="3">
        <f t="shared" ca="1" si="25"/>
        <v>3</v>
      </c>
      <c r="AI16" s="3">
        <f t="shared" ca="1" si="26"/>
        <v>17</v>
      </c>
      <c r="AJ16" s="3">
        <f t="shared" ca="1" si="27"/>
        <v>13</v>
      </c>
      <c r="AK16" s="3">
        <f t="shared" ca="1" si="28"/>
        <v>42</v>
      </c>
      <c r="AL16" s="3">
        <f t="shared" ca="1" si="29"/>
        <v>2</v>
      </c>
      <c r="AM16" s="3">
        <f t="shared" ca="1" si="30"/>
        <v>4</v>
      </c>
      <c r="AN16" s="3">
        <f t="shared" ca="1" si="31"/>
        <v>10</v>
      </c>
      <c r="AO16" s="3">
        <f t="shared" ca="1" si="32"/>
        <v>20</v>
      </c>
      <c r="AP16" s="3">
        <f t="shared" ca="1" si="33"/>
        <v>11</v>
      </c>
      <c r="AQ16" s="3">
        <f t="shared" ca="1" si="34"/>
        <v>8</v>
      </c>
      <c r="AR16" s="3">
        <f t="shared" ca="1" si="35"/>
        <v>0</v>
      </c>
      <c r="AS16" s="3">
        <f t="shared" ca="1" si="36"/>
        <v>17</v>
      </c>
      <c r="AT16" s="3">
        <f t="shared" ca="1" si="37"/>
        <v>5</v>
      </c>
      <c r="AU16" s="3">
        <f t="shared" ca="1" si="38"/>
        <v>0</v>
      </c>
      <c r="AV16" s="3">
        <f t="shared" ca="1" si="39"/>
        <v>37</v>
      </c>
      <c r="AW16" s="7">
        <f t="shared" ca="1" si="40"/>
        <v>0.17647058823529413</v>
      </c>
      <c r="AX16" s="7">
        <f t="shared" ca="1" si="41"/>
        <v>0.30952380952380953</v>
      </c>
      <c r="AY16" s="7">
        <f t="shared" ca="1" si="42"/>
        <v>0.5</v>
      </c>
      <c r="AZ16" s="7">
        <f t="shared" ca="1" si="43"/>
        <v>0.2711864406779661</v>
      </c>
      <c r="BA16" s="7">
        <f t="shared" ca="1" si="44"/>
        <v>0.29661016949152541</v>
      </c>
      <c r="BB16" s="3">
        <f ca="1">TeamGameData[[#This Row],[Opp OFF REB]]+TeamGameData[[#This Row],[Opp DEF REB]]</f>
        <v>30</v>
      </c>
      <c r="BC16" s="3">
        <f t="shared" ca="1" si="59"/>
        <v>6</v>
      </c>
      <c r="BD16" s="3">
        <f t="shared" ca="1" si="60"/>
        <v>6</v>
      </c>
      <c r="BE16" s="3">
        <f t="shared" ca="1" si="61"/>
        <v>11</v>
      </c>
      <c r="BF16" s="3">
        <f t="shared" ca="1" si="62"/>
        <v>14</v>
      </c>
      <c r="BG16" s="3">
        <f t="shared" ca="1" si="63"/>
        <v>0</v>
      </c>
      <c r="BH16" s="3">
        <f ca="1">IF($AF16=1,TeamGameData[[#This Row],[OFF REB]]-TeamGameData[[#This Row],[Opp OFF REB]],"")</f>
        <v>6</v>
      </c>
      <c r="BI16" s="3">
        <f ca="1">IF($AF16=1,TeamGameData[[#This Row],[DEF REB]]-TeamGameData[[#This Row],[Opp DEF REB]],"")</f>
        <v>4</v>
      </c>
      <c r="BJ16" s="3">
        <f ca="1">IF($AF16=1,TeamGameData[[#This Row],[TOT REB]]-TeamGameData[[#This Row],[Opp TOT REB]],"")</f>
        <v>10</v>
      </c>
      <c r="BK16" s="3">
        <f t="shared" ca="1" si="46"/>
        <v>1</v>
      </c>
      <c r="BL16" s="3" t="str">
        <f t="shared" ca="1" si="47"/>
        <v/>
      </c>
      <c r="BM16" s="3">
        <f t="shared" ca="1" si="48"/>
        <v>0</v>
      </c>
      <c r="BN16" s="3">
        <f t="shared" ca="1" si="49"/>
        <v>0</v>
      </c>
      <c r="BO16" s="3">
        <f t="shared" si="64"/>
        <v>10</v>
      </c>
      <c r="BP16" s="3" t="str">
        <f t="shared" ca="1" si="65"/>
        <v>Upton - Moorcroft 1/14/2023</v>
      </c>
      <c r="BQ16" s="3" t="str">
        <f t="shared" ca="1" si="50"/>
        <v/>
      </c>
      <c r="BR16" s="3" t="str">
        <f ca="1">IF(BP16="Blank","",IF(TeamGameData[[#This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55, Moorcroft 37</v>
      </c>
      <c r="BS16" s="6" t="str">
        <f ca="1">IFERROR(IF(BP16="Blank","",IF(AND(VLOOKUP(TeamGameData[[#This Row],[Opponent]],WYTeamInfo,2,FALSE)=Roster!$D$1,VLOOKUP(TeamGameData[[#This Row],[Opponent]],WYTeamInfo,3,FALSE)=Roster!$D$2),"SR","")),"")</f>
        <v/>
      </c>
      <c r="BT16" s="3" t="str">
        <f>CONCATENATE(Roster!$D$1," ",Roster!$D$5)</f>
        <v>1A BB</v>
      </c>
      <c r="BU16" s="3">
        <f ca="1">Team_Report!$B231</f>
        <v>1</v>
      </c>
      <c r="BV16" s="3" t="str">
        <f>Roster!$D$3</f>
        <v>East</v>
      </c>
      <c r="BW16" s="3" t="str">
        <f>Roster!$D$2</f>
        <v>Northeast</v>
      </c>
      <c r="BX16" s="3" t="str">
        <f>Roster!$D$4</f>
        <v>North</v>
      </c>
      <c r="BY16" s="3">
        <f t="shared" ca="1" si="51"/>
        <v>0</v>
      </c>
      <c r="BZ16" s="3">
        <f t="shared" ca="1" si="52"/>
        <v>0</v>
      </c>
      <c r="CA16" s="3" t="str">
        <f>Roster!$D$8</f>
        <v>Joe Samuelson</v>
      </c>
    </row>
    <row r="17" spans="1:79" ht="11.45" x14ac:dyDescent="0.25">
      <c r="A17" s="3" t="str">
        <f>Roster!$B$1</f>
        <v>Upton</v>
      </c>
      <c r="B17" s="3" t="str">
        <f t="shared" ca="1" si="53"/>
        <v>Arvada Clearmont</v>
      </c>
      <c r="C17" s="6">
        <f t="shared" ca="1" si="54"/>
        <v>44946</v>
      </c>
      <c r="D17" s="3">
        <f t="shared" ca="1" si="0"/>
        <v>1</v>
      </c>
      <c r="E17" s="3">
        <f t="shared" ca="1" si="1"/>
        <v>32</v>
      </c>
      <c r="F17" s="3">
        <f t="shared" ca="1" si="2"/>
        <v>5</v>
      </c>
      <c r="G17" s="3">
        <f t="shared" ca="1" si="3"/>
        <v>25</v>
      </c>
      <c r="H17" s="3">
        <f t="shared" ca="1" si="4"/>
        <v>21</v>
      </c>
      <c r="I17" s="3">
        <f t="shared" ca="1" si="5"/>
        <v>34</v>
      </c>
      <c r="J17" s="3">
        <f t="shared" ca="1" si="6"/>
        <v>3</v>
      </c>
      <c r="K17" s="3">
        <f t="shared" ca="1" si="7"/>
        <v>10</v>
      </c>
      <c r="L17" s="3">
        <f t="shared" ca="1" si="8"/>
        <v>21</v>
      </c>
      <c r="M17" s="3">
        <f t="shared" ca="1" si="9"/>
        <v>16</v>
      </c>
      <c r="N17" s="3">
        <f t="shared" ca="1" si="10"/>
        <v>16</v>
      </c>
      <c r="O17" s="3">
        <f t="shared" ca="1" si="11"/>
        <v>17</v>
      </c>
      <c r="P17" s="3">
        <f t="shared" ca="1" si="12"/>
        <v>1</v>
      </c>
      <c r="Q17" s="3">
        <f t="shared" ca="1" si="13"/>
        <v>9</v>
      </c>
      <c r="R17" s="3">
        <f t="shared" ca="1" si="14"/>
        <v>10</v>
      </c>
      <c r="S17" s="3">
        <f t="shared" ca="1" si="15"/>
        <v>0</v>
      </c>
      <c r="T17" s="3">
        <f t="shared" ca="1" si="16"/>
        <v>60</v>
      </c>
      <c r="U17" s="7">
        <f t="shared" ca="1" si="17"/>
        <v>0.2</v>
      </c>
      <c r="V17" s="7">
        <f t="shared" ca="1" si="18"/>
        <v>0.61764705882352944</v>
      </c>
      <c r="W17" s="7">
        <f t="shared" ca="1" si="19"/>
        <v>0.3</v>
      </c>
      <c r="X17" s="7">
        <f t="shared" ca="1" si="20"/>
        <v>0.44067796610169491</v>
      </c>
      <c r="Y17" s="7">
        <f t="shared" ca="1" si="21"/>
        <v>0.48305084745762711</v>
      </c>
      <c r="Z17" s="3">
        <f ca="1">TeamGameData[[#This Row],[OFF REB]]+TeamGameData[[#This Row],[DEF REB]]</f>
        <v>37</v>
      </c>
      <c r="AA17" s="3">
        <f t="shared" ca="1" si="22"/>
        <v>22</v>
      </c>
      <c r="AB17" s="3">
        <f t="shared" ca="1" si="55"/>
        <v>28</v>
      </c>
      <c r="AC17" s="3">
        <f t="shared" ca="1" si="56"/>
        <v>10</v>
      </c>
      <c r="AD17" s="3">
        <f t="shared" ca="1" si="57"/>
        <v>0</v>
      </c>
      <c r="AE17" s="3">
        <f t="shared" ca="1" si="58"/>
        <v>0</v>
      </c>
      <c r="AF17" s="3">
        <f t="shared" ca="1" si="23"/>
        <v>1</v>
      </c>
      <c r="AG17" s="3">
        <f t="shared" ca="1" si="24"/>
        <v>1</v>
      </c>
      <c r="AH17" s="3">
        <f t="shared" ca="1" si="25"/>
        <v>2</v>
      </c>
      <c r="AI17" s="3">
        <f t="shared" ca="1" si="26"/>
        <v>8</v>
      </c>
      <c r="AJ17" s="3">
        <f t="shared" ca="1" si="27"/>
        <v>4</v>
      </c>
      <c r="AK17" s="3">
        <f t="shared" ca="1" si="28"/>
        <v>19</v>
      </c>
      <c r="AL17" s="3">
        <f t="shared" ca="1" si="29"/>
        <v>2</v>
      </c>
      <c r="AM17" s="3">
        <f t="shared" ca="1" si="30"/>
        <v>8</v>
      </c>
      <c r="AN17" s="3">
        <f t="shared" ca="1" si="31"/>
        <v>2</v>
      </c>
      <c r="AO17" s="3">
        <f t="shared" ca="1" si="32"/>
        <v>11</v>
      </c>
      <c r="AP17" s="3">
        <f t="shared" ca="1" si="33"/>
        <v>3</v>
      </c>
      <c r="AQ17" s="3">
        <f t="shared" ca="1" si="34"/>
        <v>5</v>
      </c>
      <c r="AR17" s="3">
        <f t="shared" ca="1" si="35"/>
        <v>0</v>
      </c>
      <c r="AS17" s="3">
        <f t="shared" ca="1" si="36"/>
        <v>26</v>
      </c>
      <c r="AT17" s="3">
        <f t="shared" ca="1" si="37"/>
        <v>8</v>
      </c>
      <c r="AU17" s="3">
        <f t="shared" ca="1" si="38"/>
        <v>0</v>
      </c>
      <c r="AV17" s="3">
        <f t="shared" ca="1" si="39"/>
        <v>16</v>
      </c>
      <c r="AW17" s="7">
        <f t="shared" ca="1" si="40"/>
        <v>0.25</v>
      </c>
      <c r="AX17" s="7">
        <f t="shared" ca="1" si="41"/>
        <v>0.21052631578947367</v>
      </c>
      <c r="AY17" s="7">
        <f t="shared" ca="1" si="42"/>
        <v>0.25</v>
      </c>
      <c r="AZ17" s="7">
        <f t="shared" ca="1" si="43"/>
        <v>0.22222222222222221</v>
      </c>
      <c r="BA17" s="7">
        <f t="shared" ca="1" si="44"/>
        <v>0.25925925925925924</v>
      </c>
      <c r="BB17" s="3">
        <f ca="1">TeamGameData[[#This Row],[Opp OFF REB]]+TeamGameData[[#This Row],[Opp DEF REB]]</f>
        <v>13</v>
      </c>
      <c r="BC17" s="3">
        <f t="shared" ca="1" si="59"/>
        <v>5</v>
      </c>
      <c r="BD17" s="3">
        <f t="shared" ca="1" si="60"/>
        <v>2</v>
      </c>
      <c r="BE17" s="3">
        <f t="shared" ca="1" si="61"/>
        <v>6</v>
      </c>
      <c r="BF17" s="3">
        <f t="shared" ca="1" si="62"/>
        <v>3</v>
      </c>
      <c r="BG17" s="3">
        <f t="shared" ca="1" si="63"/>
        <v>0</v>
      </c>
      <c r="BH17" s="3">
        <f ca="1">IF($AF17=1,TeamGameData[[#This Row],[OFF REB]]-TeamGameData[[#This Row],[Opp OFF REB]],"")</f>
        <v>19</v>
      </c>
      <c r="BI17" s="3">
        <f ca="1">IF($AF17=1,TeamGameData[[#This Row],[DEF REB]]-TeamGameData[[#This Row],[Opp DEF REB]],"")</f>
        <v>5</v>
      </c>
      <c r="BJ17" s="3">
        <f ca="1">IF($AF17=1,TeamGameData[[#This Row],[TOT REB]]-TeamGameData[[#This Row],[Opp TOT REB]],"")</f>
        <v>24</v>
      </c>
      <c r="BK17" s="3">
        <f t="shared" ca="1" si="46"/>
        <v>1</v>
      </c>
      <c r="BL17" s="3" t="str">
        <f t="shared" ca="1" si="47"/>
        <v/>
      </c>
      <c r="BM17" s="3">
        <f t="shared" ca="1" si="48"/>
        <v>1</v>
      </c>
      <c r="BN17" s="3">
        <f t="shared" ca="1" si="49"/>
        <v>0</v>
      </c>
      <c r="BO17" s="3">
        <f t="shared" si="64"/>
        <v>11</v>
      </c>
      <c r="BP17" s="3" t="str">
        <f t="shared" ca="1" si="65"/>
        <v>Upton - Arvada Clearmont 1/20/2023</v>
      </c>
      <c r="BQ17" s="3" t="str">
        <f t="shared" ca="1" si="50"/>
        <v>R</v>
      </c>
      <c r="BR17" s="3" t="str">
        <f ca="1">IF(BP17="Blank","",IF(TeamGameData[[#This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60, Arvada Clearmont 16</v>
      </c>
      <c r="BS17" s="6" t="str">
        <f ca="1">IFERROR(IF(BP17="Blank","",IF(AND(VLOOKUP(TeamGameData[[#This Row],[Opponent]],WYTeamInfo,2,FALSE)=Roster!$D$1,VLOOKUP(TeamGameData[[#This Row],[Opponent]],WYTeamInfo,3,FALSE)=Roster!$D$2),"SR","")),"")</f>
        <v>SR</v>
      </c>
      <c r="BT17" s="3" t="str">
        <f>CONCATENATE(Roster!$D$1," ",Roster!$D$5)</f>
        <v>1A BB</v>
      </c>
      <c r="BU17" s="3">
        <f ca="1">Team_Report!$B232</f>
        <v>1</v>
      </c>
      <c r="BV17" s="3" t="str">
        <f>Roster!$D$3</f>
        <v>East</v>
      </c>
      <c r="BW17" s="3" t="str">
        <f>Roster!$D$2</f>
        <v>Northeast</v>
      </c>
      <c r="BX17" s="3" t="str">
        <f>Roster!$D$4</f>
        <v>North</v>
      </c>
      <c r="BY17" s="3">
        <f t="shared" ca="1" si="51"/>
        <v>0</v>
      </c>
      <c r="BZ17" s="3">
        <f t="shared" ca="1" si="52"/>
        <v>0</v>
      </c>
      <c r="CA17" s="3" t="str">
        <f>Roster!$D$8</f>
        <v>Joe Samuelson</v>
      </c>
    </row>
    <row r="18" spans="1:79" ht="11.45" x14ac:dyDescent="0.25">
      <c r="A18" s="3" t="str">
        <f>Roster!$B$1</f>
        <v>Upton</v>
      </c>
      <c r="B18" s="3" t="str">
        <f t="shared" ca="1" si="53"/>
        <v>Kaycee</v>
      </c>
      <c r="C18" s="6">
        <f t="shared" ca="1" si="54"/>
        <v>44947</v>
      </c>
      <c r="D18" s="3">
        <f t="shared" ca="1" si="0"/>
        <v>1</v>
      </c>
      <c r="E18" s="3">
        <f t="shared" ca="1" si="1"/>
        <v>32</v>
      </c>
      <c r="F18" s="3">
        <f t="shared" ca="1" si="2"/>
        <v>11</v>
      </c>
      <c r="G18" s="3">
        <f t="shared" ca="1" si="3"/>
        <v>28</v>
      </c>
      <c r="H18" s="3">
        <f t="shared" ca="1" si="4"/>
        <v>8</v>
      </c>
      <c r="I18" s="3">
        <f t="shared" ca="1" si="5"/>
        <v>22</v>
      </c>
      <c r="J18" s="3">
        <f t="shared" ca="1" si="6"/>
        <v>7</v>
      </c>
      <c r="K18" s="3">
        <f t="shared" ca="1" si="7"/>
        <v>16</v>
      </c>
      <c r="L18" s="3">
        <f t="shared" ca="1" si="8"/>
        <v>10</v>
      </c>
      <c r="M18" s="3">
        <f t="shared" ca="1" si="9"/>
        <v>15</v>
      </c>
      <c r="N18" s="3">
        <f t="shared" ca="1" si="10"/>
        <v>16</v>
      </c>
      <c r="O18" s="3">
        <f t="shared" ca="1" si="11"/>
        <v>11</v>
      </c>
      <c r="P18" s="3">
        <f t="shared" ca="1" si="12"/>
        <v>0</v>
      </c>
      <c r="Q18" s="3">
        <f t="shared" ca="1" si="13"/>
        <v>13</v>
      </c>
      <c r="R18" s="3">
        <f t="shared" ca="1" si="14"/>
        <v>6</v>
      </c>
      <c r="S18" s="3">
        <f t="shared" ca="1" si="15"/>
        <v>2</v>
      </c>
      <c r="T18" s="3">
        <f t="shared" ca="1" si="16"/>
        <v>56</v>
      </c>
      <c r="U18" s="7">
        <f t="shared" ca="1" si="17"/>
        <v>0.39285714285714285</v>
      </c>
      <c r="V18" s="7">
        <f t="shared" ca="1" si="18"/>
        <v>0.36363636363636365</v>
      </c>
      <c r="W18" s="7">
        <f t="shared" ca="1" si="19"/>
        <v>0.4375</v>
      </c>
      <c r="X18" s="7">
        <f t="shared" ca="1" si="20"/>
        <v>0.38</v>
      </c>
      <c r="Y18" s="7">
        <f t="shared" ca="1" si="21"/>
        <v>0.49</v>
      </c>
      <c r="Z18" s="3">
        <f ca="1">TeamGameData[[#This Row],[OFF REB]]+TeamGameData[[#This Row],[DEF REB]]</f>
        <v>25</v>
      </c>
      <c r="AA18" s="3">
        <f t="shared" ca="1" si="22"/>
        <v>15</v>
      </c>
      <c r="AB18" s="3">
        <f t="shared" ca="1" si="55"/>
        <v>9</v>
      </c>
      <c r="AC18" s="3">
        <f t="shared" ca="1" si="56"/>
        <v>17</v>
      </c>
      <c r="AD18" s="3">
        <f t="shared" ca="1" si="57"/>
        <v>15</v>
      </c>
      <c r="AE18" s="3">
        <f t="shared" ca="1" si="58"/>
        <v>0</v>
      </c>
      <c r="AF18" s="3">
        <f t="shared" ca="1" si="23"/>
        <v>1</v>
      </c>
      <c r="AG18" s="3">
        <f t="shared" ca="1" si="24"/>
        <v>1</v>
      </c>
      <c r="AH18" s="3">
        <f t="shared" ca="1" si="25"/>
        <v>2</v>
      </c>
      <c r="AI18" s="3">
        <f t="shared" ca="1" si="26"/>
        <v>7</v>
      </c>
      <c r="AJ18" s="3">
        <f t="shared" ca="1" si="27"/>
        <v>15</v>
      </c>
      <c r="AK18" s="3">
        <f t="shared" ca="1" si="28"/>
        <v>29</v>
      </c>
      <c r="AL18" s="3">
        <f t="shared" ca="1" si="29"/>
        <v>1</v>
      </c>
      <c r="AM18" s="3">
        <f t="shared" ca="1" si="30"/>
        <v>2</v>
      </c>
      <c r="AN18" s="3">
        <f t="shared" ca="1" si="31"/>
        <v>5</v>
      </c>
      <c r="AO18" s="3">
        <f t="shared" ca="1" si="32"/>
        <v>16</v>
      </c>
      <c r="AP18" s="3">
        <f t="shared" ca="1" si="33"/>
        <v>11</v>
      </c>
      <c r="AQ18" s="3">
        <f t="shared" ca="1" si="34"/>
        <v>8</v>
      </c>
      <c r="AR18" s="3">
        <f t="shared" ca="1" si="35"/>
        <v>1</v>
      </c>
      <c r="AS18" s="3">
        <f t="shared" ca="1" si="36"/>
        <v>27</v>
      </c>
      <c r="AT18" s="3">
        <f t="shared" ca="1" si="37"/>
        <v>13</v>
      </c>
      <c r="AU18" s="3">
        <f t="shared" ca="1" si="38"/>
        <v>0</v>
      </c>
      <c r="AV18" s="3">
        <f t="shared" ca="1" si="39"/>
        <v>37</v>
      </c>
      <c r="AW18" s="7">
        <f t="shared" ca="1" si="40"/>
        <v>0.2857142857142857</v>
      </c>
      <c r="AX18" s="7">
        <f t="shared" ca="1" si="41"/>
        <v>0.51724137931034486</v>
      </c>
      <c r="AY18" s="7">
        <f t="shared" ca="1" si="42"/>
        <v>0.5</v>
      </c>
      <c r="AZ18" s="7">
        <f t="shared" ca="1" si="43"/>
        <v>0.47222222222222221</v>
      </c>
      <c r="BA18" s="7">
        <f t="shared" ca="1" si="44"/>
        <v>0.5</v>
      </c>
      <c r="BB18" s="3">
        <f ca="1">TeamGameData[[#This Row],[Opp OFF REB]]+TeamGameData[[#This Row],[Opp DEF REB]]</f>
        <v>21</v>
      </c>
      <c r="BC18" s="3">
        <f t="shared" ca="1" si="59"/>
        <v>6</v>
      </c>
      <c r="BD18" s="3">
        <f t="shared" ca="1" si="60"/>
        <v>10</v>
      </c>
      <c r="BE18" s="3">
        <f t="shared" ca="1" si="61"/>
        <v>15</v>
      </c>
      <c r="BF18" s="3">
        <f t="shared" ca="1" si="62"/>
        <v>6</v>
      </c>
      <c r="BG18" s="3">
        <f t="shared" ca="1" si="63"/>
        <v>0</v>
      </c>
      <c r="BH18" s="3">
        <f ca="1">IF($AF18=1,TeamGameData[[#This Row],[OFF REB]]-TeamGameData[[#This Row],[Opp OFF REB]],"")</f>
        <v>5</v>
      </c>
      <c r="BI18" s="3">
        <f ca="1">IF($AF18=1,TeamGameData[[#This Row],[DEF REB]]-TeamGameData[[#This Row],[Opp DEF REB]],"")</f>
        <v>-1</v>
      </c>
      <c r="BJ18" s="3">
        <f ca="1">IF($AF18=1,TeamGameData[[#This Row],[TOT REB]]-TeamGameData[[#This Row],[Opp TOT REB]],"")</f>
        <v>4</v>
      </c>
      <c r="BK18" s="3">
        <f t="shared" ca="1" si="46"/>
        <v>1</v>
      </c>
      <c r="BL18" s="3" t="str">
        <f t="shared" ca="1" si="47"/>
        <v/>
      </c>
      <c r="BM18" s="3">
        <f t="shared" ca="1" si="48"/>
        <v>1</v>
      </c>
      <c r="BN18" s="3">
        <f t="shared" ca="1" si="49"/>
        <v>0</v>
      </c>
      <c r="BO18" s="3">
        <f t="shared" si="64"/>
        <v>12</v>
      </c>
      <c r="BP18" s="3" t="str">
        <f t="shared" ca="1" si="65"/>
        <v>Upton - Kaycee 1/21/2023</v>
      </c>
      <c r="BQ18" s="3" t="str">
        <f t="shared" ca="1" si="50"/>
        <v>R</v>
      </c>
      <c r="BR18" s="3" t="str">
        <f ca="1">IF(BP18="Blank","",IF(TeamGameData[[#This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56, Kaycee 37</v>
      </c>
      <c r="BS18" s="6" t="str">
        <f ca="1">IFERROR(IF(BP18="Blank","",IF(AND(VLOOKUP(TeamGameData[[#This Row],[Opponent]],WYTeamInfo,2,FALSE)=Roster!$D$1,VLOOKUP(TeamGameData[[#This Row],[Opponent]],WYTeamInfo,3,FALSE)=Roster!$D$2),"SR","")),"")</f>
        <v>SR</v>
      </c>
      <c r="BT18" s="3" t="str">
        <f>CONCATENATE(Roster!$D$1," ",Roster!$D$5)</f>
        <v>1A BB</v>
      </c>
      <c r="BU18" s="3">
        <f ca="1">Team_Report!$B233</f>
        <v>1</v>
      </c>
      <c r="BV18" s="3" t="str">
        <f>Roster!$D$3</f>
        <v>East</v>
      </c>
      <c r="BW18" s="3" t="str">
        <f>Roster!$D$2</f>
        <v>Northeast</v>
      </c>
      <c r="BX18" s="3" t="str">
        <f>Roster!$D$4</f>
        <v>North</v>
      </c>
      <c r="BY18" s="3">
        <f t="shared" ca="1" si="51"/>
        <v>0</v>
      </c>
      <c r="BZ18" s="3">
        <f t="shared" ca="1" si="52"/>
        <v>0</v>
      </c>
      <c r="CA18" s="3" t="str">
        <f>Roster!$D$8</f>
        <v>Joe Samuelson</v>
      </c>
    </row>
    <row r="19" spans="1:79" x14ac:dyDescent="0.25">
      <c r="A19" s="3" t="str">
        <f>Roster!$B$1</f>
        <v>Upton</v>
      </c>
      <c r="B19" s="3" t="str">
        <f t="shared" ca="1" si="53"/>
        <v>Hulett</v>
      </c>
      <c r="C19" s="6">
        <f t="shared" ca="1" si="54"/>
        <v>44953</v>
      </c>
      <c r="D19" s="3">
        <f t="shared" ca="1" si="0"/>
        <v>1</v>
      </c>
      <c r="E19" s="3">
        <f t="shared" ca="1" si="1"/>
        <v>32</v>
      </c>
      <c r="F19" s="3">
        <f t="shared" ca="1" si="2"/>
        <v>8</v>
      </c>
      <c r="G19" s="3">
        <f t="shared" ca="1" si="3"/>
        <v>31</v>
      </c>
      <c r="H19" s="3">
        <f t="shared" ca="1" si="4"/>
        <v>21</v>
      </c>
      <c r="I19" s="3">
        <f t="shared" ca="1" si="5"/>
        <v>36</v>
      </c>
      <c r="J19" s="3">
        <f t="shared" ca="1" si="6"/>
        <v>1</v>
      </c>
      <c r="K19" s="3">
        <f t="shared" ca="1" si="7"/>
        <v>2</v>
      </c>
      <c r="L19" s="3">
        <f t="shared" ca="1" si="8"/>
        <v>20</v>
      </c>
      <c r="M19" s="3">
        <f t="shared" ca="1" si="9"/>
        <v>15</v>
      </c>
      <c r="N19" s="3">
        <f t="shared" ca="1" si="10"/>
        <v>19</v>
      </c>
      <c r="O19" s="3">
        <f t="shared" ca="1" si="11"/>
        <v>19</v>
      </c>
      <c r="P19" s="3">
        <f t="shared" ca="1" si="12"/>
        <v>0</v>
      </c>
      <c r="Q19" s="3">
        <f t="shared" ca="1" si="13"/>
        <v>13</v>
      </c>
      <c r="R19" s="3">
        <f t="shared" ca="1" si="14"/>
        <v>7</v>
      </c>
      <c r="S19" s="3">
        <f t="shared" ca="1" si="15"/>
        <v>2</v>
      </c>
      <c r="T19" s="3">
        <f t="shared" ca="1" si="16"/>
        <v>67</v>
      </c>
      <c r="U19" s="7">
        <f t="shared" ca="1" si="17"/>
        <v>0.25806451612903225</v>
      </c>
      <c r="V19" s="7">
        <f t="shared" ca="1" si="18"/>
        <v>0.58333333333333337</v>
      </c>
      <c r="W19" s="7">
        <f t="shared" ca="1" si="19"/>
        <v>0.5</v>
      </c>
      <c r="X19" s="7">
        <f t="shared" ca="1" si="20"/>
        <v>0.43283582089552236</v>
      </c>
      <c r="Y19" s="7">
        <f t="shared" ca="1" si="21"/>
        <v>0.4925373134328358</v>
      </c>
      <c r="Z19" s="3">
        <f ca="1">TeamGameData[[#This Row],[OFF REB]]+TeamGameData[[#This Row],[DEF REB]]</f>
        <v>35</v>
      </c>
      <c r="AA19" s="3">
        <f t="shared" ca="1" si="22"/>
        <v>9</v>
      </c>
      <c r="AB19" s="3">
        <f t="shared" ca="1" si="55"/>
        <v>21</v>
      </c>
      <c r="AC19" s="3">
        <f t="shared" ca="1" si="56"/>
        <v>12</v>
      </c>
      <c r="AD19" s="3">
        <f t="shared" ca="1" si="57"/>
        <v>25</v>
      </c>
      <c r="AE19" s="3">
        <f t="shared" ca="1" si="58"/>
        <v>0</v>
      </c>
      <c r="AF19" s="3">
        <f t="shared" ca="1" si="23"/>
        <v>1</v>
      </c>
      <c r="AG19" s="3">
        <f t="shared" ca="1" si="24"/>
        <v>1</v>
      </c>
      <c r="AH19" s="3">
        <f t="shared" ca="1" si="25"/>
        <v>1</v>
      </c>
      <c r="AI19" s="3">
        <f t="shared" ca="1" si="26"/>
        <v>10</v>
      </c>
      <c r="AJ19" s="3">
        <f t="shared" ca="1" si="27"/>
        <v>12</v>
      </c>
      <c r="AK19" s="3">
        <f t="shared" ca="1" si="28"/>
        <v>24</v>
      </c>
      <c r="AL19" s="3">
        <f t="shared" ca="1" si="29"/>
        <v>2</v>
      </c>
      <c r="AM19" s="3">
        <f t="shared" ca="1" si="30"/>
        <v>6</v>
      </c>
      <c r="AN19" s="3">
        <f t="shared" ca="1" si="31"/>
        <v>7</v>
      </c>
      <c r="AO19" s="3">
        <f t="shared" ca="1" si="32"/>
        <v>13</v>
      </c>
      <c r="AP19" s="3">
        <f t="shared" ca="1" si="33"/>
        <v>9</v>
      </c>
      <c r="AQ19" s="3">
        <f t="shared" ca="1" si="34"/>
        <v>6</v>
      </c>
      <c r="AR19" s="3">
        <f t="shared" ca="1" si="35"/>
        <v>7</v>
      </c>
      <c r="AS19" s="3">
        <f t="shared" ca="1" si="36"/>
        <v>29</v>
      </c>
      <c r="AT19" s="3">
        <f t="shared" ca="1" si="37"/>
        <v>6</v>
      </c>
      <c r="AU19" s="3">
        <f t="shared" ca="1" si="38"/>
        <v>0</v>
      </c>
      <c r="AV19" s="3">
        <f t="shared" ca="1" si="39"/>
        <v>29</v>
      </c>
      <c r="AW19" s="7">
        <f t="shared" ca="1" si="40"/>
        <v>0.1</v>
      </c>
      <c r="AX19" s="7">
        <f t="shared" ca="1" si="41"/>
        <v>0.5</v>
      </c>
      <c r="AY19" s="7">
        <f t="shared" ca="1" si="42"/>
        <v>0.33333333333333331</v>
      </c>
      <c r="AZ19" s="7">
        <f t="shared" ca="1" si="43"/>
        <v>0.38235294117647056</v>
      </c>
      <c r="BA19" s="7">
        <f t="shared" ca="1" si="44"/>
        <v>0.39705882352941174</v>
      </c>
      <c r="BB19" s="3">
        <f ca="1">TeamGameData[[#This Row],[Opp OFF REB]]+TeamGameData[[#This Row],[Opp DEF REB]]</f>
        <v>20</v>
      </c>
      <c r="BC19" s="3">
        <f t="shared" ca="1" si="59"/>
        <v>9</v>
      </c>
      <c r="BD19" s="3">
        <f t="shared" ca="1" si="60"/>
        <v>2</v>
      </c>
      <c r="BE19" s="3">
        <f t="shared" ca="1" si="61"/>
        <v>11</v>
      </c>
      <c r="BF19" s="3">
        <f t="shared" ca="1" si="62"/>
        <v>7</v>
      </c>
      <c r="BG19" s="3">
        <f t="shared" ca="1" si="63"/>
        <v>0</v>
      </c>
      <c r="BH19" s="3">
        <f ca="1">IF($AF19=1,TeamGameData[[#This Row],[OFF REB]]-TeamGameData[[#This Row],[Opp OFF REB]],"")</f>
        <v>13</v>
      </c>
      <c r="BI19" s="3">
        <f ca="1">IF($AF19=1,TeamGameData[[#This Row],[DEF REB]]-TeamGameData[[#This Row],[Opp DEF REB]],"")</f>
        <v>2</v>
      </c>
      <c r="BJ19" s="3">
        <f ca="1">IF($AF19=1,TeamGameData[[#This Row],[TOT REB]]-TeamGameData[[#This Row],[Opp TOT REB]],"")</f>
        <v>15</v>
      </c>
      <c r="BK19" s="3">
        <f t="shared" ca="1" si="46"/>
        <v>1</v>
      </c>
      <c r="BL19" s="3" t="str">
        <f t="shared" ca="1" si="47"/>
        <v/>
      </c>
      <c r="BM19" s="3">
        <f t="shared" ca="1" si="48"/>
        <v>1</v>
      </c>
      <c r="BN19" s="3">
        <f t="shared" ca="1" si="49"/>
        <v>0</v>
      </c>
      <c r="BO19" s="3">
        <f t="shared" si="64"/>
        <v>13</v>
      </c>
      <c r="BP19" s="3" t="str">
        <f t="shared" ca="1" si="65"/>
        <v>Upton - Hulett 1/27/2023</v>
      </c>
      <c r="BQ19" s="3" t="str">
        <f t="shared" ca="1" si="50"/>
        <v>R</v>
      </c>
      <c r="BR19" s="3" t="str">
        <f ca="1">IF(BP19="Blank","",IF(TeamGameData[[#This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67, Hulett 29</v>
      </c>
      <c r="BS19" s="6" t="str">
        <f ca="1">IFERROR(IF(BP19="Blank","",IF(AND(VLOOKUP(TeamGameData[[#This Row],[Opponent]],WYTeamInfo,2,FALSE)=Roster!$D$1,VLOOKUP(TeamGameData[[#This Row],[Opponent]],WYTeamInfo,3,FALSE)=Roster!$D$2),"SR","")),"")</f>
        <v>SR</v>
      </c>
      <c r="BT19" s="3" t="str">
        <f>CONCATENATE(Roster!$D$1," ",Roster!$D$5)</f>
        <v>1A BB</v>
      </c>
      <c r="BU19" s="3">
        <f ca="1">Team_Report!$B234</f>
        <v>1</v>
      </c>
      <c r="BV19" s="3" t="str">
        <f>Roster!$D$3</f>
        <v>East</v>
      </c>
      <c r="BW19" s="3" t="str">
        <f>Roster!$D$2</f>
        <v>Northeast</v>
      </c>
      <c r="BX19" s="3" t="str">
        <f>Roster!$D$4</f>
        <v>North</v>
      </c>
      <c r="BY19" s="3">
        <f t="shared" ca="1" si="51"/>
        <v>0</v>
      </c>
      <c r="BZ19" s="3">
        <f t="shared" ca="1" si="52"/>
        <v>0</v>
      </c>
      <c r="CA19" s="3" t="str">
        <f>Roster!$D$8</f>
        <v>Joe Samuelson</v>
      </c>
    </row>
    <row r="20" spans="1:79" x14ac:dyDescent="0.25">
      <c r="A20" s="3" t="str">
        <f>Roster!$B$1</f>
        <v>Upton</v>
      </c>
      <c r="B20" s="3" t="str">
        <f t="shared" ca="1" si="53"/>
        <v>Thunder Basin JV</v>
      </c>
      <c r="C20" s="6">
        <f t="shared" ca="1" si="54"/>
        <v>44957</v>
      </c>
      <c r="D20" s="3">
        <f t="shared" ca="1" si="0"/>
        <v>1</v>
      </c>
      <c r="E20" s="3">
        <f t="shared" ca="1" si="1"/>
        <v>32</v>
      </c>
      <c r="F20" s="3">
        <f t="shared" ca="1" si="2"/>
        <v>7</v>
      </c>
      <c r="G20" s="3">
        <f t="shared" ca="1" si="3"/>
        <v>17</v>
      </c>
      <c r="H20" s="3">
        <f t="shared" ca="1" si="4"/>
        <v>18</v>
      </c>
      <c r="I20" s="3">
        <f t="shared" ca="1" si="5"/>
        <v>39</v>
      </c>
      <c r="J20" s="3">
        <f t="shared" ca="1" si="6"/>
        <v>13</v>
      </c>
      <c r="K20" s="3">
        <f t="shared" ca="1" si="7"/>
        <v>20</v>
      </c>
      <c r="L20" s="3">
        <f t="shared" ca="1" si="8"/>
        <v>16</v>
      </c>
      <c r="M20" s="3">
        <f t="shared" ca="1" si="9"/>
        <v>18</v>
      </c>
      <c r="N20" s="3">
        <f t="shared" ca="1" si="10"/>
        <v>14</v>
      </c>
      <c r="O20" s="3">
        <f t="shared" ca="1" si="11"/>
        <v>17</v>
      </c>
      <c r="P20" s="3">
        <f t="shared" ca="1" si="12"/>
        <v>1</v>
      </c>
      <c r="Q20" s="3">
        <f t="shared" ca="1" si="13"/>
        <v>18</v>
      </c>
      <c r="R20" s="3">
        <f t="shared" ca="1" si="14"/>
        <v>8</v>
      </c>
      <c r="S20" s="3">
        <f t="shared" ca="1" si="15"/>
        <v>0</v>
      </c>
      <c r="T20" s="3">
        <f t="shared" ca="1" si="16"/>
        <v>70</v>
      </c>
      <c r="U20" s="7">
        <f t="shared" ca="1" si="17"/>
        <v>0.41176470588235292</v>
      </c>
      <c r="V20" s="7">
        <f t="shared" ca="1" si="18"/>
        <v>0.46153846153846156</v>
      </c>
      <c r="W20" s="7">
        <f t="shared" ca="1" si="19"/>
        <v>0.65</v>
      </c>
      <c r="X20" s="7">
        <f t="shared" ca="1" si="20"/>
        <v>0.44642857142857145</v>
      </c>
      <c r="Y20" s="7">
        <f t="shared" ca="1" si="21"/>
        <v>0.5089285714285714</v>
      </c>
      <c r="Z20" s="3">
        <f ca="1">TeamGameData[[#This Row],[OFF REB]]+TeamGameData[[#This Row],[DEF REB]]</f>
        <v>34</v>
      </c>
      <c r="AA20" s="3">
        <f t="shared" ca="1" si="22"/>
        <v>17</v>
      </c>
      <c r="AB20" s="3">
        <f t="shared" ca="1" si="55"/>
        <v>18</v>
      </c>
      <c r="AC20" s="3">
        <f t="shared" ca="1" si="56"/>
        <v>16</v>
      </c>
      <c r="AD20" s="3">
        <f t="shared" ca="1" si="57"/>
        <v>19</v>
      </c>
      <c r="AE20" s="3">
        <f t="shared" ca="1" si="58"/>
        <v>0</v>
      </c>
      <c r="AF20" s="3">
        <f t="shared" ca="1" si="23"/>
        <v>1</v>
      </c>
      <c r="AG20" s="3">
        <f t="shared" ca="1" si="24"/>
        <v>1</v>
      </c>
      <c r="AH20" s="3">
        <f t="shared" ca="1" si="25"/>
        <v>9</v>
      </c>
      <c r="AI20" s="3">
        <f t="shared" ca="1" si="26"/>
        <v>26</v>
      </c>
      <c r="AJ20" s="3">
        <f t="shared" ca="1" si="27"/>
        <v>11</v>
      </c>
      <c r="AK20" s="3">
        <f t="shared" ca="1" si="28"/>
        <v>20</v>
      </c>
      <c r="AL20" s="3">
        <f t="shared" ca="1" si="29"/>
        <v>3</v>
      </c>
      <c r="AM20" s="3">
        <f t="shared" ca="1" si="30"/>
        <v>4</v>
      </c>
      <c r="AN20" s="3">
        <f t="shared" ca="1" si="31"/>
        <v>4</v>
      </c>
      <c r="AO20" s="3">
        <f t="shared" ca="1" si="32"/>
        <v>17</v>
      </c>
      <c r="AP20" s="3">
        <f t="shared" ca="1" si="33"/>
        <v>11</v>
      </c>
      <c r="AQ20" s="3">
        <f t="shared" ca="1" si="34"/>
        <v>9</v>
      </c>
      <c r="AR20" s="3">
        <f t="shared" ca="1" si="35"/>
        <v>2</v>
      </c>
      <c r="AS20" s="3">
        <f t="shared" ca="1" si="36"/>
        <v>24</v>
      </c>
      <c r="AT20" s="3">
        <f t="shared" ca="1" si="37"/>
        <v>15</v>
      </c>
      <c r="AU20" s="3">
        <f t="shared" ca="1" si="38"/>
        <v>2</v>
      </c>
      <c r="AV20" s="3">
        <f t="shared" ca="1" si="39"/>
        <v>52</v>
      </c>
      <c r="AW20" s="7">
        <f t="shared" ca="1" si="40"/>
        <v>0.34615384615384615</v>
      </c>
      <c r="AX20" s="7">
        <f t="shared" ca="1" si="41"/>
        <v>0.55000000000000004</v>
      </c>
      <c r="AY20" s="7">
        <f t="shared" ca="1" si="42"/>
        <v>0.75</v>
      </c>
      <c r="AZ20" s="7">
        <f t="shared" ca="1" si="43"/>
        <v>0.43478260869565216</v>
      </c>
      <c r="BA20" s="7">
        <f t="shared" ca="1" si="44"/>
        <v>0.53260869565217395</v>
      </c>
      <c r="BB20" s="3">
        <f ca="1">TeamGameData[[#This Row],[Opp OFF REB]]+TeamGameData[[#This Row],[Opp DEF REB]]</f>
        <v>21</v>
      </c>
      <c r="BC20" s="3">
        <f t="shared" ca="1" si="59"/>
        <v>9</v>
      </c>
      <c r="BD20" s="3">
        <f t="shared" ca="1" si="60"/>
        <v>21</v>
      </c>
      <c r="BE20" s="3">
        <f t="shared" ca="1" si="61"/>
        <v>12</v>
      </c>
      <c r="BF20" s="3">
        <f t="shared" ca="1" si="62"/>
        <v>10</v>
      </c>
      <c r="BG20" s="3">
        <f t="shared" ca="1" si="63"/>
        <v>0</v>
      </c>
      <c r="BH20" s="3">
        <f ca="1">IF($AF20=1,TeamGameData[[#This Row],[OFF REB]]-TeamGameData[[#This Row],[Opp OFF REB]],"")</f>
        <v>12</v>
      </c>
      <c r="BI20" s="3">
        <f ca="1">IF($AF20=1,TeamGameData[[#This Row],[DEF REB]]-TeamGameData[[#This Row],[Opp DEF REB]],"")</f>
        <v>1</v>
      </c>
      <c r="BJ20" s="3">
        <f ca="1">IF($AF20=1,TeamGameData[[#This Row],[TOT REB]]-TeamGameData[[#This Row],[Opp TOT REB]],"")</f>
        <v>13</v>
      </c>
      <c r="BK20" s="3">
        <f t="shared" ca="1" si="46"/>
        <v>1</v>
      </c>
      <c r="BL20" s="3" t="str">
        <f t="shared" ca="1" si="47"/>
        <v/>
      </c>
      <c r="BM20" s="3">
        <f t="shared" ca="1" si="48"/>
        <v>0</v>
      </c>
      <c r="BN20" s="3">
        <f t="shared" ca="1" si="49"/>
        <v>0</v>
      </c>
      <c r="BO20" s="3">
        <f t="shared" si="64"/>
        <v>14</v>
      </c>
      <c r="BP20" s="3" t="str">
        <f t="shared" ca="1" si="65"/>
        <v>Upton - Thunder Basin JV 1/31/2023</v>
      </c>
      <c r="BQ20" s="3" t="str">
        <f t="shared" ca="1" si="50"/>
        <v/>
      </c>
      <c r="BR20" s="3" t="str">
        <f ca="1">IF(BP20="Blank","",IF(TeamGameData[[#This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70, Thunder Basin JV 52</v>
      </c>
      <c r="BS20" s="6" t="str">
        <f ca="1">IFERROR(IF(BP20="Blank","",IF(AND(VLOOKUP(TeamGameData[[#This Row],[Opponent]],WYTeamInfo,2,FALSE)=Roster!$D$1,VLOOKUP(TeamGameData[[#This Row],[Opponent]],WYTeamInfo,3,FALSE)=Roster!$D$2),"SR","")),"")</f>
        <v/>
      </c>
      <c r="BT20" s="3" t="str">
        <f>CONCATENATE(Roster!$D$1," ",Roster!$D$5)</f>
        <v>1A BB</v>
      </c>
      <c r="BU20" s="3">
        <f ca="1">Team_Report!$B235</f>
        <v>1</v>
      </c>
      <c r="BV20" s="3" t="str">
        <f>Roster!$D$3</f>
        <v>East</v>
      </c>
      <c r="BW20" s="3" t="str">
        <f>Roster!$D$2</f>
        <v>Northeast</v>
      </c>
      <c r="BX20" s="3" t="str">
        <f>Roster!$D$4</f>
        <v>North</v>
      </c>
      <c r="BY20" s="3">
        <f t="shared" ca="1" si="51"/>
        <v>0</v>
      </c>
      <c r="BZ20" s="3">
        <f t="shared" ca="1" si="52"/>
        <v>0</v>
      </c>
      <c r="CA20" s="3" t="str">
        <f>Roster!$D$8</f>
        <v>Joe Samuelson</v>
      </c>
    </row>
    <row r="21" spans="1:79" x14ac:dyDescent="0.25">
      <c r="A21" s="3" t="str">
        <f>Roster!$B$1</f>
        <v>Upton</v>
      </c>
      <c r="B21" s="3" t="str">
        <f t="shared" ca="1" si="53"/>
        <v>Kaycee</v>
      </c>
      <c r="C21" s="6">
        <f t="shared" ca="1" si="54"/>
        <v>44960</v>
      </c>
      <c r="D21" s="3">
        <f t="shared" ca="1" si="0"/>
        <v>1</v>
      </c>
      <c r="E21" s="3">
        <f t="shared" ca="1" si="1"/>
        <v>32</v>
      </c>
      <c r="F21" s="3">
        <f t="shared" ca="1" si="2"/>
        <v>6</v>
      </c>
      <c r="G21" s="3">
        <f t="shared" ca="1" si="3"/>
        <v>18</v>
      </c>
      <c r="H21" s="3">
        <f t="shared" ca="1" si="4"/>
        <v>28</v>
      </c>
      <c r="I21" s="3">
        <f t="shared" ca="1" si="5"/>
        <v>41</v>
      </c>
      <c r="J21" s="3">
        <f t="shared" ca="1" si="6"/>
        <v>11</v>
      </c>
      <c r="K21" s="3">
        <f t="shared" ca="1" si="7"/>
        <v>20</v>
      </c>
      <c r="L21" s="3">
        <f t="shared" ca="1" si="8"/>
        <v>6</v>
      </c>
      <c r="M21" s="3">
        <f t="shared" ca="1" si="9"/>
        <v>23</v>
      </c>
      <c r="N21" s="3">
        <f t="shared" ca="1" si="10"/>
        <v>23</v>
      </c>
      <c r="O21" s="3">
        <f t="shared" ca="1" si="11"/>
        <v>12</v>
      </c>
      <c r="P21" s="3">
        <f t="shared" ca="1" si="12"/>
        <v>1</v>
      </c>
      <c r="Q21" s="3">
        <f t="shared" ca="1" si="13"/>
        <v>11</v>
      </c>
      <c r="R21" s="3">
        <f t="shared" ca="1" si="14"/>
        <v>12</v>
      </c>
      <c r="S21" s="3">
        <f t="shared" ca="1" si="15"/>
        <v>0</v>
      </c>
      <c r="T21" s="3">
        <f t="shared" ca="1" si="16"/>
        <v>85</v>
      </c>
      <c r="U21" s="7">
        <f t="shared" ca="1" si="17"/>
        <v>0.33333333333333331</v>
      </c>
      <c r="V21" s="7">
        <f t="shared" ca="1" si="18"/>
        <v>0.68292682926829273</v>
      </c>
      <c r="W21" s="7">
        <f t="shared" ca="1" si="19"/>
        <v>0.55000000000000004</v>
      </c>
      <c r="X21" s="7">
        <f t="shared" ca="1" si="20"/>
        <v>0.57627118644067798</v>
      </c>
      <c r="Y21" s="7">
        <f t="shared" ca="1" si="21"/>
        <v>0.6271186440677966</v>
      </c>
      <c r="Z21" s="3">
        <f ca="1">TeamGameData[[#This Row],[OFF REB]]+TeamGameData[[#This Row],[DEF REB]]</f>
        <v>29</v>
      </c>
      <c r="AA21" s="3">
        <f t="shared" ca="1" si="22"/>
        <v>14</v>
      </c>
      <c r="AB21" s="3">
        <f t="shared" ca="1" si="55"/>
        <v>21</v>
      </c>
      <c r="AC21" s="3">
        <f t="shared" ca="1" si="56"/>
        <v>23</v>
      </c>
      <c r="AD21" s="3">
        <f t="shared" ca="1" si="57"/>
        <v>27</v>
      </c>
      <c r="AE21" s="3">
        <f t="shared" ca="1" si="58"/>
        <v>0</v>
      </c>
      <c r="AF21" s="3">
        <f t="shared" ca="1" si="23"/>
        <v>1</v>
      </c>
      <c r="AG21" s="3">
        <f t="shared" ca="1" si="24"/>
        <v>1</v>
      </c>
      <c r="AH21" s="3">
        <f t="shared" ca="1" si="25"/>
        <v>2</v>
      </c>
      <c r="AI21" s="3">
        <f t="shared" ca="1" si="26"/>
        <v>14</v>
      </c>
      <c r="AJ21" s="3">
        <f t="shared" ca="1" si="27"/>
        <v>20</v>
      </c>
      <c r="AK21" s="3">
        <f t="shared" ca="1" si="28"/>
        <v>45</v>
      </c>
      <c r="AL21" s="3">
        <f t="shared" ca="1" si="29"/>
        <v>2</v>
      </c>
      <c r="AM21" s="3">
        <f t="shared" ca="1" si="30"/>
        <v>8</v>
      </c>
      <c r="AN21" s="3">
        <f t="shared" ca="1" si="31"/>
        <v>9</v>
      </c>
      <c r="AO21" s="3">
        <f t="shared" ca="1" si="32"/>
        <v>17</v>
      </c>
      <c r="AP21" s="3">
        <f t="shared" ca="1" si="33"/>
        <v>12</v>
      </c>
      <c r="AQ21" s="3">
        <f t="shared" ca="1" si="34"/>
        <v>6</v>
      </c>
      <c r="AR21" s="3">
        <f t="shared" ca="1" si="35"/>
        <v>0</v>
      </c>
      <c r="AS21" s="3">
        <f t="shared" ca="1" si="36"/>
        <v>20</v>
      </c>
      <c r="AT21" s="3">
        <f t="shared" ca="1" si="37"/>
        <v>17</v>
      </c>
      <c r="AU21" s="3">
        <f t="shared" ca="1" si="38"/>
        <v>0</v>
      </c>
      <c r="AV21" s="3">
        <f t="shared" ca="1" si="39"/>
        <v>48</v>
      </c>
      <c r="AW21" s="7">
        <f t="shared" ca="1" si="40"/>
        <v>0.14285714285714285</v>
      </c>
      <c r="AX21" s="7">
        <f t="shared" ca="1" si="41"/>
        <v>0.44444444444444442</v>
      </c>
      <c r="AY21" s="7">
        <f t="shared" ca="1" si="42"/>
        <v>0.25</v>
      </c>
      <c r="AZ21" s="7">
        <f t="shared" ca="1" si="43"/>
        <v>0.3728813559322034</v>
      </c>
      <c r="BA21" s="7">
        <f t="shared" ca="1" si="44"/>
        <v>0.38983050847457629</v>
      </c>
      <c r="BB21" s="3">
        <f ca="1">TeamGameData[[#This Row],[Opp OFF REB]]+TeamGameData[[#This Row],[Opp DEF REB]]</f>
        <v>26</v>
      </c>
      <c r="BC21" s="3">
        <f t="shared" ca="1" si="59"/>
        <v>8</v>
      </c>
      <c r="BD21" s="3">
        <f t="shared" ca="1" si="60"/>
        <v>17</v>
      </c>
      <c r="BE21" s="3">
        <f t="shared" ca="1" si="61"/>
        <v>13</v>
      </c>
      <c r="BF21" s="3">
        <f t="shared" ca="1" si="62"/>
        <v>10</v>
      </c>
      <c r="BG21" s="3">
        <f t="shared" ca="1" si="63"/>
        <v>0</v>
      </c>
      <c r="BH21" s="3">
        <f ca="1">IF($AF21=1,TeamGameData[[#This Row],[OFF REB]]-TeamGameData[[#This Row],[Opp OFF REB]],"")</f>
        <v>-3</v>
      </c>
      <c r="BI21" s="3">
        <f ca="1">IF($AF21=1,TeamGameData[[#This Row],[DEF REB]]-TeamGameData[[#This Row],[Opp DEF REB]],"")</f>
        <v>6</v>
      </c>
      <c r="BJ21" s="3">
        <f ca="1">IF($AF21=1,TeamGameData[[#This Row],[TOT REB]]-TeamGameData[[#This Row],[Opp TOT REB]],"")</f>
        <v>3</v>
      </c>
      <c r="BK21" s="3">
        <f t="shared" ca="1" si="46"/>
        <v>1</v>
      </c>
      <c r="BL21" s="3" t="str">
        <f t="shared" ca="1" si="47"/>
        <v/>
      </c>
      <c r="BM21" s="3">
        <f t="shared" ca="1" si="48"/>
        <v>1</v>
      </c>
      <c r="BN21" s="3">
        <f t="shared" ca="1" si="49"/>
        <v>0</v>
      </c>
      <c r="BO21" s="3">
        <f t="shared" si="64"/>
        <v>15</v>
      </c>
      <c r="BP21" s="3" t="str">
        <f t="shared" ca="1" si="65"/>
        <v>Upton - Kaycee 2/3/2023</v>
      </c>
      <c r="BQ21" s="3" t="str">
        <f t="shared" ca="1" si="50"/>
        <v>R</v>
      </c>
      <c r="BR21" s="3" t="str">
        <f ca="1">IF(BP21="Blank","",IF(TeamGameData[[#This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85, Kaycee 48</v>
      </c>
      <c r="BS21" s="6" t="str">
        <f ca="1">IFERROR(IF(BP21="Blank","",IF(AND(VLOOKUP(TeamGameData[[#This Row],[Opponent]],WYTeamInfo,2,FALSE)=Roster!$D$1,VLOOKUP(TeamGameData[[#This Row],[Opponent]],WYTeamInfo,3,FALSE)=Roster!$D$2),"SR","")),"")</f>
        <v>SR</v>
      </c>
      <c r="BT21" s="3" t="str">
        <f>CONCATENATE(Roster!$D$1," ",Roster!$D$5)</f>
        <v>1A BB</v>
      </c>
      <c r="BU21" s="3">
        <f ca="1">Team_Report!$B236</f>
        <v>1</v>
      </c>
      <c r="BV21" s="3" t="str">
        <f>Roster!$D$3</f>
        <v>East</v>
      </c>
      <c r="BW21" s="3" t="str">
        <f>Roster!$D$2</f>
        <v>Northeast</v>
      </c>
      <c r="BX21" s="3" t="str">
        <f>Roster!$D$4</f>
        <v>North</v>
      </c>
      <c r="BY21" s="3">
        <f t="shared" ca="1" si="51"/>
        <v>0</v>
      </c>
      <c r="BZ21" s="3">
        <f t="shared" ca="1" si="52"/>
        <v>0</v>
      </c>
      <c r="CA21" s="3" t="str">
        <f>Roster!$D$8</f>
        <v>Joe Samuelson</v>
      </c>
    </row>
    <row r="22" spans="1:79" x14ac:dyDescent="0.25">
      <c r="A22" s="3" t="str">
        <f>Roster!$B$1</f>
        <v>Upton</v>
      </c>
      <c r="B22" s="3" t="str">
        <f t="shared" ca="1" si="53"/>
        <v>Midwest</v>
      </c>
      <c r="C22" s="6">
        <f t="shared" ca="1" si="54"/>
        <v>44961</v>
      </c>
      <c r="D22" s="3">
        <f t="shared" ca="1" si="0"/>
        <v>1</v>
      </c>
      <c r="E22" s="3">
        <f t="shared" ca="1" si="1"/>
        <v>32</v>
      </c>
      <c r="F22" s="3">
        <f t="shared" ca="1" si="2"/>
        <v>6</v>
      </c>
      <c r="G22" s="3">
        <f t="shared" ca="1" si="3"/>
        <v>20</v>
      </c>
      <c r="H22" s="3">
        <f t="shared" ca="1" si="4"/>
        <v>26</v>
      </c>
      <c r="I22" s="3">
        <f t="shared" ca="1" si="5"/>
        <v>31</v>
      </c>
      <c r="J22" s="3">
        <f t="shared" ca="1" si="6"/>
        <v>4</v>
      </c>
      <c r="K22" s="3">
        <f t="shared" ca="1" si="7"/>
        <v>5</v>
      </c>
      <c r="L22" s="3">
        <f t="shared" ca="1" si="8"/>
        <v>5</v>
      </c>
      <c r="M22" s="3">
        <f t="shared" ca="1" si="9"/>
        <v>14</v>
      </c>
      <c r="N22" s="3">
        <f t="shared" ca="1" si="10"/>
        <v>23</v>
      </c>
      <c r="O22" s="3">
        <f t="shared" ca="1" si="11"/>
        <v>18</v>
      </c>
      <c r="P22" s="3">
        <f t="shared" ca="1" si="12"/>
        <v>3</v>
      </c>
      <c r="Q22" s="3">
        <f t="shared" ca="1" si="13"/>
        <v>8</v>
      </c>
      <c r="R22" s="3">
        <f t="shared" ca="1" si="14"/>
        <v>13</v>
      </c>
      <c r="S22" s="3">
        <f t="shared" ca="1" si="15"/>
        <v>1</v>
      </c>
      <c r="T22" s="3">
        <f t="shared" ca="1" si="16"/>
        <v>74</v>
      </c>
      <c r="U22" s="7">
        <f t="shared" ca="1" si="17"/>
        <v>0.3</v>
      </c>
      <c r="V22" s="7">
        <f t="shared" ca="1" si="18"/>
        <v>0.83870967741935487</v>
      </c>
      <c r="W22" s="7">
        <f t="shared" ca="1" si="19"/>
        <v>0.8</v>
      </c>
      <c r="X22" s="7">
        <f t="shared" ca="1" si="20"/>
        <v>0.62745098039215685</v>
      </c>
      <c r="Y22" s="7">
        <f t="shared" ca="1" si="21"/>
        <v>0.68627450980392157</v>
      </c>
      <c r="Z22" s="3">
        <f ca="1">TeamGameData[[#This Row],[OFF REB]]+TeamGameData[[#This Row],[DEF REB]]</f>
        <v>19</v>
      </c>
      <c r="AA22" s="3">
        <f t="shared" ca="1" si="22"/>
        <v>31</v>
      </c>
      <c r="AB22" s="3">
        <f t="shared" ca="1" si="55"/>
        <v>29</v>
      </c>
      <c r="AC22" s="3">
        <f t="shared" ca="1" si="56"/>
        <v>5</v>
      </c>
      <c r="AD22" s="3">
        <f t="shared" ca="1" si="57"/>
        <v>9</v>
      </c>
      <c r="AE22" s="3">
        <f t="shared" ca="1" si="58"/>
        <v>0</v>
      </c>
      <c r="AF22" s="3">
        <f t="shared" ca="1" si="23"/>
        <v>1</v>
      </c>
      <c r="AG22" s="3">
        <f t="shared" ca="1" si="24"/>
        <v>1</v>
      </c>
      <c r="AH22" s="3">
        <f t="shared" ca="1" si="25"/>
        <v>6</v>
      </c>
      <c r="AI22" s="3">
        <f t="shared" ca="1" si="26"/>
        <v>11</v>
      </c>
      <c r="AJ22" s="3">
        <f t="shared" ca="1" si="27"/>
        <v>4</v>
      </c>
      <c r="AK22" s="3">
        <f t="shared" ca="1" si="28"/>
        <v>17</v>
      </c>
      <c r="AL22" s="3">
        <f t="shared" ca="1" si="29"/>
        <v>9</v>
      </c>
      <c r="AM22" s="3">
        <f t="shared" ca="1" si="30"/>
        <v>14</v>
      </c>
      <c r="AN22" s="3">
        <f t="shared" ca="1" si="31"/>
        <v>2</v>
      </c>
      <c r="AO22" s="3">
        <f t="shared" ca="1" si="32"/>
        <v>12</v>
      </c>
      <c r="AP22" s="3">
        <f t="shared" ca="1" si="33"/>
        <v>9</v>
      </c>
      <c r="AQ22" s="3">
        <f t="shared" ca="1" si="34"/>
        <v>4</v>
      </c>
      <c r="AR22" s="3">
        <f t="shared" ca="1" si="35"/>
        <v>0</v>
      </c>
      <c r="AS22" s="3">
        <f t="shared" ca="1" si="36"/>
        <v>25</v>
      </c>
      <c r="AT22" s="3">
        <f t="shared" ca="1" si="37"/>
        <v>6</v>
      </c>
      <c r="AU22" s="3">
        <f t="shared" ca="1" si="38"/>
        <v>0</v>
      </c>
      <c r="AV22" s="3">
        <f t="shared" ca="1" si="39"/>
        <v>35</v>
      </c>
      <c r="AW22" s="7">
        <f t="shared" ca="1" si="40"/>
        <v>0.54545454545454541</v>
      </c>
      <c r="AX22" s="7">
        <f t="shared" ca="1" si="41"/>
        <v>0.23529411764705882</v>
      </c>
      <c r="AY22" s="7">
        <f t="shared" ca="1" si="42"/>
        <v>0.6428571428571429</v>
      </c>
      <c r="AZ22" s="7">
        <f t="shared" ca="1" si="43"/>
        <v>0.35714285714285715</v>
      </c>
      <c r="BA22" s="7">
        <f t="shared" ca="1" si="44"/>
        <v>0.4642857142857143</v>
      </c>
      <c r="BB22" s="3">
        <f ca="1">TeamGameData[[#This Row],[Opp OFF REB]]+TeamGameData[[#This Row],[Opp DEF REB]]</f>
        <v>14</v>
      </c>
      <c r="BC22" s="3">
        <f t="shared" ca="1" si="59"/>
        <v>6</v>
      </c>
      <c r="BD22" s="3">
        <f t="shared" ca="1" si="60"/>
        <v>13</v>
      </c>
      <c r="BE22" s="3">
        <f t="shared" ca="1" si="61"/>
        <v>4</v>
      </c>
      <c r="BF22" s="3">
        <f t="shared" ca="1" si="62"/>
        <v>12</v>
      </c>
      <c r="BG22" s="3">
        <f t="shared" ca="1" si="63"/>
        <v>0</v>
      </c>
      <c r="BH22" s="3">
        <f ca="1">IF($AF22=1,TeamGameData[[#This Row],[OFF REB]]-TeamGameData[[#This Row],[Opp OFF REB]],"")</f>
        <v>3</v>
      </c>
      <c r="BI22" s="3">
        <f ca="1">IF($AF22=1,TeamGameData[[#This Row],[DEF REB]]-TeamGameData[[#This Row],[Opp DEF REB]],"")</f>
        <v>2</v>
      </c>
      <c r="BJ22" s="3">
        <f ca="1">IF($AF22=1,TeamGameData[[#This Row],[TOT REB]]-TeamGameData[[#This Row],[Opp TOT REB]],"")</f>
        <v>5</v>
      </c>
      <c r="BK22" s="3">
        <f t="shared" ca="1" si="46"/>
        <v>1</v>
      </c>
      <c r="BL22" s="3" t="str">
        <f t="shared" ca="1" si="47"/>
        <v/>
      </c>
      <c r="BM22" s="3">
        <f t="shared" ca="1" si="48"/>
        <v>1</v>
      </c>
      <c r="BN22" s="3">
        <f t="shared" ca="1" si="49"/>
        <v>0</v>
      </c>
      <c r="BO22" s="3">
        <f t="shared" si="64"/>
        <v>16</v>
      </c>
      <c r="BP22" s="3" t="str">
        <f t="shared" ca="1" si="65"/>
        <v>Upton - Midwest 2/4/2023</v>
      </c>
      <c r="BQ22" s="3" t="str">
        <f t="shared" ca="1" si="50"/>
        <v>R</v>
      </c>
      <c r="BR22" s="3" t="str">
        <f ca="1">IF(BP22="Blank","",IF(TeamGameData[[#This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74, Midwest 35</v>
      </c>
      <c r="BS22" s="6" t="str">
        <f ca="1">IFERROR(IF(BP22="Blank","",IF(AND(VLOOKUP(TeamGameData[[#This Row],[Opponent]],WYTeamInfo,2,FALSE)=Roster!$D$1,VLOOKUP(TeamGameData[[#This Row],[Opponent]],WYTeamInfo,3,FALSE)=Roster!$D$2),"SR","")),"")</f>
        <v>SR</v>
      </c>
      <c r="BT22" s="3" t="str">
        <f>CONCATENATE(Roster!$D$1," ",Roster!$D$5)</f>
        <v>1A BB</v>
      </c>
      <c r="BU22" s="3">
        <f ca="1">Team_Report!$B237</f>
        <v>1</v>
      </c>
      <c r="BV22" s="3" t="str">
        <f>Roster!$D$3</f>
        <v>East</v>
      </c>
      <c r="BW22" s="3" t="str">
        <f>Roster!$D$2</f>
        <v>Northeast</v>
      </c>
      <c r="BX22" s="3" t="str">
        <f>Roster!$D$4</f>
        <v>North</v>
      </c>
      <c r="BY22" s="3">
        <f t="shared" ca="1" si="51"/>
        <v>0</v>
      </c>
      <c r="BZ22" s="3">
        <f t="shared" ca="1" si="52"/>
        <v>0</v>
      </c>
      <c r="CA22" s="3" t="str">
        <f>Roster!$D$8</f>
        <v>Joe Samuelson</v>
      </c>
    </row>
    <row r="23" spans="1:79" x14ac:dyDescent="0.25">
      <c r="A23" s="3" t="str">
        <f>Roster!$B$1</f>
        <v>Upton</v>
      </c>
      <c r="B23" s="3" t="str">
        <f t="shared" ca="1" si="53"/>
        <v>Sundance</v>
      </c>
      <c r="C23" s="6">
        <f t="shared" ca="1" si="54"/>
        <v>44964</v>
      </c>
      <c r="D23" s="3">
        <f t="shared" ca="1" si="0"/>
        <v>1</v>
      </c>
      <c r="E23" s="3">
        <f t="shared" ca="1" si="1"/>
        <v>32</v>
      </c>
      <c r="F23" s="3">
        <f t="shared" ca="1" si="2"/>
        <v>7</v>
      </c>
      <c r="G23" s="3">
        <f t="shared" ca="1" si="3"/>
        <v>30</v>
      </c>
      <c r="H23" s="3">
        <f t="shared" ca="1" si="4"/>
        <v>15</v>
      </c>
      <c r="I23" s="3">
        <f t="shared" ca="1" si="5"/>
        <v>27</v>
      </c>
      <c r="J23" s="3">
        <f t="shared" ca="1" si="6"/>
        <v>8</v>
      </c>
      <c r="K23" s="3">
        <f t="shared" ca="1" si="7"/>
        <v>13</v>
      </c>
      <c r="L23" s="3">
        <f t="shared" ca="1" si="8"/>
        <v>13</v>
      </c>
      <c r="M23" s="3">
        <f t="shared" ca="1" si="9"/>
        <v>20</v>
      </c>
      <c r="N23" s="3">
        <f t="shared" ca="1" si="10"/>
        <v>19</v>
      </c>
      <c r="O23" s="3">
        <f t="shared" ca="1" si="11"/>
        <v>11</v>
      </c>
      <c r="P23" s="3">
        <f t="shared" ca="1" si="12"/>
        <v>2</v>
      </c>
      <c r="Q23" s="3">
        <f t="shared" ca="1" si="13"/>
        <v>15</v>
      </c>
      <c r="R23" s="3">
        <f t="shared" ca="1" si="14"/>
        <v>12</v>
      </c>
      <c r="S23" s="3">
        <f t="shared" ca="1" si="15"/>
        <v>2</v>
      </c>
      <c r="T23" s="3">
        <f t="shared" ca="1" si="16"/>
        <v>59</v>
      </c>
      <c r="U23" s="7">
        <f t="shared" ca="1" si="17"/>
        <v>0.23333333333333334</v>
      </c>
      <c r="V23" s="7">
        <f t="shared" ca="1" si="18"/>
        <v>0.55555555555555558</v>
      </c>
      <c r="W23" s="7">
        <f t="shared" ca="1" si="19"/>
        <v>0.61538461538461542</v>
      </c>
      <c r="X23" s="7">
        <f t="shared" ca="1" si="20"/>
        <v>0.38596491228070173</v>
      </c>
      <c r="Y23" s="7">
        <f t="shared" ca="1" si="21"/>
        <v>0.44736842105263158</v>
      </c>
      <c r="Z23" s="3">
        <f ca="1">TeamGameData[[#This Row],[OFF REB]]+TeamGameData[[#This Row],[DEF REB]]</f>
        <v>33</v>
      </c>
      <c r="AA23" s="3">
        <f t="shared" ca="1" si="22"/>
        <v>14</v>
      </c>
      <c r="AB23" s="3">
        <f t="shared" ca="1" si="55"/>
        <v>12</v>
      </c>
      <c r="AC23" s="3">
        <f t="shared" ca="1" si="56"/>
        <v>14</v>
      </c>
      <c r="AD23" s="3">
        <f t="shared" ca="1" si="57"/>
        <v>19</v>
      </c>
      <c r="AE23" s="3">
        <f t="shared" ca="1" si="58"/>
        <v>0</v>
      </c>
      <c r="AF23" s="3">
        <f t="shared" ca="1" si="23"/>
        <v>1</v>
      </c>
      <c r="AG23" s="3">
        <f t="shared" ca="1" si="24"/>
        <v>1</v>
      </c>
      <c r="AH23" s="3">
        <f t="shared" ca="1" si="25"/>
        <v>7</v>
      </c>
      <c r="AI23" s="3">
        <f t="shared" ca="1" si="26"/>
        <v>20</v>
      </c>
      <c r="AJ23" s="3">
        <f t="shared" ca="1" si="27"/>
        <v>12</v>
      </c>
      <c r="AK23" s="3">
        <f t="shared" ca="1" si="28"/>
        <v>33</v>
      </c>
      <c r="AL23" s="3">
        <f t="shared" ca="1" si="29"/>
        <v>1</v>
      </c>
      <c r="AM23" s="3">
        <f t="shared" ca="1" si="30"/>
        <v>5</v>
      </c>
      <c r="AN23" s="3">
        <f t="shared" ca="1" si="31"/>
        <v>10</v>
      </c>
      <c r="AO23" s="3">
        <f t="shared" ca="1" si="32"/>
        <v>20</v>
      </c>
      <c r="AP23" s="3">
        <f t="shared" ca="1" si="33"/>
        <v>15</v>
      </c>
      <c r="AQ23" s="3">
        <f t="shared" ca="1" si="34"/>
        <v>7</v>
      </c>
      <c r="AR23" s="3">
        <f t="shared" ca="1" si="35"/>
        <v>2</v>
      </c>
      <c r="AS23" s="3">
        <f t="shared" ca="1" si="36"/>
        <v>19</v>
      </c>
      <c r="AT23" s="3">
        <f t="shared" ca="1" si="37"/>
        <v>13</v>
      </c>
      <c r="AU23" s="3">
        <f t="shared" ca="1" si="38"/>
        <v>0</v>
      </c>
      <c r="AV23" s="3">
        <f t="shared" ca="1" si="39"/>
        <v>46</v>
      </c>
      <c r="AW23" s="7">
        <f t="shared" ca="1" si="40"/>
        <v>0.35</v>
      </c>
      <c r="AX23" s="7">
        <f t="shared" ca="1" si="41"/>
        <v>0.36363636363636365</v>
      </c>
      <c r="AY23" s="7">
        <f t="shared" ca="1" si="42"/>
        <v>0.2</v>
      </c>
      <c r="AZ23" s="7">
        <f t="shared" ca="1" si="43"/>
        <v>0.35849056603773582</v>
      </c>
      <c r="BA23" s="7">
        <f t="shared" ca="1" si="44"/>
        <v>0.42452830188679247</v>
      </c>
      <c r="BB23" s="3">
        <f ca="1">TeamGameData[[#This Row],[Opp OFF REB]]+TeamGameData[[#This Row],[Opp DEF REB]]</f>
        <v>30</v>
      </c>
      <c r="BC23" s="3">
        <f t="shared" ca="1" si="59"/>
        <v>9</v>
      </c>
      <c r="BD23" s="3">
        <f t="shared" ca="1" si="60"/>
        <v>8</v>
      </c>
      <c r="BE23" s="3">
        <f t="shared" ca="1" si="61"/>
        <v>9</v>
      </c>
      <c r="BF23" s="3">
        <f t="shared" ca="1" si="62"/>
        <v>20</v>
      </c>
      <c r="BG23" s="3">
        <f t="shared" ca="1" si="63"/>
        <v>0</v>
      </c>
      <c r="BH23" s="3">
        <f ca="1">IF($AF23=1,TeamGameData[[#This Row],[OFF REB]]-TeamGameData[[#This Row],[Opp OFF REB]],"")</f>
        <v>3</v>
      </c>
      <c r="BI23" s="3">
        <f ca="1">IF($AF23=1,TeamGameData[[#This Row],[DEF REB]]-TeamGameData[[#This Row],[Opp DEF REB]],"")</f>
        <v>0</v>
      </c>
      <c r="BJ23" s="3">
        <f ca="1">IF($AF23=1,TeamGameData[[#This Row],[TOT REB]]-TeamGameData[[#This Row],[Opp TOT REB]],"")</f>
        <v>3</v>
      </c>
      <c r="BK23" s="3">
        <f t="shared" ca="1" si="46"/>
        <v>1</v>
      </c>
      <c r="BL23" s="3" t="str">
        <f t="shared" ca="1" si="47"/>
        <v/>
      </c>
      <c r="BM23" s="3">
        <f t="shared" ca="1" si="48"/>
        <v>0</v>
      </c>
      <c r="BN23" s="3">
        <f t="shared" ca="1" si="49"/>
        <v>0</v>
      </c>
      <c r="BO23" s="3">
        <f t="shared" si="64"/>
        <v>17</v>
      </c>
      <c r="BP23" s="3" t="str">
        <f t="shared" ca="1" si="65"/>
        <v>Upton - Sundance 2/7/2023</v>
      </c>
      <c r="BQ23" s="3" t="str">
        <f t="shared" ca="1" si="50"/>
        <v/>
      </c>
      <c r="BR23" s="3" t="str">
        <f ca="1">IF(BP23="Blank","",IF(TeamGameData[[#This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59, Sundance 46</v>
      </c>
      <c r="BS23" s="6" t="str">
        <f ca="1">IFERROR(IF(BP23="Blank","",IF(AND(VLOOKUP(TeamGameData[[#This Row],[Opponent]],WYTeamInfo,2,FALSE)=Roster!$D$1,VLOOKUP(TeamGameData[[#This Row],[Opponent]],WYTeamInfo,3,FALSE)=Roster!$D$2),"SR","")),"")</f>
        <v/>
      </c>
      <c r="BT23" s="3" t="str">
        <f>CONCATENATE(Roster!$D$1," ",Roster!$D$5)</f>
        <v>1A BB</v>
      </c>
      <c r="BU23" s="3">
        <f ca="1">Team_Report!$B238</f>
        <v>1</v>
      </c>
      <c r="BV23" s="3" t="str">
        <f>Roster!$D$3</f>
        <v>East</v>
      </c>
      <c r="BW23" s="3" t="str">
        <f>Roster!$D$2</f>
        <v>Northeast</v>
      </c>
      <c r="BX23" s="3" t="str">
        <f>Roster!$D$4</f>
        <v>North</v>
      </c>
      <c r="BY23" s="3">
        <f t="shared" ca="1" si="51"/>
        <v>0</v>
      </c>
      <c r="BZ23" s="3">
        <f t="shared" ca="1" si="52"/>
        <v>0</v>
      </c>
      <c r="CA23" s="3" t="str">
        <f>Roster!$D$8</f>
        <v>Joe Samuelson</v>
      </c>
    </row>
    <row r="24" spans="1:79" x14ac:dyDescent="0.25">
      <c r="A24" s="3" t="str">
        <f>Roster!$B$1</f>
        <v>Upton</v>
      </c>
      <c r="B24" s="3" t="str">
        <f t="shared" ca="1" si="53"/>
        <v>Arvada Clearmont</v>
      </c>
      <c r="C24" s="6">
        <f t="shared" ca="1" si="54"/>
        <v>44968</v>
      </c>
      <c r="D24" s="3">
        <f t="shared" ca="1" si="0"/>
        <v>1</v>
      </c>
      <c r="E24" s="3">
        <f t="shared" ca="1" si="1"/>
        <v>32</v>
      </c>
      <c r="F24" s="3">
        <f t="shared" ca="1" si="2"/>
        <v>7</v>
      </c>
      <c r="G24" s="3">
        <f t="shared" ca="1" si="3"/>
        <v>24</v>
      </c>
      <c r="H24" s="3">
        <f t="shared" ca="1" si="4"/>
        <v>19</v>
      </c>
      <c r="I24" s="3">
        <f t="shared" ca="1" si="5"/>
        <v>31</v>
      </c>
      <c r="J24" s="3">
        <f t="shared" ca="1" si="6"/>
        <v>3</v>
      </c>
      <c r="K24" s="3">
        <f t="shared" ca="1" si="7"/>
        <v>6</v>
      </c>
      <c r="L24" s="3">
        <f t="shared" ca="1" si="8"/>
        <v>18</v>
      </c>
      <c r="M24" s="3">
        <f t="shared" ca="1" si="9"/>
        <v>12</v>
      </c>
      <c r="N24" s="3">
        <f t="shared" ca="1" si="10"/>
        <v>15</v>
      </c>
      <c r="O24" s="3">
        <f t="shared" ca="1" si="11"/>
        <v>19</v>
      </c>
      <c r="P24" s="3">
        <f t="shared" ca="1" si="12"/>
        <v>0</v>
      </c>
      <c r="Q24" s="3">
        <f t="shared" ca="1" si="13"/>
        <v>9</v>
      </c>
      <c r="R24" s="3">
        <f t="shared" ca="1" si="14"/>
        <v>8</v>
      </c>
      <c r="S24" s="3">
        <f t="shared" ca="1" si="15"/>
        <v>0</v>
      </c>
      <c r="T24" s="3">
        <f t="shared" ca="1" si="16"/>
        <v>62</v>
      </c>
      <c r="U24" s="7">
        <f t="shared" ca="1" si="17"/>
        <v>0.29166666666666669</v>
      </c>
      <c r="V24" s="7">
        <f t="shared" ca="1" si="18"/>
        <v>0.61290322580645162</v>
      </c>
      <c r="W24" s="7">
        <f t="shared" ca="1" si="19"/>
        <v>0.5</v>
      </c>
      <c r="X24" s="7">
        <f t="shared" ca="1" si="20"/>
        <v>0.47272727272727272</v>
      </c>
      <c r="Y24" s="7">
        <f t="shared" ca="1" si="21"/>
        <v>0.53636363636363638</v>
      </c>
      <c r="Z24" s="3">
        <f ca="1">TeamGameData[[#This Row],[OFF REB]]+TeamGameData[[#This Row],[DEF REB]]</f>
        <v>30</v>
      </c>
      <c r="AA24" s="3">
        <f t="shared" ca="1" si="22"/>
        <v>26</v>
      </c>
      <c r="AB24" s="3">
        <f t="shared" ca="1" si="55"/>
        <v>18</v>
      </c>
      <c r="AC24" s="3">
        <f t="shared" ca="1" si="56"/>
        <v>10</v>
      </c>
      <c r="AD24" s="3">
        <f t="shared" ca="1" si="57"/>
        <v>8</v>
      </c>
      <c r="AE24" s="3">
        <f t="shared" ca="1" si="58"/>
        <v>0</v>
      </c>
      <c r="AF24" s="3">
        <f t="shared" ca="1" si="23"/>
        <v>1</v>
      </c>
      <c r="AG24" s="3">
        <f t="shared" ca="1" si="24"/>
        <v>1</v>
      </c>
      <c r="AH24" s="3">
        <f t="shared" ca="1" si="25"/>
        <v>3</v>
      </c>
      <c r="AI24" s="3">
        <f t="shared" ca="1" si="26"/>
        <v>8</v>
      </c>
      <c r="AJ24" s="3">
        <f t="shared" ca="1" si="27"/>
        <v>2</v>
      </c>
      <c r="AK24" s="3">
        <f t="shared" ca="1" si="28"/>
        <v>9</v>
      </c>
      <c r="AL24" s="3">
        <f t="shared" ca="1" si="29"/>
        <v>3</v>
      </c>
      <c r="AM24" s="3">
        <f t="shared" ca="1" si="30"/>
        <v>6</v>
      </c>
      <c r="AN24" s="3">
        <f t="shared" ca="1" si="31"/>
        <v>1</v>
      </c>
      <c r="AO24" s="3">
        <f t="shared" ca="1" si="32"/>
        <v>10</v>
      </c>
      <c r="AP24" s="3">
        <f t="shared" ca="1" si="33"/>
        <v>4</v>
      </c>
      <c r="AQ24" s="3">
        <f t="shared" ca="1" si="34"/>
        <v>6</v>
      </c>
      <c r="AR24" s="3">
        <f t="shared" ca="1" si="35"/>
        <v>0</v>
      </c>
      <c r="AS24" s="3">
        <f t="shared" ca="1" si="36"/>
        <v>30</v>
      </c>
      <c r="AT24" s="3">
        <f t="shared" ca="1" si="37"/>
        <v>3</v>
      </c>
      <c r="AU24" s="3">
        <f t="shared" ca="1" si="38"/>
        <v>0</v>
      </c>
      <c r="AV24" s="3">
        <f t="shared" ca="1" si="39"/>
        <v>16</v>
      </c>
      <c r="AW24" s="7">
        <f t="shared" ca="1" si="40"/>
        <v>0.375</v>
      </c>
      <c r="AX24" s="7">
        <f t="shared" ca="1" si="41"/>
        <v>0.22222222222222221</v>
      </c>
      <c r="AY24" s="7">
        <f t="shared" ca="1" si="42"/>
        <v>0.5</v>
      </c>
      <c r="AZ24" s="7">
        <f t="shared" ca="1" si="43"/>
        <v>0.29411764705882354</v>
      </c>
      <c r="BA24" s="7">
        <f t="shared" ca="1" si="44"/>
        <v>0.38235294117647056</v>
      </c>
      <c r="BB24" s="3">
        <f ca="1">TeamGameData[[#This Row],[Opp OFF REB]]+TeamGameData[[#This Row],[Opp DEF REB]]</f>
        <v>11</v>
      </c>
      <c r="BC24" s="3">
        <f t="shared" ca="1" si="59"/>
        <v>5</v>
      </c>
      <c r="BD24" s="3">
        <f t="shared" ca="1" si="60"/>
        <v>2</v>
      </c>
      <c r="BE24" s="3">
        <f t="shared" ca="1" si="61"/>
        <v>3</v>
      </c>
      <c r="BF24" s="3">
        <f t="shared" ca="1" si="62"/>
        <v>6</v>
      </c>
      <c r="BG24" s="3">
        <f t="shared" ca="1" si="63"/>
        <v>0</v>
      </c>
      <c r="BH24" s="3">
        <f ca="1">IF($AF24=1,TeamGameData[[#This Row],[OFF REB]]-TeamGameData[[#This Row],[Opp OFF REB]],"")</f>
        <v>17</v>
      </c>
      <c r="BI24" s="3">
        <f ca="1">IF($AF24=1,TeamGameData[[#This Row],[DEF REB]]-TeamGameData[[#This Row],[Opp DEF REB]],"")</f>
        <v>2</v>
      </c>
      <c r="BJ24" s="3">
        <f ca="1">IF($AF24=1,TeamGameData[[#This Row],[TOT REB]]-TeamGameData[[#This Row],[Opp TOT REB]],"")</f>
        <v>19</v>
      </c>
      <c r="BK24" s="3">
        <f t="shared" ca="1" si="46"/>
        <v>1</v>
      </c>
      <c r="BL24" s="3" t="str">
        <f t="shared" ca="1" si="47"/>
        <v/>
      </c>
      <c r="BM24" s="3">
        <f t="shared" ca="1" si="48"/>
        <v>1</v>
      </c>
      <c r="BN24" s="3">
        <f t="shared" ca="1" si="49"/>
        <v>0</v>
      </c>
      <c r="BO24" s="3">
        <f t="shared" si="64"/>
        <v>18</v>
      </c>
      <c r="BP24" s="3" t="str">
        <f t="shared" ca="1" si="65"/>
        <v>Upton - Arvada Clearmont 2/11/2023</v>
      </c>
      <c r="BQ24" s="3" t="str">
        <f t="shared" ca="1" si="50"/>
        <v>R</v>
      </c>
      <c r="BR24" s="3" t="str">
        <f ca="1">IF(BP24="Blank","",IF(TeamGameData[[#This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62, Arvada Clearmont 16</v>
      </c>
      <c r="BS24" s="6" t="str">
        <f ca="1">IFERROR(IF(BP24="Blank","",IF(AND(VLOOKUP(TeamGameData[[#This Row],[Opponent]],WYTeamInfo,2,FALSE)=Roster!$D$1,VLOOKUP(TeamGameData[[#This Row],[Opponent]],WYTeamInfo,3,FALSE)=Roster!$D$2),"SR","")),"")</f>
        <v>SR</v>
      </c>
      <c r="BT24" s="3" t="str">
        <f>CONCATENATE(Roster!$D$1," ",Roster!$D$5)</f>
        <v>1A BB</v>
      </c>
      <c r="BU24" s="3">
        <f ca="1">Team_Report!$B239</f>
        <v>1</v>
      </c>
      <c r="BV24" s="3" t="str">
        <f>Roster!$D$3</f>
        <v>East</v>
      </c>
      <c r="BW24" s="3" t="str">
        <f>Roster!$D$2</f>
        <v>Northeast</v>
      </c>
      <c r="BX24" s="3" t="str">
        <f>Roster!$D$4</f>
        <v>North</v>
      </c>
      <c r="BY24" s="3">
        <f t="shared" ca="1" si="51"/>
        <v>0</v>
      </c>
      <c r="BZ24" s="3">
        <f t="shared" ca="1" si="52"/>
        <v>0</v>
      </c>
      <c r="CA24" s="3" t="str">
        <f>Roster!$D$8</f>
        <v>Joe Samuelson</v>
      </c>
    </row>
    <row r="25" spans="1:79" x14ac:dyDescent="0.25">
      <c r="A25" s="3" t="str">
        <f>Roster!$B$1</f>
        <v>Upton</v>
      </c>
      <c r="B25" s="3" t="str">
        <f t="shared" ca="1" si="53"/>
        <v>Hulett</v>
      </c>
      <c r="C25" s="6">
        <f t="shared" ca="1" si="54"/>
        <v>44974</v>
      </c>
      <c r="D25" s="3">
        <f t="shared" ca="1" si="0"/>
        <v>1</v>
      </c>
      <c r="E25" s="3">
        <f t="shared" ca="1" si="1"/>
        <v>32</v>
      </c>
      <c r="F25" s="3">
        <f t="shared" ca="1" si="2"/>
        <v>7</v>
      </c>
      <c r="G25" s="3">
        <f t="shared" ca="1" si="3"/>
        <v>17</v>
      </c>
      <c r="H25" s="3">
        <f t="shared" ca="1" si="4"/>
        <v>27</v>
      </c>
      <c r="I25" s="3">
        <f t="shared" ca="1" si="5"/>
        <v>40</v>
      </c>
      <c r="J25" s="3">
        <f t="shared" ca="1" si="6"/>
        <v>2</v>
      </c>
      <c r="K25" s="3">
        <f t="shared" ca="1" si="7"/>
        <v>4</v>
      </c>
      <c r="L25" s="3">
        <f t="shared" ca="1" si="8"/>
        <v>8</v>
      </c>
      <c r="M25" s="3">
        <f t="shared" ca="1" si="9"/>
        <v>13</v>
      </c>
      <c r="N25" s="3">
        <f t="shared" ca="1" si="10"/>
        <v>24</v>
      </c>
      <c r="O25" s="3">
        <f t="shared" ca="1" si="11"/>
        <v>14</v>
      </c>
      <c r="P25" s="3">
        <f t="shared" ca="1" si="12"/>
        <v>0</v>
      </c>
      <c r="Q25" s="3">
        <f t="shared" ca="1" si="13"/>
        <v>11</v>
      </c>
      <c r="R25" s="3">
        <f t="shared" ca="1" si="14"/>
        <v>8</v>
      </c>
      <c r="S25" s="3">
        <f t="shared" ca="1" si="15"/>
        <v>1</v>
      </c>
      <c r="T25" s="3">
        <f t="shared" ca="1" si="16"/>
        <v>77</v>
      </c>
      <c r="U25" s="7">
        <f t="shared" ca="1" si="17"/>
        <v>0.41176470588235292</v>
      </c>
      <c r="V25" s="7">
        <f t="shared" ca="1" si="18"/>
        <v>0.67500000000000004</v>
      </c>
      <c r="W25" s="7">
        <f t="shared" ca="1" si="19"/>
        <v>0.5</v>
      </c>
      <c r="X25" s="7">
        <f t="shared" ca="1" si="20"/>
        <v>0.59649122807017541</v>
      </c>
      <c r="Y25" s="7">
        <f t="shared" ca="1" si="21"/>
        <v>0.65789473684210531</v>
      </c>
      <c r="Z25" s="3">
        <f ca="1">TeamGameData[[#This Row],[OFF REB]]+TeamGameData[[#This Row],[DEF REB]]</f>
        <v>21</v>
      </c>
      <c r="AA25" s="3">
        <f t="shared" ca="1" si="22"/>
        <v>32</v>
      </c>
      <c r="AB25" s="3">
        <f t="shared" ca="1" si="55"/>
        <v>16</v>
      </c>
      <c r="AC25" s="3">
        <f t="shared" ca="1" si="56"/>
        <v>21</v>
      </c>
      <c r="AD25" s="3">
        <f t="shared" ca="1" si="57"/>
        <v>8</v>
      </c>
      <c r="AE25" s="3">
        <f t="shared" ca="1" si="58"/>
        <v>0</v>
      </c>
      <c r="AF25" s="3">
        <f t="shared" ca="1" si="23"/>
        <v>1</v>
      </c>
      <c r="AG25" s="3">
        <f t="shared" ca="1" si="24"/>
        <v>1</v>
      </c>
      <c r="AH25" s="3">
        <f t="shared" ca="1" si="25"/>
        <v>4</v>
      </c>
      <c r="AI25" s="3">
        <f t="shared" ca="1" si="26"/>
        <v>15</v>
      </c>
      <c r="AJ25" s="3">
        <f t="shared" ca="1" si="27"/>
        <v>13</v>
      </c>
      <c r="AK25" s="3">
        <f t="shared" ca="1" si="28"/>
        <v>24</v>
      </c>
      <c r="AL25" s="3">
        <f t="shared" ca="1" si="29"/>
        <v>1</v>
      </c>
      <c r="AM25" s="3">
        <f t="shared" ca="1" si="30"/>
        <v>1</v>
      </c>
      <c r="AN25" s="3">
        <f t="shared" ca="1" si="31"/>
        <v>4</v>
      </c>
      <c r="AO25" s="3">
        <f t="shared" ca="1" si="32"/>
        <v>12</v>
      </c>
      <c r="AP25" s="3">
        <f t="shared" ca="1" si="33"/>
        <v>9</v>
      </c>
      <c r="AQ25" s="3">
        <f t="shared" ca="1" si="34"/>
        <v>5</v>
      </c>
      <c r="AR25" s="3">
        <f t="shared" ca="1" si="35"/>
        <v>0</v>
      </c>
      <c r="AS25" s="3">
        <f t="shared" ca="1" si="36"/>
        <v>25</v>
      </c>
      <c r="AT25" s="3">
        <f t="shared" ca="1" si="37"/>
        <v>6</v>
      </c>
      <c r="AU25" s="3">
        <f t="shared" ca="1" si="38"/>
        <v>1</v>
      </c>
      <c r="AV25" s="3">
        <f t="shared" ca="1" si="39"/>
        <v>39</v>
      </c>
      <c r="AW25" s="7">
        <f t="shared" ca="1" si="40"/>
        <v>0.26666666666666666</v>
      </c>
      <c r="AX25" s="7">
        <f t="shared" ca="1" si="41"/>
        <v>0.54166666666666663</v>
      </c>
      <c r="AY25" s="7">
        <f t="shared" ca="1" si="42"/>
        <v>1</v>
      </c>
      <c r="AZ25" s="7">
        <f t="shared" ca="1" si="43"/>
        <v>0.4358974358974359</v>
      </c>
      <c r="BA25" s="7">
        <f t="shared" ca="1" si="44"/>
        <v>0.48717948717948717</v>
      </c>
      <c r="BB25" s="3">
        <f ca="1">TeamGameData[[#This Row],[Opp OFF REB]]+TeamGameData[[#This Row],[Opp DEF REB]]</f>
        <v>16</v>
      </c>
      <c r="BC25" s="3">
        <f t="shared" ca="1" si="59"/>
        <v>10</v>
      </c>
      <c r="BD25" s="3">
        <f t="shared" ca="1" si="60"/>
        <v>15</v>
      </c>
      <c r="BE25" s="3">
        <f t="shared" ca="1" si="61"/>
        <v>10</v>
      </c>
      <c r="BF25" s="3">
        <f t="shared" ca="1" si="62"/>
        <v>4</v>
      </c>
      <c r="BG25" s="3">
        <f t="shared" ca="1" si="63"/>
        <v>0</v>
      </c>
      <c r="BH25" s="3">
        <f ca="1">IF($AF25=1,TeamGameData[[#This Row],[OFF REB]]-TeamGameData[[#This Row],[Opp OFF REB]],"")</f>
        <v>4</v>
      </c>
      <c r="BI25" s="3">
        <f ca="1">IF($AF25=1,TeamGameData[[#This Row],[DEF REB]]-TeamGameData[[#This Row],[Opp DEF REB]],"")</f>
        <v>1</v>
      </c>
      <c r="BJ25" s="3">
        <f ca="1">IF($AF25=1,TeamGameData[[#This Row],[TOT REB]]-TeamGameData[[#This Row],[Opp TOT REB]],"")</f>
        <v>5</v>
      </c>
      <c r="BK25" s="3">
        <f t="shared" ca="1" si="46"/>
        <v>1</v>
      </c>
      <c r="BL25" s="3" t="str">
        <f t="shared" ca="1" si="47"/>
        <v/>
      </c>
      <c r="BM25" s="3">
        <f t="shared" ca="1" si="48"/>
        <v>1</v>
      </c>
      <c r="BN25" s="3">
        <f t="shared" ca="1" si="49"/>
        <v>0</v>
      </c>
      <c r="BO25" s="3">
        <f t="shared" si="64"/>
        <v>19</v>
      </c>
      <c r="BP25" s="3" t="str">
        <f t="shared" ca="1" si="65"/>
        <v>Upton - Hulett 2/17/2023</v>
      </c>
      <c r="BQ25" s="3" t="str">
        <f t="shared" ca="1" si="50"/>
        <v>R</v>
      </c>
      <c r="BR25" s="3" t="str">
        <f ca="1">IF(BP25="Blank","",IF(TeamGameData[[#This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77, Hulett 39</v>
      </c>
      <c r="BS25" s="6" t="str">
        <f ca="1">IFERROR(IF(BP25="Blank","",IF(AND(VLOOKUP(TeamGameData[[#This Row],[Opponent]],WYTeamInfo,2,FALSE)=Roster!$D$1,VLOOKUP(TeamGameData[[#This Row],[Opponent]],WYTeamInfo,3,FALSE)=Roster!$D$2),"SR","")),"")</f>
        <v>SR</v>
      </c>
      <c r="BT25" s="3" t="str">
        <f>CONCATENATE(Roster!$D$1," ",Roster!$D$5)</f>
        <v>1A BB</v>
      </c>
      <c r="BU25" s="3">
        <f ca="1">Team_Report!$B240</f>
        <v>1</v>
      </c>
      <c r="BV25" s="3" t="str">
        <f>Roster!$D$3</f>
        <v>East</v>
      </c>
      <c r="BW25" s="3" t="str">
        <f>Roster!$D$2</f>
        <v>Northeast</v>
      </c>
      <c r="BX25" s="3" t="str">
        <f>Roster!$D$4</f>
        <v>North</v>
      </c>
      <c r="BY25" s="3">
        <f t="shared" ca="1" si="51"/>
        <v>0</v>
      </c>
      <c r="BZ25" s="3">
        <f t="shared" ca="1" si="52"/>
        <v>0</v>
      </c>
      <c r="CA25" s="3" t="str">
        <f>Roster!$D$8</f>
        <v>Joe Samuelson</v>
      </c>
    </row>
    <row r="26" spans="1:79" x14ac:dyDescent="0.25">
      <c r="A26" s="3" t="str">
        <f>Roster!$B$1</f>
        <v>Upton</v>
      </c>
      <c r="B26" s="3" t="str">
        <f t="shared" ca="1" si="53"/>
        <v>Wright</v>
      </c>
      <c r="C26" s="6">
        <f t="shared" ca="1" si="54"/>
        <v>44975</v>
      </c>
      <c r="D26" s="3">
        <f t="shared" ca="1" si="0"/>
        <v>1</v>
      </c>
      <c r="E26" s="3">
        <f t="shared" ca="1" si="1"/>
        <v>32</v>
      </c>
      <c r="F26" s="3">
        <f t="shared" ca="1" si="2"/>
        <v>6</v>
      </c>
      <c r="G26" s="3">
        <f t="shared" ca="1" si="3"/>
        <v>19</v>
      </c>
      <c r="H26" s="3">
        <f t="shared" ca="1" si="4"/>
        <v>23</v>
      </c>
      <c r="I26" s="3">
        <f t="shared" ca="1" si="5"/>
        <v>54</v>
      </c>
      <c r="J26" s="3">
        <f t="shared" ca="1" si="6"/>
        <v>13</v>
      </c>
      <c r="K26" s="3">
        <f t="shared" ca="1" si="7"/>
        <v>21</v>
      </c>
      <c r="L26" s="3">
        <f t="shared" ca="1" si="8"/>
        <v>20</v>
      </c>
      <c r="M26" s="3">
        <f t="shared" ca="1" si="9"/>
        <v>21</v>
      </c>
      <c r="N26" s="3">
        <f t="shared" ca="1" si="10"/>
        <v>16</v>
      </c>
      <c r="O26" s="3">
        <f t="shared" ca="1" si="11"/>
        <v>7</v>
      </c>
      <c r="P26" s="3">
        <f t="shared" ca="1" si="12"/>
        <v>1</v>
      </c>
      <c r="Q26" s="3">
        <f t="shared" ca="1" si="13"/>
        <v>6</v>
      </c>
      <c r="R26" s="3">
        <f t="shared" ca="1" si="14"/>
        <v>13</v>
      </c>
      <c r="S26" s="3">
        <f t="shared" ca="1" si="15"/>
        <v>0</v>
      </c>
      <c r="T26" s="3">
        <f t="shared" ca="1" si="16"/>
        <v>77</v>
      </c>
      <c r="U26" s="7">
        <f t="shared" ca="1" si="17"/>
        <v>0.31578947368421051</v>
      </c>
      <c r="V26" s="7">
        <f t="shared" ca="1" si="18"/>
        <v>0.42592592592592593</v>
      </c>
      <c r="W26" s="7">
        <f t="shared" ca="1" si="19"/>
        <v>0.61904761904761907</v>
      </c>
      <c r="X26" s="7">
        <f t="shared" ca="1" si="20"/>
        <v>0.39726027397260272</v>
      </c>
      <c r="Y26" s="7">
        <f t="shared" ca="1" si="21"/>
        <v>0.43835616438356162</v>
      </c>
      <c r="Z26" s="3">
        <f ca="1">TeamGameData[[#This Row],[OFF REB]]+TeamGameData[[#This Row],[DEF REB]]</f>
        <v>41</v>
      </c>
      <c r="AA26" s="3">
        <f t="shared" ca="1" si="22"/>
        <v>13</v>
      </c>
      <c r="AB26" s="3">
        <f t="shared" ca="1" si="55"/>
        <v>11</v>
      </c>
      <c r="AC26" s="3">
        <f t="shared" ca="1" si="56"/>
        <v>24</v>
      </c>
      <c r="AD26" s="3">
        <f t="shared" ca="1" si="57"/>
        <v>20</v>
      </c>
      <c r="AE26" s="3">
        <f t="shared" ca="1" si="58"/>
        <v>9</v>
      </c>
      <c r="AF26" s="3">
        <f t="shared" ca="1" si="23"/>
        <v>1</v>
      </c>
      <c r="AG26" s="3">
        <f t="shared" ca="1" si="24"/>
        <v>1</v>
      </c>
      <c r="AH26" s="3">
        <f t="shared" ca="1" si="25"/>
        <v>4</v>
      </c>
      <c r="AI26" s="3">
        <f t="shared" ca="1" si="26"/>
        <v>15</v>
      </c>
      <c r="AJ26" s="3">
        <f t="shared" ca="1" si="27"/>
        <v>29</v>
      </c>
      <c r="AK26" s="3">
        <f t="shared" ca="1" si="28"/>
        <v>51</v>
      </c>
      <c r="AL26" s="3">
        <f t="shared" ca="1" si="29"/>
        <v>9</v>
      </c>
      <c r="AM26" s="3">
        <f t="shared" ca="1" si="30"/>
        <v>14</v>
      </c>
      <c r="AN26" s="3">
        <f t="shared" ca="1" si="31"/>
        <v>9</v>
      </c>
      <c r="AO26" s="3">
        <f t="shared" ca="1" si="32"/>
        <v>23</v>
      </c>
      <c r="AP26" s="3">
        <f t="shared" ca="1" si="33"/>
        <v>19</v>
      </c>
      <c r="AQ26" s="3">
        <f t="shared" ca="1" si="34"/>
        <v>3</v>
      </c>
      <c r="AR26" s="3">
        <f t="shared" ca="1" si="35"/>
        <v>1</v>
      </c>
      <c r="AS26" s="3">
        <f t="shared" ca="1" si="36"/>
        <v>8</v>
      </c>
      <c r="AT26" s="3">
        <f t="shared" ca="1" si="37"/>
        <v>15</v>
      </c>
      <c r="AU26" s="3">
        <f t="shared" ca="1" si="38"/>
        <v>1</v>
      </c>
      <c r="AV26" s="3">
        <f t="shared" ca="1" si="39"/>
        <v>79</v>
      </c>
      <c r="AW26" s="7">
        <f t="shared" ca="1" si="40"/>
        <v>0.26666666666666666</v>
      </c>
      <c r="AX26" s="7">
        <f t="shared" ca="1" si="41"/>
        <v>0.56862745098039214</v>
      </c>
      <c r="AY26" s="7">
        <f t="shared" ca="1" si="42"/>
        <v>0.6428571428571429</v>
      </c>
      <c r="AZ26" s="7">
        <f t="shared" ca="1" si="43"/>
        <v>0.5</v>
      </c>
      <c r="BA26" s="7">
        <f t="shared" ca="1" si="44"/>
        <v>0.53030303030303028</v>
      </c>
      <c r="BB26" s="3">
        <f ca="1">TeamGameData[[#This Row],[Opp OFF REB]]+TeamGameData[[#This Row],[Opp DEF REB]]</f>
        <v>32</v>
      </c>
      <c r="BC26" s="3">
        <f t="shared" ca="1" si="59"/>
        <v>18</v>
      </c>
      <c r="BD26" s="3">
        <f t="shared" ca="1" si="60"/>
        <v>15</v>
      </c>
      <c r="BE26" s="3">
        <f t="shared" ca="1" si="61"/>
        <v>13</v>
      </c>
      <c r="BF26" s="3">
        <f t="shared" ca="1" si="62"/>
        <v>22</v>
      </c>
      <c r="BG26" s="3">
        <f t="shared" ca="1" si="63"/>
        <v>11</v>
      </c>
      <c r="BH26" s="3">
        <f ca="1">IF($AF26=1,TeamGameData[[#This Row],[OFF REB]]-TeamGameData[[#This Row],[Opp OFF REB]],"")</f>
        <v>11</v>
      </c>
      <c r="BI26" s="3">
        <f ca="1">IF($AF26=1,TeamGameData[[#This Row],[DEF REB]]-TeamGameData[[#This Row],[Opp DEF REB]],"")</f>
        <v>-2</v>
      </c>
      <c r="BJ26" s="3">
        <f ca="1">IF($AF26=1,TeamGameData[[#This Row],[TOT REB]]-TeamGameData[[#This Row],[Opp TOT REB]],"")</f>
        <v>9</v>
      </c>
      <c r="BK26" s="3" t="str">
        <f t="shared" ca="1" si="46"/>
        <v/>
      </c>
      <c r="BL26" s="3">
        <f t="shared" ca="1" si="47"/>
        <v>1</v>
      </c>
      <c r="BM26" s="3">
        <f t="shared" ca="1" si="48"/>
        <v>0</v>
      </c>
      <c r="BN26" s="3">
        <f t="shared" ca="1" si="49"/>
        <v>0</v>
      </c>
      <c r="BO26" s="3">
        <f t="shared" si="64"/>
        <v>20</v>
      </c>
      <c r="BP26" s="3" t="str">
        <f t="shared" ca="1" si="65"/>
        <v>Upton - Wright 2/18/2023</v>
      </c>
      <c r="BQ26" s="3" t="str">
        <f t="shared" ca="1" si="50"/>
        <v/>
      </c>
      <c r="BR26" s="3" t="str">
        <f ca="1">IF(BP26="Blank","",IF(TeamGameData[[#This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Wright 79, Upton 77</v>
      </c>
      <c r="BS26" s="6" t="str">
        <f ca="1">IFERROR(IF(BP26="Blank","",IF(AND(VLOOKUP(TeamGameData[[#This Row],[Opponent]],WYTeamInfo,2,FALSE)=Roster!$D$1,VLOOKUP(TeamGameData[[#This Row],[Opponent]],WYTeamInfo,3,FALSE)=Roster!$D$2),"SR","")),"")</f>
        <v/>
      </c>
      <c r="BT26" s="3" t="str">
        <f>CONCATENATE(Roster!$D$1," ",Roster!$D$5)</f>
        <v>1A BB</v>
      </c>
      <c r="BU26" s="3">
        <f ca="1">Team_Report!$B241</f>
        <v>1</v>
      </c>
      <c r="BV26" s="3" t="str">
        <f>Roster!$D$3</f>
        <v>East</v>
      </c>
      <c r="BW26" s="3" t="str">
        <f>Roster!$D$2</f>
        <v>Northeast</v>
      </c>
      <c r="BX26" s="3" t="str">
        <f>Roster!$D$4</f>
        <v>North</v>
      </c>
      <c r="BY26" s="3">
        <f t="shared" ca="1" si="51"/>
        <v>0</v>
      </c>
      <c r="BZ26" s="3">
        <f t="shared" ca="1" si="52"/>
        <v>0</v>
      </c>
      <c r="CA26" s="3" t="str">
        <f>Roster!$D$8</f>
        <v>Joe Samuelson</v>
      </c>
    </row>
    <row r="27" spans="1:79" x14ac:dyDescent="0.25">
      <c r="A27" s="3" t="str">
        <f>Roster!$B$1</f>
        <v>Upton</v>
      </c>
      <c r="B27" s="3" t="str">
        <f t="shared" ca="1" si="53"/>
        <v>Rock River</v>
      </c>
      <c r="C27" s="6">
        <f t="shared" ca="1" si="54"/>
        <v>44980</v>
      </c>
      <c r="D27" s="3">
        <f t="shared" ca="1" si="0"/>
        <v>1</v>
      </c>
      <c r="E27" s="3">
        <f t="shared" ca="1" si="1"/>
        <v>32</v>
      </c>
      <c r="F27" s="3">
        <f t="shared" ca="1" si="2"/>
        <v>5</v>
      </c>
      <c r="G27" s="3">
        <f t="shared" ca="1" si="3"/>
        <v>24</v>
      </c>
      <c r="H27" s="3">
        <f t="shared" ca="1" si="4"/>
        <v>22</v>
      </c>
      <c r="I27" s="3">
        <f t="shared" ca="1" si="5"/>
        <v>35</v>
      </c>
      <c r="J27" s="3">
        <f t="shared" ca="1" si="6"/>
        <v>9</v>
      </c>
      <c r="K27" s="3">
        <f t="shared" ca="1" si="7"/>
        <v>17</v>
      </c>
      <c r="L27" s="3">
        <f t="shared" ca="1" si="8"/>
        <v>15</v>
      </c>
      <c r="M27" s="3">
        <f t="shared" ca="1" si="9"/>
        <v>13</v>
      </c>
      <c r="N27" s="3">
        <f t="shared" ca="1" si="10"/>
        <v>17</v>
      </c>
      <c r="O27" s="3">
        <f t="shared" ca="1" si="11"/>
        <v>15</v>
      </c>
      <c r="P27" s="3">
        <f t="shared" ca="1" si="12"/>
        <v>1</v>
      </c>
      <c r="Q27" s="3">
        <f t="shared" ca="1" si="13"/>
        <v>7</v>
      </c>
      <c r="R27" s="3">
        <f t="shared" ca="1" si="14"/>
        <v>10</v>
      </c>
      <c r="S27" s="3">
        <f t="shared" ca="1" si="15"/>
        <v>1</v>
      </c>
      <c r="T27" s="3">
        <f t="shared" ca="1" si="16"/>
        <v>68</v>
      </c>
      <c r="U27" s="7">
        <f t="shared" ca="1" si="17"/>
        <v>0.20833333333333334</v>
      </c>
      <c r="V27" s="7">
        <f t="shared" ca="1" si="18"/>
        <v>0.62857142857142856</v>
      </c>
      <c r="W27" s="7">
        <f t="shared" ca="1" si="19"/>
        <v>0.52941176470588236</v>
      </c>
      <c r="X27" s="7">
        <f t="shared" ca="1" si="20"/>
        <v>0.4576271186440678</v>
      </c>
      <c r="Y27" s="7">
        <f t="shared" ca="1" si="21"/>
        <v>0.5</v>
      </c>
      <c r="Z27" s="3">
        <f ca="1">TeamGameData[[#This Row],[OFF REB]]+TeamGameData[[#This Row],[DEF REB]]</f>
        <v>28</v>
      </c>
      <c r="AA27" s="3">
        <f t="shared" ca="1" si="22"/>
        <v>21</v>
      </c>
      <c r="AB27" s="3">
        <f t="shared" ca="1" si="55"/>
        <v>13</v>
      </c>
      <c r="AC27" s="3">
        <f t="shared" ca="1" si="56"/>
        <v>21</v>
      </c>
      <c r="AD27" s="3">
        <f t="shared" ca="1" si="57"/>
        <v>13</v>
      </c>
      <c r="AE27" s="3">
        <f t="shared" ca="1" si="58"/>
        <v>0</v>
      </c>
      <c r="AF27" s="3">
        <f t="shared" ca="1" si="23"/>
        <v>1</v>
      </c>
      <c r="AG27" s="3">
        <f t="shared" ca="1" si="24"/>
        <v>1</v>
      </c>
      <c r="AH27" s="3">
        <f t="shared" ca="1" si="25"/>
        <v>1</v>
      </c>
      <c r="AI27" s="3">
        <f t="shared" ca="1" si="26"/>
        <v>6</v>
      </c>
      <c r="AJ27" s="3">
        <f t="shared" ca="1" si="27"/>
        <v>6</v>
      </c>
      <c r="AK27" s="3">
        <f t="shared" ca="1" si="28"/>
        <v>19</v>
      </c>
      <c r="AL27" s="3">
        <f t="shared" ca="1" si="29"/>
        <v>6</v>
      </c>
      <c r="AM27" s="3">
        <f t="shared" ca="1" si="30"/>
        <v>11</v>
      </c>
      <c r="AN27" s="3">
        <f t="shared" ca="1" si="31"/>
        <v>5</v>
      </c>
      <c r="AO27" s="3">
        <f t="shared" ca="1" si="32"/>
        <v>15</v>
      </c>
      <c r="AP27" s="3">
        <f t="shared" ca="1" si="33"/>
        <v>7</v>
      </c>
      <c r="AQ27" s="3">
        <f t="shared" ca="1" si="34"/>
        <v>2</v>
      </c>
      <c r="AR27" s="3">
        <f t="shared" ca="1" si="35"/>
        <v>1</v>
      </c>
      <c r="AS27" s="3">
        <f t="shared" ca="1" si="36"/>
        <v>31</v>
      </c>
      <c r="AT27" s="3">
        <f t="shared" ca="1" si="37"/>
        <v>11</v>
      </c>
      <c r="AU27" s="3">
        <f t="shared" ca="1" si="38"/>
        <v>0</v>
      </c>
      <c r="AV27" s="3">
        <f t="shared" ca="1" si="39"/>
        <v>21</v>
      </c>
      <c r="AW27" s="7">
        <f t="shared" ca="1" si="40"/>
        <v>0.16666666666666666</v>
      </c>
      <c r="AX27" s="7">
        <f t="shared" ca="1" si="41"/>
        <v>0.31578947368421051</v>
      </c>
      <c r="AY27" s="7">
        <f t="shared" ca="1" si="42"/>
        <v>0.54545454545454541</v>
      </c>
      <c r="AZ27" s="7">
        <f t="shared" ca="1" si="43"/>
        <v>0.28000000000000003</v>
      </c>
      <c r="BA27" s="7">
        <f t="shared" ca="1" si="44"/>
        <v>0.3</v>
      </c>
      <c r="BB27" s="3">
        <f ca="1">TeamGameData[[#This Row],[Opp OFF REB]]+TeamGameData[[#This Row],[Opp DEF REB]]</f>
        <v>20</v>
      </c>
      <c r="BC27" s="3">
        <f t="shared" ca="1" si="59"/>
        <v>3</v>
      </c>
      <c r="BD27" s="3">
        <f t="shared" ca="1" si="60"/>
        <v>2</v>
      </c>
      <c r="BE27" s="3">
        <f t="shared" ca="1" si="61"/>
        <v>4</v>
      </c>
      <c r="BF27" s="3">
        <f t="shared" ca="1" si="62"/>
        <v>12</v>
      </c>
      <c r="BG27" s="3">
        <f t="shared" ca="1" si="63"/>
        <v>0</v>
      </c>
      <c r="BH27" s="3">
        <f ca="1">IF($AF27=1,TeamGameData[[#This Row],[OFF REB]]-TeamGameData[[#This Row],[Opp OFF REB]],"")</f>
        <v>10</v>
      </c>
      <c r="BI27" s="3">
        <f ca="1">IF($AF27=1,TeamGameData[[#This Row],[DEF REB]]-TeamGameData[[#This Row],[Opp DEF REB]],"")</f>
        <v>-2</v>
      </c>
      <c r="BJ27" s="3">
        <f ca="1">IF($AF27=1,TeamGameData[[#This Row],[TOT REB]]-TeamGameData[[#This Row],[Opp TOT REB]],"")</f>
        <v>8</v>
      </c>
      <c r="BK27" s="3">
        <f t="shared" ca="1" si="46"/>
        <v>1</v>
      </c>
      <c r="BL27" s="3" t="str">
        <f t="shared" ca="1" si="47"/>
        <v/>
      </c>
      <c r="BM27" s="3">
        <f t="shared" ca="1" si="48"/>
        <v>0</v>
      </c>
      <c r="BN27" s="3">
        <f t="shared" ca="1" si="49"/>
        <v>0</v>
      </c>
      <c r="BO27" s="3">
        <f t="shared" si="64"/>
        <v>21</v>
      </c>
      <c r="BP27" s="3" t="str">
        <f t="shared" ca="1" si="65"/>
        <v>Upton - Rock River 2/23/2023</v>
      </c>
      <c r="BQ27" s="3" t="str">
        <f t="shared" ca="1" si="50"/>
        <v>R</v>
      </c>
      <c r="BR27" s="3" t="str">
        <f ca="1">IF(BP27="Blank","",IF(TeamGameData[[#This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68, Rock River 21</v>
      </c>
      <c r="BS27" s="6" t="str">
        <f ca="1">IFERROR(IF(BP27="Blank","",IF(AND(VLOOKUP(TeamGameData[[#This Row],[Opponent]],WYTeamInfo,2,FALSE)=Roster!$D$1,VLOOKUP(TeamGameData[[#This Row],[Opponent]],WYTeamInfo,3,FALSE)=Roster!$D$2),"SR","")),"")</f>
        <v/>
      </c>
      <c r="BT27" s="3" t="str">
        <f>CONCATENATE(Roster!$D$1," ",Roster!$D$5)</f>
        <v>1A BB</v>
      </c>
      <c r="BU27" s="3">
        <f ca="1">Team_Report!$B242</f>
        <v>1</v>
      </c>
      <c r="BV27" s="3" t="str">
        <f>Roster!$D$3</f>
        <v>East</v>
      </c>
      <c r="BW27" s="3" t="str">
        <f>Roster!$D$2</f>
        <v>Northeast</v>
      </c>
      <c r="BX27" s="3" t="str">
        <f>Roster!$D$4</f>
        <v>North</v>
      </c>
      <c r="BY27" s="3">
        <f t="shared" ca="1" si="51"/>
        <v>0</v>
      </c>
      <c r="BZ27" s="3">
        <f t="shared" ca="1" si="52"/>
        <v>0</v>
      </c>
      <c r="CA27" s="3" t="str">
        <f>Roster!$D$8</f>
        <v>Joe Samuelson</v>
      </c>
    </row>
    <row r="28" spans="1:79" x14ac:dyDescent="0.25">
      <c r="A28" s="3" t="str">
        <f>Roster!$B$1</f>
        <v>Upton</v>
      </c>
      <c r="B28" s="3" t="str">
        <f t="shared" ca="1" si="53"/>
        <v>Kaycee</v>
      </c>
      <c r="C28" s="6">
        <f t="shared" ca="1" si="54"/>
        <v>44981</v>
      </c>
      <c r="D28" s="3">
        <f t="shared" ca="1" si="0"/>
        <v>1</v>
      </c>
      <c r="E28" s="3">
        <f t="shared" ca="1" si="1"/>
        <v>32</v>
      </c>
      <c r="F28" s="3">
        <f t="shared" ca="1" si="2"/>
        <v>8</v>
      </c>
      <c r="G28" s="3">
        <f t="shared" ca="1" si="3"/>
        <v>17</v>
      </c>
      <c r="H28" s="3">
        <f t="shared" ca="1" si="4"/>
        <v>21</v>
      </c>
      <c r="I28" s="3">
        <f t="shared" ca="1" si="5"/>
        <v>28</v>
      </c>
      <c r="J28" s="3">
        <f t="shared" ca="1" si="6"/>
        <v>8</v>
      </c>
      <c r="K28" s="3">
        <f t="shared" ca="1" si="7"/>
        <v>12</v>
      </c>
      <c r="L28" s="3">
        <f t="shared" ca="1" si="8"/>
        <v>7</v>
      </c>
      <c r="M28" s="3">
        <f t="shared" ca="1" si="9"/>
        <v>20</v>
      </c>
      <c r="N28" s="3">
        <f t="shared" ca="1" si="10"/>
        <v>22</v>
      </c>
      <c r="O28" s="3">
        <f t="shared" ca="1" si="11"/>
        <v>10</v>
      </c>
      <c r="P28" s="3">
        <f t="shared" ca="1" si="12"/>
        <v>1</v>
      </c>
      <c r="Q28" s="3">
        <f t="shared" ca="1" si="13"/>
        <v>16</v>
      </c>
      <c r="R28" s="3">
        <f t="shared" ca="1" si="14"/>
        <v>12</v>
      </c>
      <c r="S28" s="3">
        <f t="shared" ca="1" si="15"/>
        <v>4</v>
      </c>
      <c r="T28" s="3">
        <f t="shared" ca="1" si="16"/>
        <v>74</v>
      </c>
      <c r="U28" s="7">
        <f t="shared" ca="1" si="17"/>
        <v>0.47058823529411764</v>
      </c>
      <c r="V28" s="7">
        <f t="shared" ca="1" si="18"/>
        <v>0.75</v>
      </c>
      <c r="W28" s="7">
        <f t="shared" ca="1" si="19"/>
        <v>0.66666666666666663</v>
      </c>
      <c r="X28" s="7">
        <f t="shared" ca="1" si="20"/>
        <v>0.64444444444444449</v>
      </c>
      <c r="Y28" s="7">
        <f t="shared" ca="1" si="21"/>
        <v>0.73333333333333328</v>
      </c>
      <c r="Z28" s="3">
        <f ca="1">TeamGameData[[#This Row],[OFF REB]]+TeamGameData[[#This Row],[DEF REB]]</f>
        <v>27</v>
      </c>
      <c r="AA28" s="3">
        <f t="shared" ca="1" si="22"/>
        <v>23</v>
      </c>
      <c r="AB28" s="3">
        <f t="shared" ca="1" si="55"/>
        <v>21</v>
      </c>
      <c r="AC28" s="3">
        <f t="shared" ca="1" si="56"/>
        <v>21</v>
      </c>
      <c r="AD28" s="3">
        <f t="shared" ca="1" si="57"/>
        <v>9</v>
      </c>
      <c r="AE28" s="3">
        <f t="shared" ca="1" si="58"/>
        <v>0</v>
      </c>
      <c r="AF28" s="3">
        <f t="shared" ca="1" si="23"/>
        <v>1</v>
      </c>
      <c r="AG28" s="3">
        <f t="shared" ca="1" si="24"/>
        <v>1</v>
      </c>
      <c r="AH28" s="3">
        <f t="shared" ca="1" si="25"/>
        <v>1</v>
      </c>
      <c r="AI28" s="3">
        <f t="shared" ca="1" si="26"/>
        <v>8</v>
      </c>
      <c r="AJ28" s="3">
        <f t="shared" ca="1" si="27"/>
        <v>12</v>
      </c>
      <c r="AK28" s="3">
        <f t="shared" ca="1" si="28"/>
        <v>43</v>
      </c>
      <c r="AL28" s="3">
        <f t="shared" ca="1" si="29"/>
        <v>5</v>
      </c>
      <c r="AM28" s="3">
        <f t="shared" ca="1" si="30"/>
        <v>9</v>
      </c>
      <c r="AN28" s="3">
        <f t="shared" ca="1" si="31"/>
        <v>14</v>
      </c>
      <c r="AO28" s="3">
        <f t="shared" ca="1" si="32"/>
        <v>9</v>
      </c>
      <c r="AP28" s="3">
        <f t="shared" ca="1" si="33"/>
        <v>8</v>
      </c>
      <c r="AQ28" s="3">
        <f t="shared" ca="1" si="34"/>
        <v>8</v>
      </c>
      <c r="AR28" s="3">
        <f t="shared" ca="1" si="35"/>
        <v>1</v>
      </c>
      <c r="AS28" s="3">
        <f t="shared" ca="1" si="36"/>
        <v>22</v>
      </c>
      <c r="AT28" s="3">
        <f t="shared" ca="1" si="37"/>
        <v>11</v>
      </c>
      <c r="AU28" s="3">
        <f t="shared" ca="1" si="38"/>
        <v>0</v>
      </c>
      <c r="AV28" s="3">
        <f t="shared" ca="1" si="39"/>
        <v>32</v>
      </c>
      <c r="AW28" s="7">
        <f t="shared" ca="1" si="40"/>
        <v>0.125</v>
      </c>
      <c r="AX28" s="7">
        <f t="shared" ca="1" si="41"/>
        <v>0.27906976744186046</v>
      </c>
      <c r="AY28" s="7">
        <f t="shared" ca="1" si="42"/>
        <v>0.55555555555555558</v>
      </c>
      <c r="AZ28" s="7">
        <f t="shared" ca="1" si="43"/>
        <v>0.25490196078431371</v>
      </c>
      <c r="BA28" s="7">
        <f t="shared" ca="1" si="44"/>
        <v>0.26470588235294118</v>
      </c>
      <c r="BB28" s="3">
        <f ca="1">TeamGameData[[#This Row],[Opp OFF REB]]+TeamGameData[[#This Row],[Opp DEF REB]]</f>
        <v>23</v>
      </c>
      <c r="BC28" s="3">
        <f t="shared" ca="1" si="59"/>
        <v>9</v>
      </c>
      <c r="BD28" s="3">
        <f t="shared" ca="1" si="60"/>
        <v>6</v>
      </c>
      <c r="BE28" s="3">
        <f t="shared" ca="1" si="61"/>
        <v>10</v>
      </c>
      <c r="BF28" s="3">
        <f t="shared" ca="1" si="62"/>
        <v>7</v>
      </c>
      <c r="BG28" s="3">
        <f t="shared" ca="1" si="63"/>
        <v>0</v>
      </c>
      <c r="BH28" s="3">
        <f ca="1">IF($AF28=1,TeamGameData[[#This Row],[OFF REB]]-TeamGameData[[#This Row],[Opp OFF REB]],"")</f>
        <v>-7</v>
      </c>
      <c r="BI28" s="3">
        <f ca="1">IF($AF28=1,TeamGameData[[#This Row],[DEF REB]]-TeamGameData[[#This Row],[Opp DEF REB]],"")</f>
        <v>11</v>
      </c>
      <c r="BJ28" s="3">
        <f ca="1">IF($AF28=1,TeamGameData[[#This Row],[TOT REB]]-TeamGameData[[#This Row],[Opp TOT REB]],"")</f>
        <v>4</v>
      </c>
      <c r="BK28" s="3">
        <f t="shared" ca="1" si="46"/>
        <v>1</v>
      </c>
      <c r="BL28" s="3" t="str">
        <f t="shared" ca="1" si="47"/>
        <v/>
      </c>
      <c r="BM28" s="3">
        <f t="shared" ca="1" si="48"/>
        <v>0</v>
      </c>
      <c r="BN28" s="3">
        <f t="shared" ca="1" si="49"/>
        <v>0</v>
      </c>
      <c r="BO28" s="3">
        <f t="shared" si="64"/>
        <v>22</v>
      </c>
      <c r="BP28" s="3" t="str">
        <f t="shared" ca="1" si="65"/>
        <v>Upton - Kaycee 2/24/2023</v>
      </c>
      <c r="BQ28" s="3" t="str">
        <f t="shared" ca="1" si="50"/>
        <v>R</v>
      </c>
      <c r="BR28" s="3" t="str">
        <f ca="1">IF(BP28="Blank","",IF(TeamGameData[[#This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74, Kaycee 32</v>
      </c>
      <c r="BS28" s="6" t="str">
        <f ca="1">IFERROR(IF(BP28="Blank","",IF(AND(VLOOKUP(TeamGameData[[#This Row],[Opponent]],WYTeamInfo,2,FALSE)=Roster!$D$1,VLOOKUP(TeamGameData[[#This Row],[Opponent]],WYTeamInfo,3,FALSE)=Roster!$D$2),"SR","")),"")</f>
        <v>SR</v>
      </c>
      <c r="BT28" s="3" t="str">
        <f>CONCATENATE(Roster!$D$1," ",Roster!$D$5)</f>
        <v>1A BB</v>
      </c>
      <c r="BU28" s="3">
        <f ca="1">Team_Report!$B243</f>
        <v>1</v>
      </c>
      <c r="BV28" s="3" t="str">
        <f>Roster!$D$3</f>
        <v>East</v>
      </c>
      <c r="BW28" s="3" t="str">
        <f>Roster!$D$2</f>
        <v>Northeast</v>
      </c>
      <c r="BX28" s="3" t="str">
        <f>Roster!$D$4</f>
        <v>North</v>
      </c>
      <c r="BY28" s="3">
        <f t="shared" ca="1" si="51"/>
        <v>0</v>
      </c>
      <c r="BZ28" s="3">
        <f t="shared" ca="1" si="52"/>
        <v>0</v>
      </c>
      <c r="CA28" s="3" t="str">
        <f>Roster!$D$8</f>
        <v>Joe Samuelson</v>
      </c>
    </row>
    <row r="29" spans="1:79" x14ac:dyDescent="0.25">
      <c r="A29" s="3" t="str">
        <f>Roster!$B$1</f>
        <v>Upton</v>
      </c>
      <c r="B29" s="3" t="str">
        <f t="shared" ca="1" si="53"/>
        <v>Southeast</v>
      </c>
      <c r="C29" s="6">
        <f t="shared" ca="1" si="54"/>
        <v>44982</v>
      </c>
      <c r="D29" s="3">
        <f t="shared" ca="1" si="0"/>
        <v>1</v>
      </c>
      <c r="E29" s="3">
        <f t="shared" ca="1" si="1"/>
        <v>32</v>
      </c>
      <c r="F29" s="3">
        <f t="shared" ca="1" si="2"/>
        <v>4</v>
      </c>
      <c r="G29" s="3">
        <f t="shared" ca="1" si="3"/>
        <v>15</v>
      </c>
      <c r="H29" s="3">
        <f t="shared" ca="1" si="4"/>
        <v>15</v>
      </c>
      <c r="I29" s="3">
        <f t="shared" ca="1" si="5"/>
        <v>35</v>
      </c>
      <c r="J29" s="3">
        <f t="shared" ca="1" si="6"/>
        <v>11</v>
      </c>
      <c r="K29" s="3">
        <f t="shared" ca="1" si="7"/>
        <v>18</v>
      </c>
      <c r="L29" s="3">
        <f t="shared" ca="1" si="8"/>
        <v>13</v>
      </c>
      <c r="M29" s="3">
        <f t="shared" ca="1" si="9"/>
        <v>27</v>
      </c>
      <c r="N29" s="3">
        <f t="shared" ca="1" si="10"/>
        <v>12</v>
      </c>
      <c r="O29" s="3">
        <f t="shared" ca="1" si="11"/>
        <v>10</v>
      </c>
      <c r="P29" s="3">
        <f t="shared" ca="1" si="12"/>
        <v>3</v>
      </c>
      <c r="Q29" s="3">
        <f t="shared" ca="1" si="13"/>
        <v>19</v>
      </c>
      <c r="R29" s="3">
        <f t="shared" ca="1" si="14"/>
        <v>13</v>
      </c>
      <c r="S29" s="3">
        <f t="shared" ca="1" si="15"/>
        <v>3</v>
      </c>
      <c r="T29" s="3">
        <f t="shared" ca="1" si="16"/>
        <v>53</v>
      </c>
      <c r="U29" s="7">
        <f t="shared" ca="1" si="17"/>
        <v>0.26666666666666666</v>
      </c>
      <c r="V29" s="7">
        <f t="shared" ca="1" si="18"/>
        <v>0.42857142857142855</v>
      </c>
      <c r="W29" s="7">
        <f t="shared" ca="1" si="19"/>
        <v>0.61111111111111116</v>
      </c>
      <c r="X29" s="7">
        <f t="shared" ca="1" si="20"/>
        <v>0.38</v>
      </c>
      <c r="Y29" s="7">
        <f t="shared" ca="1" si="21"/>
        <v>0.42</v>
      </c>
      <c r="Z29" s="3">
        <f ca="1">TeamGameData[[#This Row],[OFF REB]]+TeamGameData[[#This Row],[DEF REB]]</f>
        <v>40</v>
      </c>
      <c r="AA29" s="3">
        <f t="shared" ca="1" si="22"/>
        <v>9</v>
      </c>
      <c r="AB29" s="3">
        <f t="shared" ca="1" si="55"/>
        <v>8</v>
      </c>
      <c r="AC29" s="3">
        <f t="shared" ca="1" si="56"/>
        <v>16</v>
      </c>
      <c r="AD29" s="3">
        <f t="shared" ca="1" si="57"/>
        <v>20</v>
      </c>
      <c r="AE29" s="3">
        <f t="shared" ca="1" si="58"/>
        <v>0</v>
      </c>
      <c r="AF29" s="3">
        <f t="shared" ca="1" si="23"/>
        <v>1</v>
      </c>
      <c r="AG29" s="3">
        <f t="shared" ca="1" si="24"/>
        <v>1</v>
      </c>
      <c r="AH29" s="3">
        <f t="shared" ca="1" si="25"/>
        <v>7</v>
      </c>
      <c r="AI29" s="3">
        <f t="shared" ca="1" si="26"/>
        <v>19</v>
      </c>
      <c r="AJ29" s="3">
        <f t="shared" ca="1" si="27"/>
        <v>10</v>
      </c>
      <c r="AK29" s="3">
        <f t="shared" ca="1" si="28"/>
        <v>33</v>
      </c>
      <c r="AL29" s="3">
        <f t="shared" ca="1" si="29"/>
        <v>5</v>
      </c>
      <c r="AM29" s="3">
        <f t="shared" ca="1" si="30"/>
        <v>10</v>
      </c>
      <c r="AN29" s="3">
        <f t="shared" ca="1" si="31"/>
        <v>9</v>
      </c>
      <c r="AO29" s="3">
        <f t="shared" ca="1" si="32"/>
        <v>16</v>
      </c>
      <c r="AP29" s="3">
        <f t="shared" ca="1" si="33"/>
        <v>11</v>
      </c>
      <c r="AQ29" s="3">
        <f t="shared" ca="1" si="34"/>
        <v>9</v>
      </c>
      <c r="AR29" s="3">
        <f t="shared" ca="1" si="35"/>
        <v>6</v>
      </c>
      <c r="AS29" s="3">
        <f t="shared" ca="1" si="36"/>
        <v>16</v>
      </c>
      <c r="AT29" s="3">
        <f t="shared" ca="1" si="37"/>
        <v>13</v>
      </c>
      <c r="AU29" s="3">
        <f t="shared" ca="1" si="38"/>
        <v>0</v>
      </c>
      <c r="AV29" s="3">
        <f t="shared" ca="1" si="39"/>
        <v>46</v>
      </c>
      <c r="AW29" s="7">
        <f t="shared" ca="1" si="40"/>
        <v>0.36842105263157893</v>
      </c>
      <c r="AX29" s="7">
        <f t="shared" ca="1" si="41"/>
        <v>0.30303030303030304</v>
      </c>
      <c r="AY29" s="7">
        <f t="shared" ca="1" si="42"/>
        <v>0.5</v>
      </c>
      <c r="AZ29" s="7">
        <f t="shared" ca="1" si="43"/>
        <v>0.32692307692307693</v>
      </c>
      <c r="BA29" s="7">
        <f t="shared" ca="1" si="44"/>
        <v>0.39423076923076922</v>
      </c>
      <c r="BB29" s="3">
        <f ca="1">TeamGameData[[#This Row],[Opp OFF REB]]+TeamGameData[[#This Row],[Opp DEF REB]]</f>
        <v>25</v>
      </c>
      <c r="BC29" s="3">
        <f t="shared" ca="1" si="59"/>
        <v>20</v>
      </c>
      <c r="BD29" s="3">
        <f t="shared" ca="1" si="60"/>
        <v>8</v>
      </c>
      <c r="BE29" s="3">
        <f t="shared" ca="1" si="61"/>
        <v>8</v>
      </c>
      <c r="BF29" s="3">
        <f t="shared" ca="1" si="62"/>
        <v>10</v>
      </c>
      <c r="BG29" s="3">
        <f t="shared" ca="1" si="63"/>
        <v>0</v>
      </c>
      <c r="BH29" s="3">
        <f ca="1">IF($AF29=1,TeamGameData[[#This Row],[OFF REB]]-TeamGameData[[#This Row],[Opp OFF REB]],"")</f>
        <v>4</v>
      </c>
      <c r="BI29" s="3">
        <f ca="1">IF($AF29=1,TeamGameData[[#This Row],[DEF REB]]-TeamGameData[[#This Row],[Opp DEF REB]],"")</f>
        <v>11</v>
      </c>
      <c r="BJ29" s="3">
        <f ca="1">IF($AF29=1,TeamGameData[[#This Row],[TOT REB]]-TeamGameData[[#This Row],[Opp TOT REB]],"")</f>
        <v>15</v>
      </c>
      <c r="BK29" s="3">
        <f t="shared" ca="1" si="46"/>
        <v>1</v>
      </c>
      <c r="BL29" s="3" t="str">
        <f t="shared" ca="1" si="47"/>
        <v/>
      </c>
      <c r="BM29" s="3">
        <f t="shared" ca="1" si="48"/>
        <v>0</v>
      </c>
      <c r="BN29" s="3">
        <f t="shared" ca="1" si="49"/>
        <v>0</v>
      </c>
      <c r="BO29" s="3">
        <f t="shared" si="64"/>
        <v>23</v>
      </c>
      <c r="BP29" s="3" t="str">
        <f t="shared" ca="1" si="65"/>
        <v>Upton - Southeast 2/25/2023</v>
      </c>
      <c r="BQ29" s="3" t="str">
        <f t="shared" ca="1" si="50"/>
        <v>R</v>
      </c>
      <c r="BR29" s="3" t="str">
        <f ca="1">IF(BP29="Blank","",IF(TeamGameData[[#This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53, Southeast 46</v>
      </c>
      <c r="BS29" s="6" t="str">
        <f ca="1">IFERROR(IF(BP29="Blank","",IF(AND(VLOOKUP(TeamGameData[[#This Row],[Opponent]],WYTeamInfo,2,FALSE)=Roster!$D$1,VLOOKUP(TeamGameData[[#This Row],[Opponent]],WYTeamInfo,3,FALSE)=Roster!$D$2),"SR","")),"")</f>
        <v/>
      </c>
      <c r="BT29" s="3" t="str">
        <f>CONCATENATE(Roster!$D$1," ",Roster!$D$5)</f>
        <v>1A BB</v>
      </c>
      <c r="BU29" s="3">
        <f ca="1">Team_Report!$B244</f>
        <v>1</v>
      </c>
      <c r="BV29" s="3" t="str">
        <f>Roster!$D$3</f>
        <v>East</v>
      </c>
      <c r="BW29" s="3" t="str">
        <f>Roster!$D$2</f>
        <v>Northeast</v>
      </c>
      <c r="BX29" s="3" t="str">
        <f>Roster!$D$4</f>
        <v>North</v>
      </c>
      <c r="BY29" s="3">
        <f t="shared" ca="1" si="51"/>
        <v>0</v>
      </c>
      <c r="BZ29" s="3">
        <f t="shared" ca="1" si="52"/>
        <v>0</v>
      </c>
      <c r="CA29" s="3" t="str">
        <f>Roster!$D$8</f>
        <v>Joe Samuelson</v>
      </c>
    </row>
    <row r="30" spans="1:79" x14ac:dyDescent="0.25">
      <c r="A30" s="3" t="str">
        <f>Roster!$B$1</f>
        <v>Upton</v>
      </c>
      <c r="B30" s="3" t="str">
        <f t="shared" ca="1" si="53"/>
        <v>Farson Eden</v>
      </c>
      <c r="C30" s="6">
        <f t="shared" ca="1" si="54"/>
        <v>44987</v>
      </c>
      <c r="D30" s="3">
        <f t="shared" ca="1" si="0"/>
        <v>1</v>
      </c>
      <c r="E30" s="3">
        <f t="shared" ca="1" si="1"/>
        <v>32</v>
      </c>
      <c r="F30" s="3">
        <f t="shared" ca="1" si="2"/>
        <v>8</v>
      </c>
      <c r="G30" s="3">
        <f t="shared" ca="1" si="3"/>
        <v>13</v>
      </c>
      <c r="H30" s="3">
        <f t="shared" ca="1" si="4"/>
        <v>9</v>
      </c>
      <c r="I30" s="3">
        <f t="shared" ca="1" si="5"/>
        <v>21</v>
      </c>
      <c r="J30" s="3">
        <f t="shared" ca="1" si="6"/>
        <v>17</v>
      </c>
      <c r="K30" s="3">
        <f t="shared" ca="1" si="7"/>
        <v>23</v>
      </c>
      <c r="L30" s="3">
        <f t="shared" ca="1" si="8"/>
        <v>5</v>
      </c>
      <c r="M30" s="3">
        <f t="shared" ca="1" si="9"/>
        <v>18</v>
      </c>
      <c r="N30" s="3">
        <f t="shared" ca="1" si="10"/>
        <v>15</v>
      </c>
      <c r="O30" s="3">
        <f t="shared" ca="1" si="11"/>
        <v>10</v>
      </c>
      <c r="P30" s="3">
        <f t="shared" ca="1" si="12"/>
        <v>1</v>
      </c>
      <c r="Q30" s="3">
        <f t="shared" ca="1" si="13"/>
        <v>14</v>
      </c>
      <c r="R30" s="3">
        <f t="shared" ca="1" si="14"/>
        <v>12</v>
      </c>
      <c r="S30" s="3">
        <f t="shared" ca="1" si="15"/>
        <v>0</v>
      </c>
      <c r="T30" s="3">
        <f t="shared" ca="1" si="16"/>
        <v>59</v>
      </c>
      <c r="U30" s="7">
        <f t="shared" ca="1" si="17"/>
        <v>0.61538461538461542</v>
      </c>
      <c r="V30" s="7">
        <f t="shared" ca="1" si="18"/>
        <v>0.42857142857142855</v>
      </c>
      <c r="W30" s="7">
        <f t="shared" ca="1" si="19"/>
        <v>0.73913043478260865</v>
      </c>
      <c r="X30" s="7">
        <f t="shared" ca="1" si="20"/>
        <v>0.5</v>
      </c>
      <c r="Y30" s="7">
        <f t="shared" ca="1" si="21"/>
        <v>0.61764705882352944</v>
      </c>
      <c r="Z30" s="3">
        <f ca="1">TeamGameData[[#This Row],[OFF REB]]+TeamGameData[[#This Row],[DEF REB]]</f>
        <v>23</v>
      </c>
      <c r="AA30" s="3">
        <f t="shared" ca="1" si="22"/>
        <v>11</v>
      </c>
      <c r="AB30" s="3">
        <f t="shared" ca="1" si="55"/>
        <v>12</v>
      </c>
      <c r="AC30" s="3">
        <f t="shared" ca="1" si="56"/>
        <v>15</v>
      </c>
      <c r="AD30" s="3">
        <f t="shared" ca="1" si="57"/>
        <v>21</v>
      </c>
      <c r="AE30" s="3">
        <f t="shared" ca="1" si="58"/>
        <v>0</v>
      </c>
      <c r="AF30" s="3">
        <f t="shared" ca="1" si="23"/>
        <v>1</v>
      </c>
      <c r="AG30" s="3">
        <f t="shared" ca="1" si="24"/>
        <v>1</v>
      </c>
      <c r="AH30" s="3">
        <f t="shared" ca="1" si="25"/>
        <v>4</v>
      </c>
      <c r="AI30" s="3">
        <f t="shared" ca="1" si="26"/>
        <v>13</v>
      </c>
      <c r="AJ30" s="3">
        <f t="shared" ca="1" si="27"/>
        <v>10</v>
      </c>
      <c r="AK30" s="3">
        <f t="shared" ca="1" si="28"/>
        <v>31</v>
      </c>
      <c r="AL30" s="3">
        <f t="shared" ca="1" si="29"/>
        <v>7</v>
      </c>
      <c r="AM30" s="3">
        <f t="shared" ca="1" si="30"/>
        <v>14</v>
      </c>
      <c r="AN30" s="3">
        <f t="shared" ca="1" si="31"/>
        <v>8</v>
      </c>
      <c r="AO30" s="3">
        <f t="shared" ca="1" si="32"/>
        <v>11</v>
      </c>
      <c r="AP30" s="3">
        <f t="shared" ca="1" si="33"/>
        <v>10</v>
      </c>
      <c r="AQ30" s="3">
        <f t="shared" ca="1" si="34"/>
        <v>6</v>
      </c>
      <c r="AR30" s="3">
        <f t="shared" ca="1" si="35"/>
        <v>2</v>
      </c>
      <c r="AS30" s="3">
        <f t="shared" ca="1" si="36"/>
        <v>13</v>
      </c>
      <c r="AT30" s="3">
        <f t="shared" ca="1" si="37"/>
        <v>17</v>
      </c>
      <c r="AU30" s="3">
        <f t="shared" ca="1" si="38"/>
        <v>0</v>
      </c>
      <c r="AV30" s="3">
        <f t="shared" ca="1" si="39"/>
        <v>39</v>
      </c>
      <c r="AW30" s="7">
        <f t="shared" ca="1" si="40"/>
        <v>0.30769230769230771</v>
      </c>
      <c r="AX30" s="7">
        <f t="shared" ca="1" si="41"/>
        <v>0.32258064516129031</v>
      </c>
      <c r="AY30" s="7">
        <f t="shared" ca="1" si="42"/>
        <v>0.5</v>
      </c>
      <c r="AZ30" s="7">
        <f t="shared" ca="1" si="43"/>
        <v>0.31818181818181818</v>
      </c>
      <c r="BA30" s="7">
        <f t="shared" ca="1" si="44"/>
        <v>0.36363636363636365</v>
      </c>
      <c r="BB30" s="3">
        <f ca="1">TeamGameData[[#This Row],[Opp OFF REB]]+TeamGameData[[#This Row],[Opp DEF REB]]</f>
        <v>19</v>
      </c>
      <c r="BC30" s="3">
        <f t="shared" ca="1" si="59"/>
        <v>2</v>
      </c>
      <c r="BD30" s="3">
        <f t="shared" ca="1" si="60"/>
        <v>8</v>
      </c>
      <c r="BE30" s="3">
        <f t="shared" ca="1" si="61"/>
        <v>14</v>
      </c>
      <c r="BF30" s="3">
        <f t="shared" ca="1" si="62"/>
        <v>15</v>
      </c>
      <c r="BG30" s="3">
        <f t="shared" ca="1" si="63"/>
        <v>0</v>
      </c>
      <c r="BH30" s="3">
        <f ca="1">IF($AF30=1,TeamGameData[[#This Row],[OFF REB]]-TeamGameData[[#This Row],[Opp OFF REB]],"")</f>
        <v>-3</v>
      </c>
      <c r="BI30" s="3">
        <f ca="1">IF($AF30=1,TeamGameData[[#This Row],[DEF REB]]-TeamGameData[[#This Row],[Opp DEF REB]],"")</f>
        <v>7</v>
      </c>
      <c r="BJ30" s="3">
        <f ca="1">IF($AF30=1,TeamGameData[[#This Row],[TOT REB]]-TeamGameData[[#This Row],[Opp TOT REB]],"")</f>
        <v>4</v>
      </c>
      <c r="BK30" s="3">
        <f t="shared" ca="1" si="46"/>
        <v>1</v>
      </c>
      <c r="BL30" s="3" t="str">
        <f t="shared" ca="1" si="47"/>
        <v/>
      </c>
      <c r="BM30" s="3">
        <f t="shared" ca="1" si="48"/>
        <v>0</v>
      </c>
      <c r="BN30" s="3">
        <f t="shared" ca="1" si="49"/>
        <v>0</v>
      </c>
      <c r="BO30" s="3">
        <f t="shared" si="64"/>
        <v>24</v>
      </c>
      <c r="BP30" s="3" t="str">
        <f t="shared" ca="1" si="65"/>
        <v>Upton - Farson Eden 3/2/2023</v>
      </c>
      <c r="BQ30" s="3" t="str">
        <f t="shared" ca="1" si="50"/>
        <v/>
      </c>
      <c r="BR30" s="3" t="str">
        <f ca="1">IF(BP30="Blank","",IF(TeamGameData[[#This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59, Farson Eden 39</v>
      </c>
      <c r="BS30" s="6" t="str">
        <f ca="1">IFERROR(IF(BP30="Blank","",IF(AND(VLOOKUP(TeamGameData[[#This Row],[Opponent]],WYTeamInfo,2,FALSE)=Roster!$D$1,VLOOKUP(TeamGameData[[#This Row],[Opponent]],WYTeamInfo,3,FALSE)=Roster!$D$2),"SR","")),"")</f>
        <v/>
      </c>
      <c r="BT30" s="3" t="str">
        <f>CONCATENATE(Roster!$D$1," ",Roster!$D$5)</f>
        <v>1A BB</v>
      </c>
      <c r="BU30" s="3">
        <f ca="1">Team_Report!$B245</f>
        <v>1</v>
      </c>
      <c r="BV30" s="3" t="str">
        <f>Roster!$D$3</f>
        <v>East</v>
      </c>
      <c r="BW30" s="3" t="str">
        <f>Roster!$D$2</f>
        <v>Northeast</v>
      </c>
      <c r="BX30" s="3" t="str">
        <f>Roster!$D$4</f>
        <v>North</v>
      </c>
      <c r="BY30" s="3">
        <f t="shared" ca="1" si="51"/>
        <v>0</v>
      </c>
      <c r="BZ30" s="3">
        <f t="shared" ca="1" si="52"/>
        <v>0</v>
      </c>
      <c r="CA30" s="3" t="str">
        <f>Roster!$D$8</f>
        <v>Joe Samuelson</v>
      </c>
    </row>
    <row r="31" spans="1:79" x14ac:dyDescent="0.25">
      <c r="A31" s="3" t="str">
        <f>Roster!$B$1</f>
        <v>Upton</v>
      </c>
      <c r="B31" s="3" t="str">
        <f t="shared" ca="1" si="53"/>
        <v>Cokeville</v>
      </c>
      <c r="C31" s="6">
        <f t="shared" ca="1" si="54"/>
        <v>44988</v>
      </c>
      <c r="D31" s="3">
        <f t="shared" ca="1" si="0"/>
        <v>1</v>
      </c>
      <c r="E31" s="3">
        <f t="shared" ca="1" si="1"/>
        <v>32</v>
      </c>
      <c r="F31" s="3">
        <f t="shared" ca="1" si="2"/>
        <v>2</v>
      </c>
      <c r="G31" s="3">
        <f t="shared" ca="1" si="3"/>
        <v>6</v>
      </c>
      <c r="H31" s="3">
        <f t="shared" ca="1" si="4"/>
        <v>15</v>
      </c>
      <c r="I31" s="3">
        <f t="shared" ca="1" si="5"/>
        <v>30</v>
      </c>
      <c r="J31" s="3">
        <f t="shared" ca="1" si="6"/>
        <v>6</v>
      </c>
      <c r="K31" s="3">
        <f t="shared" ca="1" si="7"/>
        <v>17</v>
      </c>
      <c r="L31" s="3">
        <f t="shared" ca="1" si="8"/>
        <v>10</v>
      </c>
      <c r="M31" s="3">
        <f t="shared" ca="1" si="9"/>
        <v>20</v>
      </c>
      <c r="N31" s="3">
        <f t="shared" ca="1" si="10"/>
        <v>13</v>
      </c>
      <c r="O31" s="3">
        <f t="shared" ca="1" si="11"/>
        <v>6</v>
      </c>
      <c r="P31" s="3">
        <f t="shared" ca="1" si="12"/>
        <v>1</v>
      </c>
      <c r="Q31" s="3">
        <f t="shared" ca="1" si="13"/>
        <v>14</v>
      </c>
      <c r="R31" s="3">
        <f t="shared" ca="1" si="14"/>
        <v>13</v>
      </c>
      <c r="S31" s="3">
        <f t="shared" ca="1" si="15"/>
        <v>0</v>
      </c>
      <c r="T31" s="3">
        <f t="shared" ca="1" si="16"/>
        <v>42</v>
      </c>
      <c r="U31" s="7">
        <f t="shared" ca="1" si="17"/>
        <v>0.33333333333333331</v>
      </c>
      <c r="V31" s="7">
        <f t="shared" ca="1" si="18"/>
        <v>0.5</v>
      </c>
      <c r="W31" s="7">
        <f t="shared" ca="1" si="19"/>
        <v>0.35294117647058826</v>
      </c>
      <c r="X31" s="7">
        <f t="shared" ca="1" si="20"/>
        <v>0.47222222222222221</v>
      </c>
      <c r="Y31" s="7">
        <f t="shared" ca="1" si="21"/>
        <v>0.5</v>
      </c>
      <c r="Z31" s="3">
        <f ca="1">TeamGameData[[#This Row],[OFF REB]]+TeamGameData[[#This Row],[DEF REB]]</f>
        <v>30</v>
      </c>
      <c r="AA31" s="3">
        <f t="shared" ca="1" si="22"/>
        <v>9</v>
      </c>
      <c r="AB31" s="3">
        <f t="shared" ca="1" si="55"/>
        <v>13</v>
      </c>
      <c r="AC31" s="3">
        <f t="shared" ca="1" si="56"/>
        <v>9</v>
      </c>
      <c r="AD31" s="3">
        <f t="shared" ca="1" si="57"/>
        <v>11</v>
      </c>
      <c r="AE31" s="3">
        <f t="shared" ca="1" si="58"/>
        <v>0</v>
      </c>
      <c r="AF31" s="3">
        <f t="shared" ca="1" si="23"/>
        <v>1</v>
      </c>
      <c r="AG31" s="3">
        <f t="shared" ca="1" si="24"/>
        <v>1</v>
      </c>
      <c r="AH31" s="3">
        <f t="shared" ca="1" si="25"/>
        <v>2</v>
      </c>
      <c r="AI31" s="3">
        <f t="shared" ca="1" si="26"/>
        <v>14</v>
      </c>
      <c r="AJ31" s="3">
        <f t="shared" ca="1" si="27"/>
        <v>15</v>
      </c>
      <c r="AK31" s="3">
        <f t="shared" ca="1" si="28"/>
        <v>28</v>
      </c>
      <c r="AL31" s="3">
        <f t="shared" ca="1" si="29"/>
        <v>3</v>
      </c>
      <c r="AM31" s="3">
        <f t="shared" ca="1" si="30"/>
        <v>5</v>
      </c>
      <c r="AN31" s="3">
        <f t="shared" ca="1" si="31"/>
        <v>5</v>
      </c>
      <c r="AO31" s="3">
        <f t="shared" ca="1" si="32"/>
        <v>17</v>
      </c>
      <c r="AP31" s="3">
        <f t="shared" ca="1" si="33"/>
        <v>9</v>
      </c>
      <c r="AQ31" s="3">
        <f t="shared" ca="1" si="34"/>
        <v>9</v>
      </c>
      <c r="AR31" s="3">
        <f t="shared" ca="1" si="35"/>
        <v>3</v>
      </c>
      <c r="AS31" s="3">
        <f t="shared" ca="1" si="36"/>
        <v>10</v>
      </c>
      <c r="AT31" s="3">
        <f t="shared" ca="1" si="37"/>
        <v>13</v>
      </c>
      <c r="AU31" s="3">
        <f t="shared" ca="1" si="38"/>
        <v>0</v>
      </c>
      <c r="AV31" s="3">
        <f t="shared" ca="1" si="39"/>
        <v>39</v>
      </c>
      <c r="AW31" s="7">
        <f t="shared" ca="1" si="40"/>
        <v>0.14285714285714285</v>
      </c>
      <c r="AX31" s="7">
        <f t="shared" ca="1" si="41"/>
        <v>0.5357142857142857</v>
      </c>
      <c r="AY31" s="7">
        <f t="shared" ca="1" si="42"/>
        <v>0.6</v>
      </c>
      <c r="AZ31" s="7">
        <f t="shared" ca="1" si="43"/>
        <v>0.40476190476190477</v>
      </c>
      <c r="BA31" s="7">
        <f t="shared" ca="1" si="44"/>
        <v>0.42857142857142855</v>
      </c>
      <c r="BB31" s="3">
        <f ca="1">TeamGameData[[#This Row],[Opp OFF REB]]+TeamGameData[[#This Row],[Opp DEF REB]]</f>
        <v>22</v>
      </c>
      <c r="BC31" s="3">
        <f t="shared" ca="1" si="59"/>
        <v>9</v>
      </c>
      <c r="BD31" s="3">
        <f t="shared" ca="1" si="60"/>
        <v>7</v>
      </c>
      <c r="BE31" s="3">
        <f t="shared" ca="1" si="61"/>
        <v>10</v>
      </c>
      <c r="BF31" s="3">
        <f t="shared" ca="1" si="62"/>
        <v>13</v>
      </c>
      <c r="BG31" s="3">
        <f t="shared" ca="1" si="63"/>
        <v>0</v>
      </c>
      <c r="BH31" s="3">
        <f ca="1">IF($AF31=1,TeamGameData[[#This Row],[OFF REB]]-TeamGameData[[#This Row],[Opp OFF REB]],"")</f>
        <v>5</v>
      </c>
      <c r="BI31" s="3">
        <f ca="1">IF($AF31=1,TeamGameData[[#This Row],[DEF REB]]-TeamGameData[[#This Row],[Opp DEF REB]],"")</f>
        <v>3</v>
      </c>
      <c r="BJ31" s="3">
        <f ca="1">IF($AF31=1,TeamGameData[[#This Row],[TOT REB]]-TeamGameData[[#This Row],[Opp TOT REB]],"")</f>
        <v>8</v>
      </c>
      <c r="BK31" s="3">
        <f t="shared" ca="1" si="46"/>
        <v>1</v>
      </c>
      <c r="BL31" s="3" t="str">
        <f t="shared" ca="1" si="47"/>
        <v/>
      </c>
      <c r="BM31" s="3">
        <f t="shared" ca="1" si="48"/>
        <v>0</v>
      </c>
      <c r="BN31" s="3">
        <f t="shared" ca="1" si="49"/>
        <v>0</v>
      </c>
      <c r="BO31" s="3">
        <f t="shared" si="64"/>
        <v>25</v>
      </c>
      <c r="BP31" s="3" t="str">
        <f t="shared" ca="1" si="65"/>
        <v>Upton - Cokeville 3/3/2023</v>
      </c>
      <c r="BQ31" s="3" t="str">
        <f t="shared" ca="1" si="50"/>
        <v/>
      </c>
      <c r="BR31" s="3" t="str">
        <f ca="1">IF(BP31="Blank","",IF(TeamGameData[[#This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Upton 42, Cokeville 39</v>
      </c>
      <c r="BS31" s="6" t="str">
        <f ca="1">IFERROR(IF(BP31="Blank","",IF(AND(VLOOKUP(TeamGameData[[#This Row],[Opponent]],WYTeamInfo,2,FALSE)=Roster!$D$1,VLOOKUP(TeamGameData[[#This Row],[Opponent]],WYTeamInfo,3,FALSE)=Roster!$D$2),"SR","")),"")</f>
        <v/>
      </c>
      <c r="BT31" s="3" t="str">
        <f>CONCATENATE(Roster!$D$1," ",Roster!$D$5)</f>
        <v>1A BB</v>
      </c>
      <c r="BU31" s="3">
        <f ca="1">Team_Report!$B246</f>
        <v>1</v>
      </c>
      <c r="BV31" s="3" t="str">
        <f>Roster!$D$3</f>
        <v>East</v>
      </c>
      <c r="BW31" s="3" t="str">
        <f>Roster!$D$2</f>
        <v>Northeast</v>
      </c>
      <c r="BX31" s="3" t="str">
        <f>Roster!$D$4</f>
        <v>North</v>
      </c>
      <c r="BY31" s="3">
        <f t="shared" ca="1" si="51"/>
        <v>0</v>
      </c>
      <c r="BZ31" s="3">
        <f t="shared" ca="1" si="52"/>
        <v>0</v>
      </c>
      <c r="CA31" s="3" t="str">
        <f>Roster!$D$8</f>
        <v>Joe Samuelson</v>
      </c>
    </row>
    <row r="32" spans="1:79" x14ac:dyDescent="0.25">
      <c r="A32" s="3" t="str">
        <f>Roster!$B$1</f>
        <v>Upton</v>
      </c>
      <c r="B32" s="3" t="str">
        <f t="shared" ca="1" si="53"/>
        <v>Burlington</v>
      </c>
      <c r="C32" s="6">
        <f t="shared" ca="1" si="54"/>
        <v>44989</v>
      </c>
      <c r="D32" s="3">
        <f t="shared" ca="1" si="0"/>
        <v>1</v>
      </c>
      <c r="E32" s="3">
        <f t="shared" ca="1" si="1"/>
        <v>32</v>
      </c>
      <c r="F32" s="3">
        <f t="shared" ca="1" si="2"/>
        <v>4</v>
      </c>
      <c r="G32" s="3">
        <f t="shared" ca="1" si="3"/>
        <v>19</v>
      </c>
      <c r="H32" s="3">
        <f t="shared" ca="1" si="4"/>
        <v>7</v>
      </c>
      <c r="I32" s="3">
        <f t="shared" ca="1" si="5"/>
        <v>19</v>
      </c>
      <c r="J32" s="3">
        <f t="shared" ca="1" si="6"/>
        <v>9</v>
      </c>
      <c r="K32" s="3">
        <f t="shared" ca="1" si="7"/>
        <v>13</v>
      </c>
      <c r="L32" s="3">
        <f t="shared" ca="1" si="8"/>
        <v>7</v>
      </c>
      <c r="M32" s="3">
        <f t="shared" ca="1" si="9"/>
        <v>16</v>
      </c>
      <c r="N32" s="3">
        <f t="shared" ca="1" si="10"/>
        <v>9</v>
      </c>
      <c r="O32" s="3">
        <f t="shared" ca="1" si="11"/>
        <v>4</v>
      </c>
      <c r="P32" s="3">
        <f t="shared" ca="1" si="12"/>
        <v>1</v>
      </c>
      <c r="Q32" s="3">
        <f t="shared" ca="1" si="13"/>
        <v>17</v>
      </c>
      <c r="R32" s="3">
        <f t="shared" ca="1" si="14"/>
        <v>12</v>
      </c>
      <c r="S32" s="3">
        <f t="shared" ca="1" si="15"/>
        <v>0</v>
      </c>
      <c r="T32" s="3">
        <f t="shared" ca="1" si="16"/>
        <v>35</v>
      </c>
      <c r="U32" s="7">
        <f t="shared" ca="1" si="17"/>
        <v>0.21052631578947367</v>
      </c>
      <c r="V32" s="7">
        <f t="shared" ca="1" si="18"/>
        <v>0.36842105263157893</v>
      </c>
      <c r="W32" s="7">
        <f t="shared" ca="1" si="19"/>
        <v>0.69230769230769229</v>
      </c>
      <c r="X32" s="7">
        <f t="shared" ca="1" si="20"/>
        <v>0.28947368421052633</v>
      </c>
      <c r="Y32" s="7">
        <f t="shared" ca="1" si="21"/>
        <v>0.34210526315789475</v>
      </c>
      <c r="Z32" s="3">
        <f ca="1">TeamGameData[[#This Row],[OFF REB]]+TeamGameData[[#This Row],[DEF REB]]</f>
        <v>23</v>
      </c>
      <c r="AA32" s="3">
        <f t="shared" ca="1" si="22"/>
        <v>7</v>
      </c>
      <c r="AB32" s="3">
        <f t="shared" ca="1" si="55"/>
        <v>11</v>
      </c>
      <c r="AC32" s="3">
        <f t="shared" ca="1" si="56"/>
        <v>7</v>
      </c>
      <c r="AD32" s="3">
        <f t="shared" ca="1" si="57"/>
        <v>10</v>
      </c>
      <c r="AE32" s="3">
        <f t="shared" ca="1" si="58"/>
        <v>0</v>
      </c>
      <c r="AF32" s="3">
        <f t="shared" ca="1" si="23"/>
        <v>1</v>
      </c>
      <c r="AG32" s="3">
        <f t="shared" ca="1" si="24"/>
        <v>1</v>
      </c>
      <c r="AH32" s="3">
        <f t="shared" ca="1" si="25"/>
        <v>2</v>
      </c>
      <c r="AI32" s="3">
        <f t="shared" ca="1" si="26"/>
        <v>10</v>
      </c>
      <c r="AJ32" s="3">
        <f t="shared" ca="1" si="27"/>
        <v>20</v>
      </c>
      <c r="AK32" s="3">
        <f t="shared" ca="1" si="28"/>
        <v>40</v>
      </c>
      <c r="AL32" s="3">
        <f t="shared" ca="1" si="29"/>
        <v>8</v>
      </c>
      <c r="AM32" s="3">
        <f t="shared" ca="1" si="30"/>
        <v>13</v>
      </c>
      <c r="AN32" s="3">
        <f t="shared" ca="1" si="31"/>
        <v>14</v>
      </c>
      <c r="AO32" s="3">
        <f t="shared" ca="1" si="32"/>
        <v>25</v>
      </c>
      <c r="AP32" s="3">
        <f t="shared" ca="1" si="33"/>
        <v>15</v>
      </c>
      <c r="AQ32" s="3">
        <f t="shared" ca="1" si="34"/>
        <v>7</v>
      </c>
      <c r="AR32" s="3">
        <f t="shared" ca="1" si="35"/>
        <v>0</v>
      </c>
      <c r="AS32" s="3">
        <f t="shared" ca="1" si="36"/>
        <v>11</v>
      </c>
      <c r="AT32" s="3">
        <f t="shared" ca="1" si="37"/>
        <v>8</v>
      </c>
      <c r="AU32" s="3">
        <f t="shared" ca="1" si="38"/>
        <v>0</v>
      </c>
      <c r="AV32" s="3">
        <f t="shared" ca="1" si="39"/>
        <v>54</v>
      </c>
      <c r="AW32" s="7">
        <f t="shared" ca="1" si="40"/>
        <v>0.2</v>
      </c>
      <c r="AX32" s="7">
        <f t="shared" ca="1" si="41"/>
        <v>0.5</v>
      </c>
      <c r="AY32" s="7">
        <f t="shared" ca="1" si="42"/>
        <v>0.61538461538461542</v>
      </c>
      <c r="AZ32" s="7">
        <f t="shared" ca="1" si="43"/>
        <v>0.44</v>
      </c>
      <c r="BA32" s="7">
        <f t="shared" ca="1" si="44"/>
        <v>0.46</v>
      </c>
      <c r="BB32" s="3">
        <f ca="1">TeamGameData[[#This Row],[Opp OFF REB]]+TeamGameData[[#This Row],[Opp DEF REB]]</f>
        <v>39</v>
      </c>
      <c r="BC32" s="3">
        <f t="shared" ca="1" si="59"/>
        <v>7</v>
      </c>
      <c r="BD32" s="3">
        <f t="shared" ca="1" si="60"/>
        <v>19</v>
      </c>
      <c r="BE32" s="3">
        <f t="shared" ca="1" si="61"/>
        <v>24</v>
      </c>
      <c r="BF32" s="3">
        <f t="shared" ca="1" si="62"/>
        <v>4</v>
      </c>
      <c r="BG32" s="3">
        <f t="shared" ca="1" si="63"/>
        <v>0</v>
      </c>
      <c r="BH32" s="3">
        <f ca="1">IF($AF32=1,TeamGameData[[#This Row],[OFF REB]]-TeamGameData[[#This Row],[Opp OFF REB]],"")</f>
        <v>-7</v>
      </c>
      <c r="BI32" s="3">
        <f ca="1">IF($AF32=1,TeamGameData[[#This Row],[DEF REB]]-TeamGameData[[#This Row],[Opp DEF REB]],"")</f>
        <v>-9</v>
      </c>
      <c r="BJ32" s="3">
        <f ca="1">IF($AF32=1,TeamGameData[[#This Row],[TOT REB]]-TeamGameData[[#This Row],[Opp TOT REB]],"")</f>
        <v>-16</v>
      </c>
      <c r="BK32" s="3" t="str">
        <f t="shared" ca="1" si="46"/>
        <v/>
      </c>
      <c r="BL32" s="3">
        <f t="shared" ca="1" si="47"/>
        <v>1</v>
      </c>
      <c r="BM32" s="3">
        <f t="shared" ca="1" si="48"/>
        <v>0</v>
      </c>
      <c r="BN32" s="3">
        <f t="shared" ca="1" si="49"/>
        <v>0</v>
      </c>
      <c r="BO32" s="3">
        <f t="shared" si="64"/>
        <v>26</v>
      </c>
      <c r="BP32" s="3" t="str">
        <f t="shared" ca="1" si="65"/>
        <v>Upton - Burlington 3/4/2023</v>
      </c>
      <c r="BQ32" s="3" t="str">
        <f t="shared" ca="1" si="50"/>
        <v/>
      </c>
      <c r="BR32" s="3" t="str">
        <f ca="1">IF(BP32="Blank","",IF(TeamGameData[[#This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Burlington 54, Upton 35</v>
      </c>
      <c r="BS32" s="6" t="str">
        <f ca="1">IFERROR(IF(BP32="Blank","",IF(AND(VLOOKUP(TeamGameData[[#This Row],[Opponent]],WYTeamInfo,2,FALSE)=Roster!$D$1,VLOOKUP(TeamGameData[[#This Row],[Opponent]],WYTeamInfo,3,FALSE)=Roster!$D$2),"SR","")),"")</f>
        <v/>
      </c>
      <c r="BT32" s="3" t="str">
        <f>CONCATENATE(Roster!$D$1," ",Roster!$D$5)</f>
        <v>1A BB</v>
      </c>
      <c r="BU32" s="3">
        <f ca="1">Team_Report!$B247</f>
        <v>1</v>
      </c>
      <c r="BV32" s="3" t="str">
        <f>Roster!$D$3</f>
        <v>East</v>
      </c>
      <c r="BW32" s="3" t="str">
        <f>Roster!$D$2</f>
        <v>Northeast</v>
      </c>
      <c r="BX32" s="3" t="str">
        <f>Roster!$D$4</f>
        <v>North</v>
      </c>
      <c r="BY32" s="3">
        <f t="shared" ca="1" si="51"/>
        <v>0</v>
      </c>
      <c r="BZ32" s="3">
        <f t="shared" ca="1" si="52"/>
        <v>0</v>
      </c>
      <c r="CA32" s="3" t="str">
        <f>Roster!$D$8</f>
        <v>Joe Samuelson</v>
      </c>
    </row>
    <row r="33" spans="1:79" x14ac:dyDescent="0.25">
      <c r="A33" s="3" t="str">
        <f>Roster!$B$1</f>
        <v>Upton</v>
      </c>
      <c r="B33" s="3">
        <f t="shared" ca="1" si="53"/>
        <v>0</v>
      </c>
      <c r="C33" s="6">
        <f t="shared" ca="1" si="54"/>
        <v>0</v>
      </c>
      <c r="D33" s="3">
        <f t="shared" ca="1" si="0"/>
        <v>0</v>
      </c>
      <c r="E33" s="3">
        <f t="shared" ca="1" si="1"/>
        <v>0</v>
      </c>
      <c r="F33" s="3">
        <f t="shared" ca="1" si="2"/>
        <v>0</v>
      </c>
      <c r="G33" s="3">
        <f t="shared" ca="1" si="3"/>
        <v>0</v>
      </c>
      <c r="H33" s="3">
        <f t="shared" ca="1" si="4"/>
        <v>0</v>
      </c>
      <c r="I33" s="3">
        <f t="shared" ca="1" si="5"/>
        <v>0</v>
      </c>
      <c r="J33" s="3">
        <f t="shared" ca="1" si="6"/>
        <v>0</v>
      </c>
      <c r="K33" s="3">
        <f t="shared" ca="1" si="7"/>
        <v>0</v>
      </c>
      <c r="L33" s="3">
        <f t="shared" ca="1" si="8"/>
        <v>0</v>
      </c>
      <c r="M33" s="3">
        <f t="shared" ca="1" si="9"/>
        <v>0</v>
      </c>
      <c r="N33" s="3">
        <f t="shared" ca="1" si="10"/>
        <v>0</v>
      </c>
      <c r="O33" s="3">
        <f t="shared" ca="1" si="11"/>
        <v>0</v>
      </c>
      <c r="P33" s="3">
        <f t="shared" ca="1" si="12"/>
        <v>0</v>
      </c>
      <c r="Q33" s="3">
        <f t="shared" ca="1" si="13"/>
        <v>0</v>
      </c>
      <c r="R33" s="3">
        <f t="shared" ca="1" si="14"/>
        <v>0</v>
      </c>
      <c r="S33" s="3">
        <f t="shared" ca="1" si="15"/>
        <v>0</v>
      </c>
      <c r="T33" s="3" t="str">
        <f t="shared" ca="1" si="16"/>
        <v/>
      </c>
      <c r="U33" s="7" t="str">
        <f t="shared" ca="1" si="17"/>
        <v/>
      </c>
      <c r="V33" s="7" t="str">
        <f t="shared" ca="1" si="18"/>
        <v/>
      </c>
      <c r="W33" s="7" t="str">
        <f t="shared" ca="1" si="19"/>
        <v/>
      </c>
      <c r="X33" s="7" t="str">
        <f t="shared" ca="1" si="20"/>
        <v/>
      </c>
      <c r="Y33" s="7" t="str">
        <f t="shared" ca="1" si="21"/>
        <v/>
      </c>
      <c r="Z33" s="3">
        <f ca="1">TeamGameData[[#This Row],[OFF REB]]+TeamGameData[[#This Row],[DEF REB]]</f>
        <v>0</v>
      </c>
      <c r="AA33" s="3">
        <f t="shared" ca="1" si="22"/>
        <v>0</v>
      </c>
      <c r="AB33" s="3">
        <f t="shared" ca="1" si="55"/>
        <v>0</v>
      </c>
      <c r="AC33" s="3">
        <f t="shared" ca="1" si="56"/>
        <v>0</v>
      </c>
      <c r="AD33" s="3">
        <f t="shared" ca="1" si="57"/>
        <v>0</v>
      </c>
      <c r="AE33" s="3">
        <f t="shared" ca="1" si="58"/>
        <v>0</v>
      </c>
      <c r="AF33" s="3">
        <f t="shared" ca="1" si="23"/>
        <v>0</v>
      </c>
      <c r="AG33" s="3">
        <f t="shared" ca="1" si="24"/>
        <v>0</v>
      </c>
      <c r="AH33" s="3">
        <f t="shared" ca="1" si="25"/>
        <v>0</v>
      </c>
      <c r="AI33" s="3">
        <f t="shared" ca="1" si="26"/>
        <v>0</v>
      </c>
      <c r="AJ33" s="3">
        <f t="shared" ca="1" si="27"/>
        <v>0</v>
      </c>
      <c r="AK33" s="3">
        <f t="shared" ca="1" si="28"/>
        <v>0</v>
      </c>
      <c r="AL33" s="3">
        <f t="shared" ca="1" si="29"/>
        <v>0</v>
      </c>
      <c r="AM33" s="3">
        <f t="shared" ca="1" si="30"/>
        <v>0</v>
      </c>
      <c r="AN33" s="3">
        <f t="shared" ca="1" si="31"/>
        <v>0</v>
      </c>
      <c r="AO33" s="3">
        <f t="shared" ca="1" si="32"/>
        <v>0</v>
      </c>
      <c r="AP33" s="3">
        <f t="shared" ca="1" si="33"/>
        <v>0</v>
      </c>
      <c r="AQ33" s="3">
        <f t="shared" ca="1" si="34"/>
        <v>0</v>
      </c>
      <c r="AR33" s="3">
        <f t="shared" ca="1" si="35"/>
        <v>0</v>
      </c>
      <c r="AS33" s="3">
        <f t="shared" ca="1" si="36"/>
        <v>0</v>
      </c>
      <c r="AT33" s="3">
        <f t="shared" ca="1" si="37"/>
        <v>0</v>
      </c>
      <c r="AU33" s="3">
        <f t="shared" ca="1" si="38"/>
        <v>0</v>
      </c>
      <c r="AV33" s="3" t="str">
        <f t="shared" ca="1" si="39"/>
        <v/>
      </c>
      <c r="AW33" s="7" t="str">
        <f t="shared" ca="1" si="40"/>
        <v/>
      </c>
      <c r="AX33" s="7" t="str">
        <f t="shared" ca="1" si="41"/>
        <v/>
      </c>
      <c r="AY33" s="7" t="str">
        <f t="shared" ca="1" si="42"/>
        <v/>
      </c>
      <c r="AZ33" s="7" t="str">
        <f t="shared" ca="1" si="43"/>
        <v/>
      </c>
      <c r="BA33" s="7" t="str">
        <f t="shared" ca="1" si="44"/>
        <v/>
      </c>
      <c r="BB33" s="3">
        <f ca="1">TeamGameData[[#This Row],[Opp OFF REB]]+TeamGameData[[#This Row],[Opp DEF REB]]</f>
        <v>0</v>
      </c>
      <c r="BC33" s="3">
        <f t="shared" ca="1" si="59"/>
        <v>0</v>
      </c>
      <c r="BD33" s="3">
        <f t="shared" ca="1" si="60"/>
        <v>0</v>
      </c>
      <c r="BE33" s="3">
        <f t="shared" ca="1" si="61"/>
        <v>0</v>
      </c>
      <c r="BF33" s="3">
        <f t="shared" ca="1" si="62"/>
        <v>0</v>
      </c>
      <c r="BG33" s="3">
        <f t="shared" ca="1" si="63"/>
        <v>0</v>
      </c>
      <c r="BH33" s="3" t="str">
        <f ca="1">IF($AF33=1,TeamGameData[[#This Row],[OFF REB]]-TeamGameData[[#This Row],[Opp OFF REB]],"")</f>
        <v/>
      </c>
      <c r="BI33" s="3" t="str">
        <f ca="1">IF($AF33=1,TeamGameData[[#This Row],[DEF REB]]-TeamGameData[[#This Row],[Opp DEF REB]],"")</f>
        <v/>
      </c>
      <c r="BJ33" s="3" t="str">
        <f ca="1">IF($AF33=1,TeamGameData[[#This Row],[TOT REB]]-TeamGameData[[#This Row],[Opp TOT REB]],"")</f>
        <v/>
      </c>
      <c r="BK33" s="3" t="str">
        <f t="shared" ca="1" si="46"/>
        <v/>
      </c>
      <c r="BL33" s="3" t="str">
        <f t="shared" ca="1" si="47"/>
        <v/>
      </c>
      <c r="BM33" s="3">
        <f t="shared" ca="1" si="48"/>
        <v>0</v>
      </c>
      <c r="BN33" s="3">
        <f t="shared" ca="1" si="49"/>
        <v>0</v>
      </c>
      <c r="BO33" s="3">
        <f t="shared" si="64"/>
        <v>27</v>
      </c>
      <c r="BP33" s="3" t="str">
        <f t="shared" ca="1" si="65"/>
        <v>Blank</v>
      </c>
      <c r="BQ33" s="3" t="str">
        <f t="shared" ca="1" si="50"/>
        <v/>
      </c>
      <c r="BR33" s="3" t="str">
        <f ca="1">IF(BP33="Blank","",IF(TeamGameData[[#This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33" s="6" t="str">
        <f ca="1">IFERROR(IF(BP33="Blank","",IF(AND(VLOOKUP(TeamGameData[[#This Row],[Opponent]],WYTeamInfo,2,FALSE)=Roster!$D$1,VLOOKUP(TeamGameData[[#This Row],[Opponent]],WYTeamInfo,3,FALSE)=Roster!$D$2),"SR","")),"")</f>
        <v/>
      </c>
      <c r="BT33" s="3" t="str">
        <f>CONCATENATE(Roster!$D$1," ",Roster!$D$5)</f>
        <v>1A BB</v>
      </c>
      <c r="BU33" s="3">
        <f ca="1">Team_Report!$B248</f>
        <v>1</v>
      </c>
      <c r="BV33" s="3" t="str">
        <f>Roster!$D$3</f>
        <v>East</v>
      </c>
      <c r="BW33" s="3" t="str">
        <f>Roster!$D$2</f>
        <v>Northeast</v>
      </c>
      <c r="BX33" s="3" t="str">
        <f>Roster!$D$4</f>
        <v>North</v>
      </c>
      <c r="BY33" s="3">
        <f t="shared" ca="1" si="51"/>
        <v>0</v>
      </c>
      <c r="BZ33" s="3">
        <f t="shared" ca="1" si="52"/>
        <v>0</v>
      </c>
      <c r="CA33" s="3" t="str">
        <f>Roster!$D$8</f>
        <v>Joe Samuelson</v>
      </c>
    </row>
    <row r="34" spans="1:79" x14ac:dyDescent="0.25">
      <c r="A34" s="3" t="str">
        <f>Roster!$B$1</f>
        <v>Upton</v>
      </c>
      <c r="B34" s="3">
        <f t="shared" ca="1" si="53"/>
        <v>0</v>
      </c>
      <c r="C34" s="6">
        <f t="shared" ca="1" si="54"/>
        <v>0</v>
      </c>
      <c r="D34" s="3">
        <f t="shared" ca="1" si="0"/>
        <v>0</v>
      </c>
      <c r="E34" s="3">
        <f t="shared" ca="1" si="1"/>
        <v>0</v>
      </c>
      <c r="F34" s="3">
        <f t="shared" ca="1" si="2"/>
        <v>0</v>
      </c>
      <c r="G34" s="3">
        <f t="shared" ca="1" si="3"/>
        <v>0</v>
      </c>
      <c r="H34" s="3">
        <f t="shared" ca="1" si="4"/>
        <v>0</v>
      </c>
      <c r="I34" s="3">
        <f t="shared" ca="1" si="5"/>
        <v>0</v>
      </c>
      <c r="J34" s="3">
        <f t="shared" ca="1" si="6"/>
        <v>0</v>
      </c>
      <c r="K34" s="3">
        <f t="shared" ca="1" si="7"/>
        <v>0</v>
      </c>
      <c r="L34" s="3">
        <f t="shared" ca="1" si="8"/>
        <v>0</v>
      </c>
      <c r="M34" s="3">
        <f t="shared" ca="1" si="9"/>
        <v>0</v>
      </c>
      <c r="N34" s="3">
        <f t="shared" ca="1" si="10"/>
        <v>0</v>
      </c>
      <c r="O34" s="3">
        <f t="shared" ca="1" si="11"/>
        <v>0</v>
      </c>
      <c r="P34" s="3">
        <f t="shared" ca="1" si="12"/>
        <v>0</v>
      </c>
      <c r="Q34" s="3">
        <f t="shared" ca="1" si="13"/>
        <v>0</v>
      </c>
      <c r="R34" s="3">
        <f t="shared" ca="1" si="14"/>
        <v>0</v>
      </c>
      <c r="S34" s="3">
        <f t="shared" ca="1" si="15"/>
        <v>0</v>
      </c>
      <c r="T34" s="3" t="str">
        <f t="shared" ca="1" si="16"/>
        <v/>
      </c>
      <c r="U34" s="7" t="str">
        <f t="shared" ca="1" si="17"/>
        <v/>
      </c>
      <c r="V34" s="7" t="str">
        <f t="shared" ca="1" si="18"/>
        <v/>
      </c>
      <c r="W34" s="7" t="str">
        <f t="shared" ca="1" si="19"/>
        <v/>
      </c>
      <c r="X34" s="7" t="str">
        <f t="shared" ca="1" si="20"/>
        <v/>
      </c>
      <c r="Y34" s="7" t="str">
        <f t="shared" ca="1" si="21"/>
        <v/>
      </c>
      <c r="Z34" s="3">
        <f ca="1">TeamGameData[[#This Row],[OFF REB]]+TeamGameData[[#This Row],[DEF REB]]</f>
        <v>0</v>
      </c>
      <c r="AA34" s="3">
        <f t="shared" ca="1" si="22"/>
        <v>0</v>
      </c>
      <c r="AB34" s="3">
        <f t="shared" ca="1" si="55"/>
        <v>0</v>
      </c>
      <c r="AC34" s="3">
        <f t="shared" ca="1" si="56"/>
        <v>0</v>
      </c>
      <c r="AD34" s="3">
        <f t="shared" ca="1" si="57"/>
        <v>0</v>
      </c>
      <c r="AE34" s="3">
        <f t="shared" ca="1" si="58"/>
        <v>0</v>
      </c>
      <c r="AF34" s="3">
        <f t="shared" ca="1" si="23"/>
        <v>0</v>
      </c>
      <c r="AG34" s="3">
        <f t="shared" ca="1" si="24"/>
        <v>0</v>
      </c>
      <c r="AH34" s="3">
        <f t="shared" ca="1" si="25"/>
        <v>0</v>
      </c>
      <c r="AI34" s="3">
        <f t="shared" ca="1" si="26"/>
        <v>0</v>
      </c>
      <c r="AJ34" s="3">
        <f t="shared" ca="1" si="27"/>
        <v>0</v>
      </c>
      <c r="AK34" s="3">
        <f t="shared" ca="1" si="28"/>
        <v>0</v>
      </c>
      <c r="AL34" s="3">
        <f t="shared" ca="1" si="29"/>
        <v>0</v>
      </c>
      <c r="AM34" s="3">
        <f t="shared" ca="1" si="30"/>
        <v>0</v>
      </c>
      <c r="AN34" s="3">
        <f t="shared" ca="1" si="31"/>
        <v>0</v>
      </c>
      <c r="AO34" s="3">
        <f t="shared" ca="1" si="32"/>
        <v>0</v>
      </c>
      <c r="AP34" s="3">
        <f t="shared" ca="1" si="33"/>
        <v>0</v>
      </c>
      <c r="AQ34" s="3">
        <f t="shared" ca="1" si="34"/>
        <v>0</v>
      </c>
      <c r="AR34" s="3">
        <f t="shared" ca="1" si="35"/>
        <v>0</v>
      </c>
      <c r="AS34" s="3">
        <f t="shared" ca="1" si="36"/>
        <v>0</v>
      </c>
      <c r="AT34" s="3">
        <f t="shared" ca="1" si="37"/>
        <v>0</v>
      </c>
      <c r="AU34" s="3">
        <f t="shared" ca="1" si="38"/>
        <v>0</v>
      </c>
      <c r="AV34" s="3" t="str">
        <f t="shared" ca="1" si="39"/>
        <v/>
      </c>
      <c r="AW34" s="7" t="str">
        <f t="shared" ca="1" si="40"/>
        <v/>
      </c>
      <c r="AX34" s="7" t="str">
        <f t="shared" ca="1" si="41"/>
        <v/>
      </c>
      <c r="AY34" s="7" t="str">
        <f t="shared" ca="1" si="42"/>
        <v/>
      </c>
      <c r="AZ34" s="7" t="str">
        <f t="shared" ca="1" si="43"/>
        <v/>
      </c>
      <c r="BA34" s="7" t="str">
        <f t="shared" ca="1" si="44"/>
        <v/>
      </c>
      <c r="BB34" s="3">
        <f ca="1">TeamGameData[[#This Row],[Opp OFF REB]]+TeamGameData[[#This Row],[Opp DEF REB]]</f>
        <v>0</v>
      </c>
      <c r="BC34" s="3">
        <f t="shared" ca="1" si="59"/>
        <v>0</v>
      </c>
      <c r="BD34" s="3">
        <f t="shared" ca="1" si="60"/>
        <v>0</v>
      </c>
      <c r="BE34" s="3">
        <f t="shared" ca="1" si="61"/>
        <v>0</v>
      </c>
      <c r="BF34" s="3">
        <f t="shared" ca="1" si="62"/>
        <v>0</v>
      </c>
      <c r="BG34" s="3">
        <f t="shared" ca="1" si="63"/>
        <v>0</v>
      </c>
      <c r="BH34" s="3" t="str">
        <f ca="1">IF($AF34=1,TeamGameData[[#This Row],[OFF REB]]-TeamGameData[[#This Row],[Opp OFF REB]],"")</f>
        <v/>
      </c>
      <c r="BI34" s="3" t="str">
        <f ca="1">IF($AF34=1,TeamGameData[[#This Row],[DEF REB]]-TeamGameData[[#This Row],[Opp DEF REB]],"")</f>
        <v/>
      </c>
      <c r="BJ34" s="3" t="str">
        <f ca="1">IF($AF34=1,TeamGameData[[#This Row],[TOT REB]]-TeamGameData[[#This Row],[Opp TOT REB]],"")</f>
        <v/>
      </c>
      <c r="BK34" s="3" t="str">
        <f t="shared" ca="1" si="46"/>
        <v/>
      </c>
      <c r="BL34" s="3" t="str">
        <f t="shared" ca="1" si="47"/>
        <v/>
      </c>
      <c r="BM34" s="3">
        <f t="shared" ca="1" si="48"/>
        <v>0</v>
      </c>
      <c r="BN34" s="3">
        <f t="shared" ca="1" si="49"/>
        <v>0</v>
      </c>
      <c r="BO34" s="3">
        <f t="shared" si="64"/>
        <v>28</v>
      </c>
      <c r="BP34" s="3" t="str">
        <f t="shared" ca="1" si="65"/>
        <v>Blank</v>
      </c>
      <c r="BQ34" s="3" t="str">
        <f t="shared" ca="1" si="50"/>
        <v/>
      </c>
      <c r="BR34" s="3" t="str">
        <f ca="1">IF(BP34="Blank","",IF(TeamGameData[[#This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34" s="6" t="str">
        <f ca="1">IFERROR(IF(BP34="Blank","",IF(AND(VLOOKUP(TeamGameData[[#This Row],[Opponent]],WYTeamInfo,2,FALSE)=Roster!$D$1,VLOOKUP(TeamGameData[[#This Row],[Opponent]],WYTeamInfo,3,FALSE)=Roster!$D$2),"SR","")),"")</f>
        <v/>
      </c>
      <c r="BT34" s="3" t="str">
        <f>CONCATENATE(Roster!$D$1," ",Roster!$D$5)</f>
        <v>1A BB</v>
      </c>
      <c r="BU34" s="3">
        <f ca="1">Team_Report!$B249</f>
        <v>1</v>
      </c>
      <c r="BV34" s="3" t="str">
        <f>Roster!$D$3</f>
        <v>East</v>
      </c>
      <c r="BW34" s="3" t="str">
        <f>Roster!$D$2</f>
        <v>Northeast</v>
      </c>
      <c r="BX34" s="3" t="str">
        <f>Roster!$D$4</f>
        <v>North</v>
      </c>
      <c r="BY34" s="3">
        <f t="shared" ca="1" si="51"/>
        <v>0</v>
      </c>
      <c r="BZ34" s="3">
        <f t="shared" ca="1" si="52"/>
        <v>0</v>
      </c>
      <c r="CA34" s="3" t="str">
        <f>Roster!$D$8</f>
        <v>Joe Samuelson</v>
      </c>
    </row>
    <row r="35" spans="1:79" x14ac:dyDescent="0.25">
      <c r="A35" s="3" t="str">
        <f>Roster!$B$1</f>
        <v>Upton</v>
      </c>
      <c r="B35" s="3">
        <f t="shared" ca="1" si="53"/>
        <v>0</v>
      </c>
      <c r="C35" s="6">
        <f t="shared" ca="1" si="54"/>
        <v>0</v>
      </c>
      <c r="D35" s="3">
        <f t="shared" ca="1" si="0"/>
        <v>0</v>
      </c>
      <c r="E35" s="3">
        <f t="shared" ca="1" si="1"/>
        <v>0</v>
      </c>
      <c r="F35" s="3">
        <f t="shared" ca="1" si="2"/>
        <v>0</v>
      </c>
      <c r="G35" s="3">
        <f t="shared" ca="1" si="3"/>
        <v>0</v>
      </c>
      <c r="H35" s="3">
        <f t="shared" ca="1" si="4"/>
        <v>0</v>
      </c>
      <c r="I35" s="3">
        <f t="shared" ca="1" si="5"/>
        <v>0</v>
      </c>
      <c r="J35" s="3">
        <f t="shared" ca="1" si="6"/>
        <v>0</v>
      </c>
      <c r="K35" s="3">
        <f t="shared" ca="1" si="7"/>
        <v>0</v>
      </c>
      <c r="L35" s="3">
        <f t="shared" ca="1" si="8"/>
        <v>0</v>
      </c>
      <c r="M35" s="3">
        <f t="shared" ca="1" si="9"/>
        <v>0</v>
      </c>
      <c r="N35" s="3">
        <f t="shared" ca="1" si="10"/>
        <v>0</v>
      </c>
      <c r="O35" s="3">
        <f t="shared" ca="1" si="11"/>
        <v>0</v>
      </c>
      <c r="P35" s="3">
        <f t="shared" ca="1" si="12"/>
        <v>0</v>
      </c>
      <c r="Q35" s="3">
        <f t="shared" ca="1" si="13"/>
        <v>0</v>
      </c>
      <c r="R35" s="3">
        <f t="shared" ca="1" si="14"/>
        <v>0</v>
      </c>
      <c r="S35" s="3">
        <f t="shared" ca="1" si="15"/>
        <v>0</v>
      </c>
      <c r="T35" s="3" t="str">
        <f t="shared" ca="1" si="16"/>
        <v/>
      </c>
      <c r="U35" s="7" t="str">
        <f t="shared" ca="1" si="17"/>
        <v/>
      </c>
      <c r="V35" s="7" t="str">
        <f t="shared" ca="1" si="18"/>
        <v/>
      </c>
      <c r="W35" s="7" t="str">
        <f t="shared" ca="1" si="19"/>
        <v/>
      </c>
      <c r="X35" s="7" t="str">
        <f t="shared" ca="1" si="20"/>
        <v/>
      </c>
      <c r="Y35" s="7" t="str">
        <f t="shared" ca="1" si="21"/>
        <v/>
      </c>
      <c r="Z35" s="3">
        <f ca="1">TeamGameData[[#This Row],[OFF REB]]+TeamGameData[[#This Row],[DEF REB]]</f>
        <v>0</v>
      </c>
      <c r="AA35" s="3">
        <f t="shared" ca="1" si="22"/>
        <v>0</v>
      </c>
      <c r="AB35" s="3">
        <f t="shared" ca="1" si="55"/>
        <v>0</v>
      </c>
      <c r="AC35" s="3">
        <f t="shared" ca="1" si="56"/>
        <v>0</v>
      </c>
      <c r="AD35" s="3">
        <f t="shared" ca="1" si="57"/>
        <v>0</v>
      </c>
      <c r="AE35" s="3">
        <f t="shared" ca="1" si="58"/>
        <v>0</v>
      </c>
      <c r="AF35" s="3">
        <f t="shared" ca="1" si="23"/>
        <v>0</v>
      </c>
      <c r="AG35" s="3">
        <f t="shared" ca="1" si="24"/>
        <v>0</v>
      </c>
      <c r="AH35" s="3">
        <f t="shared" ca="1" si="25"/>
        <v>0</v>
      </c>
      <c r="AI35" s="3">
        <f t="shared" ca="1" si="26"/>
        <v>0</v>
      </c>
      <c r="AJ35" s="3">
        <f t="shared" ca="1" si="27"/>
        <v>0</v>
      </c>
      <c r="AK35" s="3">
        <f t="shared" ca="1" si="28"/>
        <v>0</v>
      </c>
      <c r="AL35" s="3">
        <f t="shared" ca="1" si="29"/>
        <v>0</v>
      </c>
      <c r="AM35" s="3">
        <f t="shared" ca="1" si="30"/>
        <v>0</v>
      </c>
      <c r="AN35" s="3">
        <f t="shared" ca="1" si="31"/>
        <v>0</v>
      </c>
      <c r="AO35" s="3">
        <f t="shared" ca="1" si="32"/>
        <v>0</v>
      </c>
      <c r="AP35" s="3">
        <f t="shared" ca="1" si="33"/>
        <v>0</v>
      </c>
      <c r="AQ35" s="3">
        <f t="shared" ca="1" si="34"/>
        <v>0</v>
      </c>
      <c r="AR35" s="3">
        <f t="shared" ca="1" si="35"/>
        <v>0</v>
      </c>
      <c r="AS35" s="3">
        <f t="shared" ca="1" si="36"/>
        <v>0</v>
      </c>
      <c r="AT35" s="3">
        <f t="shared" ca="1" si="37"/>
        <v>0</v>
      </c>
      <c r="AU35" s="3">
        <f t="shared" ca="1" si="38"/>
        <v>0</v>
      </c>
      <c r="AV35" s="3" t="str">
        <f t="shared" ca="1" si="39"/>
        <v/>
      </c>
      <c r="AW35" s="7" t="str">
        <f t="shared" ca="1" si="40"/>
        <v/>
      </c>
      <c r="AX35" s="7" t="str">
        <f t="shared" ca="1" si="41"/>
        <v/>
      </c>
      <c r="AY35" s="7" t="str">
        <f t="shared" ca="1" si="42"/>
        <v/>
      </c>
      <c r="AZ35" s="7" t="str">
        <f t="shared" ca="1" si="43"/>
        <v/>
      </c>
      <c r="BA35" s="7" t="str">
        <f t="shared" ca="1" si="44"/>
        <v/>
      </c>
      <c r="BB35" s="3">
        <f ca="1">TeamGameData[[#This Row],[Opp OFF REB]]+TeamGameData[[#This Row],[Opp DEF REB]]</f>
        <v>0</v>
      </c>
      <c r="BC35" s="3">
        <f t="shared" ca="1" si="59"/>
        <v>0</v>
      </c>
      <c r="BD35" s="3">
        <f t="shared" ca="1" si="60"/>
        <v>0</v>
      </c>
      <c r="BE35" s="3">
        <f t="shared" ca="1" si="61"/>
        <v>0</v>
      </c>
      <c r="BF35" s="3">
        <f t="shared" ca="1" si="62"/>
        <v>0</v>
      </c>
      <c r="BG35" s="3">
        <f t="shared" ca="1" si="63"/>
        <v>0</v>
      </c>
      <c r="BH35" s="3" t="str">
        <f ca="1">IF($AF35=1,TeamGameData[[#This Row],[OFF REB]]-TeamGameData[[#This Row],[Opp OFF REB]],"")</f>
        <v/>
      </c>
      <c r="BI35" s="3" t="str">
        <f ca="1">IF($AF35=1,TeamGameData[[#This Row],[DEF REB]]-TeamGameData[[#This Row],[Opp DEF REB]],"")</f>
        <v/>
      </c>
      <c r="BJ35" s="3" t="str">
        <f ca="1">IF($AF35=1,TeamGameData[[#This Row],[TOT REB]]-TeamGameData[[#This Row],[Opp TOT REB]],"")</f>
        <v/>
      </c>
      <c r="BK35" s="3" t="str">
        <f t="shared" ca="1" si="46"/>
        <v/>
      </c>
      <c r="BL35" s="3" t="str">
        <f t="shared" ca="1" si="47"/>
        <v/>
      </c>
      <c r="BM35" s="3">
        <f t="shared" ca="1" si="48"/>
        <v>0</v>
      </c>
      <c r="BN35" s="3">
        <f t="shared" ca="1" si="49"/>
        <v>0</v>
      </c>
      <c r="BO35" s="3">
        <f t="shared" si="64"/>
        <v>29</v>
      </c>
      <c r="BP35" s="3" t="str">
        <f t="shared" ca="1" si="65"/>
        <v>Blank</v>
      </c>
      <c r="BQ35" s="3" t="str">
        <f t="shared" ca="1" si="50"/>
        <v/>
      </c>
      <c r="BR35" s="3" t="str">
        <f ca="1">IF(BP35="Blank","",IF(TeamGameData[[#This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35" s="6" t="str">
        <f ca="1">IFERROR(IF(BP35="Blank","",IF(AND(VLOOKUP(TeamGameData[[#This Row],[Opponent]],WYTeamInfo,2,FALSE)=Roster!$D$1,VLOOKUP(TeamGameData[[#This Row],[Opponent]],WYTeamInfo,3,FALSE)=Roster!$D$2),"SR","")),"")</f>
        <v/>
      </c>
      <c r="BT35" s="3" t="str">
        <f>CONCATENATE(Roster!$D$1," ",Roster!$D$5)</f>
        <v>1A BB</v>
      </c>
      <c r="BU35" s="3">
        <f ca="1">Team_Report!$B250</f>
        <v>1</v>
      </c>
      <c r="BV35" s="3" t="str">
        <f>Roster!$D$3</f>
        <v>East</v>
      </c>
      <c r="BW35" s="3" t="str">
        <f>Roster!$D$2</f>
        <v>Northeast</v>
      </c>
      <c r="BX35" s="3" t="str">
        <f>Roster!$D$4</f>
        <v>North</v>
      </c>
      <c r="BY35" s="3">
        <f t="shared" ca="1" si="51"/>
        <v>0</v>
      </c>
      <c r="BZ35" s="3">
        <f t="shared" ca="1" si="52"/>
        <v>0</v>
      </c>
      <c r="CA35" s="3" t="str">
        <f>Roster!$D$8</f>
        <v>Joe Samuelson</v>
      </c>
    </row>
    <row r="36" spans="1:79" x14ac:dyDescent="0.25">
      <c r="A36" s="3" t="str">
        <f>Roster!$B$1</f>
        <v>Upton</v>
      </c>
      <c r="B36" s="3">
        <f t="shared" ca="1" si="53"/>
        <v>0</v>
      </c>
      <c r="C36" s="6">
        <f t="shared" ca="1" si="54"/>
        <v>0</v>
      </c>
      <c r="D36" s="3">
        <f t="shared" ca="1" si="0"/>
        <v>0</v>
      </c>
      <c r="E36" s="3">
        <f t="shared" ca="1" si="1"/>
        <v>0</v>
      </c>
      <c r="F36" s="3">
        <f t="shared" ca="1" si="2"/>
        <v>0</v>
      </c>
      <c r="G36" s="3">
        <f t="shared" ca="1" si="3"/>
        <v>0</v>
      </c>
      <c r="H36" s="3">
        <f t="shared" ca="1" si="4"/>
        <v>0</v>
      </c>
      <c r="I36" s="3">
        <f t="shared" ca="1" si="5"/>
        <v>0</v>
      </c>
      <c r="J36" s="3">
        <f t="shared" ca="1" si="6"/>
        <v>0</v>
      </c>
      <c r="K36" s="3">
        <f t="shared" ca="1" si="7"/>
        <v>0</v>
      </c>
      <c r="L36" s="3">
        <f t="shared" ca="1" si="8"/>
        <v>0</v>
      </c>
      <c r="M36" s="3">
        <f t="shared" ca="1" si="9"/>
        <v>0</v>
      </c>
      <c r="N36" s="3">
        <f t="shared" ca="1" si="10"/>
        <v>0</v>
      </c>
      <c r="O36" s="3">
        <f t="shared" ca="1" si="11"/>
        <v>0</v>
      </c>
      <c r="P36" s="3">
        <f t="shared" ca="1" si="12"/>
        <v>0</v>
      </c>
      <c r="Q36" s="3">
        <f t="shared" ca="1" si="13"/>
        <v>0</v>
      </c>
      <c r="R36" s="3">
        <f t="shared" ca="1" si="14"/>
        <v>0</v>
      </c>
      <c r="S36" s="3">
        <f t="shared" ca="1" si="15"/>
        <v>0</v>
      </c>
      <c r="T36" s="3" t="str">
        <f t="shared" ca="1" si="16"/>
        <v/>
      </c>
      <c r="U36" s="7" t="str">
        <f t="shared" ca="1" si="17"/>
        <v/>
      </c>
      <c r="V36" s="7" t="str">
        <f t="shared" ca="1" si="18"/>
        <v/>
      </c>
      <c r="W36" s="7" t="str">
        <f t="shared" ca="1" si="19"/>
        <v/>
      </c>
      <c r="X36" s="7" t="str">
        <f t="shared" ca="1" si="20"/>
        <v/>
      </c>
      <c r="Y36" s="7" t="str">
        <f t="shared" ca="1" si="21"/>
        <v/>
      </c>
      <c r="Z36" s="3">
        <f ca="1">TeamGameData[[#This Row],[OFF REB]]+TeamGameData[[#This Row],[DEF REB]]</f>
        <v>0</v>
      </c>
      <c r="AA36" s="3">
        <f t="shared" ca="1" si="22"/>
        <v>0</v>
      </c>
      <c r="AB36" s="3">
        <f t="shared" ca="1" si="55"/>
        <v>0</v>
      </c>
      <c r="AC36" s="3">
        <f t="shared" ca="1" si="56"/>
        <v>0</v>
      </c>
      <c r="AD36" s="3">
        <f t="shared" ca="1" si="57"/>
        <v>0</v>
      </c>
      <c r="AE36" s="3">
        <f t="shared" ca="1" si="58"/>
        <v>0</v>
      </c>
      <c r="AF36" s="3">
        <f t="shared" ca="1" si="23"/>
        <v>0</v>
      </c>
      <c r="AG36" s="3">
        <f t="shared" ca="1" si="24"/>
        <v>0</v>
      </c>
      <c r="AH36" s="3">
        <f t="shared" ca="1" si="25"/>
        <v>0</v>
      </c>
      <c r="AI36" s="3">
        <f t="shared" ca="1" si="26"/>
        <v>0</v>
      </c>
      <c r="AJ36" s="3">
        <f t="shared" ca="1" si="27"/>
        <v>0</v>
      </c>
      <c r="AK36" s="3">
        <f t="shared" ca="1" si="28"/>
        <v>0</v>
      </c>
      <c r="AL36" s="3">
        <f t="shared" ca="1" si="29"/>
        <v>0</v>
      </c>
      <c r="AM36" s="3">
        <f t="shared" ca="1" si="30"/>
        <v>0</v>
      </c>
      <c r="AN36" s="3">
        <f t="shared" ca="1" si="31"/>
        <v>0</v>
      </c>
      <c r="AO36" s="3">
        <f t="shared" ca="1" si="32"/>
        <v>0</v>
      </c>
      <c r="AP36" s="3">
        <f t="shared" ca="1" si="33"/>
        <v>0</v>
      </c>
      <c r="AQ36" s="3">
        <f t="shared" ca="1" si="34"/>
        <v>0</v>
      </c>
      <c r="AR36" s="3">
        <f t="shared" ca="1" si="35"/>
        <v>0</v>
      </c>
      <c r="AS36" s="3">
        <f t="shared" ca="1" si="36"/>
        <v>0</v>
      </c>
      <c r="AT36" s="3">
        <f t="shared" ca="1" si="37"/>
        <v>0</v>
      </c>
      <c r="AU36" s="3">
        <f t="shared" ca="1" si="38"/>
        <v>0</v>
      </c>
      <c r="AV36" s="3" t="str">
        <f t="shared" ca="1" si="39"/>
        <v/>
      </c>
      <c r="AW36" s="7" t="str">
        <f t="shared" ca="1" si="40"/>
        <v/>
      </c>
      <c r="AX36" s="7" t="str">
        <f t="shared" ca="1" si="41"/>
        <v/>
      </c>
      <c r="AY36" s="7" t="str">
        <f t="shared" ca="1" si="42"/>
        <v/>
      </c>
      <c r="AZ36" s="7" t="str">
        <f t="shared" ca="1" si="43"/>
        <v/>
      </c>
      <c r="BA36" s="7" t="str">
        <f t="shared" ca="1" si="44"/>
        <v/>
      </c>
      <c r="BB36" s="3">
        <f ca="1">TeamGameData[[#This Row],[Opp OFF REB]]+TeamGameData[[#This Row],[Opp DEF REB]]</f>
        <v>0</v>
      </c>
      <c r="BC36" s="3">
        <f t="shared" ca="1" si="59"/>
        <v>0</v>
      </c>
      <c r="BD36" s="3">
        <f t="shared" ca="1" si="60"/>
        <v>0</v>
      </c>
      <c r="BE36" s="3">
        <f t="shared" ca="1" si="61"/>
        <v>0</v>
      </c>
      <c r="BF36" s="3">
        <f t="shared" ca="1" si="62"/>
        <v>0</v>
      </c>
      <c r="BG36" s="3">
        <f t="shared" ca="1" si="63"/>
        <v>0</v>
      </c>
      <c r="BH36" s="3" t="str">
        <f ca="1">IF($AF36=1,TeamGameData[[#This Row],[OFF REB]]-TeamGameData[[#This Row],[Opp OFF REB]],"")</f>
        <v/>
      </c>
      <c r="BI36" s="3" t="str">
        <f ca="1">IF($AF36=1,TeamGameData[[#This Row],[DEF REB]]-TeamGameData[[#This Row],[Opp DEF REB]],"")</f>
        <v/>
      </c>
      <c r="BJ36" s="3" t="str">
        <f ca="1">IF($AF36=1,TeamGameData[[#This Row],[TOT REB]]-TeamGameData[[#This Row],[Opp TOT REB]],"")</f>
        <v/>
      </c>
      <c r="BK36" s="3" t="str">
        <f t="shared" ca="1" si="46"/>
        <v/>
      </c>
      <c r="BL36" s="3" t="str">
        <f t="shared" ca="1" si="47"/>
        <v/>
      </c>
      <c r="BM36" s="3">
        <f t="shared" ca="1" si="48"/>
        <v>0</v>
      </c>
      <c r="BN36" s="3">
        <f t="shared" ca="1" si="49"/>
        <v>0</v>
      </c>
      <c r="BO36" s="3">
        <f t="shared" si="64"/>
        <v>30</v>
      </c>
      <c r="BP36" s="3" t="str">
        <f t="shared" ca="1" si="65"/>
        <v>Blank</v>
      </c>
      <c r="BQ36" s="3" t="str">
        <f t="shared" ca="1" si="50"/>
        <v/>
      </c>
      <c r="BR36" s="3" t="str">
        <f ca="1">IF(BP36="Blank","",IF(TeamGameData[[#This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36" s="6" t="str">
        <f ca="1">IFERROR(IF(BP36="Blank","",IF(AND(VLOOKUP(TeamGameData[[#This Row],[Opponent]],WYTeamInfo,2,FALSE)=Roster!$D$1,VLOOKUP(TeamGameData[[#This Row],[Opponent]],WYTeamInfo,3,FALSE)=Roster!$D$2),"SR","")),"")</f>
        <v/>
      </c>
      <c r="BT36" s="3" t="str">
        <f>CONCATENATE(Roster!$D$1," ",Roster!$D$5)</f>
        <v>1A BB</v>
      </c>
      <c r="BU36" s="3">
        <f ca="1">Team_Report!$B251</f>
        <v>1</v>
      </c>
      <c r="BV36" s="3" t="str">
        <f>Roster!$D$3</f>
        <v>East</v>
      </c>
      <c r="BW36" s="3" t="str">
        <f>Roster!$D$2</f>
        <v>Northeast</v>
      </c>
      <c r="BX36" s="3" t="str">
        <f>Roster!$D$4</f>
        <v>North</v>
      </c>
      <c r="BY36" s="3">
        <f t="shared" ca="1" si="51"/>
        <v>0</v>
      </c>
      <c r="BZ36" s="3">
        <f t="shared" ca="1" si="52"/>
        <v>0</v>
      </c>
      <c r="CA36" s="3" t="str">
        <f>Roster!$D$8</f>
        <v>Joe Samuelson</v>
      </c>
    </row>
    <row r="37" spans="1:79" x14ac:dyDescent="0.25">
      <c r="A37" s="3" t="str">
        <f>Roster!$B$1</f>
        <v>Upton</v>
      </c>
      <c r="B37" s="3">
        <f t="shared" ca="1" si="53"/>
        <v>0</v>
      </c>
      <c r="C37" s="6">
        <f t="shared" ca="1" si="54"/>
        <v>0</v>
      </c>
      <c r="D37" s="3">
        <f t="shared" ca="1" si="0"/>
        <v>0</v>
      </c>
      <c r="E37" s="3">
        <f t="shared" ca="1" si="1"/>
        <v>0</v>
      </c>
      <c r="F37" s="3">
        <f t="shared" ca="1" si="2"/>
        <v>0</v>
      </c>
      <c r="G37" s="3">
        <f t="shared" ca="1" si="3"/>
        <v>0</v>
      </c>
      <c r="H37" s="3">
        <f t="shared" ca="1" si="4"/>
        <v>0</v>
      </c>
      <c r="I37" s="3">
        <f t="shared" ca="1" si="5"/>
        <v>0</v>
      </c>
      <c r="J37" s="3">
        <f t="shared" ca="1" si="6"/>
        <v>0</v>
      </c>
      <c r="K37" s="3">
        <f t="shared" ca="1" si="7"/>
        <v>0</v>
      </c>
      <c r="L37" s="3">
        <f t="shared" ca="1" si="8"/>
        <v>0</v>
      </c>
      <c r="M37" s="3">
        <f t="shared" ca="1" si="9"/>
        <v>0</v>
      </c>
      <c r="N37" s="3">
        <f t="shared" ca="1" si="10"/>
        <v>0</v>
      </c>
      <c r="O37" s="3">
        <f t="shared" ca="1" si="11"/>
        <v>0</v>
      </c>
      <c r="P37" s="3">
        <f t="shared" ca="1" si="12"/>
        <v>0</v>
      </c>
      <c r="Q37" s="3">
        <f t="shared" ca="1" si="13"/>
        <v>0</v>
      </c>
      <c r="R37" s="3">
        <f t="shared" ca="1" si="14"/>
        <v>0</v>
      </c>
      <c r="S37" s="3">
        <f t="shared" ca="1" si="15"/>
        <v>0</v>
      </c>
      <c r="T37" s="3" t="str">
        <f t="shared" ca="1" si="16"/>
        <v/>
      </c>
      <c r="U37" s="7" t="str">
        <f t="shared" ca="1" si="17"/>
        <v/>
      </c>
      <c r="V37" s="7" t="str">
        <f t="shared" ca="1" si="18"/>
        <v/>
      </c>
      <c r="W37" s="7" t="str">
        <f t="shared" ca="1" si="19"/>
        <v/>
      </c>
      <c r="X37" s="7" t="str">
        <f t="shared" ca="1" si="20"/>
        <v/>
      </c>
      <c r="Y37" s="7" t="str">
        <f t="shared" ca="1" si="21"/>
        <v/>
      </c>
      <c r="Z37" s="3">
        <f ca="1">TeamGameData[[#This Row],[OFF REB]]+TeamGameData[[#This Row],[DEF REB]]</f>
        <v>0</v>
      </c>
      <c r="AA37" s="3">
        <f t="shared" ca="1" si="22"/>
        <v>0</v>
      </c>
      <c r="AB37" s="3">
        <f t="shared" ca="1" si="55"/>
        <v>0</v>
      </c>
      <c r="AC37" s="3">
        <f t="shared" ca="1" si="56"/>
        <v>0</v>
      </c>
      <c r="AD37" s="3">
        <f t="shared" ca="1" si="57"/>
        <v>0</v>
      </c>
      <c r="AE37" s="3">
        <f t="shared" ca="1" si="58"/>
        <v>0</v>
      </c>
      <c r="AF37" s="3">
        <f t="shared" ca="1" si="23"/>
        <v>0</v>
      </c>
      <c r="AG37" s="3">
        <f t="shared" ca="1" si="24"/>
        <v>0</v>
      </c>
      <c r="AH37" s="3">
        <f t="shared" ca="1" si="25"/>
        <v>0</v>
      </c>
      <c r="AI37" s="3">
        <f t="shared" ca="1" si="26"/>
        <v>0</v>
      </c>
      <c r="AJ37" s="3">
        <f t="shared" ca="1" si="27"/>
        <v>0</v>
      </c>
      <c r="AK37" s="3">
        <f t="shared" ca="1" si="28"/>
        <v>0</v>
      </c>
      <c r="AL37" s="3">
        <f t="shared" ca="1" si="29"/>
        <v>0</v>
      </c>
      <c r="AM37" s="3">
        <f t="shared" ca="1" si="30"/>
        <v>0</v>
      </c>
      <c r="AN37" s="3">
        <f t="shared" ca="1" si="31"/>
        <v>0</v>
      </c>
      <c r="AO37" s="3">
        <f t="shared" ca="1" si="32"/>
        <v>0</v>
      </c>
      <c r="AP37" s="3">
        <f t="shared" ca="1" si="33"/>
        <v>0</v>
      </c>
      <c r="AQ37" s="3">
        <f t="shared" ca="1" si="34"/>
        <v>0</v>
      </c>
      <c r="AR37" s="3">
        <f t="shared" ca="1" si="35"/>
        <v>0</v>
      </c>
      <c r="AS37" s="3">
        <f t="shared" ca="1" si="36"/>
        <v>0</v>
      </c>
      <c r="AT37" s="3">
        <f t="shared" ca="1" si="37"/>
        <v>0</v>
      </c>
      <c r="AU37" s="3">
        <f t="shared" ca="1" si="38"/>
        <v>0</v>
      </c>
      <c r="AV37" s="3" t="str">
        <f t="shared" ca="1" si="39"/>
        <v/>
      </c>
      <c r="AW37" s="7" t="str">
        <f t="shared" ca="1" si="40"/>
        <v/>
      </c>
      <c r="AX37" s="7" t="str">
        <f t="shared" ca="1" si="41"/>
        <v/>
      </c>
      <c r="AY37" s="7" t="str">
        <f t="shared" ca="1" si="42"/>
        <v/>
      </c>
      <c r="AZ37" s="7" t="str">
        <f t="shared" ca="1" si="43"/>
        <v/>
      </c>
      <c r="BA37" s="7" t="str">
        <f t="shared" ca="1" si="44"/>
        <v/>
      </c>
      <c r="BB37" s="3">
        <f ca="1">TeamGameData[[#This Row],[Opp OFF REB]]+TeamGameData[[#This Row],[Opp DEF REB]]</f>
        <v>0</v>
      </c>
      <c r="BC37" s="3">
        <f t="shared" ca="1" si="59"/>
        <v>0</v>
      </c>
      <c r="BD37" s="3">
        <f t="shared" ca="1" si="60"/>
        <v>0</v>
      </c>
      <c r="BE37" s="3">
        <f t="shared" ca="1" si="61"/>
        <v>0</v>
      </c>
      <c r="BF37" s="3">
        <f t="shared" ca="1" si="62"/>
        <v>0</v>
      </c>
      <c r="BG37" s="3">
        <f t="shared" ca="1" si="63"/>
        <v>0</v>
      </c>
      <c r="BH37" s="3" t="str">
        <f ca="1">IF($AF37=1,TeamGameData[[#This Row],[OFF REB]]-TeamGameData[[#This Row],[Opp OFF REB]],"")</f>
        <v/>
      </c>
      <c r="BI37" s="3" t="str">
        <f ca="1">IF($AF37=1,TeamGameData[[#This Row],[DEF REB]]-TeamGameData[[#This Row],[Opp DEF REB]],"")</f>
        <v/>
      </c>
      <c r="BJ37" s="3" t="str">
        <f ca="1">IF($AF37=1,TeamGameData[[#This Row],[TOT REB]]-TeamGameData[[#This Row],[Opp TOT REB]],"")</f>
        <v/>
      </c>
      <c r="BK37" s="3" t="str">
        <f t="shared" ca="1" si="46"/>
        <v/>
      </c>
      <c r="BL37" s="3" t="str">
        <f t="shared" ca="1" si="47"/>
        <v/>
      </c>
      <c r="BM37" s="3">
        <f t="shared" ca="1" si="48"/>
        <v>0</v>
      </c>
      <c r="BN37" s="3">
        <f t="shared" ca="1" si="49"/>
        <v>0</v>
      </c>
      <c r="BO37" s="3">
        <f t="shared" si="64"/>
        <v>31</v>
      </c>
      <c r="BP37" s="3" t="str">
        <f t="shared" ca="1" si="65"/>
        <v>Blank</v>
      </c>
      <c r="BQ37" s="3" t="str">
        <f t="shared" ca="1" si="50"/>
        <v/>
      </c>
      <c r="BR37" s="3" t="str">
        <f ca="1">IF(BP37="Blank","",IF(TeamGameData[[#This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37" s="6" t="str">
        <f ca="1">IFERROR(IF(BP37="Blank","",IF(AND(VLOOKUP(TeamGameData[[#This Row],[Opponent]],WYTeamInfo,2,FALSE)=Roster!$D$1,VLOOKUP(TeamGameData[[#This Row],[Opponent]],WYTeamInfo,3,FALSE)=Roster!$D$2),"SR","")),"")</f>
        <v/>
      </c>
      <c r="BT37" s="3" t="str">
        <f>CONCATENATE(Roster!$D$1," ",Roster!$D$5)</f>
        <v>1A BB</v>
      </c>
      <c r="BU37" s="3">
        <f ca="1">Team_Report!$B252</f>
        <v>1</v>
      </c>
      <c r="BV37" s="3" t="str">
        <f>Roster!$D$3</f>
        <v>East</v>
      </c>
      <c r="BW37" s="3" t="str">
        <f>Roster!$D$2</f>
        <v>Northeast</v>
      </c>
      <c r="BX37" s="3" t="str">
        <f>Roster!$D$4</f>
        <v>North</v>
      </c>
      <c r="BY37" s="3">
        <f t="shared" ca="1" si="51"/>
        <v>0</v>
      </c>
      <c r="BZ37" s="3">
        <f t="shared" ca="1" si="52"/>
        <v>0</v>
      </c>
      <c r="CA37" s="3" t="str">
        <f>Roster!$D$8</f>
        <v>Joe Samuelson</v>
      </c>
    </row>
    <row r="38" spans="1:79" x14ac:dyDescent="0.25">
      <c r="A38" s="3" t="str">
        <f>Roster!$B$1</f>
        <v>Upton</v>
      </c>
      <c r="B38" s="3">
        <f t="shared" ca="1" si="53"/>
        <v>0</v>
      </c>
      <c r="C38" s="6">
        <f t="shared" ca="1" si="54"/>
        <v>0</v>
      </c>
      <c r="D38" s="3">
        <f t="shared" ca="1" si="0"/>
        <v>0</v>
      </c>
      <c r="E38" s="3">
        <f t="shared" ca="1" si="1"/>
        <v>0</v>
      </c>
      <c r="F38" s="3">
        <f t="shared" ca="1" si="2"/>
        <v>0</v>
      </c>
      <c r="G38" s="3">
        <f t="shared" ca="1" si="3"/>
        <v>0</v>
      </c>
      <c r="H38" s="3">
        <f t="shared" ca="1" si="4"/>
        <v>0</v>
      </c>
      <c r="I38" s="3">
        <f t="shared" ca="1" si="5"/>
        <v>0</v>
      </c>
      <c r="J38" s="3">
        <f t="shared" ca="1" si="6"/>
        <v>0</v>
      </c>
      <c r="K38" s="3">
        <f t="shared" ca="1" si="7"/>
        <v>0</v>
      </c>
      <c r="L38" s="3">
        <f t="shared" ca="1" si="8"/>
        <v>0</v>
      </c>
      <c r="M38" s="3">
        <f t="shared" ca="1" si="9"/>
        <v>0</v>
      </c>
      <c r="N38" s="3">
        <f t="shared" ca="1" si="10"/>
        <v>0</v>
      </c>
      <c r="O38" s="3">
        <f t="shared" ca="1" si="11"/>
        <v>0</v>
      </c>
      <c r="P38" s="3">
        <f t="shared" ca="1" si="12"/>
        <v>0</v>
      </c>
      <c r="Q38" s="3">
        <f t="shared" ca="1" si="13"/>
        <v>0</v>
      </c>
      <c r="R38" s="3">
        <f t="shared" ca="1" si="14"/>
        <v>0</v>
      </c>
      <c r="S38" s="3">
        <f t="shared" ca="1" si="15"/>
        <v>0</v>
      </c>
      <c r="T38" s="3" t="str">
        <f t="shared" ca="1" si="16"/>
        <v/>
      </c>
      <c r="U38" s="7" t="str">
        <f t="shared" ca="1" si="17"/>
        <v/>
      </c>
      <c r="V38" s="7" t="str">
        <f t="shared" ca="1" si="18"/>
        <v/>
      </c>
      <c r="W38" s="7" t="str">
        <f t="shared" ca="1" si="19"/>
        <v/>
      </c>
      <c r="X38" s="7" t="str">
        <f t="shared" ca="1" si="20"/>
        <v/>
      </c>
      <c r="Y38" s="7" t="str">
        <f t="shared" ca="1" si="21"/>
        <v/>
      </c>
      <c r="Z38" s="3">
        <f ca="1">TeamGameData[[#This Row],[OFF REB]]+TeamGameData[[#This Row],[DEF REB]]</f>
        <v>0</v>
      </c>
      <c r="AA38" s="3">
        <f t="shared" ca="1" si="22"/>
        <v>0</v>
      </c>
      <c r="AB38" s="3">
        <f t="shared" ca="1" si="55"/>
        <v>0</v>
      </c>
      <c r="AC38" s="3">
        <f t="shared" ca="1" si="56"/>
        <v>0</v>
      </c>
      <c r="AD38" s="3">
        <f t="shared" ca="1" si="57"/>
        <v>0</v>
      </c>
      <c r="AE38" s="3">
        <f t="shared" ca="1" si="58"/>
        <v>0</v>
      </c>
      <c r="AF38" s="3">
        <f t="shared" ca="1" si="23"/>
        <v>0</v>
      </c>
      <c r="AG38" s="3">
        <f t="shared" ca="1" si="24"/>
        <v>0</v>
      </c>
      <c r="AH38" s="3">
        <f t="shared" ca="1" si="25"/>
        <v>0</v>
      </c>
      <c r="AI38" s="3">
        <f t="shared" ca="1" si="26"/>
        <v>0</v>
      </c>
      <c r="AJ38" s="3">
        <f t="shared" ca="1" si="27"/>
        <v>0</v>
      </c>
      <c r="AK38" s="3">
        <f t="shared" ca="1" si="28"/>
        <v>0</v>
      </c>
      <c r="AL38" s="3">
        <f t="shared" ca="1" si="29"/>
        <v>0</v>
      </c>
      <c r="AM38" s="3">
        <f t="shared" ca="1" si="30"/>
        <v>0</v>
      </c>
      <c r="AN38" s="3">
        <f t="shared" ca="1" si="31"/>
        <v>0</v>
      </c>
      <c r="AO38" s="3">
        <f t="shared" ca="1" si="32"/>
        <v>0</v>
      </c>
      <c r="AP38" s="3">
        <f t="shared" ca="1" si="33"/>
        <v>0</v>
      </c>
      <c r="AQ38" s="3">
        <f t="shared" ca="1" si="34"/>
        <v>0</v>
      </c>
      <c r="AR38" s="3">
        <f t="shared" ca="1" si="35"/>
        <v>0</v>
      </c>
      <c r="AS38" s="3">
        <f t="shared" ca="1" si="36"/>
        <v>0</v>
      </c>
      <c r="AT38" s="3">
        <f t="shared" ca="1" si="37"/>
        <v>0</v>
      </c>
      <c r="AU38" s="3">
        <f t="shared" ca="1" si="38"/>
        <v>0</v>
      </c>
      <c r="AV38" s="3" t="str">
        <f t="shared" ca="1" si="39"/>
        <v/>
      </c>
      <c r="AW38" s="7" t="str">
        <f t="shared" ca="1" si="40"/>
        <v/>
      </c>
      <c r="AX38" s="7" t="str">
        <f t="shared" ca="1" si="41"/>
        <v/>
      </c>
      <c r="AY38" s="7" t="str">
        <f t="shared" ca="1" si="42"/>
        <v/>
      </c>
      <c r="AZ38" s="7" t="str">
        <f t="shared" ca="1" si="43"/>
        <v/>
      </c>
      <c r="BA38" s="7" t="str">
        <f t="shared" ca="1" si="44"/>
        <v/>
      </c>
      <c r="BB38" s="3">
        <f ca="1">TeamGameData[[#This Row],[Opp OFF REB]]+TeamGameData[[#This Row],[Opp DEF REB]]</f>
        <v>0</v>
      </c>
      <c r="BC38" s="3">
        <f t="shared" ca="1" si="59"/>
        <v>0</v>
      </c>
      <c r="BD38" s="3">
        <f t="shared" ca="1" si="60"/>
        <v>0</v>
      </c>
      <c r="BE38" s="3">
        <f t="shared" ca="1" si="61"/>
        <v>0</v>
      </c>
      <c r="BF38" s="3">
        <f t="shared" ca="1" si="62"/>
        <v>0</v>
      </c>
      <c r="BG38" s="3">
        <f t="shared" ca="1" si="63"/>
        <v>0</v>
      </c>
      <c r="BH38" s="3" t="str">
        <f ca="1">IF($AF38=1,TeamGameData[[#This Row],[OFF REB]]-TeamGameData[[#This Row],[Opp OFF REB]],"")</f>
        <v/>
      </c>
      <c r="BI38" s="3" t="str">
        <f ca="1">IF($AF38=1,TeamGameData[[#This Row],[DEF REB]]-TeamGameData[[#This Row],[Opp DEF REB]],"")</f>
        <v/>
      </c>
      <c r="BJ38" s="3" t="str">
        <f ca="1">IF($AF38=1,TeamGameData[[#This Row],[TOT REB]]-TeamGameData[[#This Row],[Opp TOT REB]],"")</f>
        <v/>
      </c>
      <c r="BK38" s="3" t="str">
        <f t="shared" ca="1" si="46"/>
        <v/>
      </c>
      <c r="BL38" s="3" t="str">
        <f t="shared" ca="1" si="47"/>
        <v/>
      </c>
      <c r="BM38" s="3">
        <f t="shared" ca="1" si="48"/>
        <v>0</v>
      </c>
      <c r="BN38" s="3">
        <f t="shared" ca="1" si="49"/>
        <v>0</v>
      </c>
      <c r="BO38" s="3">
        <f t="shared" si="64"/>
        <v>32</v>
      </c>
      <c r="BP38" s="3" t="str">
        <f t="shared" ca="1" si="65"/>
        <v>Blank</v>
      </c>
      <c r="BQ38" s="3" t="str">
        <f t="shared" ca="1" si="50"/>
        <v/>
      </c>
      <c r="BR38" s="3" t="str">
        <f ca="1">IF(BP38="Blank","",IF(TeamGameData[[#This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38" s="6" t="str">
        <f ca="1">IFERROR(IF(BP38="Blank","",IF(AND(VLOOKUP(TeamGameData[[#This Row],[Opponent]],WYTeamInfo,2,FALSE)=Roster!$D$1,VLOOKUP(TeamGameData[[#This Row],[Opponent]],WYTeamInfo,3,FALSE)=Roster!$D$2),"SR","")),"")</f>
        <v/>
      </c>
      <c r="BT38" s="3" t="str">
        <f>CONCATENATE(Roster!$D$1," ",Roster!$D$5)</f>
        <v>1A BB</v>
      </c>
      <c r="BU38" s="3">
        <f ca="1">Team_Report!$B253</f>
        <v>1</v>
      </c>
      <c r="BV38" s="3" t="str">
        <f>Roster!$D$3</f>
        <v>East</v>
      </c>
      <c r="BW38" s="3" t="str">
        <f>Roster!$D$2</f>
        <v>Northeast</v>
      </c>
      <c r="BX38" s="3" t="str">
        <f>Roster!$D$4</f>
        <v>North</v>
      </c>
      <c r="BY38" s="3">
        <f t="shared" ca="1" si="51"/>
        <v>0</v>
      </c>
      <c r="BZ38" s="3">
        <f t="shared" ca="1" si="52"/>
        <v>0</v>
      </c>
      <c r="CA38" s="3" t="str">
        <f>Roster!$D$8</f>
        <v>Joe Samuelson</v>
      </c>
    </row>
    <row r="39" spans="1:79" x14ac:dyDescent="0.25">
      <c r="A39" s="3" t="str">
        <f>Roster!$B$1</f>
        <v>Upton</v>
      </c>
      <c r="B39" s="3">
        <f t="shared" ca="1" si="53"/>
        <v>0</v>
      </c>
      <c r="C39" s="6">
        <f t="shared" ca="1" si="54"/>
        <v>0</v>
      </c>
      <c r="D39" s="3">
        <f t="shared" ca="1" si="0"/>
        <v>0</v>
      </c>
      <c r="E39" s="3">
        <f t="shared" ca="1" si="1"/>
        <v>0</v>
      </c>
      <c r="F39" s="3">
        <f t="shared" ca="1" si="2"/>
        <v>0</v>
      </c>
      <c r="G39" s="3">
        <f t="shared" ca="1" si="3"/>
        <v>0</v>
      </c>
      <c r="H39" s="3">
        <f t="shared" ca="1" si="4"/>
        <v>0</v>
      </c>
      <c r="I39" s="3">
        <f t="shared" ca="1" si="5"/>
        <v>0</v>
      </c>
      <c r="J39" s="3">
        <f t="shared" ca="1" si="6"/>
        <v>0</v>
      </c>
      <c r="K39" s="3">
        <f t="shared" ca="1" si="7"/>
        <v>0</v>
      </c>
      <c r="L39" s="3">
        <f t="shared" ca="1" si="8"/>
        <v>0</v>
      </c>
      <c r="M39" s="3">
        <f t="shared" ca="1" si="9"/>
        <v>0</v>
      </c>
      <c r="N39" s="3">
        <f t="shared" ca="1" si="10"/>
        <v>0</v>
      </c>
      <c r="O39" s="3">
        <f t="shared" ca="1" si="11"/>
        <v>0</v>
      </c>
      <c r="P39" s="3">
        <f t="shared" ca="1" si="12"/>
        <v>0</v>
      </c>
      <c r="Q39" s="3">
        <f t="shared" ca="1" si="13"/>
        <v>0</v>
      </c>
      <c r="R39" s="3">
        <f t="shared" ca="1" si="14"/>
        <v>0</v>
      </c>
      <c r="S39" s="3">
        <f t="shared" ca="1" si="15"/>
        <v>0</v>
      </c>
      <c r="T39" s="3" t="str">
        <f t="shared" ca="1" si="16"/>
        <v/>
      </c>
      <c r="U39" s="7" t="str">
        <f t="shared" ca="1" si="17"/>
        <v/>
      </c>
      <c r="V39" s="7" t="str">
        <f t="shared" ca="1" si="18"/>
        <v/>
      </c>
      <c r="W39" s="7" t="str">
        <f t="shared" ca="1" si="19"/>
        <v/>
      </c>
      <c r="X39" s="7" t="str">
        <f t="shared" ca="1" si="20"/>
        <v/>
      </c>
      <c r="Y39" s="7" t="str">
        <f t="shared" ca="1" si="21"/>
        <v/>
      </c>
      <c r="Z39" s="3">
        <f ca="1">TeamGameData[[#This Row],[OFF REB]]+TeamGameData[[#This Row],[DEF REB]]</f>
        <v>0</v>
      </c>
      <c r="AA39" s="3">
        <f t="shared" ca="1" si="22"/>
        <v>0</v>
      </c>
      <c r="AB39" s="3">
        <f t="shared" ca="1" si="55"/>
        <v>0</v>
      </c>
      <c r="AC39" s="3">
        <f t="shared" ca="1" si="56"/>
        <v>0</v>
      </c>
      <c r="AD39" s="3">
        <f t="shared" ca="1" si="57"/>
        <v>0</v>
      </c>
      <c r="AE39" s="3">
        <f t="shared" ca="1" si="58"/>
        <v>0</v>
      </c>
      <c r="AF39" s="3">
        <f t="shared" ca="1" si="23"/>
        <v>0</v>
      </c>
      <c r="AG39" s="3">
        <f t="shared" ca="1" si="24"/>
        <v>0</v>
      </c>
      <c r="AH39" s="3">
        <f t="shared" ca="1" si="25"/>
        <v>0</v>
      </c>
      <c r="AI39" s="3">
        <f t="shared" ca="1" si="26"/>
        <v>0</v>
      </c>
      <c r="AJ39" s="3">
        <f t="shared" ca="1" si="27"/>
        <v>0</v>
      </c>
      <c r="AK39" s="3">
        <f t="shared" ca="1" si="28"/>
        <v>0</v>
      </c>
      <c r="AL39" s="3">
        <f t="shared" ca="1" si="29"/>
        <v>0</v>
      </c>
      <c r="AM39" s="3">
        <f t="shared" ca="1" si="30"/>
        <v>0</v>
      </c>
      <c r="AN39" s="3">
        <f t="shared" ca="1" si="31"/>
        <v>0</v>
      </c>
      <c r="AO39" s="3">
        <f t="shared" ca="1" si="32"/>
        <v>0</v>
      </c>
      <c r="AP39" s="3">
        <f t="shared" ca="1" si="33"/>
        <v>0</v>
      </c>
      <c r="AQ39" s="3">
        <f t="shared" ca="1" si="34"/>
        <v>0</v>
      </c>
      <c r="AR39" s="3">
        <f t="shared" ca="1" si="35"/>
        <v>0</v>
      </c>
      <c r="AS39" s="3">
        <f t="shared" ca="1" si="36"/>
        <v>0</v>
      </c>
      <c r="AT39" s="3">
        <f t="shared" ca="1" si="37"/>
        <v>0</v>
      </c>
      <c r="AU39" s="3">
        <f t="shared" ca="1" si="38"/>
        <v>0</v>
      </c>
      <c r="AV39" s="3" t="str">
        <f t="shared" ca="1" si="39"/>
        <v/>
      </c>
      <c r="AW39" s="7" t="str">
        <f t="shared" ca="1" si="40"/>
        <v/>
      </c>
      <c r="AX39" s="7" t="str">
        <f t="shared" ca="1" si="41"/>
        <v/>
      </c>
      <c r="AY39" s="7" t="str">
        <f t="shared" ca="1" si="42"/>
        <v/>
      </c>
      <c r="AZ39" s="7" t="str">
        <f t="shared" ca="1" si="43"/>
        <v/>
      </c>
      <c r="BA39" s="7" t="str">
        <f t="shared" ca="1" si="44"/>
        <v/>
      </c>
      <c r="BB39" s="3">
        <f ca="1">TeamGameData[[#This Row],[Opp OFF REB]]+TeamGameData[[#This Row],[Opp DEF REB]]</f>
        <v>0</v>
      </c>
      <c r="BC39" s="3">
        <f t="shared" ca="1" si="59"/>
        <v>0</v>
      </c>
      <c r="BD39" s="3">
        <f t="shared" ca="1" si="60"/>
        <v>0</v>
      </c>
      <c r="BE39" s="3">
        <f t="shared" ca="1" si="61"/>
        <v>0</v>
      </c>
      <c r="BF39" s="3">
        <f t="shared" ca="1" si="62"/>
        <v>0</v>
      </c>
      <c r="BG39" s="3">
        <f t="shared" ca="1" si="63"/>
        <v>0</v>
      </c>
      <c r="BH39" s="3" t="str">
        <f ca="1">IF($AF39=1,TeamGameData[[#This Row],[OFF REB]]-TeamGameData[[#This Row],[Opp OFF REB]],"")</f>
        <v/>
      </c>
      <c r="BI39" s="3" t="str">
        <f ca="1">IF($AF39=1,TeamGameData[[#This Row],[DEF REB]]-TeamGameData[[#This Row],[Opp DEF REB]],"")</f>
        <v/>
      </c>
      <c r="BJ39" s="3" t="str">
        <f ca="1">IF($AF39=1,TeamGameData[[#This Row],[TOT REB]]-TeamGameData[[#This Row],[Opp TOT REB]],"")</f>
        <v/>
      </c>
      <c r="BK39" s="3" t="str">
        <f t="shared" ca="1" si="46"/>
        <v/>
      </c>
      <c r="BL39" s="3" t="str">
        <f t="shared" ca="1" si="47"/>
        <v/>
      </c>
      <c r="BM39" s="3">
        <f t="shared" ca="1" si="48"/>
        <v>0</v>
      </c>
      <c r="BN39" s="3">
        <f t="shared" ca="1" si="49"/>
        <v>0</v>
      </c>
      <c r="BO39" s="3">
        <f t="shared" si="64"/>
        <v>33</v>
      </c>
      <c r="BP39" s="3" t="str">
        <f t="shared" ca="1" si="65"/>
        <v>Blank</v>
      </c>
      <c r="BQ39" s="3" t="str">
        <f t="shared" ca="1" si="50"/>
        <v/>
      </c>
      <c r="BR39" s="3" t="str">
        <f ca="1">IF(BP39="Blank","",IF(TeamGameData[[#This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39" s="6" t="str">
        <f ca="1">IFERROR(IF(BP39="Blank","",IF(AND(VLOOKUP(TeamGameData[[#This Row],[Opponent]],WYTeamInfo,2,FALSE)=Roster!$D$1,VLOOKUP(TeamGameData[[#This Row],[Opponent]],WYTeamInfo,3,FALSE)=Roster!$D$2),"SR","")),"")</f>
        <v/>
      </c>
      <c r="BT39" s="3" t="str">
        <f>CONCATENATE(Roster!$D$1," ",Roster!$D$5)</f>
        <v>1A BB</v>
      </c>
      <c r="BU39" s="3">
        <f ca="1">Team_Report!$B254</f>
        <v>1</v>
      </c>
      <c r="BV39" s="3" t="str">
        <f>Roster!$D$3</f>
        <v>East</v>
      </c>
      <c r="BW39" s="3" t="str">
        <f>Roster!$D$2</f>
        <v>Northeast</v>
      </c>
      <c r="BX39" s="3" t="str">
        <f>Roster!$D$4</f>
        <v>North</v>
      </c>
      <c r="BY39" s="3">
        <f t="shared" ca="1" si="51"/>
        <v>0</v>
      </c>
      <c r="BZ39" s="3">
        <f t="shared" ca="1" si="52"/>
        <v>0</v>
      </c>
      <c r="CA39" s="3" t="str">
        <f>Roster!$D$8</f>
        <v>Joe Samuelson</v>
      </c>
    </row>
    <row r="40" spans="1:79" x14ac:dyDescent="0.25">
      <c r="A40" s="3" t="str">
        <f>Roster!$B$1</f>
        <v>Upton</v>
      </c>
      <c r="B40" s="3">
        <f t="shared" ca="1" si="53"/>
        <v>0</v>
      </c>
      <c r="C40" s="6">
        <f t="shared" ca="1" si="54"/>
        <v>0</v>
      </c>
      <c r="D40" s="3">
        <f t="shared" ca="1" si="0"/>
        <v>0</v>
      </c>
      <c r="E40" s="3">
        <f t="shared" ca="1" si="1"/>
        <v>0</v>
      </c>
      <c r="F40" s="3">
        <f t="shared" ca="1" si="2"/>
        <v>0</v>
      </c>
      <c r="G40" s="3">
        <f t="shared" ca="1" si="3"/>
        <v>0</v>
      </c>
      <c r="H40" s="3">
        <f t="shared" ca="1" si="4"/>
        <v>0</v>
      </c>
      <c r="I40" s="3">
        <f t="shared" ca="1" si="5"/>
        <v>0</v>
      </c>
      <c r="J40" s="3">
        <f t="shared" ca="1" si="6"/>
        <v>0</v>
      </c>
      <c r="K40" s="3">
        <f t="shared" ca="1" si="7"/>
        <v>0</v>
      </c>
      <c r="L40" s="3">
        <f t="shared" ca="1" si="8"/>
        <v>0</v>
      </c>
      <c r="M40" s="3">
        <f t="shared" ca="1" si="9"/>
        <v>0</v>
      </c>
      <c r="N40" s="3">
        <f t="shared" ca="1" si="10"/>
        <v>0</v>
      </c>
      <c r="O40" s="3">
        <f t="shared" ca="1" si="11"/>
        <v>0</v>
      </c>
      <c r="P40" s="3">
        <f t="shared" ca="1" si="12"/>
        <v>0</v>
      </c>
      <c r="Q40" s="3">
        <f t="shared" ca="1" si="13"/>
        <v>0</v>
      </c>
      <c r="R40" s="3">
        <f t="shared" ca="1" si="14"/>
        <v>0</v>
      </c>
      <c r="S40" s="3">
        <f t="shared" ca="1" si="15"/>
        <v>0</v>
      </c>
      <c r="T40" s="3" t="str">
        <f t="shared" ca="1" si="16"/>
        <v/>
      </c>
      <c r="U40" s="7" t="str">
        <f t="shared" ca="1" si="17"/>
        <v/>
      </c>
      <c r="V40" s="7" t="str">
        <f t="shared" ca="1" si="18"/>
        <v/>
      </c>
      <c r="W40" s="7" t="str">
        <f t="shared" ca="1" si="19"/>
        <v/>
      </c>
      <c r="X40" s="7" t="str">
        <f t="shared" ca="1" si="20"/>
        <v/>
      </c>
      <c r="Y40" s="7" t="str">
        <f t="shared" ca="1" si="21"/>
        <v/>
      </c>
      <c r="Z40" s="3">
        <f ca="1">TeamGameData[[#This Row],[OFF REB]]+TeamGameData[[#This Row],[DEF REB]]</f>
        <v>0</v>
      </c>
      <c r="AA40" s="3">
        <f t="shared" ca="1" si="22"/>
        <v>0</v>
      </c>
      <c r="AB40" s="3">
        <f t="shared" ca="1" si="55"/>
        <v>0</v>
      </c>
      <c r="AC40" s="3">
        <f t="shared" ca="1" si="56"/>
        <v>0</v>
      </c>
      <c r="AD40" s="3">
        <f t="shared" ca="1" si="57"/>
        <v>0</v>
      </c>
      <c r="AE40" s="3">
        <f t="shared" ca="1" si="58"/>
        <v>0</v>
      </c>
      <c r="AF40" s="3">
        <f t="shared" ca="1" si="23"/>
        <v>0</v>
      </c>
      <c r="AG40" s="3">
        <f t="shared" ca="1" si="24"/>
        <v>0</v>
      </c>
      <c r="AH40" s="3">
        <f t="shared" ca="1" si="25"/>
        <v>0</v>
      </c>
      <c r="AI40" s="3">
        <f t="shared" ca="1" si="26"/>
        <v>0</v>
      </c>
      <c r="AJ40" s="3">
        <f t="shared" ca="1" si="27"/>
        <v>0</v>
      </c>
      <c r="AK40" s="3">
        <f t="shared" ca="1" si="28"/>
        <v>0</v>
      </c>
      <c r="AL40" s="3">
        <f t="shared" ca="1" si="29"/>
        <v>0</v>
      </c>
      <c r="AM40" s="3">
        <f t="shared" ca="1" si="30"/>
        <v>0</v>
      </c>
      <c r="AN40" s="3">
        <f t="shared" ca="1" si="31"/>
        <v>0</v>
      </c>
      <c r="AO40" s="3">
        <f t="shared" ca="1" si="32"/>
        <v>0</v>
      </c>
      <c r="AP40" s="3">
        <f t="shared" ca="1" si="33"/>
        <v>0</v>
      </c>
      <c r="AQ40" s="3">
        <f t="shared" ca="1" si="34"/>
        <v>0</v>
      </c>
      <c r="AR40" s="3">
        <f t="shared" ca="1" si="35"/>
        <v>0</v>
      </c>
      <c r="AS40" s="3">
        <f t="shared" ca="1" si="36"/>
        <v>0</v>
      </c>
      <c r="AT40" s="3">
        <f t="shared" ca="1" si="37"/>
        <v>0</v>
      </c>
      <c r="AU40" s="3">
        <f t="shared" ca="1" si="38"/>
        <v>0</v>
      </c>
      <c r="AV40" s="3" t="str">
        <f t="shared" ca="1" si="39"/>
        <v/>
      </c>
      <c r="AW40" s="7" t="str">
        <f t="shared" ca="1" si="40"/>
        <v/>
      </c>
      <c r="AX40" s="7" t="str">
        <f t="shared" ca="1" si="41"/>
        <v/>
      </c>
      <c r="AY40" s="7" t="str">
        <f t="shared" ca="1" si="42"/>
        <v/>
      </c>
      <c r="AZ40" s="7" t="str">
        <f t="shared" ca="1" si="43"/>
        <v/>
      </c>
      <c r="BA40" s="7" t="str">
        <f t="shared" ca="1" si="44"/>
        <v/>
      </c>
      <c r="BB40" s="3">
        <f ca="1">TeamGameData[[#This Row],[Opp OFF REB]]+TeamGameData[[#This Row],[Opp DEF REB]]</f>
        <v>0</v>
      </c>
      <c r="BC40" s="3">
        <f t="shared" ca="1" si="59"/>
        <v>0</v>
      </c>
      <c r="BD40" s="3">
        <f t="shared" ca="1" si="60"/>
        <v>0</v>
      </c>
      <c r="BE40" s="3">
        <f t="shared" ca="1" si="61"/>
        <v>0</v>
      </c>
      <c r="BF40" s="3">
        <f t="shared" ca="1" si="62"/>
        <v>0</v>
      </c>
      <c r="BG40" s="3">
        <f t="shared" ca="1" si="63"/>
        <v>0</v>
      </c>
      <c r="BH40" s="3" t="str">
        <f ca="1">IF($AF40=1,TeamGameData[[#This Row],[OFF REB]]-TeamGameData[[#This Row],[Opp OFF REB]],"")</f>
        <v/>
      </c>
      <c r="BI40" s="3" t="str">
        <f ca="1">IF($AF40=1,TeamGameData[[#This Row],[DEF REB]]-TeamGameData[[#This Row],[Opp DEF REB]],"")</f>
        <v/>
      </c>
      <c r="BJ40" s="3" t="str">
        <f ca="1">IF($AF40=1,TeamGameData[[#This Row],[TOT REB]]-TeamGameData[[#This Row],[Opp TOT REB]],"")</f>
        <v/>
      </c>
      <c r="BK40" s="3" t="str">
        <f t="shared" ca="1" si="46"/>
        <v/>
      </c>
      <c r="BL40" s="3" t="str">
        <f t="shared" ca="1" si="47"/>
        <v/>
      </c>
      <c r="BM40" s="3">
        <f t="shared" ca="1" si="48"/>
        <v>0</v>
      </c>
      <c r="BN40" s="3">
        <f t="shared" ca="1" si="49"/>
        <v>0</v>
      </c>
      <c r="BO40" s="3">
        <f t="shared" si="64"/>
        <v>34</v>
      </c>
      <c r="BP40" s="3" t="str">
        <f t="shared" ca="1" si="65"/>
        <v>Blank</v>
      </c>
      <c r="BQ40" s="3" t="str">
        <f t="shared" ca="1" si="50"/>
        <v/>
      </c>
      <c r="BR40" s="3" t="str">
        <f ca="1">IF(BP40="Blank","",IF(TeamGameData[[#This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40" s="6" t="str">
        <f ca="1">IFERROR(IF(BP40="Blank","",IF(AND(VLOOKUP(TeamGameData[[#This Row],[Opponent]],WYTeamInfo,2,FALSE)=Roster!$D$1,VLOOKUP(TeamGameData[[#This Row],[Opponent]],WYTeamInfo,3,FALSE)=Roster!$D$2),"SR","")),"")</f>
        <v/>
      </c>
      <c r="BT40" s="3" t="str">
        <f>CONCATENATE(Roster!$D$1," ",Roster!$D$5)</f>
        <v>1A BB</v>
      </c>
      <c r="BU40" s="3">
        <f ca="1">Team_Report!$B255</f>
        <v>1</v>
      </c>
      <c r="BV40" s="3" t="str">
        <f>Roster!$D$3</f>
        <v>East</v>
      </c>
      <c r="BW40" s="3" t="str">
        <f>Roster!$D$2</f>
        <v>Northeast</v>
      </c>
      <c r="BX40" s="3" t="str">
        <f>Roster!$D$4</f>
        <v>North</v>
      </c>
      <c r="BY40" s="3">
        <f t="shared" ca="1" si="51"/>
        <v>0</v>
      </c>
      <c r="BZ40" s="3">
        <f t="shared" ca="1" si="52"/>
        <v>0</v>
      </c>
      <c r="CA40" s="3" t="str">
        <f>Roster!$D$8</f>
        <v>Joe Samuelson</v>
      </c>
    </row>
    <row r="41" spans="1:79" x14ac:dyDescent="0.25">
      <c r="A41" s="3" t="str">
        <f>Roster!$B$1</f>
        <v>Upton</v>
      </c>
      <c r="B41" s="3">
        <f t="shared" ca="1" si="53"/>
        <v>0</v>
      </c>
      <c r="C41" s="6">
        <f t="shared" ca="1" si="54"/>
        <v>0</v>
      </c>
      <c r="D41" s="3">
        <f t="shared" ca="1" si="0"/>
        <v>0</v>
      </c>
      <c r="E41" s="3">
        <f t="shared" ca="1" si="1"/>
        <v>0</v>
      </c>
      <c r="F41" s="3">
        <f t="shared" ca="1" si="2"/>
        <v>0</v>
      </c>
      <c r="G41" s="3">
        <f t="shared" ca="1" si="3"/>
        <v>0</v>
      </c>
      <c r="H41" s="3">
        <f t="shared" ca="1" si="4"/>
        <v>0</v>
      </c>
      <c r="I41" s="3">
        <f t="shared" ca="1" si="5"/>
        <v>0</v>
      </c>
      <c r="J41" s="3">
        <f t="shared" ca="1" si="6"/>
        <v>0</v>
      </c>
      <c r="K41" s="3">
        <f t="shared" ca="1" si="7"/>
        <v>0</v>
      </c>
      <c r="L41" s="3">
        <f t="shared" ca="1" si="8"/>
        <v>0</v>
      </c>
      <c r="M41" s="3">
        <f t="shared" ca="1" si="9"/>
        <v>0</v>
      </c>
      <c r="N41" s="3">
        <f t="shared" ca="1" si="10"/>
        <v>0</v>
      </c>
      <c r="O41" s="3">
        <f t="shared" ca="1" si="11"/>
        <v>0</v>
      </c>
      <c r="P41" s="3">
        <f t="shared" ca="1" si="12"/>
        <v>0</v>
      </c>
      <c r="Q41" s="3">
        <f t="shared" ca="1" si="13"/>
        <v>0</v>
      </c>
      <c r="R41" s="3">
        <f t="shared" ca="1" si="14"/>
        <v>0</v>
      </c>
      <c r="S41" s="3">
        <f t="shared" ca="1" si="15"/>
        <v>0</v>
      </c>
      <c r="T41" s="3" t="str">
        <f t="shared" ca="1" si="16"/>
        <v/>
      </c>
      <c r="U41" s="7" t="str">
        <f t="shared" ca="1" si="17"/>
        <v/>
      </c>
      <c r="V41" s="7" t="str">
        <f t="shared" ca="1" si="18"/>
        <v/>
      </c>
      <c r="W41" s="7" t="str">
        <f t="shared" ca="1" si="19"/>
        <v/>
      </c>
      <c r="X41" s="7" t="str">
        <f t="shared" ca="1" si="20"/>
        <v/>
      </c>
      <c r="Y41" s="7" t="str">
        <f t="shared" ca="1" si="21"/>
        <v/>
      </c>
      <c r="Z41" s="3">
        <f ca="1">TeamGameData[[#This Row],[OFF REB]]+TeamGameData[[#This Row],[DEF REB]]</f>
        <v>0</v>
      </c>
      <c r="AA41" s="3">
        <f t="shared" ca="1" si="22"/>
        <v>0</v>
      </c>
      <c r="AB41" s="3">
        <f t="shared" ca="1" si="55"/>
        <v>0</v>
      </c>
      <c r="AC41" s="3">
        <f t="shared" ca="1" si="56"/>
        <v>0</v>
      </c>
      <c r="AD41" s="3">
        <f t="shared" ca="1" si="57"/>
        <v>0</v>
      </c>
      <c r="AE41" s="3">
        <f t="shared" ca="1" si="58"/>
        <v>0</v>
      </c>
      <c r="AF41" s="3">
        <f t="shared" ca="1" si="23"/>
        <v>0</v>
      </c>
      <c r="AG41" s="3">
        <f t="shared" ca="1" si="24"/>
        <v>0</v>
      </c>
      <c r="AH41" s="3">
        <f t="shared" ca="1" si="25"/>
        <v>0</v>
      </c>
      <c r="AI41" s="3">
        <f t="shared" ca="1" si="26"/>
        <v>0</v>
      </c>
      <c r="AJ41" s="3">
        <f t="shared" ca="1" si="27"/>
        <v>0</v>
      </c>
      <c r="AK41" s="3">
        <f t="shared" ca="1" si="28"/>
        <v>0</v>
      </c>
      <c r="AL41" s="3">
        <f t="shared" ca="1" si="29"/>
        <v>0</v>
      </c>
      <c r="AM41" s="3">
        <f t="shared" ca="1" si="30"/>
        <v>0</v>
      </c>
      <c r="AN41" s="3">
        <f t="shared" ca="1" si="31"/>
        <v>0</v>
      </c>
      <c r="AO41" s="3">
        <f t="shared" ca="1" si="32"/>
        <v>0</v>
      </c>
      <c r="AP41" s="3">
        <f t="shared" ca="1" si="33"/>
        <v>0</v>
      </c>
      <c r="AQ41" s="3">
        <f t="shared" ca="1" si="34"/>
        <v>0</v>
      </c>
      <c r="AR41" s="3">
        <f t="shared" ca="1" si="35"/>
        <v>0</v>
      </c>
      <c r="AS41" s="3">
        <f t="shared" ca="1" si="36"/>
        <v>0</v>
      </c>
      <c r="AT41" s="3">
        <f t="shared" ca="1" si="37"/>
        <v>0</v>
      </c>
      <c r="AU41" s="3">
        <f t="shared" ca="1" si="38"/>
        <v>0</v>
      </c>
      <c r="AV41" s="3" t="str">
        <f t="shared" ca="1" si="39"/>
        <v/>
      </c>
      <c r="AW41" s="7" t="str">
        <f t="shared" ca="1" si="40"/>
        <v/>
      </c>
      <c r="AX41" s="7" t="str">
        <f t="shared" ca="1" si="41"/>
        <v/>
      </c>
      <c r="AY41" s="7" t="str">
        <f t="shared" ca="1" si="42"/>
        <v/>
      </c>
      <c r="AZ41" s="7" t="str">
        <f t="shared" ca="1" si="43"/>
        <v/>
      </c>
      <c r="BA41" s="7" t="str">
        <f t="shared" ca="1" si="44"/>
        <v/>
      </c>
      <c r="BB41" s="3">
        <f ca="1">TeamGameData[[#This Row],[Opp OFF REB]]+TeamGameData[[#This Row],[Opp DEF REB]]</f>
        <v>0</v>
      </c>
      <c r="BC41" s="3">
        <f t="shared" ca="1" si="59"/>
        <v>0</v>
      </c>
      <c r="BD41" s="3">
        <f t="shared" ca="1" si="60"/>
        <v>0</v>
      </c>
      <c r="BE41" s="3">
        <f t="shared" ca="1" si="61"/>
        <v>0</v>
      </c>
      <c r="BF41" s="3">
        <f t="shared" ca="1" si="62"/>
        <v>0</v>
      </c>
      <c r="BG41" s="3">
        <f t="shared" ca="1" si="63"/>
        <v>0</v>
      </c>
      <c r="BH41" s="3" t="str">
        <f ca="1">IF($AF41=1,TeamGameData[[#This Row],[OFF REB]]-TeamGameData[[#This Row],[Opp OFF REB]],"")</f>
        <v/>
      </c>
      <c r="BI41" s="3" t="str">
        <f ca="1">IF($AF41=1,TeamGameData[[#This Row],[DEF REB]]-TeamGameData[[#This Row],[Opp DEF REB]],"")</f>
        <v/>
      </c>
      <c r="BJ41" s="3" t="str">
        <f ca="1">IF($AF41=1,TeamGameData[[#This Row],[TOT REB]]-TeamGameData[[#This Row],[Opp TOT REB]],"")</f>
        <v/>
      </c>
      <c r="BK41" s="3" t="str">
        <f t="shared" ca="1" si="46"/>
        <v/>
      </c>
      <c r="BL41" s="3" t="str">
        <f t="shared" ca="1" si="47"/>
        <v/>
      </c>
      <c r="BM41" s="3">
        <f t="shared" ca="1" si="48"/>
        <v>0</v>
      </c>
      <c r="BN41" s="3">
        <f t="shared" ca="1" si="49"/>
        <v>0</v>
      </c>
      <c r="BO41" s="3">
        <f t="shared" si="64"/>
        <v>35</v>
      </c>
      <c r="BP41" s="3" t="str">
        <f t="shared" ca="1" si="65"/>
        <v>Blank</v>
      </c>
      <c r="BQ41" s="3" t="str">
        <f t="shared" ca="1" si="50"/>
        <v/>
      </c>
      <c r="BR41" s="3" t="str">
        <f ca="1">IF(BP41="Blank","",IF(TeamGameData[[#This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41" s="6" t="str">
        <f ca="1">IFERROR(IF(BP41="Blank","",IF(AND(VLOOKUP(TeamGameData[[#This Row],[Opponent]],WYTeamInfo,2,FALSE)=Roster!$D$1,VLOOKUP(TeamGameData[[#This Row],[Opponent]],WYTeamInfo,3,FALSE)=Roster!$D$2),"SR","")),"")</f>
        <v/>
      </c>
      <c r="BT41" s="3" t="str">
        <f>CONCATENATE(Roster!$D$1," ",Roster!$D$5)</f>
        <v>1A BB</v>
      </c>
      <c r="BU41" s="3">
        <f ca="1">Team_Report!$B256</f>
        <v>1</v>
      </c>
      <c r="BV41" s="3" t="str">
        <f>Roster!$D$3</f>
        <v>East</v>
      </c>
      <c r="BW41" s="3" t="str">
        <f>Roster!$D$2</f>
        <v>Northeast</v>
      </c>
      <c r="BX41" s="3" t="str">
        <f>Roster!$D$4</f>
        <v>North</v>
      </c>
      <c r="BY41" s="3">
        <f t="shared" ca="1" si="51"/>
        <v>0</v>
      </c>
      <c r="BZ41" s="3">
        <f t="shared" ca="1" si="52"/>
        <v>0</v>
      </c>
      <c r="CA41" s="3" t="str">
        <f>Roster!$D$8</f>
        <v>Joe Samuelson</v>
      </c>
    </row>
    <row r="42" spans="1:79" x14ac:dyDescent="0.25">
      <c r="A42" s="3" t="str">
        <f>Roster!$B$1</f>
        <v>Upton</v>
      </c>
      <c r="B42" s="3">
        <f t="shared" ca="1" si="53"/>
        <v>0</v>
      </c>
      <c r="C42" s="6">
        <f t="shared" ca="1" si="54"/>
        <v>0</v>
      </c>
      <c r="D42" s="3">
        <f t="shared" ca="1" si="0"/>
        <v>0</v>
      </c>
      <c r="E42" s="3">
        <f t="shared" ca="1" si="1"/>
        <v>0</v>
      </c>
      <c r="F42" s="3">
        <f t="shared" ca="1" si="2"/>
        <v>0</v>
      </c>
      <c r="G42" s="3">
        <f t="shared" ca="1" si="3"/>
        <v>0</v>
      </c>
      <c r="H42" s="3">
        <f t="shared" ca="1" si="4"/>
        <v>0</v>
      </c>
      <c r="I42" s="3">
        <f t="shared" ca="1" si="5"/>
        <v>0</v>
      </c>
      <c r="J42" s="3">
        <f t="shared" ca="1" si="6"/>
        <v>0</v>
      </c>
      <c r="K42" s="3">
        <f t="shared" ca="1" si="7"/>
        <v>0</v>
      </c>
      <c r="L42" s="3">
        <f t="shared" ca="1" si="8"/>
        <v>0</v>
      </c>
      <c r="M42" s="3">
        <f t="shared" ca="1" si="9"/>
        <v>0</v>
      </c>
      <c r="N42" s="3">
        <f t="shared" ca="1" si="10"/>
        <v>0</v>
      </c>
      <c r="O42" s="3">
        <f t="shared" ca="1" si="11"/>
        <v>0</v>
      </c>
      <c r="P42" s="3">
        <f t="shared" ca="1" si="12"/>
        <v>0</v>
      </c>
      <c r="Q42" s="3">
        <f t="shared" ca="1" si="13"/>
        <v>0</v>
      </c>
      <c r="R42" s="3">
        <f t="shared" ca="1" si="14"/>
        <v>0</v>
      </c>
      <c r="S42" s="3">
        <f t="shared" ca="1" si="15"/>
        <v>0</v>
      </c>
      <c r="T42" s="3" t="str">
        <f t="shared" ca="1" si="16"/>
        <v/>
      </c>
      <c r="U42" s="7" t="str">
        <f t="shared" ca="1" si="17"/>
        <v/>
      </c>
      <c r="V42" s="7" t="str">
        <f t="shared" ca="1" si="18"/>
        <v/>
      </c>
      <c r="W42" s="7" t="str">
        <f t="shared" ca="1" si="19"/>
        <v/>
      </c>
      <c r="X42" s="7" t="str">
        <f t="shared" ca="1" si="20"/>
        <v/>
      </c>
      <c r="Y42" s="7" t="str">
        <f t="shared" ca="1" si="21"/>
        <v/>
      </c>
      <c r="Z42" s="3">
        <f ca="1">TeamGameData[[#This Row],[OFF REB]]+TeamGameData[[#This Row],[DEF REB]]</f>
        <v>0</v>
      </c>
      <c r="AA42" s="3">
        <f t="shared" ca="1" si="22"/>
        <v>0</v>
      </c>
      <c r="AB42" s="3">
        <f t="shared" ca="1" si="55"/>
        <v>0</v>
      </c>
      <c r="AC42" s="3">
        <f t="shared" ca="1" si="56"/>
        <v>0</v>
      </c>
      <c r="AD42" s="3">
        <f t="shared" ca="1" si="57"/>
        <v>0</v>
      </c>
      <c r="AE42" s="3">
        <f t="shared" ca="1" si="58"/>
        <v>0</v>
      </c>
      <c r="AF42" s="3">
        <f t="shared" ca="1" si="23"/>
        <v>0</v>
      </c>
      <c r="AG42" s="3">
        <f t="shared" ca="1" si="24"/>
        <v>0</v>
      </c>
      <c r="AH42" s="3">
        <f t="shared" ca="1" si="25"/>
        <v>0</v>
      </c>
      <c r="AI42" s="3">
        <f t="shared" ca="1" si="26"/>
        <v>0</v>
      </c>
      <c r="AJ42" s="3">
        <f t="shared" ca="1" si="27"/>
        <v>0</v>
      </c>
      <c r="AK42" s="3">
        <f t="shared" ca="1" si="28"/>
        <v>0</v>
      </c>
      <c r="AL42" s="3">
        <f t="shared" ca="1" si="29"/>
        <v>0</v>
      </c>
      <c r="AM42" s="3">
        <f t="shared" ca="1" si="30"/>
        <v>0</v>
      </c>
      <c r="AN42" s="3">
        <f t="shared" ca="1" si="31"/>
        <v>0</v>
      </c>
      <c r="AO42" s="3">
        <f t="shared" ca="1" si="32"/>
        <v>0</v>
      </c>
      <c r="AP42" s="3">
        <f t="shared" ca="1" si="33"/>
        <v>0</v>
      </c>
      <c r="AQ42" s="3">
        <f t="shared" ca="1" si="34"/>
        <v>0</v>
      </c>
      <c r="AR42" s="3">
        <f t="shared" ca="1" si="35"/>
        <v>0</v>
      </c>
      <c r="AS42" s="3">
        <f t="shared" ca="1" si="36"/>
        <v>0</v>
      </c>
      <c r="AT42" s="3">
        <f t="shared" ca="1" si="37"/>
        <v>0</v>
      </c>
      <c r="AU42" s="3">
        <f t="shared" ca="1" si="38"/>
        <v>0</v>
      </c>
      <c r="AV42" s="3" t="str">
        <f t="shared" ca="1" si="39"/>
        <v/>
      </c>
      <c r="AW42" s="7" t="str">
        <f t="shared" ca="1" si="40"/>
        <v/>
      </c>
      <c r="AX42" s="7" t="str">
        <f t="shared" ca="1" si="41"/>
        <v/>
      </c>
      <c r="AY42" s="7" t="str">
        <f t="shared" ca="1" si="42"/>
        <v/>
      </c>
      <c r="AZ42" s="7" t="str">
        <f t="shared" ca="1" si="43"/>
        <v/>
      </c>
      <c r="BA42" s="7" t="str">
        <f t="shared" ca="1" si="44"/>
        <v/>
      </c>
      <c r="BB42" s="3">
        <f ca="1">TeamGameData[[#This Row],[Opp OFF REB]]+TeamGameData[[#This Row],[Opp DEF REB]]</f>
        <v>0</v>
      </c>
      <c r="BC42" s="3">
        <f t="shared" ca="1" si="59"/>
        <v>0</v>
      </c>
      <c r="BD42" s="3">
        <f t="shared" ca="1" si="60"/>
        <v>0</v>
      </c>
      <c r="BE42" s="3">
        <f t="shared" ca="1" si="61"/>
        <v>0</v>
      </c>
      <c r="BF42" s="3">
        <f t="shared" ca="1" si="62"/>
        <v>0</v>
      </c>
      <c r="BG42" s="3">
        <f t="shared" ca="1" si="63"/>
        <v>0</v>
      </c>
      <c r="BH42" s="3" t="str">
        <f ca="1">IF($AF42=1,TeamGameData[[#This Row],[OFF REB]]-TeamGameData[[#This Row],[Opp OFF REB]],"")</f>
        <v/>
      </c>
      <c r="BI42" s="3" t="str">
        <f ca="1">IF($AF42=1,TeamGameData[[#This Row],[DEF REB]]-TeamGameData[[#This Row],[Opp DEF REB]],"")</f>
        <v/>
      </c>
      <c r="BJ42" s="3" t="str">
        <f ca="1">IF($AF42=1,TeamGameData[[#This Row],[TOT REB]]-TeamGameData[[#This Row],[Opp TOT REB]],"")</f>
        <v/>
      </c>
      <c r="BK42" s="3" t="str">
        <f t="shared" ca="1" si="46"/>
        <v/>
      </c>
      <c r="BL42" s="3" t="str">
        <f t="shared" ca="1" si="47"/>
        <v/>
      </c>
      <c r="BM42" s="3">
        <f t="shared" ca="1" si="48"/>
        <v>0</v>
      </c>
      <c r="BN42" s="3">
        <f t="shared" ca="1" si="49"/>
        <v>0</v>
      </c>
      <c r="BO42" s="3">
        <f t="shared" si="64"/>
        <v>36</v>
      </c>
      <c r="BP42" s="3" t="str">
        <f t="shared" ca="1" si="65"/>
        <v>Blank</v>
      </c>
      <c r="BQ42" s="3" t="str">
        <f t="shared" ca="1" si="50"/>
        <v/>
      </c>
      <c r="BR42" s="3" t="str">
        <f ca="1">IF(BP42="Blank","",IF(TeamGameData[[#This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42" s="6" t="str">
        <f ca="1">IFERROR(IF(BP42="Blank","",IF(AND(VLOOKUP(TeamGameData[[#This Row],[Opponent]],WYTeamInfo,2,FALSE)=Roster!$D$1,VLOOKUP(TeamGameData[[#This Row],[Opponent]],WYTeamInfo,3,FALSE)=Roster!$D$2),"SR","")),"")</f>
        <v/>
      </c>
      <c r="BT42" s="3" t="str">
        <f>CONCATENATE(Roster!$D$1," ",Roster!$D$5)</f>
        <v>1A BB</v>
      </c>
      <c r="BU42" s="3">
        <f ca="1">Team_Report!$B257</f>
        <v>1</v>
      </c>
      <c r="BV42" s="3" t="str">
        <f>Roster!$D$3</f>
        <v>East</v>
      </c>
      <c r="BW42" s="3" t="str">
        <f>Roster!$D$2</f>
        <v>Northeast</v>
      </c>
      <c r="BX42" s="3" t="str">
        <f>Roster!$D$4</f>
        <v>North</v>
      </c>
      <c r="BY42" s="3">
        <f t="shared" ca="1" si="51"/>
        <v>0</v>
      </c>
      <c r="BZ42" s="3">
        <f t="shared" ca="1" si="52"/>
        <v>0</v>
      </c>
      <c r="CA42" s="3" t="str">
        <f>Roster!$D$8</f>
        <v>Joe Samuelson</v>
      </c>
    </row>
    <row r="43" spans="1:79" x14ac:dyDescent="0.25">
      <c r="A43" s="3" t="str">
        <f>Roster!$B$1</f>
        <v>Upton</v>
      </c>
      <c r="B43" s="3">
        <f t="shared" ca="1" si="53"/>
        <v>0</v>
      </c>
      <c r="C43" s="6">
        <f t="shared" ca="1" si="54"/>
        <v>0</v>
      </c>
      <c r="D43" s="3">
        <f t="shared" ca="1" si="0"/>
        <v>0</v>
      </c>
      <c r="E43" s="3">
        <f t="shared" ca="1" si="1"/>
        <v>0</v>
      </c>
      <c r="F43" s="3">
        <f t="shared" ca="1" si="2"/>
        <v>0</v>
      </c>
      <c r="G43" s="3">
        <f t="shared" ca="1" si="3"/>
        <v>0</v>
      </c>
      <c r="H43" s="3">
        <f t="shared" ca="1" si="4"/>
        <v>0</v>
      </c>
      <c r="I43" s="3">
        <f t="shared" ca="1" si="5"/>
        <v>0</v>
      </c>
      <c r="J43" s="3">
        <f t="shared" ca="1" si="6"/>
        <v>0</v>
      </c>
      <c r="K43" s="3">
        <f t="shared" ca="1" si="7"/>
        <v>0</v>
      </c>
      <c r="L43" s="3">
        <f t="shared" ca="1" si="8"/>
        <v>0</v>
      </c>
      <c r="M43" s="3">
        <f t="shared" ca="1" si="9"/>
        <v>0</v>
      </c>
      <c r="N43" s="3">
        <f t="shared" ca="1" si="10"/>
        <v>0</v>
      </c>
      <c r="O43" s="3">
        <f t="shared" ca="1" si="11"/>
        <v>0</v>
      </c>
      <c r="P43" s="3">
        <f t="shared" ca="1" si="12"/>
        <v>0</v>
      </c>
      <c r="Q43" s="3">
        <f t="shared" ca="1" si="13"/>
        <v>0</v>
      </c>
      <c r="R43" s="3">
        <f t="shared" ca="1" si="14"/>
        <v>0</v>
      </c>
      <c r="S43" s="3">
        <f t="shared" ca="1" si="15"/>
        <v>0</v>
      </c>
      <c r="T43" s="3" t="str">
        <f t="shared" ca="1" si="16"/>
        <v/>
      </c>
      <c r="U43" s="7" t="str">
        <f t="shared" ca="1" si="17"/>
        <v/>
      </c>
      <c r="V43" s="7" t="str">
        <f t="shared" ca="1" si="18"/>
        <v/>
      </c>
      <c r="W43" s="7" t="str">
        <f t="shared" ca="1" si="19"/>
        <v/>
      </c>
      <c r="X43" s="7" t="str">
        <f t="shared" ca="1" si="20"/>
        <v/>
      </c>
      <c r="Y43" s="7" t="str">
        <f t="shared" ca="1" si="21"/>
        <v/>
      </c>
      <c r="Z43" s="3">
        <f ca="1">TeamGameData[[#This Row],[OFF REB]]+TeamGameData[[#This Row],[DEF REB]]</f>
        <v>0</v>
      </c>
      <c r="AA43" s="3">
        <f t="shared" ca="1" si="22"/>
        <v>0</v>
      </c>
      <c r="AB43" s="3">
        <f t="shared" ca="1" si="55"/>
        <v>0</v>
      </c>
      <c r="AC43" s="3">
        <f t="shared" ca="1" si="56"/>
        <v>0</v>
      </c>
      <c r="AD43" s="3">
        <f t="shared" ca="1" si="57"/>
        <v>0</v>
      </c>
      <c r="AE43" s="3">
        <f t="shared" ca="1" si="58"/>
        <v>0</v>
      </c>
      <c r="AF43" s="3">
        <f t="shared" ca="1" si="23"/>
        <v>0</v>
      </c>
      <c r="AG43" s="3">
        <f t="shared" ca="1" si="24"/>
        <v>0</v>
      </c>
      <c r="AH43" s="3">
        <f t="shared" ca="1" si="25"/>
        <v>0</v>
      </c>
      <c r="AI43" s="3">
        <f t="shared" ca="1" si="26"/>
        <v>0</v>
      </c>
      <c r="AJ43" s="3">
        <f t="shared" ca="1" si="27"/>
        <v>0</v>
      </c>
      <c r="AK43" s="3">
        <f t="shared" ca="1" si="28"/>
        <v>0</v>
      </c>
      <c r="AL43" s="3">
        <f t="shared" ca="1" si="29"/>
        <v>0</v>
      </c>
      <c r="AM43" s="3">
        <f t="shared" ca="1" si="30"/>
        <v>0</v>
      </c>
      <c r="AN43" s="3">
        <f t="shared" ca="1" si="31"/>
        <v>0</v>
      </c>
      <c r="AO43" s="3">
        <f t="shared" ca="1" si="32"/>
        <v>0</v>
      </c>
      <c r="AP43" s="3">
        <f t="shared" ca="1" si="33"/>
        <v>0</v>
      </c>
      <c r="AQ43" s="3">
        <f t="shared" ca="1" si="34"/>
        <v>0</v>
      </c>
      <c r="AR43" s="3">
        <f t="shared" ca="1" si="35"/>
        <v>0</v>
      </c>
      <c r="AS43" s="3">
        <f t="shared" ca="1" si="36"/>
        <v>0</v>
      </c>
      <c r="AT43" s="3">
        <f t="shared" ca="1" si="37"/>
        <v>0</v>
      </c>
      <c r="AU43" s="3">
        <f t="shared" ca="1" si="38"/>
        <v>0</v>
      </c>
      <c r="AV43" s="3" t="str">
        <f t="shared" ca="1" si="39"/>
        <v/>
      </c>
      <c r="AW43" s="7" t="str">
        <f t="shared" ca="1" si="40"/>
        <v/>
      </c>
      <c r="AX43" s="7" t="str">
        <f t="shared" ca="1" si="41"/>
        <v/>
      </c>
      <c r="AY43" s="7" t="str">
        <f t="shared" ca="1" si="42"/>
        <v/>
      </c>
      <c r="AZ43" s="7" t="str">
        <f t="shared" ca="1" si="43"/>
        <v/>
      </c>
      <c r="BA43" s="7" t="str">
        <f t="shared" ca="1" si="44"/>
        <v/>
      </c>
      <c r="BB43" s="3">
        <f ca="1">TeamGameData[[#This Row],[Opp OFF REB]]+TeamGameData[[#This Row],[Opp DEF REB]]</f>
        <v>0</v>
      </c>
      <c r="BC43" s="3">
        <f t="shared" ca="1" si="59"/>
        <v>0</v>
      </c>
      <c r="BD43" s="3">
        <f t="shared" ca="1" si="60"/>
        <v>0</v>
      </c>
      <c r="BE43" s="3">
        <f t="shared" ca="1" si="61"/>
        <v>0</v>
      </c>
      <c r="BF43" s="3">
        <f t="shared" ca="1" si="62"/>
        <v>0</v>
      </c>
      <c r="BG43" s="3">
        <f t="shared" ca="1" si="63"/>
        <v>0</v>
      </c>
      <c r="BH43" s="3" t="str">
        <f ca="1">IF($AF43=1,TeamGameData[[#This Row],[OFF REB]]-TeamGameData[[#This Row],[Opp OFF REB]],"")</f>
        <v/>
      </c>
      <c r="BI43" s="3" t="str">
        <f ca="1">IF($AF43=1,TeamGameData[[#This Row],[DEF REB]]-TeamGameData[[#This Row],[Opp DEF REB]],"")</f>
        <v/>
      </c>
      <c r="BJ43" s="3" t="str">
        <f ca="1">IF($AF43=1,TeamGameData[[#This Row],[TOT REB]]-TeamGameData[[#This Row],[Opp TOT REB]],"")</f>
        <v/>
      </c>
      <c r="BK43" s="3" t="str">
        <f t="shared" ca="1" si="46"/>
        <v/>
      </c>
      <c r="BL43" s="3" t="str">
        <f t="shared" ca="1" si="47"/>
        <v/>
      </c>
      <c r="BM43" s="3">
        <f t="shared" ca="1" si="48"/>
        <v>0</v>
      </c>
      <c r="BN43" s="3">
        <f t="shared" ca="1" si="49"/>
        <v>0</v>
      </c>
      <c r="BO43" s="3">
        <f t="shared" si="64"/>
        <v>37</v>
      </c>
      <c r="BP43" s="3" t="str">
        <f t="shared" ca="1" si="65"/>
        <v>Blank</v>
      </c>
      <c r="BQ43" s="3" t="str">
        <f t="shared" ca="1" si="50"/>
        <v/>
      </c>
      <c r="BR43" s="3" t="str">
        <f ca="1">IF(BP43="Blank","",IF(TeamGameData[[#This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43" s="6" t="str">
        <f ca="1">IFERROR(IF(BP43="Blank","",IF(AND(VLOOKUP(TeamGameData[[#This Row],[Opponent]],WYTeamInfo,2,FALSE)=Roster!$D$1,VLOOKUP(TeamGameData[[#This Row],[Opponent]],WYTeamInfo,3,FALSE)=Roster!$D$2),"SR","")),"")</f>
        <v/>
      </c>
      <c r="BT43" s="3" t="str">
        <f>CONCATENATE(Roster!$D$1," ",Roster!$D$5)</f>
        <v>1A BB</v>
      </c>
      <c r="BU43" s="3">
        <f ca="1">Team_Report!$B258</f>
        <v>1</v>
      </c>
      <c r="BV43" s="3" t="str">
        <f>Roster!$D$3</f>
        <v>East</v>
      </c>
      <c r="BW43" s="3" t="str">
        <f>Roster!$D$2</f>
        <v>Northeast</v>
      </c>
      <c r="BX43" s="3" t="str">
        <f>Roster!$D$4</f>
        <v>North</v>
      </c>
      <c r="BY43" s="3">
        <f t="shared" ca="1" si="51"/>
        <v>0</v>
      </c>
      <c r="BZ43" s="3">
        <f t="shared" ca="1" si="52"/>
        <v>0</v>
      </c>
      <c r="CA43" s="3" t="str">
        <f>Roster!$D$8</f>
        <v>Joe Samuelson</v>
      </c>
    </row>
    <row r="44" spans="1:79" x14ac:dyDescent="0.25">
      <c r="A44" s="3" t="str">
        <f>Roster!$B$1</f>
        <v>Upton</v>
      </c>
      <c r="B44" s="3">
        <f t="shared" ca="1" si="53"/>
        <v>0</v>
      </c>
      <c r="C44" s="6">
        <f t="shared" ca="1" si="54"/>
        <v>0</v>
      </c>
      <c r="D44" s="3">
        <f t="shared" ca="1" si="0"/>
        <v>0</v>
      </c>
      <c r="E44" s="3">
        <f t="shared" ca="1" si="1"/>
        <v>0</v>
      </c>
      <c r="F44" s="3">
        <f t="shared" ca="1" si="2"/>
        <v>0</v>
      </c>
      <c r="G44" s="3">
        <f t="shared" ca="1" si="3"/>
        <v>0</v>
      </c>
      <c r="H44" s="3">
        <f t="shared" ca="1" si="4"/>
        <v>0</v>
      </c>
      <c r="I44" s="3">
        <f t="shared" ca="1" si="5"/>
        <v>0</v>
      </c>
      <c r="J44" s="3">
        <f t="shared" ca="1" si="6"/>
        <v>0</v>
      </c>
      <c r="K44" s="3">
        <f t="shared" ca="1" si="7"/>
        <v>0</v>
      </c>
      <c r="L44" s="3">
        <f t="shared" ca="1" si="8"/>
        <v>0</v>
      </c>
      <c r="M44" s="3">
        <f t="shared" ca="1" si="9"/>
        <v>0</v>
      </c>
      <c r="N44" s="3">
        <f t="shared" ca="1" si="10"/>
        <v>0</v>
      </c>
      <c r="O44" s="3">
        <f t="shared" ca="1" si="11"/>
        <v>0</v>
      </c>
      <c r="P44" s="3">
        <f t="shared" ca="1" si="12"/>
        <v>0</v>
      </c>
      <c r="Q44" s="3">
        <f t="shared" ca="1" si="13"/>
        <v>0</v>
      </c>
      <c r="R44" s="3">
        <f t="shared" ca="1" si="14"/>
        <v>0</v>
      </c>
      <c r="S44" s="3">
        <f t="shared" ca="1" si="15"/>
        <v>0</v>
      </c>
      <c r="T44" s="3" t="str">
        <f t="shared" ca="1" si="16"/>
        <v/>
      </c>
      <c r="U44" s="7" t="str">
        <f t="shared" ca="1" si="17"/>
        <v/>
      </c>
      <c r="V44" s="7" t="str">
        <f t="shared" ca="1" si="18"/>
        <v/>
      </c>
      <c r="W44" s="7" t="str">
        <f t="shared" ca="1" si="19"/>
        <v/>
      </c>
      <c r="X44" s="7" t="str">
        <f t="shared" ca="1" si="20"/>
        <v/>
      </c>
      <c r="Y44" s="7" t="str">
        <f t="shared" ca="1" si="21"/>
        <v/>
      </c>
      <c r="Z44" s="3">
        <f ca="1">TeamGameData[[#This Row],[OFF REB]]+TeamGameData[[#This Row],[DEF REB]]</f>
        <v>0</v>
      </c>
      <c r="AA44" s="3">
        <f t="shared" ca="1" si="22"/>
        <v>0</v>
      </c>
      <c r="AB44" s="3">
        <f t="shared" ca="1" si="55"/>
        <v>0</v>
      </c>
      <c r="AC44" s="3">
        <f t="shared" ca="1" si="56"/>
        <v>0</v>
      </c>
      <c r="AD44" s="3">
        <f t="shared" ca="1" si="57"/>
        <v>0</v>
      </c>
      <c r="AE44" s="3">
        <f t="shared" ca="1" si="58"/>
        <v>0</v>
      </c>
      <c r="AF44" s="3">
        <f t="shared" ca="1" si="23"/>
        <v>0</v>
      </c>
      <c r="AG44" s="3">
        <f t="shared" ca="1" si="24"/>
        <v>0</v>
      </c>
      <c r="AH44" s="3">
        <f t="shared" ca="1" si="25"/>
        <v>0</v>
      </c>
      <c r="AI44" s="3">
        <f t="shared" ca="1" si="26"/>
        <v>0</v>
      </c>
      <c r="AJ44" s="3">
        <f t="shared" ca="1" si="27"/>
        <v>0</v>
      </c>
      <c r="AK44" s="3">
        <f t="shared" ca="1" si="28"/>
        <v>0</v>
      </c>
      <c r="AL44" s="3">
        <f t="shared" ca="1" si="29"/>
        <v>0</v>
      </c>
      <c r="AM44" s="3">
        <f t="shared" ca="1" si="30"/>
        <v>0</v>
      </c>
      <c r="AN44" s="3">
        <f t="shared" ca="1" si="31"/>
        <v>0</v>
      </c>
      <c r="AO44" s="3">
        <f t="shared" ca="1" si="32"/>
        <v>0</v>
      </c>
      <c r="AP44" s="3">
        <f t="shared" ca="1" si="33"/>
        <v>0</v>
      </c>
      <c r="AQ44" s="3">
        <f t="shared" ca="1" si="34"/>
        <v>0</v>
      </c>
      <c r="AR44" s="3">
        <f t="shared" ca="1" si="35"/>
        <v>0</v>
      </c>
      <c r="AS44" s="3">
        <f t="shared" ca="1" si="36"/>
        <v>0</v>
      </c>
      <c r="AT44" s="3">
        <f t="shared" ca="1" si="37"/>
        <v>0</v>
      </c>
      <c r="AU44" s="3">
        <f t="shared" ca="1" si="38"/>
        <v>0</v>
      </c>
      <c r="AV44" s="3" t="str">
        <f t="shared" ca="1" si="39"/>
        <v/>
      </c>
      <c r="AW44" s="7" t="str">
        <f t="shared" ca="1" si="40"/>
        <v/>
      </c>
      <c r="AX44" s="7" t="str">
        <f t="shared" ca="1" si="41"/>
        <v/>
      </c>
      <c r="AY44" s="7" t="str">
        <f t="shared" ca="1" si="42"/>
        <v/>
      </c>
      <c r="AZ44" s="7" t="str">
        <f t="shared" ca="1" si="43"/>
        <v/>
      </c>
      <c r="BA44" s="7" t="str">
        <f t="shared" ca="1" si="44"/>
        <v/>
      </c>
      <c r="BB44" s="3">
        <f ca="1">TeamGameData[[#This Row],[Opp OFF REB]]+TeamGameData[[#This Row],[Opp DEF REB]]</f>
        <v>0</v>
      </c>
      <c r="BC44" s="3">
        <f t="shared" ca="1" si="59"/>
        <v>0</v>
      </c>
      <c r="BD44" s="3">
        <f t="shared" ca="1" si="60"/>
        <v>0</v>
      </c>
      <c r="BE44" s="3">
        <f t="shared" ca="1" si="61"/>
        <v>0</v>
      </c>
      <c r="BF44" s="3">
        <f t="shared" ca="1" si="62"/>
        <v>0</v>
      </c>
      <c r="BG44" s="3">
        <f t="shared" ca="1" si="63"/>
        <v>0</v>
      </c>
      <c r="BH44" s="3" t="str">
        <f ca="1">IF($AF44=1,TeamGameData[[#This Row],[OFF REB]]-TeamGameData[[#This Row],[Opp OFF REB]],"")</f>
        <v/>
      </c>
      <c r="BI44" s="3" t="str">
        <f ca="1">IF($AF44=1,TeamGameData[[#This Row],[DEF REB]]-TeamGameData[[#This Row],[Opp DEF REB]],"")</f>
        <v/>
      </c>
      <c r="BJ44" s="3" t="str">
        <f ca="1">IF($AF44=1,TeamGameData[[#This Row],[TOT REB]]-TeamGameData[[#This Row],[Opp TOT REB]],"")</f>
        <v/>
      </c>
      <c r="BK44" s="3" t="str">
        <f t="shared" ca="1" si="46"/>
        <v/>
      </c>
      <c r="BL44" s="3" t="str">
        <f t="shared" ca="1" si="47"/>
        <v/>
      </c>
      <c r="BM44" s="3">
        <f t="shared" ca="1" si="48"/>
        <v>0</v>
      </c>
      <c r="BN44" s="3">
        <f t="shared" ca="1" si="49"/>
        <v>0</v>
      </c>
      <c r="BO44" s="3">
        <f t="shared" si="64"/>
        <v>38</v>
      </c>
      <c r="BP44" s="3" t="str">
        <f t="shared" ca="1" si="65"/>
        <v>Blank</v>
      </c>
      <c r="BQ44" s="3" t="str">
        <f t="shared" ca="1" si="50"/>
        <v/>
      </c>
      <c r="BR44" s="3" t="str">
        <f ca="1">IF(BP44="Blank","",IF(TeamGameData[[#This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44" s="6" t="str">
        <f ca="1">IFERROR(IF(BP44="Blank","",IF(AND(VLOOKUP(TeamGameData[[#This Row],[Opponent]],WYTeamInfo,2,FALSE)=Roster!$D$1,VLOOKUP(TeamGameData[[#This Row],[Opponent]],WYTeamInfo,3,FALSE)=Roster!$D$2),"SR","")),"")</f>
        <v/>
      </c>
      <c r="BT44" s="3" t="str">
        <f>CONCATENATE(Roster!$D$1," ",Roster!$D$5)</f>
        <v>1A BB</v>
      </c>
      <c r="BU44" s="3">
        <f ca="1">Team_Report!$B259</f>
        <v>1</v>
      </c>
      <c r="BV44" s="3" t="str">
        <f>Roster!$D$3</f>
        <v>East</v>
      </c>
      <c r="BW44" s="3" t="str">
        <f>Roster!$D$2</f>
        <v>Northeast</v>
      </c>
      <c r="BX44" s="3" t="str">
        <f>Roster!$D$4</f>
        <v>North</v>
      </c>
      <c r="BY44" s="3">
        <f t="shared" ca="1" si="51"/>
        <v>0</v>
      </c>
      <c r="BZ44" s="3">
        <f t="shared" ca="1" si="52"/>
        <v>0</v>
      </c>
      <c r="CA44" s="3" t="str">
        <f>Roster!$D$8</f>
        <v>Joe Samuelson</v>
      </c>
    </row>
    <row r="45" spans="1:79" x14ac:dyDescent="0.25">
      <c r="A45" s="3" t="str">
        <f>Roster!$B$1</f>
        <v>Upton</v>
      </c>
      <c r="B45" s="3">
        <f t="shared" ca="1" si="53"/>
        <v>0</v>
      </c>
      <c r="C45" s="6">
        <f t="shared" ca="1" si="54"/>
        <v>0</v>
      </c>
      <c r="D45" s="3">
        <f t="shared" ca="1" si="0"/>
        <v>0</v>
      </c>
      <c r="E45" s="3">
        <f t="shared" ca="1" si="1"/>
        <v>0</v>
      </c>
      <c r="F45" s="3">
        <f t="shared" ca="1" si="2"/>
        <v>0</v>
      </c>
      <c r="G45" s="3">
        <f t="shared" ca="1" si="3"/>
        <v>0</v>
      </c>
      <c r="H45" s="3">
        <f t="shared" ca="1" si="4"/>
        <v>0</v>
      </c>
      <c r="I45" s="3">
        <f t="shared" ca="1" si="5"/>
        <v>0</v>
      </c>
      <c r="J45" s="3">
        <f t="shared" ca="1" si="6"/>
        <v>0</v>
      </c>
      <c r="K45" s="3">
        <f t="shared" ca="1" si="7"/>
        <v>0</v>
      </c>
      <c r="L45" s="3">
        <f t="shared" ca="1" si="8"/>
        <v>0</v>
      </c>
      <c r="M45" s="3">
        <f t="shared" ca="1" si="9"/>
        <v>0</v>
      </c>
      <c r="N45" s="3">
        <f t="shared" ca="1" si="10"/>
        <v>0</v>
      </c>
      <c r="O45" s="3">
        <f t="shared" ca="1" si="11"/>
        <v>0</v>
      </c>
      <c r="P45" s="3">
        <f t="shared" ca="1" si="12"/>
        <v>0</v>
      </c>
      <c r="Q45" s="3">
        <f t="shared" ca="1" si="13"/>
        <v>0</v>
      </c>
      <c r="R45" s="3">
        <f t="shared" ca="1" si="14"/>
        <v>0</v>
      </c>
      <c r="S45" s="3">
        <f t="shared" ca="1" si="15"/>
        <v>0</v>
      </c>
      <c r="T45" s="3" t="str">
        <f t="shared" ca="1" si="16"/>
        <v/>
      </c>
      <c r="U45" s="7" t="str">
        <f t="shared" ca="1" si="17"/>
        <v/>
      </c>
      <c r="V45" s="7" t="str">
        <f t="shared" ca="1" si="18"/>
        <v/>
      </c>
      <c r="W45" s="7" t="str">
        <f t="shared" ca="1" si="19"/>
        <v/>
      </c>
      <c r="X45" s="7" t="str">
        <f t="shared" ca="1" si="20"/>
        <v/>
      </c>
      <c r="Y45" s="7" t="str">
        <f t="shared" ca="1" si="21"/>
        <v/>
      </c>
      <c r="Z45" s="3">
        <f ca="1">TeamGameData[[#This Row],[OFF REB]]+TeamGameData[[#This Row],[DEF REB]]</f>
        <v>0</v>
      </c>
      <c r="AA45" s="3">
        <f t="shared" ca="1" si="22"/>
        <v>0</v>
      </c>
      <c r="AB45" s="3">
        <f t="shared" ca="1" si="55"/>
        <v>0</v>
      </c>
      <c r="AC45" s="3">
        <f t="shared" ca="1" si="56"/>
        <v>0</v>
      </c>
      <c r="AD45" s="3">
        <f t="shared" ca="1" si="57"/>
        <v>0</v>
      </c>
      <c r="AE45" s="3">
        <f t="shared" ca="1" si="58"/>
        <v>0</v>
      </c>
      <c r="AF45" s="3">
        <f t="shared" ca="1" si="23"/>
        <v>0</v>
      </c>
      <c r="AG45" s="3">
        <f t="shared" ca="1" si="24"/>
        <v>0</v>
      </c>
      <c r="AH45" s="3">
        <f t="shared" ca="1" si="25"/>
        <v>0</v>
      </c>
      <c r="AI45" s="3">
        <f t="shared" ca="1" si="26"/>
        <v>0</v>
      </c>
      <c r="AJ45" s="3">
        <f t="shared" ca="1" si="27"/>
        <v>0</v>
      </c>
      <c r="AK45" s="3">
        <f t="shared" ca="1" si="28"/>
        <v>0</v>
      </c>
      <c r="AL45" s="3">
        <f t="shared" ca="1" si="29"/>
        <v>0</v>
      </c>
      <c r="AM45" s="3">
        <f t="shared" ca="1" si="30"/>
        <v>0</v>
      </c>
      <c r="AN45" s="3">
        <f t="shared" ca="1" si="31"/>
        <v>0</v>
      </c>
      <c r="AO45" s="3">
        <f t="shared" ca="1" si="32"/>
        <v>0</v>
      </c>
      <c r="AP45" s="3">
        <f t="shared" ca="1" si="33"/>
        <v>0</v>
      </c>
      <c r="AQ45" s="3">
        <f t="shared" ca="1" si="34"/>
        <v>0</v>
      </c>
      <c r="AR45" s="3">
        <f t="shared" ca="1" si="35"/>
        <v>0</v>
      </c>
      <c r="AS45" s="3">
        <f t="shared" ca="1" si="36"/>
        <v>0</v>
      </c>
      <c r="AT45" s="3">
        <f t="shared" ca="1" si="37"/>
        <v>0</v>
      </c>
      <c r="AU45" s="3">
        <f t="shared" ca="1" si="38"/>
        <v>0</v>
      </c>
      <c r="AV45" s="3" t="str">
        <f t="shared" ca="1" si="39"/>
        <v/>
      </c>
      <c r="AW45" s="7" t="str">
        <f t="shared" ca="1" si="40"/>
        <v/>
      </c>
      <c r="AX45" s="7" t="str">
        <f t="shared" ca="1" si="41"/>
        <v/>
      </c>
      <c r="AY45" s="7" t="str">
        <f t="shared" ca="1" si="42"/>
        <v/>
      </c>
      <c r="AZ45" s="7" t="str">
        <f t="shared" ca="1" si="43"/>
        <v/>
      </c>
      <c r="BA45" s="7" t="str">
        <f t="shared" ca="1" si="44"/>
        <v/>
      </c>
      <c r="BB45" s="3">
        <f ca="1">TeamGameData[[#This Row],[Opp OFF REB]]+TeamGameData[[#This Row],[Opp DEF REB]]</f>
        <v>0</v>
      </c>
      <c r="BC45" s="3">
        <f t="shared" ca="1" si="59"/>
        <v>0</v>
      </c>
      <c r="BD45" s="3">
        <f t="shared" ca="1" si="60"/>
        <v>0</v>
      </c>
      <c r="BE45" s="3">
        <f t="shared" ca="1" si="61"/>
        <v>0</v>
      </c>
      <c r="BF45" s="3">
        <f t="shared" ca="1" si="62"/>
        <v>0</v>
      </c>
      <c r="BG45" s="3">
        <f t="shared" ca="1" si="63"/>
        <v>0</v>
      </c>
      <c r="BH45" s="3" t="str">
        <f ca="1">IF($AF45=1,TeamGameData[[#This Row],[OFF REB]]-TeamGameData[[#This Row],[Opp OFF REB]],"")</f>
        <v/>
      </c>
      <c r="BI45" s="3" t="str">
        <f ca="1">IF($AF45=1,TeamGameData[[#This Row],[DEF REB]]-TeamGameData[[#This Row],[Opp DEF REB]],"")</f>
        <v/>
      </c>
      <c r="BJ45" s="3" t="str">
        <f ca="1">IF($AF45=1,TeamGameData[[#This Row],[TOT REB]]-TeamGameData[[#This Row],[Opp TOT REB]],"")</f>
        <v/>
      </c>
      <c r="BK45" s="3" t="str">
        <f t="shared" ca="1" si="46"/>
        <v/>
      </c>
      <c r="BL45" s="3" t="str">
        <f t="shared" ca="1" si="47"/>
        <v/>
      </c>
      <c r="BM45" s="3">
        <f t="shared" ca="1" si="48"/>
        <v>0</v>
      </c>
      <c r="BN45" s="3">
        <f t="shared" ca="1" si="49"/>
        <v>0</v>
      </c>
      <c r="BO45" s="3">
        <f t="shared" si="64"/>
        <v>39</v>
      </c>
      <c r="BP45" s="3" t="str">
        <f t="shared" ca="1" si="65"/>
        <v>Blank</v>
      </c>
      <c r="BQ45" s="3" t="str">
        <f t="shared" ca="1" si="50"/>
        <v/>
      </c>
      <c r="BR45" s="3" t="str">
        <f ca="1">IF(BP45="Blank","",IF(TeamGameData[[#This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45" s="6" t="str">
        <f ca="1">IFERROR(IF(BP45="Blank","",IF(AND(VLOOKUP(TeamGameData[[#This Row],[Opponent]],WYTeamInfo,2,FALSE)=Roster!$D$1,VLOOKUP(TeamGameData[[#This Row],[Opponent]],WYTeamInfo,3,FALSE)=Roster!$D$2),"SR","")),"")</f>
        <v/>
      </c>
      <c r="BT45" s="3" t="str">
        <f>CONCATENATE(Roster!$D$1," ",Roster!$D$5)</f>
        <v>1A BB</v>
      </c>
      <c r="BU45" s="3">
        <f ca="1">Team_Report!$B260</f>
        <v>1</v>
      </c>
      <c r="BV45" s="3" t="str">
        <f>Roster!$D$3</f>
        <v>East</v>
      </c>
      <c r="BW45" s="3" t="str">
        <f>Roster!$D$2</f>
        <v>Northeast</v>
      </c>
      <c r="BX45" s="3" t="str">
        <f>Roster!$D$4</f>
        <v>North</v>
      </c>
      <c r="BY45" s="3">
        <f t="shared" ca="1" si="51"/>
        <v>0</v>
      </c>
      <c r="BZ45" s="3">
        <f t="shared" ca="1" si="52"/>
        <v>0</v>
      </c>
      <c r="CA45" s="3" t="str">
        <f>Roster!$D$8</f>
        <v>Joe Samuelson</v>
      </c>
    </row>
    <row r="46" spans="1:79" x14ac:dyDescent="0.25">
      <c r="A46" s="3" t="str">
        <f>Roster!$B$1</f>
        <v>Upton</v>
      </c>
      <c r="B46" s="3">
        <f t="shared" ca="1" si="53"/>
        <v>0</v>
      </c>
      <c r="C46" s="6">
        <f t="shared" ca="1" si="54"/>
        <v>0</v>
      </c>
      <c r="D46" s="3">
        <f t="shared" ca="1" si="0"/>
        <v>0</v>
      </c>
      <c r="E46" s="3">
        <f t="shared" ca="1" si="1"/>
        <v>0</v>
      </c>
      <c r="F46" s="3">
        <f t="shared" ca="1" si="2"/>
        <v>0</v>
      </c>
      <c r="G46" s="3">
        <f t="shared" ca="1" si="3"/>
        <v>0</v>
      </c>
      <c r="H46" s="3">
        <f t="shared" ca="1" si="4"/>
        <v>0</v>
      </c>
      <c r="I46" s="3">
        <f t="shared" ca="1" si="5"/>
        <v>0</v>
      </c>
      <c r="J46" s="3">
        <f t="shared" ca="1" si="6"/>
        <v>0</v>
      </c>
      <c r="K46" s="3">
        <f t="shared" ca="1" si="7"/>
        <v>0</v>
      </c>
      <c r="L46" s="3">
        <f t="shared" ca="1" si="8"/>
        <v>0</v>
      </c>
      <c r="M46" s="3">
        <f t="shared" ca="1" si="9"/>
        <v>0</v>
      </c>
      <c r="N46" s="3">
        <f t="shared" ca="1" si="10"/>
        <v>0</v>
      </c>
      <c r="O46" s="3">
        <f t="shared" ca="1" si="11"/>
        <v>0</v>
      </c>
      <c r="P46" s="3">
        <f t="shared" ca="1" si="12"/>
        <v>0</v>
      </c>
      <c r="Q46" s="3">
        <f t="shared" ca="1" si="13"/>
        <v>0</v>
      </c>
      <c r="R46" s="3">
        <f t="shared" ca="1" si="14"/>
        <v>0</v>
      </c>
      <c r="S46" s="3">
        <f t="shared" ca="1" si="15"/>
        <v>0</v>
      </c>
      <c r="T46" s="3" t="str">
        <f t="shared" ca="1" si="16"/>
        <v/>
      </c>
      <c r="U46" s="7" t="str">
        <f t="shared" ca="1" si="17"/>
        <v/>
      </c>
      <c r="V46" s="7" t="str">
        <f t="shared" ca="1" si="18"/>
        <v/>
      </c>
      <c r="W46" s="7" t="str">
        <f t="shared" ca="1" si="19"/>
        <v/>
      </c>
      <c r="X46" s="7" t="str">
        <f t="shared" ca="1" si="20"/>
        <v/>
      </c>
      <c r="Y46" s="7" t="str">
        <f t="shared" ca="1" si="21"/>
        <v/>
      </c>
      <c r="Z46" s="3">
        <f ca="1">TeamGameData[[#This Row],[OFF REB]]+TeamGameData[[#This Row],[DEF REB]]</f>
        <v>0</v>
      </c>
      <c r="AA46" s="3">
        <f t="shared" ca="1" si="22"/>
        <v>0</v>
      </c>
      <c r="AB46" s="3">
        <f t="shared" ca="1" si="55"/>
        <v>0</v>
      </c>
      <c r="AC46" s="3">
        <f t="shared" ca="1" si="56"/>
        <v>0</v>
      </c>
      <c r="AD46" s="3">
        <f t="shared" ca="1" si="57"/>
        <v>0</v>
      </c>
      <c r="AE46" s="3">
        <f t="shared" ca="1" si="58"/>
        <v>0</v>
      </c>
      <c r="AF46" s="3">
        <f t="shared" ca="1" si="23"/>
        <v>0</v>
      </c>
      <c r="AG46" s="3">
        <f t="shared" ca="1" si="24"/>
        <v>0</v>
      </c>
      <c r="AH46" s="3">
        <f t="shared" ca="1" si="25"/>
        <v>0</v>
      </c>
      <c r="AI46" s="3">
        <f t="shared" ca="1" si="26"/>
        <v>0</v>
      </c>
      <c r="AJ46" s="3">
        <f t="shared" ca="1" si="27"/>
        <v>0</v>
      </c>
      <c r="AK46" s="3">
        <f t="shared" ca="1" si="28"/>
        <v>0</v>
      </c>
      <c r="AL46" s="3">
        <f t="shared" ca="1" si="29"/>
        <v>0</v>
      </c>
      <c r="AM46" s="3">
        <f t="shared" ca="1" si="30"/>
        <v>0</v>
      </c>
      <c r="AN46" s="3">
        <f t="shared" ca="1" si="31"/>
        <v>0</v>
      </c>
      <c r="AO46" s="3">
        <f t="shared" ca="1" si="32"/>
        <v>0</v>
      </c>
      <c r="AP46" s="3">
        <f t="shared" ca="1" si="33"/>
        <v>0</v>
      </c>
      <c r="AQ46" s="3">
        <f t="shared" ca="1" si="34"/>
        <v>0</v>
      </c>
      <c r="AR46" s="3">
        <f t="shared" ca="1" si="35"/>
        <v>0</v>
      </c>
      <c r="AS46" s="3">
        <f t="shared" ca="1" si="36"/>
        <v>0</v>
      </c>
      <c r="AT46" s="3">
        <f t="shared" ca="1" si="37"/>
        <v>0</v>
      </c>
      <c r="AU46" s="3">
        <f t="shared" ca="1" si="38"/>
        <v>0</v>
      </c>
      <c r="AV46" s="3" t="str">
        <f t="shared" ca="1" si="39"/>
        <v/>
      </c>
      <c r="AW46" s="7" t="str">
        <f t="shared" ca="1" si="40"/>
        <v/>
      </c>
      <c r="AX46" s="7" t="str">
        <f t="shared" ca="1" si="41"/>
        <v/>
      </c>
      <c r="AY46" s="7" t="str">
        <f t="shared" ca="1" si="42"/>
        <v/>
      </c>
      <c r="AZ46" s="7" t="str">
        <f t="shared" ca="1" si="43"/>
        <v/>
      </c>
      <c r="BA46" s="7" t="str">
        <f t="shared" ca="1" si="44"/>
        <v/>
      </c>
      <c r="BB46" s="3">
        <f ca="1">TeamGameData[[#This Row],[Opp OFF REB]]+TeamGameData[[#This Row],[Opp DEF REB]]</f>
        <v>0</v>
      </c>
      <c r="BC46" s="3">
        <f t="shared" ca="1" si="59"/>
        <v>0</v>
      </c>
      <c r="BD46" s="3">
        <f t="shared" ca="1" si="60"/>
        <v>0</v>
      </c>
      <c r="BE46" s="3">
        <f t="shared" ca="1" si="61"/>
        <v>0</v>
      </c>
      <c r="BF46" s="3">
        <f t="shared" ca="1" si="62"/>
        <v>0</v>
      </c>
      <c r="BG46" s="3">
        <f t="shared" ca="1" si="63"/>
        <v>0</v>
      </c>
      <c r="BH46" s="3" t="str">
        <f ca="1">IF($AF46=1,TeamGameData[[#This Row],[OFF REB]]-TeamGameData[[#This Row],[Opp OFF REB]],"")</f>
        <v/>
      </c>
      <c r="BI46" s="3" t="str">
        <f ca="1">IF($AF46=1,TeamGameData[[#This Row],[DEF REB]]-TeamGameData[[#This Row],[Opp DEF REB]],"")</f>
        <v/>
      </c>
      <c r="BJ46" s="3" t="str">
        <f ca="1">IF($AF46=1,TeamGameData[[#This Row],[TOT REB]]-TeamGameData[[#This Row],[Opp TOT REB]],"")</f>
        <v/>
      </c>
      <c r="BK46" s="3" t="str">
        <f t="shared" ca="1" si="46"/>
        <v/>
      </c>
      <c r="BL46" s="3" t="str">
        <f t="shared" ca="1" si="47"/>
        <v/>
      </c>
      <c r="BM46" s="3">
        <f t="shared" ca="1" si="48"/>
        <v>0</v>
      </c>
      <c r="BN46" s="3">
        <f t="shared" ca="1" si="49"/>
        <v>0</v>
      </c>
      <c r="BO46" s="3">
        <f t="shared" si="64"/>
        <v>40</v>
      </c>
      <c r="BP46" s="3" t="str">
        <f t="shared" ca="1" si="65"/>
        <v>Blank</v>
      </c>
      <c r="BQ46" s="3" t="str">
        <f t="shared" ca="1" si="50"/>
        <v/>
      </c>
      <c r="BR46" s="3" t="str">
        <f ca="1">IF(BP46="Blank","",IF(TeamGameData[[#This Row],[TL PTS]]&gt;TeamGameData[[#This Row],[Opp TL PTS]],CONCATENATE(TeamGameData[[#This Row],[School]]," ",TeamGameData[[#This Row],[TL PTS]],", ",TeamGameData[[#This Row],[Opponent]]," ",TeamGameData[[#This Row],[Opp TL PTS]]),CONCATENATE(TeamGameData[[#This Row],[Opponent]]," ",TeamGameData[[#This Row],[Opp TL PTS]],", ",TeamGameData[[#This Row],[School]]," ",TeamGameData[[#This Row],[TL PTS]])))</f>
        <v/>
      </c>
      <c r="BS46" s="6" t="str">
        <f ca="1">IFERROR(IF(BP46="Blank","",IF(AND(VLOOKUP(TeamGameData[[#This Row],[Opponent]],WYTeamInfo,2,FALSE)=Roster!$D$1,VLOOKUP(TeamGameData[[#This Row],[Opponent]],WYTeamInfo,3,FALSE)=Roster!$D$2),"SR","")),"")</f>
        <v/>
      </c>
      <c r="BT46" s="3" t="str">
        <f>CONCATENATE(Roster!$D$1," ",Roster!$D$5)</f>
        <v>1A BB</v>
      </c>
      <c r="BU46" s="3">
        <f ca="1">Team_Report!$B261</f>
        <v>1</v>
      </c>
      <c r="BV46" s="3" t="str">
        <f>Roster!$D$3</f>
        <v>East</v>
      </c>
      <c r="BW46" s="3" t="str">
        <f>Roster!$D$2</f>
        <v>Northeast</v>
      </c>
      <c r="BX46" s="3" t="str">
        <f>Roster!$D$4</f>
        <v>North</v>
      </c>
      <c r="BY46" s="3">
        <f t="shared" ca="1" si="51"/>
        <v>0</v>
      </c>
      <c r="BZ46" s="3">
        <f t="shared" ca="1" si="52"/>
        <v>0</v>
      </c>
      <c r="CA46" s="3" t="str">
        <f>Roster!$D$8</f>
        <v>Joe Samuelson</v>
      </c>
    </row>
  </sheetData>
  <pageMargins left="0.7" right="0.7" top="0.75" bottom="0.75" header="0.3" footer="0.3"/>
  <pageSetup orientation="portrait" horizontalDpi="1200" verticalDpi="1200"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N45" sqref="N45"/>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t="s">
        <v>370</v>
      </c>
      <c r="C3" s="70">
        <v>12</v>
      </c>
      <c r="D3" s="71">
        <v>24</v>
      </c>
      <c r="E3" s="71">
        <v>9</v>
      </c>
      <c r="F3" s="71">
        <v>15</v>
      </c>
      <c r="G3" s="72"/>
      <c r="H3" s="73">
        <f>SUM(C3:G3)</f>
        <v>60</v>
      </c>
      <c r="J3" s="12" t="s">
        <v>165</v>
      </c>
      <c r="P3" s="74" t="s">
        <v>135</v>
      </c>
      <c r="Q3" s="74" t="s">
        <v>137</v>
      </c>
      <c r="S3" s="75" t="s">
        <v>138</v>
      </c>
      <c r="U3" s="76" t="s">
        <v>139</v>
      </c>
      <c r="W3" s="77" t="s">
        <v>134</v>
      </c>
      <c r="X3" s="77" t="s">
        <v>136</v>
      </c>
      <c r="AA3" s="48" t="str">
        <f>B4</f>
        <v>Upton</v>
      </c>
      <c r="AD3" s="48">
        <f>SUM($C3:C3)</f>
        <v>12</v>
      </c>
      <c r="AE3" s="48">
        <f>SUM($C3:D3)</f>
        <v>36</v>
      </c>
      <c r="AF3" s="48">
        <f>SUM($C3:E3)</f>
        <v>45</v>
      </c>
      <c r="AG3" s="48">
        <f>SUM($C3:F3)</f>
        <v>60</v>
      </c>
      <c r="AH3" s="48">
        <f>SUM($C3:G3)</f>
        <v>60</v>
      </c>
      <c r="AJ3" s="74"/>
    </row>
    <row r="4" spans="1:36" ht="16.5" customHeight="1" thickTop="1" thickBot="1" x14ac:dyDescent="0.3">
      <c r="B4" s="78" t="str">
        <f>Roster!$B$1</f>
        <v>Upton</v>
      </c>
      <c r="C4" s="79">
        <v>17</v>
      </c>
      <c r="D4" s="80">
        <v>23</v>
      </c>
      <c r="E4" s="80">
        <v>3</v>
      </c>
      <c r="F4" s="80">
        <v>5</v>
      </c>
      <c r="G4" s="81"/>
      <c r="H4" s="82">
        <f>SUM(C4:G4)</f>
        <v>48</v>
      </c>
      <c r="J4" s="83"/>
      <c r="L4" s="84" t="s">
        <v>133</v>
      </c>
      <c r="M4" s="404">
        <v>44912</v>
      </c>
      <c r="N4" s="405"/>
      <c r="P4" s="83"/>
      <c r="Q4" s="83"/>
      <c r="S4" s="83"/>
      <c r="U4" s="83"/>
      <c r="W4" s="85" t="str">
        <f>IF(OR($S$4=1,$H$4&gt;$H$3),1,"")</f>
        <v/>
      </c>
      <c r="X4" s="85">
        <f>IF(OR($U$4=1,$H$4&lt;$H$3),1,"")</f>
        <v>1</v>
      </c>
      <c r="AA4" s="48" t="str">
        <f>B3</f>
        <v>Little Snake River</v>
      </c>
      <c r="AD4" s="48">
        <f>SUM($C4:C4)</f>
        <v>17</v>
      </c>
      <c r="AE4" s="48">
        <f>SUM($C4:D4)</f>
        <v>40</v>
      </c>
      <c r="AF4" s="48">
        <f>SUM($C4:E4)</f>
        <v>43</v>
      </c>
      <c r="AG4" s="48">
        <f>SUM($C4:F4)</f>
        <v>48</v>
      </c>
      <c r="AH4" s="48">
        <f>SUM($C4:G4)</f>
        <v>48</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29</v>
      </c>
      <c r="F8" s="101">
        <v>2</v>
      </c>
      <c r="G8" s="102">
        <v>4</v>
      </c>
      <c r="H8" s="103">
        <v>1</v>
      </c>
      <c r="I8" s="102">
        <v>3</v>
      </c>
      <c r="J8" s="103"/>
      <c r="K8" s="102"/>
      <c r="L8" s="103"/>
      <c r="M8" s="103">
        <v>2</v>
      </c>
      <c r="N8" s="103">
        <v>2</v>
      </c>
      <c r="O8" s="103">
        <v>2</v>
      </c>
      <c r="P8" s="103"/>
      <c r="Q8" s="103">
        <v>2</v>
      </c>
      <c r="R8" s="103">
        <v>5</v>
      </c>
      <c r="S8" s="104"/>
      <c r="T8" s="105">
        <f t="shared" ref="T8:T30" si="1">IF(J8+2*H8+3*F8&gt;0,J8+2*H8+3*F8,0)</f>
        <v>8</v>
      </c>
      <c r="U8" s="106">
        <f t="shared" ref="U8:U30" si="2">IF(G8&gt;0,F8/G8,"")</f>
        <v>0.5</v>
      </c>
      <c r="V8" s="106">
        <f t="shared" ref="V8:V30" si="3">IF(I8&gt;0,H8/I8,"")</f>
        <v>0.33333333333333331</v>
      </c>
      <c r="W8" s="107" t="str">
        <f t="shared" ref="W8:W30" si="4">IF(K8&gt;0,J8/K8,"")</f>
        <v/>
      </c>
      <c r="X8" s="106">
        <f t="shared" si="0"/>
        <v>0.42857142857142855</v>
      </c>
      <c r="Y8" s="108">
        <f t="shared" ref="Y8:Y32" si="5">IF(OR(G8&gt;0,I8 &gt;0),(1.5*F8+H8)/(G8+I8),"")</f>
        <v>0.5714285714285714</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31</v>
      </c>
      <c r="F9" s="111">
        <v>2</v>
      </c>
      <c r="G9" s="112">
        <v>8</v>
      </c>
      <c r="H9" s="113">
        <v>4</v>
      </c>
      <c r="I9" s="112">
        <v>8</v>
      </c>
      <c r="J9" s="113">
        <v>4</v>
      </c>
      <c r="K9" s="112">
        <v>4</v>
      </c>
      <c r="L9" s="113">
        <v>1</v>
      </c>
      <c r="M9" s="113">
        <v>1</v>
      </c>
      <c r="N9" s="113">
        <v>4</v>
      </c>
      <c r="O9" s="113">
        <v>4</v>
      </c>
      <c r="P9" s="113"/>
      <c r="Q9" s="113">
        <v>2</v>
      </c>
      <c r="R9" s="113">
        <v>3</v>
      </c>
      <c r="S9" s="114"/>
      <c r="T9" s="115">
        <f t="shared" si="1"/>
        <v>18</v>
      </c>
      <c r="U9" s="95">
        <f t="shared" si="2"/>
        <v>0.25</v>
      </c>
      <c r="V9" s="95">
        <f t="shared" si="3"/>
        <v>0.5</v>
      </c>
      <c r="W9" s="96">
        <f t="shared" si="4"/>
        <v>1</v>
      </c>
      <c r="X9" s="95">
        <f t="shared" si="0"/>
        <v>0.375</v>
      </c>
      <c r="Y9" s="116">
        <f t="shared" si="5"/>
        <v>0.4375</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27</v>
      </c>
      <c r="F10" s="101"/>
      <c r="G10" s="102">
        <v>3</v>
      </c>
      <c r="H10" s="103">
        <v>2</v>
      </c>
      <c r="I10" s="102">
        <v>4</v>
      </c>
      <c r="J10" s="103">
        <v>1</v>
      </c>
      <c r="K10" s="102">
        <v>3</v>
      </c>
      <c r="L10" s="103"/>
      <c r="M10" s="103">
        <v>4</v>
      </c>
      <c r="N10" s="103">
        <v>3</v>
      </c>
      <c r="O10" s="103">
        <v>1</v>
      </c>
      <c r="P10" s="103"/>
      <c r="Q10" s="103">
        <v>6</v>
      </c>
      <c r="R10" s="103"/>
      <c r="S10" s="104"/>
      <c r="T10" s="105">
        <f t="shared" si="1"/>
        <v>5</v>
      </c>
      <c r="U10" s="106">
        <f t="shared" si="2"/>
        <v>0</v>
      </c>
      <c r="V10" s="106">
        <f t="shared" si="3"/>
        <v>0.5</v>
      </c>
      <c r="W10" s="107">
        <f t="shared" si="4"/>
        <v>0.33333333333333331</v>
      </c>
      <c r="X10" s="106">
        <f t="shared" si="0"/>
        <v>0.2857142857142857</v>
      </c>
      <c r="Y10" s="108">
        <f t="shared" si="5"/>
        <v>0.2857142857142857</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66</v>
      </c>
      <c r="AB11" s="385">
        <f>T31/AA11</f>
        <v>0.72727272727272729</v>
      </c>
      <c r="AC11" s="385">
        <f>L31/AA11</f>
        <v>0.15151515151515152</v>
      </c>
      <c r="AD11" s="385">
        <f>M31/AA12</f>
        <v>0.31147540983606559</v>
      </c>
      <c r="AE11" s="389">
        <f>(L31+M31)/AA11</f>
        <v>0.43939393939393939</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61</v>
      </c>
      <c r="AB12" s="385">
        <f>T32/AA12</f>
        <v>0.98360655737704916</v>
      </c>
      <c r="AC12" s="385">
        <f>L32/AA12</f>
        <v>8.1967213114754092E-2</v>
      </c>
      <c r="AD12" s="385">
        <f>M32/AA11</f>
        <v>0.27272727272727271</v>
      </c>
      <c r="AE12" s="389">
        <f>(L32+M32)/AA12</f>
        <v>0.37704918032786883</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31</v>
      </c>
      <c r="F14" s="101"/>
      <c r="G14" s="102">
        <v>4</v>
      </c>
      <c r="H14" s="103">
        <v>2</v>
      </c>
      <c r="I14" s="102">
        <v>6</v>
      </c>
      <c r="J14" s="103">
        <v>4</v>
      </c>
      <c r="K14" s="102">
        <v>4</v>
      </c>
      <c r="L14" s="103">
        <v>3</v>
      </c>
      <c r="M14" s="103">
        <v>4</v>
      </c>
      <c r="N14" s="103">
        <v>2</v>
      </c>
      <c r="O14" s="103">
        <v>1</v>
      </c>
      <c r="P14" s="103">
        <v>1</v>
      </c>
      <c r="Q14" s="103">
        <v>3</v>
      </c>
      <c r="R14" s="103">
        <v>4</v>
      </c>
      <c r="S14" s="104"/>
      <c r="T14" s="105">
        <f t="shared" si="1"/>
        <v>8</v>
      </c>
      <c r="U14" s="106">
        <f t="shared" si="2"/>
        <v>0</v>
      </c>
      <c r="V14" s="106">
        <f t="shared" si="3"/>
        <v>0.33333333333333331</v>
      </c>
      <c r="W14" s="107">
        <f t="shared" si="4"/>
        <v>1</v>
      </c>
      <c r="X14" s="106">
        <f t="shared" si="0"/>
        <v>0.2</v>
      </c>
      <c r="Y14" s="108">
        <f t="shared" si="5"/>
        <v>0.2</v>
      </c>
      <c r="Z14" s="385"/>
      <c r="AA14" s="385"/>
      <c r="AB14" s="385">
        <f>N31/AA11</f>
        <v>0.21212121212121213</v>
      </c>
      <c r="AC14" s="385">
        <f>O31/AA12</f>
        <v>0.14754098360655737</v>
      </c>
      <c r="AD14" s="385">
        <f>Q31/AA11</f>
        <v>0.22727272727272727</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9</v>
      </c>
      <c r="F15" s="111"/>
      <c r="G15" s="112"/>
      <c r="H15" s="113"/>
      <c r="I15" s="112">
        <v>3</v>
      </c>
      <c r="J15" s="113">
        <v>1</v>
      </c>
      <c r="K15" s="112">
        <v>3</v>
      </c>
      <c r="L15" s="113">
        <v>3</v>
      </c>
      <c r="M15" s="113"/>
      <c r="N15" s="113"/>
      <c r="O15" s="113"/>
      <c r="P15" s="113"/>
      <c r="Q15" s="113"/>
      <c r="R15" s="113">
        <v>4</v>
      </c>
      <c r="S15" s="114"/>
      <c r="T15" s="115">
        <f t="shared" si="1"/>
        <v>1</v>
      </c>
      <c r="U15" s="95" t="str">
        <f t="shared" si="2"/>
        <v/>
      </c>
      <c r="V15" s="95">
        <f t="shared" si="3"/>
        <v>0</v>
      </c>
      <c r="W15" s="96">
        <f t="shared" si="4"/>
        <v>0.33333333333333331</v>
      </c>
      <c r="X15" s="95">
        <f t="shared" si="0"/>
        <v>0</v>
      </c>
      <c r="Y15" s="116">
        <f t="shared" si="5"/>
        <v>0</v>
      </c>
      <c r="Z15" s="392"/>
      <c r="AA15" s="393"/>
      <c r="AB15" s="393">
        <f>N32/AA12</f>
        <v>0.26229508196721313</v>
      </c>
      <c r="AC15" s="393">
        <f>O32/AA11</f>
        <v>0.13636363636363635</v>
      </c>
      <c r="AD15" s="393">
        <f>Q32/AA12</f>
        <v>0.18032786885245902</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20</v>
      </c>
      <c r="F16" s="101">
        <v>1</v>
      </c>
      <c r="G16" s="102">
        <v>3</v>
      </c>
      <c r="H16" s="103"/>
      <c r="I16" s="102">
        <v>5</v>
      </c>
      <c r="J16" s="103">
        <v>3</v>
      </c>
      <c r="K16" s="102">
        <v>4</v>
      </c>
      <c r="L16" s="103">
        <v>2</v>
      </c>
      <c r="M16" s="103">
        <v>6</v>
      </c>
      <c r="N16" s="103">
        <v>1</v>
      </c>
      <c r="O16" s="103">
        <v>1</v>
      </c>
      <c r="P16" s="103"/>
      <c r="Q16" s="103">
        <v>1</v>
      </c>
      <c r="R16" s="103">
        <v>3</v>
      </c>
      <c r="S16" s="104"/>
      <c r="T16" s="105">
        <f t="shared" si="1"/>
        <v>6</v>
      </c>
      <c r="U16" s="106">
        <f t="shared" si="2"/>
        <v>0.33333333333333331</v>
      </c>
      <c r="V16" s="106">
        <f t="shared" si="3"/>
        <v>0</v>
      </c>
      <c r="W16" s="107">
        <f t="shared" si="4"/>
        <v>0.75</v>
      </c>
      <c r="X16" s="106">
        <f t="shared" si="0"/>
        <v>0.125</v>
      </c>
      <c r="Y16" s="108">
        <f t="shared" si="5"/>
        <v>0.1875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11</v>
      </c>
      <c r="F19" s="111"/>
      <c r="G19" s="112"/>
      <c r="H19" s="113">
        <v>1</v>
      </c>
      <c r="I19" s="112">
        <v>1</v>
      </c>
      <c r="J19" s="113"/>
      <c r="K19" s="112"/>
      <c r="L19" s="113">
        <v>1</v>
      </c>
      <c r="M19" s="113">
        <v>2</v>
      </c>
      <c r="N19" s="113">
        <v>2</v>
      </c>
      <c r="O19" s="113"/>
      <c r="P19" s="113"/>
      <c r="Q19" s="113">
        <v>1</v>
      </c>
      <c r="R19" s="113"/>
      <c r="S19" s="114"/>
      <c r="T19" s="115">
        <f t="shared" si="1"/>
        <v>2</v>
      </c>
      <c r="U19" s="95" t="str">
        <f t="shared" si="2"/>
        <v/>
      </c>
      <c r="V19" s="95">
        <f t="shared" si="3"/>
        <v>1</v>
      </c>
      <c r="W19" s="96" t="str">
        <f t="shared" si="4"/>
        <v/>
      </c>
      <c r="X19" s="95">
        <f t="shared" si="0"/>
        <v>1</v>
      </c>
      <c r="Y19" s="116">
        <f t="shared" si="5"/>
        <v>1</v>
      </c>
      <c r="Z19" s="388" t="s">
        <v>124</v>
      </c>
      <c r="AA19" s="385">
        <f>AB11*65</f>
        <v>47.272727272727273</v>
      </c>
      <c r="AB19" s="385">
        <f t="shared" ref="AB19:AD20" si="6">AC11*65</f>
        <v>9.8484848484848495</v>
      </c>
      <c r="AC19" s="385">
        <f t="shared" si="6"/>
        <v>20.245901639344265</v>
      </c>
      <c r="AD19" s="385">
        <f t="shared" si="6"/>
        <v>28.560606060606059</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63.934426229508198</v>
      </c>
      <c r="AB20" s="385">
        <f t="shared" si="6"/>
        <v>5.3278688524590159</v>
      </c>
      <c r="AC20" s="385">
        <f t="shared" si="6"/>
        <v>17.727272727272727</v>
      </c>
      <c r="AD20" s="385">
        <f t="shared" si="6"/>
        <v>24.508196721311474</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13.787878787878789</v>
      </c>
      <c r="AC22" s="385">
        <f t="shared" si="7"/>
        <v>9.5901639344262293</v>
      </c>
      <c r="AD22" s="385">
        <f>AD14*65</f>
        <v>14.772727272727272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17.049180327868854</v>
      </c>
      <c r="AC23" s="393">
        <f t="shared" si="7"/>
        <v>8.8636363636363633</v>
      </c>
      <c r="AD23" s="393">
        <f t="shared" si="7"/>
        <v>11.721311475409836</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66</v>
      </c>
      <c r="B31" s="126" t="s">
        <v>161</v>
      </c>
      <c r="C31" s="151"/>
      <c r="D31" s="152">
        <f>IF(COUNTA($D$7:$D$30)&gt;0,1,"")</f>
        <v>1</v>
      </c>
      <c r="E31" s="127">
        <f>IF(D31=1,32+J4*4,"")</f>
        <v>32</v>
      </c>
      <c r="F31" s="128">
        <f t="shared" ref="F31:S31" si="8">SUM(F7:F30)</f>
        <v>5</v>
      </c>
      <c r="G31" s="129">
        <f t="shared" si="8"/>
        <v>22</v>
      </c>
      <c r="H31" s="128">
        <f t="shared" si="8"/>
        <v>10</v>
      </c>
      <c r="I31" s="130">
        <f t="shared" si="8"/>
        <v>30</v>
      </c>
      <c r="J31" s="129">
        <f t="shared" si="8"/>
        <v>13</v>
      </c>
      <c r="K31" s="130">
        <f t="shared" si="8"/>
        <v>18</v>
      </c>
      <c r="L31" s="129">
        <f t="shared" si="8"/>
        <v>10</v>
      </c>
      <c r="M31" s="129">
        <f t="shared" si="8"/>
        <v>19</v>
      </c>
      <c r="N31" s="129">
        <f t="shared" si="8"/>
        <v>14</v>
      </c>
      <c r="O31" s="129">
        <f t="shared" si="8"/>
        <v>9</v>
      </c>
      <c r="P31" s="129">
        <f t="shared" si="8"/>
        <v>1</v>
      </c>
      <c r="Q31" s="129">
        <f t="shared" si="8"/>
        <v>15</v>
      </c>
      <c r="R31" s="129">
        <f t="shared" si="8"/>
        <v>19</v>
      </c>
      <c r="S31" s="131">
        <f t="shared" si="8"/>
        <v>0</v>
      </c>
      <c r="T31" s="132">
        <f>IF(J31+2*H31+3*F31&gt;0,J31+2*H31+3*F31,IF(H4&gt;0,H4,""))</f>
        <v>48</v>
      </c>
      <c r="U31" s="133">
        <f>IF(G31&gt;0,F31/G31,"")</f>
        <v>0.22727272727272727</v>
      </c>
      <c r="V31" s="133">
        <f>IF(I31&gt;0,H31/I31,"")</f>
        <v>0.33333333333333331</v>
      </c>
      <c r="W31" s="134">
        <f>IF(K31&gt;0,J31/K31,"")</f>
        <v>0.72222222222222221</v>
      </c>
      <c r="X31" s="133">
        <f t="shared" si="0"/>
        <v>0.28846153846153844</v>
      </c>
      <c r="Y31" s="135">
        <f t="shared" si="5"/>
        <v>0.33653846153846156</v>
      </c>
      <c r="AB31" s="51"/>
      <c r="AC31" s="51"/>
      <c r="AD31" s="51"/>
      <c r="AE31" s="51"/>
      <c r="AF31" s="136"/>
      <c r="AG31" s="136"/>
      <c r="AH31" s="136"/>
      <c r="AI31" s="51"/>
    </row>
    <row r="32" spans="1:35" s="18" customFormat="1" ht="17.25" thickTop="1" thickBot="1" x14ac:dyDescent="0.3">
      <c r="A32" s="51">
        <f>ROUND(G32+I32+0.475*K32-L32+Q32,0)</f>
        <v>60</v>
      </c>
      <c r="B32" s="137" t="s">
        <v>162</v>
      </c>
      <c r="C32" s="153"/>
      <c r="D32" s="138">
        <f>IF(SUM(F32:S32)&gt;0,1,"")</f>
        <v>1</v>
      </c>
      <c r="E32" s="138">
        <f>IF(D32=1,E31,0)</f>
        <v>32</v>
      </c>
      <c r="F32" s="139">
        <v>8</v>
      </c>
      <c r="G32" s="140">
        <v>19</v>
      </c>
      <c r="H32" s="139">
        <v>12</v>
      </c>
      <c r="I32" s="141">
        <v>25</v>
      </c>
      <c r="J32" s="139">
        <v>12</v>
      </c>
      <c r="K32" s="141">
        <v>22</v>
      </c>
      <c r="L32" s="140">
        <v>5</v>
      </c>
      <c r="M32" s="140">
        <v>18</v>
      </c>
      <c r="N32" s="140">
        <v>16</v>
      </c>
      <c r="O32" s="140">
        <v>9</v>
      </c>
      <c r="P32" s="140">
        <v>3</v>
      </c>
      <c r="Q32" s="140">
        <v>11</v>
      </c>
      <c r="R32" s="140">
        <v>18</v>
      </c>
      <c r="S32" s="142"/>
      <c r="T32" s="143">
        <f>IF(J32+2*H32+3*F32&gt;0,J32+2*H32+3*F32,IF(H3&gt;0,H3,""))</f>
        <v>60</v>
      </c>
      <c r="U32" s="144">
        <f>IF(G32&gt;0,F32/G32,"")</f>
        <v>0.42105263157894735</v>
      </c>
      <c r="V32" s="144">
        <f>IF(I32&gt;0,H32/I32,"")</f>
        <v>0.48</v>
      </c>
      <c r="W32" s="145">
        <f>IF(K32&gt;0,J32/K32,"")</f>
        <v>0.54545454545454541</v>
      </c>
      <c r="X32" s="144">
        <f t="shared" si="0"/>
        <v>0.45454545454545453</v>
      </c>
      <c r="Y32" s="146">
        <f t="shared" si="5"/>
        <v>0.54545454545454541</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1086" priority="29">
      <formula>AND($H$4&gt;0,$H$4&lt;&gt;$T$31)</formula>
    </cfRule>
  </conditionalFormatting>
  <conditionalFormatting sqref="T32 H3">
    <cfRule type="expression" dxfId="1085" priority="28">
      <formula>AND($H$3&gt;0,$H$3&lt;&gt;$T$32)</formula>
    </cfRule>
  </conditionalFormatting>
  <conditionalFormatting sqref="A2">
    <cfRule type="cellIs" dxfId="1084" priority="27" operator="equal">
      <formula>"R"</formula>
    </cfRule>
  </conditionalFormatting>
  <conditionalFormatting sqref="F7:F30 H7:H30 J7:J30">
    <cfRule type="expression" dxfId="1083" priority="26">
      <formula>F7&gt;G7</formula>
    </cfRule>
  </conditionalFormatting>
  <conditionalFormatting sqref="E7:E30">
    <cfRule type="expression" dxfId="1082" priority="25">
      <formula>$E7&gt;$E$31</formula>
    </cfRule>
  </conditionalFormatting>
  <conditionalFormatting sqref="L6">
    <cfRule type="expression" dxfId="1081" priority="24">
      <formula>OR($L$31&gt;($G$31+$I$31+$K$31-$F$31-$H$31-$J$31),L32&gt;(G31+I31+K31-F31-H31-J31))</formula>
    </cfRule>
  </conditionalFormatting>
  <conditionalFormatting sqref="M6">
    <cfRule type="expression" dxfId="1080" priority="23">
      <formula>OR(M31&gt;(G32-F32+I32-H32+K32-J32),M32&gt;(G31-F31+I31-H31+K31-J31))</formula>
    </cfRule>
  </conditionalFormatting>
  <conditionalFormatting sqref="N6">
    <cfRule type="expression" dxfId="1079" priority="22">
      <formula>OR($N$31&gt;($F$31+$H$31),$N$32&gt;($F$32+$H$32))</formula>
    </cfRule>
  </conditionalFormatting>
  <conditionalFormatting sqref="P6">
    <cfRule type="expression" dxfId="1078" priority="21">
      <formula>OR($P$31&gt;(G32-F32+I32-H32),P32&gt;(G31-F31+I31-H31))</formula>
    </cfRule>
  </conditionalFormatting>
  <conditionalFormatting sqref="Q6">
    <cfRule type="expression" dxfId="1077" priority="20">
      <formula>OR($Q$31&lt;$O$32,$Q$32&lt;$O$31)</formula>
    </cfRule>
  </conditionalFormatting>
  <conditionalFormatting sqref="L31:L32">
    <cfRule type="cellIs" dxfId="1076" priority="19" operator="greaterThan">
      <formula>$G31+$I31+$K31-$F31-$H31-$J31</formula>
    </cfRule>
  </conditionalFormatting>
  <conditionalFormatting sqref="M32">
    <cfRule type="cellIs" dxfId="1075" priority="18" operator="greaterThan">
      <formula>$G$31-$F$31+$I$31-$H$31+$K$31-$J$31</formula>
    </cfRule>
  </conditionalFormatting>
  <conditionalFormatting sqref="N31:N32">
    <cfRule type="cellIs" dxfId="1074" priority="17" operator="greaterThan">
      <formula>$F31+$H31</formula>
    </cfRule>
  </conditionalFormatting>
  <conditionalFormatting sqref="O32">
    <cfRule type="cellIs" dxfId="1073" priority="10" operator="greaterThan">
      <formula>$Q$31</formula>
    </cfRule>
  </conditionalFormatting>
  <conditionalFormatting sqref="P31">
    <cfRule type="cellIs" dxfId="1072" priority="16" operator="greaterThan">
      <formula>$G$32-$F$32+$I$32-$H$32</formula>
    </cfRule>
  </conditionalFormatting>
  <conditionalFormatting sqref="Q32">
    <cfRule type="cellIs" dxfId="1071" priority="15" operator="lessThan">
      <formula>$O$31</formula>
    </cfRule>
  </conditionalFormatting>
  <conditionalFormatting sqref="F7:F32">
    <cfRule type="cellIs" dxfId="1070" priority="14" operator="greaterThan">
      <formula>G7</formula>
    </cfRule>
  </conditionalFormatting>
  <conditionalFormatting sqref="H7:H32">
    <cfRule type="cellIs" dxfId="1069" priority="13" operator="greaterThan">
      <formula>I7</formula>
    </cfRule>
  </conditionalFormatting>
  <conditionalFormatting sqref="J7:J32">
    <cfRule type="cellIs" dxfId="1068" priority="12" operator="greaterThan">
      <formula>K7</formula>
    </cfRule>
  </conditionalFormatting>
  <conditionalFormatting sqref="M4">
    <cfRule type="cellIs" dxfId="1067" priority="11" operator="notBetween">
      <formula>$AH$2</formula>
      <formula>$AI$2</formula>
    </cfRule>
  </conditionalFormatting>
  <conditionalFormatting sqref="O31">
    <cfRule type="cellIs" dxfId="1066" priority="9" operator="greaterThan">
      <formula>$Q$32</formula>
    </cfRule>
  </conditionalFormatting>
  <conditionalFormatting sqref="Q31">
    <cfRule type="cellIs" dxfId="1065" priority="8" operator="lessThan">
      <formula>$O$32</formula>
    </cfRule>
  </conditionalFormatting>
  <conditionalFormatting sqref="M31">
    <cfRule type="cellIs" dxfId="1064" priority="7" operator="greaterThan">
      <formula>G32-F32 +I32-H32+K32-J32</formula>
    </cfRule>
  </conditionalFormatting>
  <conditionalFormatting sqref="B3">
    <cfRule type="expression" dxfId="1063" priority="6">
      <formula>$W$2 = TRUE</formula>
    </cfRule>
  </conditionalFormatting>
  <conditionalFormatting sqref="P4:Q4">
    <cfRule type="expression" dxfId="1062" priority="5">
      <formula>OR(AND($P$4=1,$X$4=1),AND($Q$4=1,$W$4=1))</formula>
    </cfRule>
  </conditionalFormatting>
  <conditionalFormatting sqref="D7:D30">
    <cfRule type="expression" dxfId="1061" priority="30">
      <formula>AND($D7=0,SUM($F7:$S7)&gt;0)</formula>
    </cfRule>
  </conditionalFormatting>
  <conditionalFormatting sqref="O6">
    <cfRule type="expression" dxfId="1060" priority="4">
      <formula>OR($O$31&gt;$Q$32,$O$32&gt;$Q$31)</formula>
    </cfRule>
  </conditionalFormatting>
  <conditionalFormatting sqref="F6">
    <cfRule type="expression" dxfId="1059" priority="3">
      <formula>OR(F$31&gt;G$31,F$32&gt;G$32)</formula>
    </cfRule>
  </conditionalFormatting>
  <conditionalFormatting sqref="H6">
    <cfRule type="expression" dxfId="1058" priority="2">
      <formula>OR(H$31&gt;I$31,H$32&gt;I$32)</formula>
    </cfRule>
  </conditionalFormatting>
  <conditionalFormatting sqref="J6">
    <cfRule type="expression" dxfId="1057"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R43" sqref="R4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71</v>
      </c>
      <c r="C3" s="70">
        <v>7</v>
      </c>
      <c r="D3" s="71">
        <v>2</v>
      </c>
      <c r="E3" s="71">
        <v>6</v>
      </c>
      <c r="F3" s="71">
        <v>9</v>
      </c>
      <c r="G3" s="72"/>
      <c r="H3" s="73">
        <f>SUM(C3:G3)</f>
        <v>24</v>
      </c>
      <c r="J3" s="12" t="s">
        <v>165</v>
      </c>
      <c r="P3" s="74" t="s">
        <v>135</v>
      </c>
      <c r="Q3" s="74" t="s">
        <v>137</v>
      </c>
      <c r="S3" s="75" t="s">
        <v>138</v>
      </c>
      <c r="U3" s="76" t="s">
        <v>139</v>
      </c>
      <c r="W3" s="77" t="s">
        <v>134</v>
      </c>
      <c r="X3" s="77" t="s">
        <v>136</v>
      </c>
      <c r="AA3" s="48" t="str">
        <f>B4</f>
        <v>Upton</v>
      </c>
      <c r="AD3" s="48">
        <f>SUM($C3:C3)</f>
        <v>7</v>
      </c>
      <c r="AE3" s="48">
        <f>SUM($C3:D3)</f>
        <v>9</v>
      </c>
      <c r="AF3" s="48">
        <f>SUM($C3:E3)</f>
        <v>15</v>
      </c>
      <c r="AG3" s="48">
        <f>SUM($C3:F3)</f>
        <v>24</v>
      </c>
      <c r="AH3" s="48">
        <f>SUM($C3:G3)</f>
        <v>24</v>
      </c>
      <c r="AJ3" s="74"/>
    </row>
    <row r="4" spans="1:36" ht="16.5" customHeight="1" thickTop="1" thickBot="1" x14ac:dyDescent="0.3">
      <c r="B4" s="78" t="str">
        <f>Roster!$B$1</f>
        <v>Upton</v>
      </c>
      <c r="C4" s="79">
        <v>19</v>
      </c>
      <c r="D4" s="80">
        <v>12</v>
      </c>
      <c r="E4" s="80">
        <v>13</v>
      </c>
      <c r="F4" s="80">
        <v>12</v>
      </c>
      <c r="G4" s="81"/>
      <c r="H4" s="82">
        <f>SUM(C4:G4)</f>
        <v>56</v>
      </c>
      <c r="J4" s="83"/>
      <c r="L4" s="84" t="s">
        <v>133</v>
      </c>
      <c r="M4" s="404">
        <v>44912</v>
      </c>
      <c r="N4" s="405"/>
      <c r="P4" s="83"/>
      <c r="Q4" s="83"/>
      <c r="S4" s="83"/>
      <c r="U4" s="83"/>
      <c r="W4" s="85">
        <f>IF(OR($S$4=1,$H$4&gt;$H$3),1,"")</f>
        <v>1</v>
      </c>
      <c r="X4" s="85" t="str">
        <f>IF(OR($U$4=1,$H$4&lt;$H$3),1,"")</f>
        <v/>
      </c>
      <c r="AA4" s="48" t="str">
        <f>B3</f>
        <v>Meeteetse</v>
      </c>
      <c r="AD4" s="48">
        <f>SUM($C4:C4)</f>
        <v>19</v>
      </c>
      <c r="AE4" s="48">
        <f>SUM($C4:D4)</f>
        <v>31</v>
      </c>
      <c r="AF4" s="48">
        <f>SUM($C4:E4)</f>
        <v>44</v>
      </c>
      <c r="AG4" s="48">
        <f>SUM($C4:F4)</f>
        <v>56</v>
      </c>
      <c r="AH4" s="48">
        <f>SUM($C4:G4)</f>
        <v>56</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5</v>
      </c>
      <c r="F7" s="90"/>
      <c r="G7" s="91">
        <v>2</v>
      </c>
      <c r="H7" s="92"/>
      <c r="I7" s="91"/>
      <c r="J7" s="92"/>
      <c r="K7" s="91"/>
      <c r="L7" s="92"/>
      <c r="M7" s="92"/>
      <c r="N7" s="92"/>
      <c r="O7" s="92">
        <v>1</v>
      </c>
      <c r="P7" s="92"/>
      <c r="Q7" s="92">
        <v>1</v>
      </c>
      <c r="R7" s="92"/>
      <c r="S7" s="93">
        <v>1</v>
      </c>
      <c r="T7" s="94">
        <f>IF(J7+2*H7+3*F7&gt;0,J7+2*H7+3*F7,0)</f>
        <v>0</v>
      </c>
      <c r="U7" s="95">
        <f>IF(G7&gt;0,F7/G7,"")</f>
        <v>0</v>
      </c>
      <c r="V7" s="95" t="str">
        <f>IF(I7&gt;0,H7/I7,"")</f>
        <v/>
      </c>
      <c r="W7" s="96" t="str">
        <f>IF(K7&gt;0,J7/K7,"")</f>
        <v/>
      </c>
      <c r="X7" s="97">
        <f t="shared" ref="X7:X32" si="0">IF(OR(G7&gt;0,I7 &gt;0),(F7+H7)/(G7+I7),"")</f>
        <v>0</v>
      </c>
      <c r="Y7" s="98">
        <f>IF(OR(G7&gt;0,I7 &gt;0),(1.5*F7+H7)/(G7+I7),"")</f>
        <v>0</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23</v>
      </c>
      <c r="F8" s="101"/>
      <c r="G8" s="102">
        <v>1</v>
      </c>
      <c r="H8" s="103">
        <v>2</v>
      </c>
      <c r="I8" s="102">
        <v>5</v>
      </c>
      <c r="J8" s="103"/>
      <c r="K8" s="102"/>
      <c r="L8" s="103">
        <v>3</v>
      </c>
      <c r="M8" s="103">
        <v>1</v>
      </c>
      <c r="N8" s="103">
        <v>1</v>
      </c>
      <c r="O8" s="103">
        <v>1</v>
      </c>
      <c r="P8" s="103"/>
      <c r="Q8" s="103">
        <v>1</v>
      </c>
      <c r="R8" s="103">
        <v>1</v>
      </c>
      <c r="S8" s="104"/>
      <c r="T8" s="105">
        <f t="shared" ref="T8:T30" si="1">IF(J8+2*H8+3*F8&gt;0,J8+2*H8+3*F8,0)</f>
        <v>4</v>
      </c>
      <c r="U8" s="106">
        <f t="shared" ref="U8:U30" si="2">IF(G8&gt;0,F8/G8,"")</f>
        <v>0</v>
      </c>
      <c r="V8" s="106">
        <f t="shared" ref="V8:V30" si="3">IF(I8&gt;0,H8/I8,"")</f>
        <v>0.4</v>
      </c>
      <c r="W8" s="107" t="str">
        <f t="shared" ref="W8:W30" si="4">IF(K8&gt;0,J8/K8,"")</f>
        <v/>
      </c>
      <c r="X8" s="106">
        <f t="shared" si="0"/>
        <v>0.33333333333333331</v>
      </c>
      <c r="Y8" s="108">
        <f t="shared" ref="Y8:Y32" si="5">IF(OR(G8&gt;0,I8 &gt;0),(1.5*F8+H8)/(G8+I8),"")</f>
        <v>0.33333333333333331</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23</v>
      </c>
      <c r="F9" s="111"/>
      <c r="G9" s="112">
        <v>2</v>
      </c>
      <c r="H9" s="113">
        <v>5</v>
      </c>
      <c r="I9" s="112">
        <v>8</v>
      </c>
      <c r="J9" s="113">
        <v>1</v>
      </c>
      <c r="K9" s="112">
        <v>2</v>
      </c>
      <c r="L9" s="113"/>
      <c r="M9" s="113">
        <v>1</v>
      </c>
      <c r="N9" s="113">
        <v>2</v>
      </c>
      <c r="O9" s="113">
        <v>2</v>
      </c>
      <c r="P9" s="113"/>
      <c r="Q9" s="113">
        <v>2</v>
      </c>
      <c r="R9" s="113">
        <v>1</v>
      </c>
      <c r="S9" s="114"/>
      <c r="T9" s="115">
        <f t="shared" si="1"/>
        <v>11</v>
      </c>
      <c r="U9" s="95">
        <f t="shared" si="2"/>
        <v>0</v>
      </c>
      <c r="V9" s="95">
        <f t="shared" si="3"/>
        <v>0.625</v>
      </c>
      <c r="W9" s="96">
        <f t="shared" si="4"/>
        <v>0.5</v>
      </c>
      <c r="X9" s="95">
        <f t="shared" si="0"/>
        <v>0.5</v>
      </c>
      <c r="Y9" s="116">
        <f t="shared" si="5"/>
        <v>0.5</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23</v>
      </c>
      <c r="F10" s="101">
        <v>1</v>
      </c>
      <c r="G10" s="102">
        <v>6</v>
      </c>
      <c r="H10" s="103">
        <v>2</v>
      </c>
      <c r="I10" s="102">
        <v>4</v>
      </c>
      <c r="J10" s="103"/>
      <c r="K10" s="102"/>
      <c r="L10" s="103"/>
      <c r="M10" s="103">
        <v>2</v>
      </c>
      <c r="N10" s="103">
        <v>2</v>
      </c>
      <c r="O10" s="103">
        <v>3</v>
      </c>
      <c r="P10" s="103"/>
      <c r="Q10" s="103">
        <v>1</v>
      </c>
      <c r="R10" s="103">
        <v>1</v>
      </c>
      <c r="S10" s="104"/>
      <c r="T10" s="105">
        <f t="shared" si="1"/>
        <v>7</v>
      </c>
      <c r="U10" s="106">
        <f t="shared" si="2"/>
        <v>0.16666666666666666</v>
      </c>
      <c r="V10" s="106">
        <f t="shared" si="3"/>
        <v>0.5</v>
      </c>
      <c r="W10" s="107" t="str">
        <f t="shared" si="4"/>
        <v/>
      </c>
      <c r="X10" s="106">
        <f t="shared" si="0"/>
        <v>0.3</v>
      </c>
      <c r="Y10" s="108">
        <f t="shared" si="5"/>
        <v>0.35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64.5</v>
      </c>
      <c r="AB11" s="385">
        <f>T31/AA11</f>
        <v>0.86821705426356588</v>
      </c>
      <c r="AC11" s="385">
        <f>L31/AA11</f>
        <v>0.29457364341085274</v>
      </c>
      <c r="AD11" s="385">
        <f>M31/AA12</f>
        <v>0.40944881889763779</v>
      </c>
      <c r="AE11" s="389">
        <f>(L31+M31)/AA11</f>
        <v>0.69767441860465118</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2</v>
      </c>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63.5</v>
      </c>
      <c r="AB12" s="385">
        <f>T32/AA12</f>
        <v>0.37795275590551181</v>
      </c>
      <c r="AC12" s="385">
        <f>L32/AA12</f>
        <v>0.20472440944881889</v>
      </c>
      <c r="AD12" s="385">
        <f>M32/AA11</f>
        <v>0.34108527131782945</v>
      </c>
      <c r="AE12" s="389">
        <f>(L32+M32)/AA12</f>
        <v>0.55118110236220474</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21</v>
      </c>
      <c r="F14" s="101">
        <v>2</v>
      </c>
      <c r="G14" s="102">
        <v>4</v>
      </c>
      <c r="H14" s="103">
        <v>4</v>
      </c>
      <c r="I14" s="102">
        <v>12</v>
      </c>
      <c r="J14" s="103">
        <v>1</v>
      </c>
      <c r="K14" s="102">
        <v>3</v>
      </c>
      <c r="L14" s="103">
        <v>6</v>
      </c>
      <c r="M14" s="103">
        <v>9</v>
      </c>
      <c r="N14" s="103">
        <v>2</v>
      </c>
      <c r="O14" s="103">
        <v>3</v>
      </c>
      <c r="P14" s="103">
        <v>2</v>
      </c>
      <c r="Q14" s="103">
        <v>3</v>
      </c>
      <c r="R14" s="103">
        <v>1</v>
      </c>
      <c r="S14" s="104"/>
      <c r="T14" s="105">
        <f t="shared" si="1"/>
        <v>15</v>
      </c>
      <c r="U14" s="106">
        <f t="shared" si="2"/>
        <v>0.5</v>
      </c>
      <c r="V14" s="106">
        <f t="shared" si="3"/>
        <v>0.33333333333333331</v>
      </c>
      <c r="W14" s="107">
        <f t="shared" si="4"/>
        <v>0.33333333333333331</v>
      </c>
      <c r="X14" s="106">
        <f t="shared" si="0"/>
        <v>0.375</v>
      </c>
      <c r="Y14" s="108">
        <f t="shared" si="5"/>
        <v>0.4375</v>
      </c>
      <c r="Z14" s="385"/>
      <c r="AA14" s="385"/>
      <c r="AB14" s="385">
        <f>N31/AA11</f>
        <v>0.17054263565891473</v>
      </c>
      <c r="AC14" s="385">
        <f>O31/AA12</f>
        <v>0.23622047244094488</v>
      </c>
      <c r="AD14" s="385">
        <f>Q31/AA11</f>
        <v>0.18604651162790697</v>
      </c>
      <c r="AE14" s="389"/>
      <c r="AF14" s="51"/>
      <c r="AG14" s="51"/>
      <c r="AH14" s="51"/>
      <c r="AI14" s="51"/>
    </row>
    <row r="15" spans="1:36" s="18" customFormat="1" ht="15.75" x14ac:dyDescent="0.25">
      <c r="A15" s="87">
        <f>IF(Roster!A15&lt;&gt;"",Roster!A15,"")</f>
        <v>25</v>
      </c>
      <c r="B15" s="17" t="str">
        <f>IF(OR(Roster!A15&lt;&gt;"",Roster!B15&lt;&gt;""),PROPER(Roster!B15),"")</f>
        <v>Bridger Bruce</v>
      </c>
      <c r="C15" s="109" t="s">
        <v>369</v>
      </c>
      <c r="D15" s="149">
        <v>1</v>
      </c>
      <c r="E15" s="110">
        <v>15</v>
      </c>
      <c r="F15" s="111"/>
      <c r="G15" s="112">
        <v>1</v>
      </c>
      <c r="H15" s="113">
        <v>2</v>
      </c>
      <c r="I15" s="112">
        <v>2</v>
      </c>
      <c r="J15" s="113">
        <v>1</v>
      </c>
      <c r="K15" s="112">
        <v>2</v>
      </c>
      <c r="L15" s="113">
        <v>2</v>
      </c>
      <c r="M15" s="113">
        <v>3</v>
      </c>
      <c r="N15" s="113">
        <v>2</v>
      </c>
      <c r="O15" s="113">
        <v>2</v>
      </c>
      <c r="P15" s="113"/>
      <c r="Q15" s="113">
        <v>3</v>
      </c>
      <c r="R15" s="113">
        <v>4</v>
      </c>
      <c r="S15" s="114">
        <v>1</v>
      </c>
      <c r="T15" s="115">
        <f t="shared" si="1"/>
        <v>5</v>
      </c>
      <c r="U15" s="95">
        <f t="shared" si="2"/>
        <v>0</v>
      </c>
      <c r="V15" s="95">
        <f t="shared" si="3"/>
        <v>1</v>
      </c>
      <c r="W15" s="96">
        <f t="shared" si="4"/>
        <v>0.5</v>
      </c>
      <c r="X15" s="95">
        <f t="shared" si="0"/>
        <v>0.66666666666666663</v>
      </c>
      <c r="Y15" s="116">
        <f t="shared" si="5"/>
        <v>0.66666666666666663</v>
      </c>
      <c r="Z15" s="392"/>
      <c r="AA15" s="393"/>
      <c r="AB15" s="393">
        <f>N32/AA12</f>
        <v>0.11023622047244094</v>
      </c>
      <c r="AC15" s="393">
        <f>O32/AA11</f>
        <v>0.12403100775193798</v>
      </c>
      <c r="AD15" s="393">
        <f>Q32/AA12</f>
        <v>0.36220472440944884</v>
      </c>
      <c r="AE15" s="394"/>
      <c r="AF15" s="51"/>
      <c r="AG15" s="51"/>
      <c r="AH15" s="51"/>
      <c r="AI15" s="51"/>
    </row>
    <row r="16" spans="1:36" s="18" customFormat="1" ht="15.75" x14ac:dyDescent="0.25">
      <c r="A16" s="87">
        <f>IF(Roster!A16&lt;&gt;"",Roster!A16,"")</f>
        <v>31</v>
      </c>
      <c r="B16" s="19" t="str">
        <f>IF(OR(Roster!A16&lt;&gt;"",Roster!B16&lt;&gt;""),PROPER(Roster!B16),"")</f>
        <v>Kailer Duarte</v>
      </c>
      <c r="C16" s="99"/>
      <c r="D16" s="148">
        <v>1</v>
      </c>
      <c r="E16" s="100">
        <v>22</v>
      </c>
      <c r="F16" s="101">
        <v>1</v>
      </c>
      <c r="G16" s="102">
        <v>3</v>
      </c>
      <c r="H16" s="103">
        <v>5</v>
      </c>
      <c r="I16" s="102">
        <v>12</v>
      </c>
      <c r="J16" s="103">
        <v>1</v>
      </c>
      <c r="K16" s="102">
        <v>2</v>
      </c>
      <c r="L16" s="103">
        <v>6</v>
      </c>
      <c r="M16" s="103">
        <v>6</v>
      </c>
      <c r="N16" s="103"/>
      <c r="O16" s="103">
        <v>1</v>
      </c>
      <c r="P16" s="103"/>
      <c r="Q16" s="103">
        <v>1</v>
      </c>
      <c r="R16" s="103">
        <v>1</v>
      </c>
      <c r="S16" s="104"/>
      <c r="T16" s="105">
        <f t="shared" si="1"/>
        <v>14</v>
      </c>
      <c r="U16" s="106">
        <f t="shared" si="2"/>
        <v>0.33333333333333331</v>
      </c>
      <c r="V16" s="106">
        <f t="shared" si="3"/>
        <v>0.41666666666666669</v>
      </c>
      <c r="W16" s="107">
        <f t="shared" si="4"/>
        <v>0.5</v>
      </c>
      <c r="X16" s="106">
        <f t="shared" si="0"/>
        <v>0.4</v>
      </c>
      <c r="Y16" s="108">
        <f t="shared" si="5"/>
        <v>0.43333333333333335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2</v>
      </c>
      <c r="F17" s="111"/>
      <c r="G17" s="112"/>
      <c r="H17" s="113"/>
      <c r="I17" s="112"/>
      <c r="J17" s="113"/>
      <c r="K17" s="112"/>
      <c r="L17" s="113"/>
      <c r="M17" s="113"/>
      <c r="N17" s="113">
        <v>1</v>
      </c>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c r="G18" s="102">
        <v>2</v>
      </c>
      <c r="H18" s="103"/>
      <c r="I18" s="102"/>
      <c r="J18" s="103"/>
      <c r="K18" s="102"/>
      <c r="L18" s="103"/>
      <c r="M18" s="103"/>
      <c r="N18" s="103"/>
      <c r="O18" s="103"/>
      <c r="P18" s="103"/>
      <c r="Q18" s="103"/>
      <c r="R18" s="103"/>
      <c r="S18" s="104"/>
      <c r="T18" s="105">
        <f t="shared" si="1"/>
        <v>0</v>
      </c>
      <c r="U18" s="106">
        <f t="shared" si="2"/>
        <v>0</v>
      </c>
      <c r="V18" s="106" t="str">
        <f t="shared" si="3"/>
        <v/>
      </c>
      <c r="W18" s="107" t="str">
        <f t="shared" si="4"/>
        <v/>
      </c>
      <c r="X18" s="106">
        <f t="shared" si="0"/>
        <v>0</v>
      </c>
      <c r="Y18" s="108">
        <f t="shared" si="5"/>
        <v>0</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15</v>
      </c>
      <c r="F19" s="111"/>
      <c r="G19" s="112"/>
      <c r="H19" s="113"/>
      <c r="I19" s="112">
        <v>3</v>
      </c>
      <c r="J19" s="113"/>
      <c r="K19" s="112"/>
      <c r="L19" s="113">
        <v>2</v>
      </c>
      <c r="M19" s="113">
        <v>4</v>
      </c>
      <c r="N19" s="113">
        <v>1</v>
      </c>
      <c r="O19" s="113">
        <v>2</v>
      </c>
      <c r="P19" s="113"/>
      <c r="Q19" s="113"/>
      <c r="R19" s="113">
        <v>1</v>
      </c>
      <c r="S19" s="114"/>
      <c r="T19" s="115">
        <f t="shared" si="1"/>
        <v>0</v>
      </c>
      <c r="U19" s="95" t="str">
        <f t="shared" si="2"/>
        <v/>
      </c>
      <c r="V19" s="95">
        <f t="shared" si="3"/>
        <v>0</v>
      </c>
      <c r="W19" s="96" t="str">
        <f t="shared" si="4"/>
        <v/>
      </c>
      <c r="X19" s="95">
        <f t="shared" si="0"/>
        <v>0</v>
      </c>
      <c r="Y19" s="116">
        <f t="shared" si="5"/>
        <v>0</v>
      </c>
      <c r="Z19" s="388" t="s">
        <v>124</v>
      </c>
      <c r="AA19" s="385">
        <f>AB11*65</f>
        <v>56.434108527131784</v>
      </c>
      <c r="AB19" s="385">
        <f t="shared" ref="AB19:AD20" si="6">AC11*65</f>
        <v>19.147286821705428</v>
      </c>
      <c r="AC19" s="385">
        <f t="shared" si="6"/>
        <v>26.614173228346456</v>
      </c>
      <c r="AD19" s="385">
        <f t="shared" si="6"/>
        <v>45.348837209302324</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24.566929133858267</v>
      </c>
      <c r="AB20" s="385">
        <f t="shared" si="6"/>
        <v>13.307086614173228</v>
      </c>
      <c r="AC20" s="385">
        <f t="shared" si="6"/>
        <v>22.170542635658915</v>
      </c>
      <c r="AD20" s="385">
        <f t="shared" si="6"/>
        <v>35.826771653543311</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11.085271317829458</v>
      </c>
      <c r="AC22" s="385">
        <f t="shared" si="7"/>
        <v>15.354330708661417</v>
      </c>
      <c r="AD22" s="385">
        <f>AD14*65</f>
        <v>12.093023255813954</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7.1653543307086611</v>
      </c>
      <c r="AC23" s="393">
        <f t="shared" si="7"/>
        <v>8.0620155038759691</v>
      </c>
      <c r="AD23" s="393">
        <f t="shared" si="7"/>
        <v>23.543307086614174</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64</v>
      </c>
      <c r="B31" s="126" t="s">
        <v>161</v>
      </c>
      <c r="C31" s="151"/>
      <c r="D31" s="152">
        <f>IF(COUNTA($D$7:$D$30)&gt;0,1,"")</f>
        <v>1</v>
      </c>
      <c r="E31" s="127">
        <f>IF(D31=1,32+J4*4,"")</f>
        <v>32</v>
      </c>
      <c r="F31" s="128">
        <f t="shared" ref="F31:S31" si="8">SUM(F7:F30)</f>
        <v>4</v>
      </c>
      <c r="G31" s="129">
        <f t="shared" si="8"/>
        <v>21</v>
      </c>
      <c r="H31" s="128">
        <f t="shared" si="8"/>
        <v>20</v>
      </c>
      <c r="I31" s="130">
        <f t="shared" si="8"/>
        <v>46</v>
      </c>
      <c r="J31" s="129">
        <f t="shared" si="8"/>
        <v>4</v>
      </c>
      <c r="K31" s="130">
        <f t="shared" si="8"/>
        <v>9</v>
      </c>
      <c r="L31" s="129">
        <f t="shared" si="8"/>
        <v>19</v>
      </c>
      <c r="M31" s="129">
        <f t="shared" si="8"/>
        <v>26</v>
      </c>
      <c r="N31" s="129">
        <f t="shared" si="8"/>
        <v>11</v>
      </c>
      <c r="O31" s="129">
        <f t="shared" si="8"/>
        <v>15</v>
      </c>
      <c r="P31" s="129">
        <f t="shared" si="8"/>
        <v>2</v>
      </c>
      <c r="Q31" s="129">
        <f t="shared" si="8"/>
        <v>12</v>
      </c>
      <c r="R31" s="129">
        <f t="shared" si="8"/>
        <v>10</v>
      </c>
      <c r="S31" s="131">
        <f t="shared" si="8"/>
        <v>2</v>
      </c>
      <c r="T31" s="132">
        <f>IF(J31+2*H31+3*F31&gt;0,J31+2*H31+3*F31,IF(H4&gt;0,H4,""))</f>
        <v>56</v>
      </c>
      <c r="U31" s="133">
        <f>IF(G31&gt;0,F31/G31,"")</f>
        <v>0.19047619047619047</v>
      </c>
      <c r="V31" s="133">
        <f>IF(I31&gt;0,H31/I31,"")</f>
        <v>0.43478260869565216</v>
      </c>
      <c r="W31" s="134">
        <f>IF(K31&gt;0,J31/K31,"")</f>
        <v>0.44444444444444442</v>
      </c>
      <c r="X31" s="133">
        <f t="shared" si="0"/>
        <v>0.35820895522388058</v>
      </c>
      <c r="Y31" s="135">
        <f t="shared" si="5"/>
        <v>0.38805970149253732</v>
      </c>
      <c r="AB31" s="51"/>
      <c r="AC31" s="51"/>
      <c r="AD31" s="51"/>
      <c r="AE31" s="51"/>
      <c r="AF31" s="136"/>
      <c r="AG31" s="136"/>
      <c r="AH31" s="136"/>
      <c r="AI31" s="51"/>
    </row>
    <row r="32" spans="1:35" s="18" customFormat="1" ht="17.25" thickTop="1" thickBot="1" x14ac:dyDescent="0.3">
      <c r="A32" s="51">
        <f>ROUND(G32+I32+0.475*K32-L32+Q32,0)</f>
        <v>63</v>
      </c>
      <c r="B32" s="137" t="s">
        <v>162</v>
      </c>
      <c r="C32" s="153"/>
      <c r="D32" s="138">
        <f>IF(SUM(F32:S32)&gt;0,1,"")</f>
        <v>1</v>
      </c>
      <c r="E32" s="138">
        <f>IF(D32=1,E31,0)</f>
        <v>32</v>
      </c>
      <c r="F32" s="139">
        <v>1</v>
      </c>
      <c r="G32" s="140">
        <v>11</v>
      </c>
      <c r="H32" s="139">
        <v>8</v>
      </c>
      <c r="I32" s="141">
        <v>38</v>
      </c>
      <c r="J32" s="139">
        <v>5</v>
      </c>
      <c r="K32" s="141">
        <v>9</v>
      </c>
      <c r="L32" s="140">
        <v>13</v>
      </c>
      <c r="M32" s="140">
        <v>22</v>
      </c>
      <c r="N32" s="140">
        <v>7</v>
      </c>
      <c r="O32" s="140">
        <v>8</v>
      </c>
      <c r="P32" s="140">
        <v>4</v>
      </c>
      <c r="Q32" s="140">
        <v>23</v>
      </c>
      <c r="R32" s="140">
        <v>11</v>
      </c>
      <c r="S32" s="142">
        <v>1</v>
      </c>
      <c r="T32" s="143">
        <f>IF(J32+2*H32+3*F32&gt;0,J32+2*H32+3*F32,IF(H3&gt;0,H3,""))</f>
        <v>24</v>
      </c>
      <c r="U32" s="144">
        <f>IF(G32&gt;0,F32/G32,"")</f>
        <v>9.0909090909090912E-2</v>
      </c>
      <c r="V32" s="144">
        <f>IF(I32&gt;0,H32/I32,"")</f>
        <v>0.21052631578947367</v>
      </c>
      <c r="W32" s="145">
        <f>IF(K32&gt;0,J32/K32,"")</f>
        <v>0.55555555555555558</v>
      </c>
      <c r="X32" s="144">
        <f t="shared" si="0"/>
        <v>0.18367346938775511</v>
      </c>
      <c r="Y32" s="146">
        <f t="shared" si="5"/>
        <v>0.19387755102040816</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1056" priority="29">
      <formula>AND($H$4&gt;0,$H$4&lt;&gt;$T$31)</formula>
    </cfRule>
  </conditionalFormatting>
  <conditionalFormatting sqref="T32 H3">
    <cfRule type="expression" dxfId="1055" priority="28">
      <formula>AND($H$3&gt;0,$H$3&lt;&gt;$T$32)</formula>
    </cfRule>
  </conditionalFormatting>
  <conditionalFormatting sqref="A2">
    <cfRule type="cellIs" dxfId="1054" priority="27" operator="equal">
      <formula>"R"</formula>
    </cfRule>
  </conditionalFormatting>
  <conditionalFormatting sqref="F7:F30 H7:H30 J7:J30">
    <cfRule type="expression" dxfId="1053" priority="26">
      <formula>F7&gt;G7</formula>
    </cfRule>
  </conditionalFormatting>
  <conditionalFormatting sqref="E7:E30">
    <cfRule type="expression" dxfId="1052" priority="25">
      <formula>$E7&gt;$E$31</formula>
    </cfRule>
  </conditionalFormatting>
  <conditionalFormatting sqref="L6">
    <cfRule type="expression" dxfId="1051" priority="24">
      <formula>OR($L$31&gt;($G$31+$I$31+$K$31-$F$31-$H$31-$J$31),L32&gt;(G31+I31+K31-F31-H31-J31))</formula>
    </cfRule>
  </conditionalFormatting>
  <conditionalFormatting sqref="M6">
    <cfRule type="expression" dxfId="1050" priority="23">
      <formula>OR(M31&gt;(G32-F32+I32-H32+K32-J32),M32&gt;(G31-F31+I31-H31+K31-J31))</formula>
    </cfRule>
  </conditionalFormatting>
  <conditionalFormatting sqref="N6">
    <cfRule type="expression" dxfId="1049" priority="22">
      <formula>OR($N$31&gt;($F$31+$H$31),$N$32&gt;($F$32+$H$32))</formula>
    </cfRule>
  </conditionalFormatting>
  <conditionalFormatting sqref="P6">
    <cfRule type="expression" dxfId="1048" priority="21">
      <formula>OR($P$31&gt;(G32-F32+I32-H32),P32&gt;(G31-F31+I31-H31))</formula>
    </cfRule>
  </conditionalFormatting>
  <conditionalFormatting sqref="Q6">
    <cfRule type="expression" dxfId="1047" priority="20">
      <formula>OR($Q$31&lt;$O$32,$Q$32&lt;$O$31)</formula>
    </cfRule>
  </conditionalFormatting>
  <conditionalFormatting sqref="L31:L32">
    <cfRule type="cellIs" dxfId="1046" priority="19" operator="greaterThan">
      <formula>$G31+$I31+$K31-$F31-$H31-$J31</formula>
    </cfRule>
  </conditionalFormatting>
  <conditionalFormatting sqref="M32">
    <cfRule type="cellIs" dxfId="1045" priority="18" operator="greaterThan">
      <formula>$G$31-$F$31+$I$31-$H$31+$K$31-$J$31</formula>
    </cfRule>
  </conditionalFormatting>
  <conditionalFormatting sqref="N31:N32">
    <cfRule type="cellIs" dxfId="1044" priority="17" operator="greaterThan">
      <formula>$F31+$H31</formula>
    </cfRule>
  </conditionalFormatting>
  <conditionalFormatting sqref="O32">
    <cfRule type="cellIs" dxfId="1043" priority="10" operator="greaterThan">
      <formula>$Q$31</formula>
    </cfRule>
  </conditionalFormatting>
  <conditionalFormatting sqref="P31">
    <cfRule type="cellIs" dxfId="1042" priority="16" operator="greaterThan">
      <formula>$G$32-$F$32+$I$32-$H$32</formula>
    </cfRule>
  </conditionalFormatting>
  <conditionalFormatting sqref="Q32">
    <cfRule type="cellIs" dxfId="1041" priority="15" operator="lessThan">
      <formula>$O$31</formula>
    </cfRule>
  </conditionalFormatting>
  <conditionalFormatting sqref="F7:F32">
    <cfRule type="cellIs" dxfId="1040" priority="14" operator="greaterThan">
      <formula>G7</formula>
    </cfRule>
  </conditionalFormatting>
  <conditionalFormatting sqref="H7:H32">
    <cfRule type="cellIs" dxfId="1039" priority="13" operator="greaterThan">
      <formula>I7</formula>
    </cfRule>
  </conditionalFormatting>
  <conditionalFormatting sqref="J7:J32">
    <cfRule type="cellIs" dxfId="1038" priority="12" operator="greaterThan">
      <formula>K7</formula>
    </cfRule>
  </conditionalFormatting>
  <conditionalFormatting sqref="M4">
    <cfRule type="cellIs" dxfId="1037" priority="11" operator="notBetween">
      <formula>$AH$2</formula>
      <formula>$AI$2</formula>
    </cfRule>
  </conditionalFormatting>
  <conditionalFormatting sqref="O31">
    <cfRule type="cellIs" dxfId="1036" priority="9" operator="greaterThan">
      <formula>$Q$32</formula>
    </cfRule>
  </conditionalFormatting>
  <conditionalFormatting sqref="Q31">
    <cfRule type="cellIs" dxfId="1035" priority="8" operator="lessThan">
      <formula>$O$32</formula>
    </cfRule>
  </conditionalFormatting>
  <conditionalFormatting sqref="M31">
    <cfRule type="cellIs" dxfId="1034" priority="7" operator="greaterThan">
      <formula>G32-F32 +I32-H32+K32-J32</formula>
    </cfRule>
  </conditionalFormatting>
  <conditionalFormatting sqref="B3">
    <cfRule type="expression" dxfId="1033" priority="6">
      <formula>$W$2 = TRUE</formula>
    </cfRule>
  </conditionalFormatting>
  <conditionalFormatting sqref="P4:Q4">
    <cfRule type="expression" dxfId="1032" priority="5">
      <formula>OR(AND($P$4=1,$X$4=1),AND($Q$4=1,$W$4=1))</formula>
    </cfRule>
  </conditionalFormatting>
  <conditionalFormatting sqref="D7:D30">
    <cfRule type="expression" dxfId="1031" priority="30">
      <formula>AND($D7=0,SUM($F7:$S7)&gt;0)</formula>
    </cfRule>
  </conditionalFormatting>
  <conditionalFormatting sqref="O6">
    <cfRule type="expression" dxfId="1030" priority="4">
      <formula>OR($O$31&gt;$Q$32,$O$32&gt;$Q$31)</formula>
    </cfRule>
  </conditionalFormatting>
  <conditionalFormatting sqref="F6">
    <cfRule type="expression" dxfId="1029" priority="3">
      <formula>OR(F$31&gt;G$31,F$32&gt;G$32)</formula>
    </cfRule>
  </conditionalFormatting>
  <conditionalFormatting sqref="H6">
    <cfRule type="expression" dxfId="1028" priority="2">
      <formula>OR(H$31&gt;I$31,H$32&gt;I$32)</formula>
    </cfRule>
  </conditionalFormatting>
  <conditionalFormatting sqref="J6">
    <cfRule type="expression" dxfId="1027"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C8" sqref="C8:C16"/>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77</v>
      </c>
      <c r="C3" s="70">
        <v>13</v>
      </c>
      <c r="D3" s="71">
        <v>6</v>
      </c>
      <c r="E3" s="71">
        <v>8</v>
      </c>
      <c r="F3" s="71">
        <v>15</v>
      </c>
      <c r="G3" s="72"/>
      <c r="H3" s="73">
        <f>SUM(C3:G3)</f>
        <v>42</v>
      </c>
      <c r="J3" s="12" t="s">
        <v>165</v>
      </c>
      <c r="P3" s="74" t="s">
        <v>135</v>
      </c>
      <c r="Q3" s="74" t="s">
        <v>137</v>
      </c>
      <c r="S3" s="75" t="s">
        <v>138</v>
      </c>
      <c r="U3" s="76" t="s">
        <v>139</v>
      </c>
      <c r="W3" s="77" t="s">
        <v>134</v>
      </c>
      <c r="X3" s="77" t="s">
        <v>136</v>
      </c>
      <c r="AA3" s="48" t="str">
        <f>B4</f>
        <v>Upton</v>
      </c>
      <c r="AD3" s="48">
        <f>SUM($C3:C3)</f>
        <v>13</v>
      </c>
      <c r="AE3" s="48">
        <f>SUM($C3:D3)</f>
        <v>19</v>
      </c>
      <c r="AF3" s="48">
        <f>SUM($C3:E3)</f>
        <v>27</v>
      </c>
      <c r="AG3" s="48">
        <f>SUM($C3:F3)</f>
        <v>42</v>
      </c>
      <c r="AH3" s="48">
        <f>SUM($C3:G3)</f>
        <v>42</v>
      </c>
      <c r="AJ3" s="74"/>
    </row>
    <row r="4" spans="1:36" ht="16.5" customHeight="1" thickTop="1" thickBot="1" x14ac:dyDescent="0.3">
      <c r="B4" s="78" t="str">
        <f>Roster!$B$1</f>
        <v>Upton</v>
      </c>
      <c r="C4" s="79">
        <v>14</v>
      </c>
      <c r="D4" s="80">
        <v>23</v>
      </c>
      <c r="E4" s="80">
        <v>16</v>
      </c>
      <c r="F4" s="80">
        <v>9</v>
      </c>
      <c r="G4" s="81"/>
      <c r="H4" s="82">
        <f>SUM(C4:G4)</f>
        <v>62</v>
      </c>
      <c r="J4" s="83"/>
      <c r="L4" s="84" t="s">
        <v>133</v>
      </c>
      <c r="M4" s="404">
        <v>44935</v>
      </c>
      <c r="N4" s="405"/>
      <c r="P4" s="83"/>
      <c r="Q4" s="83"/>
      <c r="S4" s="83"/>
      <c r="U4" s="83"/>
      <c r="W4" s="85">
        <f>IF(OR($S$4=1,$H$4&gt;$H$3),1,"")</f>
        <v>1</v>
      </c>
      <c r="X4" s="85" t="str">
        <f>IF(OR($U$4=1,$H$4&lt;$H$3),1,"")</f>
        <v/>
      </c>
      <c r="AA4" s="48" t="str">
        <f>B3</f>
        <v>Moorcroft</v>
      </c>
      <c r="AD4" s="48">
        <f>SUM($C4:C4)</f>
        <v>14</v>
      </c>
      <c r="AE4" s="48">
        <f>SUM($C4:D4)</f>
        <v>37</v>
      </c>
      <c r="AF4" s="48">
        <f>SUM($C4:E4)</f>
        <v>53</v>
      </c>
      <c r="AG4" s="48">
        <f>SUM($C4:F4)</f>
        <v>62</v>
      </c>
      <c r="AH4" s="48">
        <f>SUM($C4:G4)</f>
        <v>62</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1</v>
      </c>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26</v>
      </c>
      <c r="F8" s="101">
        <v>2</v>
      </c>
      <c r="G8" s="102">
        <v>4</v>
      </c>
      <c r="H8" s="103">
        <v>3</v>
      </c>
      <c r="I8" s="102">
        <v>4</v>
      </c>
      <c r="J8" s="103"/>
      <c r="K8" s="102"/>
      <c r="L8" s="103">
        <v>2</v>
      </c>
      <c r="M8" s="103">
        <v>5</v>
      </c>
      <c r="N8" s="103">
        <v>2</v>
      </c>
      <c r="O8" s="103">
        <v>2</v>
      </c>
      <c r="P8" s="103"/>
      <c r="Q8" s="103">
        <v>1</v>
      </c>
      <c r="R8" s="103">
        <v>1</v>
      </c>
      <c r="S8" s="104"/>
      <c r="T8" s="105">
        <f t="shared" ref="T8:T30" si="1">IF(J8+2*H8+3*F8&gt;0,J8+2*H8+3*F8,0)</f>
        <v>12</v>
      </c>
      <c r="U8" s="106">
        <f t="shared" ref="U8:U30" si="2">IF(G8&gt;0,F8/G8,"")</f>
        <v>0.5</v>
      </c>
      <c r="V8" s="106">
        <f t="shared" ref="V8:V30" si="3">IF(I8&gt;0,H8/I8,"")</f>
        <v>0.75</v>
      </c>
      <c r="W8" s="107" t="str">
        <f t="shared" ref="W8:W30" si="4">IF(K8&gt;0,J8/K8,"")</f>
        <v/>
      </c>
      <c r="X8" s="106">
        <f t="shared" si="0"/>
        <v>0.625</v>
      </c>
      <c r="Y8" s="108">
        <f t="shared" ref="Y8:Y32" si="5">IF(OR(G8&gt;0,I8 &gt;0),(1.5*F8+H8)/(G8+I8),"")</f>
        <v>0.75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29</v>
      </c>
      <c r="F9" s="111">
        <v>1</v>
      </c>
      <c r="G9" s="112">
        <v>5</v>
      </c>
      <c r="H9" s="113">
        <v>6</v>
      </c>
      <c r="I9" s="112">
        <v>13</v>
      </c>
      <c r="J9" s="113">
        <v>1</v>
      </c>
      <c r="K9" s="112">
        <v>1</v>
      </c>
      <c r="L9" s="113">
        <v>4</v>
      </c>
      <c r="M9" s="113">
        <v>2</v>
      </c>
      <c r="N9" s="113">
        <v>7</v>
      </c>
      <c r="O9" s="113">
        <v>5</v>
      </c>
      <c r="P9" s="113">
        <v>1</v>
      </c>
      <c r="Q9" s="113">
        <v>7</v>
      </c>
      <c r="R9" s="113">
        <v>1</v>
      </c>
      <c r="S9" s="114"/>
      <c r="T9" s="115">
        <f t="shared" si="1"/>
        <v>16</v>
      </c>
      <c r="U9" s="95">
        <f t="shared" si="2"/>
        <v>0.2</v>
      </c>
      <c r="V9" s="95">
        <f t="shared" si="3"/>
        <v>0.46153846153846156</v>
      </c>
      <c r="W9" s="96">
        <f t="shared" si="4"/>
        <v>1</v>
      </c>
      <c r="X9" s="95">
        <f t="shared" si="0"/>
        <v>0.3888888888888889</v>
      </c>
      <c r="Y9" s="116">
        <f t="shared" si="5"/>
        <v>0.41666666666666669</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26</v>
      </c>
      <c r="F10" s="101">
        <v>2</v>
      </c>
      <c r="G10" s="102">
        <v>6</v>
      </c>
      <c r="H10" s="103">
        <v>2</v>
      </c>
      <c r="I10" s="102">
        <v>7</v>
      </c>
      <c r="J10" s="103"/>
      <c r="K10" s="102"/>
      <c r="L10" s="103">
        <v>1</v>
      </c>
      <c r="M10" s="103">
        <v>3</v>
      </c>
      <c r="N10" s="103">
        <v>4</v>
      </c>
      <c r="O10" s="103"/>
      <c r="P10" s="103"/>
      <c r="Q10" s="103">
        <v>1</v>
      </c>
      <c r="R10" s="103"/>
      <c r="S10" s="104">
        <v>1</v>
      </c>
      <c r="T10" s="105">
        <f t="shared" si="1"/>
        <v>10</v>
      </c>
      <c r="U10" s="106">
        <f t="shared" si="2"/>
        <v>0.33333333333333331</v>
      </c>
      <c r="V10" s="106">
        <f t="shared" si="3"/>
        <v>0.2857142857142857</v>
      </c>
      <c r="W10" s="107" t="str">
        <f t="shared" si="4"/>
        <v/>
      </c>
      <c r="X10" s="106">
        <f t="shared" si="0"/>
        <v>0.30769230769230771</v>
      </c>
      <c r="Y10" s="108">
        <f t="shared" si="5"/>
        <v>0.38461538461538464</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67.5</v>
      </c>
      <c r="AB11" s="385">
        <f>T31/AA11</f>
        <v>0.91851851851851851</v>
      </c>
      <c r="AC11" s="385">
        <f>L31/AA11</f>
        <v>0.17777777777777778</v>
      </c>
      <c r="AD11" s="385">
        <f>M31/AA12</f>
        <v>0.33566433566433568</v>
      </c>
      <c r="AE11" s="389">
        <f>(L31+M31)/AA11</f>
        <v>0.53333333333333333</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71.5</v>
      </c>
      <c r="AB12" s="385">
        <f>T32/AA12</f>
        <v>0.58741258741258739</v>
      </c>
      <c r="AC12" s="385">
        <f>L32/AA12</f>
        <v>9.7902097902097904E-2</v>
      </c>
      <c r="AD12" s="385">
        <f>M32/AA11</f>
        <v>0.26666666666666666</v>
      </c>
      <c r="AE12" s="389">
        <f>(L32+M32)/AA12</f>
        <v>0.34965034965034963</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1</v>
      </c>
      <c r="F13" s="111"/>
      <c r="G13" s="112"/>
      <c r="H13" s="113"/>
      <c r="I13" s="112">
        <v>1</v>
      </c>
      <c r="J13" s="113"/>
      <c r="K13" s="112"/>
      <c r="L13" s="113"/>
      <c r="M13" s="113"/>
      <c r="N13" s="113"/>
      <c r="O13" s="113"/>
      <c r="P13" s="113"/>
      <c r="Q13" s="113"/>
      <c r="R13" s="113"/>
      <c r="S13" s="114"/>
      <c r="T13" s="115">
        <f t="shared" si="1"/>
        <v>0</v>
      </c>
      <c r="U13" s="95" t="str">
        <f t="shared" si="2"/>
        <v/>
      </c>
      <c r="V13" s="95">
        <f t="shared" si="3"/>
        <v>0</v>
      </c>
      <c r="W13" s="96" t="str">
        <f t="shared" si="4"/>
        <v/>
      </c>
      <c r="X13" s="95">
        <f t="shared" si="0"/>
        <v>0</v>
      </c>
      <c r="Y13" s="116">
        <f t="shared" si="5"/>
        <v>0</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26</v>
      </c>
      <c r="F14" s="101">
        <v>1</v>
      </c>
      <c r="G14" s="102">
        <v>5</v>
      </c>
      <c r="H14" s="103">
        <v>1</v>
      </c>
      <c r="I14" s="102">
        <v>1</v>
      </c>
      <c r="J14" s="103">
        <v>4</v>
      </c>
      <c r="K14" s="102">
        <v>4</v>
      </c>
      <c r="L14" s="103">
        <v>2</v>
      </c>
      <c r="M14" s="103">
        <v>7</v>
      </c>
      <c r="N14" s="103">
        <v>3</v>
      </c>
      <c r="O14" s="103">
        <v>3</v>
      </c>
      <c r="P14" s="103">
        <v>1</v>
      </c>
      <c r="Q14" s="103">
        <v>3</v>
      </c>
      <c r="R14" s="103">
        <v>3</v>
      </c>
      <c r="S14" s="104"/>
      <c r="T14" s="105">
        <f t="shared" si="1"/>
        <v>9</v>
      </c>
      <c r="U14" s="106">
        <f t="shared" si="2"/>
        <v>0.2</v>
      </c>
      <c r="V14" s="106">
        <f t="shared" si="3"/>
        <v>1</v>
      </c>
      <c r="W14" s="107">
        <f t="shared" si="4"/>
        <v>1</v>
      </c>
      <c r="X14" s="106">
        <f t="shared" si="0"/>
        <v>0.33333333333333331</v>
      </c>
      <c r="Y14" s="108">
        <f t="shared" si="5"/>
        <v>0.41666666666666669</v>
      </c>
      <c r="Z14" s="385"/>
      <c r="AA14" s="385"/>
      <c r="AB14" s="385">
        <f>N31/AA11</f>
        <v>0.26666666666666666</v>
      </c>
      <c r="AC14" s="385">
        <f>O31/AA12</f>
        <v>0.15384615384615385</v>
      </c>
      <c r="AD14" s="385">
        <f>Q31/AA11</f>
        <v>0.26666666666666666</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15</v>
      </c>
      <c r="F15" s="111"/>
      <c r="G15" s="112"/>
      <c r="H15" s="113">
        <v>2</v>
      </c>
      <c r="I15" s="112">
        <v>3</v>
      </c>
      <c r="J15" s="113"/>
      <c r="K15" s="112"/>
      <c r="L15" s="113">
        <v>1</v>
      </c>
      <c r="M15" s="113">
        <v>4</v>
      </c>
      <c r="N15" s="113">
        <v>1</v>
      </c>
      <c r="O15" s="113"/>
      <c r="P15" s="113"/>
      <c r="Q15" s="113">
        <v>2</v>
      </c>
      <c r="R15" s="113">
        <v>1</v>
      </c>
      <c r="S15" s="114"/>
      <c r="T15" s="115">
        <f t="shared" si="1"/>
        <v>4</v>
      </c>
      <c r="U15" s="95" t="str">
        <f t="shared" si="2"/>
        <v/>
      </c>
      <c r="V15" s="95">
        <f t="shared" si="3"/>
        <v>0.66666666666666663</v>
      </c>
      <c r="W15" s="96" t="str">
        <f t="shared" si="4"/>
        <v/>
      </c>
      <c r="X15" s="95">
        <f t="shared" si="0"/>
        <v>0.66666666666666663</v>
      </c>
      <c r="Y15" s="116">
        <f t="shared" si="5"/>
        <v>0.66666666666666663</v>
      </c>
      <c r="Z15" s="392"/>
      <c r="AA15" s="393"/>
      <c r="AB15" s="393">
        <f>N32/AA12</f>
        <v>0.11188811188811189</v>
      </c>
      <c r="AC15" s="393">
        <f>O32/AA11</f>
        <v>0.14814814814814814</v>
      </c>
      <c r="AD15" s="393">
        <f>Q32/AA12</f>
        <v>0.27972027972027974</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21</v>
      </c>
      <c r="F16" s="101">
        <v>1</v>
      </c>
      <c r="G16" s="102">
        <v>5</v>
      </c>
      <c r="H16" s="103">
        <v>1</v>
      </c>
      <c r="I16" s="102">
        <v>1</v>
      </c>
      <c r="J16" s="103"/>
      <c r="K16" s="102"/>
      <c r="L16" s="103">
        <v>1</v>
      </c>
      <c r="M16" s="103">
        <v>3</v>
      </c>
      <c r="N16" s="103"/>
      <c r="O16" s="103"/>
      <c r="P16" s="103">
        <v>2</v>
      </c>
      <c r="Q16" s="103">
        <v>4</v>
      </c>
      <c r="R16" s="103">
        <v>3</v>
      </c>
      <c r="S16" s="104"/>
      <c r="T16" s="105">
        <f t="shared" si="1"/>
        <v>5</v>
      </c>
      <c r="U16" s="106">
        <f t="shared" si="2"/>
        <v>0.2</v>
      </c>
      <c r="V16" s="106">
        <f t="shared" si="3"/>
        <v>1</v>
      </c>
      <c r="W16" s="107" t="str">
        <f t="shared" si="4"/>
        <v/>
      </c>
      <c r="X16" s="106">
        <f t="shared" si="0"/>
        <v>0.33333333333333331</v>
      </c>
      <c r="Y16" s="108">
        <f t="shared" si="5"/>
        <v>0.41666666666666669</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12</v>
      </c>
      <c r="F19" s="111">
        <v>1</v>
      </c>
      <c r="G19" s="112">
        <v>1</v>
      </c>
      <c r="H19" s="113">
        <v>1</v>
      </c>
      <c r="I19" s="112">
        <v>2</v>
      </c>
      <c r="J19" s="113">
        <v>1</v>
      </c>
      <c r="K19" s="112">
        <v>2</v>
      </c>
      <c r="L19" s="113">
        <v>1</v>
      </c>
      <c r="M19" s="113"/>
      <c r="N19" s="113">
        <v>1</v>
      </c>
      <c r="O19" s="113">
        <v>1</v>
      </c>
      <c r="P19" s="113"/>
      <c r="Q19" s="113"/>
      <c r="R19" s="113"/>
      <c r="S19" s="114"/>
      <c r="T19" s="115">
        <f t="shared" si="1"/>
        <v>6</v>
      </c>
      <c r="U19" s="95">
        <f t="shared" si="2"/>
        <v>1</v>
      </c>
      <c r="V19" s="95">
        <f t="shared" si="3"/>
        <v>0.5</v>
      </c>
      <c r="W19" s="96">
        <f t="shared" si="4"/>
        <v>0.5</v>
      </c>
      <c r="X19" s="95">
        <f t="shared" si="0"/>
        <v>0.66666666666666663</v>
      </c>
      <c r="Y19" s="116">
        <f t="shared" si="5"/>
        <v>0.83333333333333337</v>
      </c>
      <c r="Z19" s="388" t="s">
        <v>124</v>
      </c>
      <c r="AA19" s="385">
        <f>AB11*65</f>
        <v>59.703703703703702</v>
      </c>
      <c r="AB19" s="385">
        <f t="shared" ref="AB19:AD20" si="6">AC11*65</f>
        <v>11.555555555555555</v>
      </c>
      <c r="AC19" s="385">
        <f t="shared" si="6"/>
        <v>21.81818181818182</v>
      </c>
      <c r="AD19" s="385">
        <f t="shared" si="6"/>
        <v>34.666666666666664</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38.18181818181818</v>
      </c>
      <c r="AB20" s="385">
        <f t="shared" si="6"/>
        <v>6.3636363636363633</v>
      </c>
      <c r="AC20" s="385">
        <f t="shared" si="6"/>
        <v>17.333333333333332</v>
      </c>
      <c r="AD20" s="385">
        <f t="shared" si="6"/>
        <v>22.727272727272727</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17.333333333333332</v>
      </c>
      <c r="AC22" s="385">
        <f t="shared" si="7"/>
        <v>10</v>
      </c>
      <c r="AD22" s="385">
        <f>AD14*65</f>
        <v>17.333333333333332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7.2727272727272725</v>
      </c>
      <c r="AC23" s="393">
        <f t="shared" si="7"/>
        <v>9.6296296296296298</v>
      </c>
      <c r="AD23" s="393">
        <f t="shared" si="7"/>
        <v>18.181818181818183</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67</v>
      </c>
      <c r="B31" s="126" t="s">
        <v>161</v>
      </c>
      <c r="C31" s="151"/>
      <c r="D31" s="152">
        <f>IF(COUNTA($D$7:$D$30)&gt;0,1,"")</f>
        <v>1</v>
      </c>
      <c r="E31" s="127">
        <f>IF(D31=1,32+J4*4,"")</f>
        <v>32</v>
      </c>
      <c r="F31" s="128">
        <f t="shared" ref="F31:S31" si="8">SUM(F7:F30)</f>
        <v>8</v>
      </c>
      <c r="G31" s="129">
        <f t="shared" si="8"/>
        <v>26</v>
      </c>
      <c r="H31" s="128">
        <f t="shared" si="8"/>
        <v>16</v>
      </c>
      <c r="I31" s="130">
        <f t="shared" si="8"/>
        <v>32</v>
      </c>
      <c r="J31" s="129">
        <f t="shared" si="8"/>
        <v>6</v>
      </c>
      <c r="K31" s="130">
        <f t="shared" si="8"/>
        <v>7</v>
      </c>
      <c r="L31" s="129">
        <f t="shared" si="8"/>
        <v>12</v>
      </c>
      <c r="M31" s="129">
        <f t="shared" si="8"/>
        <v>24</v>
      </c>
      <c r="N31" s="129">
        <f t="shared" si="8"/>
        <v>18</v>
      </c>
      <c r="O31" s="129">
        <f t="shared" si="8"/>
        <v>11</v>
      </c>
      <c r="P31" s="129">
        <f t="shared" si="8"/>
        <v>4</v>
      </c>
      <c r="Q31" s="129">
        <f t="shared" si="8"/>
        <v>18</v>
      </c>
      <c r="R31" s="129">
        <f t="shared" si="8"/>
        <v>9</v>
      </c>
      <c r="S31" s="131">
        <f t="shared" si="8"/>
        <v>1</v>
      </c>
      <c r="T31" s="132">
        <f>IF(J31+2*H31+3*F31&gt;0,J31+2*H31+3*F31,IF(H4&gt;0,H4,""))</f>
        <v>62</v>
      </c>
      <c r="U31" s="133">
        <f>IF(G31&gt;0,F31/G31,"")</f>
        <v>0.30769230769230771</v>
      </c>
      <c r="V31" s="133">
        <f>IF(I31&gt;0,H31/I31,"")</f>
        <v>0.5</v>
      </c>
      <c r="W31" s="134">
        <f>IF(K31&gt;0,J31/K31,"")</f>
        <v>0.8571428571428571</v>
      </c>
      <c r="X31" s="133">
        <f t="shared" si="0"/>
        <v>0.41379310344827586</v>
      </c>
      <c r="Y31" s="135">
        <f t="shared" si="5"/>
        <v>0.48275862068965519</v>
      </c>
      <c r="AB31" s="51"/>
      <c r="AC31" s="51"/>
      <c r="AD31" s="51"/>
      <c r="AE31" s="51"/>
      <c r="AF31" s="136"/>
      <c r="AG31" s="136"/>
      <c r="AH31" s="136"/>
      <c r="AI31" s="51"/>
    </row>
    <row r="32" spans="1:35" s="18" customFormat="1" ht="17.25" thickTop="1" thickBot="1" x14ac:dyDescent="0.3">
      <c r="A32" s="51">
        <f>ROUND(G32+I32+0.475*K32-L32+Q32,0)</f>
        <v>71</v>
      </c>
      <c r="B32" s="137" t="s">
        <v>162</v>
      </c>
      <c r="C32" s="153"/>
      <c r="D32" s="138">
        <f>IF(SUM(F32:S32)&gt;0,1,"")</f>
        <v>1</v>
      </c>
      <c r="E32" s="138">
        <f>IF(D32=1,E31,0)</f>
        <v>32</v>
      </c>
      <c r="F32" s="139">
        <v>3</v>
      </c>
      <c r="G32" s="140">
        <v>16</v>
      </c>
      <c r="H32" s="139">
        <v>15</v>
      </c>
      <c r="I32" s="141">
        <v>39</v>
      </c>
      <c r="J32" s="139">
        <v>3</v>
      </c>
      <c r="K32" s="141">
        <v>7</v>
      </c>
      <c r="L32" s="140">
        <v>7</v>
      </c>
      <c r="M32" s="140">
        <v>18</v>
      </c>
      <c r="N32" s="140">
        <v>8</v>
      </c>
      <c r="O32" s="140">
        <v>10</v>
      </c>
      <c r="P32" s="140"/>
      <c r="Q32" s="140">
        <v>20</v>
      </c>
      <c r="R32" s="140">
        <v>9</v>
      </c>
      <c r="S32" s="142"/>
      <c r="T32" s="143">
        <f>IF(J32+2*H32+3*F32&gt;0,J32+2*H32+3*F32,IF(H3&gt;0,H3,""))</f>
        <v>42</v>
      </c>
      <c r="U32" s="144">
        <f>IF(G32&gt;0,F32/G32,"")</f>
        <v>0.1875</v>
      </c>
      <c r="V32" s="144">
        <f>IF(I32&gt;0,H32/I32,"")</f>
        <v>0.38461538461538464</v>
      </c>
      <c r="W32" s="145">
        <f>IF(K32&gt;0,J32/K32,"")</f>
        <v>0.42857142857142855</v>
      </c>
      <c r="X32" s="144">
        <f t="shared" si="0"/>
        <v>0.32727272727272727</v>
      </c>
      <c r="Y32" s="146">
        <f t="shared" si="5"/>
        <v>0.35454545454545455</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1026" priority="29">
      <formula>AND($H$4&gt;0,$H$4&lt;&gt;$T$31)</formula>
    </cfRule>
  </conditionalFormatting>
  <conditionalFormatting sqref="T32 H3">
    <cfRule type="expression" dxfId="1025" priority="28">
      <formula>AND($H$3&gt;0,$H$3&lt;&gt;$T$32)</formula>
    </cfRule>
  </conditionalFormatting>
  <conditionalFormatting sqref="A2">
    <cfRule type="cellIs" dxfId="1024" priority="27" operator="equal">
      <formula>"R"</formula>
    </cfRule>
  </conditionalFormatting>
  <conditionalFormatting sqref="F7:F30 H7:H30 J7:J30">
    <cfRule type="expression" dxfId="1023" priority="26">
      <formula>F7&gt;G7</formula>
    </cfRule>
  </conditionalFormatting>
  <conditionalFormatting sqref="E7:E30">
    <cfRule type="expression" dxfId="1022" priority="25">
      <formula>$E7&gt;$E$31</formula>
    </cfRule>
  </conditionalFormatting>
  <conditionalFormatting sqref="L6">
    <cfRule type="expression" dxfId="1021" priority="24">
      <formula>OR($L$31&gt;($G$31+$I$31+$K$31-$F$31-$H$31-$J$31),L32&gt;(G31+I31+K31-F31-H31-J31))</formula>
    </cfRule>
  </conditionalFormatting>
  <conditionalFormatting sqref="M6">
    <cfRule type="expression" dxfId="1020" priority="23">
      <formula>OR(M31&gt;(G32-F32+I32-H32+K32-J32),M32&gt;(G31-F31+I31-H31+K31-J31))</formula>
    </cfRule>
  </conditionalFormatting>
  <conditionalFormatting sqref="N6">
    <cfRule type="expression" dxfId="1019" priority="22">
      <formula>OR($N$31&gt;($F$31+$H$31),$N$32&gt;($F$32+$H$32))</formula>
    </cfRule>
  </conditionalFormatting>
  <conditionalFormatting sqref="P6">
    <cfRule type="expression" dxfId="1018" priority="21">
      <formula>OR($P$31&gt;(G32-F32+I32-H32),P32&gt;(G31-F31+I31-H31))</formula>
    </cfRule>
  </conditionalFormatting>
  <conditionalFormatting sqref="Q6">
    <cfRule type="expression" dxfId="1017" priority="20">
      <formula>OR($Q$31&lt;$O$32,$Q$32&lt;$O$31)</formula>
    </cfRule>
  </conditionalFormatting>
  <conditionalFormatting sqref="L31:L32">
    <cfRule type="cellIs" dxfId="1016" priority="19" operator="greaterThan">
      <formula>$G31+$I31+$K31-$F31-$H31-$J31</formula>
    </cfRule>
  </conditionalFormatting>
  <conditionalFormatting sqref="M32">
    <cfRule type="cellIs" dxfId="1015" priority="18" operator="greaterThan">
      <formula>$G$31-$F$31+$I$31-$H$31+$K$31-$J$31</formula>
    </cfRule>
  </conditionalFormatting>
  <conditionalFormatting sqref="N31:N32">
    <cfRule type="cellIs" dxfId="1014" priority="17" operator="greaterThan">
      <formula>$F31+$H31</formula>
    </cfRule>
  </conditionalFormatting>
  <conditionalFormatting sqref="O32">
    <cfRule type="cellIs" dxfId="1013" priority="10" operator="greaterThan">
      <formula>$Q$31</formula>
    </cfRule>
  </conditionalFormatting>
  <conditionalFormatting sqref="P31">
    <cfRule type="cellIs" dxfId="1012" priority="16" operator="greaterThan">
      <formula>$G$32-$F$32+$I$32-$H$32</formula>
    </cfRule>
  </conditionalFormatting>
  <conditionalFormatting sqref="Q32">
    <cfRule type="cellIs" dxfId="1011" priority="15" operator="lessThan">
      <formula>$O$31</formula>
    </cfRule>
  </conditionalFormatting>
  <conditionalFormatting sqref="F7:F32">
    <cfRule type="cellIs" dxfId="1010" priority="14" operator="greaterThan">
      <formula>G7</formula>
    </cfRule>
  </conditionalFormatting>
  <conditionalFormatting sqref="H7:H32">
    <cfRule type="cellIs" dxfId="1009" priority="13" operator="greaterThan">
      <formula>I7</formula>
    </cfRule>
  </conditionalFormatting>
  <conditionalFormatting sqref="J7:J32">
    <cfRule type="cellIs" dxfId="1008" priority="12" operator="greaterThan">
      <formula>K7</formula>
    </cfRule>
  </conditionalFormatting>
  <conditionalFormatting sqref="M4">
    <cfRule type="cellIs" dxfId="1007" priority="11" operator="notBetween">
      <formula>$AH$2</formula>
      <formula>$AI$2</formula>
    </cfRule>
  </conditionalFormatting>
  <conditionalFormatting sqref="O31">
    <cfRule type="cellIs" dxfId="1006" priority="9" operator="greaterThan">
      <formula>$Q$32</formula>
    </cfRule>
  </conditionalFormatting>
  <conditionalFormatting sqref="Q31">
    <cfRule type="cellIs" dxfId="1005" priority="8" operator="lessThan">
      <formula>$O$32</formula>
    </cfRule>
  </conditionalFormatting>
  <conditionalFormatting sqref="M31">
    <cfRule type="cellIs" dxfId="1004" priority="7" operator="greaterThan">
      <formula>G32-F32 +I32-H32+K32-J32</formula>
    </cfRule>
  </conditionalFormatting>
  <conditionalFormatting sqref="B3">
    <cfRule type="expression" dxfId="1003" priority="6">
      <formula>$W$2 = TRUE</formula>
    </cfRule>
  </conditionalFormatting>
  <conditionalFormatting sqref="P4:Q4">
    <cfRule type="expression" dxfId="1002" priority="5">
      <formula>OR(AND($P$4=1,$X$4=1),AND($Q$4=1,$W$4=1))</formula>
    </cfRule>
  </conditionalFormatting>
  <conditionalFormatting sqref="D7:D30">
    <cfRule type="expression" dxfId="1001" priority="30">
      <formula>AND($D7=0,SUM($F7:$S7)&gt;0)</formula>
    </cfRule>
  </conditionalFormatting>
  <conditionalFormatting sqref="O6">
    <cfRule type="expression" dxfId="1000" priority="4">
      <formula>OR($O$31&gt;$Q$32,$O$32&gt;$Q$31)</formula>
    </cfRule>
  </conditionalFormatting>
  <conditionalFormatting sqref="F6">
    <cfRule type="expression" dxfId="999" priority="3">
      <formula>OR(F$31&gt;G$31,F$32&gt;G$32)</formula>
    </cfRule>
  </conditionalFormatting>
  <conditionalFormatting sqref="H6">
    <cfRule type="expression" dxfId="998" priority="2">
      <formula>OR(H$31&gt;I$31,H$32&gt;I$32)</formula>
    </cfRule>
  </conditionalFormatting>
  <conditionalFormatting sqref="J6">
    <cfRule type="expression" dxfId="997"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Z36" sqref="Z36"/>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t="s">
        <v>371</v>
      </c>
      <c r="C3" s="70">
        <v>14</v>
      </c>
      <c r="D3" s="71">
        <v>4</v>
      </c>
      <c r="E3" s="71">
        <v>12</v>
      </c>
      <c r="F3" s="71">
        <v>8</v>
      </c>
      <c r="G3" s="72"/>
      <c r="H3" s="73">
        <f>SUM(C3:G3)</f>
        <v>38</v>
      </c>
      <c r="J3" s="12" t="s">
        <v>165</v>
      </c>
      <c r="P3" s="74" t="s">
        <v>135</v>
      </c>
      <c r="Q3" s="74" t="s">
        <v>137</v>
      </c>
      <c r="S3" s="75" t="s">
        <v>138</v>
      </c>
      <c r="U3" s="76" t="s">
        <v>139</v>
      </c>
      <c r="W3" s="77" t="s">
        <v>134</v>
      </c>
      <c r="X3" s="77" t="s">
        <v>136</v>
      </c>
      <c r="AA3" s="48" t="str">
        <f>B4</f>
        <v>Upton</v>
      </c>
      <c r="AD3" s="48">
        <f>SUM($C3:C3)</f>
        <v>14</v>
      </c>
      <c r="AE3" s="48">
        <f>SUM($C3:D3)</f>
        <v>18</v>
      </c>
      <c r="AF3" s="48">
        <f>SUM($C3:E3)</f>
        <v>30</v>
      </c>
      <c r="AG3" s="48">
        <f>SUM($C3:F3)</f>
        <v>38</v>
      </c>
      <c r="AH3" s="48">
        <f>SUM($C3:G3)</f>
        <v>38</v>
      </c>
      <c r="AJ3" s="74"/>
    </row>
    <row r="4" spans="1:36" ht="16.5" customHeight="1" thickTop="1" thickBot="1" x14ac:dyDescent="0.3">
      <c r="B4" s="78" t="str">
        <f>Roster!$B$1</f>
        <v>Upton</v>
      </c>
      <c r="C4" s="79">
        <v>4</v>
      </c>
      <c r="D4" s="80">
        <v>11</v>
      </c>
      <c r="E4" s="80">
        <v>2</v>
      </c>
      <c r="F4" s="80">
        <v>25</v>
      </c>
      <c r="G4" s="81"/>
      <c r="H4" s="82">
        <f>SUM(C4:G4)</f>
        <v>42</v>
      </c>
      <c r="J4" s="83"/>
      <c r="L4" s="84" t="s">
        <v>133</v>
      </c>
      <c r="M4" s="404">
        <v>44938</v>
      </c>
      <c r="N4" s="405"/>
      <c r="P4" s="83"/>
      <c r="Q4" s="83"/>
      <c r="S4" s="83"/>
      <c r="U4" s="83"/>
      <c r="W4" s="85">
        <f>IF(OR($S$4=1,$H$4&gt;$H$3),1,"")</f>
        <v>1</v>
      </c>
      <c r="X4" s="85" t="str">
        <f>IF(OR($U$4=1,$H$4&lt;$H$3),1,"")</f>
        <v/>
      </c>
      <c r="AA4" s="48" t="str">
        <f>B3</f>
        <v>New Underwood, SD</v>
      </c>
      <c r="AD4" s="48">
        <f>SUM($C4:C4)</f>
        <v>4</v>
      </c>
      <c r="AE4" s="48">
        <f>SUM($C4:D4)</f>
        <v>15</v>
      </c>
      <c r="AF4" s="48">
        <f>SUM($C4:E4)</f>
        <v>17</v>
      </c>
      <c r="AG4" s="48">
        <f>SUM($C4:F4)</f>
        <v>42</v>
      </c>
      <c r="AH4" s="48">
        <f>SUM($C4:G4)</f>
        <v>42</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27</v>
      </c>
      <c r="F8" s="101">
        <v>2</v>
      </c>
      <c r="G8" s="102">
        <v>6</v>
      </c>
      <c r="H8" s="103">
        <v>1</v>
      </c>
      <c r="I8" s="102">
        <v>7</v>
      </c>
      <c r="J8" s="103">
        <v>1</v>
      </c>
      <c r="K8" s="102">
        <v>3</v>
      </c>
      <c r="L8" s="103">
        <v>2</v>
      </c>
      <c r="M8" s="103">
        <v>3</v>
      </c>
      <c r="N8" s="103">
        <v>1</v>
      </c>
      <c r="O8" s="103">
        <v>4</v>
      </c>
      <c r="P8" s="103"/>
      <c r="Q8" s="103">
        <v>3</v>
      </c>
      <c r="R8" s="103">
        <v>2</v>
      </c>
      <c r="S8" s="104"/>
      <c r="T8" s="105">
        <f t="shared" ref="T8:T30" si="1">IF(J8+2*H8+3*F8&gt;0,J8+2*H8+3*F8,0)</f>
        <v>9</v>
      </c>
      <c r="U8" s="106">
        <f t="shared" ref="U8:U30" si="2">IF(G8&gt;0,F8/G8,"")</f>
        <v>0.33333333333333331</v>
      </c>
      <c r="V8" s="106">
        <f t="shared" ref="V8:V30" si="3">IF(I8&gt;0,H8/I8,"")</f>
        <v>0.14285714285714285</v>
      </c>
      <c r="W8" s="107">
        <f t="shared" ref="W8:W30" si="4">IF(K8&gt;0,J8/K8,"")</f>
        <v>0.33333333333333331</v>
      </c>
      <c r="X8" s="106">
        <f t="shared" si="0"/>
        <v>0.23076923076923078</v>
      </c>
      <c r="Y8" s="108">
        <f t="shared" ref="Y8:Y32" si="5">IF(OR(G8&gt;0,I8 &gt;0),(1.5*F8+H8)/(G8+I8),"")</f>
        <v>0.30769230769230771</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29</v>
      </c>
      <c r="F9" s="111"/>
      <c r="G9" s="112">
        <v>4</v>
      </c>
      <c r="H9" s="113">
        <v>4</v>
      </c>
      <c r="I9" s="112">
        <v>8</v>
      </c>
      <c r="J9" s="113">
        <v>2</v>
      </c>
      <c r="K9" s="112">
        <v>4</v>
      </c>
      <c r="L9" s="113">
        <v>3</v>
      </c>
      <c r="M9" s="113">
        <v>3</v>
      </c>
      <c r="N9" s="113">
        <v>3</v>
      </c>
      <c r="O9" s="113">
        <v>3</v>
      </c>
      <c r="P9" s="113"/>
      <c r="Q9" s="113">
        <v>2</v>
      </c>
      <c r="R9" s="113">
        <v>2</v>
      </c>
      <c r="S9" s="114"/>
      <c r="T9" s="115">
        <f t="shared" si="1"/>
        <v>10</v>
      </c>
      <c r="U9" s="95">
        <f t="shared" si="2"/>
        <v>0</v>
      </c>
      <c r="V9" s="95">
        <f t="shared" si="3"/>
        <v>0.5</v>
      </c>
      <c r="W9" s="96">
        <f t="shared" si="4"/>
        <v>0.5</v>
      </c>
      <c r="X9" s="95">
        <f t="shared" si="0"/>
        <v>0.33333333333333331</v>
      </c>
      <c r="Y9" s="116">
        <f t="shared" si="5"/>
        <v>0.33333333333333331</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26</v>
      </c>
      <c r="F10" s="101"/>
      <c r="G10" s="102">
        <v>7</v>
      </c>
      <c r="H10" s="103"/>
      <c r="I10" s="102">
        <v>1</v>
      </c>
      <c r="J10" s="103"/>
      <c r="K10" s="102"/>
      <c r="L10" s="103"/>
      <c r="M10" s="103">
        <v>5</v>
      </c>
      <c r="N10" s="103"/>
      <c r="O10" s="103">
        <v>1</v>
      </c>
      <c r="P10" s="103"/>
      <c r="Q10" s="103"/>
      <c r="R10" s="103">
        <v>1</v>
      </c>
      <c r="S10" s="104"/>
      <c r="T10" s="105">
        <f t="shared" si="1"/>
        <v>0</v>
      </c>
      <c r="U10" s="106">
        <f t="shared" si="2"/>
        <v>0</v>
      </c>
      <c r="V10" s="106">
        <f t="shared" si="3"/>
        <v>0</v>
      </c>
      <c r="W10" s="107" t="str">
        <f t="shared" si="4"/>
        <v/>
      </c>
      <c r="X10" s="106">
        <f t="shared" si="0"/>
        <v>0</v>
      </c>
      <c r="Y10" s="108">
        <f t="shared" si="5"/>
        <v>0</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62</v>
      </c>
      <c r="AB11" s="385">
        <f>T31/AA11</f>
        <v>0.67741935483870963</v>
      </c>
      <c r="AC11" s="385">
        <f>L31/AA11</f>
        <v>0.20967741935483872</v>
      </c>
      <c r="AD11" s="385">
        <f>M31/AA12</f>
        <v>0.34146341463414637</v>
      </c>
      <c r="AE11" s="389">
        <f>(L31+M31)/AA11</f>
        <v>0.54838709677419351</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61.5</v>
      </c>
      <c r="AB12" s="385">
        <f>T32/AA12</f>
        <v>0.61788617886178865</v>
      </c>
      <c r="AC12" s="385">
        <f>L32/AA12</f>
        <v>0.13008130081300814</v>
      </c>
      <c r="AD12" s="385">
        <f>M32/AA11</f>
        <v>0.43548387096774194</v>
      </c>
      <c r="AE12" s="389">
        <f>(L32+M32)/AA12</f>
        <v>0.56910569105691056</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27</v>
      </c>
      <c r="F14" s="101"/>
      <c r="G14" s="102">
        <v>4</v>
      </c>
      <c r="H14" s="103">
        <v>6</v>
      </c>
      <c r="I14" s="102">
        <v>8</v>
      </c>
      <c r="J14" s="103">
        <v>9</v>
      </c>
      <c r="K14" s="102">
        <v>10</v>
      </c>
      <c r="L14" s="103">
        <v>3</v>
      </c>
      <c r="M14" s="103">
        <v>2</v>
      </c>
      <c r="N14" s="103"/>
      <c r="O14" s="103"/>
      <c r="P14" s="103">
        <v>2</v>
      </c>
      <c r="Q14" s="103">
        <v>1</v>
      </c>
      <c r="R14" s="103">
        <v>3</v>
      </c>
      <c r="S14" s="104"/>
      <c r="T14" s="105">
        <f t="shared" si="1"/>
        <v>21</v>
      </c>
      <c r="U14" s="106">
        <f t="shared" si="2"/>
        <v>0</v>
      </c>
      <c r="V14" s="106">
        <f t="shared" si="3"/>
        <v>0.75</v>
      </c>
      <c r="W14" s="107">
        <f t="shared" si="4"/>
        <v>0.9</v>
      </c>
      <c r="X14" s="106">
        <f t="shared" si="0"/>
        <v>0.5</v>
      </c>
      <c r="Y14" s="108">
        <f t="shared" si="5"/>
        <v>0.5</v>
      </c>
      <c r="Z14" s="385"/>
      <c r="AA14" s="385"/>
      <c r="AB14" s="385">
        <f>N31/AA11</f>
        <v>0.11290322580645161</v>
      </c>
      <c r="AC14" s="385">
        <f>O31/AA12</f>
        <v>0.16260162601626016</v>
      </c>
      <c r="AD14" s="385">
        <f>Q31/AA11</f>
        <v>0.14516129032258066</v>
      </c>
      <c r="AE14" s="389"/>
      <c r="AF14" s="51"/>
      <c r="AG14" s="51"/>
      <c r="AH14" s="51"/>
      <c r="AI14" s="51"/>
    </row>
    <row r="15" spans="1:36" s="18" customFormat="1" ht="15.75" x14ac:dyDescent="0.25">
      <c r="A15" s="87">
        <f>IF(Roster!A15&lt;&gt;"",Roster!A15,"")</f>
        <v>25</v>
      </c>
      <c r="B15" s="17" t="str">
        <f>IF(OR(Roster!A15&lt;&gt;"",Roster!B15&lt;&gt;""),PROPER(Roster!B15),"")</f>
        <v>Bridger Bruce</v>
      </c>
      <c r="C15" s="109" t="s">
        <v>369</v>
      </c>
      <c r="D15" s="149">
        <v>1</v>
      </c>
      <c r="E15" s="110">
        <v>11</v>
      </c>
      <c r="F15" s="111"/>
      <c r="G15" s="112">
        <v>1</v>
      </c>
      <c r="H15" s="113"/>
      <c r="I15" s="112">
        <v>3</v>
      </c>
      <c r="J15" s="113"/>
      <c r="K15" s="112">
        <v>2</v>
      </c>
      <c r="L15" s="113">
        <v>2</v>
      </c>
      <c r="M15" s="113">
        <v>3</v>
      </c>
      <c r="N15" s="113"/>
      <c r="O15" s="113"/>
      <c r="P15" s="113"/>
      <c r="Q15" s="113">
        <v>2</v>
      </c>
      <c r="R15" s="113">
        <v>2</v>
      </c>
      <c r="S15" s="114"/>
      <c r="T15" s="115">
        <f t="shared" si="1"/>
        <v>0</v>
      </c>
      <c r="U15" s="95">
        <f t="shared" si="2"/>
        <v>0</v>
      </c>
      <c r="V15" s="95">
        <f t="shared" si="3"/>
        <v>0</v>
      </c>
      <c r="W15" s="96">
        <f t="shared" si="4"/>
        <v>0</v>
      </c>
      <c r="X15" s="95">
        <f t="shared" si="0"/>
        <v>0</v>
      </c>
      <c r="Y15" s="116">
        <f t="shared" si="5"/>
        <v>0</v>
      </c>
      <c r="Z15" s="392"/>
      <c r="AA15" s="393"/>
      <c r="AB15" s="393">
        <f>N32/AA12</f>
        <v>0.16260162601626016</v>
      </c>
      <c r="AC15" s="393">
        <f>O32/AA11</f>
        <v>3.2258064516129031E-2</v>
      </c>
      <c r="AD15" s="393">
        <f>Q32/AA12</f>
        <v>0.32520325203252032</v>
      </c>
      <c r="AE15" s="394"/>
      <c r="AF15" s="51"/>
      <c r="AG15" s="51"/>
      <c r="AH15" s="51"/>
      <c r="AI15" s="51"/>
    </row>
    <row r="16" spans="1:36" s="18" customFormat="1" ht="15.75" x14ac:dyDescent="0.25">
      <c r="A16" s="87">
        <f>IF(Roster!A16&lt;&gt;"",Roster!A16,"")</f>
        <v>31</v>
      </c>
      <c r="B16" s="19" t="str">
        <f>IF(OR(Roster!A16&lt;&gt;"",Roster!B16&lt;&gt;""),PROPER(Roster!B16),"")</f>
        <v>Kailer Duarte</v>
      </c>
      <c r="C16" s="99"/>
      <c r="D16" s="148">
        <v>1</v>
      </c>
      <c r="E16" s="100">
        <v>22</v>
      </c>
      <c r="F16" s="101"/>
      <c r="G16" s="102">
        <v>3</v>
      </c>
      <c r="H16" s="103">
        <v>1</v>
      </c>
      <c r="I16" s="102">
        <v>4</v>
      </c>
      <c r="J16" s="103"/>
      <c r="K16" s="102"/>
      <c r="L16" s="103">
        <v>3</v>
      </c>
      <c r="M16" s="103">
        <v>5</v>
      </c>
      <c r="N16" s="103">
        <v>3</v>
      </c>
      <c r="O16" s="103">
        <v>2</v>
      </c>
      <c r="P16" s="103"/>
      <c r="Q16" s="103">
        <v>1</v>
      </c>
      <c r="R16" s="103">
        <v>1</v>
      </c>
      <c r="S16" s="104"/>
      <c r="T16" s="105">
        <f t="shared" si="1"/>
        <v>2</v>
      </c>
      <c r="U16" s="106">
        <f t="shared" si="2"/>
        <v>0</v>
      </c>
      <c r="V16" s="106">
        <f t="shared" si="3"/>
        <v>0.25</v>
      </c>
      <c r="W16" s="107" t="str">
        <f t="shared" si="4"/>
        <v/>
      </c>
      <c r="X16" s="106">
        <f t="shared" si="0"/>
        <v>0.14285714285714285</v>
      </c>
      <c r="Y16" s="108">
        <f t="shared" si="5"/>
        <v>0.14285714285714285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7</v>
      </c>
      <c r="F19" s="111"/>
      <c r="G19" s="112"/>
      <c r="H19" s="113"/>
      <c r="I19" s="112"/>
      <c r="J19" s="113"/>
      <c r="K19" s="112">
        <v>1</v>
      </c>
      <c r="L19" s="113"/>
      <c r="M19" s="113"/>
      <c r="N19" s="113"/>
      <c r="O19" s="113"/>
      <c r="P19" s="113"/>
      <c r="Q19" s="113"/>
      <c r="R19" s="113">
        <v>1</v>
      </c>
      <c r="S19" s="114"/>
      <c r="T19" s="115">
        <f t="shared" si="1"/>
        <v>0</v>
      </c>
      <c r="U19" s="95" t="str">
        <f t="shared" si="2"/>
        <v/>
      </c>
      <c r="V19" s="95" t="str">
        <f t="shared" si="3"/>
        <v/>
      </c>
      <c r="W19" s="96">
        <f t="shared" si="4"/>
        <v>0</v>
      </c>
      <c r="X19" s="95" t="str">
        <f t="shared" si="0"/>
        <v/>
      </c>
      <c r="Y19" s="116" t="str">
        <f t="shared" si="5"/>
        <v/>
      </c>
      <c r="Z19" s="388" t="s">
        <v>124</v>
      </c>
      <c r="AA19" s="385">
        <f>AB11*65</f>
        <v>44.032258064516128</v>
      </c>
      <c r="AB19" s="385">
        <f t="shared" ref="AB19:AD20" si="6">AC11*65</f>
        <v>13.629032258064516</v>
      </c>
      <c r="AC19" s="385">
        <f t="shared" si="6"/>
        <v>22.195121951219512</v>
      </c>
      <c r="AD19" s="385">
        <f t="shared" si="6"/>
        <v>35.645161290322577</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40.162601626016261</v>
      </c>
      <c r="AB20" s="385">
        <f t="shared" si="6"/>
        <v>8.45528455284553</v>
      </c>
      <c r="AC20" s="385">
        <f t="shared" si="6"/>
        <v>28.306451612903224</v>
      </c>
      <c r="AD20" s="385">
        <f t="shared" si="6"/>
        <v>36.991869918699187</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7.338709677419355</v>
      </c>
      <c r="AC22" s="385">
        <f t="shared" si="7"/>
        <v>10.56910569105691</v>
      </c>
      <c r="AD22" s="385">
        <f>AD14*65</f>
        <v>9.435483870967742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10.56910569105691</v>
      </c>
      <c r="AC23" s="393">
        <f t="shared" si="7"/>
        <v>2.096774193548387</v>
      </c>
      <c r="AD23" s="393">
        <f t="shared" si="7"/>
        <v>21.13821138211382</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62</v>
      </c>
      <c r="B31" s="126" t="s">
        <v>161</v>
      </c>
      <c r="C31" s="151"/>
      <c r="D31" s="152">
        <f>IF(COUNTA($D$7:$D$30)&gt;0,1,"")</f>
        <v>1</v>
      </c>
      <c r="E31" s="127">
        <f>IF(D31=1,32+J4*4,"")</f>
        <v>32</v>
      </c>
      <c r="F31" s="128">
        <f t="shared" ref="F31:S31" si="8">SUM(F7:F30)</f>
        <v>2</v>
      </c>
      <c r="G31" s="129">
        <f t="shared" si="8"/>
        <v>25</v>
      </c>
      <c r="H31" s="128">
        <f t="shared" si="8"/>
        <v>12</v>
      </c>
      <c r="I31" s="130">
        <f t="shared" si="8"/>
        <v>31</v>
      </c>
      <c r="J31" s="129">
        <f t="shared" si="8"/>
        <v>12</v>
      </c>
      <c r="K31" s="130">
        <f t="shared" si="8"/>
        <v>20</v>
      </c>
      <c r="L31" s="129">
        <f t="shared" si="8"/>
        <v>13</v>
      </c>
      <c r="M31" s="129">
        <f t="shared" si="8"/>
        <v>21</v>
      </c>
      <c r="N31" s="129">
        <f t="shared" si="8"/>
        <v>7</v>
      </c>
      <c r="O31" s="129">
        <f t="shared" si="8"/>
        <v>10</v>
      </c>
      <c r="P31" s="129">
        <f t="shared" si="8"/>
        <v>2</v>
      </c>
      <c r="Q31" s="129">
        <f t="shared" si="8"/>
        <v>9</v>
      </c>
      <c r="R31" s="129">
        <f t="shared" si="8"/>
        <v>12</v>
      </c>
      <c r="S31" s="131">
        <f t="shared" si="8"/>
        <v>0</v>
      </c>
      <c r="T31" s="132">
        <f>IF(J31+2*H31+3*F31&gt;0,J31+2*H31+3*F31,IF(H4&gt;0,H4,""))</f>
        <v>42</v>
      </c>
      <c r="U31" s="133">
        <f>IF(G31&gt;0,F31/G31,"")</f>
        <v>0.08</v>
      </c>
      <c r="V31" s="133">
        <f>IF(I31&gt;0,H31/I31,"")</f>
        <v>0.38709677419354838</v>
      </c>
      <c r="W31" s="134">
        <f>IF(K31&gt;0,J31/K31,"")</f>
        <v>0.6</v>
      </c>
      <c r="X31" s="133">
        <f t="shared" si="0"/>
        <v>0.25</v>
      </c>
      <c r="Y31" s="135">
        <f t="shared" si="5"/>
        <v>0.26785714285714285</v>
      </c>
      <c r="AB31" s="51"/>
      <c r="AC31" s="51"/>
      <c r="AD31" s="51"/>
      <c r="AE31" s="51"/>
      <c r="AF31" s="136"/>
      <c r="AG31" s="136"/>
      <c r="AH31" s="136"/>
      <c r="AI31" s="51"/>
    </row>
    <row r="32" spans="1:35" s="18" customFormat="1" ht="17.25" thickTop="1" thickBot="1" x14ac:dyDescent="0.3">
      <c r="A32" s="51">
        <f>ROUND(G32+I32+0.475*K32-L32+Q32,0)</f>
        <v>61</v>
      </c>
      <c r="B32" s="137" t="s">
        <v>162</v>
      </c>
      <c r="C32" s="153"/>
      <c r="D32" s="138">
        <f>IF(SUM(F32:S32)&gt;0,1,"")</f>
        <v>1</v>
      </c>
      <c r="E32" s="138">
        <f>IF(D32=1,E31,0)</f>
        <v>32</v>
      </c>
      <c r="F32" s="139">
        <v>6</v>
      </c>
      <c r="G32" s="140">
        <v>24</v>
      </c>
      <c r="H32" s="139">
        <v>10</v>
      </c>
      <c r="I32" s="141">
        <v>25</v>
      </c>
      <c r="J32" s="139"/>
      <c r="K32" s="141">
        <v>1</v>
      </c>
      <c r="L32" s="140">
        <v>8</v>
      </c>
      <c r="M32" s="140">
        <v>27</v>
      </c>
      <c r="N32" s="140">
        <v>10</v>
      </c>
      <c r="O32" s="140">
        <v>2</v>
      </c>
      <c r="P32" s="140">
        <v>4</v>
      </c>
      <c r="Q32" s="140">
        <v>20</v>
      </c>
      <c r="R32" s="140">
        <v>18</v>
      </c>
      <c r="S32" s="142"/>
      <c r="T32" s="143">
        <f>IF(J32+2*H32+3*F32&gt;0,J32+2*H32+3*F32,IF(H3&gt;0,H3,""))</f>
        <v>38</v>
      </c>
      <c r="U32" s="144">
        <f>IF(G32&gt;0,F32/G32,"")</f>
        <v>0.25</v>
      </c>
      <c r="V32" s="144">
        <f>IF(I32&gt;0,H32/I32,"")</f>
        <v>0.4</v>
      </c>
      <c r="W32" s="145">
        <f>IF(K32&gt;0,J32/K32,"")</f>
        <v>0</v>
      </c>
      <c r="X32" s="144">
        <f t="shared" si="0"/>
        <v>0.32653061224489793</v>
      </c>
      <c r="Y32" s="146">
        <f t="shared" si="5"/>
        <v>0.38775510204081631</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996" priority="29">
      <formula>AND($H$4&gt;0,$H$4&lt;&gt;$T$31)</formula>
    </cfRule>
  </conditionalFormatting>
  <conditionalFormatting sqref="T32 H3">
    <cfRule type="expression" dxfId="995" priority="28">
      <formula>AND($H$3&gt;0,$H$3&lt;&gt;$T$32)</formula>
    </cfRule>
  </conditionalFormatting>
  <conditionalFormatting sqref="A2">
    <cfRule type="cellIs" dxfId="994" priority="27" operator="equal">
      <formula>"R"</formula>
    </cfRule>
  </conditionalFormatting>
  <conditionalFormatting sqref="F7:F30 H7:H30 J7:J30">
    <cfRule type="expression" dxfId="993" priority="26">
      <formula>F7&gt;G7</formula>
    </cfRule>
  </conditionalFormatting>
  <conditionalFormatting sqref="E7:E30">
    <cfRule type="expression" dxfId="992" priority="25">
      <formula>$E7&gt;$E$31</formula>
    </cfRule>
  </conditionalFormatting>
  <conditionalFormatting sqref="L6">
    <cfRule type="expression" dxfId="991" priority="24">
      <formula>OR($L$31&gt;($G$31+$I$31+$K$31-$F$31-$H$31-$J$31),L32&gt;(G31+I31+K31-F31-H31-J31))</formula>
    </cfRule>
  </conditionalFormatting>
  <conditionalFormatting sqref="M6">
    <cfRule type="expression" dxfId="990" priority="23">
      <formula>OR(M31&gt;(G32-F32+I32-H32+K32-J32),M32&gt;(G31-F31+I31-H31+K31-J31))</formula>
    </cfRule>
  </conditionalFormatting>
  <conditionalFormatting sqref="N6">
    <cfRule type="expression" dxfId="989" priority="22">
      <formula>OR($N$31&gt;($F$31+$H$31),$N$32&gt;($F$32+$H$32))</formula>
    </cfRule>
  </conditionalFormatting>
  <conditionalFormatting sqref="P6">
    <cfRule type="expression" dxfId="988" priority="21">
      <formula>OR($P$31&gt;(G32-F32+I32-H32),P32&gt;(G31-F31+I31-H31))</formula>
    </cfRule>
  </conditionalFormatting>
  <conditionalFormatting sqref="Q6">
    <cfRule type="expression" dxfId="987" priority="20">
      <formula>OR($Q$31&lt;$O$32,$Q$32&lt;$O$31)</formula>
    </cfRule>
  </conditionalFormatting>
  <conditionalFormatting sqref="L31:L32">
    <cfRule type="cellIs" dxfId="986" priority="19" operator="greaterThan">
      <formula>$G31+$I31+$K31-$F31-$H31-$J31</formula>
    </cfRule>
  </conditionalFormatting>
  <conditionalFormatting sqref="M32">
    <cfRule type="cellIs" dxfId="985" priority="18" operator="greaterThan">
      <formula>$G$31-$F$31+$I$31-$H$31+$K$31-$J$31</formula>
    </cfRule>
  </conditionalFormatting>
  <conditionalFormatting sqref="N31:N32">
    <cfRule type="cellIs" dxfId="984" priority="17" operator="greaterThan">
      <formula>$F31+$H31</formula>
    </cfRule>
  </conditionalFormatting>
  <conditionalFormatting sqref="O32">
    <cfRule type="cellIs" dxfId="983" priority="10" operator="greaterThan">
      <formula>$Q$31</formula>
    </cfRule>
  </conditionalFormatting>
  <conditionalFormatting sqref="P31">
    <cfRule type="cellIs" dxfId="982" priority="16" operator="greaterThan">
      <formula>$G$32-$F$32+$I$32-$H$32</formula>
    </cfRule>
  </conditionalFormatting>
  <conditionalFormatting sqref="Q32">
    <cfRule type="cellIs" dxfId="981" priority="15" operator="lessThan">
      <formula>$O$31</formula>
    </cfRule>
  </conditionalFormatting>
  <conditionalFormatting sqref="F7:F32">
    <cfRule type="cellIs" dxfId="980" priority="14" operator="greaterThan">
      <formula>G7</formula>
    </cfRule>
  </conditionalFormatting>
  <conditionalFormatting sqref="H7:H32">
    <cfRule type="cellIs" dxfId="979" priority="13" operator="greaterThan">
      <formula>I7</formula>
    </cfRule>
  </conditionalFormatting>
  <conditionalFormatting sqref="J7:J32">
    <cfRule type="cellIs" dxfId="978" priority="12" operator="greaterThan">
      <formula>K7</formula>
    </cfRule>
  </conditionalFormatting>
  <conditionalFormatting sqref="M4">
    <cfRule type="cellIs" dxfId="977" priority="11" operator="notBetween">
      <formula>$AH$2</formula>
      <formula>$AI$2</formula>
    </cfRule>
  </conditionalFormatting>
  <conditionalFormatting sqref="O31">
    <cfRule type="cellIs" dxfId="976" priority="9" operator="greaterThan">
      <formula>$Q$32</formula>
    </cfRule>
  </conditionalFormatting>
  <conditionalFormatting sqref="Q31">
    <cfRule type="cellIs" dxfId="975" priority="8" operator="lessThan">
      <formula>$O$32</formula>
    </cfRule>
  </conditionalFormatting>
  <conditionalFormatting sqref="M31">
    <cfRule type="cellIs" dxfId="974" priority="7" operator="greaterThan">
      <formula>G32-F32 +I32-H32+K32-J32</formula>
    </cfRule>
  </conditionalFormatting>
  <conditionalFormatting sqref="B3">
    <cfRule type="expression" dxfId="973" priority="6">
      <formula>$W$2 = TRUE</formula>
    </cfRule>
  </conditionalFormatting>
  <conditionalFormatting sqref="P4:Q4">
    <cfRule type="expression" dxfId="972" priority="5">
      <formula>OR(AND($P$4=1,$X$4=1),AND($Q$4=1,$W$4=1))</formula>
    </cfRule>
  </conditionalFormatting>
  <conditionalFormatting sqref="D7:D30">
    <cfRule type="expression" dxfId="971" priority="30">
      <formula>AND($D7=0,SUM($F7:$S7)&gt;0)</formula>
    </cfRule>
  </conditionalFormatting>
  <conditionalFormatting sqref="O6">
    <cfRule type="expression" dxfId="970" priority="4">
      <formula>OR($O$31&gt;$Q$32,$O$32&gt;$Q$31)</formula>
    </cfRule>
  </conditionalFormatting>
  <conditionalFormatting sqref="F6">
    <cfRule type="expression" dxfId="969" priority="3">
      <formula>OR(F$31&gt;G$31,F$32&gt;G$32)</formula>
    </cfRule>
  </conditionalFormatting>
  <conditionalFormatting sqref="H6">
    <cfRule type="expression" dxfId="968" priority="2">
      <formula>OR(H$31&gt;I$31,H$32&gt;I$32)</formula>
    </cfRule>
  </conditionalFormatting>
  <conditionalFormatting sqref="J6">
    <cfRule type="expression" dxfId="967"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Z38" sqref="Z38"/>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t="s">
        <v>372</v>
      </c>
      <c r="C3" s="70">
        <v>11</v>
      </c>
      <c r="D3" s="71">
        <v>19</v>
      </c>
      <c r="E3" s="71">
        <v>23</v>
      </c>
      <c r="F3" s="71">
        <v>23</v>
      </c>
      <c r="G3" s="72"/>
      <c r="H3" s="73">
        <f>SUM(C3:G3)</f>
        <v>76</v>
      </c>
      <c r="J3" s="12" t="s">
        <v>165</v>
      </c>
      <c r="P3" s="74" t="s">
        <v>135</v>
      </c>
      <c r="Q3" s="74" t="s">
        <v>137</v>
      </c>
      <c r="S3" s="75" t="s">
        <v>138</v>
      </c>
      <c r="U3" s="76" t="s">
        <v>139</v>
      </c>
      <c r="W3" s="77" t="s">
        <v>134</v>
      </c>
      <c r="X3" s="77" t="s">
        <v>136</v>
      </c>
      <c r="AA3" s="48" t="str">
        <f>B4</f>
        <v>Upton</v>
      </c>
      <c r="AD3" s="48">
        <f>SUM($C3:C3)</f>
        <v>11</v>
      </c>
      <c r="AE3" s="48">
        <f>SUM($C3:D3)</f>
        <v>30</v>
      </c>
      <c r="AF3" s="48">
        <f>SUM($C3:E3)</f>
        <v>53</v>
      </c>
      <c r="AG3" s="48">
        <f>SUM($C3:F3)</f>
        <v>76</v>
      </c>
      <c r="AH3" s="48">
        <f>SUM($C3:G3)</f>
        <v>76</v>
      </c>
      <c r="AJ3" s="74"/>
    </row>
    <row r="4" spans="1:36" ht="16.5" customHeight="1" thickTop="1" thickBot="1" x14ac:dyDescent="0.3">
      <c r="B4" s="78" t="str">
        <f>Roster!$B$1</f>
        <v>Upton</v>
      </c>
      <c r="C4" s="79">
        <v>8</v>
      </c>
      <c r="D4" s="80">
        <v>13</v>
      </c>
      <c r="E4" s="80">
        <v>21</v>
      </c>
      <c r="F4" s="80">
        <v>11</v>
      </c>
      <c r="G4" s="81"/>
      <c r="H4" s="82">
        <f>SUM(C4:G4)</f>
        <v>53</v>
      </c>
      <c r="J4" s="83"/>
      <c r="L4" s="84" t="s">
        <v>133</v>
      </c>
      <c r="M4" s="404">
        <v>44939</v>
      </c>
      <c r="N4" s="405"/>
      <c r="P4" s="83"/>
      <c r="Q4" s="83"/>
      <c r="S4" s="83"/>
      <c r="U4" s="83"/>
      <c r="W4" s="85" t="str">
        <f>IF(OR($S$4=1,$H$4&gt;$H$3),1,"")</f>
        <v/>
      </c>
      <c r="X4" s="85">
        <f>IF(OR($U$4=1,$H$4&lt;$H$3),1,"")</f>
        <v>1</v>
      </c>
      <c r="AA4" s="48" t="str">
        <f>B3</f>
        <v>Faith, SD</v>
      </c>
      <c r="AD4" s="48">
        <f>SUM($C4:C4)</f>
        <v>8</v>
      </c>
      <c r="AE4" s="48">
        <f>SUM($C4:D4)</f>
        <v>21</v>
      </c>
      <c r="AF4" s="48">
        <f>SUM($C4:E4)</f>
        <v>42</v>
      </c>
      <c r="AG4" s="48">
        <f>SUM($C4:F4)</f>
        <v>53</v>
      </c>
      <c r="AH4" s="48">
        <f>SUM($C4:G4)</f>
        <v>53</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3</v>
      </c>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27</v>
      </c>
      <c r="F8" s="101">
        <v>1</v>
      </c>
      <c r="G8" s="102">
        <v>1</v>
      </c>
      <c r="H8" s="103">
        <v>1</v>
      </c>
      <c r="I8" s="102">
        <v>1</v>
      </c>
      <c r="J8" s="103">
        <v>1</v>
      </c>
      <c r="K8" s="102">
        <v>2</v>
      </c>
      <c r="L8" s="103">
        <v>1</v>
      </c>
      <c r="M8" s="103">
        <v>3</v>
      </c>
      <c r="N8" s="103">
        <v>3</v>
      </c>
      <c r="O8" s="103">
        <v>1</v>
      </c>
      <c r="P8" s="103"/>
      <c r="Q8" s="103">
        <v>4</v>
      </c>
      <c r="R8" s="103"/>
      <c r="S8" s="104"/>
      <c r="T8" s="105">
        <f t="shared" ref="T8:T30" si="1">IF(J8+2*H8+3*F8&gt;0,J8+2*H8+3*F8,0)</f>
        <v>6</v>
      </c>
      <c r="U8" s="106">
        <f t="shared" ref="U8:U30" si="2">IF(G8&gt;0,F8/G8,"")</f>
        <v>1</v>
      </c>
      <c r="V8" s="106">
        <f t="shared" ref="V8:V30" si="3">IF(I8&gt;0,H8/I8,"")</f>
        <v>1</v>
      </c>
      <c r="W8" s="107">
        <f t="shared" ref="W8:W30" si="4">IF(K8&gt;0,J8/K8,"")</f>
        <v>0.5</v>
      </c>
      <c r="X8" s="106">
        <f t="shared" si="0"/>
        <v>1</v>
      </c>
      <c r="Y8" s="108">
        <f t="shared" ref="Y8:Y32" si="5">IF(OR(G8&gt;0,I8 &gt;0),(1.5*F8+H8)/(G8+I8),"")</f>
        <v>1.25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29</v>
      </c>
      <c r="F9" s="111">
        <v>5</v>
      </c>
      <c r="G9" s="112">
        <v>12</v>
      </c>
      <c r="H9" s="113">
        <v>5</v>
      </c>
      <c r="I9" s="112">
        <v>9</v>
      </c>
      <c r="J9" s="113"/>
      <c r="K9" s="112"/>
      <c r="L9" s="113">
        <v>3</v>
      </c>
      <c r="M9" s="113">
        <v>2</v>
      </c>
      <c r="N9" s="113"/>
      <c r="O9" s="113"/>
      <c r="P9" s="113"/>
      <c r="Q9" s="113">
        <v>7</v>
      </c>
      <c r="R9" s="113"/>
      <c r="S9" s="114"/>
      <c r="T9" s="115">
        <f t="shared" si="1"/>
        <v>25</v>
      </c>
      <c r="U9" s="95">
        <f t="shared" si="2"/>
        <v>0.41666666666666669</v>
      </c>
      <c r="V9" s="95">
        <f t="shared" si="3"/>
        <v>0.55555555555555558</v>
      </c>
      <c r="W9" s="96" t="str">
        <f t="shared" si="4"/>
        <v/>
      </c>
      <c r="X9" s="95">
        <f t="shared" si="0"/>
        <v>0.47619047619047616</v>
      </c>
      <c r="Y9" s="116">
        <f t="shared" si="5"/>
        <v>0.59523809523809523</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25</v>
      </c>
      <c r="F10" s="101">
        <v>1</v>
      </c>
      <c r="G10" s="102">
        <v>8</v>
      </c>
      <c r="H10" s="103"/>
      <c r="I10" s="102">
        <v>1</v>
      </c>
      <c r="J10" s="103">
        <v>2</v>
      </c>
      <c r="K10" s="102">
        <v>5</v>
      </c>
      <c r="L10" s="103">
        <v>3</v>
      </c>
      <c r="M10" s="103"/>
      <c r="N10" s="103">
        <v>2</v>
      </c>
      <c r="O10" s="103">
        <v>1</v>
      </c>
      <c r="P10" s="103"/>
      <c r="Q10" s="103"/>
      <c r="R10" s="103">
        <v>2</v>
      </c>
      <c r="S10" s="104"/>
      <c r="T10" s="105">
        <f t="shared" si="1"/>
        <v>5</v>
      </c>
      <c r="U10" s="106">
        <f t="shared" si="2"/>
        <v>0.125</v>
      </c>
      <c r="V10" s="106">
        <f t="shared" si="3"/>
        <v>0</v>
      </c>
      <c r="W10" s="107">
        <f t="shared" si="4"/>
        <v>0.4</v>
      </c>
      <c r="X10" s="106">
        <f t="shared" si="0"/>
        <v>0.1111111111111111</v>
      </c>
      <c r="Y10" s="108">
        <f t="shared" si="5"/>
        <v>0.16666666666666666</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v>1</v>
      </c>
      <c r="E11" s="110">
        <v>1</v>
      </c>
      <c r="F11" s="111"/>
      <c r="G11" s="112"/>
      <c r="H11" s="113"/>
      <c r="I11" s="112"/>
      <c r="J11" s="113"/>
      <c r="K11" s="112">
        <v>2</v>
      </c>
      <c r="L11" s="113">
        <v>1</v>
      </c>
      <c r="M11" s="113"/>
      <c r="N11" s="113"/>
      <c r="O11" s="113"/>
      <c r="P11" s="113"/>
      <c r="Q11" s="113"/>
      <c r="R11" s="113"/>
      <c r="S11" s="114"/>
      <c r="T11" s="115">
        <f t="shared" si="1"/>
        <v>0</v>
      </c>
      <c r="U11" s="95" t="str">
        <f t="shared" si="2"/>
        <v/>
      </c>
      <c r="V11" s="95" t="str">
        <f t="shared" si="3"/>
        <v/>
      </c>
      <c r="W11" s="96">
        <f t="shared" si="4"/>
        <v>0</v>
      </c>
      <c r="X11" s="95" t="str">
        <f t="shared" si="0"/>
        <v/>
      </c>
      <c r="Y11" s="116" t="str">
        <f t="shared" si="5"/>
        <v/>
      </c>
      <c r="Z11" s="388" t="s">
        <v>124</v>
      </c>
      <c r="AA11" s="385">
        <f>G31+I31+(K31/2)+Q31-L31</f>
        <v>65</v>
      </c>
      <c r="AB11" s="385">
        <f>T31/AA11</f>
        <v>0.81538461538461537</v>
      </c>
      <c r="AC11" s="385">
        <f>L31/AA11</f>
        <v>0.29230769230769232</v>
      </c>
      <c r="AD11" s="385">
        <f>M31/AA12</f>
        <v>0.18045112781954886</v>
      </c>
      <c r="AE11" s="389">
        <f>(L31+M31)/AA11</f>
        <v>0.47692307692307695</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1</v>
      </c>
      <c r="F12" s="101"/>
      <c r="G12" s="102">
        <v>1</v>
      </c>
      <c r="H12" s="103"/>
      <c r="I12" s="102"/>
      <c r="J12" s="103">
        <v>1</v>
      </c>
      <c r="K12" s="102">
        <v>2</v>
      </c>
      <c r="L12" s="103"/>
      <c r="M12" s="103"/>
      <c r="N12" s="103"/>
      <c r="O12" s="103"/>
      <c r="P12" s="103"/>
      <c r="Q12" s="103"/>
      <c r="R12" s="103"/>
      <c r="S12" s="104"/>
      <c r="T12" s="105">
        <f t="shared" si="1"/>
        <v>1</v>
      </c>
      <c r="U12" s="106">
        <f t="shared" si="2"/>
        <v>0</v>
      </c>
      <c r="V12" s="106" t="str">
        <f t="shared" si="3"/>
        <v/>
      </c>
      <c r="W12" s="107">
        <f t="shared" si="4"/>
        <v>0.5</v>
      </c>
      <c r="X12" s="106">
        <f t="shared" si="0"/>
        <v>0</v>
      </c>
      <c r="Y12" s="108">
        <f t="shared" si="5"/>
        <v>0</v>
      </c>
      <c r="Z12" s="388" t="s">
        <v>352</v>
      </c>
      <c r="AA12" s="385">
        <f>G32+I32+(K32/2)+Q32-L32</f>
        <v>66.5</v>
      </c>
      <c r="AB12" s="385">
        <f>T32/AA12</f>
        <v>1.1428571428571428</v>
      </c>
      <c r="AC12" s="385">
        <f>L32/AA12</f>
        <v>7.5187969924812026E-2</v>
      </c>
      <c r="AD12" s="385">
        <f>M32/AA11</f>
        <v>0.38461538461538464</v>
      </c>
      <c r="AE12" s="389">
        <f>(L32+M32)/AA12</f>
        <v>0.45112781954887216</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1</v>
      </c>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25</v>
      </c>
      <c r="F14" s="101"/>
      <c r="G14" s="102">
        <v>3</v>
      </c>
      <c r="H14" s="103">
        <v>3</v>
      </c>
      <c r="I14" s="102">
        <v>8</v>
      </c>
      <c r="J14" s="103">
        <v>2</v>
      </c>
      <c r="K14" s="102">
        <v>4</v>
      </c>
      <c r="L14" s="103">
        <v>3</v>
      </c>
      <c r="M14" s="103">
        <v>3</v>
      </c>
      <c r="N14" s="103">
        <v>4</v>
      </c>
      <c r="O14" s="103">
        <v>3</v>
      </c>
      <c r="P14" s="103">
        <v>1</v>
      </c>
      <c r="Q14" s="103">
        <v>1</v>
      </c>
      <c r="R14" s="103">
        <v>3</v>
      </c>
      <c r="S14" s="104"/>
      <c r="T14" s="105">
        <f t="shared" si="1"/>
        <v>8</v>
      </c>
      <c r="U14" s="106">
        <f t="shared" si="2"/>
        <v>0</v>
      </c>
      <c r="V14" s="106">
        <f t="shared" si="3"/>
        <v>0.375</v>
      </c>
      <c r="W14" s="107">
        <f t="shared" si="4"/>
        <v>0.5</v>
      </c>
      <c r="X14" s="106">
        <f t="shared" si="0"/>
        <v>0.27272727272727271</v>
      </c>
      <c r="Y14" s="108">
        <f t="shared" si="5"/>
        <v>0.27272727272727271</v>
      </c>
      <c r="Z14" s="385"/>
      <c r="AA14" s="385"/>
      <c r="AB14" s="385">
        <f>N31/AA11</f>
        <v>0.16923076923076924</v>
      </c>
      <c r="AC14" s="385">
        <f>O31/AA12</f>
        <v>7.5187969924812026E-2</v>
      </c>
      <c r="AD14" s="385">
        <f>Q31/AA11</f>
        <v>0.26153846153846155</v>
      </c>
      <c r="AE14" s="389"/>
      <c r="AF14" s="51"/>
      <c r="AG14" s="51"/>
      <c r="AH14" s="51"/>
      <c r="AI14" s="51"/>
    </row>
    <row r="15" spans="1:36" s="18" customFormat="1" ht="15.75" x14ac:dyDescent="0.25">
      <c r="A15" s="87">
        <f>IF(Roster!A15&lt;&gt;"",Roster!A15,"")</f>
        <v>25</v>
      </c>
      <c r="B15" s="17" t="str">
        <f>IF(OR(Roster!A15&lt;&gt;"",Roster!B15&lt;&gt;""),PROPER(Roster!B15),"")</f>
        <v>Bridger Bruce</v>
      </c>
      <c r="C15" s="109" t="s">
        <v>369</v>
      </c>
      <c r="D15" s="149">
        <v>1</v>
      </c>
      <c r="E15" s="110">
        <v>20</v>
      </c>
      <c r="F15" s="111"/>
      <c r="G15" s="112"/>
      <c r="H15" s="113"/>
      <c r="I15" s="112">
        <v>1</v>
      </c>
      <c r="J15" s="113"/>
      <c r="K15" s="112"/>
      <c r="L15" s="113">
        <v>2</v>
      </c>
      <c r="M15" s="113">
        <v>3</v>
      </c>
      <c r="N15" s="113">
        <v>1</v>
      </c>
      <c r="O15" s="113"/>
      <c r="P15" s="113"/>
      <c r="Q15" s="113">
        <v>3</v>
      </c>
      <c r="R15" s="113">
        <v>3</v>
      </c>
      <c r="S15" s="114"/>
      <c r="T15" s="115">
        <f t="shared" si="1"/>
        <v>0</v>
      </c>
      <c r="U15" s="95" t="str">
        <f t="shared" si="2"/>
        <v/>
      </c>
      <c r="V15" s="95">
        <f t="shared" si="3"/>
        <v>0</v>
      </c>
      <c r="W15" s="96" t="str">
        <f t="shared" si="4"/>
        <v/>
      </c>
      <c r="X15" s="95">
        <f t="shared" si="0"/>
        <v>0</v>
      </c>
      <c r="Y15" s="116">
        <f t="shared" si="5"/>
        <v>0</v>
      </c>
      <c r="Z15" s="392"/>
      <c r="AA15" s="393"/>
      <c r="AB15" s="393">
        <f>N32/AA12</f>
        <v>0.36090225563909772</v>
      </c>
      <c r="AC15" s="393">
        <f>O32/AA11</f>
        <v>0.12307692307692308</v>
      </c>
      <c r="AD15" s="393">
        <f>Q32/AA12</f>
        <v>0.18045112781954886</v>
      </c>
      <c r="AE15" s="394"/>
      <c r="AF15" s="51"/>
      <c r="AG15" s="51"/>
      <c r="AH15" s="51"/>
      <c r="AI15" s="51"/>
    </row>
    <row r="16" spans="1:36" s="18" customFormat="1" ht="15.75" x14ac:dyDescent="0.25">
      <c r="A16" s="87">
        <f>IF(Roster!A16&lt;&gt;"",Roster!A16,"")</f>
        <v>31</v>
      </c>
      <c r="B16" s="19" t="str">
        <f>IF(OR(Roster!A16&lt;&gt;"",Roster!B16&lt;&gt;""),PROPER(Roster!B16),"")</f>
        <v>Kailer Duarte</v>
      </c>
      <c r="C16" s="99"/>
      <c r="D16" s="148">
        <v>1</v>
      </c>
      <c r="E16" s="100">
        <v>19</v>
      </c>
      <c r="F16" s="101"/>
      <c r="G16" s="102">
        <v>4</v>
      </c>
      <c r="H16" s="103">
        <v>2</v>
      </c>
      <c r="I16" s="102">
        <v>5</v>
      </c>
      <c r="J16" s="103">
        <v>3</v>
      </c>
      <c r="K16" s="102">
        <v>5</v>
      </c>
      <c r="L16" s="103">
        <v>5</v>
      </c>
      <c r="M16" s="103">
        <v>1</v>
      </c>
      <c r="N16" s="103">
        <v>1</v>
      </c>
      <c r="O16" s="103"/>
      <c r="P16" s="103"/>
      <c r="Q16" s="103">
        <v>2</v>
      </c>
      <c r="R16" s="103">
        <v>4</v>
      </c>
      <c r="S16" s="104"/>
      <c r="T16" s="105">
        <f t="shared" si="1"/>
        <v>7</v>
      </c>
      <c r="U16" s="106">
        <f t="shared" si="2"/>
        <v>0</v>
      </c>
      <c r="V16" s="106">
        <f t="shared" si="3"/>
        <v>0.4</v>
      </c>
      <c r="W16" s="107">
        <f t="shared" si="4"/>
        <v>0.6</v>
      </c>
      <c r="X16" s="106">
        <f t="shared" si="0"/>
        <v>0.22222222222222221</v>
      </c>
      <c r="Y16" s="108">
        <f t="shared" si="5"/>
        <v>0.22222222222222221</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1</v>
      </c>
      <c r="F17" s="111"/>
      <c r="G17" s="112"/>
      <c r="H17" s="113"/>
      <c r="I17" s="112"/>
      <c r="J17" s="113"/>
      <c r="K17" s="112">
        <v>2</v>
      </c>
      <c r="L17" s="113">
        <v>1</v>
      </c>
      <c r="M17" s="113"/>
      <c r="N17" s="113"/>
      <c r="O17" s="113"/>
      <c r="P17" s="113"/>
      <c r="Q17" s="113"/>
      <c r="R17" s="113"/>
      <c r="S17" s="114"/>
      <c r="T17" s="115">
        <f t="shared" si="1"/>
        <v>0</v>
      </c>
      <c r="U17" s="95" t="str">
        <f t="shared" si="2"/>
        <v/>
      </c>
      <c r="V17" s="95" t="str">
        <f t="shared" si="3"/>
        <v/>
      </c>
      <c r="W17" s="96">
        <f t="shared" si="4"/>
        <v>0</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7</v>
      </c>
      <c r="F19" s="111"/>
      <c r="G19" s="112"/>
      <c r="H19" s="113"/>
      <c r="I19" s="112">
        <v>1</v>
      </c>
      <c r="J19" s="113">
        <v>1</v>
      </c>
      <c r="K19" s="112">
        <v>2</v>
      </c>
      <c r="L19" s="113"/>
      <c r="M19" s="113"/>
      <c r="N19" s="113"/>
      <c r="O19" s="113"/>
      <c r="P19" s="113"/>
      <c r="Q19" s="113"/>
      <c r="R19" s="113">
        <v>1</v>
      </c>
      <c r="S19" s="114"/>
      <c r="T19" s="115">
        <f t="shared" si="1"/>
        <v>1</v>
      </c>
      <c r="U19" s="95" t="str">
        <f t="shared" si="2"/>
        <v/>
      </c>
      <c r="V19" s="95">
        <f t="shared" si="3"/>
        <v>0</v>
      </c>
      <c r="W19" s="96">
        <f t="shared" si="4"/>
        <v>0.5</v>
      </c>
      <c r="X19" s="95">
        <f t="shared" si="0"/>
        <v>0</v>
      </c>
      <c r="Y19" s="116">
        <f t="shared" si="5"/>
        <v>0</v>
      </c>
      <c r="Z19" s="388" t="s">
        <v>124</v>
      </c>
      <c r="AA19" s="385">
        <f>AB11*65</f>
        <v>53</v>
      </c>
      <c r="AB19" s="385">
        <f t="shared" ref="AB19:AD20" si="6">AC11*65</f>
        <v>19</v>
      </c>
      <c r="AC19" s="385">
        <f t="shared" si="6"/>
        <v>11.729323308270676</v>
      </c>
      <c r="AD19" s="385">
        <f t="shared" si="6"/>
        <v>31</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74.285714285714278</v>
      </c>
      <c r="AB20" s="385">
        <f t="shared" si="6"/>
        <v>4.8872180451127818</v>
      </c>
      <c r="AC20" s="385">
        <f t="shared" si="6"/>
        <v>25</v>
      </c>
      <c r="AD20" s="385">
        <f t="shared" si="6"/>
        <v>29.323308270676691</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11</v>
      </c>
      <c r="AC22" s="385">
        <f t="shared" si="7"/>
        <v>4.8872180451127818</v>
      </c>
      <c r="AD22" s="385">
        <f>AD14*65</f>
        <v>17</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23.458646616541351</v>
      </c>
      <c r="AC23" s="393">
        <f t="shared" si="7"/>
        <v>8</v>
      </c>
      <c r="AD23" s="393">
        <f t="shared" si="7"/>
        <v>11.729323308270676</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64</v>
      </c>
      <c r="B31" s="126" t="s">
        <v>161</v>
      </c>
      <c r="C31" s="151"/>
      <c r="D31" s="152">
        <f>IF(COUNTA($D$7:$D$30)&gt;0,1,"")</f>
        <v>1</v>
      </c>
      <c r="E31" s="127">
        <f>IF(D31=1,32+J4*4,"")</f>
        <v>32</v>
      </c>
      <c r="F31" s="128">
        <f t="shared" ref="F31:S31" si="8">SUM(F7:F30)</f>
        <v>7</v>
      </c>
      <c r="G31" s="129">
        <f t="shared" si="8"/>
        <v>29</v>
      </c>
      <c r="H31" s="128">
        <f t="shared" si="8"/>
        <v>11</v>
      </c>
      <c r="I31" s="130">
        <f t="shared" si="8"/>
        <v>26</v>
      </c>
      <c r="J31" s="129">
        <f t="shared" si="8"/>
        <v>10</v>
      </c>
      <c r="K31" s="130">
        <f t="shared" si="8"/>
        <v>24</v>
      </c>
      <c r="L31" s="129">
        <f t="shared" si="8"/>
        <v>19</v>
      </c>
      <c r="M31" s="129">
        <f t="shared" si="8"/>
        <v>12</v>
      </c>
      <c r="N31" s="129">
        <f t="shared" si="8"/>
        <v>11</v>
      </c>
      <c r="O31" s="129">
        <f t="shared" si="8"/>
        <v>5</v>
      </c>
      <c r="P31" s="129">
        <f t="shared" si="8"/>
        <v>1</v>
      </c>
      <c r="Q31" s="129">
        <f t="shared" si="8"/>
        <v>17</v>
      </c>
      <c r="R31" s="129">
        <f t="shared" si="8"/>
        <v>13</v>
      </c>
      <c r="S31" s="131">
        <f t="shared" si="8"/>
        <v>0</v>
      </c>
      <c r="T31" s="132">
        <f>IF(J31+2*H31+3*F31&gt;0,J31+2*H31+3*F31,IF(H4&gt;0,H4,""))</f>
        <v>53</v>
      </c>
      <c r="U31" s="133">
        <f>IF(G31&gt;0,F31/G31,"")</f>
        <v>0.2413793103448276</v>
      </c>
      <c r="V31" s="133">
        <f>IF(I31&gt;0,H31/I31,"")</f>
        <v>0.42307692307692307</v>
      </c>
      <c r="W31" s="134">
        <f>IF(K31&gt;0,J31/K31,"")</f>
        <v>0.41666666666666669</v>
      </c>
      <c r="X31" s="133">
        <f t="shared" si="0"/>
        <v>0.32727272727272727</v>
      </c>
      <c r="Y31" s="135">
        <f t="shared" si="5"/>
        <v>0.39090909090909093</v>
      </c>
      <c r="AB31" s="51"/>
      <c r="AC31" s="51"/>
      <c r="AD31" s="51"/>
      <c r="AE31" s="51"/>
      <c r="AF31" s="136"/>
      <c r="AG31" s="136"/>
      <c r="AH31" s="136"/>
      <c r="AI31" s="51"/>
    </row>
    <row r="32" spans="1:35" s="18" customFormat="1" ht="17.25" thickTop="1" thickBot="1" x14ac:dyDescent="0.3">
      <c r="A32" s="51">
        <f>ROUND(G32+I32+0.475*K32-L32+Q32,0)</f>
        <v>66</v>
      </c>
      <c r="B32" s="137" t="s">
        <v>162</v>
      </c>
      <c r="C32" s="153"/>
      <c r="D32" s="138">
        <f>IF(SUM(F32:S32)&gt;0,1,"")</f>
        <v>1</v>
      </c>
      <c r="E32" s="138">
        <f>IF(D32=1,E31,0)</f>
        <v>32</v>
      </c>
      <c r="F32" s="139">
        <v>6</v>
      </c>
      <c r="G32" s="140">
        <v>15</v>
      </c>
      <c r="H32" s="139">
        <v>25</v>
      </c>
      <c r="I32" s="141">
        <v>39</v>
      </c>
      <c r="J32" s="139">
        <v>8</v>
      </c>
      <c r="K32" s="141">
        <v>11</v>
      </c>
      <c r="L32" s="140">
        <v>5</v>
      </c>
      <c r="M32" s="140">
        <v>25</v>
      </c>
      <c r="N32" s="140">
        <v>24</v>
      </c>
      <c r="O32" s="140">
        <v>8</v>
      </c>
      <c r="P32" s="140">
        <v>1</v>
      </c>
      <c r="Q32" s="140">
        <v>12</v>
      </c>
      <c r="R32" s="140">
        <v>17</v>
      </c>
      <c r="S32" s="142"/>
      <c r="T32" s="143">
        <f>IF(J32+2*H32+3*F32&gt;0,J32+2*H32+3*F32,IF(H3&gt;0,H3,""))</f>
        <v>76</v>
      </c>
      <c r="U32" s="144">
        <f>IF(G32&gt;0,F32/G32,"")</f>
        <v>0.4</v>
      </c>
      <c r="V32" s="144">
        <f>IF(I32&gt;0,H32/I32,"")</f>
        <v>0.64102564102564108</v>
      </c>
      <c r="W32" s="145">
        <f>IF(K32&gt;0,J32/K32,"")</f>
        <v>0.72727272727272729</v>
      </c>
      <c r="X32" s="144">
        <f t="shared" si="0"/>
        <v>0.57407407407407407</v>
      </c>
      <c r="Y32" s="146">
        <f t="shared" si="5"/>
        <v>0.62962962962962965</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966" priority="30">
      <formula>AND($H$4&gt;0,$H$4&lt;&gt;$T$31)</formula>
    </cfRule>
  </conditionalFormatting>
  <conditionalFormatting sqref="T32 H3">
    <cfRule type="expression" dxfId="965" priority="29">
      <formula>AND($H$3&gt;0,$H$3&lt;&gt;$T$32)</formula>
    </cfRule>
  </conditionalFormatting>
  <conditionalFormatting sqref="A2">
    <cfRule type="cellIs" dxfId="964" priority="28" operator="equal">
      <formula>"R"</formula>
    </cfRule>
  </conditionalFormatting>
  <conditionalFormatting sqref="F7:F30 H7:H30 J7:J30">
    <cfRule type="expression" dxfId="963" priority="27">
      <formula>F7&gt;G7</formula>
    </cfRule>
  </conditionalFormatting>
  <conditionalFormatting sqref="E7:E30">
    <cfRule type="expression" dxfId="962" priority="26">
      <formula>$E7&gt;$E$31</formula>
    </cfRule>
  </conditionalFormatting>
  <conditionalFormatting sqref="L6">
    <cfRule type="expression" dxfId="961" priority="25">
      <formula>OR($L$31&gt;($G$31+$I$31+$K$31-$F$31-$H$31-$J$31),L32&gt;(G31+I31+K31-F31-H31-J31))</formula>
    </cfRule>
  </conditionalFormatting>
  <conditionalFormatting sqref="M6">
    <cfRule type="expression" dxfId="960" priority="24">
      <formula>OR(M31&gt;(G32-F32+I32-H32+K32-J32),M32&gt;(G31-F31+I31-H31+K31-J31))</formula>
    </cfRule>
  </conditionalFormatting>
  <conditionalFormatting sqref="N6">
    <cfRule type="expression" dxfId="959" priority="23">
      <formula>OR($N$31&gt;($F$31+$H$31),$N$32&gt;($F$32+$H$32))</formula>
    </cfRule>
  </conditionalFormatting>
  <conditionalFormatting sqref="P6">
    <cfRule type="expression" dxfId="958" priority="22">
      <formula>OR($P$31&gt;(G32-F32+I32-H32),P32&gt;(G31-F31+I31-H31))</formula>
    </cfRule>
  </conditionalFormatting>
  <conditionalFormatting sqref="Q6">
    <cfRule type="expression" dxfId="957" priority="21">
      <formula>OR($Q$31&lt;$O$32,$Q$32&lt;$O$31)</formula>
    </cfRule>
  </conditionalFormatting>
  <conditionalFormatting sqref="L31:L32">
    <cfRule type="cellIs" dxfId="956" priority="20" operator="greaterThan">
      <formula>$G31+$I31+$K31-$F31-$H31-$J31</formula>
    </cfRule>
  </conditionalFormatting>
  <conditionalFormatting sqref="M32">
    <cfRule type="cellIs" dxfId="955" priority="19" operator="greaterThan">
      <formula>$G$31-$F$31+$I$31-$H$31+$K$31-$J$31</formula>
    </cfRule>
  </conditionalFormatting>
  <conditionalFormatting sqref="N31:N32">
    <cfRule type="cellIs" dxfId="954" priority="18" operator="greaterThan">
      <formula>$F31+$H31</formula>
    </cfRule>
  </conditionalFormatting>
  <conditionalFormatting sqref="O32">
    <cfRule type="cellIs" dxfId="953" priority="11" operator="greaterThan">
      <formula>$Q$31</formula>
    </cfRule>
  </conditionalFormatting>
  <conditionalFormatting sqref="P31">
    <cfRule type="cellIs" dxfId="952" priority="17" operator="greaterThan">
      <formula>$G$32-$F$32+$I$32-$H$32</formula>
    </cfRule>
  </conditionalFormatting>
  <conditionalFormatting sqref="Q32">
    <cfRule type="cellIs" dxfId="951" priority="16" operator="lessThan">
      <formula>$O$31</formula>
    </cfRule>
  </conditionalFormatting>
  <conditionalFormatting sqref="F7:F32">
    <cfRule type="cellIs" dxfId="950" priority="15" operator="greaterThan">
      <formula>G7</formula>
    </cfRule>
  </conditionalFormatting>
  <conditionalFormatting sqref="H7:H32">
    <cfRule type="cellIs" dxfId="949" priority="14" operator="greaterThan">
      <formula>I7</formula>
    </cfRule>
  </conditionalFormatting>
  <conditionalFormatting sqref="J7:J32">
    <cfRule type="cellIs" dxfId="948" priority="13" operator="greaterThan">
      <formula>K7</formula>
    </cfRule>
  </conditionalFormatting>
  <conditionalFormatting sqref="M4">
    <cfRule type="cellIs" dxfId="947" priority="12" operator="notBetween">
      <formula>$AH$2</formula>
      <formula>$AI$2</formula>
    </cfRule>
  </conditionalFormatting>
  <conditionalFormatting sqref="O31">
    <cfRule type="cellIs" dxfId="946" priority="10" operator="greaterThan">
      <formula>$Q$32</formula>
    </cfRule>
  </conditionalFormatting>
  <conditionalFormatting sqref="Q31">
    <cfRule type="cellIs" dxfId="945" priority="9" operator="lessThan">
      <formula>$O$32</formula>
    </cfRule>
  </conditionalFormatting>
  <conditionalFormatting sqref="M31">
    <cfRule type="cellIs" dxfId="944" priority="8" operator="greaterThan">
      <formula>G32-F32 +I32-H32+K32-J32</formula>
    </cfRule>
  </conditionalFormatting>
  <conditionalFormatting sqref="B3">
    <cfRule type="expression" dxfId="943" priority="7">
      <formula>$W$2 = TRUE</formula>
    </cfRule>
  </conditionalFormatting>
  <conditionalFormatting sqref="P4:Q4">
    <cfRule type="expression" dxfId="942" priority="6">
      <formula>OR(AND($P$4=1,$X$4=1),AND($Q$4=1,$W$4=1))</formula>
    </cfRule>
  </conditionalFormatting>
  <conditionalFormatting sqref="D7 D20:D30">
    <cfRule type="expression" dxfId="941" priority="31">
      <formula>AND($D7=0,SUM($F7:$S7)&gt;0)</formula>
    </cfRule>
  </conditionalFormatting>
  <conditionalFormatting sqref="O6">
    <cfRule type="expression" dxfId="940" priority="5">
      <formula>OR($O$31&gt;$Q$32,$O$32&gt;$Q$31)</formula>
    </cfRule>
  </conditionalFormatting>
  <conditionalFormatting sqref="F6">
    <cfRule type="expression" dxfId="939" priority="4">
      <formula>OR(F$31&gt;G$31,F$32&gt;G$32)</formula>
    </cfRule>
  </conditionalFormatting>
  <conditionalFormatting sqref="H6">
    <cfRule type="expression" dxfId="938" priority="3">
      <formula>OR(H$31&gt;I$31,H$32&gt;I$32)</formula>
    </cfRule>
  </conditionalFormatting>
  <conditionalFormatting sqref="J6">
    <cfRule type="expression" dxfId="937" priority="2">
      <formula>OR(J$31&gt;K$31,J$32&gt;K$32)</formula>
    </cfRule>
  </conditionalFormatting>
  <conditionalFormatting sqref="D8:D19">
    <cfRule type="expression" dxfId="936" priority="1">
      <formula>AND($D8=0,SUM($F8:$S8)&gt;0)</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Z9" sqref="Z9:AE2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77</v>
      </c>
      <c r="C3" s="70">
        <v>6</v>
      </c>
      <c r="D3" s="71">
        <v>6</v>
      </c>
      <c r="E3" s="71">
        <v>11</v>
      </c>
      <c r="F3" s="71">
        <v>14</v>
      </c>
      <c r="G3" s="72"/>
      <c r="H3" s="73">
        <f>SUM(C3:G3)</f>
        <v>37</v>
      </c>
      <c r="J3" s="12" t="s">
        <v>165</v>
      </c>
      <c r="P3" s="74" t="s">
        <v>135</v>
      </c>
      <c r="Q3" s="74" t="s">
        <v>137</v>
      </c>
      <c r="S3" s="75" t="s">
        <v>138</v>
      </c>
      <c r="U3" s="76" t="s">
        <v>139</v>
      </c>
      <c r="W3" s="77" t="s">
        <v>134</v>
      </c>
      <c r="X3" s="77" t="s">
        <v>136</v>
      </c>
      <c r="AA3" s="48" t="str">
        <f>B4</f>
        <v>Upton</v>
      </c>
      <c r="AD3" s="48">
        <f>SUM($C3:C3)</f>
        <v>6</v>
      </c>
      <c r="AE3" s="48">
        <f>SUM($C3:D3)</f>
        <v>12</v>
      </c>
      <c r="AF3" s="48">
        <f>SUM($C3:E3)</f>
        <v>23</v>
      </c>
      <c r="AG3" s="48">
        <f>SUM($C3:F3)</f>
        <v>37</v>
      </c>
      <c r="AH3" s="48">
        <f>SUM($C3:G3)</f>
        <v>37</v>
      </c>
      <c r="AJ3" s="74"/>
    </row>
    <row r="4" spans="1:36" ht="16.5" customHeight="1" thickTop="1" thickBot="1" x14ac:dyDescent="0.3">
      <c r="B4" s="78" t="str">
        <f>Roster!$B$1</f>
        <v>Upton</v>
      </c>
      <c r="C4" s="79">
        <v>21</v>
      </c>
      <c r="D4" s="80">
        <v>15</v>
      </c>
      <c r="E4" s="80">
        <v>9</v>
      </c>
      <c r="F4" s="80">
        <v>10</v>
      </c>
      <c r="G4" s="81"/>
      <c r="H4" s="82">
        <f>SUM(C4:G4)</f>
        <v>55</v>
      </c>
      <c r="J4" s="83"/>
      <c r="L4" s="84" t="s">
        <v>133</v>
      </c>
      <c r="M4" s="404">
        <v>44940</v>
      </c>
      <c r="N4" s="405"/>
      <c r="P4" s="83"/>
      <c r="Q4" s="83"/>
      <c r="S4" s="83"/>
      <c r="U4" s="83"/>
      <c r="W4" s="85">
        <f>IF(OR($S$4=1,$H$4&gt;$H$3),1,"")</f>
        <v>1</v>
      </c>
      <c r="X4" s="85" t="str">
        <f>IF(OR($U$4=1,$H$4&lt;$H$3),1,"")</f>
        <v/>
      </c>
      <c r="AA4" s="48" t="str">
        <f>B3</f>
        <v>Moorcroft</v>
      </c>
      <c r="AD4" s="48">
        <f>SUM($C4:C4)</f>
        <v>21</v>
      </c>
      <c r="AE4" s="48">
        <f>SUM($C4:D4)</f>
        <v>36</v>
      </c>
      <c r="AF4" s="48">
        <f>SUM($C4:E4)</f>
        <v>45</v>
      </c>
      <c r="AG4" s="48">
        <f>SUM($C4:F4)</f>
        <v>55</v>
      </c>
      <c r="AH4" s="48">
        <f>SUM($C4:G4)</f>
        <v>55</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1</v>
      </c>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23</v>
      </c>
      <c r="F8" s="101"/>
      <c r="G8" s="102">
        <v>4</v>
      </c>
      <c r="H8" s="103">
        <v>2</v>
      </c>
      <c r="I8" s="102">
        <v>5</v>
      </c>
      <c r="J8" s="103"/>
      <c r="K8" s="102"/>
      <c r="L8" s="103">
        <v>1</v>
      </c>
      <c r="M8" s="103">
        <v>3</v>
      </c>
      <c r="N8" s="103">
        <v>6</v>
      </c>
      <c r="O8" s="103"/>
      <c r="P8" s="103"/>
      <c r="Q8" s="103">
        <v>3</v>
      </c>
      <c r="R8" s="103"/>
      <c r="S8" s="104"/>
      <c r="T8" s="105">
        <f t="shared" ref="T8:T30" si="1">IF(J8+2*H8+3*F8&gt;0,J8+2*H8+3*F8,0)</f>
        <v>4</v>
      </c>
      <c r="U8" s="106">
        <f t="shared" ref="U8:U30" si="2">IF(G8&gt;0,F8/G8,"")</f>
        <v>0</v>
      </c>
      <c r="V8" s="106">
        <f t="shared" ref="V8:V30" si="3">IF(I8&gt;0,H8/I8,"")</f>
        <v>0.4</v>
      </c>
      <c r="W8" s="107" t="str">
        <f t="shared" ref="W8:W30" si="4">IF(K8&gt;0,J8/K8,"")</f>
        <v/>
      </c>
      <c r="X8" s="106">
        <f t="shared" si="0"/>
        <v>0.22222222222222221</v>
      </c>
      <c r="Y8" s="108">
        <f t="shared" ref="Y8:Y32" si="5">IF(OR(G8&gt;0,I8 &gt;0),(1.5*F8+H8)/(G8+I8),"")</f>
        <v>0.22222222222222221</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26</v>
      </c>
      <c r="F9" s="111">
        <v>4</v>
      </c>
      <c r="G9" s="112">
        <v>8</v>
      </c>
      <c r="H9" s="113">
        <v>5</v>
      </c>
      <c r="I9" s="112">
        <v>9</v>
      </c>
      <c r="J9" s="113"/>
      <c r="K9" s="112"/>
      <c r="L9" s="113">
        <v>3</v>
      </c>
      <c r="M9" s="113">
        <v>2</v>
      </c>
      <c r="N9" s="113">
        <v>3</v>
      </c>
      <c r="O9" s="113"/>
      <c r="P9" s="113"/>
      <c r="Q9" s="113">
        <v>4</v>
      </c>
      <c r="R9" s="113">
        <v>2</v>
      </c>
      <c r="S9" s="114"/>
      <c r="T9" s="115">
        <f t="shared" si="1"/>
        <v>22</v>
      </c>
      <c r="U9" s="95">
        <f t="shared" si="2"/>
        <v>0.5</v>
      </c>
      <c r="V9" s="95">
        <f t="shared" si="3"/>
        <v>0.55555555555555558</v>
      </c>
      <c r="W9" s="96" t="str">
        <f t="shared" si="4"/>
        <v/>
      </c>
      <c r="X9" s="95">
        <f t="shared" si="0"/>
        <v>0.52941176470588236</v>
      </c>
      <c r="Y9" s="116">
        <f t="shared" si="5"/>
        <v>0.6470588235294118</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24</v>
      </c>
      <c r="F10" s="101">
        <v>2</v>
      </c>
      <c r="G10" s="102">
        <v>5</v>
      </c>
      <c r="H10" s="103">
        <v>4</v>
      </c>
      <c r="I10" s="102">
        <v>11</v>
      </c>
      <c r="J10" s="103"/>
      <c r="K10" s="102">
        <v>1</v>
      </c>
      <c r="L10" s="103">
        <v>6</v>
      </c>
      <c r="M10" s="103">
        <v>4</v>
      </c>
      <c r="N10" s="103">
        <v>3</v>
      </c>
      <c r="O10" s="103">
        <v>1</v>
      </c>
      <c r="P10" s="103"/>
      <c r="Q10" s="103"/>
      <c r="R10" s="103"/>
      <c r="S10" s="104"/>
      <c r="T10" s="105">
        <f t="shared" si="1"/>
        <v>14</v>
      </c>
      <c r="U10" s="106">
        <f t="shared" si="2"/>
        <v>0.4</v>
      </c>
      <c r="V10" s="106">
        <f t="shared" si="3"/>
        <v>0.36363636363636365</v>
      </c>
      <c r="W10" s="107">
        <f t="shared" si="4"/>
        <v>0</v>
      </c>
      <c r="X10" s="106">
        <f t="shared" si="0"/>
        <v>0.375</v>
      </c>
      <c r="Y10" s="108">
        <f t="shared" si="5"/>
        <v>0.4375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v>1</v>
      </c>
      <c r="E11" s="110">
        <v>2</v>
      </c>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61.5</v>
      </c>
      <c r="AB11" s="385">
        <f>T31/AA11</f>
        <v>0.89430894308943087</v>
      </c>
      <c r="AC11" s="385">
        <f>L31/AA11</f>
        <v>0.26016260162601629</v>
      </c>
      <c r="AD11" s="385">
        <f>M31/AA12</f>
        <v>0.35294117647058826</v>
      </c>
      <c r="AE11" s="389">
        <f>(L31+M31)/AA11</f>
        <v>0.65040650406504064</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1</v>
      </c>
      <c r="F12" s="101"/>
      <c r="G12" s="102">
        <v>1</v>
      </c>
      <c r="H12" s="103"/>
      <c r="I12" s="102"/>
      <c r="J12" s="103"/>
      <c r="K12" s="102"/>
      <c r="L12" s="103"/>
      <c r="M12" s="103"/>
      <c r="N12" s="103"/>
      <c r="O12" s="103"/>
      <c r="P12" s="103"/>
      <c r="Q12" s="103"/>
      <c r="R12" s="103"/>
      <c r="S12" s="104"/>
      <c r="T12" s="105">
        <f t="shared" si="1"/>
        <v>0</v>
      </c>
      <c r="U12" s="106">
        <f t="shared" si="2"/>
        <v>0</v>
      </c>
      <c r="V12" s="106" t="str">
        <f t="shared" si="3"/>
        <v/>
      </c>
      <c r="W12" s="107" t="str">
        <f t="shared" si="4"/>
        <v/>
      </c>
      <c r="X12" s="106">
        <f t="shared" si="0"/>
        <v>0</v>
      </c>
      <c r="Y12" s="108">
        <f t="shared" si="5"/>
        <v>0</v>
      </c>
      <c r="Z12" s="388" t="s">
        <v>352</v>
      </c>
      <c r="AA12" s="385">
        <f>G32+I32+(K32/2)+Q32-L32</f>
        <v>68</v>
      </c>
      <c r="AB12" s="385">
        <f>T32/AA12</f>
        <v>0.54411764705882348</v>
      </c>
      <c r="AC12" s="385">
        <f>L32/AA12</f>
        <v>0.14705882352941177</v>
      </c>
      <c r="AD12" s="385">
        <f>M32/AA11</f>
        <v>0.32520325203252032</v>
      </c>
      <c r="AE12" s="389">
        <f>(L32+M32)/AA12</f>
        <v>0.44117647058823528</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24</v>
      </c>
      <c r="F14" s="101">
        <v>1</v>
      </c>
      <c r="G14" s="102">
        <v>3</v>
      </c>
      <c r="H14" s="103">
        <v>1</v>
      </c>
      <c r="I14" s="102">
        <v>5</v>
      </c>
      <c r="J14" s="103">
        <v>2</v>
      </c>
      <c r="K14" s="102">
        <v>2</v>
      </c>
      <c r="L14" s="103">
        <v>2</v>
      </c>
      <c r="M14" s="103">
        <v>7</v>
      </c>
      <c r="N14" s="103">
        <v>1</v>
      </c>
      <c r="O14" s="103">
        <v>3</v>
      </c>
      <c r="P14" s="103">
        <v>1</v>
      </c>
      <c r="Q14" s="103">
        <v>1</v>
      </c>
      <c r="R14" s="103">
        <v>1</v>
      </c>
      <c r="S14" s="104"/>
      <c r="T14" s="105">
        <f t="shared" si="1"/>
        <v>7</v>
      </c>
      <c r="U14" s="106">
        <f t="shared" si="2"/>
        <v>0.33333333333333331</v>
      </c>
      <c r="V14" s="106">
        <f t="shared" si="3"/>
        <v>0.2</v>
      </c>
      <c r="W14" s="107">
        <f t="shared" si="4"/>
        <v>1</v>
      </c>
      <c r="X14" s="106">
        <f t="shared" si="0"/>
        <v>0.25</v>
      </c>
      <c r="Y14" s="108">
        <f t="shared" si="5"/>
        <v>0.3125</v>
      </c>
      <c r="Z14" s="385"/>
      <c r="AA14" s="385"/>
      <c r="AB14" s="385">
        <f>N31/AA11</f>
        <v>0.29268292682926828</v>
      </c>
      <c r="AC14" s="385">
        <f>O31/AA12</f>
        <v>8.8235294117647065E-2</v>
      </c>
      <c r="AD14" s="385">
        <f>Q31/AA11</f>
        <v>0.17886178861788618</v>
      </c>
      <c r="AE14" s="389"/>
      <c r="AF14" s="51"/>
      <c r="AG14" s="51"/>
      <c r="AH14" s="51"/>
      <c r="AI14" s="51"/>
    </row>
    <row r="15" spans="1:36" s="18" customFormat="1" ht="15.75" x14ac:dyDescent="0.25">
      <c r="A15" s="87">
        <f>IF(Roster!A15&lt;&gt;"",Roster!A15,"")</f>
        <v>25</v>
      </c>
      <c r="B15" s="17" t="str">
        <f>IF(OR(Roster!A15&lt;&gt;"",Roster!B15&lt;&gt;""),PROPER(Roster!B15),"")</f>
        <v>Bridger Bruce</v>
      </c>
      <c r="C15" s="109" t="s">
        <v>369</v>
      </c>
      <c r="D15" s="149">
        <v>1</v>
      </c>
      <c r="E15" s="110">
        <v>19</v>
      </c>
      <c r="F15" s="111"/>
      <c r="G15" s="112"/>
      <c r="H15" s="113">
        <v>1</v>
      </c>
      <c r="I15" s="112">
        <v>3</v>
      </c>
      <c r="J15" s="113"/>
      <c r="K15" s="112"/>
      <c r="L15" s="113">
        <v>2</v>
      </c>
      <c r="M15" s="113">
        <v>3</v>
      </c>
      <c r="N15" s="113">
        <v>2</v>
      </c>
      <c r="O15" s="113">
        <v>1</v>
      </c>
      <c r="P15" s="113"/>
      <c r="Q15" s="113">
        <v>2</v>
      </c>
      <c r="R15" s="113">
        <v>2</v>
      </c>
      <c r="S15" s="114"/>
      <c r="T15" s="115">
        <f t="shared" si="1"/>
        <v>2</v>
      </c>
      <c r="U15" s="95" t="str">
        <f t="shared" si="2"/>
        <v/>
      </c>
      <c r="V15" s="95">
        <f t="shared" si="3"/>
        <v>0.33333333333333331</v>
      </c>
      <c r="W15" s="96" t="str">
        <f t="shared" si="4"/>
        <v/>
      </c>
      <c r="X15" s="95">
        <f t="shared" si="0"/>
        <v>0.33333333333333331</v>
      </c>
      <c r="Y15" s="116">
        <f t="shared" si="5"/>
        <v>0.33333333333333331</v>
      </c>
      <c r="Z15" s="392"/>
      <c r="AA15" s="393"/>
      <c r="AB15" s="393">
        <f>N32/AA12</f>
        <v>0.16176470588235295</v>
      </c>
      <c r="AC15" s="393">
        <f>O32/AA11</f>
        <v>0.13008130081300814</v>
      </c>
      <c r="AD15" s="393">
        <f>Q32/AA12</f>
        <v>0.25</v>
      </c>
      <c r="AE15" s="394"/>
      <c r="AF15" s="51"/>
      <c r="AG15" s="51"/>
      <c r="AH15" s="51"/>
      <c r="AI15" s="51"/>
    </row>
    <row r="16" spans="1:36" s="18" customFormat="1" ht="15.75" x14ac:dyDescent="0.25">
      <c r="A16" s="87">
        <f>IF(Roster!A16&lt;&gt;"",Roster!A16,"")</f>
        <v>31</v>
      </c>
      <c r="B16" s="19" t="str">
        <f>IF(OR(Roster!A16&lt;&gt;"",Roster!B16&lt;&gt;""),PROPER(Roster!B16),"")</f>
        <v>Kailer Duarte</v>
      </c>
      <c r="C16" s="99"/>
      <c r="D16" s="148">
        <v>1</v>
      </c>
      <c r="E16" s="100">
        <v>18</v>
      </c>
      <c r="F16" s="101"/>
      <c r="G16" s="102">
        <v>4</v>
      </c>
      <c r="H16" s="103">
        <v>2</v>
      </c>
      <c r="I16" s="102">
        <v>4</v>
      </c>
      <c r="J16" s="103"/>
      <c r="K16" s="102"/>
      <c r="L16" s="103">
        <v>2</v>
      </c>
      <c r="M16" s="103">
        <v>4</v>
      </c>
      <c r="N16" s="103">
        <v>1</v>
      </c>
      <c r="O16" s="103">
        <v>1</v>
      </c>
      <c r="P16" s="103">
        <v>1</v>
      </c>
      <c r="Q16" s="103"/>
      <c r="R16" s="103"/>
      <c r="S16" s="104"/>
      <c r="T16" s="105">
        <f t="shared" si="1"/>
        <v>4</v>
      </c>
      <c r="U16" s="106">
        <f t="shared" si="2"/>
        <v>0</v>
      </c>
      <c r="V16" s="106">
        <f t="shared" si="3"/>
        <v>0.5</v>
      </c>
      <c r="W16" s="107" t="str">
        <f t="shared" si="4"/>
        <v/>
      </c>
      <c r="X16" s="106">
        <f t="shared" si="0"/>
        <v>0.25</v>
      </c>
      <c r="Y16" s="108">
        <f t="shared" si="5"/>
        <v>0.25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1</v>
      </c>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c r="F18" s="101"/>
      <c r="G18" s="102"/>
      <c r="H18" s="103"/>
      <c r="I18" s="102"/>
      <c r="J18" s="103"/>
      <c r="K18" s="102"/>
      <c r="L18" s="103"/>
      <c r="M18" s="103"/>
      <c r="N18" s="103"/>
      <c r="O18" s="103"/>
      <c r="P18" s="103"/>
      <c r="Q18" s="103">
        <v>1</v>
      </c>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11</v>
      </c>
      <c r="F19" s="111"/>
      <c r="G19" s="112">
        <v>1</v>
      </c>
      <c r="H19" s="113">
        <v>1</v>
      </c>
      <c r="I19" s="112">
        <v>2</v>
      </c>
      <c r="J19" s="113"/>
      <c r="K19" s="112"/>
      <c r="L19" s="113"/>
      <c r="M19" s="113">
        <v>1</v>
      </c>
      <c r="N19" s="113">
        <v>2</v>
      </c>
      <c r="O19" s="113"/>
      <c r="P19" s="113">
        <v>1</v>
      </c>
      <c r="Q19" s="113"/>
      <c r="R19" s="113"/>
      <c r="S19" s="114">
        <v>2</v>
      </c>
      <c r="T19" s="115">
        <f t="shared" si="1"/>
        <v>2</v>
      </c>
      <c r="U19" s="95">
        <f t="shared" si="2"/>
        <v>0</v>
      </c>
      <c r="V19" s="95">
        <f t="shared" si="3"/>
        <v>0.5</v>
      </c>
      <c r="W19" s="96" t="str">
        <f t="shared" si="4"/>
        <v/>
      </c>
      <c r="X19" s="95">
        <f t="shared" si="0"/>
        <v>0.33333333333333331</v>
      </c>
      <c r="Y19" s="116">
        <f t="shared" si="5"/>
        <v>0.33333333333333331</v>
      </c>
      <c r="Z19" s="388" t="s">
        <v>124</v>
      </c>
      <c r="AA19" s="385">
        <f>AB11*65</f>
        <v>58.130081300813004</v>
      </c>
      <c r="AB19" s="385">
        <f t="shared" ref="AB19:AD20" si="6">AC11*65</f>
        <v>16.91056910569106</v>
      </c>
      <c r="AC19" s="385">
        <f t="shared" si="6"/>
        <v>22.941176470588236</v>
      </c>
      <c r="AD19" s="385">
        <f t="shared" si="6"/>
        <v>42.27642276422764</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35.367647058823529</v>
      </c>
      <c r="AB20" s="385">
        <f t="shared" si="6"/>
        <v>9.5588235294117645</v>
      </c>
      <c r="AC20" s="385">
        <f t="shared" si="6"/>
        <v>21.13821138211382</v>
      </c>
      <c r="AD20" s="385">
        <f t="shared" si="6"/>
        <v>28.676470588235293</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19.024390243902438</v>
      </c>
      <c r="AC22" s="385">
        <f t="shared" si="7"/>
        <v>5.7352941176470589</v>
      </c>
      <c r="AD22" s="385">
        <f>AD14*65</f>
        <v>11.626016260162602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10.514705882352942</v>
      </c>
      <c r="AC23" s="393">
        <f t="shared" si="7"/>
        <v>8.45528455284553</v>
      </c>
      <c r="AD23" s="393">
        <f t="shared" si="7"/>
        <v>16.25</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61</v>
      </c>
      <c r="B31" s="126" t="s">
        <v>161</v>
      </c>
      <c r="C31" s="151"/>
      <c r="D31" s="152">
        <f>IF(COUNTA($D$7:$D$30)&gt;0,1,"")</f>
        <v>1</v>
      </c>
      <c r="E31" s="127">
        <f>IF(D31=1,32+J4*4,"")</f>
        <v>32</v>
      </c>
      <c r="F31" s="128">
        <f t="shared" ref="F31:S31" si="8">SUM(F7:F30)</f>
        <v>7</v>
      </c>
      <c r="G31" s="129">
        <f t="shared" si="8"/>
        <v>26</v>
      </c>
      <c r="H31" s="128">
        <f t="shared" si="8"/>
        <v>16</v>
      </c>
      <c r="I31" s="130">
        <f t="shared" si="8"/>
        <v>39</v>
      </c>
      <c r="J31" s="129">
        <f t="shared" si="8"/>
        <v>2</v>
      </c>
      <c r="K31" s="130">
        <f t="shared" si="8"/>
        <v>3</v>
      </c>
      <c r="L31" s="129">
        <f t="shared" si="8"/>
        <v>16</v>
      </c>
      <c r="M31" s="129">
        <f t="shared" si="8"/>
        <v>24</v>
      </c>
      <c r="N31" s="129">
        <f t="shared" si="8"/>
        <v>18</v>
      </c>
      <c r="O31" s="129">
        <f t="shared" si="8"/>
        <v>6</v>
      </c>
      <c r="P31" s="129">
        <f t="shared" si="8"/>
        <v>3</v>
      </c>
      <c r="Q31" s="129">
        <f t="shared" si="8"/>
        <v>11</v>
      </c>
      <c r="R31" s="129">
        <f t="shared" si="8"/>
        <v>5</v>
      </c>
      <c r="S31" s="131">
        <f t="shared" si="8"/>
        <v>2</v>
      </c>
      <c r="T31" s="132">
        <f>IF(J31+2*H31+3*F31&gt;0,J31+2*H31+3*F31,IF(H4&gt;0,H4,""))</f>
        <v>55</v>
      </c>
      <c r="U31" s="133">
        <f>IF(G31&gt;0,F31/G31,"")</f>
        <v>0.26923076923076922</v>
      </c>
      <c r="V31" s="133">
        <f>IF(I31&gt;0,H31/I31,"")</f>
        <v>0.41025641025641024</v>
      </c>
      <c r="W31" s="134">
        <f>IF(K31&gt;0,J31/K31,"")</f>
        <v>0.66666666666666663</v>
      </c>
      <c r="X31" s="133">
        <f t="shared" si="0"/>
        <v>0.35384615384615387</v>
      </c>
      <c r="Y31" s="135">
        <f t="shared" si="5"/>
        <v>0.40769230769230769</v>
      </c>
      <c r="AB31" s="51"/>
      <c r="AC31" s="51"/>
      <c r="AD31" s="51"/>
      <c r="AE31" s="51"/>
      <c r="AF31" s="136"/>
      <c r="AG31" s="136"/>
      <c r="AH31" s="136"/>
      <c r="AI31" s="51"/>
    </row>
    <row r="32" spans="1:35" s="18" customFormat="1" ht="17.25" thickTop="1" thickBot="1" x14ac:dyDescent="0.3">
      <c r="A32" s="51">
        <f>ROUND(G32+I32+0.475*K32-L32+Q32,0)</f>
        <v>68</v>
      </c>
      <c r="B32" s="137" t="s">
        <v>162</v>
      </c>
      <c r="C32" s="153"/>
      <c r="D32" s="138">
        <f>IF(SUM(F32:S32)&gt;0,1,"")</f>
        <v>1</v>
      </c>
      <c r="E32" s="138">
        <f>IF(D32=1,E31,0)</f>
        <v>32</v>
      </c>
      <c r="F32" s="139">
        <v>3</v>
      </c>
      <c r="G32" s="140">
        <v>17</v>
      </c>
      <c r="H32" s="139">
        <v>13</v>
      </c>
      <c r="I32" s="141">
        <v>42</v>
      </c>
      <c r="J32" s="139">
        <v>2</v>
      </c>
      <c r="K32" s="141">
        <v>4</v>
      </c>
      <c r="L32" s="140">
        <v>10</v>
      </c>
      <c r="M32" s="140">
        <v>20</v>
      </c>
      <c r="N32" s="140">
        <v>11</v>
      </c>
      <c r="O32" s="140">
        <v>8</v>
      </c>
      <c r="P32" s="140"/>
      <c r="Q32" s="140">
        <v>17</v>
      </c>
      <c r="R32" s="140">
        <v>5</v>
      </c>
      <c r="S32" s="142"/>
      <c r="T32" s="143">
        <f>IF(J32+2*H32+3*F32&gt;0,J32+2*H32+3*F32,IF(H3&gt;0,H3,""))</f>
        <v>37</v>
      </c>
      <c r="U32" s="144">
        <f>IF(G32&gt;0,F32/G32,"")</f>
        <v>0.17647058823529413</v>
      </c>
      <c r="V32" s="144">
        <f>IF(I32&gt;0,H32/I32,"")</f>
        <v>0.30952380952380953</v>
      </c>
      <c r="W32" s="145">
        <f>IF(K32&gt;0,J32/K32,"")</f>
        <v>0.5</v>
      </c>
      <c r="X32" s="144">
        <f t="shared" si="0"/>
        <v>0.2711864406779661</v>
      </c>
      <c r="Y32" s="146">
        <f t="shared" si="5"/>
        <v>0.29661016949152541</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935" priority="31">
      <formula>AND($H$4&gt;0,$H$4&lt;&gt;$T$31)</formula>
    </cfRule>
  </conditionalFormatting>
  <conditionalFormatting sqref="T32 H3">
    <cfRule type="expression" dxfId="934" priority="30">
      <formula>AND($H$3&gt;0,$H$3&lt;&gt;$T$32)</formula>
    </cfRule>
  </conditionalFormatting>
  <conditionalFormatting sqref="A2">
    <cfRule type="cellIs" dxfId="933" priority="29" operator="equal">
      <formula>"R"</formula>
    </cfRule>
  </conditionalFormatting>
  <conditionalFormatting sqref="F7:F30 H7:H30 J7:J30">
    <cfRule type="expression" dxfId="932" priority="28">
      <formula>F7&gt;G7</formula>
    </cfRule>
  </conditionalFormatting>
  <conditionalFormatting sqref="E7:E30">
    <cfRule type="expression" dxfId="931" priority="27">
      <formula>$E7&gt;$E$31</formula>
    </cfRule>
  </conditionalFormatting>
  <conditionalFormatting sqref="L6">
    <cfRule type="expression" dxfId="930" priority="26">
      <formula>OR($L$31&gt;($G$31+$I$31+$K$31-$F$31-$H$31-$J$31),L32&gt;(G31+I31+K31-F31-H31-J31))</formula>
    </cfRule>
  </conditionalFormatting>
  <conditionalFormatting sqref="M6">
    <cfRule type="expression" dxfId="929" priority="25">
      <formula>OR(M31&gt;(G32-F32+I32-H32+K32-J32),M32&gt;(G31-F31+I31-H31+K31-J31))</formula>
    </cfRule>
  </conditionalFormatting>
  <conditionalFormatting sqref="N6">
    <cfRule type="expression" dxfId="928" priority="24">
      <formula>OR($N$31&gt;($F$31+$H$31),$N$32&gt;($F$32+$H$32))</formula>
    </cfRule>
  </conditionalFormatting>
  <conditionalFormatting sqref="P6">
    <cfRule type="expression" dxfId="927" priority="23">
      <formula>OR($P$31&gt;(G32-F32+I32-H32),P32&gt;(G31-F31+I31-H31))</formula>
    </cfRule>
  </conditionalFormatting>
  <conditionalFormatting sqref="Q6">
    <cfRule type="expression" dxfId="926" priority="22">
      <formula>OR($Q$31&lt;$O$32,$Q$32&lt;$O$31)</formula>
    </cfRule>
  </conditionalFormatting>
  <conditionalFormatting sqref="L31:L32">
    <cfRule type="cellIs" dxfId="925" priority="21" operator="greaterThan">
      <formula>$G31+$I31+$K31-$F31-$H31-$J31</formula>
    </cfRule>
  </conditionalFormatting>
  <conditionalFormatting sqref="M32">
    <cfRule type="cellIs" dxfId="924" priority="20" operator="greaterThan">
      <formula>$G$31-$F$31+$I$31-$H$31+$K$31-$J$31</formula>
    </cfRule>
  </conditionalFormatting>
  <conditionalFormatting sqref="N31:N32">
    <cfRule type="cellIs" dxfId="923" priority="19" operator="greaterThan">
      <formula>$F31+$H31</formula>
    </cfRule>
  </conditionalFormatting>
  <conditionalFormatting sqref="O32">
    <cfRule type="cellIs" dxfId="922" priority="12" operator="greaterThan">
      <formula>$Q$31</formula>
    </cfRule>
  </conditionalFormatting>
  <conditionalFormatting sqref="P31">
    <cfRule type="cellIs" dxfId="921" priority="18" operator="greaterThan">
      <formula>$G$32-$F$32+$I$32-$H$32</formula>
    </cfRule>
  </conditionalFormatting>
  <conditionalFormatting sqref="Q32">
    <cfRule type="cellIs" dxfId="920" priority="17" operator="lessThan">
      <formula>$O$31</formula>
    </cfRule>
  </conditionalFormatting>
  <conditionalFormatting sqref="F7:F32">
    <cfRule type="cellIs" dxfId="919" priority="16" operator="greaterThan">
      <formula>G7</formula>
    </cfRule>
  </conditionalFormatting>
  <conditionalFormatting sqref="H7:H32">
    <cfRule type="cellIs" dxfId="918" priority="15" operator="greaterThan">
      <formula>I7</formula>
    </cfRule>
  </conditionalFormatting>
  <conditionalFormatting sqref="J7:J32">
    <cfRule type="cellIs" dxfId="917" priority="14" operator="greaterThan">
      <formula>K7</formula>
    </cfRule>
  </conditionalFormatting>
  <conditionalFormatting sqref="M4">
    <cfRule type="cellIs" dxfId="916" priority="13" operator="notBetween">
      <formula>$AH$2</formula>
      <formula>$AI$2</formula>
    </cfRule>
  </conditionalFormatting>
  <conditionalFormatting sqref="O31">
    <cfRule type="cellIs" dxfId="915" priority="11" operator="greaterThan">
      <formula>$Q$32</formula>
    </cfRule>
  </conditionalFormatting>
  <conditionalFormatting sqref="Q31">
    <cfRule type="cellIs" dxfId="914" priority="10" operator="lessThan">
      <formula>$O$32</formula>
    </cfRule>
  </conditionalFormatting>
  <conditionalFormatting sqref="M31">
    <cfRule type="cellIs" dxfId="913" priority="9" operator="greaterThan">
      <formula>G32-F32 +I32-H32+K32-J32</formula>
    </cfRule>
  </conditionalFormatting>
  <conditionalFormatting sqref="B3">
    <cfRule type="expression" dxfId="912" priority="8">
      <formula>$W$2 = TRUE</formula>
    </cfRule>
  </conditionalFormatting>
  <conditionalFormatting sqref="P4:Q4">
    <cfRule type="expression" dxfId="911" priority="7">
      <formula>OR(AND($P$4=1,$X$4=1),AND($Q$4=1,$W$4=1))</formula>
    </cfRule>
  </conditionalFormatting>
  <conditionalFormatting sqref="D20:D30">
    <cfRule type="expression" dxfId="910" priority="32">
      <formula>AND($D20=0,SUM($F20:$S20)&gt;0)</formula>
    </cfRule>
  </conditionalFormatting>
  <conditionalFormatting sqref="O6">
    <cfRule type="expression" dxfId="909" priority="6">
      <formula>OR($O$31&gt;$Q$32,$O$32&gt;$Q$31)</formula>
    </cfRule>
  </conditionalFormatting>
  <conditionalFormatting sqref="F6">
    <cfRule type="expression" dxfId="908" priority="5">
      <formula>OR(F$31&gt;G$31,F$32&gt;G$32)</formula>
    </cfRule>
  </conditionalFormatting>
  <conditionalFormatting sqref="H6">
    <cfRule type="expression" dxfId="907" priority="4">
      <formula>OR(H$31&gt;I$31,H$32&gt;I$32)</formula>
    </cfRule>
  </conditionalFormatting>
  <conditionalFormatting sqref="J6">
    <cfRule type="expression" dxfId="906" priority="3">
      <formula>OR(J$31&gt;K$31,J$32&gt;K$32)</formula>
    </cfRule>
  </conditionalFormatting>
  <conditionalFormatting sqref="D7">
    <cfRule type="expression" dxfId="905" priority="2">
      <formula>AND($D7=0,SUM($F7:$S7)&gt;0)</formula>
    </cfRule>
  </conditionalFormatting>
  <conditionalFormatting sqref="D8:D19">
    <cfRule type="expression" dxfId="904" priority="1">
      <formula>AND($D8=0,SUM($F8:$S8)&gt;0)</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Z9" sqref="Z9:AE2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7</v>
      </c>
      <c r="C3" s="70">
        <v>5</v>
      </c>
      <c r="D3" s="71">
        <v>2</v>
      </c>
      <c r="E3" s="71">
        <v>6</v>
      </c>
      <c r="F3" s="71">
        <v>3</v>
      </c>
      <c r="G3" s="72"/>
      <c r="H3" s="73">
        <f>SUM(C3:G3)</f>
        <v>16</v>
      </c>
      <c r="J3" s="12" t="s">
        <v>165</v>
      </c>
      <c r="P3" s="74" t="s">
        <v>135</v>
      </c>
      <c r="Q3" s="74" t="s">
        <v>137</v>
      </c>
      <c r="S3" s="75" t="s">
        <v>138</v>
      </c>
      <c r="U3" s="76" t="s">
        <v>139</v>
      </c>
      <c r="W3" s="77" t="s">
        <v>134</v>
      </c>
      <c r="X3" s="77" t="s">
        <v>136</v>
      </c>
      <c r="AA3" s="48" t="str">
        <f>B4</f>
        <v>Upton</v>
      </c>
      <c r="AD3" s="48">
        <f>SUM($C3:C3)</f>
        <v>5</v>
      </c>
      <c r="AE3" s="48">
        <f>SUM($C3:D3)</f>
        <v>7</v>
      </c>
      <c r="AF3" s="48">
        <f>SUM($C3:E3)</f>
        <v>13</v>
      </c>
      <c r="AG3" s="48">
        <f>SUM($C3:F3)</f>
        <v>16</v>
      </c>
      <c r="AH3" s="48">
        <f>SUM($C3:G3)</f>
        <v>16</v>
      </c>
      <c r="AJ3" s="74"/>
    </row>
    <row r="4" spans="1:36" ht="16.5" customHeight="1" thickTop="1" thickBot="1" x14ac:dyDescent="0.3">
      <c r="B4" s="78" t="str">
        <f>Roster!$B$1</f>
        <v>Upton</v>
      </c>
      <c r="C4" s="79">
        <v>22</v>
      </c>
      <c r="D4" s="80">
        <v>28</v>
      </c>
      <c r="E4" s="80">
        <v>10</v>
      </c>
      <c r="F4" s="80">
        <v>0</v>
      </c>
      <c r="G4" s="81"/>
      <c r="H4" s="82">
        <f>SUM(C4:G4)</f>
        <v>60</v>
      </c>
      <c r="J4" s="83"/>
      <c r="L4" s="84" t="s">
        <v>133</v>
      </c>
      <c r="M4" s="404">
        <v>44946</v>
      </c>
      <c r="N4" s="405"/>
      <c r="P4" s="83">
        <v>1</v>
      </c>
      <c r="Q4" s="83"/>
      <c r="S4" s="83"/>
      <c r="U4" s="83"/>
      <c r="W4" s="85">
        <f>IF(OR($S$4=1,$H$4&gt;$H$3),1,"")</f>
        <v>1</v>
      </c>
      <c r="X4" s="85" t="str">
        <f>IF(OR($U$4=1,$H$4&lt;$H$3),1,"")</f>
        <v/>
      </c>
      <c r="AA4" s="48" t="str">
        <f>B3</f>
        <v>Arvada Clearmont</v>
      </c>
      <c r="AD4" s="48">
        <f>SUM($C4:C4)</f>
        <v>22</v>
      </c>
      <c r="AE4" s="48">
        <f>SUM($C4:D4)</f>
        <v>50</v>
      </c>
      <c r="AF4" s="48">
        <f>SUM($C4:E4)</f>
        <v>60</v>
      </c>
      <c r="AG4" s="48">
        <f>SUM($C4:F4)</f>
        <v>60</v>
      </c>
      <c r="AH4" s="48">
        <f>SUM($C4:G4)</f>
        <v>60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12</v>
      </c>
      <c r="F7" s="90">
        <v>2</v>
      </c>
      <c r="G7" s="91">
        <v>6</v>
      </c>
      <c r="H7" s="92"/>
      <c r="I7" s="91">
        <v>1</v>
      </c>
      <c r="J7" s="92"/>
      <c r="K7" s="91"/>
      <c r="L7" s="92"/>
      <c r="M7" s="92"/>
      <c r="N7" s="92"/>
      <c r="O7" s="92">
        <v>2</v>
      </c>
      <c r="P7" s="92"/>
      <c r="Q7" s="92">
        <v>2</v>
      </c>
      <c r="R7" s="92">
        <v>1</v>
      </c>
      <c r="S7" s="93"/>
      <c r="T7" s="94">
        <f>IF(J7+2*H7+3*F7&gt;0,J7+2*H7+3*F7,0)</f>
        <v>6</v>
      </c>
      <c r="U7" s="95">
        <f>IF(G7&gt;0,F7/G7,"")</f>
        <v>0.33333333333333331</v>
      </c>
      <c r="V7" s="95">
        <f>IF(I7&gt;0,H7/I7,"")</f>
        <v>0</v>
      </c>
      <c r="W7" s="96" t="str">
        <f>IF(K7&gt;0,J7/K7,"")</f>
        <v/>
      </c>
      <c r="X7" s="97">
        <f t="shared" ref="X7:X32" si="0">IF(OR(G7&gt;0,I7 &gt;0),(F7+H7)/(G7+I7),"")</f>
        <v>0.2857142857142857</v>
      </c>
      <c r="Y7" s="98">
        <f>IF(OR(G7&gt;0,I7 &gt;0),(1.5*F7+H7)/(G7+I7),"")</f>
        <v>0.42857142857142855</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18</v>
      </c>
      <c r="F8" s="101">
        <v>1</v>
      </c>
      <c r="G8" s="102">
        <v>6</v>
      </c>
      <c r="H8" s="103">
        <v>3</v>
      </c>
      <c r="I8" s="102">
        <v>4</v>
      </c>
      <c r="J8" s="103">
        <v>1</v>
      </c>
      <c r="K8" s="102">
        <v>1</v>
      </c>
      <c r="L8" s="103">
        <v>3</v>
      </c>
      <c r="M8" s="103">
        <v>2</v>
      </c>
      <c r="N8" s="103">
        <v>5</v>
      </c>
      <c r="O8" s="103">
        <v>7</v>
      </c>
      <c r="P8" s="103"/>
      <c r="Q8" s="103"/>
      <c r="R8" s="103"/>
      <c r="S8" s="104"/>
      <c r="T8" s="105">
        <f t="shared" ref="T8:T30" si="1">IF(J8+2*H8+3*F8&gt;0,J8+2*H8+3*F8,0)</f>
        <v>10</v>
      </c>
      <c r="U8" s="106">
        <f t="shared" ref="U8:U30" si="2">IF(G8&gt;0,F8/G8,"")</f>
        <v>0.16666666666666666</v>
      </c>
      <c r="V8" s="106">
        <f t="shared" ref="V8:V30" si="3">IF(I8&gt;0,H8/I8,"")</f>
        <v>0.75</v>
      </c>
      <c r="W8" s="107">
        <f t="shared" ref="W8:W30" si="4">IF(K8&gt;0,J8/K8,"")</f>
        <v>1</v>
      </c>
      <c r="X8" s="106">
        <f t="shared" si="0"/>
        <v>0.4</v>
      </c>
      <c r="Y8" s="108">
        <f t="shared" ref="Y8:Y32" si="5">IF(OR(G8&gt;0,I8 &gt;0),(1.5*F8+H8)/(G8+I8),"")</f>
        <v>0.45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15</v>
      </c>
      <c r="F10" s="101"/>
      <c r="G10" s="102">
        <v>4</v>
      </c>
      <c r="H10" s="103">
        <v>6</v>
      </c>
      <c r="I10" s="102">
        <v>8</v>
      </c>
      <c r="J10" s="103">
        <v>1</v>
      </c>
      <c r="K10" s="102">
        <v>2</v>
      </c>
      <c r="L10" s="103">
        <v>3</v>
      </c>
      <c r="M10" s="103">
        <v>2</v>
      </c>
      <c r="N10" s="103">
        <v>6</v>
      </c>
      <c r="O10" s="103">
        <v>4</v>
      </c>
      <c r="P10" s="103"/>
      <c r="Q10" s="103"/>
      <c r="R10" s="103"/>
      <c r="S10" s="104"/>
      <c r="T10" s="105">
        <f t="shared" si="1"/>
        <v>13</v>
      </c>
      <c r="U10" s="106">
        <f t="shared" si="2"/>
        <v>0</v>
      </c>
      <c r="V10" s="106">
        <f t="shared" si="3"/>
        <v>0.75</v>
      </c>
      <c r="W10" s="107">
        <f t="shared" si="4"/>
        <v>0.5</v>
      </c>
      <c r="X10" s="106">
        <f t="shared" si="0"/>
        <v>0.5</v>
      </c>
      <c r="Y10" s="108">
        <f t="shared" si="5"/>
        <v>0.5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v>1</v>
      </c>
      <c r="E11" s="110">
        <v>9</v>
      </c>
      <c r="F11" s="111"/>
      <c r="G11" s="112"/>
      <c r="H11" s="113">
        <v>2</v>
      </c>
      <c r="I11" s="112">
        <v>2</v>
      </c>
      <c r="J11" s="113"/>
      <c r="K11" s="112"/>
      <c r="L11" s="113"/>
      <c r="M11" s="113"/>
      <c r="N11" s="113"/>
      <c r="O11" s="113"/>
      <c r="P11" s="113"/>
      <c r="Q11" s="113">
        <v>2</v>
      </c>
      <c r="R11" s="113"/>
      <c r="S11" s="114"/>
      <c r="T11" s="115">
        <f t="shared" si="1"/>
        <v>4</v>
      </c>
      <c r="U11" s="95" t="str">
        <f t="shared" si="2"/>
        <v/>
      </c>
      <c r="V11" s="95">
        <f t="shared" si="3"/>
        <v>1</v>
      </c>
      <c r="W11" s="96" t="str">
        <f t="shared" si="4"/>
        <v/>
      </c>
      <c r="X11" s="95">
        <f t="shared" si="0"/>
        <v>1</v>
      </c>
      <c r="Y11" s="116">
        <f t="shared" si="5"/>
        <v>1</v>
      </c>
      <c r="Z11" s="388" t="s">
        <v>124</v>
      </c>
      <c r="AA11" s="385">
        <f>G31+I31+(K31/2)+Q31-L31</f>
        <v>52</v>
      </c>
      <c r="AB11" s="385">
        <f>T31/AA11</f>
        <v>1.1538461538461537</v>
      </c>
      <c r="AC11" s="385">
        <f>L31/AA11</f>
        <v>0.40384615384615385</v>
      </c>
      <c r="AD11" s="385">
        <f>M31/AA12</f>
        <v>0.29090909090909089</v>
      </c>
      <c r="AE11" s="389">
        <f>(L31+M31)/AA11</f>
        <v>0.71153846153846156</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5</v>
      </c>
      <c r="F12" s="101"/>
      <c r="G12" s="102">
        <v>1</v>
      </c>
      <c r="H12" s="103"/>
      <c r="I12" s="102">
        <v>1</v>
      </c>
      <c r="J12" s="103"/>
      <c r="K12" s="102"/>
      <c r="L12" s="103"/>
      <c r="M12" s="103">
        <v>1</v>
      </c>
      <c r="N12" s="103"/>
      <c r="O12" s="103"/>
      <c r="P12" s="103"/>
      <c r="Q12" s="103">
        <v>1</v>
      </c>
      <c r="R12" s="103"/>
      <c r="S12" s="104"/>
      <c r="T12" s="105">
        <f t="shared" si="1"/>
        <v>0</v>
      </c>
      <c r="U12" s="106">
        <f t="shared" si="2"/>
        <v>0</v>
      </c>
      <c r="V12" s="106">
        <f t="shared" si="3"/>
        <v>0</v>
      </c>
      <c r="W12" s="107" t="str">
        <f t="shared" si="4"/>
        <v/>
      </c>
      <c r="X12" s="106">
        <f t="shared" si="0"/>
        <v>0</v>
      </c>
      <c r="Y12" s="108">
        <f t="shared" si="5"/>
        <v>0</v>
      </c>
      <c r="Z12" s="388" t="s">
        <v>352</v>
      </c>
      <c r="AA12" s="385">
        <f>G32+I32+(K32/2)+Q32-L32</f>
        <v>55</v>
      </c>
      <c r="AB12" s="385">
        <f>T32/AA12</f>
        <v>0.29090909090909089</v>
      </c>
      <c r="AC12" s="385">
        <f>L32/AA12</f>
        <v>3.6363636363636362E-2</v>
      </c>
      <c r="AD12" s="385">
        <f>M32/AA11</f>
        <v>0.21153846153846154</v>
      </c>
      <c r="AE12" s="389">
        <f>(L32+M32)/AA12</f>
        <v>0.23636363636363636</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5</v>
      </c>
      <c r="F13" s="111"/>
      <c r="G13" s="112"/>
      <c r="H13" s="113"/>
      <c r="I13" s="112">
        <v>3</v>
      </c>
      <c r="J13" s="113"/>
      <c r="K13" s="112"/>
      <c r="L13" s="113">
        <v>1</v>
      </c>
      <c r="M13" s="113">
        <v>2</v>
      </c>
      <c r="N13" s="113"/>
      <c r="O13" s="113"/>
      <c r="P13" s="113"/>
      <c r="Q13" s="113"/>
      <c r="R13" s="113">
        <v>1</v>
      </c>
      <c r="S13" s="114"/>
      <c r="T13" s="115">
        <f t="shared" si="1"/>
        <v>0</v>
      </c>
      <c r="U13" s="95" t="str">
        <f t="shared" si="2"/>
        <v/>
      </c>
      <c r="V13" s="95">
        <f t="shared" si="3"/>
        <v>0</v>
      </c>
      <c r="W13" s="96" t="str">
        <f t="shared" si="4"/>
        <v/>
      </c>
      <c r="X13" s="95">
        <f t="shared" si="0"/>
        <v>0</v>
      </c>
      <c r="Y13" s="116">
        <f t="shared" si="5"/>
        <v>0</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14</v>
      </c>
      <c r="F14" s="101"/>
      <c r="G14" s="102">
        <v>2</v>
      </c>
      <c r="H14" s="103">
        <v>7</v>
      </c>
      <c r="I14" s="102">
        <v>8</v>
      </c>
      <c r="J14" s="103"/>
      <c r="K14" s="102">
        <v>3</v>
      </c>
      <c r="L14" s="103">
        <v>4</v>
      </c>
      <c r="M14" s="103">
        <v>1</v>
      </c>
      <c r="N14" s="103">
        <v>2</v>
      </c>
      <c r="O14" s="103">
        <v>2</v>
      </c>
      <c r="P14" s="103"/>
      <c r="Q14" s="103"/>
      <c r="R14" s="103"/>
      <c r="S14" s="104"/>
      <c r="T14" s="105">
        <f t="shared" si="1"/>
        <v>14</v>
      </c>
      <c r="U14" s="106">
        <f t="shared" si="2"/>
        <v>0</v>
      </c>
      <c r="V14" s="106">
        <f t="shared" si="3"/>
        <v>0.875</v>
      </c>
      <c r="W14" s="107">
        <f t="shared" si="4"/>
        <v>0</v>
      </c>
      <c r="X14" s="106">
        <f t="shared" si="0"/>
        <v>0.7</v>
      </c>
      <c r="Y14" s="108">
        <f t="shared" si="5"/>
        <v>0.7</v>
      </c>
      <c r="Z14" s="385"/>
      <c r="AA14" s="385"/>
      <c r="AB14" s="385">
        <f>N31/AA11</f>
        <v>0.30769230769230771</v>
      </c>
      <c r="AC14" s="385">
        <f>O31/AA12</f>
        <v>0.30909090909090908</v>
      </c>
      <c r="AD14" s="385">
        <f>Q31/AA11</f>
        <v>0.17307692307692307</v>
      </c>
      <c r="AE14" s="389"/>
      <c r="AF14" s="51"/>
      <c r="AG14" s="51"/>
      <c r="AH14" s="51"/>
      <c r="AI14" s="51"/>
    </row>
    <row r="15" spans="1:36" s="18" customFormat="1" ht="15.75" x14ac:dyDescent="0.25">
      <c r="A15" s="87">
        <f>IF(Roster!A15&lt;&gt;"",Roster!A15,"")</f>
        <v>25</v>
      </c>
      <c r="B15" s="17" t="str">
        <f>IF(OR(Roster!A15&lt;&gt;"",Roster!B15&lt;&gt;""),PROPER(Roster!B15),"")</f>
        <v>Bridger Bruce</v>
      </c>
      <c r="C15" s="109" t="s">
        <v>369</v>
      </c>
      <c r="D15" s="149">
        <v>1</v>
      </c>
      <c r="E15" s="110">
        <v>13</v>
      </c>
      <c r="F15" s="111"/>
      <c r="G15" s="112">
        <v>1</v>
      </c>
      <c r="H15" s="113"/>
      <c r="I15" s="112"/>
      <c r="J15" s="113"/>
      <c r="K15" s="112"/>
      <c r="L15" s="113">
        <v>2</v>
      </c>
      <c r="M15" s="113"/>
      <c r="N15" s="113">
        <v>2</v>
      </c>
      <c r="O15" s="113"/>
      <c r="P15" s="113"/>
      <c r="Q15" s="113">
        <v>1</v>
      </c>
      <c r="R15" s="113">
        <v>2</v>
      </c>
      <c r="S15" s="114"/>
      <c r="T15" s="115">
        <f t="shared" si="1"/>
        <v>0</v>
      </c>
      <c r="U15" s="95">
        <f t="shared" si="2"/>
        <v>0</v>
      </c>
      <c r="V15" s="95" t="str">
        <f t="shared" si="3"/>
        <v/>
      </c>
      <c r="W15" s="96" t="str">
        <f t="shared" si="4"/>
        <v/>
      </c>
      <c r="X15" s="95">
        <f t="shared" si="0"/>
        <v>0</v>
      </c>
      <c r="Y15" s="116">
        <f t="shared" si="5"/>
        <v>0</v>
      </c>
      <c r="Z15" s="392"/>
      <c r="AA15" s="393"/>
      <c r="AB15" s="393">
        <f>N32/AA12</f>
        <v>5.4545454545454543E-2</v>
      </c>
      <c r="AC15" s="393">
        <f>O32/AA11</f>
        <v>9.6153846153846159E-2</v>
      </c>
      <c r="AD15" s="393">
        <f>Q32/AA12</f>
        <v>0.47272727272727272</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13</v>
      </c>
      <c r="F16" s="101">
        <v>2</v>
      </c>
      <c r="G16" s="102">
        <v>5</v>
      </c>
      <c r="H16" s="103">
        <v>1</v>
      </c>
      <c r="I16" s="102">
        <v>2</v>
      </c>
      <c r="J16" s="103"/>
      <c r="K16" s="102"/>
      <c r="L16" s="103">
        <v>1</v>
      </c>
      <c r="M16" s="103">
        <v>4</v>
      </c>
      <c r="N16" s="103"/>
      <c r="O16" s="103">
        <v>1</v>
      </c>
      <c r="P16" s="103">
        <v>1</v>
      </c>
      <c r="Q16" s="103"/>
      <c r="R16" s="103">
        <v>3</v>
      </c>
      <c r="S16" s="104"/>
      <c r="T16" s="105">
        <f t="shared" si="1"/>
        <v>8</v>
      </c>
      <c r="U16" s="106">
        <f t="shared" si="2"/>
        <v>0.4</v>
      </c>
      <c r="V16" s="106">
        <f t="shared" si="3"/>
        <v>0.5</v>
      </c>
      <c r="W16" s="107" t="str">
        <f t="shared" si="4"/>
        <v/>
      </c>
      <c r="X16" s="106">
        <f t="shared" si="0"/>
        <v>0.42857142857142855</v>
      </c>
      <c r="Y16" s="108">
        <f t="shared" si="5"/>
        <v>0.5714285714285714</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6</v>
      </c>
      <c r="F17" s="111"/>
      <c r="G17" s="112"/>
      <c r="H17" s="113"/>
      <c r="I17" s="112">
        <v>1</v>
      </c>
      <c r="J17" s="113">
        <v>1</v>
      </c>
      <c r="K17" s="112">
        <v>2</v>
      </c>
      <c r="L17" s="113"/>
      <c r="M17" s="113">
        <v>1</v>
      </c>
      <c r="N17" s="113"/>
      <c r="O17" s="113"/>
      <c r="P17" s="113"/>
      <c r="Q17" s="113">
        <v>2</v>
      </c>
      <c r="R17" s="113">
        <v>2</v>
      </c>
      <c r="S17" s="114"/>
      <c r="T17" s="115">
        <f t="shared" si="1"/>
        <v>1</v>
      </c>
      <c r="U17" s="95" t="str">
        <f t="shared" si="2"/>
        <v/>
      </c>
      <c r="V17" s="95">
        <f t="shared" si="3"/>
        <v>0</v>
      </c>
      <c r="W17" s="96">
        <f t="shared" si="4"/>
        <v>0.5</v>
      </c>
      <c r="X17" s="95">
        <f t="shared" si="0"/>
        <v>0</v>
      </c>
      <c r="Y17" s="116">
        <f t="shared" si="5"/>
        <v>0</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16</v>
      </c>
      <c r="F19" s="111"/>
      <c r="G19" s="112"/>
      <c r="H19" s="113">
        <v>2</v>
      </c>
      <c r="I19" s="112">
        <v>4</v>
      </c>
      <c r="J19" s="113"/>
      <c r="K19" s="112">
        <v>2</v>
      </c>
      <c r="L19" s="113">
        <v>7</v>
      </c>
      <c r="M19" s="113">
        <v>3</v>
      </c>
      <c r="N19" s="113">
        <v>1</v>
      </c>
      <c r="O19" s="113">
        <v>1</v>
      </c>
      <c r="P19" s="113"/>
      <c r="Q19" s="113">
        <v>1</v>
      </c>
      <c r="R19" s="113">
        <v>1</v>
      </c>
      <c r="S19" s="114"/>
      <c r="T19" s="115">
        <f t="shared" si="1"/>
        <v>4</v>
      </c>
      <c r="U19" s="95" t="str">
        <f t="shared" si="2"/>
        <v/>
      </c>
      <c r="V19" s="95">
        <f t="shared" si="3"/>
        <v>0.5</v>
      </c>
      <c r="W19" s="96">
        <f t="shared" si="4"/>
        <v>0</v>
      </c>
      <c r="X19" s="95">
        <f t="shared" si="0"/>
        <v>0.5</v>
      </c>
      <c r="Y19" s="116">
        <f t="shared" si="5"/>
        <v>0.5</v>
      </c>
      <c r="Z19" s="388" t="s">
        <v>124</v>
      </c>
      <c r="AA19" s="385">
        <f>AB11*65</f>
        <v>75</v>
      </c>
      <c r="AB19" s="385">
        <f t="shared" ref="AB19:AD20" si="6">AC11*65</f>
        <v>26.25</v>
      </c>
      <c r="AC19" s="385">
        <f t="shared" si="6"/>
        <v>18.909090909090907</v>
      </c>
      <c r="AD19" s="385">
        <f t="shared" si="6"/>
        <v>46.25</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18.909090909090907</v>
      </c>
      <c r="AB20" s="385">
        <f t="shared" si="6"/>
        <v>2.3636363636363633</v>
      </c>
      <c r="AC20" s="385">
        <f t="shared" si="6"/>
        <v>13.75</v>
      </c>
      <c r="AD20" s="385">
        <f t="shared" si="6"/>
        <v>15.363636363636363</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20</v>
      </c>
      <c r="AC22" s="385">
        <f t="shared" si="7"/>
        <v>20.09090909090909</v>
      </c>
      <c r="AD22" s="385">
        <f>AD14*65</f>
        <v>11.25</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3.5454545454545454</v>
      </c>
      <c r="AC23" s="393">
        <f t="shared" si="7"/>
        <v>6.25</v>
      </c>
      <c r="AD23" s="393">
        <f t="shared" si="7"/>
        <v>30.727272727272727</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52</v>
      </c>
      <c r="B31" s="126" t="s">
        <v>161</v>
      </c>
      <c r="C31" s="151"/>
      <c r="D31" s="152">
        <f>IF(COUNTA($D$7:$D$30)&gt;0,1,"")</f>
        <v>1</v>
      </c>
      <c r="E31" s="127">
        <f>IF(D31=1,32+J4*4,"")</f>
        <v>32</v>
      </c>
      <c r="F31" s="128">
        <f t="shared" ref="F31:S31" si="8">SUM(F7:F30)</f>
        <v>5</v>
      </c>
      <c r="G31" s="129">
        <f t="shared" si="8"/>
        <v>25</v>
      </c>
      <c r="H31" s="128">
        <f t="shared" si="8"/>
        <v>21</v>
      </c>
      <c r="I31" s="130">
        <f t="shared" si="8"/>
        <v>34</v>
      </c>
      <c r="J31" s="129">
        <f t="shared" si="8"/>
        <v>3</v>
      </c>
      <c r="K31" s="130">
        <f t="shared" si="8"/>
        <v>10</v>
      </c>
      <c r="L31" s="129">
        <f t="shared" si="8"/>
        <v>21</v>
      </c>
      <c r="M31" s="129">
        <f t="shared" si="8"/>
        <v>16</v>
      </c>
      <c r="N31" s="129">
        <f t="shared" si="8"/>
        <v>16</v>
      </c>
      <c r="O31" s="129">
        <f t="shared" si="8"/>
        <v>17</v>
      </c>
      <c r="P31" s="129">
        <f t="shared" si="8"/>
        <v>1</v>
      </c>
      <c r="Q31" s="129">
        <f t="shared" si="8"/>
        <v>9</v>
      </c>
      <c r="R31" s="129">
        <f t="shared" si="8"/>
        <v>10</v>
      </c>
      <c r="S31" s="131">
        <f t="shared" si="8"/>
        <v>0</v>
      </c>
      <c r="T31" s="132">
        <f>IF(J31+2*H31+3*F31&gt;0,J31+2*H31+3*F31,IF(H4&gt;0,H4,""))</f>
        <v>60</v>
      </c>
      <c r="U31" s="133">
        <f>IF(G31&gt;0,F31/G31,"")</f>
        <v>0.2</v>
      </c>
      <c r="V31" s="133">
        <f>IF(I31&gt;0,H31/I31,"")</f>
        <v>0.61764705882352944</v>
      </c>
      <c r="W31" s="134">
        <f>IF(K31&gt;0,J31/K31,"")</f>
        <v>0.3</v>
      </c>
      <c r="X31" s="133">
        <f t="shared" si="0"/>
        <v>0.44067796610169491</v>
      </c>
      <c r="Y31" s="135">
        <f t="shared" si="5"/>
        <v>0.48305084745762711</v>
      </c>
      <c r="AB31" s="51"/>
      <c r="AC31" s="51"/>
      <c r="AD31" s="51"/>
      <c r="AE31" s="51"/>
      <c r="AF31" s="136"/>
      <c r="AG31" s="136"/>
      <c r="AH31" s="136"/>
      <c r="AI31" s="51"/>
    </row>
    <row r="32" spans="1:35" s="18" customFormat="1" ht="17.25" thickTop="1" thickBot="1" x14ac:dyDescent="0.3">
      <c r="A32" s="51">
        <f>ROUND(G32+I32+0.475*K32-L32+Q32,0)</f>
        <v>55</v>
      </c>
      <c r="B32" s="137" t="s">
        <v>162</v>
      </c>
      <c r="C32" s="153"/>
      <c r="D32" s="138">
        <f>IF(SUM(F32:S32)&gt;0,1,"")</f>
        <v>1</v>
      </c>
      <c r="E32" s="138">
        <f>IF(D32=1,E31,0)</f>
        <v>32</v>
      </c>
      <c r="F32" s="139">
        <v>2</v>
      </c>
      <c r="G32" s="140">
        <v>8</v>
      </c>
      <c r="H32" s="139">
        <v>4</v>
      </c>
      <c r="I32" s="141">
        <v>19</v>
      </c>
      <c r="J32" s="139">
        <v>2</v>
      </c>
      <c r="K32" s="141">
        <v>8</v>
      </c>
      <c r="L32" s="140">
        <v>2</v>
      </c>
      <c r="M32" s="140">
        <v>11</v>
      </c>
      <c r="N32" s="140">
        <v>3</v>
      </c>
      <c r="O32" s="140">
        <v>5</v>
      </c>
      <c r="P32" s="140"/>
      <c r="Q32" s="140">
        <v>26</v>
      </c>
      <c r="R32" s="140">
        <v>8</v>
      </c>
      <c r="S32" s="142"/>
      <c r="T32" s="143">
        <f>IF(J32+2*H32+3*F32&gt;0,J32+2*H32+3*F32,IF(H3&gt;0,H3,""))</f>
        <v>16</v>
      </c>
      <c r="U32" s="144">
        <f>IF(G32&gt;0,F32/G32,"")</f>
        <v>0.25</v>
      </c>
      <c r="V32" s="144">
        <f>IF(I32&gt;0,H32/I32,"")</f>
        <v>0.21052631578947367</v>
      </c>
      <c r="W32" s="145">
        <f>IF(K32&gt;0,J32/K32,"")</f>
        <v>0.25</v>
      </c>
      <c r="X32" s="144">
        <f t="shared" si="0"/>
        <v>0.22222222222222221</v>
      </c>
      <c r="Y32" s="146">
        <f t="shared" si="5"/>
        <v>0.25925925925925924</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903" priority="29">
      <formula>AND($H$4&gt;0,$H$4&lt;&gt;$T$31)</formula>
    </cfRule>
  </conditionalFormatting>
  <conditionalFormatting sqref="T32 H3">
    <cfRule type="expression" dxfId="902" priority="28">
      <formula>AND($H$3&gt;0,$H$3&lt;&gt;$T$32)</formula>
    </cfRule>
  </conditionalFormatting>
  <conditionalFormatting sqref="A2">
    <cfRule type="cellIs" dxfId="901" priority="27" operator="equal">
      <formula>"R"</formula>
    </cfRule>
  </conditionalFormatting>
  <conditionalFormatting sqref="F7:F30 H7:H30 J7:J30">
    <cfRule type="expression" dxfId="900" priority="26">
      <formula>F7&gt;G7</formula>
    </cfRule>
  </conditionalFormatting>
  <conditionalFormatting sqref="E7:E30">
    <cfRule type="expression" dxfId="899" priority="25">
      <formula>$E7&gt;$E$31</formula>
    </cfRule>
  </conditionalFormatting>
  <conditionalFormatting sqref="L6">
    <cfRule type="expression" dxfId="898" priority="24">
      <formula>OR($L$31&gt;($G$31+$I$31+$K$31-$F$31-$H$31-$J$31),L32&gt;(G31+I31+K31-F31-H31-J31))</formula>
    </cfRule>
  </conditionalFormatting>
  <conditionalFormatting sqref="M6">
    <cfRule type="expression" dxfId="897" priority="23">
      <formula>OR(M31&gt;(G32-F32+I32-H32+K32-J32),M32&gt;(G31-F31+I31-H31+K31-J31))</formula>
    </cfRule>
  </conditionalFormatting>
  <conditionalFormatting sqref="N6">
    <cfRule type="expression" dxfId="896" priority="22">
      <formula>OR($N$31&gt;($F$31+$H$31),$N$32&gt;($F$32+$H$32))</formula>
    </cfRule>
  </conditionalFormatting>
  <conditionalFormatting sqref="P6">
    <cfRule type="expression" dxfId="895" priority="21">
      <formula>OR($P$31&gt;(G32-F32+I32-H32),P32&gt;(G31-F31+I31-H31))</formula>
    </cfRule>
  </conditionalFormatting>
  <conditionalFormatting sqref="Q6">
    <cfRule type="expression" dxfId="894" priority="20">
      <formula>OR($Q$31&lt;$O$32,$Q$32&lt;$O$31)</formula>
    </cfRule>
  </conditionalFormatting>
  <conditionalFormatting sqref="L31:L32">
    <cfRule type="cellIs" dxfId="893" priority="19" operator="greaterThan">
      <formula>$G31+$I31+$K31-$F31-$H31-$J31</formula>
    </cfRule>
  </conditionalFormatting>
  <conditionalFormatting sqref="M32">
    <cfRule type="cellIs" dxfId="892" priority="18" operator="greaterThan">
      <formula>$G$31-$F$31+$I$31-$H$31+$K$31-$J$31</formula>
    </cfRule>
  </conditionalFormatting>
  <conditionalFormatting sqref="N31:N32">
    <cfRule type="cellIs" dxfId="891" priority="17" operator="greaterThan">
      <formula>$F31+$H31</formula>
    </cfRule>
  </conditionalFormatting>
  <conditionalFormatting sqref="O32">
    <cfRule type="cellIs" dxfId="890" priority="10" operator="greaterThan">
      <formula>$Q$31</formula>
    </cfRule>
  </conditionalFormatting>
  <conditionalFormatting sqref="P31">
    <cfRule type="cellIs" dxfId="889" priority="16" operator="greaterThan">
      <formula>$G$32-$F$32+$I$32-$H$32</formula>
    </cfRule>
  </conditionalFormatting>
  <conditionalFormatting sqref="Q32">
    <cfRule type="cellIs" dxfId="888" priority="15" operator="lessThan">
      <formula>$O$31</formula>
    </cfRule>
  </conditionalFormatting>
  <conditionalFormatting sqref="F7:F32">
    <cfRule type="cellIs" dxfId="887" priority="14" operator="greaterThan">
      <formula>G7</formula>
    </cfRule>
  </conditionalFormatting>
  <conditionalFormatting sqref="H7:H32">
    <cfRule type="cellIs" dxfId="886" priority="13" operator="greaterThan">
      <formula>I7</formula>
    </cfRule>
  </conditionalFormatting>
  <conditionalFormatting sqref="J7:J32">
    <cfRule type="cellIs" dxfId="885" priority="12" operator="greaterThan">
      <formula>K7</formula>
    </cfRule>
  </conditionalFormatting>
  <conditionalFormatting sqref="M4">
    <cfRule type="cellIs" dxfId="884" priority="11" operator="notBetween">
      <formula>$AH$2</formula>
      <formula>$AI$2</formula>
    </cfRule>
  </conditionalFormatting>
  <conditionalFormatting sqref="O31">
    <cfRule type="cellIs" dxfId="883" priority="9" operator="greaterThan">
      <formula>$Q$32</formula>
    </cfRule>
  </conditionalFormatting>
  <conditionalFormatting sqref="Q31">
    <cfRule type="cellIs" dxfId="882" priority="8" operator="lessThan">
      <formula>$O$32</formula>
    </cfRule>
  </conditionalFormatting>
  <conditionalFormatting sqref="M31">
    <cfRule type="cellIs" dxfId="881" priority="7" operator="greaterThan">
      <formula>G32-F32 +I32-H32+K32-J32</formula>
    </cfRule>
  </conditionalFormatting>
  <conditionalFormatting sqref="B3">
    <cfRule type="expression" dxfId="880" priority="6">
      <formula>$W$2 = TRUE</formula>
    </cfRule>
  </conditionalFormatting>
  <conditionalFormatting sqref="P4:Q4">
    <cfRule type="expression" dxfId="879" priority="5">
      <formula>OR(AND($P$4=1,$X$4=1),AND($Q$4=1,$W$4=1))</formula>
    </cfRule>
  </conditionalFormatting>
  <conditionalFormatting sqref="D7:D30">
    <cfRule type="expression" dxfId="878" priority="30">
      <formula>AND($D7=0,SUM($F7:$S7)&gt;0)</formula>
    </cfRule>
  </conditionalFormatting>
  <conditionalFormatting sqref="O6">
    <cfRule type="expression" dxfId="877" priority="4">
      <formula>OR($O$31&gt;$Q$32,$O$32&gt;$Q$31)</formula>
    </cfRule>
  </conditionalFormatting>
  <conditionalFormatting sqref="F6">
    <cfRule type="expression" dxfId="876" priority="3">
      <formula>OR(F$31&gt;G$31,F$32&gt;G$32)</formula>
    </cfRule>
  </conditionalFormatting>
  <conditionalFormatting sqref="H6">
    <cfRule type="expression" dxfId="875" priority="2">
      <formula>OR(H$31&gt;I$31,H$32&gt;I$32)</formula>
    </cfRule>
  </conditionalFormatting>
  <conditionalFormatting sqref="J6">
    <cfRule type="expression" dxfId="874"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Z9" sqref="Z9:AE2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323</v>
      </c>
      <c r="C3" s="70">
        <v>6</v>
      </c>
      <c r="D3" s="71">
        <v>10</v>
      </c>
      <c r="E3" s="71">
        <v>15</v>
      </c>
      <c r="F3" s="71">
        <v>6</v>
      </c>
      <c r="G3" s="72"/>
      <c r="H3" s="73">
        <f>SUM(C3:G3)</f>
        <v>37</v>
      </c>
      <c r="J3" s="12" t="s">
        <v>165</v>
      </c>
      <c r="P3" s="74" t="s">
        <v>135</v>
      </c>
      <c r="Q3" s="74" t="s">
        <v>137</v>
      </c>
      <c r="S3" s="75" t="s">
        <v>138</v>
      </c>
      <c r="U3" s="76" t="s">
        <v>139</v>
      </c>
      <c r="W3" s="77" t="s">
        <v>134</v>
      </c>
      <c r="X3" s="77" t="s">
        <v>136</v>
      </c>
      <c r="AA3" s="48" t="str">
        <f>B4</f>
        <v>Upton</v>
      </c>
      <c r="AD3" s="48">
        <f>SUM($C3:C3)</f>
        <v>6</v>
      </c>
      <c r="AE3" s="48">
        <f>SUM($C3:D3)</f>
        <v>16</v>
      </c>
      <c r="AF3" s="48">
        <f>SUM($C3:E3)</f>
        <v>31</v>
      </c>
      <c r="AG3" s="48">
        <f>SUM($C3:F3)</f>
        <v>37</v>
      </c>
      <c r="AH3" s="48">
        <f>SUM($C3:G3)</f>
        <v>37</v>
      </c>
      <c r="AJ3" s="74"/>
    </row>
    <row r="4" spans="1:36" ht="16.5" customHeight="1" thickTop="1" thickBot="1" x14ac:dyDescent="0.3">
      <c r="B4" s="78" t="str">
        <f>Roster!$B$1</f>
        <v>Upton</v>
      </c>
      <c r="C4" s="79">
        <v>15</v>
      </c>
      <c r="D4" s="80">
        <v>9</v>
      </c>
      <c r="E4" s="80">
        <v>17</v>
      </c>
      <c r="F4" s="80">
        <v>15</v>
      </c>
      <c r="G4" s="81"/>
      <c r="H4" s="82">
        <f>SUM(C4:G4)</f>
        <v>56</v>
      </c>
      <c r="J4" s="83"/>
      <c r="L4" s="84" t="s">
        <v>133</v>
      </c>
      <c r="M4" s="404">
        <v>44947</v>
      </c>
      <c r="N4" s="405"/>
      <c r="P4" s="83">
        <v>1</v>
      </c>
      <c r="Q4" s="83"/>
      <c r="S4" s="83"/>
      <c r="U4" s="83"/>
      <c r="W4" s="85">
        <f>IF(OR($S$4=1,$H$4&gt;$H$3),1,"")</f>
        <v>1</v>
      </c>
      <c r="X4" s="85" t="str">
        <f>IF(OR($U$4=1,$H$4&lt;$H$3),1,"")</f>
        <v/>
      </c>
      <c r="AA4" s="48" t="str">
        <f>B3</f>
        <v>Kaycee</v>
      </c>
      <c r="AD4" s="48">
        <f>SUM($C4:C4)</f>
        <v>15</v>
      </c>
      <c r="AE4" s="48">
        <f>SUM($C4:D4)</f>
        <v>24</v>
      </c>
      <c r="AF4" s="48">
        <f>SUM($C4:E4)</f>
        <v>41</v>
      </c>
      <c r="AG4" s="48">
        <f>SUM($C4:F4)</f>
        <v>56</v>
      </c>
      <c r="AH4" s="48">
        <f>SUM($C4:G4)</f>
        <v>56</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1</v>
      </c>
      <c r="F7" s="90"/>
      <c r="G7" s="91"/>
      <c r="H7" s="92"/>
      <c r="I7" s="91"/>
      <c r="J7" s="92"/>
      <c r="K7" s="91"/>
      <c r="L7" s="92"/>
      <c r="M7" s="92"/>
      <c r="N7" s="92"/>
      <c r="O7" s="92"/>
      <c r="P7" s="92"/>
      <c r="Q7" s="92">
        <v>1</v>
      </c>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28</v>
      </c>
      <c r="F8" s="101">
        <v>4</v>
      </c>
      <c r="G8" s="102">
        <v>6</v>
      </c>
      <c r="H8" s="103"/>
      <c r="I8" s="102">
        <v>2</v>
      </c>
      <c r="J8" s="103">
        <v>3</v>
      </c>
      <c r="K8" s="102">
        <v>6</v>
      </c>
      <c r="L8" s="103">
        <v>2</v>
      </c>
      <c r="M8" s="103">
        <v>1</v>
      </c>
      <c r="N8" s="103">
        <v>1</v>
      </c>
      <c r="O8" s="103">
        <v>1</v>
      </c>
      <c r="P8" s="103"/>
      <c r="Q8" s="103">
        <v>2</v>
      </c>
      <c r="R8" s="103"/>
      <c r="S8" s="104">
        <v>1</v>
      </c>
      <c r="T8" s="105">
        <f t="shared" ref="T8:T30" si="1">IF(J8+2*H8+3*F8&gt;0,J8+2*H8+3*F8,0)</f>
        <v>15</v>
      </c>
      <c r="U8" s="106">
        <f t="shared" ref="U8:U30" si="2">IF(G8&gt;0,F8/G8,"")</f>
        <v>0.66666666666666663</v>
      </c>
      <c r="V8" s="106">
        <f t="shared" ref="V8:V30" si="3">IF(I8&gt;0,H8/I8,"")</f>
        <v>0</v>
      </c>
      <c r="W8" s="107">
        <f t="shared" ref="W8:W30" si="4">IF(K8&gt;0,J8/K8,"")</f>
        <v>0.5</v>
      </c>
      <c r="X8" s="106">
        <f t="shared" si="0"/>
        <v>0.5</v>
      </c>
      <c r="Y8" s="108">
        <f t="shared" ref="Y8:Y32" si="5">IF(OR(G8&gt;0,I8 &gt;0),(1.5*F8+H8)/(G8+I8),"")</f>
        <v>0.75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v>1</v>
      </c>
      <c r="E9" s="110">
        <v>17</v>
      </c>
      <c r="F9" s="111">
        <v>3</v>
      </c>
      <c r="G9" s="112">
        <v>4</v>
      </c>
      <c r="H9" s="113">
        <v>2</v>
      </c>
      <c r="I9" s="112">
        <v>5</v>
      </c>
      <c r="J9" s="113"/>
      <c r="K9" s="112"/>
      <c r="L9" s="113">
        <v>1</v>
      </c>
      <c r="M9" s="113">
        <v>1</v>
      </c>
      <c r="N9" s="113">
        <v>2</v>
      </c>
      <c r="O9" s="113">
        <v>4</v>
      </c>
      <c r="P9" s="113"/>
      <c r="Q9" s="113">
        <v>2</v>
      </c>
      <c r="R9" s="113">
        <v>1</v>
      </c>
      <c r="S9" s="114"/>
      <c r="T9" s="115">
        <f t="shared" si="1"/>
        <v>13</v>
      </c>
      <c r="U9" s="95">
        <f t="shared" si="2"/>
        <v>0.75</v>
      </c>
      <c r="V9" s="95">
        <f t="shared" si="3"/>
        <v>0.4</v>
      </c>
      <c r="W9" s="96" t="str">
        <f t="shared" si="4"/>
        <v/>
      </c>
      <c r="X9" s="95">
        <f t="shared" si="0"/>
        <v>0.55555555555555558</v>
      </c>
      <c r="Y9" s="116">
        <f t="shared" si="5"/>
        <v>0.72222222222222221</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25</v>
      </c>
      <c r="F10" s="101">
        <v>3</v>
      </c>
      <c r="G10" s="102">
        <v>8</v>
      </c>
      <c r="H10" s="103">
        <v>1</v>
      </c>
      <c r="I10" s="102">
        <v>1</v>
      </c>
      <c r="J10" s="103"/>
      <c r="K10" s="102"/>
      <c r="L10" s="103"/>
      <c r="M10" s="103"/>
      <c r="N10" s="103">
        <v>3</v>
      </c>
      <c r="O10" s="103"/>
      <c r="P10" s="103"/>
      <c r="Q10" s="103">
        <v>1</v>
      </c>
      <c r="R10" s="103"/>
      <c r="S10" s="104"/>
      <c r="T10" s="105">
        <f t="shared" si="1"/>
        <v>11</v>
      </c>
      <c r="U10" s="106">
        <f t="shared" si="2"/>
        <v>0.375</v>
      </c>
      <c r="V10" s="106">
        <f t="shared" si="3"/>
        <v>1</v>
      </c>
      <c r="W10" s="107" t="str">
        <f t="shared" si="4"/>
        <v/>
      </c>
      <c r="X10" s="106">
        <f t="shared" si="0"/>
        <v>0.44444444444444442</v>
      </c>
      <c r="Y10" s="108">
        <f t="shared" si="5"/>
        <v>0.61111111111111116</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v>1</v>
      </c>
      <c r="E11" s="110">
        <v>1</v>
      </c>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61</v>
      </c>
      <c r="AB11" s="385">
        <f>T31/AA11</f>
        <v>0.91803278688524592</v>
      </c>
      <c r="AC11" s="385">
        <f>L31/AA11</f>
        <v>0.16393442622950818</v>
      </c>
      <c r="AD11" s="385">
        <f>M31/AA12</f>
        <v>0.25423728813559321</v>
      </c>
      <c r="AE11" s="389">
        <f>(L31+M31)/AA11</f>
        <v>0.4098360655737705</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59</v>
      </c>
      <c r="AB12" s="385">
        <f>T32/AA12</f>
        <v>0.6271186440677966</v>
      </c>
      <c r="AC12" s="385">
        <f>L32/AA12</f>
        <v>8.4745762711864403E-2</v>
      </c>
      <c r="AD12" s="385">
        <f>M32/AA11</f>
        <v>0.26229508196721313</v>
      </c>
      <c r="AE12" s="389">
        <f>(L32+M32)/AA12</f>
        <v>0.3559322033898305</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28</v>
      </c>
      <c r="F14" s="101"/>
      <c r="G14" s="102">
        <v>1</v>
      </c>
      <c r="H14" s="103">
        <v>4</v>
      </c>
      <c r="I14" s="102">
        <v>8</v>
      </c>
      <c r="J14" s="103">
        <v>2</v>
      </c>
      <c r="K14" s="102">
        <v>4</v>
      </c>
      <c r="L14" s="103">
        <v>3</v>
      </c>
      <c r="M14" s="103">
        <v>3</v>
      </c>
      <c r="N14" s="103">
        <v>3</v>
      </c>
      <c r="O14" s="103">
        <v>2</v>
      </c>
      <c r="P14" s="103"/>
      <c r="Q14" s="103">
        <v>4</v>
      </c>
      <c r="R14" s="103">
        <v>2</v>
      </c>
      <c r="S14" s="104"/>
      <c r="T14" s="105">
        <f t="shared" si="1"/>
        <v>10</v>
      </c>
      <c r="U14" s="106">
        <f t="shared" si="2"/>
        <v>0</v>
      </c>
      <c r="V14" s="106">
        <f t="shared" si="3"/>
        <v>0.5</v>
      </c>
      <c r="W14" s="107">
        <f t="shared" si="4"/>
        <v>0.5</v>
      </c>
      <c r="X14" s="106">
        <f t="shared" si="0"/>
        <v>0.44444444444444442</v>
      </c>
      <c r="Y14" s="108">
        <f t="shared" si="5"/>
        <v>0.44444444444444442</v>
      </c>
      <c r="Z14" s="385"/>
      <c r="AA14" s="385"/>
      <c r="AB14" s="385">
        <f>N31/AA11</f>
        <v>0.26229508196721313</v>
      </c>
      <c r="AC14" s="385">
        <f>O31/AA12</f>
        <v>0.1864406779661017</v>
      </c>
      <c r="AD14" s="385">
        <f>Q31/AA11</f>
        <v>0.21311475409836064</v>
      </c>
      <c r="AE14" s="389"/>
      <c r="AF14" s="51"/>
      <c r="AG14" s="51"/>
      <c r="AH14" s="51"/>
      <c r="AI14" s="51"/>
    </row>
    <row r="15" spans="1:36" s="18" customFormat="1" ht="15.75" x14ac:dyDescent="0.25">
      <c r="A15" s="87">
        <f>IF(Roster!A15&lt;&gt;"",Roster!A15,"")</f>
        <v>25</v>
      </c>
      <c r="B15" s="17" t="str">
        <f>IF(OR(Roster!A15&lt;&gt;"",Roster!B15&lt;&gt;""),PROPER(Roster!B15),"")</f>
        <v>Bridger Bruce</v>
      </c>
      <c r="C15" s="109" t="s">
        <v>369</v>
      </c>
      <c r="D15" s="149">
        <v>1</v>
      </c>
      <c r="E15" s="110">
        <v>22</v>
      </c>
      <c r="F15" s="111"/>
      <c r="G15" s="112">
        <v>2</v>
      </c>
      <c r="H15" s="113"/>
      <c r="I15" s="112">
        <v>1</v>
      </c>
      <c r="J15" s="113"/>
      <c r="K15" s="112"/>
      <c r="L15" s="113">
        <v>1</v>
      </c>
      <c r="M15" s="113">
        <v>5</v>
      </c>
      <c r="N15" s="113">
        <v>4</v>
      </c>
      <c r="O15" s="113">
        <v>1</v>
      </c>
      <c r="P15" s="113"/>
      <c r="Q15" s="113">
        <v>2</v>
      </c>
      <c r="R15" s="113">
        <v>1</v>
      </c>
      <c r="S15" s="114">
        <v>1</v>
      </c>
      <c r="T15" s="115">
        <f t="shared" si="1"/>
        <v>0</v>
      </c>
      <c r="U15" s="95">
        <f t="shared" si="2"/>
        <v>0</v>
      </c>
      <c r="V15" s="95">
        <f t="shared" si="3"/>
        <v>0</v>
      </c>
      <c r="W15" s="96" t="str">
        <f t="shared" si="4"/>
        <v/>
      </c>
      <c r="X15" s="95">
        <f t="shared" si="0"/>
        <v>0</v>
      </c>
      <c r="Y15" s="116">
        <f t="shared" si="5"/>
        <v>0</v>
      </c>
      <c r="Z15" s="392"/>
      <c r="AA15" s="393"/>
      <c r="AB15" s="393">
        <f>N32/AA12</f>
        <v>0.1864406779661017</v>
      </c>
      <c r="AC15" s="393">
        <f>O32/AA11</f>
        <v>0.13114754098360656</v>
      </c>
      <c r="AD15" s="393">
        <f>Q32/AA12</f>
        <v>0.4576271186440678</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22</v>
      </c>
      <c r="F16" s="101"/>
      <c r="G16" s="102">
        <v>3</v>
      </c>
      <c r="H16" s="103">
        <v>1</v>
      </c>
      <c r="I16" s="102">
        <v>5</v>
      </c>
      <c r="J16" s="103"/>
      <c r="K16" s="102">
        <v>2</v>
      </c>
      <c r="L16" s="103">
        <v>1</v>
      </c>
      <c r="M16" s="103">
        <v>3</v>
      </c>
      <c r="N16" s="103">
        <v>3</v>
      </c>
      <c r="O16" s="103">
        <v>1</v>
      </c>
      <c r="P16" s="103"/>
      <c r="Q16" s="103"/>
      <c r="R16" s="103">
        <v>1</v>
      </c>
      <c r="S16" s="104"/>
      <c r="T16" s="105">
        <f t="shared" si="1"/>
        <v>2</v>
      </c>
      <c r="U16" s="106">
        <f t="shared" si="2"/>
        <v>0</v>
      </c>
      <c r="V16" s="106">
        <f t="shared" si="3"/>
        <v>0.2</v>
      </c>
      <c r="W16" s="107">
        <f t="shared" si="4"/>
        <v>0</v>
      </c>
      <c r="X16" s="106">
        <f t="shared" si="0"/>
        <v>0.125</v>
      </c>
      <c r="Y16" s="108">
        <f t="shared" si="5"/>
        <v>0.125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c r="G18" s="102">
        <v>1</v>
      </c>
      <c r="H18" s="103"/>
      <c r="I18" s="102"/>
      <c r="J18" s="103"/>
      <c r="K18" s="102"/>
      <c r="L18" s="103"/>
      <c r="M18" s="103"/>
      <c r="N18" s="103"/>
      <c r="O18" s="103"/>
      <c r="P18" s="103"/>
      <c r="Q18" s="103"/>
      <c r="R18" s="103"/>
      <c r="S18" s="104"/>
      <c r="T18" s="105">
        <f t="shared" si="1"/>
        <v>0</v>
      </c>
      <c r="U18" s="106">
        <f t="shared" si="2"/>
        <v>0</v>
      </c>
      <c r="V18" s="106" t="str">
        <f t="shared" si="3"/>
        <v/>
      </c>
      <c r="W18" s="107" t="str">
        <f t="shared" si="4"/>
        <v/>
      </c>
      <c r="X18" s="106">
        <f t="shared" si="0"/>
        <v>0</v>
      </c>
      <c r="Y18" s="108">
        <f t="shared" si="5"/>
        <v>0</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15</v>
      </c>
      <c r="F19" s="111">
        <v>1</v>
      </c>
      <c r="G19" s="112">
        <v>3</v>
      </c>
      <c r="H19" s="113"/>
      <c r="I19" s="112"/>
      <c r="J19" s="113">
        <v>2</v>
      </c>
      <c r="K19" s="112">
        <v>4</v>
      </c>
      <c r="L19" s="113">
        <v>2</v>
      </c>
      <c r="M19" s="113">
        <v>2</v>
      </c>
      <c r="N19" s="113"/>
      <c r="O19" s="113">
        <v>2</v>
      </c>
      <c r="P19" s="113"/>
      <c r="Q19" s="113">
        <v>1</v>
      </c>
      <c r="R19" s="113">
        <v>1</v>
      </c>
      <c r="S19" s="114"/>
      <c r="T19" s="115">
        <f t="shared" si="1"/>
        <v>5</v>
      </c>
      <c r="U19" s="95">
        <f t="shared" si="2"/>
        <v>0.33333333333333331</v>
      </c>
      <c r="V19" s="95" t="str">
        <f t="shared" si="3"/>
        <v/>
      </c>
      <c r="W19" s="96">
        <f t="shared" si="4"/>
        <v>0.5</v>
      </c>
      <c r="X19" s="95">
        <f t="shared" si="0"/>
        <v>0.33333333333333331</v>
      </c>
      <c r="Y19" s="116">
        <f t="shared" si="5"/>
        <v>0.5</v>
      </c>
      <c r="Z19" s="388" t="s">
        <v>124</v>
      </c>
      <c r="AA19" s="385">
        <f>AB11*65</f>
        <v>59.672131147540988</v>
      </c>
      <c r="AB19" s="385">
        <f t="shared" ref="AB19:AD20" si="6">AC11*65</f>
        <v>10.655737704918032</v>
      </c>
      <c r="AC19" s="385">
        <f t="shared" si="6"/>
        <v>16.525423728813557</v>
      </c>
      <c r="AD19" s="385">
        <f t="shared" si="6"/>
        <v>26.639344262295083</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40.762711864406782</v>
      </c>
      <c r="AB20" s="385">
        <f t="shared" si="6"/>
        <v>5.508474576271186</v>
      </c>
      <c r="AC20" s="385">
        <f t="shared" si="6"/>
        <v>17.049180327868854</v>
      </c>
      <c r="AD20" s="385">
        <f t="shared" si="6"/>
        <v>23.135593220338983</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17.049180327868854</v>
      </c>
      <c r="AC22" s="385">
        <f t="shared" si="7"/>
        <v>12.118644067796611</v>
      </c>
      <c r="AD22" s="385">
        <f>AD14*65</f>
        <v>13.852459016393441</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12.118644067796611</v>
      </c>
      <c r="AC23" s="393">
        <f t="shared" si="7"/>
        <v>8.5245901639344268</v>
      </c>
      <c r="AD23" s="393">
        <f t="shared" si="7"/>
        <v>29.745762711864408</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61</v>
      </c>
      <c r="B31" s="126" t="s">
        <v>161</v>
      </c>
      <c r="C31" s="151"/>
      <c r="D31" s="152">
        <f>IF(COUNTA($D$7:$D$30)&gt;0,1,"")</f>
        <v>1</v>
      </c>
      <c r="E31" s="127">
        <f>IF(D31=1,32+J4*4,"")</f>
        <v>32</v>
      </c>
      <c r="F31" s="128">
        <f t="shared" ref="F31:S31" si="8">SUM(F7:F30)</f>
        <v>11</v>
      </c>
      <c r="G31" s="129">
        <f t="shared" si="8"/>
        <v>28</v>
      </c>
      <c r="H31" s="128">
        <f t="shared" si="8"/>
        <v>8</v>
      </c>
      <c r="I31" s="130">
        <f t="shared" si="8"/>
        <v>22</v>
      </c>
      <c r="J31" s="129">
        <f t="shared" si="8"/>
        <v>7</v>
      </c>
      <c r="K31" s="130">
        <f t="shared" si="8"/>
        <v>16</v>
      </c>
      <c r="L31" s="129">
        <f t="shared" si="8"/>
        <v>10</v>
      </c>
      <c r="M31" s="129">
        <f t="shared" si="8"/>
        <v>15</v>
      </c>
      <c r="N31" s="129">
        <f t="shared" si="8"/>
        <v>16</v>
      </c>
      <c r="O31" s="129">
        <f t="shared" si="8"/>
        <v>11</v>
      </c>
      <c r="P31" s="129">
        <f t="shared" si="8"/>
        <v>0</v>
      </c>
      <c r="Q31" s="129">
        <f t="shared" si="8"/>
        <v>13</v>
      </c>
      <c r="R31" s="129">
        <f t="shared" si="8"/>
        <v>6</v>
      </c>
      <c r="S31" s="131">
        <f t="shared" si="8"/>
        <v>2</v>
      </c>
      <c r="T31" s="132">
        <f>IF(J31+2*H31+3*F31&gt;0,J31+2*H31+3*F31,IF(H4&gt;0,H4,""))</f>
        <v>56</v>
      </c>
      <c r="U31" s="133">
        <f>IF(G31&gt;0,F31/G31,"")</f>
        <v>0.39285714285714285</v>
      </c>
      <c r="V31" s="133">
        <f>IF(I31&gt;0,H31/I31,"")</f>
        <v>0.36363636363636365</v>
      </c>
      <c r="W31" s="134">
        <f>IF(K31&gt;0,J31/K31,"")</f>
        <v>0.4375</v>
      </c>
      <c r="X31" s="133">
        <f t="shared" si="0"/>
        <v>0.38</v>
      </c>
      <c r="Y31" s="135">
        <f t="shared" si="5"/>
        <v>0.49</v>
      </c>
      <c r="AB31" s="51"/>
      <c r="AC31" s="51"/>
      <c r="AD31" s="51"/>
      <c r="AE31" s="51"/>
      <c r="AF31" s="136"/>
      <c r="AG31" s="136"/>
      <c r="AH31" s="136"/>
      <c r="AI31" s="51"/>
    </row>
    <row r="32" spans="1:35" s="18" customFormat="1" ht="17.25" thickTop="1" thickBot="1" x14ac:dyDescent="0.3">
      <c r="A32" s="51">
        <f>ROUND(G32+I32+0.475*K32-L32+Q32,0)</f>
        <v>59</v>
      </c>
      <c r="B32" s="137" t="s">
        <v>162</v>
      </c>
      <c r="C32" s="153"/>
      <c r="D32" s="138">
        <f>IF(SUM(F32:S32)&gt;0,1,"")</f>
        <v>1</v>
      </c>
      <c r="E32" s="138">
        <f>IF(D32=1,E31,0)</f>
        <v>32</v>
      </c>
      <c r="F32" s="139">
        <v>2</v>
      </c>
      <c r="G32" s="140">
        <v>7</v>
      </c>
      <c r="H32" s="139">
        <v>15</v>
      </c>
      <c r="I32" s="141">
        <v>29</v>
      </c>
      <c r="J32" s="139">
        <v>1</v>
      </c>
      <c r="K32" s="141">
        <v>2</v>
      </c>
      <c r="L32" s="140">
        <v>5</v>
      </c>
      <c r="M32" s="140">
        <v>16</v>
      </c>
      <c r="N32" s="140">
        <v>11</v>
      </c>
      <c r="O32" s="140">
        <v>8</v>
      </c>
      <c r="P32" s="140">
        <v>1</v>
      </c>
      <c r="Q32" s="140">
        <v>27</v>
      </c>
      <c r="R32" s="140">
        <v>13</v>
      </c>
      <c r="S32" s="142"/>
      <c r="T32" s="143">
        <f>IF(J32+2*H32+3*F32&gt;0,J32+2*H32+3*F32,IF(H3&gt;0,H3,""))</f>
        <v>37</v>
      </c>
      <c r="U32" s="144">
        <f>IF(G32&gt;0,F32/G32,"")</f>
        <v>0.2857142857142857</v>
      </c>
      <c r="V32" s="144">
        <f>IF(I32&gt;0,H32/I32,"")</f>
        <v>0.51724137931034486</v>
      </c>
      <c r="W32" s="145">
        <f>IF(K32&gt;0,J32/K32,"")</f>
        <v>0.5</v>
      </c>
      <c r="X32" s="144">
        <f t="shared" si="0"/>
        <v>0.47222222222222221</v>
      </c>
      <c r="Y32" s="146">
        <f t="shared" si="5"/>
        <v>0.5</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873" priority="29">
      <formula>AND($H$4&gt;0,$H$4&lt;&gt;$T$31)</formula>
    </cfRule>
  </conditionalFormatting>
  <conditionalFormatting sqref="T32 H3">
    <cfRule type="expression" dxfId="872" priority="28">
      <formula>AND($H$3&gt;0,$H$3&lt;&gt;$T$32)</formula>
    </cfRule>
  </conditionalFormatting>
  <conditionalFormatting sqref="A2">
    <cfRule type="cellIs" dxfId="871" priority="27" operator="equal">
      <formula>"R"</formula>
    </cfRule>
  </conditionalFormatting>
  <conditionalFormatting sqref="F7:F30 H7:H30 J7:J30">
    <cfRule type="expression" dxfId="870" priority="26">
      <formula>F7&gt;G7</formula>
    </cfRule>
  </conditionalFormatting>
  <conditionalFormatting sqref="E7:E30">
    <cfRule type="expression" dxfId="869" priority="25">
      <formula>$E7&gt;$E$31</formula>
    </cfRule>
  </conditionalFormatting>
  <conditionalFormatting sqref="L6">
    <cfRule type="expression" dxfId="868" priority="24">
      <formula>OR($L$31&gt;($G$31+$I$31+$K$31-$F$31-$H$31-$J$31),L32&gt;(G31+I31+K31-F31-H31-J31))</formula>
    </cfRule>
  </conditionalFormatting>
  <conditionalFormatting sqref="M6">
    <cfRule type="expression" dxfId="867" priority="23">
      <formula>OR(M31&gt;(G32-F32+I32-H32+K32-J32),M32&gt;(G31-F31+I31-H31+K31-J31))</formula>
    </cfRule>
  </conditionalFormatting>
  <conditionalFormatting sqref="N6">
    <cfRule type="expression" dxfId="866" priority="22">
      <formula>OR($N$31&gt;($F$31+$H$31),$N$32&gt;($F$32+$H$32))</formula>
    </cfRule>
  </conditionalFormatting>
  <conditionalFormatting sqref="P6">
    <cfRule type="expression" dxfId="865" priority="21">
      <formula>OR($P$31&gt;(G32-F32+I32-H32),P32&gt;(G31-F31+I31-H31))</formula>
    </cfRule>
  </conditionalFormatting>
  <conditionalFormatting sqref="Q6">
    <cfRule type="expression" dxfId="864" priority="20">
      <formula>OR($Q$31&lt;$O$32,$Q$32&lt;$O$31)</formula>
    </cfRule>
  </conditionalFormatting>
  <conditionalFormatting sqref="L31:L32">
    <cfRule type="cellIs" dxfId="863" priority="19" operator="greaterThan">
      <formula>$G31+$I31+$K31-$F31-$H31-$J31</formula>
    </cfRule>
  </conditionalFormatting>
  <conditionalFormatting sqref="M32">
    <cfRule type="cellIs" dxfId="862" priority="18" operator="greaterThan">
      <formula>$G$31-$F$31+$I$31-$H$31+$K$31-$J$31</formula>
    </cfRule>
  </conditionalFormatting>
  <conditionalFormatting sqref="N31:N32">
    <cfRule type="cellIs" dxfId="861" priority="17" operator="greaterThan">
      <formula>$F31+$H31</formula>
    </cfRule>
  </conditionalFormatting>
  <conditionalFormatting sqref="O32">
    <cfRule type="cellIs" dxfId="860" priority="10" operator="greaterThan">
      <formula>$Q$31</formula>
    </cfRule>
  </conditionalFormatting>
  <conditionalFormatting sqref="P31">
    <cfRule type="cellIs" dxfId="859" priority="16" operator="greaterThan">
      <formula>$G$32-$F$32+$I$32-$H$32</formula>
    </cfRule>
  </conditionalFormatting>
  <conditionalFormatting sqref="Q32">
    <cfRule type="cellIs" dxfId="858" priority="15" operator="lessThan">
      <formula>$O$31</formula>
    </cfRule>
  </conditionalFormatting>
  <conditionalFormatting sqref="F7:F32">
    <cfRule type="cellIs" dxfId="857" priority="14" operator="greaterThan">
      <formula>G7</formula>
    </cfRule>
  </conditionalFormatting>
  <conditionalFormatting sqref="H7:H32">
    <cfRule type="cellIs" dxfId="856" priority="13" operator="greaterThan">
      <formula>I7</formula>
    </cfRule>
  </conditionalFormatting>
  <conditionalFormatting sqref="J7:J32">
    <cfRule type="cellIs" dxfId="855" priority="12" operator="greaterThan">
      <formula>K7</formula>
    </cfRule>
  </conditionalFormatting>
  <conditionalFormatting sqref="M4">
    <cfRule type="cellIs" dxfId="854" priority="11" operator="notBetween">
      <formula>$AH$2</formula>
      <formula>$AI$2</formula>
    </cfRule>
  </conditionalFormatting>
  <conditionalFormatting sqref="O31">
    <cfRule type="cellIs" dxfId="853" priority="9" operator="greaterThan">
      <formula>$Q$32</formula>
    </cfRule>
  </conditionalFormatting>
  <conditionalFormatting sqref="Q31">
    <cfRule type="cellIs" dxfId="852" priority="8" operator="lessThan">
      <formula>$O$32</formula>
    </cfRule>
  </conditionalFormatting>
  <conditionalFormatting sqref="M31">
    <cfRule type="cellIs" dxfId="851" priority="7" operator="greaterThan">
      <formula>G32-F32 +I32-H32+K32-J32</formula>
    </cfRule>
  </conditionalFormatting>
  <conditionalFormatting sqref="B3">
    <cfRule type="expression" dxfId="850" priority="6">
      <formula>$W$2 = TRUE</formula>
    </cfRule>
  </conditionalFormatting>
  <conditionalFormatting sqref="P4:Q4">
    <cfRule type="expression" dxfId="849" priority="5">
      <formula>OR(AND($P$4=1,$X$4=1),AND($Q$4=1,$W$4=1))</formula>
    </cfRule>
  </conditionalFormatting>
  <conditionalFormatting sqref="D7:D30">
    <cfRule type="expression" dxfId="848" priority="30">
      <formula>AND($D7=0,SUM($F7:$S7)&gt;0)</formula>
    </cfRule>
  </conditionalFormatting>
  <conditionalFormatting sqref="O6">
    <cfRule type="expression" dxfId="847" priority="4">
      <formula>OR($O$31&gt;$Q$32,$O$32&gt;$Q$31)</formula>
    </cfRule>
  </conditionalFormatting>
  <conditionalFormatting sqref="F6">
    <cfRule type="expression" dxfId="846" priority="3">
      <formula>OR(F$31&gt;G$31,F$32&gt;G$32)</formula>
    </cfRule>
  </conditionalFormatting>
  <conditionalFormatting sqref="H6">
    <cfRule type="expression" dxfId="845" priority="2">
      <formula>OR(H$31&gt;I$31,H$32&gt;I$32)</formula>
    </cfRule>
  </conditionalFormatting>
  <conditionalFormatting sqref="J6">
    <cfRule type="expression" dxfId="844"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Z9" sqref="Z9:AE2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321</v>
      </c>
      <c r="C3" s="70">
        <v>9</v>
      </c>
      <c r="D3" s="71">
        <v>2</v>
      </c>
      <c r="E3" s="71">
        <v>11</v>
      </c>
      <c r="F3" s="71">
        <v>7</v>
      </c>
      <c r="G3" s="72"/>
      <c r="H3" s="73">
        <f>SUM(C3:G3)</f>
        <v>29</v>
      </c>
      <c r="J3" s="12" t="s">
        <v>165</v>
      </c>
      <c r="P3" s="74" t="s">
        <v>135</v>
      </c>
      <c r="Q3" s="74" t="s">
        <v>137</v>
      </c>
      <c r="S3" s="75" t="s">
        <v>138</v>
      </c>
      <c r="U3" s="76" t="s">
        <v>139</v>
      </c>
      <c r="W3" s="77" t="s">
        <v>134</v>
      </c>
      <c r="X3" s="77" t="s">
        <v>136</v>
      </c>
      <c r="AA3" s="48" t="str">
        <f>B4</f>
        <v>Upton</v>
      </c>
      <c r="AD3" s="48">
        <f>SUM($C3:C3)</f>
        <v>9</v>
      </c>
      <c r="AE3" s="48">
        <f>SUM($C3:D3)</f>
        <v>11</v>
      </c>
      <c r="AF3" s="48">
        <f>SUM($C3:E3)</f>
        <v>22</v>
      </c>
      <c r="AG3" s="48">
        <f>SUM($C3:F3)</f>
        <v>29</v>
      </c>
      <c r="AH3" s="48">
        <f>SUM($C3:G3)</f>
        <v>29</v>
      </c>
      <c r="AJ3" s="74"/>
    </row>
    <row r="4" spans="1:36" ht="16.5" customHeight="1" thickTop="1" thickBot="1" x14ac:dyDescent="0.3">
      <c r="B4" s="78" t="str">
        <f>Roster!$B$1</f>
        <v>Upton</v>
      </c>
      <c r="C4" s="79">
        <v>9</v>
      </c>
      <c r="D4" s="80">
        <v>21</v>
      </c>
      <c r="E4" s="80">
        <v>12</v>
      </c>
      <c r="F4" s="80">
        <v>25</v>
      </c>
      <c r="G4" s="81"/>
      <c r="H4" s="82">
        <f>SUM(C4:G4)</f>
        <v>67</v>
      </c>
      <c r="J4" s="83"/>
      <c r="L4" s="84" t="s">
        <v>133</v>
      </c>
      <c r="M4" s="404">
        <v>44953</v>
      </c>
      <c r="N4" s="405"/>
      <c r="P4" s="83">
        <v>1</v>
      </c>
      <c r="Q4" s="83"/>
      <c r="S4" s="83"/>
      <c r="U4" s="83"/>
      <c r="W4" s="85">
        <f>IF(OR($S$4=1,$H$4&gt;$H$3),1,"")</f>
        <v>1</v>
      </c>
      <c r="X4" s="85" t="str">
        <f>IF(OR($U$4=1,$H$4&lt;$H$3),1,"")</f>
        <v/>
      </c>
      <c r="AA4" s="48" t="str">
        <f>B3</f>
        <v>Hulett</v>
      </c>
      <c r="AD4" s="48">
        <f>SUM($C4:C4)</f>
        <v>9</v>
      </c>
      <c r="AE4" s="48">
        <f>SUM($C4:D4)</f>
        <v>30</v>
      </c>
      <c r="AF4" s="48">
        <f>SUM($C4:E4)</f>
        <v>42</v>
      </c>
      <c r="AG4" s="48">
        <f>SUM($C4:F4)</f>
        <v>67</v>
      </c>
      <c r="AH4" s="48">
        <f>SUM($C4:G4)</f>
        <v>67</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3</v>
      </c>
      <c r="F7" s="90"/>
      <c r="G7" s="91">
        <v>1</v>
      </c>
      <c r="H7" s="92">
        <v>1</v>
      </c>
      <c r="I7" s="91">
        <v>1</v>
      </c>
      <c r="J7" s="92"/>
      <c r="K7" s="91"/>
      <c r="L7" s="92"/>
      <c r="M7" s="92"/>
      <c r="N7" s="92"/>
      <c r="O7" s="92">
        <v>1</v>
      </c>
      <c r="P7" s="92"/>
      <c r="Q7" s="92">
        <v>1</v>
      </c>
      <c r="R7" s="92"/>
      <c r="S7" s="93"/>
      <c r="T7" s="94">
        <f>IF(J7+2*H7+3*F7&gt;0,J7+2*H7+3*F7,0)</f>
        <v>2</v>
      </c>
      <c r="U7" s="95">
        <f>IF(G7&gt;0,F7/G7,"")</f>
        <v>0</v>
      </c>
      <c r="V7" s="95">
        <f>IF(I7&gt;0,H7/I7,"")</f>
        <v>1</v>
      </c>
      <c r="W7" s="96" t="str">
        <f>IF(K7&gt;0,J7/K7,"")</f>
        <v/>
      </c>
      <c r="X7" s="97">
        <f t="shared" ref="X7:X32" si="0">IF(OR(G7&gt;0,I7 &gt;0),(F7+H7)/(G7+I7),"")</f>
        <v>0.5</v>
      </c>
      <c r="Y7" s="98">
        <f>IF(OR(G7&gt;0,I7 &gt;0),(1.5*F7+H7)/(G7+I7),"")</f>
        <v>0.5</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25</v>
      </c>
      <c r="F8" s="101"/>
      <c r="G8" s="102">
        <v>5</v>
      </c>
      <c r="H8" s="103">
        <v>1</v>
      </c>
      <c r="I8" s="102">
        <v>3</v>
      </c>
      <c r="J8" s="103"/>
      <c r="K8" s="102"/>
      <c r="L8" s="103">
        <v>1</v>
      </c>
      <c r="M8" s="103">
        <v>1</v>
      </c>
      <c r="N8" s="103">
        <v>3</v>
      </c>
      <c r="O8" s="103">
        <v>5</v>
      </c>
      <c r="P8" s="103"/>
      <c r="Q8" s="103">
        <v>2</v>
      </c>
      <c r="R8" s="103">
        <v>1</v>
      </c>
      <c r="S8" s="104">
        <v>1</v>
      </c>
      <c r="T8" s="105">
        <f t="shared" ref="T8:T30" si="1">IF(J8+2*H8+3*F8&gt;0,J8+2*H8+3*F8,0)</f>
        <v>2</v>
      </c>
      <c r="U8" s="106">
        <f t="shared" ref="U8:U30" si="2">IF(G8&gt;0,F8/G8,"")</f>
        <v>0</v>
      </c>
      <c r="V8" s="106">
        <f t="shared" ref="V8:V30" si="3">IF(I8&gt;0,H8/I8,"")</f>
        <v>0.33333333333333331</v>
      </c>
      <c r="W8" s="107" t="str">
        <f t="shared" ref="W8:W30" si="4">IF(K8&gt;0,J8/K8,"")</f>
        <v/>
      </c>
      <c r="X8" s="106">
        <f t="shared" si="0"/>
        <v>0.125</v>
      </c>
      <c r="Y8" s="108">
        <f t="shared" ref="Y8:Y32" si="5">IF(OR(G8&gt;0,I8 &gt;0),(1.5*F8+H8)/(G8+I8),"")</f>
        <v>0.125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30</v>
      </c>
      <c r="F9" s="111"/>
      <c r="G9" s="112">
        <v>4</v>
      </c>
      <c r="H9" s="113">
        <v>9</v>
      </c>
      <c r="I9" s="112">
        <v>12</v>
      </c>
      <c r="J9" s="113"/>
      <c r="K9" s="112"/>
      <c r="L9" s="113">
        <v>3</v>
      </c>
      <c r="M9" s="113">
        <v>1</v>
      </c>
      <c r="N9" s="113">
        <v>5</v>
      </c>
      <c r="O9" s="113">
        <v>4</v>
      </c>
      <c r="P9" s="113"/>
      <c r="Q9" s="113">
        <v>4</v>
      </c>
      <c r="R9" s="113">
        <v>1</v>
      </c>
      <c r="S9" s="114"/>
      <c r="T9" s="115">
        <f t="shared" si="1"/>
        <v>18</v>
      </c>
      <c r="U9" s="95">
        <f t="shared" si="2"/>
        <v>0</v>
      </c>
      <c r="V9" s="95">
        <f t="shared" si="3"/>
        <v>0.75</v>
      </c>
      <c r="W9" s="96" t="str">
        <f t="shared" si="4"/>
        <v/>
      </c>
      <c r="X9" s="95">
        <f t="shared" si="0"/>
        <v>0.5625</v>
      </c>
      <c r="Y9" s="116">
        <f t="shared" si="5"/>
        <v>0.5625</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26</v>
      </c>
      <c r="F10" s="101">
        <v>2</v>
      </c>
      <c r="G10" s="102">
        <v>7</v>
      </c>
      <c r="H10" s="103">
        <v>2</v>
      </c>
      <c r="I10" s="102">
        <v>4</v>
      </c>
      <c r="J10" s="103"/>
      <c r="K10" s="102"/>
      <c r="L10" s="103">
        <v>2</v>
      </c>
      <c r="M10" s="103">
        <v>1</v>
      </c>
      <c r="N10" s="103">
        <v>3</v>
      </c>
      <c r="O10" s="103">
        <v>1</v>
      </c>
      <c r="P10" s="103"/>
      <c r="Q10" s="103"/>
      <c r="R10" s="103"/>
      <c r="S10" s="104"/>
      <c r="T10" s="105">
        <f t="shared" si="1"/>
        <v>10</v>
      </c>
      <c r="U10" s="106">
        <f t="shared" si="2"/>
        <v>0.2857142857142857</v>
      </c>
      <c r="V10" s="106">
        <f t="shared" si="3"/>
        <v>0.5</v>
      </c>
      <c r="W10" s="107" t="str">
        <f t="shared" si="4"/>
        <v/>
      </c>
      <c r="X10" s="106">
        <f t="shared" si="0"/>
        <v>0.36363636363636365</v>
      </c>
      <c r="Y10" s="108">
        <f t="shared" si="5"/>
        <v>0.45454545454545453</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61</v>
      </c>
      <c r="AB11" s="385">
        <f>T31/AA11</f>
        <v>1.098360655737705</v>
      </c>
      <c r="AC11" s="385">
        <f>L31/AA11</f>
        <v>0.32786885245901637</v>
      </c>
      <c r="AD11" s="385">
        <f>M31/AA12</f>
        <v>0.25423728813559321</v>
      </c>
      <c r="AE11" s="389">
        <f>(L31+M31)/AA11</f>
        <v>0.57377049180327866</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2</v>
      </c>
      <c r="F12" s="101"/>
      <c r="G12" s="102"/>
      <c r="H12" s="103"/>
      <c r="I12" s="102"/>
      <c r="J12" s="103"/>
      <c r="K12" s="102"/>
      <c r="L12" s="103">
        <v>1</v>
      </c>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59</v>
      </c>
      <c r="AB12" s="385">
        <f>T32/AA12</f>
        <v>0.49152542372881358</v>
      </c>
      <c r="AC12" s="385">
        <f>L32/AA12</f>
        <v>0.11864406779661017</v>
      </c>
      <c r="AD12" s="385">
        <f>M32/AA11</f>
        <v>0.21311475409836064</v>
      </c>
      <c r="AE12" s="389">
        <f>(L32+M32)/AA12</f>
        <v>0.33898305084745761</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1</v>
      </c>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23</v>
      </c>
      <c r="F14" s="101">
        <v>2</v>
      </c>
      <c r="G14" s="102">
        <v>4</v>
      </c>
      <c r="H14" s="103">
        <v>3</v>
      </c>
      <c r="I14" s="102">
        <v>6</v>
      </c>
      <c r="J14" s="103">
        <v>1</v>
      </c>
      <c r="K14" s="102">
        <v>2</v>
      </c>
      <c r="L14" s="103">
        <v>7</v>
      </c>
      <c r="M14" s="103">
        <v>5</v>
      </c>
      <c r="N14" s="103">
        <v>1</v>
      </c>
      <c r="O14" s="103">
        <v>4</v>
      </c>
      <c r="P14" s="103"/>
      <c r="Q14" s="103">
        <v>3</v>
      </c>
      <c r="R14" s="103">
        <v>1</v>
      </c>
      <c r="S14" s="104"/>
      <c r="T14" s="105">
        <f t="shared" si="1"/>
        <v>13</v>
      </c>
      <c r="U14" s="106">
        <f t="shared" si="2"/>
        <v>0.5</v>
      </c>
      <c r="V14" s="106">
        <f t="shared" si="3"/>
        <v>0.5</v>
      </c>
      <c r="W14" s="107">
        <f t="shared" si="4"/>
        <v>0.5</v>
      </c>
      <c r="X14" s="106">
        <f t="shared" si="0"/>
        <v>0.5</v>
      </c>
      <c r="Y14" s="108">
        <f t="shared" si="5"/>
        <v>0.6</v>
      </c>
      <c r="Z14" s="385"/>
      <c r="AA14" s="385"/>
      <c r="AB14" s="385">
        <f>N31/AA11</f>
        <v>0.31147540983606559</v>
      </c>
      <c r="AC14" s="385">
        <f>O31/AA12</f>
        <v>0.32203389830508472</v>
      </c>
      <c r="AD14" s="385">
        <f>Q31/AA11</f>
        <v>0.21311475409836064</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15</v>
      </c>
      <c r="F15" s="111"/>
      <c r="G15" s="112">
        <v>1</v>
      </c>
      <c r="H15" s="113">
        <v>1</v>
      </c>
      <c r="I15" s="112">
        <v>1</v>
      </c>
      <c r="J15" s="113"/>
      <c r="K15" s="112"/>
      <c r="L15" s="113"/>
      <c r="M15" s="113">
        <v>3</v>
      </c>
      <c r="N15" s="113"/>
      <c r="O15" s="113"/>
      <c r="P15" s="113"/>
      <c r="Q15" s="113"/>
      <c r="R15" s="113"/>
      <c r="S15" s="114"/>
      <c r="T15" s="115">
        <f t="shared" si="1"/>
        <v>2</v>
      </c>
      <c r="U15" s="95">
        <f t="shared" si="2"/>
        <v>0</v>
      </c>
      <c r="V15" s="95">
        <f t="shared" si="3"/>
        <v>1</v>
      </c>
      <c r="W15" s="96" t="str">
        <f t="shared" si="4"/>
        <v/>
      </c>
      <c r="X15" s="95">
        <f t="shared" si="0"/>
        <v>0.5</v>
      </c>
      <c r="Y15" s="116">
        <f t="shared" si="5"/>
        <v>0.5</v>
      </c>
      <c r="Z15" s="392"/>
      <c r="AA15" s="393"/>
      <c r="AB15" s="393">
        <f>N32/AA12</f>
        <v>0.15254237288135594</v>
      </c>
      <c r="AC15" s="393">
        <f>O32/AA11</f>
        <v>9.8360655737704916E-2</v>
      </c>
      <c r="AD15" s="393">
        <f>Q32/AA12</f>
        <v>0.49152542372881358</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24</v>
      </c>
      <c r="F16" s="101">
        <v>3</v>
      </c>
      <c r="G16" s="102">
        <v>4</v>
      </c>
      <c r="H16" s="103">
        <v>3</v>
      </c>
      <c r="I16" s="102">
        <v>6</v>
      </c>
      <c r="J16" s="103"/>
      <c r="K16" s="102"/>
      <c r="L16" s="103">
        <v>3</v>
      </c>
      <c r="M16" s="103">
        <v>3</v>
      </c>
      <c r="N16" s="103">
        <v>4</v>
      </c>
      <c r="O16" s="103">
        <v>3</v>
      </c>
      <c r="P16" s="103"/>
      <c r="Q16" s="103">
        <v>1</v>
      </c>
      <c r="R16" s="103">
        <v>2</v>
      </c>
      <c r="S16" s="104">
        <v>1</v>
      </c>
      <c r="T16" s="105">
        <f t="shared" si="1"/>
        <v>15</v>
      </c>
      <c r="U16" s="106">
        <f t="shared" si="2"/>
        <v>0.75</v>
      </c>
      <c r="V16" s="106">
        <f t="shared" si="3"/>
        <v>0.5</v>
      </c>
      <c r="W16" s="107" t="str">
        <f t="shared" si="4"/>
        <v/>
      </c>
      <c r="X16" s="106">
        <f t="shared" si="0"/>
        <v>0.6</v>
      </c>
      <c r="Y16" s="108">
        <f t="shared" si="5"/>
        <v>0.75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1</v>
      </c>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v>1</v>
      </c>
      <c r="G18" s="102">
        <v>3</v>
      </c>
      <c r="H18" s="103"/>
      <c r="I18" s="102"/>
      <c r="J18" s="103"/>
      <c r="K18" s="102"/>
      <c r="L18" s="103"/>
      <c r="M18" s="103"/>
      <c r="N18" s="103"/>
      <c r="O18" s="103"/>
      <c r="P18" s="103"/>
      <c r="Q18" s="103"/>
      <c r="R18" s="103"/>
      <c r="S18" s="104"/>
      <c r="T18" s="105">
        <f t="shared" si="1"/>
        <v>3</v>
      </c>
      <c r="U18" s="106">
        <f t="shared" si="2"/>
        <v>0.33333333333333331</v>
      </c>
      <c r="V18" s="106" t="str">
        <f t="shared" si="3"/>
        <v/>
      </c>
      <c r="W18" s="107" t="str">
        <f t="shared" si="4"/>
        <v/>
      </c>
      <c r="X18" s="106">
        <f t="shared" si="0"/>
        <v>0.33333333333333331</v>
      </c>
      <c r="Y18" s="108">
        <f t="shared" si="5"/>
        <v>0.5</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15</v>
      </c>
      <c r="F19" s="111"/>
      <c r="G19" s="112">
        <v>2</v>
      </c>
      <c r="H19" s="113">
        <v>1</v>
      </c>
      <c r="I19" s="112">
        <v>3</v>
      </c>
      <c r="J19" s="113"/>
      <c r="K19" s="112"/>
      <c r="L19" s="113">
        <v>3</v>
      </c>
      <c r="M19" s="113">
        <v>1</v>
      </c>
      <c r="N19" s="113">
        <v>3</v>
      </c>
      <c r="O19" s="113">
        <v>1</v>
      </c>
      <c r="P19" s="113"/>
      <c r="Q19" s="113">
        <v>2</v>
      </c>
      <c r="R19" s="113">
        <v>2</v>
      </c>
      <c r="S19" s="114"/>
      <c r="T19" s="115">
        <f t="shared" si="1"/>
        <v>2</v>
      </c>
      <c r="U19" s="95">
        <f t="shared" si="2"/>
        <v>0</v>
      </c>
      <c r="V19" s="95">
        <f t="shared" si="3"/>
        <v>0.33333333333333331</v>
      </c>
      <c r="W19" s="96" t="str">
        <f t="shared" si="4"/>
        <v/>
      </c>
      <c r="X19" s="95">
        <f t="shared" si="0"/>
        <v>0.2</v>
      </c>
      <c r="Y19" s="116">
        <f t="shared" si="5"/>
        <v>0.2</v>
      </c>
      <c r="Z19" s="388" t="s">
        <v>124</v>
      </c>
      <c r="AA19" s="385">
        <f>AB11*65</f>
        <v>71.393442622950829</v>
      </c>
      <c r="AB19" s="385">
        <f t="shared" ref="AB19:AD20" si="6">AC11*65</f>
        <v>21.311475409836063</v>
      </c>
      <c r="AC19" s="385">
        <f t="shared" si="6"/>
        <v>16.525423728813557</v>
      </c>
      <c r="AD19" s="385">
        <f t="shared" si="6"/>
        <v>37.295081967213115</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31.949152542372882</v>
      </c>
      <c r="AB20" s="385">
        <f t="shared" si="6"/>
        <v>7.7118644067796609</v>
      </c>
      <c r="AC20" s="385">
        <f t="shared" si="6"/>
        <v>13.852459016393441</v>
      </c>
      <c r="AD20" s="385">
        <f t="shared" si="6"/>
        <v>22.033898305084744</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20.245901639344265</v>
      </c>
      <c r="AC22" s="385">
        <f t="shared" si="7"/>
        <v>20.932203389830505</v>
      </c>
      <c r="AD22" s="385">
        <f>AD14*65</f>
        <v>13.852459016393441</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9.9152542372881367</v>
      </c>
      <c r="AC23" s="393">
        <f t="shared" si="7"/>
        <v>6.3934426229508192</v>
      </c>
      <c r="AD23" s="393">
        <f t="shared" si="7"/>
        <v>31.949152542372882</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61</v>
      </c>
      <c r="B31" s="126" t="s">
        <v>161</v>
      </c>
      <c r="C31" s="151"/>
      <c r="D31" s="152">
        <f>IF(COUNTA($D$7:$D$30)&gt;0,1,"")</f>
        <v>1</v>
      </c>
      <c r="E31" s="127">
        <f>IF(D31=1,32+J4*4,"")</f>
        <v>32</v>
      </c>
      <c r="F31" s="128">
        <f t="shared" ref="F31:S31" si="8">SUM(F7:F30)</f>
        <v>8</v>
      </c>
      <c r="G31" s="129">
        <f t="shared" si="8"/>
        <v>31</v>
      </c>
      <c r="H31" s="128">
        <f t="shared" si="8"/>
        <v>21</v>
      </c>
      <c r="I31" s="130">
        <f t="shared" si="8"/>
        <v>36</v>
      </c>
      <c r="J31" s="129">
        <f t="shared" si="8"/>
        <v>1</v>
      </c>
      <c r="K31" s="130">
        <f t="shared" si="8"/>
        <v>2</v>
      </c>
      <c r="L31" s="129">
        <f t="shared" si="8"/>
        <v>20</v>
      </c>
      <c r="M31" s="129">
        <f t="shared" si="8"/>
        <v>15</v>
      </c>
      <c r="N31" s="129">
        <f t="shared" si="8"/>
        <v>19</v>
      </c>
      <c r="O31" s="129">
        <f t="shared" si="8"/>
        <v>19</v>
      </c>
      <c r="P31" s="129">
        <f t="shared" si="8"/>
        <v>0</v>
      </c>
      <c r="Q31" s="129">
        <f t="shared" si="8"/>
        <v>13</v>
      </c>
      <c r="R31" s="129">
        <f t="shared" si="8"/>
        <v>7</v>
      </c>
      <c r="S31" s="131">
        <f t="shared" si="8"/>
        <v>2</v>
      </c>
      <c r="T31" s="132">
        <f>IF(J31+2*H31+3*F31&gt;0,J31+2*H31+3*F31,IF(H4&gt;0,H4,""))</f>
        <v>67</v>
      </c>
      <c r="U31" s="133">
        <f>IF(G31&gt;0,F31/G31,"")</f>
        <v>0.25806451612903225</v>
      </c>
      <c r="V31" s="133">
        <f>IF(I31&gt;0,H31/I31,"")</f>
        <v>0.58333333333333337</v>
      </c>
      <c r="W31" s="134">
        <f>IF(K31&gt;0,J31/K31,"")</f>
        <v>0.5</v>
      </c>
      <c r="X31" s="133">
        <f t="shared" si="0"/>
        <v>0.43283582089552236</v>
      </c>
      <c r="Y31" s="135">
        <f t="shared" si="5"/>
        <v>0.4925373134328358</v>
      </c>
      <c r="AB31" s="51"/>
      <c r="AC31" s="51"/>
      <c r="AD31" s="51"/>
      <c r="AE31" s="51"/>
      <c r="AF31" s="136"/>
      <c r="AG31" s="136"/>
      <c r="AH31" s="136"/>
      <c r="AI31" s="51"/>
    </row>
    <row r="32" spans="1:35" s="18" customFormat="1" ht="17.25" thickTop="1" thickBot="1" x14ac:dyDescent="0.3">
      <c r="A32" s="51">
        <f>ROUND(G32+I32+0.475*K32-L32+Q32,0)</f>
        <v>59</v>
      </c>
      <c r="B32" s="137" t="s">
        <v>162</v>
      </c>
      <c r="C32" s="153"/>
      <c r="D32" s="138">
        <f>IF(SUM(F32:S32)&gt;0,1,"")</f>
        <v>1</v>
      </c>
      <c r="E32" s="138">
        <f>IF(D32=1,E31,0)</f>
        <v>32</v>
      </c>
      <c r="F32" s="139">
        <v>1</v>
      </c>
      <c r="G32" s="140">
        <v>10</v>
      </c>
      <c r="H32" s="139">
        <v>12</v>
      </c>
      <c r="I32" s="141">
        <v>24</v>
      </c>
      <c r="J32" s="139">
        <v>2</v>
      </c>
      <c r="K32" s="141">
        <v>6</v>
      </c>
      <c r="L32" s="140">
        <v>7</v>
      </c>
      <c r="M32" s="140">
        <v>13</v>
      </c>
      <c r="N32" s="140">
        <v>9</v>
      </c>
      <c r="O32" s="140">
        <v>6</v>
      </c>
      <c r="P32" s="140">
        <v>7</v>
      </c>
      <c r="Q32" s="140">
        <v>29</v>
      </c>
      <c r="R32" s="140">
        <v>6</v>
      </c>
      <c r="S32" s="142"/>
      <c r="T32" s="143">
        <f>IF(J32+2*H32+3*F32&gt;0,J32+2*H32+3*F32,IF(H3&gt;0,H3,""))</f>
        <v>29</v>
      </c>
      <c r="U32" s="144">
        <f>IF(G32&gt;0,F32/G32,"")</f>
        <v>0.1</v>
      </c>
      <c r="V32" s="144">
        <f>IF(I32&gt;0,H32/I32,"")</f>
        <v>0.5</v>
      </c>
      <c r="W32" s="145">
        <f>IF(K32&gt;0,J32/K32,"")</f>
        <v>0.33333333333333331</v>
      </c>
      <c r="X32" s="144">
        <f t="shared" si="0"/>
        <v>0.38235294117647056</v>
      </c>
      <c r="Y32" s="146">
        <f t="shared" si="5"/>
        <v>0.39705882352941174</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843" priority="29">
      <formula>AND($H$4&gt;0,$H$4&lt;&gt;$T$31)</formula>
    </cfRule>
  </conditionalFormatting>
  <conditionalFormatting sqref="T32 H3">
    <cfRule type="expression" dxfId="842" priority="28">
      <formula>AND($H$3&gt;0,$H$3&lt;&gt;$T$32)</formula>
    </cfRule>
  </conditionalFormatting>
  <conditionalFormatting sqref="A2">
    <cfRule type="cellIs" dxfId="841" priority="27" operator="equal">
      <formula>"R"</formula>
    </cfRule>
  </conditionalFormatting>
  <conditionalFormatting sqref="F7:F30 H7:H30 J7:J30">
    <cfRule type="expression" dxfId="840" priority="26">
      <formula>F7&gt;G7</formula>
    </cfRule>
  </conditionalFormatting>
  <conditionalFormatting sqref="E7:E30">
    <cfRule type="expression" dxfId="839" priority="25">
      <formula>$E7&gt;$E$31</formula>
    </cfRule>
  </conditionalFormatting>
  <conditionalFormatting sqref="L6">
    <cfRule type="expression" dxfId="838" priority="24">
      <formula>OR($L$31&gt;($G$31+$I$31+$K$31-$F$31-$H$31-$J$31),L32&gt;(G31+I31+K31-F31-H31-J31))</formula>
    </cfRule>
  </conditionalFormatting>
  <conditionalFormatting sqref="M6">
    <cfRule type="expression" dxfId="837" priority="23">
      <formula>OR(M31&gt;(G32-F32+I32-H32+K32-J32),M32&gt;(G31-F31+I31-H31+K31-J31))</formula>
    </cfRule>
  </conditionalFormatting>
  <conditionalFormatting sqref="N6">
    <cfRule type="expression" dxfId="836" priority="22">
      <formula>OR($N$31&gt;($F$31+$H$31),$N$32&gt;($F$32+$H$32))</formula>
    </cfRule>
  </conditionalFormatting>
  <conditionalFormatting sqref="P6">
    <cfRule type="expression" dxfId="835" priority="21">
      <formula>OR($P$31&gt;(G32-F32+I32-H32),P32&gt;(G31-F31+I31-H31))</formula>
    </cfRule>
  </conditionalFormatting>
  <conditionalFormatting sqref="Q6">
    <cfRule type="expression" dxfId="834" priority="20">
      <formula>OR($Q$31&lt;$O$32,$Q$32&lt;$O$31)</formula>
    </cfRule>
  </conditionalFormatting>
  <conditionalFormatting sqref="L31:L32">
    <cfRule type="cellIs" dxfId="833" priority="19" operator="greaterThan">
      <formula>$G31+$I31+$K31-$F31-$H31-$J31</formula>
    </cfRule>
  </conditionalFormatting>
  <conditionalFormatting sqref="M32">
    <cfRule type="cellIs" dxfId="832" priority="18" operator="greaterThan">
      <formula>$G$31-$F$31+$I$31-$H$31+$K$31-$J$31</formula>
    </cfRule>
  </conditionalFormatting>
  <conditionalFormatting sqref="N31:N32">
    <cfRule type="cellIs" dxfId="831" priority="17" operator="greaterThan">
      <formula>$F31+$H31</formula>
    </cfRule>
  </conditionalFormatting>
  <conditionalFormatting sqref="O32">
    <cfRule type="cellIs" dxfId="830" priority="10" operator="greaterThan">
      <formula>$Q$31</formula>
    </cfRule>
  </conditionalFormatting>
  <conditionalFormatting sqref="P31">
    <cfRule type="cellIs" dxfId="829" priority="16" operator="greaterThan">
      <formula>$G$32-$F$32+$I$32-$H$32</formula>
    </cfRule>
  </conditionalFormatting>
  <conditionalFormatting sqref="Q32">
    <cfRule type="cellIs" dxfId="828" priority="15" operator="lessThan">
      <formula>$O$31</formula>
    </cfRule>
  </conditionalFormatting>
  <conditionalFormatting sqref="F7:F32">
    <cfRule type="cellIs" dxfId="827" priority="14" operator="greaterThan">
      <formula>G7</formula>
    </cfRule>
  </conditionalFormatting>
  <conditionalFormatting sqref="H7:H32">
    <cfRule type="cellIs" dxfId="826" priority="13" operator="greaterThan">
      <formula>I7</formula>
    </cfRule>
  </conditionalFormatting>
  <conditionalFormatting sqref="J7:J32">
    <cfRule type="cellIs" dxfId="825" priority="12" operator="greaterThan">
      <formula>K7</formula>
    </cfRule>
  </conditionalFormatting>
  <conditionalFormatting sqref="M4">
    <cfRule type="cellIs" dxfId="824" priority="11" operator="notBetween">
      <formula>$AH$2</formula>
      <formula>$AI$2</formula>
    </cfRule>
  </conditionalFormatting>
  <conditionalFormatting sqref="O31">
    <cfRule type="cellIs" dxfId="823" priority="9" operator="greaterThan">
      <formula>$Q$32</formula>
    </cfRule>
  </conditionalFormatting>
  <conditionalFormatting sqref="Q31">
    <cfRule type="cellIs" dxfId="822" priority="8" operator="lessThan">
      <formula>$O$32</formula>
    </cfRule>
  </conditionalFormatting>
  <conditionalFormatting sqref="M31">
    <cfRule type="cellIs" dxfId="821" priority="7" operator="greaterThan">
      <formula>G32-F32 +I32-H32+K32-J32</formula>
    </cfRule>
  </conditionalFormatting>
  <conditionalFormatting sqref="B3">
    <cfRule type="expression" dxfId="820" priority="6">
      <formula>$W$2 = TRUE</formula>
    </cfRule>
  </conditionalFormatting>
  <conditionalFormatting sqref="P4:Q4">
    <cfRule type="expression" dxfId="819" priority="5">
      <formula>OR(AND($P$4=1,$X$4=1),AND($Q$4=1,$W$4=1))</formula>
    </cfRule>
  </conditionalFormatting>
  <conditionalFormatting sqref="D7:D30">
    <cfRule type="expression" dxfId="818" priority="30">
      <formula>AND($D7=0,SUM($F7:$S7)&gt;0)</formula>
    </cfRule>
  </conditionalFormatting>
  <conditionalFormatting sqref="O6">
    <cfRule type="expression" dxfId="817" priority="4">
      <formula>OR($O$31&gt;$Q$32,$O$32&gt;$Q$31)</formula>
    </cfRule>
  </conditionalFormatting>
  <conditionalFormatting sqref="F6">
    <cfRule type="expression" dxfId="816" priority="3">
      <formula>OR(F$31&gt;G$31,F$32&gt;G$32)</formula>
    </cfRule>
  </conditionalFormatting>
  <conditionalFormatting sqref="H6">
    <cfRule type="expression" dxfId="815" priority="2">
      <formula>OR(H$31&gt;I$31,H$32&gt;I$32)</formula>
    </cfRule>
  </conditionalFormatting>
  <conditionalFormatting sqref="J6">
    <cfRule type="expression" dxfId="814"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Z9" sqref="Z9:AE2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t="s">
        <v>373</v>
      </c>
      <c r="C3" s="70">
        <v>9</v>
      </c>
      <c r="D3" s="71">
        <v>21</v>
      </c>
      <c r="E3" s="71">
        <v>12</v>
      </c>
      <c r="F3" s="71">
        <v>10</v>
      </c>
      <c r="G3" s="72"/>
      <c r="H3" s="73">
        <f>SUM(C3:G3)</f>
        <v>52</v>
      </c>
      <c r="J3" s="12" t="s">
        <v>165</v>
      </c>
      <c r="P3" s="74" t="s">
        <v>135</v>
      </c>
      <c r="Q3" s="74" t="s">
        <v>137</v>
      </c>
      <c r="S3" s="75" t="s">
        <v>138</v>
      </c>
      <c r="U3" s="76" t="s">
        <v>139</v>
      </c>
      <c r="W3" s="77" t="s">
        <v>134</v>
      </c>
      <c r="X3" s="77" t="s">
        <v>136</v>
      </c>
      <c r="AA3" s="48" t="str">
        <f>B4</f>
        <v>Upton</v>
      </c>
      <c r="AD3" s="48">
        <f>SUM($C3:C3)</f>
        <v>9</v>
      </c>
      <c r="AE3" s="48">
        <f>SUM($C3:D3)</f>
        <v>30</v>
      </c>
      <c r="AF3" s="48">
        <f>SUM($C3:E3)</f>
        <v>42</v>
      </c>
      <c r="AG3" s="48">
        <f>SUM($C3:F3)</f>
        <v>52</v>
      </c>
      <c r="AH3" s="48">
        <f>SUM($C3:G3)</f>
        <v>52</v>
      </c>
      <c r="AJ3" s="74"/>
    </row>
    <row r="4" spans="1:36" ht="16.5" customHeight="1" thickTop="1" thickBot="1" x14ac:dyDescent="0.3">
      <c r="B4" s="78" t="str">
        <f>Roster!$B$1</f>
        <v>Upton</v>
      </c>
      <c r="C4" s="79">
        <v>17</v>
      </c>
      <c r="D4" s="80">
        <v>18</v>
      </c>
      <c r="E4" s="80">
        <v>16</v>
      </c>
      <c r="F4" s="80">
        <v>19</v>
      </c>
      <c r="G4" s="81"/>
      <c r="H4" s="82">
        <f>SUM(C4:G4)</f>
        <v>70</v>
      </c>
      <c r="J4" s="83"/>
      <c r="L4" s="84" t="s">
        <v>133</v>
      </c>
      <c r="M4" s="404">
        <v>44957</v>
      </c>
      <c r="N4" s="405"/>
      <c r="P4" s="83"/>
      <c r="Q4" s="83"/>
      <c r="S4" s="83"/>
      <c r="U4" s="83"/>
      <c r="W4" s="85">
        <f>IF(OR($S$4=1,$H$4&gt;$H$3),1,"")</f>
        <v>1</v>
      </c>
      <c r="X4" s="85" t="str">
        <f>IF(OR($U$4=1,$H$4&lt;$H$3),1,"")</f>
        <v/>
      </c>
      <c r="AA4" s="48" t="str">
        <f>B3</f>
        <v>Thunder Basin JV</v>
      </c>
      <c r="AD4" s="48">
        <f>SUM($C4:C4)</f>
        <v>17</v>
      </c>
      <c r="AE4" s="48">
        <f>SUM($C4:D4)</f>
        <v>35</v>
      </c>
      <c r="AF4" s="48">
        <f>SUM($C4:E4)</f>
        <v>51</v>
      </c>
      <c r="AG4" s="48">
        <f>SUM($C4:F4)</f>
        <v>70</v>
      </c>
      <c r="AH4" s="48">
        <f>SUM($C4:G4)</f>
        <v>70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1</v>
      </c>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20</v>
      </c>
      <c r="F8" s="101"/>
      <c r="G8" s="102">
        <v>1</v>
      </c>
      <c r="H8" s="103">
        <v>2</v>
      </c>
      <c r="I8" s="102">
        <v>3</v>
      </c>
      <c r="J8" s="103"/>
      <c r="K8" s="102">
        <v>1</v>
      </c>
      <c r="L8" s="103">
        <v>1</v>
      </c>
      <c r="M8" s="103">
        <v>2</v>
      </c>
      <c r="N8" s="103"/>
      <c r="O8" s="103">
        <v>2</v>
      </c>
      <c r="P8" s="103"/>
      <c r="Q8" s="103">
        <v>2</v>
      </c>
      <c r="R8" s="103">
        <v>3</v>
      </c>
      <c r="S8" s="104"/>
      <c r="T8" s="105">
        <f t="shared" ref="T8:T30" si="1">IF(J8+2*H8+3*F8&gt;0,J8+2*H8+3*F8,0)</f>
        <v>4</v>
      </c>
      <c r="U8" s="106">
        <f t="shared" ref="U8:U30" si="2">IF(G8&gt;0,F8/G8,"")</f>
        <v>0</v>
      </c>
      <c r="V8" s="106">
        <f t="shared" ref="V8:V30" si="3">IF(I8&gt;0,H8/I8,"")</f>
        <v>0.66666666666666663</v>
      </c>
      <c r="W8" s="107">
        <f t="shared" ref="W8:W30" si="4">IF(K8&gt;0,J8/K8,"")</f>
        <v>0</v>
      </c>
      <c r="X8" s="106">
        <f t="shared" si="0"/>
        <v>0.5</v>
      </c>
      <c r="Y8" s="108">
        <f t="shared" ref="Y8:Y32" si="5">IF(OR(G8&gt;0,I8 &gt;0),(1.5*F8+H8)/(G8+I8),"")</f>
        <v>0.5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30</v>
      </c>
      <c r="F9" s="111"/>
      <c r="G9" s="112">
        <v>3</v>
      </c>
      <c r="H9" s="113">
        <v>7</v>
      </c>
      <c r="I9" s="112">
        <v>13</v>
      </c>
      <c r="J9" s="113"/>
      <c r="K9" s="112">
        <v>2</v>
      </c>
      <c r="L9" s="113">
        <v>4</v>
      </c>
      <c r="M9" s="113">
        <v>6</v>
      </c>
      <c r="N9" s="113">
        <v>6</v>
      </c>
      <c r="O9" s="113">
        <v>5</v>
      </c>
      <c r="P9" s="113"/>
      <c r="Q9" s="113">
        <v>3</v>
      </c>
      <c r="R9" s="113">
        <v>1</v>
      </c>
      <c r="S9" s="114"/>
      <c r="T9" s="115">
        <f t="shared" si="1"/>
        <v>14</v>
      </c>
      <c r="U9" s="95">
        <f t="shared" si="2"/>
        <v>0</v>
      </c>
      <c r="V9" s="95">
        <f t="shared" si="3"/>
        <v>0.53846153846153844</v>
      </c>
      <c r="W9" s="96">
        <f t="shared" si="4"/>
        <v>0</v>
      </c>
      <c r="X9" s="95">
        <f t="shared" si="0"/>
        <v>0.4375</v>
      </c>
      <c r="Y9" s="116">
        <f t="shared" si="5"/>
        <v>0.4375</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29</v>
      </c>
      <c r="F10" s="101">
        <v>2</v>
      </c>
      <c r="G10" s="102">
        <v>5</v>
      </c>
      <c r="H10" s="103"/>
      <c r="I10" s="102"/>
      <c r="J10" s="103"/>
      <c r="K10" s="102"/>
      <c r="L10" s="103">
        <v>1</v>
      </c>
      <c r="M10" s="103">
        <v>1</v>
      </c>
      <c r="N10" s="103">
        <v>1</v>
      </c>
      <c r="O10" s="103">
        <v>3</v>
      </c>
      <c r="P10" s="103"/>
      <c r="Q10" s="103">
        <v>2</v>
      </c>
      <c r="R10" s="103"/>
      <c r="S10" s="104"/>
      <c r="T10" s="105">
        <f t="shared" si="1"/>
        <v>6</v>
      </c>
      <c r="U10" s="106">
        <f t="shared" si="2"/>
        <v>0.4</v>
      </c>
      <c r="V10" s="106" t="str">
        <f t="shared" si="3"/>
        <v/>
      </c>
      <c r="W10" s="107" t="str">
        <f t="shared" si="4"/>
        <v/>
      </c>
      <c r="X10" s="106">
        <f t="shared" si="0"/>
        <v>0.4</v>
      </c>
      <c r="Y10" s="108">
        <f t="shared" si="5"/>
        <v>0.6</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v>1</v>
      </c>
      <c r="E11" s="110">
        <v>1</v>
      </c>
      <c r="F11" s="111"/>
      <c r="G11" s="112"/>
      <c r="H11" s="113"/>
      <c r="I11" s="112"/>
      <c r="J11" s="113"/>
      <c r="K11" s="112"/>
      <c r="L11" s="113"/>
      <c r="M11" s="113"/>
      <c r="N11" s="113"/>
      <c r="O11" s="113"/>
      <c r="P11" s="113"/>
      <c r="Q11" s="113">
        <v>1</v>
      </c>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68</v>
      </c>
      <c r="AB11" s="385">
        <f>T31/AA11</f>
        <v>1.0294117647058822</v>
      </c>
      <c r="AC11" s="385">
        <f>L31/AA11</f>
        <v>0.23529411764705882</v>
      </c>
      <c r="AD11" s="385">
        <f>M31/AA12</f>
        <v>0.26470588235294118</v>
      </c>
      <c r="AE11" s="389">
        <f>(L31+M31)/AA11</f>
        <v>0.5</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68</v>
      </c>
      <c r="AB12" s="385">
        <f>T32/AA12</f>
        <v>0.76470588235294112</v>
      </c>
      <c r="AC12" s="385">
        <f>L32/AA12</f>
        <v>5.8823529411764705E-2</v>
      </c>
      <c r="AD12" s="385">
        <f>M32/AA11</f>
        <v>0.25</v>
      </c>
      <c r="AE12" s="389">
        <f>(L32+M32)/AA12</f>
        <v>0.30882352941176472</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30</v>
      </c>
      <c r="F14" s="101">
        <v>1</v>
      </c>
      <c r="G14" s="102">
        <v>2</v>
      </c>
      <c r="H14" s="103">
        <v>4</v>
      </c>
      <c r="I14" s="102">
        <v>10</v>
      </c>
      <c r="J14" s="103">
        <v>8</v>
      </c>
      <c r="K14" s="102">
        <v>10</v>
      </c>
      <c r="L14" s="103">
        <v>6</v>
      </c>
      <c r="M14" s="103">
        <v>4</v>
      </c>
      <c r="N14" s="103">
        <v>2</v>
      </c>
      <c r="O14" s="103">
        <v>2</v>
      </c>
      <c r="P14" s="103">
        <v>1</v>
      </c>
      <c r="Q14" s="103">
        <v>3</v>
      </c>
      <c r="R14" s="103"/>
      <c r="S14" s="104"/>
      <c r="T14" s="105">
        <f t="shared" si="1"/>
        <v>19</v>
      </c>
      <c r="U14" s="106">
        <f t="shared" si="2"/>
        <v>0.5</v>
      </c>
      <c r="V14" s="106">
        <f t="shared" si="3"/>
        <v>0.4</v>
      </c>
      <c r="W14" s="107">
        <f t="shared" si="4"/>
        <v>0.8</v>
      </c>
      <c r="X14" s="106">
        <f t="shared" si="0"/>
        <v>0.41666666666666669</v>
      </c>
      <c r="Y14" s="108">
        <f t="shared" si="5"/>
        <v>0.45833333333333331</v>
      </c>
      <c r="Z14" s="385"/>
      <c r="AA14" s="385"/>
      <c r="AB14" s="385">
        <f>N31/AA11</f>
        <v>0.20588235294117646</v>
      </c>
      <c r="AC14" s="385">
        <f>O31/AA12</f>
        <v>0.25</v>
      </c>
      <c r="AD14" s="385">
        <f>Q31/AA11</f>
        <v>0.26470588235294118</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11</v>
      </c>
      <c r="F15" s="111">
        <v>1</v>
      </c>
      <c r="G15" s="112">
        <v>2</v>
      </c>
      <c r="H15" s="113"/>
      <c r="I15" s="112">
        <v>1</v>
      </c>
      <c r="J15" s="113"/>
      <c r="K15" s="112"/>
      <c r="L15" s="113">
        <v>1</v>
      </c>
      <c r="M15" s="113">
        <v>2</v>
      </c>
      <c r="N15" s="113">
        <v>3</v>
      </c>
      <c r="O15" s="113">
        <v>1</v>
      </c>
      <c r="P15" s="113"/>
      <c r="Q15" s="113">
        <v>1</v>
      </c>
      <c r="R15" s="113">
        <v>2</v>
      </c>
      <c r="S15" s="114"/>
      <c r="T15" s="115">
        <f t="shared" si="1"/>
        <v>3</v>
      </c>
      <c r="U15" s="95">
        <f t="shared" si="2"/>
        <v>0.5</v>
      </c>
      <c r="V15" s="95">
        <f t="shared" si="3"/>
        <v>0</v>
      </c>
      <c r="W15" s="96" t="str">
        <f t="shared" si="4"/>
        <v/>
      </c>
      <c r="X15" s="95">
        <f t="shared" si="0"/>
        <v>0.33333333333333331</v>
      </c>
      <c r="Y15" s="116">
        <f t="shared" si="5"/>
        <v>0.5</v>
      </c>
      <c r="Z15" s="392"/>
      <c r="AA15" s="393"/>
      <c r="AB15" s="393">
        <f>N32/AA12</f>
        <v>0.16176470588235295</v>
      </c>
      <c r="AC15" s="393">
        <f>O32/AA11</f>
        <v>0.13235294117647059</v>
      </c>
      <c r="AD15" s="393">
        <f>Q32/AA12</f>
        <v>0.35294117647058826</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24</v>
      </c>
      <c r="F16" s="101">
        <v>2</v>
      </c>
      <c r="G16" s="102">
        <v>3</v>
      </c>
      <c r="H16" s="103">
        <v>3</v>
      </c>
      <c r="I16" s="102">
        <v>7</v>
      </c>
      <c r="J16" s="103">
        <v>5</v>
      </c>
      <c r="K16" s="102">
        <v>7</v>
      </c>
      <c r="L16" s="103">
        <v>3</v>
      </c>
      <c r="M16" s="103">
        <v>1</v>
      </c>
      <c r="N16" s="103">
        <v>1</v>
      </c>
      <c r="O16" s="103">
        <v>1</v>
      </c>
      <c r="P16" s="103"/>
      <c r="Q16" s="103">
        <v>3</v>
      </c>
      <c r="R16" s="103">
        <v>1</v>
      </c>
      <c r="S16" s="104"/>
      <c r="T16" s="105">
        <f t="shared" si="1"/>
        <v>17</v>
      </c>
      <c r="U16" s="106">
        <f t="shared" si="2"/>
        <v>0.66666666666666663</v>
      </c>
      <c r="V16" s="106">
        <f t="shared" si="3"/>
        <v>0.42857142857142855</v>
      </c>
      <c r="W16" s="107">
        <f t="shared" si="4"/>
        <v>0.7142857142857143</v>
      </c>
      <c r="X16" s="106">
        <f t="shared" si="0"/>
        <v>0.5</v>
      </c>
      <c r="Y16" s="108">
        <f t="shared" si="5"/>
        <v>0.6</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1</v>
      </c>
      <c r="F17" s="111"/>
      <c r="G17" s="112"/>
      <c r="H17" s="113"/>
      <c r="I17" s="112"/>
      <c r="J17" s="113"/>
      <c r="K17" s="112"/>
      <c r="L17" s="113"/>
      <c r="M17" s="113">
        <v>1</v>
      </c>
      <c r="N17" s="113"/>
      <c r="O17" s="113"/>
      <c r="P17" s="113"/>
      <c r="Q17" s="113">
        <v>1</v>
      </c>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v>1</v>
      </c>
      <c r="G18" s="102">
        <v>1</v>
      </c>
      <c r="H18" s="103"/>
      <c r="I18" s="102"/>
      <c r="J18" s="103"/>
      <c r="K18" s="102"/>
      <c r="L18" s="103"/>
      <c r="M18" s="103"/>
      <c r="N18" s="103"/>
      <c r="O18" s="103"/>
      <c r="P18" s="103"/>
      <c r="Q18" s="103"/>
      <c r="R18" s="103"/>
      <c r="S18" s="104"/>
      <c r="T18" s="105">
        <f t="shared" si="1"/>
        <v>3</v>
      </c>
      <c r="U18" s="106">
        <f t="shared" si="2"/>
        <v>1</v>
      </c>
      <c r="V18" s="106" t="str">
        <f t="shared" si="3"/>
        <v/>
      </c>
      <c r="W18" s="107" t="str">
        <f t="shared" si="4"/>
        <v/>
      </c>
      <c r="X18" s="106">
        <f t="shared" si="0"/>
        <v>1</v>
      </c>
      <c r="Y18" s="108">
        <f t="shared" si="5"/>
        <v>1.5</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16</v>
      </c>
      <c r="F19" s="111"/>
      <c r="G19" s="112"/>
      <c r="H19" s="113">
        <v>2</v>
      </c>
      <c r="I19" s="112">
        <v>5</v>
      </c>
      <c r="J19" s="113"/>
      <c r="K19" s="112"/>
      <c r="L19" s="113"/>
      <c r="M19" s="113">
        <v>1</v>
      </c>
      <c r="N19" s="113">
        <v>1</v>
      </c>
      <c r="O19" s="113">
        <v>3</v>
      </c>
      <c r="P19" s="113"/>
      <c r="Q19" s="113">
        <v>2</v>
      </c>
      <c r="R19" s="113">
        <v>1</v>
      </c>
      <c r="S19" s="114"/>
      <c r="T19" s="115">
        <f t="shared" si="1"/>
        <v>4</v>
      </c>
      <c r="U19" s="95" t="str">
        <f t="shared" si="2"/>
        <v/>
      </c>
      <c r="V19" s="95">
        <f t="shared" si="3"/>
        <v>0.4</v>
      </c>
      <c r="W19" s="96" t="str">
        <f t="shared" si="4"/>
        <v/>
      </c>
      <c r="X19" s="95">
        <f t="shared" si="0"/>
        <v>0.4</v>
      </c>
      <c r="Y19" s="116">
        <f t="shared" si="5"/>
        <v>0.4</v>
      </c>
      <c r="Z19" s="388" t="s">
        <v>124</v>
      </c>
      <c r="AA19" s="385">
        <f>AB11*65</f>
        <v>66.911764705882348</v>
      </c>
      <c r="AB19" s="385">
        <f t="shared" ref="AB19:AD20" si="6">AC11*65</f>
        <v>15.294117647058822</v>
      </c>
      <c r="AC19" s="385">
        <f t="shared" si="6"/>
        <v>17.205882352941178</v>
      </c>
      <c r="AD19" s="385">
        <f t="shared" si="6"/>
        <v>32.5</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49.705882352941174</v>
      </c>
      <c r="AB20" s="385">
        <f t="shared" si="6"/>
        <v>3.8235294117647056</v>
      </c>
      <c r="AC20" s="385">
        <f t="shared" si="6"/>
        <v>16.25</v>
      </c>
      <c r="AD20" s="385">
        <f t="shared" si="6"/>
        <v>20.073529411764707</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13.382352941176469</v>
      </c>
      <c r="AC22" s="385">
        <f t="shared" si="7"/>
        <v>16.25</v>
      </c>
      <c r="AD22" s="385">
        <f>AD14*65</f>
        <v>17.205882352941178</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10.514705882352942</v>
      </c>
      <c r="AC23" s="393">
        <f t="shared" si="7"/>
        <v>8.6029411764705888</v>
      </c>
      <c r="AD23" s="393">
        <f t="shared" si="7"/>
        <v>22.941176470588236</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68</v>
      </c>
      <c r="B31" s="126" t="s">
        <v>161</v>
      </c>
      <c r="C31" s="151"/>
      <c r="D31" s="152">
        <f>IF(COUNTA($D$7:$D$30)&gt;0,1,"")</f>
        <v>1</v>
      </c>
      <c r="E31" s="127">
        <f>IF(D31=1,32+J4*4,"")</f>
        <v>32</v>
      </c>
      <c r="F31" s="128">
        <f t="shared" ref="F31:S31" si="8">SUM(F7:F30)</f>
        <v>7</v>
      </c>
      <c r="G31" s="129">
        <f t="shared" si="8"/>
        <v>17</v>
      </c>
      <c r="H31" s="128">
        <f t="shared" si="8"/>
        <v>18</v>
      </c>
      <c r="I31" s="130">
        <f t="shared" si="8"/>
        <v>39</v>
      </c>
      <c r="J31" s="129">
        <f t="shared" si="8"/>
        <v>13</v>
      </c>
      <c r="K31" s="130">
        <f t="shared" si="8"/>
        <v>20</v>
      </c>
      <c r="L31" s="129">
        <f t="shared" si="8"/>
        <v>16</v>
      </c>
      <c r="M31" s="129">
        <f t="shared" si="8"/>
        <v>18</v>
      </c>
      <c r="N31" s="129">
        <f t="shared" si="8"/>
        <v>14</v>
      </c>
      <c r="O31" s="129">
        <f t="shared" si="8"/>
        <v>17</v>
      </c>
      <c r="P31" s="129">
        <f t="shared" si="8"/>
        <v>1</v>
      </c>
      <c r="Q31" s="129">
        <f t="shared" si="8"/>
        <v>18</v>
      </c>
      <c r="R31" s="129">
        <f t="shared" si="8"/>
        <v>8</v>
      </c>
      <c r="S31" s="131">
        <f t="shared" si="8"/>
        <v>0</v>
      </c>
      <c r="T31" s="132">
        <f>IF(J31+2*H31+3*F31&gt;0,J31+2*H31+3*F31,IF(H4&gt;0,H4,""))</f>
        <v>70</v>
      </c>
      <c r="U31" s="133">
        <f>IF(G31&gt;0,F31/G31,"")</f>
        <v>0.41176470588235292</v>
      </c>
      <c r="V31" s="133">
        <f>IF(I31&gt;0,H31/I31,"")</f>
        <v>0.46153846153846156</v>
      </c>
      <c r="W31" s="134">
        <f>IF(K31&gt;0,J31/K31,"")</f>
        <v>0.65</v>
      </c>
      <c r="X31" s="133">
        <f t="shared" si="0"/>
        <v>0.44642857142857145</v>
      </c>
      <c r="Y31" s="135">
        <f t="shared" si="5"/>
        <v>0.5089285714285714</v>
      </c>
      <c r="AB31" s="51"/>
      <c r="AC31" s="51"/>
      <c r="AD31" s="51"/>
      <c r="AE31" s="51"/>
      <c r="AF31" s="136"/>
      <c r="AG31" s="136"/>
      <c r="AH31" s="136"/>
      <c r="AI31" s="51"/>
    </row>
    <row r="32" spans="1:35" s="18" customFormat="1" ht="17.25" thickTop="1" thickBot="1" x14ac:dyDescent="0.3">
      <c r="A32" s="51">
        <f>ROUND(G32+I32+0.475*K32-L32+Q32,0)</f>
        <v>68</v>
      </c>
      <c r="B32" s="137" t="s">
        <v>162</v>
      </c>
      <c r="C32" s="153"/>
      <c r="D32" s="138">
        <f>IF(SUM(F32:S32)&gt;0,1,"")</f>
        <v>1</v>
      </c>
      <c r="E32" s="138">
        <f>IF(D32=1,E31,0)</f>
        <v>32</v>
      </c>
      <c r="F32" s="139">
        <v>9</v>
      </c>
      <c r="G32" s="140">
        <v>26</v>
      </c>
      <c r="H32" s="139">
        <v>11</v>
      </c>
      <c r="I32" s="141">
        <v>20</v>
      </c>
      <c r="J32" s="139">
        <v>3</v>
      </c>
      <c r="K32" s="141">
        <v>4</v>
      </c>
      <c r="L32" s="140">
        <v>4</v>
      </c>
      <c r="M32" s="140">
        <v>17</v>
      </c>
      <c r="N32" s="140">
        <v>11</v>
      </c>
      <c r="O32" s="140">
        <v>9</v>
      </c>
      <c r="P32" s="140">
        <v>2</v>
      </c>
      <c r="Q32" s="140">
        <v>24</v>
      </c>
      <c r="R32" s="140">
        <v>15</v>
      </c>
      <c r="S32" s="142">
        <v>2</v>
      </c>
      <c r="T32" s="143">
        <f>IF(J32+2*H32+3*F32&gt;0,J32+2*H32+3*F32,IF(H3&gt;0,H3,""))</f>
        <v>52</v>
      </c>
      <c r="U32" s="144">
        <f>IF(G32&gt;0,F32/G32,"")</f>
        <v>0.34615384615384615</v>
      </c>
      <c r="V32" s="144">
        <f>IF(I32&gt;0,H32/I32,"")</f>
        <v>0.55000000000000004</v>
      </c>
      <c r="W32" s="145">
        <f>IF(K32&gt;0,J32/K32,"")</f>
        <v>0.75</v>
      </c>
      <c r="X32" s="144">
        <f t="shared" si="0"/>
        <v>0.43478260869565216</v>
      </c>
      <c r="Y32" s="146">
        <f t="shared" si="5"/>
        <v>0.53260869565217395</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813" priority="29">
      <formula>AND($H$4&gt;0,$H$4&lt;&gt;$T$31)</formula>
    </cfRule>
  </conditionalFormatting>
  <conditionalFormatting sqref="T32 H3">
    <cfRule type="expression" dxfId="812" priority="28">
      <formula>AND($H$3&gt;0,$H$3&lt;&gt;$T$32)</formula>
    </cfRule>
  </conditionalFormatting>
  <conditionalFormatting sqref="A2">
    <cfRule type="cellIs" dxfId="811" priority="27" operator="equal">
      <formula>"R"</formula>
    </cfRule>
  </conditionalFormatting>
  <conditionalFormatting sqref="F7:F30 H7:H30 J7:J30">
    <cfRule type="expression" dxfId="810" priority="26">
      <formula>F7&gt;G7</formula>
    </cfRule>
  </conditionalFormatting>
  <conditionalFormatting sqref="E7:E30">
    <cfRule type="expression" dxfId="809" priority="25">
      <formula>$E7&gt;$E$31</formula>
    </cfRule>
  </conditionalFormatting>
  <conditionalFormatting sqref="L6">
    <cfRule type="expression" dxfId="808" priority="24">
      <formula>OR($L$31&gt;($G$31+$I$31+$K$31-$F$31-$H$31-$J$31),L32&gt;(G31+I31+K31-F31-H31-J31))</formula>
    </cfRule>
  </conditionalFormatting>
  <conditionalFormatting sqref="M6">
    <cfRule type="expression" dxfId="807" priority="23">
      <formula>OR(M31&gt;(G32-F32+I32-H32+K32-J32),M32&gt;(G31-F31+I31-H31+K31-J31))</formula>
    </cfRule>
  </conditionalFormatting>
  <conditionalFormatting sqref="N6">
    <cfRule type="expression" dxfId="806" priority="22">
      <formula>OR($N$31&gt;($F$31+$H$31),$N$32&gt;($F$32+$H$32))</formula>
    </cfRule>
  </conditionalFormatting>
  <conditionalFormatting sqref="P6">
    <cfRule type="expression" dxfId="805" priority="21">
      <formula>OR($P$31&gt;(G32-F32+I32-H32),P32&gt;(G31-F31+I31-H31))</formula>
    </cfRule>
  </conditionalFormatting>
  <conditionalFormatting sqref="Q6">
    <cfRule type="expression" dxfId="804" priority="20">
      <formula>OR($Q$31&lt;$O$32,$Q$32&lt;$O$31)</formula>
    </cfRule>
  </conditionalFormatting>
  <conditionalFormatting sqref="L31:L32">
    <cfRule type="cellIs" dxfId="803" priority="19" operator="greaterThan">
      <formula>$G31+$I31+$K31-$F31-$H31-$J31</formula>
    </cfRule>
  </conditionalFormatting>
  <conditionalFormatting sqref="M32">
    <cfRule type="cellIs" dxfId="802" priority="18" operator="greaterThan">
      <formula>$G$31-$F$31+$I$31-$H$31+$K$31-$J$31</formula>
    </cfRule>
  </conditionalFormatting>
  <conditionalFormatting sqref="N31:N32">
    <cfRule type="cellIs" dxfId="801" priority="17" operator="greaterThan">
      <formula>$F31+$H31</formula>
    </cfRule>
  </conditionalFormatting>
  <conditionalFormatting sqref="O32">
    <cfRule type="cellIs" dxfId="800" priority="10" operator="greaterThan">
      <formula>$Q$31</formula>
    </cfRule>
  </conditionalFormatting>
  <conditionalFormatting sqref="P31">
    <cfRule type="cellIs" dxfId="799" priority="16" operator="greaterThan">
      <formula>$G$32-$F$32+$I$32-$H$32</formula>
    </cfRule>
  </conditionalFormatting>
  <conditionalFormatting sqref="Q32">
    <cfRule type="cellIs" dxfId="798" priority="15" operator="lessThan">
      <formula>$O$31</formula>
    </cfRule>
  </conditionalFormatting>
  <conditionalFormatting sqref="F7:F32">
    <cfRule type="cellIs" dxfId="797" priority="14" operator="greaterThan">
      <formula>G7</formula>
    </cfRule>
  </conditionalFormatting>
  <conditionalFormatting sqref="H7:H32">
    <cfRule type="cellIs" dxfId="796" priority="13" operator="greaterThan">
      <formula>I7</formula>
    </cfRule>
  </conditionalFormatting>
  <conditionalFormatting sqref="J7:J32">
    <cfRule type="cellIs" dxfId="795" priority="12" operator="greaterThan">
      <formula>K7</formula>
    </cfRule>
  </conditionalFormatting>
  <conditionalFormatting sqref="M4">
    <cfRule type="cellIs" dxfId="794" priority="11" operator="notBetween">
      <formula>$AH$2</formula>
      <formula>$AI$2</formula>
    </cfRule>
  </conditionalFormatting>
  <conditionalFormatting sqref="O31">
    <cfRule type="cellIs" dxfId="793" priority="9" operator="greaterThan">
      <formula>$Q$32</formula>
    </cfRule>
  </conditionalFormatting>
  <conditionalFormatting sqref="Q31">
    <cfRule type="cellIs" dxfId="792" priority="8" operator="lessThan">
      <formula>$O$32</formula>
    </cfRule>
  </conditionalFormatting>
  <conditionalFormatting sqref="M31">
    <cfRule type="cellIs" dxfId="791" priority="7" operator="greaterThan">
      <formula>G32-F32 +I32-H32+K32-J32</formula>
    </cfRule>
  </conditionalFormatting>
  <conditionalFormatting sqref="B3">
    <cfRule type="expression" dxfId="790" priority="6">
      <formula>$W$2 = TRUE</formula>
    </cfRule>
  </conditionalFormatting>
  <conditionalFormatting sqref="P4:Q4">
    <cfRule type="expression" dxfId="789" priority="5">
      <formula>OR(AND($P$4=1,$X$4=1),AND($Q$4=1,$W$4=1))</formula>
    </cfRule>
  </conditionalFormatting>
  <conditionalFormatting sqref="D7:D30">
    <cfRule type="expression" dxfId="788" priority="30">
      <formula>AND($D7=0,SUM($F7:$S7)&gt;0)</formula>
    </cfRule>
  </conditionalFormatting>
  <conditionalFormatting sqref="O6">
    <cfRule type="expression" dxfId="787" priority="4">
      <formula>OR($O$31&gt;$Q$32,$O$32&gt;$Q$31)</formula>
    </cfRule>
  </conditionalFormatting>
  <conditionalFormatting sqref="F6">
    <cfRule type="expression" dxfId="786" priority="3">
      <formula>OR(F$31&gt;G$31,F$32&gt;G$32)</formula>
    </cfRule>
  </conditionalFormatting>
  <conditionalFormatting sqref="H6">
    <cfRule type="expression" dxfId="785" priority="2">
      <formula>OR(H$31&gt;I$31,H$32&gt;I$32)</formula>
    </cfRule>
  </conditionalFormatting>
  <conditionalFormatting sqref="J6">
    <cfRule type="expression" dxfId="784"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5:BK966"/>
  <sheetViews>
    <sheetView zoomScale="106" zoomScaleNormal="106" workbookViewId="0">
      <selection activeCell="B27" sqref="B27"/>
    </sheetView>
  </sheetViews>
  <sheetFormatPr defaultColWidth="8.85546875" defaultRowHeight="12.75" x14ac:dyDescent="0.25"/>
  <cols>
    <col min="1" max="1" width="16.140625" style="8" customWidth="1"/>
    <col min="2" max="5" width="8.85546875" style="8"/>
    <col min="6" max="6" width="5.85546875" style="8" customWidth="1"/>
    <col min="7" max="29" width="8.85546875" style="8"/>
    <col min="30" max="30" width="28.5703125" style="8" customWidth="1"/>
    <col min="31" max="33" width="8.85546875" style="8"/>
    <col min="34" max="34" width="19.85546875" style="8" customWidth="1"/>
    <col min="35" max="16384" width="8.85546875" style="8"/>
  </cols>
  <sheetData>
    <row r="5" spans="1:63" ht="14.45" x14ac:dyDescent="0.35">
      <c r="AA5" s="49">
        <v>5</v>
      </c>
    </row>
    <row r="6" spans="1:63" ht="32.1" thickBot="1" x14ac:dyDescent="0.3">
      <c r="A6" s="9" t="s">
        <v>228</v>
      </c>
      <c r="B6" s="9" t="s">
        <v>186</v>
      </c>
      <c r="C6" s="9" t="s">
        <v>187</v>
      </c>
      <c r="D6" s="9" t="s">
        <v>188</v>
      </c>
      <c r="E6" s="9" t="s">
        <v>141</v>
      </c>
      <c r="F6" s="9" t="s">
        <v>275</v>
      </c>
      <c r="G6" s="9" t="s">
        <v>164</v>
      </c>
      <c r="H6" s="9" t="s">
        <v>142</v>
      </c>
      <c r="I6" s="9" t="s">
        <v>143</v>
      </c>
      <c r="J6" s="9" t="s">
        <v>144</v>
      </c>
      <c r="K6" s="9" t="s">
        <v>145</v>
      </c>
      <c r="L6" s="9" t="s">
        <v>146</v>
      </c>
      <c r="M6" s="9" t="s">
        <v>147</v>
      </c>
      <c r="N6" s="9" t="s">
        <v>148</v>
      </c>
      <c r="O6" s="9" t="s">
        <v>149</v>
      </c>
      <c r="P6" s="9" t="s">
        <v>150</v>
      </c>
      <c r="Q6" s="9" t="s">
        <v>151</v>
      </c>
      <c r="R6" s="9" t="s">
        <v>152</v>
      </c>
      <c r="S6" s="9" t="s">
        <v>153</v>
      </c>
      <c r="T6" s="9" t="s">
        <v>154</v>
      </c>
      <c r="U6" s="9" t="s">
        <v>167</v>
      </c>
      <c r="V6" s="9" t="s">
        <v>155</v>
      </c>
      <c r="W6" s="9" t="s">
        <v>189</v>
      </c>
      <c r="X6" s="9" t="s">
        <v>190</v>
      </c>
      <c r="Y6" s="9" t="s">
        <v>191</v>
      </c>
      <c r="Z6" s="9" t="s">
        <v>192</v>
      </c>
      <c r="AA6" s="9" t="s">
        <v>166</v>
      </c>
      <c r="AB6" s="9" t="s">
        <v>160</v>
      </c>
      <c r="AC6" s="9" t="s">
        <v>238</v>
      </c>
      <c r="AD6" s="9" t="s">
        <v>215</v>
      </c>
      <c r="AE6" s="9" t="s">
        <v>229</v>
      </c>
      <c r="AF6" s="9" t="s">
        <v>217</v>
      </c>
      <c r="AG6" s="9" t="s">
        <v>225</v>
      </c>
      <c r="AH6" s="9" t="s">
        <v>0</v>
      </c>
      <c r="AI6" s="9" t="s">
        <v>216</v>
      </c>
      <c r="AJ6" s="9" t="s">
        <v>219</v>
      </c>
      <c r="AK6" s="9" t="s">
        <v>237</v>
      </c>
      <c r="AL6" s="9" t="s">
        <v>235</v>
      </c>
      <c r="AM6" s="9" t="s">
        <v>236</v>
      </c>
      <c r="AN6" s="9" t="s">
        <v>234</v>
      </c>
      <c r="AO6" s="9" t="s">
        <v>239</v>
      </c>
      <c r="AP6" s="9" t="s">
        <v>240</v>
      </c>
      <c r="AQ6" s="9" t="s">
        <v>241</v>
      </c>
      <c r="AR6" s="9" t="s">
        <v>242</v>
      </c>
      <c r="AS6" s="9" t="s">
        <v>243</v>
      </c>
      <c r="AT6" s="9" t="s">
        <v>244</v>
      </c>
      <c r="AU6" s="9" t="s">
        <v>245</v>
      </c>
      <c r="AV6" s="9" t="s">
        <v>246</v>
      </c>
      <c r="AW6" s="9" t="s">
        <v>247</v>
      </c>
      <c r="AX6" s="9" t="s">
        <v>248</v>
      </c>
      <c r="AY6" s="9" t="s">
        <v>249</v>
      </c>
      <c r="AZ6" s="9" t="s">
        <v>250</v>
      </c>
      <c r="BA6" s="9" t="s">
        <v>251</v>
      </c>
      <c r="BB6" s="9" t="s">
        <v>252</v>
      </c>
      <c r="BC6" s="9" t="s">
        <v>253</v>
      </c>
      <c r="BD6" s="9" t="s">
        <v>254</v>
      </c>
      <c r="BE6" s="9" t="s">
        <v>271</v>
      </c>
      <c r="BF6" s="9" t="s">
        <v>1</v>
      </c>
      <c r="BG6" s="9" t="s">
        <v>272</v>
      </c>
      <c r="BH6" s="198" t="s">
        <v>284</v>
      </c>
      <c r="BI6" s="198" t="s">
        <v>285</v>
      </c>
      <c r="BJ6" s="198" t="s">
        <v>134</v>
      </c>
      <c r="BK6" s="198" t="s">
        <v>136</v>
      </c>
    </row>
    <row r="7" spans="1:63" ht="10.5" x14ac:dyDescent="0.25">
      <c r="A7" s="8" t="str">
        <f t="shared" ref="A7:A54" ca="1" si="0">CONCATENATE(INDIRECT("Roster!B"&amp;ROW(A$7)+MOD(ROW(A7)-7,24)),", ",INDIRECT("Roster!a"&amp;ROW(A$7)+MOD(ROW(A7)-7,24)))</f>
        <v>Landon Butler, 1</v>
      </c>
      <c r="B7" s="8" t="str">
        <f>Roster!$B$1</f>
        <v>Upton</v>
      </c>
      <c r="C7" s="8" t="str">
        <f t="shared" ref="C7:C54" ca="1" si="1">INDIRECT("'game1 ("&amp;$AD7&amp;")'!$b$3")</f>
        <v>Ten Sleep</v>
      </c>
      <c r="D7" s="10">
        <f t="shared" ref="D7:D54" ca="1" si="2">INDIRECT("'game1 ("&amp;$AD7&amp;")'!$m$4")</f>
        <v>44904</v>
      </c>
      <c r="E7" s="8">
        <f t="shared" ref="E7:E70" ca="1" si="3">INDIRECT("'game1 ("&amp;$AD7&amp;")'!"&amp;ADDRESS(ROW(A$7)+MOD(ROW(A7)-7,24),COLUMN(D7)))</f>
        <v>1</v>
      </c>
      <c r="F7" s="8">
        <f t="shared" ref="F7:F70" ca="1" si="4">IF(INDIRECT("'game1 ("&amp;$AD7&amp;")'!"&amp;ADDRESS(ROW(B$7)+MOD(ROW(B7)-7,24),COLUMN(C7)))="s",1,0)</f>
        <v>0</v>
      </c>
      <c r="G7" s="8">
        <f t="shared" ref="G7:G70" ca="1" si="5">INDIRECT("'game1 ("&amp;$AD7&amp;")'!"&amp;ADDRESS(ROW(B$7)+MOD(ROW(B7)-7,24),COLUMN(E7)))</f>
        <v>3</v>
      </c>
      <c r="H7" s="8">
        <f t="shared" ref="H7:H70" ca="1" si="6">INDIRECT("'game1 ("&amp;$AD7&amp;")'!"&amp;ADDRESS(ROW(B$7)+MOD(ROW(B7)-7,24),COLUMN(F7)))</f>
        <v>1</v>
      </c>
      <c r="I7" s="8">
        <f t="shared" ref="I7:I70" ca="1" si="7">INDIRECT("'game1 ("&amp;$AD7&amp;")'!"&amp;ADDRESS(ROW(C$7)+MOD(ROW(C7)-7,24),COLUMN(G7)))</f>
        <v>1</v>
      </c>
      <c r="J7" s="8">
        <f t="shared" ref="J7:J70" ca="1" si="8">INDIRECT("'game1 ("&amp;$AD7&amp;")'!"&amp;ADDRESS(ROW(D$7)+MOD(ROW(D7)-7,24),COLUMN(H7)))</f>
        <v>0</v>
      </c>
      <c r="K7" s="8">
        <f t="shared" ref="K7:K70" ca="1" si="9">INDIRECT("'game1 ("&amp;$AD7&amp;")'!"&amp;ADDRESS(ROW(E$7)+MOD(ROW(E7)-7,24),COLUMN(I7)))</f>
        <v>0</v>
      </c>
      <c r="L7" s="8">
        <f t="shared" ref="L7:L54" ca="1" si="10">INDIRECT("'game1 ("&amp;$AD7&amp;")'!"&amp;ADDRESS(ROW(G$7)+MOD(ROW(G7)-7,24),COLUMN(J7)))</f>
        <v>0</v>
      </c>
      <c r="M7" s="8">
        <f t="shared" ref="M7:M54" ca="1" si="11">INDIRECT("'game1 ("&amp;$AD7&amp;")'!"&amp;ADDRESS(ROW(H$7)+MOD(ROW(H7)-7,24),COLUMN(K7)))</f>
        <v>0</v>
      </c>
      <c r="N7" s="8">
        <f t="shared" ref="N7:N54" ca="1" si="12">INDIRECT("'game1 ("&amp;$AD7&amp;")'!"&amp;ADDRESS(ROW(I$7)+MOD(ROW(I7)-7,24),COLUMN(L7)))</f>
        <v>0</v>
      </c>
      <c r="O7" s="8">
        <f t="shared" ref="O7:O54" ca="1" si="13">INDIRECT("'game1 ("&amp;$AD7&amp;")'!"&amp;ADDRESS(ROW(J$7)+MOD(ROW(J7)-7,24),COLUMN(M7)))</f>
        <v>0</v>
      </c>
      <c r="P7" s="8">
        <f t="shared" ref="P7:P54" ca="1" si="14">INDIRECT("'game1 ("&amp;$AD7&amp;")'!"&amp;ADDRESS(ROW(K$7)+MOD(ROW(K7)-7,24),COLUMN(N7)))</f>
        <v>0</v>
      </c>
      <c r="Q7" s="8">
        <f t="shared" ref="Q7:Q54" ca="1" si="15">INDIRECT("'game1 ("&amp;$AD7&amp;")'!"&amp;ADDRESS(ROW(L$7)+MOD(ROW(L7)-7,24),COLUMN(O7)))</f>
        <v>0</v>
      </c>
      <c r="R7" s="8">
        <f t="shared" ref="R7:R54" ca="1" si="16">INDIRECT("'game1 ("&amp;$AD7&amp;")'!"&amp;ADDRESS(ROW(M$7)+MOD(ROW(M7)-7,24),COLUMN(P7)))</f>
        <v>0</v>
      </c>
      <c r="S7" s="8">
        <f t="shared" ref="S7:S54" ca="1" si="17">INDIRECT("'game1 ("&amp;$AD7&amp;")'!"&amp;ADDRESS(ROW(N$7)+MOD(ROW(N7)-7,24),COLUMN(Q7)))</f>
        <v>0</v>
      </c>
      <c r="T7" s="8">
        <f t="shared" ref="T7:T54" ca="1" si="18">INDIRECT("'game1 ("&amp;$AD7&amp;")'!"&amp;ADDRESS(ROW(O$7)+MOD(ROW(O7)-7,24),COLUMN(R7)))</f>
        <v>0</v>
      </c>
      <c r="U7" s="8">
        <f t="shared" ref="U7:U54" ca="1" si="19">INDIRECT("'game1 ("&amp;$AD7&amp;")'!"&amp;ADDRESS(ROW(P$7)+MOD(ROW(P7)-7,24),COLUMN(S7)))</f>
        <v>0</v>
      </c>
      <c r="V7" s="8">
        <f t="shared" ref="V7:V54" ca="1" si="20">INDIRECT("'game1 ("&amp;$AD7&amp;")'!"&amp;ADDRESS(ROW(Q$7)+MOD(ROW(Q7)-7,24),COLUMN(T7)))</f>
        <v>3</v>
      </c>
      <c r="W7" s="11">
        <f t="shared" ref="W7:W54" ca="1" si="21">INDIRECT("'game1 ("&amp;$AD7&amp;")'!"&amp;ADDRESS(ROW(R$7)+MOD(ROW(R7)-7,24),COLUMN(U7)))</f>
        <v>1</v>
      </c>
      <c r="X7" s="11" t="str">
        <f t="shared" ref="X7:X54" ca="1" si="22">INDIRECT("'game1 ("&amp;$AD7&amp;")'!"&amp;ADDRESS(ROW(S$7)+MOD(ROW(S7)-7,24),COLUMN(V7)))</f>
        <v/>
      </c>
      <c r="Y7" s="11" t="str">
        <f t="shared" ref="Y7:Y54" ca="1" si="23">INDIRECT("'game1 ("&amp;$AD7&amp;")'!"&amp;ADDRESS(ROW(T$7)+MOD(ROW(T7)-7,24),COLUMN(W7)))</f>
        <v/>
      </c>
      <c r="Z7" s="11">
        <f t="shared" ref="Z7:Z54" ca="1" si="24">INDIRECT("'game1 ("&amp;$AD7&amp;")'!"&amp;ADDRESS(ROW(U$7)+MOD(ROW(U7)-7,24),COLUMN(X7)))</f>
        <v>1</v>
      </c>
      <c r="AA7" s="11">
        <f t="shared" ref="AA7:AA54" ca="1" si="25">INDIRECT("'game1 ("&amp;$AD7&amp;")'!"&amp;ADDRESS(ROW(V$7)+MOD(ROW(V7)-7,24),COLUMN(Y7)))</f>
        <v>1.5</v>
      </c>
      <c r="AB7" s="47">
        <f ca="1">PlayerGameData[[#This Row],[3FGA]]+PlayerGameData[[#This Row],[2FGA]]</f>
        <v>1</v>
      </c>
      <c r="AC7" s="47">
        <f ca="1">PlayerGameData[[#This Row],[OFF REB]]+PlayerGameData[[#This Row],[DEF REB]]</f>
        <v>0</v>
      </c>
      <c r="AD7" s="8">
        <f t="shared" ref="AD7:AD70" si="26">INT((ROW(A7)-7)/24)+1</f>
        <v>1</v>
      </c>
      <c r="AE7" s="8" t="str">
        <f t="shared" ref="AE7:AE70" ca="1" si="27">CONCATENATE(A7," - ",C7," ",MONTH(D7),"/",DAY(D7),"/",YEAR(D7))</f>
        <v>Landon Butler, 1 - Ten Sleep 12/9/2022</v>
      </c>
      <c r="AF7" s="8" t="str">
        <f t="shared" ref="AF7:AF54" ca="1" si="28">IFERROR(INDIRECT("'game1 ("&amp;$AD7&amp;")'!$a$2"),"")</f>
        <v/>
      </c>
      <c r="AG7" s="8" t="str">
        <f ca="1">IFERROR(IF(C7=0,"",IF(AND(VLOOKUP(PlayerGameData[[#This Row],[Opponent]],WYTeamInfo,2,FALSE)=Roster!$D$1,VLOOKUP(PlayerGameData[[#This Row],[Opponent]],WYTeamInfo,3,FALSE)=Roster!$D$2),"SR","")),"")</f>
        <v/>
      </c>
      <c r="AH7" s="8" t="str">
        <f>CONCATENATE(Roster!$D$1," ",Roster!$D$5)</f>
        <v>1A BB</v>
      </c>
      <c r="AI7" s="8" t="str">
        <f t="shared" ref="AI7:AI54" ca="1" si="29">IF($C7&lt;&gt;0,CONCATENATE($B7," - ",$C7," ",MONTH($D7),"/",DAY($D7),"/",YEAR($D7)),"Blank")</f>
        <v>Upton - Ten Sleep 12/9/2022</v>
      </c>
      <c r="AJ7" s="8">
        <f ca="1">IFERROR(VLOOKUP(PlayerGameData[[#This Row],[School, Opponent,Game'#]],Table3[],2,FALSE),0)</f>
        <v>1</v>
      </c>
      <c r="AK7" s="8">
        <f ca="1">IF(PlayerGameData[[#This Row],[Visible]]=1,1,1000)</f>
        <v>1</v>
      </c>
      <c r="AL7" s="8">
        <f ca="1">RANK(PlayerGameData[[#This Row],[TL PTS]],PlayerGameData[TL PTS],0)+PlayerGameData[[#This Row],[VisibleOrder]]</f>
        <v>135</v>
      </c>
      <c r="AM7" s="8">
        <f ca="1">IF(COUNTIF(PlayerGameData[PointOrder],PlayerGameData[[#This Row],[PointOrder]])&gt;1,RANK(PlayerGameData[[#This Row],[FGA]],PlayerGameData[FGA],0)/100,0)+PlayerGameData[[#This Row],[PointOrder]]</f>
        <v>136.82</v>
      </c>
      <c r="AN7" s="8">
        <f ca="1">RANK(PlayerGameData[[#This Row],[PointTieBreak]],PlayerGameData[PointTieBreak],1)</f>
        <v>145</v>
      </c>
      <c r="AO7" s="8">
        <f ca="1">RANK(PlayerGameData[[#This Row],[REB]],PlayerGameData[REB],0)+PlayerGameData[[#This Row],[VisibleOrder]]</f>
        <v>192</v>
      </c>
      <c r="AP7" s="8">
        <f ca="1">IF(COUNTIF(PlayerGameData[REBOrder],PlayerGameData[[#This Row],[REBOrder]])&gt;1,PlayerGameData[[#This Row],[PointRank]]/100+PlayerGameData[[#This Row],[REBOrder]],PlayerGameData[[#This Row],[REBOrder]])</f>
        <v>193.45</v>
      </c>
      <c r="AQ7" s="8">
        <f ca="1">RANK(PlayerGameData[[#This Row],[REBTieBreak]],PlayerGameData[REBTieBreak],1)</f>
        <v>199</v>
      </c>
      <c r="AR7" s="8">
        <f ca="1">RANK(PlayerGameData[[#This Row],[AST]],PlayerGameData[AST],0)+PlayerGameData[[#This Row],[VisibleOrder]]</f>
        <v>158</v>
      </c>
      <c r="AS7" s="8">
        <f ca="1">IF(COUNTIF(PlayerGameData[ASTOrder],PlayerGameData[[#This Row],[ASTOrder]])&gt;1,PlayerGameData[[#This Row],[PointRank]]/100+PlayerGameData[[#This Row],[ASTOrder]],PlayerGameData[[#This Row],[ASTOrder]])</f>
        <v>159.44999999999999</v>
      </c>
      <c r="AT7" s="8">
        <f ca="1">RANK(PlayerGameData[[#This Row],[ASTTieBreak]],PlayerGameData[ASTTieBreak],1)</f>
        <v>180</v>
      </c>
      <c r="AU7" s="8">
        <f ca="1">RANK(PlayerGameData[[#This Row],[STL]],PlayerGameData[STL],0)+PlayerGameData[[#This Row],[VisibleOrder]]</f>
        <v>143</v>
      </c>
      <c r="AV7" s="8">
        <f ca="1">IF(COUNTIF(PlayerGameData[STLOrder],PlayerGameData[[#This Row],[STLOrder]])&gt;1,PlayerGameData[[#This Row],[PointRank]]/100+PlayerGameData[[#This Row],[STLOrder]],PlayerGameData[[#This Row],[STLOrder]])</f>
        <v>144.44999999999999</v>
      </c>
      <c r="AW7" s="8">
        <f ca="1">RANK(PlayerGameData[[#This Row],[STLTieBreak]],PlayerGameData[STLTieBreak],1)</f>
        <v>172</v>
      </c>
      <c r="AX7" s="8">
        <f ca="1">RANK(PlayerGameData[[#This Row],[BLK]],PlayerGameData[BLK],0)+PlayerGameData[[#This Row],[VisibleOrder]]</f>
        <v>32</v>
      </c>
      <c r="AY7" s="8">
        <f ca="1">IF(COUNTIF(PlayerGameData[BLKOrder],PlayerGameData[[#This Row],[BLKOrder]])&gt;1,PlayerGameData[[#This Row],[PointRank]]/100+PlayerGameData[[#This Row],[BLKOrder]],PlayerGameData[[#This Row],[BLKOrder]])</f>
        <v>33.450000000000003</v>
      </c>
      <c r="AZ7" s="8">
        <f ca="1">RANK(PlayerGameData[[#This Row],[BLKTieBreak]],PlayerGameData[BLKTieBreak],1)</f>
        <v>149</v>
      </c>
      <c r="BA7" s="11">
        <f ca="1">IFERROR(IF(PlayerGameData[[#This Row],[FGA]]&gt;$AA$5,PlayerGameData[[#This Row],[FG%*]],PlayerGameData[[#This Row],[FG%*]]*-1),-2)</f>
        <v>-1</v>
      </c>
      <c r="BB7" s="8">
        <f ca="1">RANK(PlayerGameData[[#This Row],[EligFG]],PlayerGameData[EligFG],0)+PlayerGameData[[#This Row],[VisibleOrder]]</f>
        <v>203</v>
      </c>
      <c r="BC7" s="8">
        <f ca="1">IF(COUNTIF(PlayerGameData[EligFGOrder],PlayerGameData[[#This Row],[EligFGOrder]])&gt;1,PlayerGameData[[#This Row],[PointRank]]/100+PlayerGameData[[#This Row],[EligFGOrder]],PlayerGameData[[#This Row],[EligFGOrder]])</f>
        <v>204.45</v>
      </c>
      <c r="BD7" s="8">
        <f ca="1">RANK(PlayerGameData[[#This Row],[EligFGTieBreak]],PlayerGameData[EligFGTieBreak],1)</f>
        <v>206</v>
      </c>
      <c r="BE7" s="8" t="str">
        <f>Roster!$D$3</f>
        <v>East</v>
      </c>
      <c r="BF7" s="8" t="str">
        <f>Roster!$D$2</f>
        <v>Northeast</v>
      </c>
      <c r="BG7" s="8" t="str">
        <f>Roster!$D$4</f>
        <v>North</v>
      </c>
      <c r="BH7" s="8">
        <f ca="1">IFERROR(VLOOKUP(CONCATENATE(PlayerGameData[[#This Row],[Opponent]]," ",MONTH(PlayerGameData[[#This Row],[Date]]),"/",DAY(PlayerGameData[[#This Row],[Date]]),"/",YEAR(PlayerGameData[[#This Row],[Date]])),Table35[],2,FALSE),0)</f>
        <v>1</v>
      </c>
      <c r="BI7" s="8">
        <f ca="1">IF(PlayerGameData[[#This Row],[Visible]]=1,1,1000)</f>
        <v>1</v>
      </c>
      <c r="BJ7" s="197" t="e">
        <f ca="1">_xlfn.MAXIFS(TeamGameData[Win],TeamGameData[School, Opponent,Game'#],PlayerGameData[[#This Row],[School, Opponent,Game'#]])</f>
        <v>#NAME?</v>
      </c>
      <c r="BK7" s="197" t="e">
        <f ca="1">_xlfn.MAXIFS(TeamGameData[Loss],TeamGameData[School, Opponent,Game'#],PlayerGameData[[#This Row],[School, Opponent,Game'#]])</f>
        <v>#NAME?</v>
      </c>
    </row>
    <row r="8" spans="1:63" ht="10.5" x14ac:dyDescent="0.25">
      <c r="A8" s="8" t="str">
        <f t="shared" ca="1" si="0"/>
        <v>Logan Timberman, 3</v>
      </c>
      <c r="B8" s="8" t="str">
        <f>Roster!$B$1</f>
        <v>Upton</v>
      </c>
      <c r="C8" s="8" t="str">
        <f t="shared" ca="1" si="1"/>
        <v>Ten Sleep</v>
      </c>
      <c r="D8" s="10">
        <f t="shared" ca="1" si="2"/>
        <v>44904</v>
      </c>
      <c r="E8" s="8">
        <f t="shared" ca="1" si="3"/>
        <v>1</v>
      </c>
      <c r="F8" s="8">
        <f t="shared" ca="1" si="4"/>
        <v>1</v>
      </c>
      <c r="G8" s="8">
        <f t="shared" ca="1" si="5"/>
        <v>18</v>
      </c>
      <c r="H8" s="8">
        <f t="shared" ca="1" si="6"/>
        <v>0</v>
      </c>
      <c r="I8" s="8">
        <f t="shared" ca="1" si="7"/>
        <v>2</v>
      </c>
      <c r="J8" s="8">
        <f t="shared" ca="1" si="8"/>
        <v>2</v>
      </c>
      <c r="K8" s="8">
        <f t="shared" ca="1" si="9"/>
        <v>5</v>
      </c>
      <c r="L8" s="8">
        <f t="shared" ca="1" si="10"/>
        <v>0</v>
      </c>
      <c r="M8" s="8">
        <f t="shared" ca="1" si="11"/>
        <v>0</v>
      </c>
      <c r="N8" s="8">
        <f t="shared" ca="1" si="12"/>
        <v>2</v>
      </c>
      <c r="O8" s="8">
        <f t="shared" ca="1" si="13"/>
        <v>1</v>
      </c>
      <c r="P8" s="8">
        <f t="shared" ca="1" si="14"/>
        <v>2</v>
      </c>
      <c r="Q8" s="8">
        <f t="shared" ca="1" si="15"/>
        <v>2</v>
      </c>
      <c r="R8" s="8">
        <f t="shared" ca="1" si="16"/>
        <v>0</v>
      </c>
      <c r="S8" s="8">
        <f t="shared" ca="1" si="17"/>
        <v>3</v>
      </c>
      <c r="T8" s="8">
        <f t="shared" ca="1" si="18"/>
        <v>3</v>
      </c>
      <c r="U8" s="8">
        <f t="shared" ca="1" si="19"/>
        <v>0</v>
      </c>
      <c r="V8" s="8">
        <f t="shared" ca="1" si="20"/>
        <v>4</v>
      </c>
      <c r="W8" s="11">
        <f t="shared" ca="1" si="21"/>
        <v>0</v>
      </c>
      <c r="X8" s="11">
        <f t="shared" ca="1" si="22"/>
        <v>0.4</v>
      </c>
      <c r="Y8" s="11" t="str">
        <f t="shared" ca="1" si="23"/>
        <v/>
      </c>
      <c r="Z8" s="11">
        <f t="shared" ca="1" si="24"/>
        <v>0.2857142857142857</v>
      </c>
      <c r="AA8" s="11">
        <f t="shared" ca="1" si="25"/>
        <v>0.2857142857142857</v>
      </c>
      <c r="AB8" s="47">
        <f ca="1">PlayerGameData[[#This Row],[3FGA]]+PlayerGameData[[#This Row],[2FGA]]</f>
        <v>7</v>
      </c>
      <c r="AC8" s="47">
        <f ca="1">PlayerGameData[[#This Row],[OFF REB]]+PlayerGameData[[#This Row],[DEF REB]]</f>
        <v>3</v>
      </c>
      <c r="AD8" s="8">
        <f t="shared" si="26"/>
        <v>1</v>
      </c>
      <c r="AE8" s="8" t="str">
        <f t="shared" ca="1" si="27"/>
        <v>Logan Timberman, 3 - Ten Sleep 12/9/2022</v>
      </c>
      <c r="AF8" s="8" t="str">
        <f t="shared" ca="1" si="28"/>
        <v/>
      </c>
      <c r="AG8" s="8" t="str">
        <f ca="1">IFERROR(IF(C8=0,"",IF(AND(VLOOKUP(PlayerGameData[[#This Row],[Opponent]],WYTeamInfo,2,FALSE)=Roster!$D$1,VLOOKUP(PlayerGameData[[#This Row],[Opponent]],WYTeamInfo,3,FALSE)=Roster!$D$2),"SR","")),"")</f>
        <v/>
      </c>
      <c r="AH8" s="8" t="str">
        <f>CONCATENATE(Roster!$D$1," ",Roster!$D$5)</f>
        <v>1A BB</v>
      </c>
      <c r="AI8" s="8" t="str">
        <f t="shared" ca="1" si="29"/>
        <v>Upton - Ten Sleep 12/9/2022</v>
      </c>
      <c r="AJ8" s="8">
        <f ca="1">IFERROR(VLOOKUP(PlayerGameData[[#This Row],[School, Opponent,Game'#]],Table3[],2,FALSE),0)</f>
        <v>1</v>
      </c>
      <c r="AK8" s="8">
        <f ca="1">IF(PlayerGameData[[#This Row],[Visible]]=1,1,1000)</f>
        <v>1</v>
      </c>
      <c r="AL8" s="8">
        <f ca="1">RANK(PlayerGameData[[#This Row],[TL PTS]],PlayerGameData[TL PTS],0)+PlayerGameData[[#This Row],[VisibleOrder]]</f>
        <v>118</v>
      </c>
      <c r="AM8" s="8">
        <f ca="1">IF(COUNTIF(PlayerGameData[PointOrder],PlayerGameData[[#This Row],[PointOrder]])&gt;1,RANK(PlayerGameData[[#This Row],[FGA]],PlayerGameData[FGA],0)/100,0)+PlayerGameData[[#This Row],[PointOrder]]</f>
        <v>118.93</v>
      </c>
      <c r="AN8" s="8">
        <f ca="1">RANK(PlayerGameData[[#This Row],[PointTieBreak]],PlayerGameData[PointTieBreak],1)</f>
        <v>120</v>
      </c>
      <c r="AO8" s="8">
        <f ca="1">RANK(PlayerGameData[[#This Row],[REB]],PlayerGameData[REB],0)+PlayerGameData[[#This Row],[VisibleOrder]]</f>
        <v>108</v>
      </c>
      <c r="AP8" s="8">
        <f ca="1">IF(COUNTIF(PlayerGameData[REBOrder],PlayerGameData[[#This Row],[REBOrder]])&gt;1,PlayerGameData[[#This Row],[PointRank]]/100+PlayerGameData[[#This Row],[REBOrder]],PlayerGameData[[#This Row],[REBOrder]])</f>
        <v>109.2</v>
      </c>
      <c r="AQ8" s="8">
        <f ca="1">RANK(PlayerGameData[[#This Row],[REBTieBreak]],PlayerGameData[REBTieBreak],1)</f>
        <v>120</v>
      </c>
      <c r="AR8" s="8">
        <f ca="1">RANK(PlayerGameData[[#This Row],[AST]],PlayerGameData[AST],0)+PlayerGameData[[#This Row],[VisibleOrder]]</f>
        <v>69</v>
      </c>
      <c r="AS8" s="8">
        <f ca="1">IF(COUNTIF(PlayerGameData[ASTOrder],PlayerGameData[[#This Row],[ASTOrder]])&gt;1,PlayerGameData[[#This Row],[PointRank]]/100+PlayerGameData[[#This Row],[ASTOrder]],PlayerGameData[[#This Row],[ASTOrder]])</f>
        <v>70.2</v>
      </c>
      <c r="AT8" s="8">
        <f ca="1">RANK(PlayerGameData[[#This Row],[ASTTieBreak]],PlayerGameData[ASTTieBreak],1)</f>
        <v>98</v>
      </c>
      <c r="AU8" s="8">
        <f ca="1">RANK(PlayerGameData[[#This Row],[STL]],PlayerGameData[STL],0)+PlayerGameData[[#This Row],[VisibleOrder]]</f>
        <v>48</v>
      </c>
      <c r="AV8" s="8">
        <f ca="1">IF(COUNTIF(PlayerGameData[STLOrder],PlayerGameData[[#This Row],[STLOrder]])&gt;1,PlayerGameData[[#This Row],[PointRank]]/100+PlayerGameData[[#This Row],[STLOrder]],PlayerGameData[[#This Row],[STLOrder]])</f>
        <v>49.2</v>
      </c>
      <c r="AW8" s="8">
        <f ca="1">RANK(PlayerGameData[[#This Row],[STLTieBreak]],PlayerGameData[STLTieBreak],1)</f>
        <v>74</v>
      </c>
      <c r="AX8" s="8">
        <f ca="1">RANK(PlayerGameData[[#This Row],[BLK]],PlayerGameData[BLK],0)+PlayerGameData[[#This Row],[VisibleOrder]]</f>
        <v>32</v>
      </c>
      <c r="AY8" s="8">
        <f ca="1">IF(COUNTIF(PlayerGameData[BLKOrder],PlayerGameData[[#This Row],[BLKOrder]])&gt;1,PlayerGameData[[#This Row],[PointRank]]/100+PlayerGameData[[#This Row],[BLKOrder]],PlayerGameData[[#This Row],[BLKOrder]])</f>
        <v>33.200000000000003</v>
      </c>
      <c r="AZ8" s="8">
        <f ca="1">RANK(PlayerGameData[[#This Row],[BLKTieBreak]],PlayerGameData[BLKTieBreak],1)</f>
        <v>124</v>
      </c>
      <c r="BA8" s="11">
        <f ca="1">IFERROR(IF(PlayerGameData[[#This Row],[FGA]]&gt;$AA$5,PlayerGameData[[#This Row],[FG%*]],PlayerGameData[[#This Row],[FG%*]]*-1),-2)</f>
        <v>0.2857142857142857</v>
      </c>
      <c r="BB8" s="8">
        <f ca="1">RANK(PlayerGameData[[#This Row],[EligFG]],PlayerGameData[EligFG],0)+PlayerGameData[[#This Row],[VisibleOrder]]</f>
        <v>90</v>
      </c>
      <c r="BC8" s="8">
        <f ca="1">IF(COUNTIF(PlayerGameData[EligFGOrder],PlayerGameData[[#This Row],[EligFGOrder]])&gt;1,PlayerGameData[[#This Row],[PointRank]]/100+PlayerGameData[[#This Row],[EligFGOrder]],PlayerGameData[[#This Row],[EligFGOrder]])</f>
        <v>91.2</v>
      </c>
      <c r="BD8" s="8">
        <f ca="1">RANK(PlayerGameData[[#This Row],[EligFGTieBreak]],PlayerGameData[EligFGTieBreak],1)</f>
        <v>91</v>
      </c>
      <c r="BE8" s="8" t="str">
        <f>Roster!$D$3</f>
        <v>East</v>
      </c>
      <c r="BF8" s="8" t="str">
        <f>Roster!$D$2</f>
        <v>Northeast</v>
      </c>
      <c r="BG8" s="8" t="str">
        <f>Roster!$D$4</f>
        <v>North</v>
      </c>
      <c r="BH8" s="197">
        <f ca="1">IFERROR(VLOOKUP(CONCATENATE(PlayerGameData[[#This Row],[Opponent]]," ",MONTH(PlayerGameData[[#This Row],[Date]]),"/",DAY(PlayerGameData[[#This Row],[Date]]),"/",YEAR(PlayerGameData[[#This Row],[Date]])),Table35[],2,FALSE),0)</f>
        <v>1</v>
      </c>
      <c r="BI8" s="197">
        <f ca="1">IF(PlayerGameData[[#This Row],[Visible]]=1,1,1000)</f>
        <v>1</v>
      </c>
      <c r="BJ8" s="197" t="e">
        <f ca="1">_xlfn.MAXIFS(TeamGameData[Win],TeamGameData[School, Opponent,Game'#],PlayerGameData[[#This Row],[School, Opponent,Game'#]])</f>
        <v>#NAME?</v>
      </c>
      <c r="BK8" s="197" t="e">
        <f ca="1">_xlfn.MAXIFS(TeamGameData[Loss],TeamGameData[School, Opponent,Game'#],PlayerGameData[[#This Row],[School, Opponent,Game'#]])</f>
        <v>#NAME?</v>
      </c>
    </row>
    <row r="9" spans="1:63" ht="10.5" x14ac:dyDescent="0.25">
      <c r="A9" s="8" t="str">
        <f t="shared" ca="1" si="0"/>
        <v>Chase Mills, 5</v>
      </c>
      <c r="B9" s="8" t="str">
        <f>Roster!$B$1</f>
        <v>Upton</v>
      </c>
      <c r="C9" s="8" t="str">
        <f t="shared" ca="1" si="1"/>
        <v>Ten Sleep</v>
      </c>
      <c r="D9" s="10">
        <f t="shared" ca="1" si="2"/>
        <v>44904</v>
      </c>
      <c r="E9" s="8">
        <f t="shared" ca="1" si="3"/>
        <v>1</v>
      </c>
      <c r="F9" s="8">
        <f t="shared" ca="1" si="4"/>
        <v>1</v>
      </c>
      <c r="G9" s="8">
        <f t="shared" ca="1" si="5"/>
        <v>21</v>
      </c>
      <c r="H9" s="8">
        <f t="shared" ca="1" si="6"/>
        <v>2</v>
      </c>
      <c r="I9" s="8">
        <f t="shared" ca="1" si="7"/>
        <v>4</v>
      </c>
      <c r="J9" s="8">
        <f t="shared" ca="1" si="8"/>
        <v>2</v>
      </c>
      <c r="K9" s="8">
        <f t="shared" ca="1" si="9"/>
        <v>3</v>
      </c>
      <c r="L9" s="8">
        <f t="shared" ca="1" si="10"/>
        <v>0</v>
      </c>
      <c r="M9" s="8">
        <f t="shared" ca="1" si="11"/>
        <v>0</v>
      </c>
      <c r="N9" s="8">
        <f t="shared" ca="1" si="12"/>
        <v>0</v>
      </c>
      <c r="O9" s="8">
        <f t="shared" ca="1" si="13"/>
        <v>2</v>
      </c>
      <c r="P9" s="8">
        <f t="shared" ca="1" si="14"/>
        <v>7</v>
      </c>
      <c r="Q9" s="8">
        <f t="shared" ca="1" si="15"/>
        <v>1</v>
      </c>
      <c r="R9" s="8">
        <f t="shared" ca="1" si="16"/>
        <v>0</v>
      </c>
      <c r="S9" s="8">
        <f t="shared" ca="1" si="17"/>
        <v>2</v>
      </c>
      <c r="T9" s="8">
        <f t="shared" ca="1" si="18"/>
        <v>0</v>
      </c>
      <c r="U9" s="8">
        <f t="shared" ca="1" si="19"/>
        <v>0</v>
      </c>
      <c r="V9" s="8">
        <f t="shared" ca="1" si="20"/>
        <v>10</v>
      </c>
      <c r="W9" s="11">
        <f t="shared" ca="1" si="21"/>
        <v>0.5</v>
      </c>
      <c r="X9" s="11">
        <f t="shared" ca="1" si="22"/>
        <v>0.66666666666666663</v>
      </c>
      <c r="Y9" s="11" t="str">
        <f t="shared" ca="1" si="23"/>
        <v/>
      </c>
      <c r="Z9" s="11">
        <f t="shared" ca="1" si="24"/>
        <v>0.5714285714285714</v>
      </c>
      <c r="AA9" s="11">
        <f t="shared" ca="1" si="25"/>
        <v>0.7142857142857143</v>
      </c>
      <c r="AB9" s="47">
        <f ca="1">PlayerGameData[[#This Row],[3FGA]]+PlayerGameData[[#This Row],[2FGA]]</f>
        <v>7</v>
      </c>
      <c r="AC9" s="47">
        <f ca="1">PlayerGameData[[#This Row],[OFF REB]]+PlayerGameData[[#This Row],[DEF REB]]</f>
        <v>2</v>
      </c>
      <c r="AD9" s="8">
        <f t="shared" si="26"/>
        <v>1</v>
      </c>
      <c r="AE9" s="8" t="str">
        <f t="shared" ca="1" si="27"/>
        <v>Chase Mills, 5 - Ten Sleep 12/9/2022</v>
      </c>
      <c r="AF9" s="8" t="str">
        <f t="shared" ca="1" si="28"/>
        <v/>
      </c>
      <c r="AG9" s="8" t="str">
        <f ca="1">IFERROR(IF(C9=0,"",IF(AND(VLOOKUP(PlayerGameData[[#This Row],[Opponent]],WYTeamInfo,2,FALSE)=Roster!$D$1,VLOOKUP(PlayerGameData[[#This Row],[Opponent]],WYTeamInfo,3,FALSE)=Roster!$D$2),"SR","")),"")</f>
        <v/>
      </c>
      <c r="AH9" s="8" t="str">
        <f>CONCATENATE(Roster!$D$1," ",Roster!$D$5)</f>
        <v>1A BB</v>
      </c>
      <c r="AI9" s="8" t="str">
        <f t="shared" ca="1" si="29"/>
        <v>Upton - Ten Sleep 12/9/2022</v>
      </c>
      <c r="AJ9" s="8">
        <f ca="1">IFERROR(VLOOKUP(PlayerGameData[[#This Row],[School, Opponent,Game'#]],Table3[],2,FALSE),0)</f>
        <v>1</v>
      </c>
      <c r="AK9" s="8">
        <f ca="1">IF(PlayerGameData[[#This Row],[Visible]]=1,1,1000)</f>
        <v>1</v>
      </c>
      <c r="AL9" s="8">
        <f ca="1">RANK(PlayerGameData[[#This Row],[TL PTS]],PlayerGameData[TL PTS],0)+PlayerGameData[[#This Row],[VisibleOrder]]</f>
        <v>66</v>
      </c>
      <c r="AM9" s="8">
        <f ca="1">IF(COUNTIF(PlayerGameData[PointOrder],PlayerGameData[[#This Row],[PointOrder]])&gt;1,RANK(PlayerGameData[[#This Row],[FGA]],PlayerGameData[FGA],0)/100,0)+PlayerGameData[[#This Row],[PointOrder]]</f>
        <v>66.930000000000007</v>
      </c>
      <c r="AN9" s="8">
        <f ca="1">RANK(PlayerGameData[[#This Row],[PointTieBreak]],PlayerGameData[PointTieBreak],1)</f>
        <v>72</v>
      </c>
      <c r="AO9" s="8">
        <f ca="1">RANK(PlayerGameData[[#This Row],[REB]],PlayerGameData[REB],0)+PlayerGameData[[#This Row],[VisibleOrder]]</f>
        <v>137</v>
      </c>
      <c r="AP9" s="8">
        <f ca="1">IF(COUNTIF(PlayerGameData[REBOrder],PlayerGameData[[#This Row],[REBOrder]])&gt;1,PlayerGameData[[#This Row],[PointRank]]/100+PlayerGameData[[#This Row],[REBOrder]],PlayerGameData[[#This Row],[REBOrder]])</f>
        <v>137.72</v>
      </c>
      <c r="AQ9" s="8">
        <f ca="1">RANK(PlayerGameData[[#This Row],[REBTieBreak]],PlayerGameData[REBTieBreak],1)</f>
        <v>141</v>
      </c>
      <c r="AR9" s="8">
        <f ca="1">RANK(PlayerGameData[[#This Row],[AST]],PlayerGameData[AST],0)+PlayerGameData[[#This Row],[VisibleOrder]]</f>
        <v>4</v>
      </c>
      <c r="AS9" s="8">
        <f ca="1">IF(COUNTIF(PlayerGameData[ASTOrder],PlayerGameData[[#This Row],[ASTOrder]])&gt;1,PlayerGameData[[#This Row],[PointRank]]/100+PlayerGameData[[#This Row],[ASTOrder]],PlayerGameData[[#This Row],[ASTOrder]])</f>
        <v>4.72</v>
      </c>
      <c r="AT9" s="8">
        <f ca="1">RANK(PlayerGameData[[#This Row],[ASTTieBreak]],PlayerGameData[ASTTieBreak],1)</f>
        <v>5</v>
      </c>
      <c r="AU9" s="8">
        <f ca="1">RANK(PlayerGameData[[#This Row],[STL]],PlayerGameData[STL],0)+PlayerGameData[[#This Row],[VisibleOrder]]</f>
        <v>84</v>
      </c>
      <c r="AV9" s="8">
        <f ca="1">IF(COUNTIF(PlayerGameData[STLOrder],PlayerGameData[[#This Row],[STLOrder]])&gt;1,PlayerGameData[[#This Row],[PointRank]]/100+PlayerGameData[[#This Row],[STLOrder]],PlayerGameData[[#This Row],[STLOrder]])</f>
        <v>84.72</v>
      </c>
      <c r="AW9" s="8">
        <f ca="1">RANK(PlayerGameData[[#This Row],[STLTieBreak]],PlayerGameData[STLTieBreak],1)</f>
        <v>97</v>
      </c>
      <c r="AX9" s="8">
        <f ca="1">RANK(PlayerGameData[[#This Row],[BLK]],PlayerGameData[BLK],0)+PlayerGameData[[#This Row],[VisibleOrder]]</f>
        <v>32</v>
      </c>
      <c r="AY9" s="8">
        <f ca="1">IF(COUNTIF(PlayerGameData[BLKOrder],PlayerGameData[[#This Row],[BLKOrder]])&gt;1,PlayerGameData[[#This Row],[PointRank]]/100+PlayerGameData[[#This Row],[BLKOrder]],PlayerGameData[[#This Row],[BLKOrder]])</f>
        <v>32.72</v>
      </c>
      <c r="AZ9" s="8">
        <f ca="1">RANK(PlayerGameData[[#This Row],[BLKTieBreak]],PlayerGameData[BLKTieBreak],1)</f>
        <v>89</v>
      </c>
      <c r="BA9" s="11">
        <f ca="1">IFERROR(IF(PlayerGameData[[#This Row],[FGA]]&gt;$AA$5,PlayerGameData[[#This Row],[FG%*]],PlayerGameData[[#This Row],[FG%*]]*-1),-2)</f>
        <v>0.5714285714285714</v>
      </c>
      <c r="BB9" s="8">
        <f ca="1">RANK(PlayerGameData[[#This Row],[EligFG]],PlayerGameData[EligFG],0)+PlayerGameData[[#This Row],[VisibleOrder]]</f>
        <v>27</v>
      </c>
      <c r="BC9" s="8">
        <f ca="1">IF(COUNTIF(PlayerGameData[EligFGOrder],PlayerGameData[[#This Row],[EligFGOrder]])&gt;1,PlayerGameData[[#This Row],[PointRank]]/100+PlayerGameData[[#This Row],[EligFGOrder]],PlayerGameData[[#This Row],[EligFGOrder]])</f>
        <v>27.72</v>
      </c>
      <c r="BD9" s="8">
        <f ca="1">RANK(PlayerGameData[[#This Row],[EligFGTieBreak]],PlayerGameData[EligFGTieBreak],1)</f>
        <v>28</v>
      </c>
      <c r="BE9" s="8" t="str">
        <f>Roster!$D$3</f>
        <v>East</v>
      </c>
      <c r="BF9" s="8" t="str">
        <f>Roster!$D$2</f>
        <v>Northeast</v>
      </c>
      <c r="BG9" s="8" t="str">
        <f>Roster!$D$4</f>
        <v>North</v>
      </c>
      <c r="BH9" s="197">
        <f ca="1">IFERROR(VLOOKUP(CONCATENATE(PlayerGameData[[#This Row],[Opponent]]," ",MONTH(PlayerGameData[[#This Row],[Date]]),"/",DAY(PlayerGameData[[#This Row],[Date]]),"/",YEAR(PlayerGameData[[#This Row],[Date]])),Table35[],2,FALSE),0)</f>
        <v>1</v>
      </c>
      <c r="BI9" s="197">
        <f ca="1">IF(PlayerGameData[[#This Row],[Visible]]=1,1,1000)</f>
        <v>1</v>
      </c>
      <c r="BJ9" s="197" t="e">
        <f ca="1">_xlfn.MAXIFS(TeamGameData[Win],TeamGameData[School, Opponent,Game'#],PlayerGameData[[#This Row],[School, Opponent,Game'#]])</f>
        <v>#NAME?</v>
      </c>
      <c r="BK9" s="197" t="e">
        <f ca="1">_xlfn.MAXIFS(TeamGameData[Loss],TeamGameData[School, Opponent,Game'#],PlayerGameData[[#This Row],[School, Opponent,Game'#]])</f>
        <v>#NAME?</v>
      </c>
    </row>
    <row r="10" spans="1:63" ht="10.5" x14ac:dyDescent="0.25">
      <c r="A10" s="8" t="str">
        <f t="shared" ca="1" si="0"/>
        <v>Rhett Watt, 10</v>
      </c>
      <c r="B10" s="8" t="str">
        <f>Roster!$B$1</f>
        <v>Upton</v>
      </c>
      <c r="C10" s="8" t="str">
        <f t="shared" ca="1" si="1"/>
        <v>Ten Sleep</v>
      </c>
      <c r="D10" s="10">
        <f t="shared" ca="1" si="2"/>
        <v>44904</v>
      </c>
      <c r="E10" s="8">
        <f t="shared" ca="1" si="3"/>
        <v>1</v>
      </c>
      <c r="F10" s="8">
        <f t="shared" ca="1" si="4"/>
        <v>1</v>
      </c>
      <c r="G10" s="8">
        <f t="shared" ca="1" si="5"/>
        <v>23</v>
      </c>
      <c r="H10" s="8">
        <f t="shared" ca="1" si="6"/>
        <v>4</v>
      </c>
      <c r="I10" s="8">
        <f t="shared" ca="1" si="7"/>
        <v>10</v>
      </c>
      <c r="J10" s="8">
        <f t="shared" ca="1" si="8"/>
        <v>3</v>
      </c>
      <c r="K10" s="8">
        <f t="shared" ca="1" si="9"/>
        <v>6</v>
      </c>
      <c r="L10" s="8">
        <f t="shared" ca="1" si="10"/>
        <v>2</v>
      </c>
      <c r="M10" s="8">
        <f t="shared" ca="1" si="11"/>
        <v>6</v>
      </c>
      <c r="N10" s="8">
        <f t="shared" ca="1" si="12"/>
        <v>2</v>
      </c>
      <c r="O10" s="8">
        <f t="shared" ca="1" si="13"/>
        <v>2</v>
      </c>
      <c r="P10" s="8">
        <f t="shared" ca="1" si="14"/>
        <v>2</v>
      </c>
      <c r="Q10" s="8">
        <f t="shared" ca="1" si="15"/>
        <v>1</v>
      </c>
      <c r="R10" s="8">
        <f t="shared" ca="1" si="16"/>
        <v>0</v>
      </c>
      <c r="S10" s="8">
        <f t="shared" ca="1" si="17"/>
        <v>2</v>
      </c>
      <c r="T10" s="8">
        <f t="shared" ca="1" si="18"/>
        <v>2</v>
      </c>
      <c r="U10" s="8">
        <f t="shared" ca="1" si="19"/>
        <v>0</v>
      </c>
      <c r="V10" s="8">
        <f t="shared" ca="1" si="20"/>
        <v>20</v>
      </c>
      <c r="W10" s="11">
        <f t="shared" ca="1" si="21"/>
        <v>0.4</v>
      </c>
      <c r="X10" s="11">
        <f t="shared" ca="1" si="22"/>
        <v>0.5</v>
      </c>
      <c r="Y10" s="11">
        <f t="shared" ca="1" si="23"/>
        <v>0.33333333333333331</v>
      </c>
      <c r="Z10" s="11">
        <f t="shared" ca="1" si="24"/>
        <v>0.4375</v>
      </c>
      <c r="AA10" s="11">
        <f t="shared" ca="1" si="25"/>
        <v>0.5625</v>
      </c>
      <c r="AB10" s="47">
        <f ca="1">PlayerGameData[[#This Row],[3FGA]]+PlayerGameData[[#This Row],[2FGA]]</f>
        <v>16</v>
      </c>
      <c r="AC10" s="47">
        <f ca="1">PlayerGameData[[#This Row],[OFF REB]]+PlayerGameData[[#This Row],[DEF REB]]</f>
        <v>4</v>
      </c>
      <c r="AD10" s="8">
        <f t="shared" si="26"/>
        <v>1</v>
      </c>
      <c r="AE10" s="8" t="str">
        <f t="shared" ca="1" si="27"/>
        <v>Rhett Watt, 10 - Ten Sleep 12/9/2022</v>
      </c>
      <c r="AF10" s="8" t="str">
        <f t="shared" ca="1" si="28"/>
        <v/>
      </c>
      <c r="AG10" s="8" t="str">
        <f ca="1">IFERROR(IF(C10=0,"",IF(AND(VLOOKUP(PlayerGameData[[#This Row],[Opponent]],WYTeamInfo,2,FALSE)=Roster!$D$1,VLOOKUP(PlayerGameData[[#This Row],[Opponent]],WYTeamInfo,3,FALSE)=Roster!$D$2),"SR","")),"")</f>
        <v/>
      </c>
      <c r="AH10" s="8" t="str">
        <f>CONCATENATE(Roster!$D$1," ",Roster!$D$5)</f>
        <v>1A BB</v>
      </c>
      <c r="AI10" s="8" t="str">
        <f t="shared" ca="1" si="29"/>
        <v>Upton - Ten Sleep 12/9/2022</v>
      </c>
      <c r="AJ10" s="8">
        <f ca="1">IFERROR(VLOOKUP(PlayerGameData[[#This Row],[School, Opponent,Game'#]],Table3[],2,FALSE),0)</f>
        <v>1</v>
      </c>
      <c r="AK10" s="8">
        <f ca="1">IF(PlayerGameData[[#This Row],[Visible]]=1,1,1000)</f>
        <v>1</v>
      </c>
      <c r="AL10" s="8">
        <f ca="1">RANK(PlayerGameData[[#This Row],[TL PTS]],PlayerGameData[TL PTS],0)+PlayerGameData[[#This Row],[VisibleOrder]]</f>
        <v>9</v>
      </c>
      <c r="AM10" s="8">
        <f ca="1">IF(COUNTIF(PlayerGameData[PointOrder],PlayerGameData[[#This Row],[PointOrder]])&gt;1,RANK(PlayerGameData[[#This Row],[FGA]],PlayerGameData[FGA],0)/100,0)+PlayerGameData[[#This Row],[PointOrder]]</f>
        <v>9</v>
      </c>
      <c r="AN10" s="8">
        <f ca="1">RANK(PlayerGameData[[#This Row],[PointTieBreak]],PlayerGameData[PointTieBreak],1)</f>
        <v>8</v>
      </c>
      <c r="AO10" s="8">
        <f ca="1">RANK(PlayerGameData[[#This Row],[REB]],PlayerGameData[REB],0)+PlayerGameData[[#This Row],[VisibleOrder]]</f>
        <v>79</v>
      </c>
      <c r="AP10" s="8">
        <f ca="1">IF(COUNTIF(PlayerGameData[REBOrder],PlayerGameData[[#This Row],[REBOrder]])&gt;1,PlayerGameData[[#This Row],[PointRank]]/100+PlayerGameData[[#This Row],[REBOrder]],PlayerGameData[[#This Row],[REBOrder]])</f>
        <v>79.08</v>
      </c>
      <c r="AQ10" s="8">
        <f ca="1">RANK(PlayerGameData[[#This Row],[REBTieBreak]],PlayerGameData[REBTieBreak],1)</f>
        <v>78</v>
      </c>
      <c r="AR10" s="8">
        <f ca="1">RANK(PlayerGameData[[#This Row],[AST]],PlayerGameData[AST],0)+PlayerGameData[[#This Row],[VisibleOrder]]</f>
        <v>69</v>
      </c>
      <c r="AS10" s="8">
        <f ca="1">IF(COUNTIF(PlayerGameData[ASTOrder],PlayerGameData[[#This Row],[ASTOrder]])&gt;1,PlayerGameData[[#This Row],[PointRank]]/100+PlayerGameData[[#This Row],[ASTOrder]],PlayerGameData[[#This Row],[ASTOrder]])</f>
        <v>69.08</v>
      </c>
      <c r="AT10" s="8">
        <f ca="1">RANK(PlayerGameData[[#This Row],[ASTTieBreak]],PlayerGameData[ASTTieBreak],1)</f>
        <v>69</v>
      </c>
      <c r="AU10" s="8">
        <f ca="1">RANK(PlayerGameData[[#This Row],[STL]],PlayerGameData[STL],0)+PlayerGameData[[#This Row],[VisibleOrder]]</f>
        <v>84</v>
      </c>
      <c r="AV10" s="8">
        <f ca="1">IF(COUNTIF(PlayerGameData[STLOrder],PlayerGameData[[#This Row],[STLOrder]])&gt;1,PlayerGameData[[#This Row],[PointRank]]/100+PlayerGameData[[#This Row],[STLOrder]],PlayerGameData[[#This Row],[STLOrder]])</f>
        <v>84.08</v>
      </c>
      <c r="AW10" s="8">
        <f ca="1">RANK(PlayerGameData[[#This Row],[STLTieBreak]],PlayerGameData[STLTieBreak],1)</f>
        <v>83</v>
      </c>
      <c r="AX10" s="8">
        <f ca="1">RANK(PlayerGameData[[#This Row],[BLK]],PlayerGameData[BLK],0)+PlayerGameData[[#This Row],[VisibleOrder]]</f>
        <v>32</v>
      </c>
      <c r="AY10" s="8">
        <f ca="1">IF(COUNTIF(PlayerGameData[BLKOrder],PlayerGameData[[#This Row],[BLKOrder]])&gt;1,PlayerGameData[[#This Row],[PointRank]]/100+PlayerGameData[[#This Row],[BLKOrder]],PlayerGameData[[#This Row],[BLKOrder]])</f>
        <v>32.08</v>
      </c>
      <c r="AZ10" s="8">
        <f ca="1">RANK(PlayerGameData[[#This Row],[BLKTieBreak]],PlayerGameData[BLKTieBreak],1)</f>
        <v>37</v>
      </c>
      <c r="BA10" s="11">
        <f ca="1">IFERROR(IF(PlayerGameData[[#This Row],[FGA]]&gt;$AA$5,PlayerGameData[[#This Row],[FG%*]],PlayerGameData[[#This Row],[FG%*]]*-1),-2)</f>
        <v>0.4375</v>
      </c>
      <c r="BB10" s="8">
        <f ca="1">RANK(PlayerGameData[[#This Row],[EligFG]],PlayerGameData[EligFG],0)+PlayerGameData[[#This Row],[VisibleOrder]]</f>
        <v>61</v>
      </c>
      <c r="BC10" s="8">
        <f ca="1">IF(COUNTIF(PlayerGameData[EligFGOrder],PlayerGameData[[#This Row],[EligFGOrder]])&gt;1,PlayerGameData[[#This Row],[PointRank]]/100+PlayerGameData[[#This Row],[EligFGOrder]],PlayerGameData[[#This Row],[EligFGOrder]])</f>
        <v>61.08</v>
      </c>
      <c r="BD10" s="8">
        <f ca="1">RANK(PlayerGameData[[#This Row],[EligFGTieBreak]],PlayerGameData[EligFGTieBreak],1)</f>
        <v>60</v>
      </c>
      <c r="BE10" s="8" t="str">
        <f>Roster!$D$3</f>
        <v>East</v>
      </c>
      <c r="BF10" s="8" t="str">
        <f>Roster!$D$2</f>
        <v>Northeast</v>
      </c>
      <c r="BG10" s="8" t="str">
        <f>Roster!$D$4</f>
        <v>North</v>
      </c>
      <c r="BH10" s="197">
        <f ca="1">IFERROR(VLOOKUP(CONCATENATE(PlayerGameData[[#This Row],[Opponent]]," ",MONTH(PlayerGameData[[#This Row],[Date]]),"/",DAY(PlayerGameData[[#This Row],[Date]]),"/",YEAR(PlayerGameData[[#This Row],[Date]])),Table35[],2,FALSE),0)</f>
        <v>1</v>
      </c>
      <c r="BI10" s="197">
        <f ca="1">IF(PlayerGameData[[#This Row],[Visible]]=1,1,1000)</f>
        <v>1</v>
      </c>
      <c r="BJ10" s="197" t="e">
        <f ca="1">_xlfn.MAXIFS(TeamGameData[Win],TeamGameData[School, Opponent,Game'#],PlayerGameData[[#This Row],[School, Opponent,Game'#]])</f>
        <v>#NAME?</v>
      </c>
      <c r="BK10" s="197" t="e">
        <f ca="1">_xlfn.MAXIFS(TeamGameData[Loss],TeamGameData[School, Opponent,Game'#],PlayerGameData[[#This Row],[School, Opponent,Game'#]])</f>
        <v>#NAME?</v>
      </c>
    </row>
    <row r="11" spans="1:63" ht="10.5" x14ac:dyDescent="0.25">
      <c r="A11" s="8" t="str">
        <f t="shared" ca="1" si="0"/>
        <v>Keith Coburn, 11</v>
      </c>
      <c r="B11" s="8" t="str">
        <f>Roster!$B$1</f>
        <v>Upton</v>
      </c>
      <c r="C11" s="8" t="str">
        <f t="shared" ca="1" si="1"/>
        <v>Ten Sleep</v>
      </c>
      <c r="D11" s="10">
        <f t="shared" ca="1" si="2"/>
        <v>44904</v>
      </c>
      <c r="E11" s="8">
        <f t="shared" ca="1" si="3"/>
        <v>0</v>
      </c>
      <c r="F11" s="8">
        <f t="shared" ca="1" si="4"/>
        <v>0</v>
      </c>
      <c r="G11" s="8">
        <f t="shared" ca="1" si="5"/>
        <v>0</v>
      </c>
      <c r="H11" s="8">
        <f t="shared" ca="1" si="6"/>
        <v>0</v>
      </c>
      <c r="I11" s="8">
        <f t="shared" ca="1" si="7"/>
        <v>0</v>
      </c>
      <c r="J11" s="8">
        <f t="shared" ca="1" si="8"/>
        <v>0</v>
      </c>
      <c r="K11" s="8">
        <f t="shared" ca="1" si="9"/>
        <v>0</v>
      </c>
      <c r="L11" s="8">
        <f t="shared" ca="1" si="10"/>
        <v>0</v>
      </c>
      <c r="M11" s="8">
        <f t="shared" ca="1" si="11"/>
        <v>0</v>
      </c>
      <c r="N11" s="8">
        <f t="shared" ca="1" si="12"/>
        <v>0</v>
      </c>
      <c r="O11" s="8">
        <f t="shared" ca="1" si="13"/>
        <v>0</v>
      </c>
      <c r="P11" s="8">
        <f t="shared" ca="1" si="14"/>
        <v>0</v>
      </c>
      <c r="Q11" s="8">
        <f t="shared" ca="1" si="15"/>
        <v>0</v>
      </c>
      <c r="R11" s="8">
        <f t="shared" ca="1" si="16"/>
        <v>0</v>
      </c>
      <c r="S11" s="8">
        <f t="shared" ca="1" si="17"/>
        <v>0</v>
      </c>
      <c r="T11" s="8">
        <f t="shared" ca="1" si="18"/>
        <v>0</v>
      </c>
      <c r="U11" s="8">
        <f t="shared" ca="1" si="19"/>
        <v>0</v>
      </c>
      <c r="V11" s="8">
        <f t="shared" ca="1" si="20"/>
        <v>0</v>
      </c>
      <c r="W11" s="11" t="str">
        <f t="shared" ca="1" si="21"/>
        <v/>
      </c>
      <c r="X11" s="11" t="str">
        <f t="shared" ca="1" si="22"/>
        <v/>
      </c>
      <c r="Y11" s="11" t="str">
        <f t="shared" ca="1" si="23"/>
        <v/>
      </c>
      <c r="Z11" s="11" t="str">
        <f t="shared" ca="1" si="24"/>
        <v/>
      </c>
      <c r="AA11" s="11" t="str">
        <f t="shared" ca="1" si="25"/>
        <v/>
      </c>
      <c r="AB11" s="47">
        <f ca="1">PlayerGameData[[#This Row],[3FGA]]+PlayerGameData[[#This Row],[2FGA]]</f>
        <v>0</v>
      </c>
      <c r="AC11" s="47">
        <f ca="1">PlayerGameData[[#This Row],[OFF REB]]+PlayerGameData[[#This Row],[DEF REB]]</f>
        <v>0</v>
      </c>
      <c r="AD11" s="8">
        <f t="shared" si="26"/>
        <v>1</v>
      </c>
      <c r="AE11" s="8" t="str">
        <f t="shared" ca="1" si="27"/>
        <v>Keith Coburn, 11 - Ten Sleep 12/9/2022</v>
      </c>
      <c r="AF11" s="8" t="str">
        <f t="shared" ca="1" si="28"/>
        <v/>
      </c>
      <c r="AG11" s="8" t="str">
        <f ca="1">IFERROR(IF(C11=0,"",IF(AND(VLOOKUP(PlayerGameData[[#This Row],[Opponent]],WYTeamInfo,2,FALSE)=Roster!$D$1,VLOOKUP(PlayerGameData[[#This Row],[Opponent]],WYTeamInfo,3,FALSE)=Roster!$D$2),"SR","")),"")</f>
        <v/>
      </c>
      <c r="AH11" s="8" t="str">
        <f>CONCATENATE(Roster!$D$1," ",Roster!$D$5)</f>
        <v>1A BB</v>
      </c>
      <c r="AI11" s="8" t="str">
        <f t="shared" ca="1" si="29"/>
        <v>Upton - Ten Sleep 12/9/2022</v>
      </c>
      <c r="AJ11" s="8">
        <f ca="1">IFERROR(VLOOKUP(PlayerGameData[[#This Row],[School, Opponent,Game'#]],Table3[],2,FALSE),0)</f>
        <v>1</v>
      </c>
      <c r="AK11" s="8">
        <f ca="1">IF(PlayerGameData[[#This Row],[Visible]]=1,1,1000)</f>
        <v>1</v>
      </c>
      <c r="AL11" s="8">
        <f ca="1">RANK(PlayerGameData[[#This Row],[TL PTS]],PlayerGameData[TL PTS],0)+PlayerGameData[[#This Row],[VisibleOrder]]</f>
        <v>185</v>
      </c>
      <c r="AM11" s="8">
        <f ca="1">IF(COUNTIF(PlayerGameData[PointOrder],PlayerGameData[[#This Row],[PointOrder]])&gt;1,RANK(PlayerGameData[[#This Row],[FGA]],PlayerGameData[FGA],0)/100,0)+PlayerGameData[[#This Row],[PointOrder]]</f>
        <v>187.14</v>
      </c>
      <c r="AN11" s="8">
        <f ca="1">RANK(PlayerGameData[[#This Row],[PointTieBreak]],PlayerGameData[PointTieBreak],1)</f>
        <v>216</v>
      </c>
      <c r="AO11" s="8">
        <f ca="1">RANK(PlayerGameData[[#This Row],[REB]],PlayerGameData[REB],0)+PlayerGameData[[#This Row],[VisibleOrder]]</f>
        <v>192</v>
      </c>
      <c r="AP11" s="8">
        <f ca="1">IF(COUNTIF(PlayerGameData[REBOrder],PlayerGameData[[#This Row],[REBOrder]])&gt;1,PlayerGameData[[#This Row],[PointRank]]/100+PlayerGameData[[#This Row],[REBOrder]],PlayerGameData[[#This Row],[REBOrder]])</f>
        <v>194.16</v>
      </c>
      <c r="AQ11" s="8">
        <f ca="1">RANK(PlayerGameData[[#This Row],[REBTieBreak]],PlayerGameData[REBTieBreak],1)</f>
        <v>224</v>
      </c>
      <c r="AR11" s="8">
        <f ca="1">RANK(PlayerGameData[[#This Row],[AST]],PlayerGameData[AST],0)+PlayerGameData[[#This Row],[VisibleOrder]]</f>
        <v>158</v>
      </c>
      <c r="AS11" s="8">
        <f ca="1">IF(COUNTIF(PlayerGameData[ASTOrder],PlayerGameData[[#This Row],[ASTOrder]])&gt;1,PlayerGameData[[#This Row],[PointRank]]/100+PlayerGameData[[#This Row],[ASTOrder]],PlayerGameData[[#This Row],[ASTOrder]])</f>
        <v>160.16</v>
      </c>
      <c r="AT11" s="8">
        <f ca="1">RANK(PlayerGameData[[#This Row],[ASTTieBreak]],PlayerGameData[ASTTieBreak],1)</f>
        <v>221</v>
      </c>
      <c r="AU11" s="8">
        <f ca="1">RANK(PlayerGameData[[#This Row],[STL]],PlayerGameData[STL],0)+PlayerGameData[[#This Row],[VisibleOrder]]</f>
        <v>143</v>
      </c>
      <c r="AV11" s="8">
        <f ca="1">IF(COUNTIF(PlayerGameData[STLOrder],PlayerGameData[[#This Row],[STLOrder]])&gt;1,PlayerGameData[[#This Row],[PointRank]]/100+PlayerGameData[[#This Row],[STLOrder]],PlayerGameData[[#This Row],[STLOrder]])</f>
        <v>145.16</v>
      </c>
      <c r="AW11" s="8">
        <f ca="1">RANK(PlayerGameData[[#This Row],[STLTieBreak]],PlayerGameData[STLTieBreak],1)</f>
        <v>217</v>
      </c>
      <c r="AX11" s="8">
        <f ca="1">RANK(PlayerGameData[[#This Row],[BLK]],PlayerGameData[BLK],0)+PlayerGameData[[#This Row],[VisibleOrder]]</f>
        <v>32</v>
      </c>
      <c r="AY11" s="8">
        <f ca="1">IF(COUNTIF(PlayerGameData[BLKOrder],PlayerGameData[[#This Row],[BLKOrder]])&gt;1,PlayerGameData[[#This Row],[PointRank]]/100+PlayerGameData[[#This Row],[BLKOrder]],PlayerGameData[[#This Row],[BLKOrder]])</f>
        <v>34.159999999999997</v>
      </c>
      <c r="AZ11" s="8">
        <f ca="1">RANK(PlayerGameData[[#This Row],[BLKTieBreak]],PlayerGameData[BLKTieBreak],1)</f>
        <v>216</v>
      </c>
      <c r="BA11" s="11">
        <f ca="1">IFERROR(IF(PlayerGameData[[#This Row],[FGA]]&gt;$AA$5,PlayerGameData[[#This Row],[FG%*]],PlayerGameData[[#This Row],[FG%*]]*-1),-2)</f>
        <v>-2</v>
      </c>
      <c r="BB11" s="8">
        <f ca="1">RANK(PlayerGameData[[#This Row],[EligFG]],PlayerGameData[EligFG],0)+PlayerGameData[[#This Row],[VisibleOrder]]</f>
        <v>215</v>
      </c>
      <c r="BC11" s="8">
        <f ca="1">IF(COUNTIF(PlayerGameData[EligFGOrder],PlayerGameData[[#This Row],[EligFGOrder]])&gt;1,PlayerGameData[[#This Row],[PointRank]]/100+PlayerGameData[[#This Row],[EligFGOrder]],PlayerGameData[[#This Row],[EligFGOrder]])</f>
        <v>217.16</v>
      </c>
      <c r="BD11" s="8">
        <f ca="1">RANK(PlayerGameData[[#This Row],[EligFGTieBreak]],PlayerGameData[EligFGTieBreak],1)</f>
        <v>216</v>
      </c>
      <c r="BE11" s="8" t="str">
        <f>Roster!$D$3</f>
        <v>East</v>
      </c>
      <c r="BF11" s="8" t="str">
        <f>Roster!$D$2</f>
        <v>Northeast</v>
      </c>
      <c r="BG11" s="8" t="str">
        <f>Roster!$D$4</f>
        <v>North</v>
      </c>
      <c r="BH11" s="197">
        <f ca="1">IFERROR(VLOOKUP(CONCATENATE(PlayerGameData[[#This Row],[Opponent]]," ",MONTH(PlayerGameData[[#This Row],[Date]]),"/",DAY(PlayerGameData[[#This Row],[Date]]),"/",YEAR(PlayerGameData[[#This Row],[Date]])),Table35[],2,FALSE),0)</f>
        <v>1</v>
      </c>
      <c r="BI11" s="197">
        <f ca="1">IF(PlayerGameData[[#This Row],[Visible]]=1,1,1000)</f>
        <v>1</v>
      </c>
      <c r="BJ11" s="197" t="e">
        <f ca="1">_xlfn.MAXIFS(TeamGameData[Win],TeamGameData[School, Opponent,Game'#],PlayerGameData[[#This Row],[School, Opponent,Game'#]])</f>
        <v>#NAME?</v>
      </c>
      <c r="BK11" s="197" t="e">
        <f ca="1">_xlfn.MAXIFS(TeamGameData[Loss],TeamGameData[School, Opponent,Game'#],PlayerGameData[[#This Row],[School, Opponent,Game'#]])</f>
        <v>#NAME?</v>
      </c>
    </row>
    <row r="12" spans="1:63" ht="10.5" x14ac:dyDescent="0.25">
      <c r="A12" s="8" t="str">
        <f t="shared" ca="1" si="0"/>
        <v>Carson Barritt, 14</v>
      </c>
      <c r="B12" s="8" t="str">
        <f>Roster!$B$1</f>
        <v>Upton</v>
      </c>
      <c r="C12" s="8" t="str">
        <f t="shared" ca="1" si="1"/>
        <v>Ten Sleep</v>
      </c>
      <c r="D12" s="10">
        <f t="shared" ca="1" si="2"/>
        <v>44904</v>
      </c>
      <c r="E12" s="8">
        <f t="shared" ca="1" si="3"/>
        <v>1</v>
      </c>
      <c r="F12" s="8">
        <f t="shared" ca="1" si="4"/>
        <v>0</v>
      </c>
      <c r="G12" s="8">
        <f t="shared" ca="1" si="5"/>
        <v>1</v>
      </c>
      <c r="H12" s="8">
        <f t="shared" ca="1" si="6"/>
        <v>0</v>
      </c>
      <c r="I12" s="8">
        <f t="shared" ca="1" si="7"/>
        <v>0</v>
      </c>
      <c r="J12" s="8">
        <f t="shared" ca="1" si="8"/>
        <v>0</v>
      </c>
      <c r="K12" s="8">
        <f t="shared" ca="1" si="9"/>
        <v>0</v>
      </c>
      <c r="L12" s="8">
        <f t="shared" ca="1" si="10"/>
        <v>0</v>
      </c>
      <c r="M12" s="8">
        <f t="shared" ca="1" si="11"/>
        <v>0</v>
      </c>
      <c r="N12" s="8">
        <f t="shared" ca="1" si="12"/>
        <v>0</v>
      </c>
      <c r="O12" s="8">
        <f t="shared" ca="1" si="13"/>
        <v>0</v>
      </c>
      <c r="P12" s="8">
        <f t="shared" ca="1" si="14"/>
        <v>0</v>
      </c>
      <c r="Q12" s="8">
        <f t="shared" ca="1" si="15"/>
        <v>0</v>
      </c>
      <c r="R12" s="8">
        <f t="shared" ca="1" si="16"/>
        <v>0</v>
      </c>
      <c r="S12" s="8">
        <f t="shared" ca="1" si="17"/>
        <v>2</v>
      </c>
      <c r="T12" s="8">
        <f t="shared" ca="1" si="18"/>
        <v>1</v>
      </c>
      <c r="U12" s="8">
        <f t="shared" ca="1" si="19"/>
        <v>0</v>
      </c>
      <c r="V12" s="8">
        <f t="shared" ca="1" si="20"/>
        <v>0</v>
      </c>
      <c r="W12" s="11" t="str">
        <f t="shared" ca="1" si="21"/>
        <v/>
      </c>
      <c r="X12" s="11" t="str">
        <f t="shared" ca="1" si="22"/>
        <v/>
      </c>
      <c r="Y12" s="11" t="str">
        <f t="shared" ca="1" si="23"/>
        <v/>
      </c>
      <c r="Z12" s="11" t="str">
        <f t="shared" ca="1" si="24"/>
        <v/>
      </c>
      <c r="AA12" s="11" t="str">
        <f t="shared" ca="1" si="25"/>
        <v/>
      </c>
      <c r="AB12" s="47">
        <f ca="1">PlayerGameData[[#This Row],[3FGA]]+PlayerGameData[[#This Row],[2FGA]]</f>
        <v>0</v>
      </c>
      <c r="AC12" s="47">
        <f ca="1">PlayerGameData[[#This Row],[OFF REB]]+PlayerGameData[[#This Row],[DEF REB]]</f>
        <v>0</v>
      </c>
      <c r="AD12" s="8">
        <f t="shared" si="26"/>
        <v>1</v>
      </c>
      <c r="AE12" s="8" t="str">
        <f t="shared" ca="1" si="27"/>
        <v>Carson Barritt, 14 - Ten Sleep 12/9/2022</v>
      </c>
      <c r="AF12" s="8" t="str">
        <f t="shared" ca="1" si="28"/>
        <v/>
      </c>
      <c r="AG12" s="8" t="str">
        <f ca="1">IFERROR(IF(C12=0,"",IF(AND(VLOOKUP(PlayerGameData[[#This Row],[Opponent]],WYTeamInfo,2,FALSE)=Roster!$D$1,VLOOKUP(PlayerGameData[[#This Row],[Opponent]],WYTeamInfo,3,FALSE)=Roster!$D$2),"SR","")),"")</f>
        <v/>
      </c>
      <c r="AH12" s="8" t="str">
        <f>CONCATENATE(Roster!$D$1," ",Roster!$D$5)</f>
        <v>1A BB</v>
      </c>
      <c r="AI12" s="8" t="str">
        <f t="shared" ca="1" si="29"/>
        <v>Upton - Ten Sleep 12/9/2022</v>
      </c>
      <c r="AJ12" s="8">
        <f ca="1">IFERROR(VLOOKUP(PlayerGameData[[#This Row],[School, Opponent,Game'#]],Table3[],2,FALSE),0)</f>
        <v>1</v>
      </c>
      <c r="AK12" s="8">
        <f ca="1">IF(PlayerGameData[[#This Row],[Visible]]=1,1,1000)</f>
        <v>1</v>
      </c>
      <c r="AL12" s="8">
        <f ca="1">RANK(PlayerGameData[[#This Row],[TL PTS]],PlayerGameData[TL PTS],0)+PlayerGameData[[#This Row],[VisibleOrder]]</f>
        <v>185</v>
      </c>
      <c r="AM12" s="8">
        <f ca="1">IF(COUNTIF(PlayerGameData[PointOrder],PlayerGameData[[#This Row],[PointOrder]])&gt;1,RANK(PlayerGameData[[#This Row],[FGA]],PlayerGameData[FGA],0)/100,0)+PlayerGameData[[#This Row],[PointOrder]]</f>
        <v>187.14</v>
      </c>
      <c r="AN12" s="8">
        <f ca="1">RANK(PlayerGameData[[#This Row],[PointTieBreak]],PlayerGameData[PointTieBreak],1)</f>
        <v>216</v>
      </c>
      <c r="AO12" s="8">
        <f ca="1">RANK(PlayerGameData[[#This Row],[REB]],PlayerGameData[REB],0)+PlayerGameData[[#This Row],[VisibleOrder]]</f>
        <v>192</v>
      </c>
      <c r="AP12" s="8">
        <f ca="1">IF(COUNTIF(PlayerGameData[REBOrder],PlayerGameData[[#This Row],[REBOrder]])&gt;1,PlayerGameData[[#This Row],[PointRank]]/100+PlayerGameData[[#This Row],[REBOrder]],PlayerGameData[[#This Row],[REBOrder]])</f>
        <v>194.16</v>
      </c>
      <c r="AQ12" s="8">
        <f ca="1">RANK(PlayerGameData[[#This Row],[REBTieBreak]],PlayerGameData[REBTieBreak],1)</f>
        <v>224</v>
      </c>
      <c r="AR12" s="8">
        <f ca="1">RANK(PlayerGameData[[#This Row],[AST]],PlayerGameData[AST],0)+PlayerGameData[[#This Row],[VisibleOrder]]</f>
        <v>158</v>
      </c>
      <c r="AS12" s="8">
        <f ca="1">IF(COUNTIF(PlayerGameData[ASTOrder],PlayerGameData[[#This Row],[ASTOrder]])&gt;1,PlayerGameData[[#This Row],[PointRank]]/100+PlayerGameData[[#This Row],[ASTOrder]],PlayerGameData[[#This Row],[ASTOrder]])</f>
        <v>160.16</v>
      </c>
      <c r="AT12" s="8">
        <f ca="1">RANK(PlayerGameData[[#This Row],[ASTTieBreak]],PlayerGameData[ASTTieBreak],1)</f>
        <v>221</v>
      </c>
      <c r="AU12" s="8">
        <f ca="1">RANK(PlayerGameData[[#This Row],[STL]],PlayerGameData[STL],0)+PlayerGameData[[#This Row],[VisibleOrder]]</f>
        <v>143</v>
      </c>
      <c r="AV12" s="8">
        <f ca="1">IF(COUNTIF(PlayerGameData[STLOrder],PlayerGameData[[#This Row],[STLOrder]])&gt;1,PlayerGameData[[#This Row],[PointRank]]/100+PlayerGameData[[#This Row],[STLOrder]],PlayerGameData[[#This Row],[STLOrder]])</f>
        <v>145.16</v>
      </c>
      <c r="AW12" s="8">
        <f ca="1">RANK(PlayerGameData[[#This Row],[STLTieBreak]],PlayerGameData[STLTieBreak],1)</f>
        <v>217</v>
      </c>
      <c r="AX12" s="8">
        <f ca="1">RANK(PlayerGameData[[#This Row],[BLK]],PlayerGameData[BLK],0)+PlayerGameData[[#This Row],[VisibleOrder]]</f>
        <v>32</v>
      </c>
      <c r="AY12" s="8">
        <f ca="1">IF(COUNTIF(PlayerGameData[BLKOrder],PlayerGameData[[#This Row],[BLKOrder]])&gt;1,PlayerGameData[[#This Row],[PointRank]]/100+PlayerGameData[[#This Row],[BLKOrder]],PlayerGameData[[#This Row],[BLKOrder]])</f>
        <v>34.159999999999997</v>
      </c>
      <c r="AZ12" s="8">
        <f ca="1">RANK(PlayerGameData[[#This Row],[BLKTieBreak]],PlayerGameData[BLKTieBreak],1)</f>
        <v>216</v>
      </c>
      <c r="BA12" s="11">
        <f ca="1">IFERROR(IF(PlayerGameData[[#This Row],[FGA]]&gt;$AA$5,PlayerGameData[[#This Row],[FG%*]],PlayerGameData[[#This Row],[FG%*]]*-1),-2)</f>
        <v>-2</v>
      </c>
      <c r="BB12" s="8">
        <f ca="1">RANK(PlayerGameData[[#This Row],[EligFG]],PlayerGameData[EligFG],0)+PlayerGameData[[#This Row],[VisibleOrder]]</f>
        <v>215</v>
      </c>
      <c r="BC12" s="8">
        <f ca="1">IF(COUNTIF(PlayerGameData[EligFGOrder],PlayerGameData[[#This Row],[EligFGOrder]])&gt;1,PlayerGameData[[#This Row],[PointRank]]/100+PlayerGameData[[#This Row],[EligFGOrder]],PlayerGameData[[#This Row],[EligFGOrder]])</f>
        <v>217.16</v>
      </c>
      <c r="BD12" s="8">
        <f ca="1">RANK(PlayerGameData[[#This Row],[EligFGTieBreak]],PlayerGameData[EligFGTieBreak],1)</f>
        <v>216</v>
      </c>
      <c r="BE12" s="8" t="str">
        <f>Roster!$D$3</f>
        <v>East</v>
      </c>
      <c r="BF12" s="8" t="str">
        <f>Roster!$D$2</f>
        <v>Northeast</v>
      </c>
      <c r="BG12" s="8" t="str">
        <f>Roster!$D$4</f>
        <v>North</v>
      </c>
      <c r="BH12" s="197">
        <f ca="1">IFERROR(VLOOKUP(CONCATENATE(PlayerGameData[[#This Row],[Opponent]]," ",MONTH(PlayerGameData[[#This Row],[Date]]),"/",DAY(PlayerGameData[[#This Row],[Date]]),"/",YEAR(PlayerGameData[[#This Row],[Date]])),Table35[],2,FALSE),0)</f>
        <v>1</v>
      </c>
      <c r="BI12" s="197">
        <f ca="1">IF(PlayerGameData[[#This Row],[Visible]]=1,1,1000)</f>
        <v>1</v>
      </c>
      <c r="BJ12" s="197" t="e">
        <f ca="1">_xlfn.MAXIFS(TeamGameData[Win],TeamGameData[School, Opponent,Game'#],PlayerGameData[[#This Row],[School, Opponent,Game'#]])</f>
        <v>#NAME?</v>
      </c>
      <c r="BK12" s="197" t="e">
        <f ca="1">_xlfn.MAXIFS(TeamGameData[Loss],TeamGameData[School, Opponent,Game'#],PlayerGameData[[#This Row],[School, Opponent,Game'#]])</f>
        <v>#NAME?</v>
      </c>
    </row>
    <row r="13" spans="1:63" ht="10.5" x14ac:dyDescent="0.25">
      <c r="A13" s="8" t="str">
        <f t="shared" ca="1" si="0"/>
        <v>Ben Carpenter, 21</v>
      </c>
      <c r="B13" s="8" t="str">
        <f>Roster!$B$1</f>
        <v>Upton</v>
      </c>
      <c r="C13" s="8" t="str">
        <f t="shared" ca="1" si="1"/>
        <v>Ten Sleep</v>
      </c>
      <c r="D13" s="10">
        <f t="shared" ca="1" si="2"/>
        <v>44904</v>
      </c>
      <c r="E13" s="8">
        <f t="shared" ca="1" si="3"/>
        <v>0</v>
      </c>
      <c r="F13" s="8">
        <f t="shared" ca="1" si="4"/>
        <v>0</v>
      </c>
      <c r="G13" s="8">
        <f t="shared" ca="1" si="5"/>
        <v>0</v>
      </c>
      <c r="H13" s="8">
        <f t="shared" ca="1" si="6"/>
        <v>0</v>
      </c>
      <c r="I13" s="8">
        <f t="shared" ca="1" si="7"/>
        <v>0</v>
      </c>
      <c r="J13" s="8">
        <f t="shared" ca="1" si="8"/>
        <v>0</v>
      </c>
      <c r="K13" s="8">
        <f t="shared" ca="1" si="9"/>
        <v>0</v>
      </c>
      <c r="L13" s="8">
        <f t="shared" ca="1" si="10"/>
        <v>0</v>
      </c>
      <c r="M13" s="8">
        <f t="shared" ca="1" si="11"/>
        <v>0</v>
      </c>
      <c r="N13" s="8">
        <f t="shared" ca="1" si="12"/>
        <v>0</v>
      </c>
      <c r="O13" s="8">
        <f t="shared" ca="1" si="13"/>
        <v>0</v>
      </c>
      <c r="P13" s="8">
        <f t="shared" ca="1" si="14"/>
        <v>0</v>
      </c>
      <c r="Q13" s="8">
        <f t="shared" ca="1" si="15"/>
        <v>0</v>
      </c>
      <c r="R13" s="8">
        <f t="shared" ca="1" si="16"/>
        <v>0</v>
      </c>
      <c r="S13" s="8">
        <f t="shared" ca="1" si="17"/>
        <v>0</v>
      </c>
      <c r="T13" s="8">
        <f t="shared" ca="1" si="18"/>
        <v>0</v>
      </c>
      <c r="U13" s="8">
        <f t="shared" ca="1" si="19"/>
        <v>0</v>
      </c>
      <c r="V13" s="8">
        <f t="shared" ca="1" si="20"/>
        <v>0</v>
      </c>
      <c r="W13" s="11" t="str">
        <f t="shared" ca="1" si="21"/>
        <v/>
      </c>
      <c r="X13" s="11" t="str">
        <f t="shared" ca="1" si="22"/>
        <v/>
      </c>
      <c r="Y13" s="11" t="str">
        <f t="shared" ca="1" si="23"/>
        <v/>
      </c>
      <c r="Z13" s="11" t="str">
        <f t="shared" ca="1" si="24"/>
        <v/>
      </c>
      <c r="AA13" s="11" t="str">
        <f t="shared" ca="1" si="25"/>
        <v/>
      </c>
      <c r="AB13" s="47">
        <f ca="1">PlayerGameData[[#This Row],[3FGA]]+PlayerGameData[[#This Row],[2FGA]]</f>
        <v>0</v>
      </c>
      <c r="AC13" s="47">
        <f ca="1">PlayerGameData[[#This Row],[OFF REB]]+PlayerGameData[[#This Row],[DEF REB]]</f>
        <v>0</v>
      </c>
      <c r="AD13" s="8">
        <f t="shared" si="26"/>
        <v>1</v>
      </c>
      <c r="AE13" s="8" t="str">
        <f t="shared" ca="1" si="27"/>
        <v>Ben Carpenter, 21 - Ten Sleep 12/9/2022</v>
      </c>
      <c r="AF13" s="8" t="str">
        <f t="shared" ca="1" si="28"/>
        <v/>
      </c>
      <c r="AG13" s="8" t="str">
        <f ca="1">IFERROR(IF(C13=0,"",IF(AND(VLOOKUP(PlayerGameData[[#This Row],[Opponent]],WYTeamInfo,2,FALSE)=Roster!$D$1,VLOOKUP(PlayerGameData[[#This Row],[Opponent]],WYTeamInfo,3,FALSE)=Roster!$D$2),"SR","")),"")</f>
        <v/>
      </c>
      <c r="AH13" s="8" t="str">
        <f>CONCATENATE(Roster!$D$1," ",Roster!$D$5)</f>
        <v>1A BB</v>
      </c>
      <c r="AI13" s="8" t="str">
        <f t="shared" ca="1" si="29"/>
        <v>Upton - Ten Sleep 12/9/2022</v>
      </c>
      <c r="AJ13" s="8">
        <f ca="1">IFERROR(VLOOKUP(PlayerGameData[[#This Row],[School, Opponent,Game'#]],Table3[],2,FALSE),0)</f>
        <v>1</v>
      </c>
      <c r="AK13" s="8">
        <f ca="1">IF(PlayerGameData[[#This Row],[Visible]]=1,1,1000)</f>
        <v>1</v>
      </c>
      <c r="AL13" s="8">
        <f ca="1">RANK(PlayerGameData[[#This Row],[TL PTS]],PlayerGameData[TL PTS],0)+PlayerGameData[[#This Row],[VisibleOrder]]</f>
        <v>185</v>
      </c>
      <c r="AM13" s="8">
        <f ca="1">IF(COUNTIF(PlayerGameData[PointOrder],PlayerGameData[[#This Row],[PointOrder]])&gt;1,RANK(PlayerGameData[[#This Row],[FGA]],PlayerGameData[FGA],0)/100,0)+PlayerGameData[[#This Row],[PointOrder]]</f>
        <v>187.14</v>
      </c>
      <c r="AN13" s="8">
        <f ca="1">RANK(PlayerGameData[[#This Row],[PointTieBreak]],PlayerGameData[PointTieBreak],1)</f>
        <v>216</v>
      </c>
      <c r="AO13" s="8">
        <f ca="1">RANK(PlayerGameData[[#This Row],[REB]],PlayerGameData[REB],0)+PlayerGameData[[#This Row],[VisibleOrder]]</f>
        <v>192</v>
      </c>
      <c r="AP13" s="8">
        <f ca="1">IF(COUNTIF(PlayerGameData[REBOrder],PlayerGameData[[#This Row],[REBOrder]])&gt;1,PlayerGameData[[#This Row],[PointRank]]/100+PlayerGameData[[#This Row],[REBOrder]],PlayerGameData[[#This Row],[REBOrder]])</f>
        <v>194.16</v>
      </c>
      <c r="AQ13" s="8">
        <f ca="1">RANK(PlayerGameData[[#This Row],[REBTieBreak]],PlayerGameData[REBTieBreak],1)</f>
        <v>224</v>
      </c>
      <c r="AR13" s="8">
        <f ca="1">RANK(PlayerGameData[[#This Row],[AST]],PlayerGameData[AST],0)+PlayerGameData[[#This Row],[VisibleOrder]]</f>
        <v>158</v>
      </c>
      <c r="AS13" s="8">
        <f ca="1">IF(COUNTIF(PlayerGameData[ASTOrder],PlayerGameData[[#This Row],[ASTOrder]])&gt;1,PlayerGameData[[#This Row],[PointRank]]/100+PlayerGameData[[#This Row],[ASTOrder]],PlayerGameData[[#This Row],[ASTOrder]])</f>
        <v>160.16</v>
      </c>
      <c r="AT13" s="8">
        <f ca="1">RANK(PlayerGameData[[#This Row],[ASTTieBreak]],PlayerGameData[ASTTieBreak],1)</f>
        <v>221</v>
      </c>
      <c r="AU13" s="8">
        <f ca="1">RANK(PlayerGameData[[#This Row],[STL]],PlayerGameData[STL],0)+PlayerGameData[[#This Row],[VisibleOrder]]</f>
        <v>143</v>
      </c>
      <c r="AV13" s="8">
        <f ca="1">IF(COUNTIF(PlayerGameData[STLOrder],PlayerGameData[[#This Row],[STLOrder]])&gt;1,PlayerGameData[[#This Row],[PointRank]]/100+PlayerGameData[[#This Row],[STLOrder]],PlayerGameData[[#This Row],[STLOrder]])</f>
        <v>145.16</v>
      </c>
      <c r="AW13" s="8">
        <f ca="1">RANK(PlayerGameData[[#This Row],[STLTieBreak]],PlayerGameData[STLTieBreak],1)</f>
        <v>217</v>
      </c>
      <c r="AX13" s="8">
        <f ca="1">RANK(PlayerGameData[[#This Row],[BLK]],PlayerGameData[BLK],0)+PlayerGameData[[#This Row],[VisibleOrder]]</f>
        <v>32</v>
      </c>
      <c r="AY13" s="8">
        <f ca="1">IF(COUNTIF(PlayerGameData[BLKOrder],PlayerGameData[[#This Row],[BLKOrder]])&gt;1,PlayerGameData[[#This Row],[PointRank]]/100+PlayerGameData[[#This Row],[BLKOrder]],PlayerGameData[[#This Row],[BLKOrder]])</f>
        <v>34.159999999999997</v>
      </c>
      <c r="AZ13" s="8">
        <f ca="1">RANK(PlayerGameData[[#This Row],[BLKTieBreak]],PlayerGameData[BLKTieBreak],1)</f>
        <v>216</v>
      </c>
      <c r="BA13" s="11">
        <f ca="1">IFERROR(IF(PlayerGameData[[#This Row],[FGA]]&gt;$AA$5,PlayerGameData[[#This Row],[FG%*]],PlayerGameData[[#This Row],[FG%*]]*-1),-2)</f>
        <v>-2</v>
      </c>
      <c r="BB13" s="8">
        <f ca="1">RANK(PlayerGameData[[#This Row],[EligFG]],PlayerGameData[EligFG],0)+PlayerGameData[[#This Row],[VisibleOrder]]</f>
        <v>215</v>
      </c>
      <c r="BC13" s="8">
        <f ca="1">IF(COUNTIF(PlayerGameData[EligFGOrder],PlayerGameData[[#This Row],[EligFGOrder]])&gt;1,PlayerGameData[[#This Row],[PointRank]]/100+PlayerGameData[[#This Row],[EligFGOrder]],PlayerGameData[[#This Row],[EligFGOrder]])</f>
        <v>217.16</v>
      </c>
      <c r="BD13" s="8">
        <f ca="1">RANK(PlayerGameData[[#This Row],[EligFGTieBreak]],PlayerGameData[EligFGTieBreak],1)</f>
        <v>216</v>
      </c>
      <c r="BE13" s="8" t="str">
        <f>Roster!$D$3</f>
        <v>East</v>
      </c>
      <c r="BF13" s="8" t="str">
        <f>Roster!$D$2</f>
        <v>Northeast</v>
      </c>
      <c r="BG13" s="8" t="str">
        <f>Roster!$D$4</f>
        <v>North</v>
      </c>
      <c r="BH13" s="197">
        <f ca="1">IFERROR(VLOOKUP(CONCATENATE(PlayerGameData[[#This Row],[Opponent]]," ",MONTH(PlayerGameData[[#This Row],[Date]]),"/",DAY(PlayerGameData[[#This Row],[Date]]),"/",YEAR(PlayerGameData[[#This Row],[Date]])),Table35[],2,FALSE),0)</f>
        <v>1</v>
      </c>
      <c r="BI13" s="197">
        <f ca="1">IF(PlayerGameData[[#This Row],[Visible]]=1,1,1000)</f>
        <v>1</v>
      </c>
      <c r="BJ13" s="197" t="e">
        <f ca="1">_xlfn.MAXIFS(TeamGameData[Win],TeamGameData[School, Opponent,Game'#],PlayerGameData[[#This Row],[School, Opponent,Game'#]])</f>
        <v>#NAME?</v>
      </c>
      <c r="BK13" s="197" t="e">
        <f ca="1">_xlfn.MAXIFS(TeamGameData[Loss],TeamGameData[School, Opponent,Game'#],PlayerGameData[[#This Row],[School, Opponent,Game'#]])</f>
        <v>#NAME?</v>
      </c>
    </row>
    <row r="14" spans="1:63" ht="10.5" x14ac:dyDescent="0.25">
      <c r="A14" s="8" t="str">
        <f t="shared" ca="1" si="0"/>
        <v>Ethan Schiller, 23</v>
      </c>
      <c r="B14" s="8" t="str">
        <f>Roster!$B$1</f>
        <v>Upton</v>
      </c>
      <c r="C14" s="8" t="str">
        <f t="shared" ca="1" si="1"/>
        <v>Ten Sleep</v>
      </c>
      <c r="D14" s="10">
        <f t="shared" ca="1" si="2"/>
        <v>44904</v>
      </c>
      <c r="E14" s="8">
        <f t="shared" ca="1" si="3"/>
        <v>1</v>
      </c>
      <c r="F14" s="8">
        <f t="shared" ca="1" si="4"/>
        <v>1</v>
      </c>
      <c r="G14" s="8">
        <f t="shared" ca="1" si="5"/>
        <v>20</v>
      </c>
      <c r="H14" s="8">
        <f t="shared" ca="1" si="6"/>
        <v>2</v>
      </c>
      <c r="I14" s="8">
        <f t="shared" ca="1" si="7"/>
        <v>5</v>
      </c>
      <c r="J14" s="8">
        <f t="shared" ca="1" si="8"/>
        <v>4</v>
      </c>
      <c r="K14" s="8">
        <f t="shared" ca="1" si="9"/>
        <v>5</v>
      </c>
      <c r="L14" s="8">
        <f t="shared" ca="1" si="10"/>
        <v>2</v>
      </c>
      <c r="M14" s="8">
        <f t="shared" ca="1" si="11"/>
        <v>5</v>
      </c>
      <c r="N14" s="8">
        <f t="shared" ca="1" si="12"/>
        <v>3</v>
      </c>
      <c r="O14" s="8">
        <f t="shared" ca="1" si="13"/>
        <v>6</v>
      </c>
      <c r="P14" s="8">
        <f t="shared" ca="1" si="14"/>
        <v>7</v>
      </c>
      <c r="Q14" s="8">
        <f t="shared" ca="1" si="15"/>
        <v>8</v>
      </c>
      <c r="R14" s="8">
        <f t="shared" ca="1" si="16"/>
        <v>3</v>
      </c>
      <c r="S14" s="8">
        <f t="shared" ca="1" si="17"/>
        <v>6</v>
      </c>
      <c r="T14" s="8">
        <f t="shared" ca="1" si="18"/>
        <v>2</v>
      </c>
      <c r="U14" s="8">
        <f t="shared" ca="1" si="19"/>
        <v>0</v>
      </c>
      <c r="V14" s="8">
        <f t="shared" ca="1" si="20"/>
        <v>16</v>
      </c>
      <c r="W14" s="11">
        <f t="shared" ca="1" si="21"/>
        <v>0.4</v>
      </c>
      <c r="X14" s="11">
        <f t="shared" ca="1" si="22"/>
        <v>0.8</v>
      </c>
      <c r="Y14" s="11">
        <f t="shared" ca="1" si="23"/>
        <v>0.4</v>
      </c>
      <c r="Z14" s="11">
        <f t="shared" ca="1" si="24"/>
        <v>0.6</v>
      </c>
      <c r="AA14" s="11">
        <f t="shared" ca="1" si="25"/>
        <v>0.7</v>
      </c>
      <c r="AB14" s="47">
        <f ca="1">PlayerGameData[[#This Row],[3FGA]]+PlayerGameData[[#This Row],[2FGA]]</f>
        <v>10</v>
      </c>
      <c r="AC14" s="47">
        <f ca="1">PlayerGameData[[#This Row],[OFF REB]]+PlayerGameData[[#This Row],[DEF REB]]</f>
        <v>9</v>
      </c>
      <c r="AD14" s="8">
        <f t="shared" si="26"/>
        <v>1</v>
      </c>
      <c r="AE14" s="8" t="str">
        <f t="shared" ca="1" si="27"/>
        <v>Ethan Schiller, 23 - Ten Sleep 12/9/2022</v>
      </c>
      <c r="AF14" s="8" t="str">
        <f t="shared" ca="1" si="28"/>
        <v/>
      </c>
      <c r="AG14" s="8" t="str">
        <f ca="1">IFERROR(IF(C14=0,"",IF(AND(VLOOKUP(PlayerGameData[[#This Row],[Opponent]],WYTeamInfo,2,FALSE)=Roster!$D$1,VLOOKUP(PlayerGameData[[#This Row],[Opponent]],WYTeamInfo,3,FALSE)=Roster!$D$2),"SR","")),"")</f>
        <v/>
      </c>
      <c r="AH14" s="8" t="str">
        <f>CONCATENATE(Roster!$D$1," ",Roster!$D$5)</f>
        <v>1A BB</v>
      </c>
      <c r="AI14" s="8" t="str">
        <f t="shared" ca="1" si="29"/>
        <v>Upton - Ten Sleep 12/9/2022</v>
      </c>
      <c r="AJ14" s="8">
        <f ca="1">IFERROR(VLOOKUP(PlayerGameData[[#This Row],[School, Opponent,Game'#]],Table3[],2,FALSE),0)</f>
        <v>1</v>
      </c>
      <c r="AK14" s="8">
        <f ca="1">IF(PlayerGameData[[#This Row],[Visible]]=1,1,1000)</f>
        <v>1</v>
      </c>
      <c r="AL14" s="8">
        <f ca="1">RANK(PlayerGameData[[#This Row],[TL PTS]],PlayerGameData[TL PTS],0)+PlayerGameData[[#This Row],[VisibleOrder]]</f>
        <v>26</v>
      </c>
      <c r="AM14" s="8">
        <f ca="1">IF(COUNTIF(PlayerGameData[PointOrder],PlayerGameData[[#This Row],[PointOrder]])&gt;1,RANK(PlayerGameData[[#This Row],[FGA]],PlayerGameData[FGA],0)/100,0)+PlayerGameData[[#This Row],[PointOrder]]</f>
        <v>26.43</v>
      </c>
      <c r="AN14" s="8">
        <f ca="1">RANK(PlayerGameData[[#This Row],[PointTieBreak]],PlayerGameData[PointTieBreak],1)</f>
        <v>27</v>
      </c>
      <c r="AO14" s="8">
        <f ca="1">RANK(PlayerGameData[[#This Row],[REB]],PlayerGameData[REB],0)+PlayerGameData[[#This Row],[VisibleOrder]]</f>
        <v>13</v>
      </c>
      <c r="AP14" s="8">
        <f ca="1">IF(COUNTIF(PlayerGameData[REBOrder],PlayerGameData[[#This Row],[REBOrder]])&gt;1,PlayerGameData[[#This Row],[PointRank]]/100+PlayerGameData[[#This Row],[REBOrder]],PlayerGameData[[#This Row],[REBOrder]])</f>
        <v>13.27</v>
      </c>
      <c r="AQ14" s="8">
        <f ca="1">RANK(PlayerGameData[[#This Row],[REBTieBreak]],PlayerGameData[REBTieBreak],1)</f>
        <v>13</v>
      </c>
      <c r="AR14" s="8">
        <f ca="1">RANK(PlayerGameData[[#This Row],[AST]],PlayerGameData[AST],0)+PlayerGameData[[#This Row],[VisibleOrder]]</f>
        <v>4</v>
      </c>
      <c r="AS14" s="8">
        <f ca="1">IF(COUNTIF(PlayerGameData[ASTOrder],PlayerGameData[[#This Row],[ASTOrder]])&gt;1,PlayerGameData[[#This Row],[PointRank]]/100+PlayerGameData[[#This Row],[ASTOrder]],PlayerGameData[[#This Row],[ASTOrder]])</f>
        <v>4.2699999999999996</v>
      </c>
      <c r="AT14" s="8">
        <f ca="1">RANK(PlayerGameData[[#This Row],[ASTTieBreak]],PlayerGameData[ASTTieBreak],1)</f>
        <v>4</v>
      </c>
      <c r="AU14" s="8">
        <f ca="1">RANK(PlayerGameData[[#This Row],[STL]],PlayerGameData[STL],0)+PlayerGameData[[#This Row],[VisibleOrder]]</f>
        <v>2</v>
      </c>
      <c r="AV14" s="8">
        <f ca="1">IF(COUNTIF(PlayerGameData[STLOrder],PlayerGameData[[#This Row],[STLOrder]])&gt;1,PlayerGameData[[#This Row],[PointRank]]/100+PlayerGameData[[#This Row],[STLOrder]],PlayerGameData[[#This Row],[STLOrder]])</f>
        <v>2</v>
      </c>
      <c r="AW14" s="8">
        <f ca="1">RANK(PlayerGameData[[#This Row],[STLTieBreak]],PlayerGameData[STLTieBreak],1)</f>
        <v>1</v>
      </c>
      <c r="AX14" s="8">
        <f ca="1">RANK(PlayerGameData[[#This Row],[BLK]],PlayerGameData[BLK],0)+PlayerGameData[[#This Row],[VisibleOrder]]</f>
        <v>2</v>
      </c>
      <c r="AY14" s="8">
        <f ca="1">IF(COUNTIF(PlayerGameData[BLKOrder],PlayerGameData[[#This Row],[BLKOrder]])&gt;1,PlayerGameData[[#This Row],[PointRank]]/100+PlayerGameData[[#This Row],[BLKOrder]],PlayerGameData[[#This Row],[BLKOrder]])</f>
        <v>2.27</v>
      </c>
      <c r="AZ14" s="8">
        <f ca="1">RANK(PlayerGameData[[#This Row],[BLKTieBreak]],PlayerGameData[BLKTieBreak],1)</f>
        <v>1</v>
      </c>
      <c r="BA14" s="11">
        <f ca="1">IFERROR(IF(PlayerGameData[[#This Row],[FGA]]&gt;$AA$5,PlayerGameData[[#This Row],[FG%*]],PlayerGameData[[#This Row],[FG%*]]*-1),-2)</f>
        <v>0.6</v>
      </c>
      <c r="BB14" s="8">
        <f ca="1">RANK(PlayerGameData[[#This Row],[EligFG]],PlayerGameData[EligFG],0)+PlayerGameData[[#This Row],[VisibleOrder]]</f>
        <v>21</v>
      </c>
      <c r="BC14" s="8">
        <f ca="1">IF(COUNTIF(PlayerGameData[EligFGOrder],PlayerGameData[[#This Row],[EligFGOrder]])&gt;1,PlayerGameData[[#This Row],[PointRank]]/100+PlayerGameData[[#This Row],[EligFGOrder]],PlayerGameData[[#This Row],[EligFGOrder]])</f>
        <v>21.27</v>
      </c>
      <c r="BD14" s="8">
        <f ca="1">RANK(PlayerGameData[[#This Row],[EligFGTieBreak]],PlayerGameData[EligFGTieBreak],1)</f>
        <v>21</v>
      </c>
      <c r="BE14" s="8" t="str">
        <f>Roster!$D$3</f>
        <v>East</v>
      </c>
      <c r="BF14" s="8" t="str">
        <f>Roster!$D$2</f>
        <v>Northeast</v>
      </c>
      <c r="BG14" s="8" t="str">
        <f>Roster!$D$4</f>
        <v>North</v>
      </c>
      <c r="BH14" s="197">
        <f ca="1">IFERROR(VLOOKUP(CONCATENATE(PlayerGameData[[#This Row],[Opponent]]," ",MONTH(PlayerGameData[[#This Row],[Date]]),"/",DAY(PlayerGameData[[#This Row],[Date]]),"/",YEAR(PlayerGameData[[#This Row],[Date]])),Table35[],2,FALSE),0)</f>
        <v>1</v>
      </c>
      <c r="BI14" s="197">
        <f ca="1">IF(PlayerGameData[[#This Row],[Visible]]=1,1,1000)</f>
        <v>1</v>
      </c>
      <c r="BJ14" s="197" t="e">
        <f ca="1">_xlfn.MAXIFS(TeamGameData[Win],TeamGameData[School, Opponent,Game'#],PlayerGameData[[#This Row],[School, Opponent,Game'#]])</f>
        <v>#NAME?</v>
      </c>
      <c r="BK14" s="197" t="e">
        <f ca="1">_xlfn.MAXIFS(TeamGameData[Loss],TeamGameData[School, Opponent,Game'#],PlayerGameData[[#This Row],[School, Opponent,Game'#]])</f>
        <v>#NAME?</v>
      </c>
    </row>
    <row r="15" spans="1:63" ht="10.5" x14ac:dyDescent="0.25">
      <c r="A15" s="8" t="str">
        <f t="shared" ca="1" si="0"/>
        <v>Bridger Bruce, 25</v>
      </c>
      <c r="B15" s="8" t="str">
        <f>Roster!$B$1</f>
        <v>Upton</v>
      </c>
      <c r="C15" s="8" t="str">
        <f t="shared" ca="1" si="1"/>
        <v>Ten Sleep</v>
      </c>
      <c r="D15" s="10">
        <f t="shared" ca="1" si="2"/>
        <v>44904</v>
      </c>
      <c r="E15" s="8">
        <f t="shared" ca="1" si="3"/>
        <v>1</v>
      </c>
      <c r="F15" s="8">
        <f t="shared" ca="1" si="4"/>
        <v>0</v>
      </c>
      <c r="G15" s="8">
        <f t="shared" ca="1" si="5"/>
        <v>14</v>
      </c>
      <c r="H15" s="8">
        <f t="shared" ca="1" si="6"/>
        <v>0</v>
      </c>
      <c r="I15" s="8">
        <f t="shared" ca="1" si="7"/>
        <v>1</v>
      </c>
      <c r="J15" s="8">
        <f t="shared" ca="1" si="8"/>
        <v>0</v>
      </c>
      <c r="K15" s="8">
        <f t="shared" ca="1" si="9"/>
        <v>0</v>
      </c>
      <c r="L15" s="8">
        <f t="shared" ca="1" si="10"/>
        <v>0</v>
      </c>
      <c r="M15" s="8">
        <f t="shared" ca="1" si="11"/>
        <v>0</v>
      </c>
      <c r="N15" s="8">
        <f t="shared" ca="1" si="12"/>
        <v>0</v>
      </c>
      <c r="O15" s="8">
        <f t="shared" ca="1" si="13"/>
        <v>2</v>
      </c>
      <c r="P15" s="8">
        <f t="shared" ca="1" si="14"/>
        <v>2</v>
      </c>
      <c r="Q15" s="8">
        <f t="shared" ca="1" si="15"/>
        <v>4</v>
      </c>
      <c r="R15" s="8">
        <f t="shared" ca="1" si="16"/>
        <v>0</v>
      </c>
      <c r="S15" s="8">
        <f t="shared" ca="1" si="17"/>
        <v>2</v>
      </c>
      <c r="T15" s="8">
        <f t="shared" ca="1" si="18"/>
        <v>3</v>
      </c>
      <c r="U15" s="8">
        <f t="shared" ca="1" si="19"/>
        <v>0</v>
      </c>
      <c r="V15" s="8">
        <f t="shared" ca="1" si="20"/>
        <v>0</v>
      </c>
      <c r="W15" s="11">
        <f t="shared" ca="1" si="21"/>
        <v>0</v>
      </c>
      <c r="X15" s="11" t="str">
        <f t="shared" ca="1" si="22"/>
        <v/>
      </c>
      <c r="Y15" s="11" t="str">
        <f t="shared" ca="1" si="23"/>
        <v/>
      </c>
      <c r="Z15" s="11">
        <f t="shared" ca="1" si="24"/>
        <v>0</v>
      </c>
      <c r="AA15" s="11">
        <f t="shared" ca="1" si="25"/>
        <v>0</v>
      </c>
      <c r="AB15" s="47">
        <f ca="1">PlayerGameData[[#This Row],[3FGA]]+PlayerGameData[[#This Row],[2FGA]]</f>
        <v>1</v>
      </c>
      <c r="AC15" s="47">
        <f ca="1">PlayerGameData[[#This Row],[OFF REB]]+PlayerGameData[[#This Row],[DEF REB]]</f>
        <v>2</v>
      </c>
      <c r="AD15" s="8">
        <f t="shared" si="26"/>
        <v>1</v>
      </c>
      <c r="AE15" s="8" t="str">
        <f t="shared" ca="1" si="27"/>
        <v>Bridger Bruce, 25 - Ten Sleep 12/9/2022</v>
      </c>
      <c r="AF15" s="8" t="str">
        <f t="shared" ca="1" si="28"/>
        <v/>
      </c>
      <c r="AG15" s="8" t="str">
        <f ca="1">IFERROR(IF(C15=0,"",IF(AND(VLOOKUP(PlayerGameData[[#This Row],[Opponent]],WYTeamInfo,2,FALSE)=Roster!$D$1,VLOOKUP(PlayerGameData[[#This Row],[Opponent]],WYTeamInfo,3,FALSE)=Roster!$D$2),"SR","")),"")</f>
        <v/>
      </c>
      <c r="AH15" s="8" t="str">
        <f>CONCATENATE(Roster!$D$1," ",Roster!$D$5)</f>
        <v>1A BB</v>
      </c>
      <c r="AI15" s="8" t="str">
        <f t="shared" ca="1" si="29"/>
        <v>Upton - Ten Sleep 12/9/2022</v>
      </c>
      <c r="AJ15" s="8">
        <f ca="1">IFERROR(VLOOKUP(PlayerGameData[[#This Row],[School, Opponent,Game'#]],Table3[],2,FALSE),0)</f>
        <v>1</v>
      </c>
      <c r="AK15" s="8">
        <f ca="1">IF(PlayerGameData[[#This Row],[Visible]]=1,1,1000)</f>
        <v>1</v>
      </c>
      <c r="AL15" s="8">
        <f ca="1">RANK(PlayerGameData[[#This Row],[TL PTS]],PlayerGameData[TL PTS],0)+PlayerGameData[[#This Row],[VisibleOrder]]</f>
        <v>185</v>
      </c>
      <c r="AM15" s="8">
        <f ca="1">IF(COUNTIF(PlayerGameData[PointOrder],PlayerGameData[[#This Row],[PointOrder]])&gt;1,RANK(PlayerGameData[[#This Row],[FGA]],PlayerGameData[FGA],0)/100,0)+PlayerGameData[[#This Row],[PointOrder]]</f>
        <v>186.82</v>
      </c>
      <c r="AN15" s="8">
        <f ca="1">RANK(PlayerGameData[[#This Row],[PointTieBreak]],PlayerGameData[PointTieBreak],1)</f>
        <v>196</v>
      </c>
      <c r="AO15" s="8">
        <f ca="1">RANK(PlayerGameData[[#This Row],[REB]],PlayerGameData[REB],0)+PlayerGameData[[#This Row],[VisibleOrder]]</f>
        <v>137</v>
      </c>
      <c r="AP15" s="8">
        <f ca="1">IF(COUNTIF(PlayerGameData[REBOrder],PlayerGameData[[#This Row],[REBOrder]])&gt;1,PlayerGameData[[#This Row],[PointRank]]/100+PlayerGameData[[#This Row],[REBOrder]],PlayerGameData[[#This Row],[REBOrder]])</f>
        <v>138.96</v>
      </c>
      <c r="AQ15" s="8">
        <f ca="1">RANK(PlayerGameData[[#This Row],[REBTieBreak]],PlayerGameData[REBTieBreak],1)</f>
        <v>157</v>
      </c>
      <c r="AR15" s="8">
        <f ca="1">RANK(PlayerGameData[[#This Row],[AST]],PlayerGameData[AST],0)+PlayerGameData[[#This Row],[VisibleOrder]]</f>
        <v>69</v>
      </c>
      <c r="AS15" s="8">
        <f ca="1">IF(COUNTIF(PlayerGameData[ASTOrder],PlayerGameData[[#This Row],[ASTOrder]])&gt;1,PlayerGameData[[#This Row],[PointRank]]/100+PlayerGameData[[#This Row],[ASTOrder]],PlayerGameData[[#This Row],[ASTOrder]])</f>
        <v>70.959999999999994</v>
      </c>
      <c r="AT15" s="8">
        <f ca="1">RANK(PlayerGameData[[#This Row],[ASTTieBreak]],PlayerGameData[ASTTieBreak],1)</f>
        <v>112</v>
      </c>
      <c r="AU15" s="8">
        <f ca="1">RANK(PlayerGameData[[#This Row],[STL]],PlayerGameData[STL],0)+PlayerGameData[[#This Row],[VisibleOrder]]</f>
        <v>10</v>
      </c>
      <c r="AV15" s="8">
        <f ca="1">IF(COUNTIF(PlayerGameData[STLOrder],PlayerGameData[[#This Row],[STLOrder]])&gt;1,PlayerGameData[[#This Row],[PointRank]]/100+PlayerGameData[[#This Row],[STLOrder]],PlayerGameData[[#This Row],[STLOrder]])</f>
        <v>11.96</v>
      </c>
      <c r="AW15" s="8">
        <f ca="1">RANK(PlayerGameData[[#This Row],[STLTieBreak]],PlayerGameData[STLTieBreak],1)</f>
        <v>24</v>
      </c>
      <c r="AX15" s="8">
        <f ca="1">RANK(PlayerGameData[[#This Row],[BLK]],PlayerGameData[BLK],0)+PlayerGameData[[#This Row],[VisibleOrder]]</f>
        <v>32</v>
      </c>
      <c r="AY15" s="8">
        <f ca="1">IF(COUNTIF(PlayerGameData[BLKOrder],PlayerGameData[[#This Row],[BLKOrder]])&gt;1,PlayerGameData[[#This Row],[PointRank]]/100+PlayerGameData[[#This Row],[BLKOrder]],PlayerGameData[[#This Row],[BLKOrder]])</f>
        <v>33.96</v>
      </c>
      <c r="AZ15" s="8">
        <f ca="1">RANK(PlayerGameData[[#This Row],[BLKTieBreak]],PlayerGameData[BLKTieBreak],1)</f>
        <v>196</v>
      </c>
      <c r="BA15" s="11">
        <f ca="1">IFERROR(IF(PlayerGameData[[#This Row],[FGA]]&gt;$AA$5,PlayerGameData[[#This Row],[FG%*]],PlayerGameData[[#This Row],[FG%*]]*-1),-2)</f>
        <v>0</v>
      </c>
      <c r="BB15" s="8">
        <f ca="1">RANK(PlayerGameData[[#This Row],[EligFG]],PlayerGameData[EligFG],0)+PlayerGameData[[#This Row],[VisibleOrder]]</f>
        <v>117</v>
      </c>
      <c r="BC15" s="8">
        <f ca="1">IF(COUNTIF(PlayerGameData[EligFGOrder],PlayerGameData[[#This Row],[EligFGOrder]])&gt;1,PlayerGameData[[#This Row],[PointRank]]/100+PlayerGameData[[#This Row],[EligFGOrder]],PlayerGameData[[#This Row],[EligFGOrder]])</f>
        <v>118.96</v>
      </c>
      <c r="BD15" s="8">
        <f ca="1">RANK(PlayerGameData[[#This Row],[EligFGTieBreak]],PlayerGameData[EligFGTieBreak],1)</f>
        <v>138</v>
      </c>
      <c r="BE15" s="8" t="str">
        <f>Roster!$D$3</f>
        <v>East</v>
      </c>
      <c r="BF15" s="8" t="str">
        <f>Roster!$D$2</f>
        <v>Northeast</v>
      </c>
      <c r="BG15" s="8" t="str">
        <f>Roster!$D$4</f>
        <v>North</v>
      </c>
      <c r="BH15" s="197">
        <f ca="1">IFERROR(VLOOKUP(CONCATENATE(PlayerGameData[[#This Row],[Opponent]]," ",MONTH(PlayerGameData[[#This Row],[Date]]),"/",DAY(PlayerGameData[[#This Row],[Date]]),"/",YEAR(PlayerGameData[[#This Row],[Date]])),Table35[],2,FALSE),0)</f>
        <v>1</v>
      </c>
      <c r="BI15" s="197">
        <f ca="1">IF(PlayerGameData[[#This Row],[Visible]]=1,1,1000)</f>
        <v>1</v>
      </c>
      <c r="BJ15" s="197" t="e">
        <f ca="1">_xlfn.MAXIFS(TeamGameData[Win],TeamGameData[School, Opponent,Game'#],PlayerGameData[[#This Row],[School, Opponent,Game'#]])</f>
        <v>#NAME?</v>
      </c>
      <c r="BK15" s="197" t="e">
        <f ca="1">_xlfn.MAXIFS(TeamGameData[Loss],TeamGameData[School, Opponent,Game'#],PlayerGameData[[#This Row],[School, Opponent,Game'#]])</f>
        <v>#NAME?</v>
      </c>
    </row>
    <row r="16" spans="1:63" ht="10.5" x14ac:dyDescent="0.25">
      <c r="A16" s="8" t="str">
        <f t="shared" ca="1" si="0"/>
        <v>Kailer Duarte, 31</v>
      </c>
      <c r="B16" s="8" t="str">
        <f>Roster!$B$1</f>
        <v>Upton</v>
      </c>
      <c r="C16" s="8" t="str">
        <f t="shared" ca="1" si="1"/>
        <v>Ten Sleep</v>
      </c>
      <c r="D16" s="10">
        <f t="shared" ca="1" si="2"/>
        <v>44904</v>
      </c>
      <c r="E16" s="8">
        <f t="shared" ca="1" si="3"/>
        <v>1</v>
      </c>
      <c r="F16" s="8">
        <f t="shared" ca="1" si="4"/>
        <v>1</v>
      </c>
      <c r="G16" s="8">
        <f t="shared" ca="1" si="5"/>
        <v>17</v>
      </c>
      <c r="H16" s="8">
        <f t="shared" ca="1" si="6"/>
        <v>1</v>
      </c>
      <c r="I16" s="8">
        <f t="shared" ca="1" si="7"/>
        <v>3</v>
      </c>
      <c r="J16" s="8">
        <f t="shared" ca="1" si="8"/>
        <v>3</v>
      </c>
      <c r="K16" s="8">
        <f t="shared" ca="1" si="9"/>
        <v>6</v>
      </c>
      <c r="L16" s="8">
        <f t="shared" ca="1" si="10"/>
        <v>3</v>
      </c>
      <c r="M16" s="8">
        <f t="shared" ca="1" si="11"/>
        <v>6</v>
      </c>
      <c r="N16" s="8">
        <f t="shared" ca="1" si="12"/>
        <v>3</v>
      </c>
      <c r="O16" s="8">
        <f t="shared" ca="1" si="13"/>
        <v>5</v>
      </c>
      <c r="P16" s="8">
        <f t="shared" ca="1" si="14"/>
        <v>2</v>
      </c>
      <c r="Q16" s="8">
        <f t="shared" ca="1" si="15"/>
        <v>3</v>
      </c>
      <c r="R16" s="8">
        <f t="shared" ca="1" si="16"/>
        <v>2</v>
      </c>
      <c r="S16" s="8">
        <f t="shared" ca="1" si="17"/>
        <v>0</v>
      </c>
      <c r="T16" s="8">
        <f t="shared" ca="1" si="18"/>
        <v>0</v>
      </c>
      <c r="U16" s="8">
        <f t="shared" ca="1" si="19"/>
        <v>0</v>
      </c>
      <c r="V16" s="8">
        <f t="shared" ca="1" si="20"/>
        <v>12</v>
      </c>
      <c r="W16" s="11">
        <f t="shared" ca="1" si="21"/>
        <v>0.33333333333333331</v>
      </c>
      <c r="X16" s="11">
        <f t="shared" ca="1" si="22"/>
        <v>0.5</v>
      </c>
      <c r="Y16" s="11">
        <f t="shared" ca="1" si="23"/>
        <v>0.5</v>
      </c>
      <c r="Z16" s="11">
        <f t="shared" ca="1" si="24"/>
        <v>0.44444444444444442</v>
      </c>
      <c r="AA16" s="11">
        <f t="shared" ca="1" si="25"/>
        <v>0.5</v>
      </c>
      <c r="AB16" s="47">
        <f ca="1">PlayerGameData[[#This Row],[3FGA]]+PlayerGameData[[#This Row],[2FGA]]</f>
        <v>9</v>
      </c>
      <c r="AC16" s="47">
        <f ca="1">PlayerGameData[[#This Row],[OFF REB]]+PlayerGameData[[#This Row],[DEF REB]]</f>
        <v>8</v>
      </c>
      <c r="AD16" s="8">
        <f t="shared" si="26"/>
        <v>1</v>
      </c>
      <c r="AE16" s="8" t="str">
        <f t="shared" ca="1" si="27"/>
        <v>Kailer Duarte, 31 - Ten Sleep 12/9/2022</v>
      </c>
      <c r="AF16" s="8" t="str">
        <f t="shared" ca="1" si="28"/>
        <v/>
      </c>
      <c r="AG16" s="8" t="str">
        <f ca="1">IFERROR(IF(C16=0,"",IF(AND(VLOOKUP(PlayerGameData[[#This Row],[Opponent]],WYTeamInfo,2,FALSE)=Roster!$D$1,VLOOKUP(PlayerGameData[[#This Row],[Opponent]],WYTeamInfo,3,FALSE)=Roster!$D$2),"SR","")),"")</f>
        <v/>
      </c>
      <c r="AH16" s="8" t="str">
        <f>CONCATENATE(Roster!$D$1," ",Roster!$D$5)</f>
        <v>1A BB</v>
      </c>
      <c r="AI16" s="8" t="str">
        <f t="shared" ca="1" si="29"/>
        <v>Upton - Ten Sleep 12/9/2022</v>
      </c>
      <c r="AJ16" s="8">
        <f ca="1">IFERROR(VLOOKUP(PlayerGameData[[#This Row],[School, Opponent,Game'#]],Table3[],2,FALSE),0)</f>
        <v>1</v>
      </c>
      <c r="AK16" s="8">
        <f ca="1">IF(PlayerGameData[[#This Row],[Visible]]=1,1,1000)</f>
        <v>1</v>
      </c>
      <c r="AL16" s="8">
        <f ca="1">RANK(PlayerGameData[[#This Row],[TL PTS]],PlayerGameData[TL PTS],0)+PlayerGameData[[#This Row],[VisibleOrder]]</f>
        <v>51</v>
      </c>
      <c r="AM16" s="8">
        <f ca="1">IF(COUNTIF(PlayerGameData[PointOrder],PlayerGameData[[#This Row],[PointOrder]])&gt;1,RANK(PlayerGameData[[#This Row],[FGA]],PlayerGameData[FGA],0)/100,0)+PlayerGameData[[#This Row],[PointOrder]]</f>
        <v>51.59</v>
      </c>
      <c r="AN16" s="8">
        <f ca="1">RANK(PlayerGameData[[#This Row],[PointTieBreak]],PlayerGameData[PointTieBreak],1)</f>
        <v>52</v>
      </c>
      <c r="AO16" s="8">
        <f ca="1">RANK(PlayerGameData[[#This Row],[REB]],PlayerGameData[REB],0)+PlayerGameData[[#This Row],[VisibleOrder]]</f>
        <v>21</v>
      </c>
      <c r="AP16" s="8">
        <f ca="1">IF(COUNTIF(PlayerGameData[REBOrder],PlayerGameData[[#This Row],[REBOrder]])&gt;1,PlayerGameData[[#This Row],[PointRank]]/100+PlayerGameData[[#This Row],[REBOrder]],PlayerGameData[[#This Row],[REBOrder]])</f>
        <v>21.52</v>
      </c>
      <c r="AQ16" s="8">
        <f ca="1">RANK(PlayerGameData[[#This Row],[REBTieBreak]],PlayerGameData[REBTieBreak],1)</f>
        <v>24</v>
      </c>
      <c r="AR16" s="8">
        <f ca="1">RANK(PlayerGameData[[#This Row],[AST]],PlayerGameData[AST],0)+PlayerGameData[[#This Row],[VisibleOrder]]</f>
        <v>69</v>
      </c>
      <c r="AS16" s="8">
        <f ca="1">IF(COUNTIF(PlayerGameData[ASTOrder],PlayerGameData[[#This Row],[ASTOrder]])&gt;1,PlayerGameData[[#This Row],[PointRank]]/100+PlayerGameData[[#This Row],[ASTOrder]],PlayerGameData[[#This Row],[ASTOrder]])</f>
        <v>69.52</v>
      </c>
      <c r="AT16" s="8">
        <f ca="1">RANK(PlayerGameData[[#This Row],[ASTTieBreak]],PlayerGameData[ASTTieBreak],1)</f>
        <v>80</v>
      </c>
      <c r="AU16" s="8">
        <f ca="1">RANK(PlayerGameData[[#This Row],[STL]],PlayerGameData[STL],0)+PlayerGameData[[#This Row],[VisibleOrder]]</f>
        <v>26</v>
      </c>
      <c r="AV16" s="8">
        <f ca="1">IF(COUNTIF(PlayerGameData[STLOrder],PlayerGameData[[#This Row],[STLOrder]])&gt;1,PlayerGameData[[#This Row],[PointRank]]/100+PlayerGameData[[#This Row],[STLOrder]],PlayerGameData[[#This Row],[STLOrder]])</f>
        <v>26.52</v>
      </c>
      <c r="AW16" s="8">
        <f ca="1">RANK(PlayerGameData[[#This Row],[STLTieBreak]],PlayerGameData[STLTieBreak],1)</f>
        <v>33</v>
      </c>
      <c r="AX16" s="8">
        <f ca="1">RANK(PlayerGameData[[#This Row],[BLK]],PlayerGameData[BLK],0)+PlayerGameData[[#This Row],[VisibleOrder]]</f>
        <v>5</v>
      </c>
      <c r="AY16" s="8">
        <f ca="1">IF(COUNTIF(PlayerGameData[BLKOrder],PlayerGameData[[#This Row],[BLKOrder]])&gt;1,PlayerGameData[[#This Row],[PointRank]]/100+PlayerGameData[[#This Row],[BLKOrder]],PlayerGameData[[#This Row],[BLKOrder]])</f>
        <v>5.52</v>
      </c>
      <c r="AZ16" s="8">
        <f ca="1">RANK(PlayerGameData[[#This Row],[BLKTieBreak]],PlayerGameData[BLKTieBreak],1)</f>
        <v>6</v>
      </c>
      <c r="BA16" s="11">
        <f ca="1">IFERROR(IF(PlayerGameData[[#This Row],[FGA]]&gt;$AA$5,PlayerGameData[[#This Row],[FG%*]],PlayerGameData[[#This Row],[FG%*]]*-1),-2)</f>
        <v>0.44444444444444442</v>
      </c>
      <c r="BB16" s="8">
        <f ca="1">RANK(PlayerGameData[[#This Row],[EligFG]],PlayerGameData[EligFG],0)+PlayerGameData[[#This Row],[VisibleOrder]]</f>
        <v>56</v>
      </c>
      <c r="BC16" s="8">
        <f ca="1">IF(COUNTIF(PlayerGameData[EligFGOrder],PlayerGameData[[#This Row],[EligFGOrder]])&gt;1,PlayerGameData[[#This Row],[PointRank]]/100+PlayerGameData[[#This Row],[EligFGOrder]],PlayerGameData[[#This Row],[EligFGOrder]])</f>
        <v>56.52</v>
      </c>
      <c r="BD16" s="8">
        <f ca="1">RANK(PlayerGameData[[#This Row],[EligFGTieBreak]],PlayerGameData[EligFGTieBreak],1)</f>
        <v>56</v>
      </c>
      <c r="BE16" s="8" t="str">
        <f>Roster!$D$3</f>
        <v>East</v>
      </c>
      <c r="BF16" s="8" t="str">
        <f>Roster!$D$2</f>
        <v>Northeast</v>
      </c>
      <c r="BG16" s="8" t="str">
        <f>Roster!$D$4</f>
        <v>North</v>
      </c>
      <c r="BH16" s="197">
        <f ca="1">IFERROR(VLOOKUP(CONCATENATE(PlayerGameData[[#This Row],[Opponent]]," ",MONTH(PlayerGameData[[#This Row],[Date]]),"/",DAY(PlayerGameData[[#This Row],[Date]]),"/",YEAR(PlayerGameData[[#This Row],[Date]])),Table35[],2,FALSE),0)</f>
        <v>1</v>
      </c>
      <c r="BI16" s="197">
        <f ca="1">IF(PlayerGameData[[#This Row],[Visible]]=1,1,1000)</f>
        <v>1</v>
      </c>
      <c r="BJ16" s="197" t="e">
        <f ca="1">_xlfn.MAXIFS(TeamGameData[Win],TeamGameData[School, Opponent,Game'#],PlayerGameData[[#This Row],[School, Opponent,Game'#]])</f>
        <v>#NAME?</v>
      </c>
      <c r="BK16" s="197" t="e">
        <f ca="1">_xlfn.MAXIFS(TeamGameData[Loss],TeamGameData[School, Opponent,Game'#],PlayerGameData[[#This Row],[School, Opponent,Game'#]])</f>
        <v>#NAME?</v>
      </c>
    </row>
    <row r="17" spans="1:63" ht="10.5" x14ac:dyDescent="0.25">
      <c r="A17" s="8" t="str">
        <f t="shared" ca="1" si="0"/>
        <v>Matt Stirmel, 33</v>
      </c>
      <c r="B17" s="8" t="str">
        <f>Roster!$B$1</f>
        <v>Upton</v>
      </c>
      <c r="C17" s="8" t="str">
        <f t="shared" ca="1" si="1"/>
        <v>Ten Sleep</v>
      </c>
      <c r="D17" s="10">
        <f t="shared" ca="1" si="2"/>
        <v>44904</v>
      </c>
      <c r="E17" s="8">
        <f t="shared" ca="1" si="3"/>
        <v>1</v>
      </c>
      <c r="F17" s="8">
        <f t="shared" ca="1" si="4"/>
        <v>0</v>
      </c>
      <c r="G17" s="8">
        <f t="shared" ca="1" si="5"/>
        <v>1</v>
      </c>
      <c r="H17" s="8">
        <f t="shared" ca="1" si="6"/>
        <v>0</v>
      </c>
      <c r="I17" s="8">
        <f t="shared" ca="1" si="7"/>
        <v>0</v>
      </c>
      <c r="J17" s="8">
        <f t="shared" ca="1" si="8"/>
        <v>0</v>
      </c>
      <c r="K17" s="8">
        <f t="shared" ca="1" si="9"/>
        <v>0</v>
      </c>
      <c r="L17" s="8">
        <f t="shared" ca="1" si="10"/>
        <v>0</v>
      </c>
      <c r="M17" s="8">
        <f t="shared" ca="1" si="11"/>
        <v>0</v>
      </c>
      <c r="N17" s="8">
        <f t="shared" ca="1" si="12"/>
        <v>0</v>
      </c>
      <c r="O17" s="8">
        <f t="shared" ca="1" si="13"/>
        <v>0</v>
      </c>
      <c r="P17" s="8">
        <f t="shared" ca="1" si="14"/>
        <v>0</v>
      </c>
      <c r="Q17" s="8">
        <f t="shared" ca="1" si="15"/>
        <v>0</v>
      </c>
      <c r="R17" s="8">
        <f t="shared" ca="1" si="16"/>
        <v>0</v>
      </c>
      <c r="S17" s="8">
        <f t="shared" ca="1" si="17"/>
        <v>0</v>
      </c>
      <c r="T17" s="8">
        <f t="shared" ca="1" si="18"/>
        <v>0</v>
      </c>
      <c r="U17" s="8">
        <f t="shared" ca="1" si="19"/>
        <v>0</v>
      </c>
      <c r="V17" s="8">
        <f t="shared" ca="1" si="20"/>
        <v>0</v>
      </c>
      <c r="W17" s="11" t="str">
        <f t="shared" ca="1" si="21"/>
        <v/>
      </c>
      <c r="X17" s="11" t="str">
        <f t="shared" ca="1" si="22"/>
        <v/>
      </c>
      <c r="Y17" s="11" t="str">
        <f t="shared" ca="1" si="23"/>
        <v/>
      </c>
      <c r="Z17" s="11" t="str">
        <f t="shared" ca="1" si="24"/>
        <v/>
      </c>
      <c r="AA17" s="11" t="str">
        <f t="shared" ca="1" si="25"/>
        <v/>
      </c>
      <c r="AB17" s="47">
        <f ca="1">PlayerGameData[[#This Row],[3FGA]]+PlayerGameData[[#This Row],[2FGA]]</f>
        <v>0</v>
      </c>
      <c r="AC17" s="47">
        <f ca="1">PlayerGameData[[#This Row],[OFF REB]]+PlayerGameData[[#This Row],[DEF REB]]</f>
        <v>0</v>
      </c>
      <c r="AD17" s="8">
        <f t="shared" si="26"/>
        <v>1</v>
      </c>
      <c r="AE17" s="8" t="str">
        <f t="shared" ca="1" si="27"/>
        <v>Matt Stirmel, 33 - Ten Sleep 12/9/2022</v>
      </c>
      <c r="AF17" s="8" t="str">
        <f t="shared" ca="1" si="28"/>
        <v/>
      </c>
      <c r="AG17" s="8" t="str">
        <f ca="1">IFERROR(IF(C17=0,"",IF(AND(VLOOKUP(PlayerGameData[[#This Row],[Opponent]],WYTeamInfo,2,FALSE)=Roster!$D$1,VLOOKUP(PlayerGameData[[#This Row],[Opponent]],WYTeamInfo,3,FALSE)=Roster!$D$2),"SR","")),"")</f>
        <v/>
      </c>
      <c r="AH17" s="8" t="str">
        <f>CONCATENATE(Roster!$D$1," ",Roster!$D$5)</f>
        <v>1A BB</v>
      </c>
      <c r="AI17" s="8" t="str">
        <f t="shared" ca="1" si="29"/>
        <v>Upton - Ten Sleep 12/9/2022</v>
      </c>
      <c r="AJ17" s="8">
        <f ca="1">IFERROR(VLOOKUP(PlayerGameData[[#This Row],[School, Opponent,Game'#]],Table3[],2,FALSE),0)</f>
        <v>1</v>
      </c>
      <c r="AK17" s="8">
        <f ca="1">IF(PlayerGameData[[#This Row],[Visible]]=1,1,1000)</f>
        <v>1</v>
      </c>
      <c r="AL17" s="8">
        <f ca="1">RANK(PlayerGameData[[#This Row],[TL PTS]],PlayerGameData[TL PTS],0)+PlayerGameData[[#This Row],[VisibleOrder]]</f>
        <v>185</v>
      </c>
      <c r="AM17" s="8">
        <f ca="1">IF(COUNTIF(PlayerGameData[PointOrder],PlayerGameData[[#This Row],[PointOrder]])&gt;1,RANK(PlayerGameData[[#This Row],[FGA]],PlayerGameData[FGA],0)/100,0)+PlayerGameData[[#This Row],[PointOrder]]</f>
        <v>187.14</v>
      </c>
      <c r="AN17" s="8">
        <f ca="1">RANK(PlayerGameData[[#This Row],[PointTieBreak]],PlayerGameData[PointTieBreak],1)</f>
        <v>216</v>
      </c>
      <c r="AO17" s="8">
        <f ca="1">RANK(PlayerGameData[[#This Row],[REB]],PlayerGameData[REB],0)+PlayerGameData[[#This Row],[VisibleOrder]]</f>
        <v>192</v>
      </c>
      <c r="AP17" s="8">
        <f ca="1">IF(COUNTIF(PlayerGameData[REBOrder],PlayerGameData[[#This Row],[REBOrder]])&gt;1,PlayerGameData[[#This Row],[PointRank]]/100+PlayerGameData[[#This Row],[REBOrder]],PlayerGameData[[#This Row],[REBOrder]])</f>
        <v>194.16</v>
      </c>
      <c r="AQ17" s="8">
        <f ca="1">RANK(PlayerGameData[[#This Row],[REBTieBreak]],PlayerGameData[REBTieBreak],1)</f>
        <v>224</v>
      </c>
      <c r="AR17" s="8">
        <f ca="1">RANK(PlayerGameData[[#This Row],[AST]],PlayerGameData[AST],0)+PlayerGameData[[#This Row],[VisibleOrder]]</f>
        <v>158</v>
      </c>
      <c r="AS17" s="8">
        <f ca="1">IF(COUNTIF(PlayerGameData[ASTOrder],PlayerGameData[[#This Row],[ASTOrder]])&gt;1,PlayerGameData[[#This Row],[PointRank]]/100+PlayerGameData[[#This Row],[ASTOrder]],PlayerGameData[[#This Row],[ASTOrder]])</f>
        <v>160.16</v>
      </c>
      <c r="AT17" s="8">
        <f ca="1">RANK(PlayerGameData[[#This Row],[ASTTieBreak]],PlayerGameData[ASTTieBreak],1)</f>
        <v>221</v>
      </c>
      <c r="AU17" s="8">
        <f ca="1">RANK(PlayerGameData[[#This Row],[STL]],PlayerGameData[STL],0)+PlayerGameData[[#This Row],[VisibleOrder]]</f>
        <v>143</v>
      </c>
      <c r="AV17" s="8">
        <f ca="1">IF(COUNTIF(PlayerGameData[STLOrder],PlayerGameData[[#This Row],[STLOrder]])&gt;1,PlayerGameData[[#This Row],[PointRank]]/100+PlayerGameData[[#This Row],[STLOrder]],PlayerGameData[[#This Row],[STLOrder]])</f>
        <v>145.16</v>
      </c>
      <c r="AW17" s="8">
        <f ca="1">RANK(PlayerGameData[[#This Row],[STLTieBreak]],PlayerGameData[STLTieBreak],1)</f>
        <v>217</v>
      </c>
      <c r="AX17" s="8">
        <f ca="1">RANK(PlayerGameData[[#This Row],[BLK]],PlayerGameData[BLK],0)+PlayerGameData[[#This Row],[VisibleOrder]]</f>
        <v>32</v>
      </c>
      <c r="AY17" s="8">
        <f ca="1">IF(COUNTIF(PlayerGameData[BLKOrder],PlayerGameData[[#This Row],[BLKOrder]])&gt;1,PlayerGameData[[#This Row],[PointRank]]/100+PlayerGameData[[#This Row],[BLKOrder]],PlayerGameData[[#This Row],[BLKOrder]])</f>
        <v>34.159999999999997</v>
      </c>
      <c r="AZ17" s="8">
        <f ca="1">RANK(PlayerGameData[[#This Row],[BLKTieBreak]],PlayerGameData[BLKTieBreak],1)</f>
        <v>216</v>
      </c>
      <c r="BA17" s="11">
        <f ca="1">IFERROR(IF(PlayerGameData[[#This Row],[FGA]]&gt;$AA$5,PlayerGameData[[#This Row],[FG%*]],PlayerGameData[[#This Row],[FG%*]]*-1),-2)</f>
        <v>-2</v>
      </c>
      <c r="BB17" s="8">
        <f ca="1">RANK(PlayerGameData[[#This Row],[EligFG]],PlayerGameData[EligFG],0)+PlayerGameData[[#This Row],[VisibleOrder]]</f>
        <v>215</v>
      </c>
      <c r="BC17" s="8">
        <f ca="1">IF(COUNTIF(PlayerGameData[EligFGOrder],PlayerGameData[[#This Row],[EligFGOrder]])&gt;1,PlayerGameData[[#This Row],[PointRank]]/100+PlayerGameData[[#This Row],[EligFGOrder]],PlayerGameData[[#This Row],[EligFGOrder]])</f>
        <v>217.16</v>
      </c>
      <c r="BD17" s="8">
        <f ca="1">RANK(PlayerGameData[[#This Row],[EligFGTieBreak]],PlayerGameData[EligFGTieBreak],1)</f>
        <v>216</v>
      </c>
      <c r="BE17" s="8" t="str">
        <f>Roster!$D$3</f>
        <v>East</v>
      </c>
      <c r="BF17" s="8" t="str">
        <f>Roster!$D$2</f>
        <v>Northeast</v>
      </c>
      <c r="BG17" s="8" t="str">
        <f>Roster!$D$4</f>
        <v>North</v>
      </c>
      <c r="BH17" s="197">
        <f ca="1">IFERROR(VLOOKUP(CONCATENATE(PlayerGameData[[#This Row],[Opponent]]," ",MONTH(PlayerGameData[[#This Row],[Date]]),"/",DAY(PlayerGameData[[#This Row],[Date]]),"/",YEAR(PlayerGameData[[#This Row],[Date]])),Table35[],2,FALSE),0)</f>
        <v>1</v>
      </c>
      <c r="BI17" s="197">
        <f ca="1">IF(PlayerGameData[[#This Row],[Visible]]=1,1,1000)</f>
        <v>1</v>
      </c>
      <c r="BJ17" s="197" t="e">
        <f ca="1">_xlfn.MAXIFS(TeamGameData[Win],TeamGameData[School, Opponent,Game'#],PlayerGameData[[#This Row],[School, Opponent,Game'#]])</f>
        <v>#NAME?</v>
      </c>
      <c r="BK17" s="197" t="e">
        <f ca="1">_xlfn.MAXIFS(TeamGameData[Loss],TeamGameData[School, Opponent,Game'#],PlayerGameData[[#This Row],[School, Opponent,Game'#]])</f>
        <v>#NAME?</v>
      </c>
    </row>
    <row r="18" spans="1:63" x14ac:dyDescent="0.25">
      <c r="A18" s="8" t="str">
        <f t="shared" ca="1" si="0"/>
        <v>Jacob McNutt, 34</v>
      </c>
      <c r="B18" s="8" t="str">
        <f>Roster!$B$1</f>
        <v>Upton</v>
      </c>
      <c r="C18" s="8" t="str">
        <f t="shared" ca="1" si="1"/>
        <v>Ten Sleep</v>
      </c>
      <c r="D18" s="10">
        <f t="shared" ca="1" si="2"/>
        <v>44904</v>
      </c>
      <c r="E18" s="8">
        <f t="shared" ca="1" si="3"/>
        <v>1</v>
      </c>
      <c r="F18" s="8">
        <f t="shared" ca="1" si="4"/>
        <v>0</v>
      </c>
      <c r="G18" s="8">
        <f t="shared" ca="1" si="5"/>
        <v>1</v>
      </c>
      <c r="H18" s="8">
        <f t="shared" ca="1" si="6"/>
        <v>0</v>
      </c>
      <c r="I18" s="8">
        <f t="shared" ca="1" si="7"/>
        <v>0</v>
      </c>
      <c r="J18" s="8">
        <f t="shared" ca="1" si="8"/>
        <v>0</v>
      </c>
      <c r="K18" s="8">
        <f t="shared" ca="1" si="9"/>
        <v>0</v>
      </c>
      <c r="L18" s="8">
        <f t="shared" ca="1" si="10"/>
        <v>0</v>
      </c>
      <c r="M18" s="8">
        <f t="shared" ca="1" si="11"/>
        <v>0</v>
      </c>
      <c r="N18" s="8">
        <f t="shared" ca="1" si="12"/>
        <v>0</v>
      </c>
      <c r="O18" s="8">
        <f t="shared" ca="1" si="13"/>
        <v>0</v>
      </c>
      <c r="P18" s="8">
        <f t="shared" ca="1" si="14"/>
        <v>0</v>
      </c>
      <c r="Q18" s="8">
        <f t="shared" ca="1" si="15"/>
        <v>0</v>
      </c>
      <c r="R18" s="8">
        <f t="shared" ca="1" si="16"/>
        <v>0</v>
      </c>
      <c r="S18" s="8">
        <f t="shared" ca="1" si="17"/>
        <v>0</v>
      </c>
      <c r="T18" s="8">
        <f t="shared" ca="1" si="18"/>
        <v>0</v>
      </c>
      <c r="U18" s="8">
        <f t="shared" ca="1" si="19"/>
        <v>0</v>
      </c>
      <c r="V18" s="8">
        <f t="shared" ca="1" si="20"/>
        <v>0</v>
      </c>
      <c r="W18" s="11" t="str">
        <f t="shared" ca="1" si="21"/>
        <v/>
      </c>
      <c r="X18" s="11" t="str">
        <f t="shared" ca="1" si="22"/>
        <v/>
      </c>
      <c r="Y18" s="11" t="str">
        <f t="shared" ca="1" si="23"/>
        <v/>
      </c>
      <c r="Z18" s="11" t="str">
        <f t="shared" ca="1" si="24"/>
        <v/>
      </c>
      <c r="AA18" s="11" t="str">
        <f t="shared" ca="1" si="25"/>
        <v/>
      </c>
      <c r="AB18" s="47">
        <f ca="1">PlayerGameData[[#This Row],[3FGA]]+PlayerGameData[[#This Row],[2FGA]]</f>
        <v>0</v>
      </c>
      <c r="AC18" s="47">
        <f ca="1">PlayerGameData[[#This Row],[OFF REB]]+PlayerGameData[[#This Row],[DEF REB]]</f>
        <v>0</v>
      </c>
      <c r="AD18" s="8">
        <f t="shared" si="26"/>
        <v>1</v>
      </c>
      <c r="AE18" s="8" t="str">
        <f t="shared" ca="1" si="27"/>
        <v>Jacob McNutt, 34 - Ten Sleep 12/9/2022</v>
      </c>
      <c r="AF18" s="8" t="str">
        <f t="shared" ca="1" si="28"/>
        <v/>
      </c>
      <c r="AG18" s="8" t="str">
        <f ca="1">IFERROR(IF(C18=0,"",IF(AND(VLOOKUP(PlayerGameData[[#This Row],[Opponent]],WYTeamInfo,2,FALSE)=Roster!$D$1,VLOOKUP(PlayerGameData[[#This Row],[Opponent]],WYTeamInfo,3,FALSE)=Roster!$D$2),"SR","")),"")</f>
        <v/>
      </c>
      <c r="AH18" s="8" t="str">
        <f>CONCATENATE(Roster!$D$1," ",Roster!$D$5)</f>
        <v>1A BB</v>
      </c>
      <c r="AI18" s="8" t="str">
        <f t="shared" ca="1" si="29"/>
        <v>Upton - Ten Sleep 12/9/2022</v>
      </c>
      <c r="AJ18" s="8">
        <f ca="1">IFERROR(VLOOKUP(PlayerGameData[[#This Row],[School, Opponent,Game'#]],Table3[],2,FALSE),0)</f>
        <v>1</v>
      </c>
      <c r="AK18" s="8">
        <f ca="1">IF(PlayerGameData[[#This Row],[Visible]]=1,1,1000)</f>
        <v>1</v>
      </c>
      <c r="AL18" s="8">
        <f ca="1">RANK(PlayerGameData[[#This Row],[TL PTS]],PlayerGameData[TL PTS],0)+PlayerGameData[[#This Row],[VisibleOrder]]</f>
        <v>185</v>
      </c>
      <c r="AM18" s="8">
        <f ca="1">IF(COUNTIF(PlayerGameData[PointOrder],PlayerGameData[[#This Row],[PointOrder]])&gt;1,RANK(PlayerGameData[[#This Row],[FGA]],PlayerGameData[FGA],0)/100,0)+PlayerGameData[[#This Row],[PointOrder]]</f>
        <v>187.14</v>
      </c>
      <c r="AN18" s="8">
        <f ca="1">RANK(PlayerGameData[[#This Row],[PointTieBreak]],PlayerGameData[PointTieBreak],1)</f>
        <v>216</v>
      </c>
      <c r="AO18" s="8">
        <f ca="1">RANK(PlayerGameData[[#This Row],[REB]],PlayerGameData[REB],0)+PlayerGameData[[#This Row],[VisibleOrder]]</f>
        <v>192</v>
      </c>
      <c r="AP18" s="8">
        <f ca="1">IF(COUNTIF(PlayerGameData[REBOrder],PlayerGameData[[#This Row],[REBOrder]])&gt;1,PlayerGameData[[#This Row],[PointRank]]/100+PlayerGameData[[#This Row],[REBOrder]],PlayerGameData[[#This Row],[REBOrder]])</f>
        <v>194.16</v>
      </c>
      <c r="AQ18" s="8">
        <f ca="1">RANK(PlayerGameData[[#This Row],[REBTieBreak]],PlayerGameData[REBTieBreak],1)</f>
        <v>224</v>
      </c>
      <c r="AR18" s="8">
        <f ca="1">RANK(PlayerGameData[[#This Row],[AST]],PlayerGameData[AST],0)+PlayerGameData[[#This Row],[VisibleOrder]]</f>
        <v>158</v>
      </c>
      <c r="AS18" s="8">
        <f ca="1">IF(COUNTIF(PlayerGameData[ASTOrder],PlayerGameData[[#This Row],[ASTOrder]])&gt;1,PlayerGameData[[#This Row],[PointRank]]/100+PlayerGameData[[#This Row],[ASTOrder]],PlayerGameData[[#This Row],[ASTOrder]])</f>
        <v>160.16</v>
      </c>
      <c r="AT18" s="8">
        <f ca="1">RANK(PlayerGameData[[#This Row],[ASTTieBreak]],PlayerGameData[ASTTieBreak],1)</f>
        <v>221</v>
      </c>
      <c r="AU18" s="8">
        <f ca="1">RANK(PlayerGameData[[#This Row],[STL]],PlayerGameData[STL],0)+PlayerGameData[[#This Row],[VisibleOrder]]</f>
        <v>143</v>
      </c>
      <c r="AV18" s="8">
        <f ca="1">IF(COUNTIF(PlayerGameData[STLOrder],PlayerGameData[[#This Row],[STLOrder]])&gt;1,PlayerGameData[[#This Row],[PointRank]]/100+PlayerGameData[[#This Row],[STLOrder]],PlayerGameData[[#This Row],[STLOrder]])</f>
        <v>145.16</v>
      </c>
      <c r="AW18" s="8">
        <f ca="1">RANK(PlayerGameData[[#This Row],[STLTieBreak]],PlayerGameData[STLTieBreak],1)</f>
        <v>217</v>
      </c>
      <c r="AX18" s="8">
        <f ca="1">RANK(PlayerGameData[[#This Row],[BLK]],PlayerGameData[BLK],0)+PlayerGameData[[#This Row],[VisibleOrder]]</f>
        <v>32</v>
      </c>
      <c r="AY18" s="8">
        <f ca="1">IF(COUNTIF(PlayerGameData[BLKOrder],PlayerGameData[[#This Row],[BLKOrder]])&gt;1,PlayerGameData[[#This Row],[PointRank]]/100+PlayerGameData[[#This Row],[BLKOrder]],PlayerGameData[[#This Row],[BLKOrder]])</f>
        <v>34.159999999999997</v>
      </c>
      <c r="AZ18" s="8">
        <f ca="1">RANK(PlayerGameData[[#This Row],[BLKTieBreak]],PlayerGameData[BLKTieBreak],1)</f>
        <v>216</v>
      </c>
      <c r="BA18" s="11">
        <f ca="1">IFERROR(IF(PlayerGameData[[#This Row],[FGA]]&gt;$AA$5,PlayerGameData[[#This Row],[FG%*]],PlayerGameData[[#This Row],[FG%*]]*-1),-2)</f>
        <v>-2</v>
      </c>
      <c r="BB18" s="8">
        <f ca="1">RANK(PlayerGameData[[#This Row],[EligFG]],PlayerGameData[EligFG],0)+PlayerGameData[[#This Row],[VisibleOrder]]</f>
        <v>215</v>
      </c>
      <c r="BC18" s="8">
        <f ca="1">IF(COUNTIF(PlayerGameData[EligFGOrder],PlayerGameData[[#This Row],[EligFGOrder]])&gt;1,PlayerGameData[[#This Row],[PointRank]]/100+PlayerGameData[[#This Row],[EligFGOrder]],PlayerGameData[[#This Row],[EligFGOrder]])</f>
        <v>217.16</v>
      </c>
      <c r="BD18" s="8">
        <f ca="1">RANK(PlayerGameData[[#This Row],[EligFGTieBreak]],PlayerGameData[EligFGTieBreak],1)</f>
        <v>216</v>
      </c>
      <c r="BE18" s="8" t="str">
        <f>Roster!$D$3</f>
        <v>East</v>
      </c>
      <c r="BF18" s="8" t="str">
        <f>Roster!$D$2</f>
        <v>Northeast</v>
      </c>
      <c r="BG18" s="8" t="str">
        <f>Roster!$D$4</f>
        <v>North</v>
      </c>
      <c r="BH18" s="197">
        <f ca="1">IFERROR(VLOOKUP(CONCATENATE(PlayerGameData[[#This Row],[Opponent]]," ",MONTH(PlayerGameData[[#This Row],[Date]]),"/",DAY(PlayerGameData[[#This Row],[Date]]),"/",YEAR(PlayerGameData[[#This Row],[Date]])),Table35[],2,FALSE),0)</f>
        <v>1</v>
      </c>
      <c r="BI18" s="197">
        <f ca="1">IF(PlayerGameData[[#This Row],[Visible]]=1,1,1000)</f>
        <v>1</v>
      </c>
      <c r="BJ18" s="197" t="e">
        <f ca="1">_xlfn.MAXIFS(TeamGameData[Win],TeamGameData[School, Opponent,Game'#],PlayerGameData[[#This Row],[School, Opponent,Game'#]])</f>
        <v>#NAME?</v>
      </c>
      <c r="BK18" s="197" t="e">
        <f ca="1">_xlfn.MAXIFS(TeamGameData[Loss],TeamGameData[School, Opponent,Game'#],PlayerGameData[[#This Row],[School, Opponent,Game'#]])</f>
        <v>#NAME?</v>
      </c>
    </row>
    <row r="19" spans="1:63" x14ac:dyDescent="0.25">
      <c r="A19" s="8" t="str">
        <f t="shared" ca="1" si="0"/>
        <v>Ryan Baker, 35</v>
      </c>
      <c r="B19" s="8" t="str">
        <f>Roster!$B$1</f>
        <v>Upton</v>
      </c>
      <c r="C19" s="8" t="str">
        <f t="shared" ca="1" si="1"/>
        <v>Ten Sleep</v>
      </c>
      <c r="D19" s="10">
        <f t="shared" ca="1" si="2"/>
        <v>44904</v>
      </c>
      <c r="E19" s="8">
        <f t="shared" ca="1" si="3"/>
        <v>1</v>
      </c>
      <c r="F19" s="8">
        <f t="shared" ca="1" si="4"/>
        <v>0</v>
      </c>
      <c r="G19" s="8">
        <f t="shared" ca="1" si="5"/>
        <v>11</v>
      </c>
      <c r="H19" s="8">
        <f t="shared" ca="1" si="6"/>
        <v>0</v>
      </c>
      <c r="I19" s="8">
        <f t="shared" ca="1" si="7"/>
        <v>0</v>
      </c>
      <c r="J19" s="8">
        <f t="shared" ca="1" si="8"/>
        <v>0</v>
      </c>
      <c r="K19" s="8">
        <f t="shared" ca="1" si="9"/>
        <v>1</v>
      </c>
      <c r="L19" s="8">
        <f t="shared" ca="1" si="10"/>
        <v>0</v>
      </c>
      <c r="M19" s="8">
        <f t="shared" ca="1" si="11"/>
        <v>0</v>
      </c>
      <c r="N19" s="8">
        <f t="shared" ca="1" si="12"/>
        <v>0</v>
      </c>
      <c r="O19" s="8">
        <f t="shared" ca="1" si="13"/>
        <v>1</v>
      </c>
      <c r="P19" s="8">
        <f t="shared" ca="1" si="14"/>
        <v>0</v>
      </c>
      <c r="Q19" s="8">
        <f t="shared" ca="1" si="15"/>
        <v>0</v>
      </c>
      <c r="R19" s="8">
        <f t="shared" ca="1" si="16"/>
        <v>0</v>
      </c>
      <c r="S19" s="8">
        <f t="shared" ca="1" si="17"/>
        <v>0</v>
      </c>
      <c r="T19" s="8">
        <f t="shared" ca="1" si="18"/>
        <v>1</v>
      </c>
      <c r="U19" s="8">
        <f t="shared" ca="1" si="19"/>
        <v>0</v>
      </c>
      <c r="V19" s="8">
        <f t="shared" ca="1" si="20"/>
        <v>0</v>
      </c>
      <c r="W19" s="11" t="str">
        <f t="shared" ca="1" si="21"/>
        <v/>
      </c>
      <c r="X19" s="11">
        <f t="shared" ca="1" si="22"/>
        <v>0</v>
      </c>
      <c r="Y19" s="11" t="str">
        <f t="shared" ca="1" si="23"/>
        <v/>
      </c>
      <c r="Z19" s="11">
        <f t="shared" ca="1" si="24"/>
        <v>0</v>
      </c>
      <c r="AA19" s="11">
        <f t="shared" ca="1" si="25"/>
        <v>0</v>
      </c>
      <c r="AB19" s="47">
        <f ca="1">PlayerGameData[[#This Row],[3FGA]]+PlayerGameData[[#This Row],[2FGA]]</f>
        <v>1</v>
      </c>
      <c r="AC19" s="47">
        <f ca="1">PlayerGameData[[#This Row],[OFF REB]]+PlayerGameData[[#This Row],[DEF REB]]</f>
        <v>1</v>
      </c>
      <c r="AD19" s="8">
        <f t="shared" si="26"/>
        <v>1</v>
      </c>
      <c r="AE19" s="8" t="str">
        <f t="shared" ca="1" si="27"/>
        <v>Ryan Baker, 35 - Ten Sleep 12/9/2022</v>
      </c>
      <c r="AF19" s="8" t="str">
        <f t="shared" ca="1" si="28"/>
        <v/>
      </c>
      <c r="AG19" s="8" t="str">
        <f ca="1">IFERROR(IF(C19=0,"",IF(AND(VLOOKUP(PlayerGameData[[#This Row],[Opponent]],WYTeamInfo,2,FALSE)=Roster!$D$1,VLOOKUP(PlayerGameData[[#This Row],[Opponent]],WYTeamInfo,3,FALSE)=Roster!$D$2),"SR","")),"")</f>
        <v/>
      </c>
      <c r="AH19" s="8" t="str">
        <f>CONCATENATE(Roster!$D$1," ",Roster!$D$5)</f>
        <v>1A BB</v>
      </c>
      <c r="AI19" s="8" t="str">
        <f t="shared" ca="1" si="29"/>
        <v>Upton - Ten Sleep 12/9/2022</v>
      </c>
      <c r="AJ19" s="8">
        <f ca="1">IFERROR(VLOOKUP(PlayerGameData[[#This Row],[School, Opponent,Game'#]],Table3[],2,FALSE),0)</f>
        <v>1</v>
      </c>
      <c r="AK19" s="8">
        <f ca="1">IF(PlayerGameData[[#This Row],[Visible]]=1,1,1000)</f>
        <v>1</v>
      </c>
      <c r="AL19" s="8">
        <f ca="1">RANK(PlayerGameData[[#This Row],[TL PTS]],PlayerGameData[TL PTS],0)+PlayerGameData[[#This Row],[VisibleOrder]]</f>
        <v>185</v>
      </c>
      <c r="AM19" s="8">
        <f ca="1">IF(COUNTIF(PlayerGameData[PointOrder],PlayerGameData[[#This Row],[PointOrder]])&gt;1,RANK(PlayerGameData[[#This Row],[FGA]],PlayerGameData[FGA],0)/100,0)+PlayerGameData[[#This Row],[PointOrder]]</f>
        <v>186.82</v>
      </c>
      <c r="AN19" s="8">
        <f ca="1">RANK(PlayerGameData[[#This Row],[PointTieBreak]],PlayerGameData[PointTieBreak],1)</f>
        <v>196</v>
      </c>
      <c r="AO19" s="8">
        <f ca="1">RANK(PlayerGameData[[#This Row],[REB]],PlayerGameData[REB],0)+PlayerGameData[[#This Row],[VisibleOrder]]</f>
        <v>163</v>
      </c>
      <c r="AP19" s="8">
        <f ca="1">IF(COUNTIF(PlayerGameData[REBOrder],PlayerGameData[[#This Row],[REBOrder]])&gt;1,PlayerGameData[[#This Row],[PointRank]]/100+PlayerGameData[[#This Row],[REBOrder]],PlayerGameData[[#This Row],[REBOrder]])</f>
        <v>164.96</v>
      </c>
      <c r="AQ19" s="8">
        <f ca="1">RANK(PlayerGameData[[#This Row],[REBTieBreak]],PlayerGameData[REBTieBreak],1)</f>
        <v>182</v>
      </c>
      <c r="AR19" s="8">
        <f ca="1">RANK(PlayerGameData[[#This Row],[AST]],PlayerGameData[AST],0)+PlayerGameData[[#This Row],[VisibleOrder]]</f>
        <v>158</v>
      </c>
      <c r="AS19" s="8">
        <f ca="1">IF(COUNTIF(PlayerGameData[ASTOrder],PlayerGameData[[#This Row],[ASTOrder]])&gt;1,PlayerGameData[[#This Row],[PointRank]]/100+PlayerGameData[[#This Row],[ASTOrder]],PlayerGameData[[#This Row],[ASTOrder]])</f>
        <v>159.96</v>
      </c>
      <c r="AT19" s="8">
        <f ca="1">RANK(PlayerGameData[[#This Row],[ASTTieBreak]],PlayerGameData[ASTTieBreak],1)</f>
        <v>208</v>
      </c>
      <c r="AU19" s="8">
        <f ca="1">RANK(PlayerGameData[[#This Row],[STL]],PlayerGameData[STL],0)+PlayerGameData[[#This Row],[VisibleOrder]]</f>
        <v>143</v>
      </c>
      <c r="AV19" s="8">
        <f ca="1">IF(COUNTIF(PlayerGameData[STLOrder],PlayerGameData[[#This Row],[STLOrder]])&gt;1,PlayerGameData[[#This Row],[PointRank]]/100+PlayerGameData[[#This Row],[STLOrder]],PlayerGameData[[#This Row],[STLOrder]])</f>
        <v>144.96</v>
      </c>
      <c r="AW19" s="8">
        <f ca="1">RANK(PlayerGameData[[#This Row],[STLTieBreak]],PlayerGameData[STLTieBreak],1)</f>
        <v>200</v>
      </c>
      <c r="AX19" s="8">
        <f ca="1">RANK(PlayerGameData[[#This Row],[BLK]],PlayerGameData[BLK],0)+PlayerGameData[[#This Row],[VisibleOrder]]</f>
        <v>32</v>
      </c>
      <c r="AY19" s="8">
        <f ca="1">IF(COUNTIF(PlayerGameData[BLKOrder],PlayerGameData[[#This Row],[BLKOrder]])&gt;1,PlayerGameData[[#This Row],[PointRank]]/100+PlayerGameData[[#This Row],[BLKOrder]],PlayerGameData[[#This Row],[BLKOrder]])</f>
        <v>33.96</v>
      </c>
      <c r="AZ19" s="8">
        <f ca="1">RANK(PlayerGameData[[#This Row],[BLKTieBreak]],PlayerGameData[BLKTieBreak],1)</f>
        <v>196</v>
      </c>
      <c r="BA19" s="11">
        <f ca="1">IFERROR(IF(PlayerGameData[[#This Row],[FGA]]&gt;$AA$5,PlayerGameData[[#This Row],[FG%*]],PlayerGameData[[#This Row],[FG%*]]*-1),-2)</f>
        <v>0</v>
      </c>
      <c r="BB19" s="8">
        <f ca="1">RANK(PlayerGameData[[#This Row],[EligFG]],PlayerGameData[EligFG],0)+PlayerGameData[[#This Row],[VisibleOrder]]</f>
        <v>117</v>
      </c>
      <c r="BC19" s="8">
        <f ca="1">IF(COUNTIF(PlayerGameData[EligFGOrder],PlayerGameData[[#This Row],[EligFGOrder]])&gt;1,PlayerGameData[[#This Row],[PointRank]]/100+PlayerGameData[[#This Row],[EligFGOrder]],PlayerGameData[[#This Row],[EligFGOrder]])</f>
        <v>118.96</v>
      </c>
      <c r="BD19" s="8">
        <f ca="1">RANK(PlayerGameData[[#This Row],[EligFGTieBreak]],PlayerGameData[EligFGTieBreak],1)</f>
        <v>138</v>
      </c>
      <c r="BE19" s="8" t="str">
        <f>Roster!$D$3</f>
        <v>East</v>
      </c>
      <c r="BF19" s="8" t="str">
        <f>Roster!$D$2</f>
        <v>Northeast</v>
      </c>
      <c r="BG19" s="8" t="str">
        <f>Roster!$D$4</f>
        <v>North</v>
      </c>
      <c r="BH19" s="197">
        <f ca="1">IFERROR(VLOOKUP(CONCATENATE(PlayerGameData[[#This Row],[Opponent]]," ",MONTH(PlayerGameData[[#This Row],[Date]]),"/",DAY(PlayerGameData[[#This Row],[Date]]),"/",YEAR(PlayerGameData[[#This Row],[Date]])),Table35[],2,FALSE),0)</f>
        <v>1</v>
      </c>
      <c r="BI19" s="197">
        <f ca="1">IF(PlayerGameData[[#This Row],[Visible]]=1,1,1000)</f>
        <v>1</v>
      </c>
      <c r="BJ19" s="197" t="e">
        <f ca="1">_xlfn.MAXIFS(TeamGameData[Win],TeamGameData[School, Opponent,Game'#],PlayerGameData[[#This Row],[School, Opponent,Game'#]])</f>
        <v>#NAME?</v>
      </c>
      <c r="BK19" s="197" t="e">
        <f ca="1">_xlfn.MAXIFS(TeamGameData[Loss],TeamGameData[School, Opponent,Game'#],PlayerGameData[[#This Row],[School, Opponent,Game'#]])</f>
        <v>#NAME?</v>
      </c>
    </row>
    <row r="20" spans="1:63" x14ac:dyDescent="0.25">
      <c r="A20" s="8" t="str">
        <f t="shared" ca="1" si="0"/>
        <v xml:space="preserve">, </v>
      </c>
      <c r="B20" s="8" t="str">
        <f>Roster!$B$1</f>
        <v>Upton</v>
      </c>
      <c r="C20" s="8" t="str">
        <f t="shared" ca="1" si="1"/>
        <v>Ten Sleep</v>
      </c>
      <c r="D20" s="10">
        <f t="shared" ca="1" si="2"/>
        <v>44904</v>
      </c>
      <c r="E20" s="8">
        <f t="shared" ca="1" si="3"/>
        <v>0</v>
      </c>
      <c r="F20" s="8">
        <f t="shared" ca="1" si="4"/>
        <v>0</v>
      </c>
      <c r="G20" s="8">
        <f t="shared" ca="1" si="5"/>
        <v>0</v>
      </c>
      <c r="H20" s="8">
        <f t="shared" ca="1" si="6"/>
        <v>0</v>
      </c>
      <c r="I20" s="8">
        <f t="shared" ca="1" si="7"/>
        <v>0</v>
      </c>
      <c r="J20" s="8">
        <f t="shared" ca="1" si="8"/>
        <v>0</v>
      </c>
      <c r="K20" s="8">
        <f t="shared" ca="1" si="9"/>
        <v>0</v>
      </c>
      <c r="L20" s="8">
        <f t="shared" ca="1" si="10"/>
        <v>0</v>
      </c>
      <c r="M20" s="8">
        <f t="shared" ca="1" si="11"/>
        <v>0</v>
      </c>
      <c r="N20" s="8">
        <f t="shared" ca="1" si="12"/>
        <v>0</v>
      </c>
      <c r="O20" s="8">
        <f t="shared" ca="1" si="13"/>
        <v>0</v>
      </c>
      <c r="P20" s="8">
        <f t="shared" ca="1" si="14"/>
        <v>0</v>
      </c>
      <c r="Q20" s="8">
        <f t="shared" ca="1" si="15"/>
        <v>0</v>
      </c>
      <c r="R20" s="8">
        <f t="shared" ca="1" si="16"/>
        <v>0</v>
      </c>
      <c r="S20" s="8">
        <f t="shared" ca="1" si="17"/>
        <v>0</v>
      </c>
      <c r="T20" s="8">
        <f t="shared" ca="1" si="18"/>
        <v>0</v>
      </c>
      <c r="U20" s="8">
        <f t="shared" ca="1" si="19"/>
        <v>0</v>
      </c>
      <c r="V20" s="8">
        <f t="shared" ca="1" si="20"/>
        <v>0</v>
      </c>
      <c r="W20" s="11" t="str">
        <f t="shared" ca="1" si="21"/>
        <v/>
      </c>
      <c r="X20" s="11" t="str">
        <f t="shared" ca="1" si="22"/>
        <v/>
      </c>
      <c r="Y20" s="11" t="str">
        <f t="shared" ca="1" si="23"/>
        <v/>
      </c>
      <c r="Z20" s="11" t="str">
        <f t="shared" ca="1" si="24"/>
        <v/>
      </c>
      <c r="AA20" s="11" t="str">
        <f t="shared" ca="1" si="25"/>
        <v/>
      </c>
      <c r="AB20" s="47">
        <f ca="1">PlayerGameData[[#This Row],[3FGA]]+PlayerGameData[[#This Row],[2FGA]]</f>
        <v>0</v>
      </c>
      <c r="AC20" s="47">
        <f ca="1">PlayerGameData[[#This Row],[OFF REB]]+PlayerGameData[[#This Row],[DEF REB]]</f>
        <v>0</v>
      </c>
      <c r="AD20" s="8">
        <f t="shared" si="26"/>
        <v>1</v>
      </c>
      <c r="AE20" s="8" t="str">
        <f t="shared" ca="1" si="27"/>
        <v>,  - Ten Sleep 12/9/2022</v>
      </c>
      <c r="AF20" s="8" t="str">
        <f t="shared" ca="1" si="28"/>
        <v/>
      </c>
      <c r="AG20" s="8" t="str">
        <f ca="1">IFERROR(IF(C20=0,"",IF(AND(VLOOKUP(PlayerGameData[[#This Row],[Opponent]],WYTeamInfo,2,FALSE)=Roster!$D$1,VLOOKUP(PlayerGameData[[#This Row],[Opponent]],WYTeamInfo,3,FALSE)=Roster!$D$2),"SR","")),"")</f>
        <v/>
      </c>
      <c r="AH20" s="8" t="str">
        <f>CONCATENATE(Roster!$D$1," ",Roster!$D$5)</f>
        <v>1A BB</v>
      </c>
      <c r="AI20" s="8" t="str">
        <f t="shared" ca="1" si="29"/>
        <v>Upton - Ten Sleep 12/9/2022</v>
      </c>
      <c r="AJ20" s="8">
        <f ca="1">IFERROR(VLOOKUP(PlayerGameData[[#This Row],[School, Opponent,Game'#]],Table3[],2,FALSE),0)</f>
        <v>1</v>
      </c>
      <c r="AK20" s="8">
        <f ca="1">IF(PlayerGameData[[#This Row],[Visible]]=1,1,1000)</f>
        <v>1</v>
      </c>
      <c r="AL20" s="8">
        <f ca="1">RANK(PlayerGameData[[#This Row],[TL PTS]],PlayerGameData[TL PTS],0)+PlayerGameData[[#This Row],[VisibleOrder]]</f>
        <v>185</v>
      </c>
      <c r="AM20" s="8">
        <f ca="1">IF(COUNTIF(PlayerGameData[PointOrder],PlayerGameData[[#This Row],[PointOrder]])&gt;1,RANK(PlayerGameData[[#This Row],[FGA]],PlayerGameData[FGA],0)/100,0)+PlayerGameData[[#This Row],[PointOrder]]</f>
        <v>187.14</v>
      </c>
      <c r="AN20" s="8">
        <f ca="1">RANK(PlayerGameData[[#This Row],[PointTieBreak]],PlayerGameData[PointTieBreak],1)</f>
        <v>216</v>
      </c>
      <c r="AO20" s="8">
        <f ca="1">RANK(PlayerGameData[[#This Row],[REB]],PlayerGameData[REB],0)+PlayerGameData[[#This Row],[VisibleOrder]]</f>
        <v>192</v>
      </c>
      <c r="AP20" s="8">
        <f ca="1">IF(COUNTIF(PlayerGameData[REBOrder],PlayerGameData[[#This Row],[REBOrder]])&gt;1,PlayerGameData[[#This Row],[PointRank]]/100+PlayerGameData[[#This Row],[REBOrder]],PlayerGameData[[#This Row],[REBOrder]])</f>
        <v>194.16</v>
      </c>
      <c r="AQ20" s="8">
        <f ca="1">RANK(PlayerGameData[[#This Row],[REBTieBreak]],PlayerGameData[REBTieBreak],1)</f>
        <v>224</v>
      </c>
      <c r="AR20" s="8">
        <f ca="1">RANK(PlayerGameData[[#This Row],[AST]],PlayerGameData[AST],0)+PlayerGameData[[#This Row],[VisibleOrder]]</f>
        <v>158</v>
      </c>
      <c r="AS20" s="8">
        <f ca="1">IF(COUNTIF(PlayerGameData[ASTOrder],PlayerGameData[[#This Row],[ASTOrder]])&gt;1,PlayerGameData[[#This Row],[PointRank]]/100+PlayerGameData[[#This Row],[ASTOrder]],PlayerGameData[[#This Row],[ASTOrder]])</f>
        <v>160.16</v>
      </c>
      <c r="AT20" s="8">
        <f ca="1">RANK(PlayerGameData[[#This Row],[ASTTieBreak]],PlayerGameData[ASTTieBreak],1)</f>
        <v>221</v>
      </c>
      <c r="AU20" s="8">
        <f ca="1">RANK(PlayerGameData[[#This Row],[STL]],PlayerGameData[STL],0)+PlayerGameData[[#This Row],[VisibleOrder]]</f>
        <v>143</v>
      </c>
      <c r="AV20" s="8">
        <f ca="1">IF(COUNTIF(PlayerGameData[STLOrder],PlayerGameData[[#This Row],[STLOrder]])&gt;1,PlayerGameData[[#This Row],[PointRank]]/100+PlayerGameData[[#This Row],[STLOrder]],PlayerGameData[[#This Row],[STLOrder]])</f>
        <v>145.16</v>
      </c>
      <c r="AW20" s="8">
        <f ca="1">RANK(PlayerGameData[[#This Row],[STLTieBreak]],PlayerGameData[STLTieBreak],1)</f>
        <v>217</v>
      </c>
      <c r="AX20" s="8">
        <f ca="1">RANK(PlayerGameData[[#This Row],[BLK]],PlayerGameData[BLK],0)+PlayerGameData[[#This Row],[VisibleOrder]]</f>
        <v>32</v>
      </c>
      <c r="AY20" s="8">
        <f ca="1">IF(COUNTIF(PlayerGameData[BLKOrder],PlayerGameData[[#This Row],[BLKOrder]])&gt;1,PlayerGameData[[#This Row],[PointRank]]/100+PlayerGameData[[#This Row],[BLKOrder]],PlayerGameData[[#This Row],[BLKOrder]])</f>
        <v>34.159999999999997</v>
      </c>
      <c r="AZ20" s="8">
        <f ca="1">RANK(PlayerGameData[[#This Row],[BLKTieBreak]],PlayerGameData[BLKTieBreak],1)</f>
        <v>216</v>
      </c>
      <c r="BA20" s="11">
        <f ca="1">IFERROR(IF(PlayerGameData[[#This Row],[FGA]]&gt;$AA$5,PlayerGameData[[#This Row],[FG%*]],PlayerGameData[[#This Row],[FG%*]]*-1),-2)</f>
        <v>-2</v>
      </c>
      <c r="BB20" s="8">
        <f ca="1">RANK(PlayerGameData[[#This Row],[EligFG]],PlayerGameData[EligFG],0)+PlayerGameData[[#This Row],[VisibleOrder]]</f>
        <v>215</v>
      </c>
      <c r="BC20" s="8">
        <f ca="1">IF(COUNTIF(PlayerGameData[EligFGOrder],PlayerGameData[[#This Row],[EligFGOrder]])&gt;1,PlayerGameData[[#This Row],[PointRank]]/100+PlayerGameData[[#This Row],[EligFGOrder]],PlayerGameData[[#This Row],[EligFGOrder]])</f>
        <v>217.16</v>
      </c>
      <c r="BD20" s="8">
        <f ca="1">RANK(PlayerGameData[[#This Row],[EligFGTieBreak]],PlayerGameData[EligFGTieBreak],1)</f>
        <v>216</v>
      </c>
      <c r="BE20" s="8" t="str">
        <f>Roster!$D$3</f>
        <v>East</v>
      </c>
      <c r="BF20" s="8" t="str">
        <f>Roster!$D$2</f>
        <v>Northeast</v>
      </c>
      <c r="BG20" s="8" t="str">
        <f>Roster!$D$4</f>
        <v>North</v>
      </c>
      <c r="BH20" s="197">
        <f ca="1">IFERROR(VLOOKUP(CONCATENATE(PlayerGameData[[#This Row],[Opponent]]," ",MONTH(PlayerGameData[[#This Row],[Date]]),"/",DAY(PlayerGameData[[#This Row],[Date]]),"/",YEAR(PlayerGameData[[#This Row],[Date]])),Table35[],2,FALSE),0)</f>
        <v>1</v>
      </c>
      <c r="BI20" s="197">
        <f ca="1">IF(PlayerGameData[[#This Row],[Visible]]=1,1,1000)</f>
        <v>1</v>
      </c>
      <c r="BJ20" s="197" t="e">
        <f ca="1">_xlfn.MAXIFS(TeamGameData[Win],TeamGameData[School, Opponent,Game'#],PlayerGameData[[#This Row],[School, Opponent,Game'#]])</f>
        <v>#NAME?</v>
      </c>
      <c r="BK20" s="197" t="e">
        <f ca="1">_xlfn.MAXIFS(TeamGameData[Loss],TeamGameData[School, Opponent,Game'#],PlayerGameData[[#This Row],[School, Opponent,Game'#]])</f>
        <v>#NAME?</v>
      </c>
    </row>
    <row r="21" spans="1:63" x14ac:dyDescent="0.25">
      <c r="A21" s="8" t="str">
        <f t="shared" ca="1" si="0"/>
        <v xml:space="preserve">, </v>
      </c>
      <c r="B21" s="8" t="str">
        <f>Roster!$B$1</f>
        <v>Upton</v>
      </c>
      <c r="C21" s="8" t="str">
        <f t="shared" ca="1" si="1"/>
        <v>Ten Sleep</v>
      </c>
      <c r="D21" s="10">
        <f t="shared" ca="1" si="2"/>
        <v>44904</v>
      </c>
      <c r="E21" s="8">
        <f t="shared" ca="1" si="3"/>
        <v>0</v>
      </c>
      <c r="F21" s="8">
        <f t="shared" ca="1" si="4"/>
        <v>0</v>
      </c>
      <c r="G21" s="8">
        <f t="shared" ca="1" si="5"/>
        <v>0</v>
      </c>
      <c r="H21" s="8">
        <f t="shared" ca="1" si="6"/>
        <v>0</v>
      </c>
      <c r="I21" s="8">
        <f t="shared" ca="1" si="7"/>
        <v>0</v>
      </c>
      <c r="J21" s="8">
        <f t="shared" ca="1" si="8"/>
        <v>0</v>
      </c>
      <c r="K21" s="8">
        <f t="shared" ca="1" si="9"/>
        <v>0</v>
      </c>
      <c r="L21" s="8">
        <f t="shared" ca="1" si="10"/>
        <v>0</v>
      </c>
      <c r="M21" s="8">
        <f t="shared" ca="1" si="11"/>
        <v>0</v>
      </c>
      <c r="N21" s="8">
        <f t="shared" ca="1" si="12"/>
        <v>0</v>
      </c>
      <c r="O21" s="8">
        <f t="shared" ca="1" si="13"/>
        <v>0</v>
      </c>
      <c r="P21" s="8">
        <f t="shared" ca="1" si="14"/>
        <v>0</v>
      </c>
      <c r="Q21" s="8">
        <f t="shared" ca="1" si="15"/>
        <v>0</v>
      </c>
      <c r="R21" s="8">
        <f t="shared" ca="1" si="16"/>
        <v>0</v>
      </c>
      <c r="S21" s="8">
        <f t="shared" ca="1" si="17"/>
        <v>0</v>
      </c>
      <c r="T21" s="8">
        <f t="shared" ca="1" si="18"/>
        <v>0</v>
      </c>
      <c r="U21" s="8">
        <f t="shared" ca="1" si="19"/>
        <v>0</v>
      </c>
      <c r="V21" s="8">
        <f t="shared" ca="1" si="20"/>
        <v>0</v>
      </c>
      <c r="W21" s="11" t="str">
        <f t="shared" ca="1" si="21"/>
        <v/>
      </c>
      <c r="X21" s="11" t="str">
        <f t="shared" ca="1" si="22"/>
        <v/>
      </c>
      <c r="Y21" s="11" t="str">
        <f t="shared" ca="1" si="23"/>
        <v/>
      </c>
      <c r="Z21" s="11" t="str">
        <f t="shared" ca="1" si="24"/>
        <v/>
      </c>
      <c r="AA21" s="11" t="str">
        <f t="shared" ca="1" si="25"/>
        <v/>
      </c>
      <c r="AB21" s="47">
        <f ca="1">PlayerGameData[[#This Row],[3FGA]]+PlayerGameData[[#This Row],[2FGA]]</f>
        <v>0</v>
      </c>
      <c r="AC21" s="47">
        <f ca="1">PlayerGameData[[#This Row],[OFF REB]]+PlayerGameData[[#This Row],[DEF REB]]</f>
        <v>0</v>
      </c>
      <c r="AD21" s="8">
        <f t="shared" si="26"/>
        <v>1</v>
      </c>
      <c r="AE21" s="8" t="str">
        <f t="shared" ca="1" si="27"/>
        <v>,  - Ten Sleep 12/9/2022</v>
      </c>
      <c r="AF21" s="8" t="str">
        <f t="shared" ca="1" si="28"/>
        <v/>
      </c>
      <c r="AG21" s="8" t="str">
        <f ca="1">IFERROR(IF(C21=0,"",IF(AND(VLOOKUP(PlayerGameData[[#This Row],[Opponent]],WYTeamInfo,2,FALSE)=Roster!$D$1,VLOOKUP(PlayerGameData[[#This Row],[Opponent]],WYTeamInfo,3,FALSE)=Roster!$D$2),"SR","")),"")</f>
        <v/>
      </c>
      <c r="AH21" s="8" t="str">
        <f>CONCATENATE(Roster!$D$1," ",Roster!$D$5)</f>
        <v>1A BB</v>
      </c>
      <c r="AI21" s="8" t="str">
        <f t="shared" ca="1" si="29"/>
        <v>Upton - Ten Sleep 12/9/2022</v>
      </c>
      <c r="AJ21" s="8">
        <f ca="1">IFERROR(VLOOKUP(PlayerGameData[[#This Row],[School, Opponent,Game'#]],Table3[],2,FALSE),0)</f>
        <v>1</v>
      </c>
      <c r="AK21" s="8">
        <f ca="1">IF(PlayerGameData[[#This Row],[Visible]]=1,1,1000)</f>
        <v>1</v>
      </c>
      <c r="AL21" s="8">
        <f ca="1">RANK(PlayerGameData[[#This Row],[TL PTS]],PlayerGameData[TL PTS],0)+PlayerGameData[[#This Row],[VisibleOrder]]</f>
        <v>185</v>
      </c>
      <c r="AM21" s="8">
        <f ca="1">IF(COUNTIF(PlayerGameData[PointOrder],PlayerGameData[[#This Row],[PointOrder]])&gt;1,RANK(PlayerGameData[[#This Row],[FGA]],PlayerGameData[FGA],0)/100,0)+PlayerGameData[[#This Row],[PointOrder]]</f>
        <v>187.14</v>
      </c>
      <c r="AN21" s="8">
        <f ca="1">RANK(PlayerGameData[[#This Row],[PointTieBreak]],PlayerGameData[PointTieBreak],1)</f>
        <v>216</v>
      </c>
      <c r="AO21" s="8">
        <f ca="1">RANK(PlayerGameData[[#This Row],[REB]],PlayerGameData[REB],0)+PlayerGameData[[#This Row],[VisibleOrder]]</f>
        <v>192</v>
      </c>
      <c r="AP21" s="8">
        <f ca="1">IF(COUNTIF(PlayerGameData[REBOrder],PlayerGameData[[#This Row],[REBOrder]])&gt;1,PlayerGameData[[#This Row],[PointRank]]/100+PlayerGameData[[#This Row],[REBOrder]],PlayerGameData[[#This Row],[REBOrder]])</f>
        <v>194.16</v>
      </c>
      <c r="AQ21" s="8">
        <f ca="1">RANK(PlayerGameData[[#This Row],[REBTieBreak]],PlayerGameData[REBTieBreak],1)</f>
        <v>224</v>
      </c>
      <c r="AR21" s="8">
        <f ca="1">RANK(PlayerGameData[[#This Row],[AST]],PlayerGameData[AST],0)+PlayerGameData[[#This Row],[VisibleOrder]]</f>
        <v>158</v>
      </c>
      <c r="AS21" s="8">
        <f ca="1">IF(COUNTIF(PlayerGameData[ASTOrder],PlayerGameData[[#This Row],[ASTOrder]])&gt;1,PlayerGameData[[#This Row],[PointRank]]/100+PlayerGameData[[#This Row],[ASTOrder]],PlayerGameData[[#This Row],[ASTOrder]])</f>
        <v>160.16</v>
      </c>
      <c r="AT21" s="8">
        <f ca="1">RANK(PlayerGameData[[#This Row],[ASTTieBreak]],PlayerGameData[ASTTieBreak],1)</f>
        <v>221</v>
      </c>
      <c r="AU21" s="8">
        <f ca="1">RANK(PlayerGameData[[#This Row],[STL]],PlayerGameData[STL],0)+PlayerGameData[[#This Row],[VisibleOrder]]</f>
        <v>143</v>
      </c>
      <c r="AV21" s="8">
        <f ca="1">IF(COUNTIF(PlayerGameData[STLOrder],PlayerGameData[[#This Row],[STLOrder]])&gt;1,PlayerGameData[[#This Row],[PointRank]]/100+PlayerGameData[[#This Row],[STLOrder]],PlayerGameData[[#This Row],[STLOrder]])</f>
        <v>145.16</v>
      </c>
      <c r="AW21" s="8">
        <f ca="1">RANK(PlayerGameData[[#This Row],[STLTieBreak]],PlayerGameData[STLTieBreak],1)</f>
        <v>217</v>
      </c>
      <c r="AX21" s="8">
        <f ca="1">RANK(PlayerGameData[[#This Row],[BLK]],PlayerGameData[BLK],0)+PlayerGameData[[#This Row],[VisibleOrder]]</f>
        <v>32</v>
      </c>
      <c r="AY21" s="8">
        <f ca="1">IF(COUNTIF(PlayerGameData[BLKOrder],PlayerGameData[[#This Row],[BLKOrder]])&gt;1,PlayerGameData[[#This Row],[PointRank]]/100+PlayerGameData[[#This Row],[BLKOrder]],PlayerGameData[[#This Row],[BLKOrder]])</f>
        <v>34.159999999999997</v>
      </c>
      <c r="AZ21" s="8">
        <f ca="1">RANK(PlayerGameData[[#This Row],[BLKTieBreak]],PlayerGameData[BLKTieBreak],1)</f>
        <v>216</v>
      </c>
      <c r="BA21" s="11">
        <f ca="1">IFERROR(IF(PlayerGameData[[#This Row],[FGA]]&gt;$AA$5,PlayerGameData[[#This Row],[FG%*]],PlayerGameData[[#This Row],[FG%*]]*-1),-2)</f>
        <v>-2</v>
      </c>
      <c r="BB21" s="8">
        <f ca="1">RANK(PlayerGameData[[#This Row],[EligFG]],PlayerGameData[EligFG],0)+PlayerGameData[[#This Row],[VisibleOrder]]</f>
        <v>215</v>
      </c>
      <c r="BC21" s="8">
        <f ca="1">IF(COUNTIF(PlayerGameData[EligFGOrder],PlayerGameData[[#This Row],[EligFGOrder]])&gt;1,PlayerGameData[[#This Row],[PointRank]]/100+PlayerGameData[[#This Row],[EligFGOrder]],PlayerGameData[[#This Row],[EligFGOrder]])</f>
        <v>217.16</v>
      </c>
      <c r="BD21" s="8">
        <f ca="1">RANK(PlayerGameData[[#This Row],[EligFGTieBreak]],PlayerGameData[EligFGTieBreak],1)</f>
        <v>216</v>
      </c>
      <c r="BE21" s="8" t="str">
        <f>Roster!$D$3</f>
        <v>East</v>
      </c>
      <c r="BF21" s="8" t="str">
        <f>Roster!$D$2</f>
        <v>Northeast</v>
      </c>
      <c r="BG21" s="8" t="str">
        <f>Roster!$D$4</f>
        <v>North</v>
      </c>
      <c r="BH21" s="197">
        <f ca="1">IFERROR(VLOOKUP(CONCATENATE(PlayerGameData[[#This Row],[Opponent]]," ",MONTH(PlayerGameData[[#This Row],[Date]]),"/",DAY(PlayerGameData[[#This Row],[Date]]),"/",YEAR(PlayerGameData[[#This Row],[Date]])),Table35[],2,FALSE),0)</f>
        <v>1</v>
      </c>
      <c r="BI21" s="197">
        <f ca="1">IF(PlayerGameData[[#This Row],[Visible]]=1,1,1000)</f>
        <v>1</v>
      </c>
      <c r="BJ21" s="197" t="e">
        <f ca="1">_xlfn.MAXIFS(TeamGameData[Win],TeamGameData[School, Opponent,Game'#],PlayerGameData[[#This Row],[School, Opponent,Game'#]])</f>
        <v>#NAME?</v>
      </c>
      <c r="BK21" s="197" t="e">
        <f ca="1">_xlfn.MAXIFS(TeamGameData[Loss],TeamGameData[School, Opponent,Game'#],PlayerGameData[[#This Row],[School, Opponent,Game'#]])</f>
        <v>#NAME?</v>
      </c>
    </row>
    <row r="22" spans="1:63" x14ac:dyDescent="0.25">
      <c r="A22" s="8" t="str">
        <f t="shared" ca="1" si="0"/>
        <v xml:space="preserve">, </v>
      </c>
      <c r="B22" s="8" t="str">
        <f>Roster!$B$1</f>
        <v>Upton</v>
      </c>
      <c r="C22" s="8" t="str">
        <f t="shared" ca="1" si="1"/>
        <v>Ten Sleep</v>
      </c>
      <c r="D22" s="10">
        <f t="shared" ca="1" si="2"/>
        <v>44904</v>
      </c>
      <c r="E22" s="8">
        <f t="shared" ca="1" si="3"/>
        <v>0</v>
      </c>
      <c r="F22" s="8">
        <f t="shared" ca="1" si="4"/>
        <v>0</v>
      </c>
      <c r="G22" s="8">
        <f t="shared" ca="1" si="5"/>
        <v>0</v>
      </c>
      <c r="H22" s="8">
        <f t="shared" ca="1" si="6"/>
        <v>0</v>
      </c>
      <c r="I22" s="8">
        <f t="shared" ca="1" si="7"/>
        <v>0</v>
      </c>
      <c r="J22" s="8">
        <f t="shared" ca="1" si="8"/>
        <v>0</v>
      </c>
      <c r="K22" s="8">
        <f t="shared" ca="1" si="9"/>
        <v>0</v>
      </c>
      <c r="L22" s="8">
        <f t="shared" ca="1" si="10"/>
        <v>0</v>
      </c>
      <c r="M22" s="8">
        <f t="shared" ca="1" si="11"/>
        <v>0</v>
      </c>
      <c r="N22" s="8">
        <f t="shared" ca="1" si="12"/>
        <v>0</v>
      </c>
      <c r="O22" s="8">
        <f t="shared" ca="1" si="13"/>
        <v>0</v>
      </c>
      <c r="P22" s="8">
        <f t="shared" ca="1" si="14"/>
        <v>0</v>
      </c>
      <c r="Q22" s="8">
        <f t="shared" ca="1" si="15"/>
        <v>0</v>
      </c>
      <c r="R22" s="8">
        <f t="shared" ca="1" si="16"/>
        <v>0</v>
      </c>
      <c r="S22" s="8">
        <f t="shared" ca="1" si="17"/>
        <v>0</v>
      </c>
      <c r="T22" s="8">
        <f t="shared" ca="1" si="18"/>
        <v>0</v>
      </c>
      <c r="U22" s="8">
        <f t="shared" ca="1" si="19"/>
        <v>0</v>
      </c>
      <c r="V22" s="8">
        <f t="shared" ca="1" si="20"/>
        <v>0</v>
      </c>
      <c r="W22" s="11" t="str">
        <f t="shared" ca="1" si="21"/>
        <v/>
      </c>
      <c r="X22" s="11" t="str">
        <f t="shared" ca="1" si="22"/>
        <v/>
      </c>
      <c r="Y22" s="11" t="str">
        <f t="shared" ca="1" si="23"/>
        <v/>
      </c>
      <c r="Z22" s="11" t="str">
        <f t="shared" ca="1" si="24"/>
        <v/>
      </c>
      <c r="AA22" s="11" t="str">
        <f t="shared" ca="1" si="25"/>
        <v/>
      </c>
      <c r="AB22" s="47">
        <f ca="1">PlayerGameData[[#This Row],[3FGA]]+PlayerGameData[[#This Row],[2FGA]]</f>
        <v>0</v>
      </c>
      <c r="AC22" s="47">
        <f ca="1">PlayerGameData[[#This Row],[OFF REB]]+PlayerGameData[[#This Row],[DEF REB]]</f>
        <v>0</v>
      </c>
      <c r="AD22" s="8">
        <f t="shared" si="26"/>
        <v>1</v>
      </c>
      <c r="AE22" s="8" t="str">
        <f t="shared" ca="1" si="27"/>
        <v>,  - Ten Sleep 12/9/2022</v>
      </c>
      <c r="AF22" s="8" t="str">
        <f t="shared" ca="1" si="28"/>
        <v/>
      </c>
      <c r="AG22" s="8" t="str">
        <f ca="1">IFERROR(IF(C22=0,"",IF(AND(VLOOKUP(PlayerGameData[[#This Row],[Opponent]],WYTeamInfo,2,FALSE)=Roster!$D$1,VLOOKUP(PlayerGameData[[#This Row],[Opponent]],WYTeamInfo,3,FALSE)=Roster!$D$2),"SR","")),"")</f>
        <v/>
      </c>
      <c r="AH22" s="8" t="str">
        <f>CONCATENATE(Roster!$D$1," ",Roster!$D$5)</f>
        <v>1A BB</v>
      </c>
      <c r="AI22" s="8" t="str">
        <f t="shared" ca="1" si="29"/>
        <v>Upton - Ten Sleep 12/9/2022</v>
      </c>
      <c r="AJ22" s="8">
        <f ca="1">IFERROR(VLOOKUP(PlayerGameData[[#This Row],[School, Opponent,Game'#]],Table3[],2,FALSE),0)</f>
        <v>1</v>
      </c>
      <c r="AK22" s="8">
        <f ca="1">IF(PlayerGameData[[#This Row],[Visible]]=1,1,1000)</f>
        <v>1</v>
      </c>
      <c r="AL22" s="8">
        <f ca="1">RANK(PlayerGameData[[#This Row],[TL PTS]],PlayerGameData[TL PTS],0)+PlayerGameData[[#This Row],[VisibleOrder]]</f>
        <v>185</v>
      </c>
      <c r="AM22" s="8">
        <f ca="1">IF(COUNTIF(PlayerGameData[PointOrder],PlayerGameData[[#This Row],[PointOrder]])&gt;1,RANK(PlayerGameData[[#This Row],[FGA]],PlayerGameData[FGA],0)/100,0)+PlayerGameData[[#This Row],[PointOrder]]</f>
        <v>187.14</v>
      </c>
      <c r="AN22" s="8">
        <f ca="1">RANK(PlayerGameData[[#This Row],[PointTieBreak]],PlayerGameData[PointTieBreak],1)</f>
        <v>216</v>
      </c>
      <c r="AO22" s="8">
        <f ca="1">RANK(PlayerGameData[[#This Row],[REB]],PlayerGameData[REB],0)+PlayerGameData[[#This Row],[VisibleOrder]]</f>
        <v>192</v>
      </c>
      <c r="AP22" s="8">
        <f ca="1">IF(COUNTIF(PlayerGameData[REBOrder],PlayerGameData[[#This Row],[REBOrder]])&gt;1,PlayerGameData[[#This Row],[PointRank]]/100+PlayerGameData[[#This Row],[REBOrder]],PlayerGameData[[#This Row],[REBOrder]])</f>
        <v>194.16</v>
      </c>
      <c r="AQ22" s="8">
        <f ca="1">RANK(PlayerGameData[[#This Row],[REBTieBreak]],PlayerGameData[REBTieBreak],1)</f>
        <v>224</v>
      </c>
      <c r="AR22" s="8">
        <f ca="1">RANK(PlayerGameData[[#This Row],[AST]],PlayerGameData[AST],0)+PlayerGameData[[#This Row],[VisibleOrder]]</f>
        <v>158</v>
      </c>
      <c r="AS22" s="8">
        <f ca="1">IF(COUNTIF(PlayerGameData[ASTOrder],PlayerGameData[[#This Row],[ASTOrder]])&gt;1,PlayerGameData[[#This Row],[PointRank]]/100+PlayerGameData[[#This Row],[ASTOrder]],PlayerGameData[[#This Row],[ASTOrder]])</f>
        <v>160.16</v>
      </c>
      <c r="AT22" s="8">
        <f ca="1">RANK(PlayerGameData[[#This Row],[ASTTieBreak]],PlayerGameData[ASTTieBreak],1)</f>
        <v>221</v>
      </c>
      <c r="AU22" s="8">
        <f ca="1">RANK(PlayerGameData[[#This Row],[STL]],PlayerGameData[STL],0)+PlayerGameData[[#This Row],[VisibleOrder]]</f>
        <v>143</v>
      </c>
      <c r="AV22" s="8">
        <f ca="1">IF(COUNTIF(PlayerGameData[STLOrder],PlayerGameData[[#This Row],[STLOrder]])&gt;1,PlayerGameData[[#This Row],[PointRank]]/100+PlayerGameData[[#This Row],[STLOrder]],PlayerGameData[[#This Row],[STLOrder]])</f>
        <v>145.16</v>
      </c>
      <c r="AW22" s="8">
        <f ca="1">RANK(PlayerGameData[[#This Row],[STLTieBreak]],PlayerGameData[STLTieBreak],1)</f>
        <v>217</v>
      </c>
      <c r="AX22" s="8">
        <f ca="1">RANK(PlayerGameData[[#This Row],[BLK]],PlayerGameData[BLK],0)+PlayerGameData[[#This Row],[VisibleOrder]]</f>
        <v>32</v>
      </c>
      <c r="AY22" s="8">
        <f ca="1">IF(COUNTIF(PlayerGameData[BLKOrder],PlayerGameData[[#This Row],[BLKOrder]])&gt;1,PlayerGameData[[#This Row],[PointRank]]/100+PlayerGameData[[#This Row],[BLKOrder]],PlayerGameData[[#This Row],[BLKOrder]])</f>
        <v>34.159999999999997</v>
      </c>
      <c r="AZ22" s="8">
        <f ca="1">RANK(PlayerGameData[[#This Row],[BLKTieBreak]],PlayerGameData[BLKTieBreak],1)</f>
        <v>216</v>
      </c>
      <c r="BA22" s="11">
        <f ca="1">IFERROR(IF(PlayerGameData[[#This Row],[FGA]]&gt;$AA$5,PlayerGameData[[#This Row],[FG%*]],PlayerGameData[[#This Row],[FG%*]]*-1),-2)</f>
        <v>-2</v>
      </c>
      <c r="BB22" s="8">
        <f ca="1">RANK(PlayerGameData[[#This Row],[EligFG]],PlayerGameData[EligFG],0)+PlayerGameData[[#This Row],[VisibleOrder]]</f>
        <v>215</v>
      </c>
      <c r="BC22" s="8">
        <f ca="1">IF(COUNTIF(PlayerGameData[EligFGOrder],PlayerGameData[[#This Row],[EligFGOrder]])&gt;1,PlayerGameData[[#This Row],[PointRank]]/100+PlayerGameData[[#This Row],[EligFGOrder]],PlayerGameData[[#This Row],[EligFGOrder]])</f>
        <v>217.16</v>
      </c>
      <c r="BD22" s="8">
        <f ca="1">RANK(PlayerGameData[[#This Row],[EligFGTieBreak]],PlayerGameData[EligFGTieBreak],1)</f>
        <v>216</v>
      </c>
      <c r="BE22" s="8" t="str">
        <f>Roster!$D$3</f>
        <v>East</v>
      </c>
      <c r="BF22" s="8" t="str">
        <f>Roster!$D$2</f>
        <v>Northeast</v>
      </c>
      <c r="BG22" s="8" t="str">
        <f>Roster!$D$4</f>
        <v>North</v>
      </c>
      <c r="BH22" s="197">
        <f ca="1">IFERROR(VLOOKUP(CONCATENATE(PlayerGameData[[#This Row],[Opponent]]," ",MONTH(PlayerGameData[[#This Row],[Date]]),"/",DAY(PlayerGameData[[#This Row],[Date]]),"/",YEAR(PlayerGameData[[#This Row],[Date]])),Table35[],2,FALSE),0)</f>
        <v>1</v>
      </c>
      <c r="BI22" s="197">
        <f ca="1">IF(PlayerGameData[[#This Row],[Visible]]=1,1,1000)</f>
        <v>1</v>
      </c>
      <c r="BJ22" s="197" t="e">
        <f ca="1">_xlfn.MAXIFS(TeamGameData[Win],TeamGameData[School, Opponent,Game'#],PlayerGameData[[#This Row],[School, Opponent,Game'#]])</f>
        <v>#NAME?</v>
      </c>
      <c r="BK22" s="197" t="e">
        <f ca="1">_xlfn.MAXIFS(TeamGameData[Loss],TeamGameData[School, Opponent,Game'#],PlayerGameData[[#This Row],[School, Opponent,Game'#]])</f>
        <v>#NAME?</v>
      </c>
    </row>
    <row r="23" spans="1:63" x14ac:dyDescent="0.25">
      <c r="A23" s="8" t="str">
        <f t="shared" ca="1" si="0"/>
        <v xml:space="preserve">, </v>
      </c>
      <c r="B23" s="8" t="str">
        <f>Roster!$B$1</f>
        <v>Upton</v>
      </c>
      <c r="C23" s="8" t="str">
        <f t="shared" ca="1" si="1"/>
        <v>Ten Sleep</v>
      </c>
      <c r="D23" s="10">
        <f t="shared" ca="1" si="2"/>
        <v>44904</v>
      </c>
      <c r="E23" s="8">
        <f t="shared" ca="1" si="3"/>
        <v>0</v>
      </c>
      <c r="F23" s="8">
        <f t="shared" ca="1" si="4"/>
        <v>0</v>
      </c>
      <c r="G23" s="8">
        <f t="shared" ca="1" si="5"/>
        <v>0</v>
      </c>
      <c r="H23" s="8">
        <f t="shared" ca="1" si="6"/>
        <v>0</v>
      </c>
      <c r="I23" s="8">
        <f t="shared" ca="1" si="7"/>
        <v>0</v>
      </c>
      <c r="J23" s="8">
        <f t="shared" ca="1" si="8"/>
        <v>0</v>
      </c>
      <c r="K23" s="8">
        <f t="shared" ca="1" si="9"/>
        <v>0</v>
      </c>
      <c r="L23" s="8">
        <f t="shared" ca="1" si="10"/>
        <v>0</v>
      </c>
      <c r="M23" s="8">
        <f t="shared" ca="1" si="11"/>
        <v>0</v>
      </c>
      <c r="N23" s="8">
        <f t="shared" ca="1" si="12"/>
        <v>0</v>
      </c>
      <c r="O23" s="8">
        <f t="shared" ca="1" si="13"/>
        <v>0</v>
      </c>
      <c r="P23" s="8">
        <f t="shared" ca="1" si="14"/>
        <v>0</v>
      </c>
      <c r="Q23" s="8">
        <f t="shared" ca="1" si="15"/>
        <v>0</v>
      </c>
      <c r="R23" s="8">
        <f t="shared" ca="1" si="16"/>
        <v>0</v>
      </c>
      <c r="S23" s="8">
        <f t="shared" ca="1" si="17"/>
        <v>0</v>
      </c>
      <c r="T23" s="8">
        <f t="shared" ca="1" si="18"/>
        <v>0</v>
      </c>
      <c r="U23" s="8">
        <f t="shared" ca="1" si="19"/>
        <v>0</v>
      </c>
      <c r="V23" s="8">
        <f t="shared" ca="1" si="20"/>
        <v>0</v>
      </c>
      <c r="W23" s="11" t="str">
        <f t="shared" ca="1" si="21"/>
        <v/>
      </c>
      <c r="X23" s="11" t="str">
        <f t="shared" ca="1" si="22"/>
        <v/>
      </c>
      <c r="Y23" s="11" t="str">
        <f t="shared" ca="1" si="23"/>
        <v/>
      </c>
      <c r="Z23" s="11" t="str">
        <f t="shared" ca="1" si="24"/>
        <v/>
      </c>
      <c r="AA23" s="11" t="str">
        <f t="shared" ca="1" si="25"/>
        <v/>
      </c>
      <c r="AB23" s="47">
        <f ca="1">PlayerGameData[[#This Row],[3FGA]]+PlayerGameData[[#This Row],[2FGA]]</f>
        <v>0</v>
      </c>
      <c r="AC23" s="47">
        <f ca="1">PlayerGameData[[#This Row],[OFF REB]]+PlayerGameData[[#This Row],[DEF REB]]</f>
        <v>0</v>
      </c>
      <c r="AD23" s="8">
        <f t="shared" si="26"/>
        <v>1</v>
      </c>
      <c r="AE23" s="8" t="str">
        <f t="shared" ca="1" si="27"/>
        <v>,  - Ten Sleep 12/9/2022</v>
      </c>
      <c r="AF23" s="8" t="str">
        <f t="shared" ca="1" si="28"/>
        <v/>
      </c>
      <c r="AG23" s="8" t="str">
        <f ca="1">IFERROR(IF(C23=0,"",IF(AND(VLOOKUP(PlayerGameData[[#This Row],[Opponent]],WYTeamInfo,2,FALSE)=Roster!$D$1,VLOOKUP(PlayerGameData[[#This Row],[Opponent]],WYTeamInfo,3,FALSE)=Roster!$D$2),"SR","")),"")</f>
        <v/>
      </c>
      <c r="AH23" s="8" t="str">
        <f>CONCATENATE(Roster!$D$1," ",Roster!$D$5)</f>
        <v>1A BB</v>
      </c>
      <c r="AI23" s="8" t="str">
        <f t="shared" ca="1" si="29"/>
        <v>Upton - Ten Sleep 12/9/2022</v>
      </c>
      <c r="AJ23" s="8">
        <f ca="1">IFERROR(VLOOKUP(PlayerGameData[[#This Row],[School, Opponent,Game'#]],Table3[],2,FALSE),0)</f>
        <v>1</v>
      </c>
      <c r="AK23" s="8">
        <f ca="1">IF(PlayerGameData[[#This Row],[Visible]]=1,1,1000)</f>
        <v>1</v>
      </c>
      <c r="AL23" s="8">
        <f ca="1">RANK(PlayerGameData[[#This Row],[TL PTS]],PlayerGameData[TL PTS],0)+PlayerGameData[[#This Row],[VisibleOrder]]</f>
        <v>185</v>
      </c>
      <c r="AM23" s="8">
        <f ca="1">IF(COUNTIF(PlayerGameData[PointOrder],PlayerGameData[[#This Row],[PointOrder]])&gt;1,RANK(PlayerGameData[[#This Row],[FGA]],PlayerGameData[FGA],0)/100,0)+PlayerGameData[[#This Row],[PointOrder]]</f>
        <v>187.14</v>
      </c>
      <c r="AN23" s="8">
        <f ca="1">RANK(PlayerGameData[[#This Row],[PointTieBreak]],PlayerGameData[PointTieBreak],1)</f>
        <v>216</v>
      </c>
      <c r="AO23" s="8">
        <f ca="1">RANK(PlayerGameData[[#This Row],[REB]],PlayerGameData[REB],0)+PlayerGameData[[#This Row],[VisibleOrder]]</f>
        <v>192</v>
      </c>
      <c r="AP23" s="8">
        <f ca="1">IF(COUNTIF(PlayerGameData[REBOrder],PlayerGameData[[#This Row],[REBOrder]])&gt;1,PlayerGameData[[#This Row],[PointRank]]/100+PlayerGameData[[#This Row],[REBOrder]],PlayerGameData[[#This Row],[REBOrder]])</f>
        <v>194.16</v>
      </c>
      <c r="AQ23" s="8">
        <f ca="1">RANK(PlayerGameData[[#This Row],[REBTieBreak]],PlayerGameData[REBTieBreak],1)</f>
        <v>224</v>
      </c>
      <c r="AR23" s="8">
        <f ca="1">RANK(PlayerGameData[[#This Row],[AST]],PlayerGameData[AST],0)+PlayerGameData[[#This Row],[VisibleOrder]]</f>
        <v>158</v>
      </c>
      <c r="AS23" s="8">
        <f ca="1">IF(COUNTIF(PlayerGameData[ASTOrder],PlayerGameData[[#This Row],[ASTOrder]])&gt;1,PlayerGameData[[#This Row],[PointRank]]/100+PlayerGameData[[#This Row],[ASTOrder]],PlayerGameData[[#This Row],[ASTOrder]])</f>
        <v>160.16</v>
      </c>
      <c r="AT23" s="8">
        <f ca="1">RANK(PlayerGameData[[#This Row],[ASTTieBreak]],PlayerGameData[ASTTieBreak],1)</f>
        <v>221</v>
      </c>
      <c r="AU23" s="8">
        <f ca="1">RANK(PlayerGameData[[#This Row],[STL]],PlayerGameData[STL],0)+PlayerGameData[[#This Row],[VisibleOrder]]</f>
        <v>143</v>
      </c>
      <c r="AV23" s="8">
        <f ca="1">IF(COUNTIF(PlayerGameData[STLOrder],PlayerGameData[[#This Row],[STLOrder]])&gt;1,PlayerGameData[[#This Row],[PointRank]]/100+PlayerGameData[[#This Row],[STLOrder]],PlayerGameData[[#This Row],[STLOrder]])</f>
        <v>145.16</v>
      </c>
      <c r="AW23" s="8">
        <f ca="1">RANK(PlayerGameData[[#This Row],[STLTieBreak]],PlayerGameData[STLTieBreak],1)</f>
        <v>217</v>
      </c>
      <c r="AX23" s="8">
        <f ca="1">RANK(PlayerGameData[[#This Row],[BLK]],PlayerGameData[BLK],0)+PlayerGameData[[#This Row],[VisibleOrder]]</f>
        <v>32</v>
      </c>
      <c r="AY23" s="8">
        <f ca="1">IF(COUNTIF(PlayerGameData[BLKOrder],PlayerGameData[[#This Row],[BLKOrder]])&gt;1,PlayerGameData[[#This Row],[PointRank]]/100+PlayerGameData[[#This Row],[BLKOrder]],PlayerGameData[[#This Row],[BLKOrder]])</f>
        <v>34.159999999999997</v>
      </c>
      <c r="AZ23" s="8">
        <f ca="1">RANK(PlayerGameData[[#This Row],[BLKTieBreak]],PlayerGameData[BLKTieBreak],1)</f>
        <v>216</v>
      </c>
      <c r="BA23" s="11">
        <f ca="1">IFERROR(IF(PlayerGameData[[#This Row],[FGA]]&gt;$AA$5,PlayerGameData[[#This Row],[FG%*]],PlayerGameData[[#This Row],[FG%*]]*-1),-2)</f>
        <v>-2</v>
      </c>
      <c r="BB23" s="8">
        <f ca="1">RANK(PlayerGameData[[#This Row],[EligFG]],PlayerGameData[EligFG],0)+PlayerGameData[[#This Row],[VisibleOrder]]</f>
        <v>215</v>
      </c>
      <c r="BC23" s="8">
        <f ca="1">IF(COUNTIF(PlayerGameData[EligFGOrder],PlayerGameData[[#This Row],[EligFGOrder]])&gt;1,PlayerGameData[[#This Row],[PointRank]]/100+PlayerGameData[[#This Row],[EligFGOrder]],PlayerGameData[[#This Row],[EligFGOrder]])</f>
        <v>217.16</v>
      </c>
      <c r="BD23" s="8">
        <f ca="1">RANK(PlayerGameData[[#This Row],[EligFGTieBreak]],PlayerGameData[EligFGTieBreak],1)</f>
        <v>216</v>
      </c>
      <c r="BE23" s="8" t="str">
        <f>Roster!$D$3</f>
        <v>East</v>
      </c>
      <c r="BF23" s="8" t="str">
        <f>Roster!$D$2</f>
        <v>Northeast</v>
      </c>
      <c r="BG23" s="8" t="str">
        <f>Roster!$D$4</f>
        <v>North</v>
      </c>
      <c r="BH23" s="197">
        <f ca="1">IFERROR(VLOOKUP(CONCATENATE(PlayerGameData[[#This Row],[Opponent]]," ",MONTH(PlayerGameData[[#This Row],[Date]]),"/",DAY(PlayerGameData[[#This Row],[Date]]),"/",YEAR(PlayerGameData[[#This Row],[Date]])),Table35[],2,FALSE),0)</f>
        <v>1</v>
      </c>
      <c r="BI23" s="197">
        <f ca="1">IF(PlayerGameData[[#This Row],[Visible]]=1,1,1000)</f>
        <v>1</v>
      </c>
      <c r="BJ23" s="197" t="e">
        <f ca="1">_xlfn.MAXIFS(TeamGameData[Win],TeamGameData[School, Opponent,Game'#],PlayerGameData[[#This Row],[School, Opponent,Game'#]])</f>
        <v>#NAME?</v>
      </c>
      <c r="BK23" s="197" t="e">
        <f ca="1">_xlfn.MAXIFS(TeamGameData[Loss],TeamGameData[School, Opponent,Game'#],PlayerGameData[[#This Row],[School, Opponent,Game'#]])</f>
        <v>#NAME?</v>
      </c>
    </row>
    <row r="24" spans="1:63" x14ac:dyDescent="0.25">
      <c r="A24" s="8" t="str">
        <f t="shared" ca="1" si="0"/>
        <v xml:space="preserve">, </v>
      </c>
      <c r="B24" s="8" t="str">
        <f>Roster!$B$1</f>
        <v>Upton</v>
      </c>
      <c r="C24" s="8" t="str">
        <f t="shared" ca="1" si="1"/>
        <v>Ten Sleep</v>
      </c>
      <c r="D24" s="10">
        <f t="shared" ca="1" si="2"/>
        <v>44904</v>
      </c>
      <c r="E24" s="8">
        <f t="shared" ca="1" si="3"/>
        <v>0</v>
      </c>
      <c r="F24" s="8">
        <f t="shared" ca="1" si="4"/>
        <v>0</v>
      </c>
      <c r="G24" s="8">
        <f t="shared" ca="1" si="5"/>
        <v>0</v>
      </c>
      <c r="H24" s="8">
        <f t="shared" ca="1" si="6"/>
        <v>0</v>
      </c>
      <c r="I24" s="8">
        <f t="shared" ca="1" si="7"/>
        <v>0</v>
      </c>
      <c r="J24" s="8">
        <f t="shared" ca="1" si="8"/>
        <v>0</v>
      </c>
      <c r="K24" s="8">
        <f t="shared" ca="1" si="9"/>
        <v>0</v>
      </c>
      <c r="L24" s="8">
        <f t="shared" ca="1" si="10"/>
        <v>0</v>
      </c>
      <c r="M24" s="8">
        <f t="shared" ca="1" si="11"/>
        <v>0</v>
      </c>
      <c r="N24" s="8">
        <f t="shared" ca="1" si="12"/>
        <v>0</v>
      </c>
      <c r="O24" s="8">
        <f t="shared" ca="1" si="13"/>
        <v>0</v>
      </c>
      <c r="P24" s="8">
        <f t="shared" ca="1" si="14"/>
        <v>0</v>
      </c>
      <c r="Q24" s="8">
        <f t="shared" ca="1" si="15"/>
        <v>0</v>
      </c>
      <c r="R24" s="8">
        <f t="shared" ca="1" si="16"/>
        <v>0</v>
      </c>
      <c r="S24" s="8">
        <f t="shared" ca="1" si="17"/>
        <v>0</v>
      </c>
      <c r="T24" s="8">
        <f t="shared" ca="1" si="18"/>
        <v>0</v>
      </c>
      <c r="U24" s="8">
        <f t="shared" ca="1" si="19"/>
        <v>0</v>
      </c>
      <c r="V24" s="8">
        <f t="shared" ca="1" si="20"/>
        <v>0</v>
      </c>
      <c r="W24" s="11" t="str">
        <f t="shared" ca="1" si="21"/>
        <v/>
      </c>
      <c r="X24" s="11" t="str">
        <f t="shared" ca="1" si="22"/>
        <v/>
      </c>
      <c r="Y24" s="11" t="str">
        <f t="shared" ca="1" si="23"/>
        <v/>
      </c>
      <c r="Z24" s="11" t="str">
        <f t="shared" ca="1" si="24"/>
        <v/>
      </c>
      <c r="AA24" s="11" t="str">
        <f t="shared" ca="1" si="25"/>
        <v/>
      </c>
      <c r="AB24" s="47">
        <f ca="1">PlayerGameData[[#This Row],[3FGA]]+PlayerGameData[[#This Row],[2FGA]]</f>
        <v>0</v>
      </c>
      <c r="AC24" s="47">
        <f ca="1">PlayerGameData[[#This Row],[OFF REB]]+PlayerGameData[[#This Row],[DEF REB]]</f>
        <v>0</v>
      </c>
      <c r="AD24" s="8">
        <f t="shared" si="26"/>
        <v>1</v>
      </c>
      <c r="AE24" s="8" t="str">
        <f t="shared" ca="1" si="27"/>
        <v>,  - Ten Sleep 12/9/2022</v>
      </c>
      <c r="AF24" s="8" t="str">
        <f t="shared" ca="1" si="28"/>
        <v/>
      </c>
      <c r="AG24" s="8" t="str">
        <f ca="1">IFERROR(IF(C24=0,"",IF(AND(VLOOKUP(PlayerGameData[[#This Row],[Opponent]],WYTeamInfo,2,FALSE)=Roster!$D$1,VLOOKUP(PlayerGameData[[#This Row],[Opponent]],WYTeamInfo,3,FALSE)=Roster!$D$2),"SR","")),"")</f>
        <v/>
      </c>
      <c r="AH24" s="8" t="str">
        <f>CONCATENATE(Roster!$D$1," ",Roster!$D$5)</f>
        <v>1A BB</v>
      </c>
      <c r="AI24" s="8" t="str">
        <f t="shared" ca="1" si="29"/>
        <v>Upton - Ten Sleep 12/9/2022</v>
      </c>
      <c r="AJ24" s="8">
        <f ca="1">IFERROR(VLOOKUP(PlayerGameData[[#This Row],[School, Opponent,Game'#]],Table3[],2,FALSE),0)</f>
        <v>1</v>
      </c>
      <c r="AK24" s="8">
        <f ca="1">IF(PlayerGameData[[#This Row],[Visible]]=1,1,1000)</f>
        <v>1</v>
      </c>
      <c r="AL24" s="8">
        <f ca="1">RANK(PlayerGameData[[#This Row],[TL PTS]],PlayerGameData[TL PTS],0)+PlayerGameData[[#This Row],[VisibleOrder]]</f>
        <v>185</v>
      </c>
      <c r="AM24" s="8">
        <f ca="1">IF(COUNTIF(PlayerGameData[PointOrder],PlayerGameData[[#This Row],[PointOrder]])&gt;1,RANK(PlayerGameData[[#This Row],[FGA]],PlayerGameData[FGA],0)/100,0)+PlayerGameData[[#This Row],[PointOrder]]</f>
        <v>187.14</v>
      </c>
      <c r="AN24" s="8">
        <f ca="1">RANK(PlayerGameData[[#This Row],[PointTieBreak]],PlayerGameData[PointTieBreak],1)</f>
        <v>216</v>
      </c>
      <c r="AO24" s="8">
        <f ca="1">RANK(PlayerGameData[[#This Row],[REB]],PlayerGameData[REB],0)+PlayerGameData[[#This Row],[VisibleOrder]]</f>
        <v>192</v>
      </c>
      <c r="AP24" s="8">
        <f ca="1">IF(COUNTIF(PlayerGameData[REBOrder],PlayerGameData[[#This Row],[REBOrder]])&gt;1,PlayerGameData[[#This Row],[PointRank]]/100+PlayerGameData[[#This Row],[REBOrder]],PlayerGameData[[#This Row],[REBOrder]])</f>
        <v>194.16</v>
      </c>
      <c r="AQ24" s="8">
        <f ca="1">RANK(PlayerGameData[[#This Row],[REBTieBreak]],PlayerGameData[REBTieBreak],1)</f>
        <v>224</v>
      </c>
      <c r="AR24" s="8">
        <f ca="1">RANK(PlayerGameData[[#This Row],[AST]],PlayerGameData[AST],0)+PlayerGameData[[#This Row],[VisibleOrder]]</f>
        <v>158</v>
      </c>
      <c r="AS24" s="8">
        <f ca="1">IF(COUNTIF(PlayerGameData[ASTOrder],PlayerGameData[[#This Row],[ASTOrder]])&gt;1,PlayerGameData[[#This Row],[PointRank]]/100+PlayerGameData[[#This Row],[ASTOrder]],PlayerGameData[[#This Row],[ASTOrder]])</f>
        <v>160.16</v>
      </c>
      <c r="AT24" s="8">
        <f ca="1">RANK(PlayerGameData[[#This Row],[ASTTieBreak]],PlayerGameData[ASTTieBreak],1)</f>
        <v>221</v>
      </c>
      <c r="AU24" s="8">
        <f ca="1">RANK(PlayerGameData[[#This Row],[STL]],PlayerGameData[STL],0)+PlayerGameData[[#This Row],[VisibleOrder]]</f>
        <v>143</v>
      </c>
      <c r="AV24" s="8">
        <f ca="1">IF(COUNTIF(PlayerGameData[STLOrder],PlayerGameData[[#This Row],[STLOrder]])&gt;1,PlayerGameData[[#This Row],[PointRank]]/100+PlayerGameData[[#This Row],[STLOrder]],PlayerGameData[[#This Row],[STLOrder]])</f>
        <v>145.16</v>
      </c>
      <c r="AW24" s="8">
        <f ca="1">RANK(PlayerGameData[[#This Row],[STLTieBreak]],PlayerGameData[STLTieBreak],1)</f>
        <v>217</v>
      </c>
      <c r="AX24" s="8">
        <f ca="1">RANK(PlayerGameData[[#This Row],[BLK]],PlayerGameData[BLK],0)+PlayerGameData[[#This Row],[VisibleOrder]]</f>
        <v>32</v>
      </c>
      <c r="AY24" s="8">
        <f ca="1">IF(COUNTIF(PlayerGameData[BLKOrder],PlayerGameData[[#This Row],[BLKOrder]])&gt;1,PlayerGameData[[#This Row],[PointRank]]/100+PlayerGameData[[#This Row],[BLKOrder]],PlayerGameData[[#This Row],[BLKOrder]])</f>
        <v>34.159999999999997</v>
      </c>
      <c r="AZ24" s="8">
        <f ca="1">RANK(PlayerGameData[[#This Row],[BLKTieBreak]],PlayerGameData[BLKTieBreak],1)</f>
        <v>216</v>
      </c>
      <c r="BA24" s="11">
        <f ca="1">IFERROR(IF(PlayerGameData[[#This Row],[FGA]]&gt;$AA$5,PlayerGameData[[#This Row],[FG%*]],PlayerGameData[[#This Row],[FG%*]]*-1),-2)</f>
        <v>-2</v>
      </c>
      <c r="BB24" s="8">
        <f ca="1">RANK(PlayerGameData[[#This Row],[EligFG]],PlayerGameData[EligFG],0)+PlayerGameData[[#This Row],[VisibleOrder]]</f>
        <v>215</v>
      </c>
      <c r="BC24" s="8">
        <f ca="1">IF(COUNTIF(PlayerGameData[EligFGOrder],PlayerGameData[[#This Row],[EligFGOrder]])&gt;1,PlayerGameData[[#This Row],[PointRank]]/100+PlayerGameData[[#This Row],[EligFGOrder]],PlayerGameData[[#This Row],[EligFGOrder]])</f>
        <v>217.16</v>
      </c>
      <c r="BD24" s="8">
        <f ca="1">RANK(PlayerGameData[[#This Row],[EligFGTieBreak]],PlayerGameData[EligFGTieBreak],1)</f>
        <v>216</v>
      </c>
      <c r="BE24" s="8" t="str">
        <f>Roster!$D$3</f>
        <v>East</v>
      </c>
      <c r="BF24" s="8" t="str">
        <f>Roster!$D$2</f>
        <v>Northeast</v>
      </c>
      <c r="BG24" s="8" t="str">
        <f>Roster!$D$4</f>
        <v>North</v>
      </c>
      <c r="BH24" s="197">
        <f ca="1">IFERROR(VLOOKUP(CONCATENATE(PlayerGameData[[#This Row],[Opponent]]," ",MONTH(PlayerGameData[[#This Row],[Date]]),"/",DAY(PlayerGameData[[#This Row],[Date]]),"/",YEAR(PlayerGameData[[#This Row],[Date]])),Table35[],2,FALSE),0)</f>
        <v>1</v>
      </c>
      <c r="BI24" s="197">
        <f ca="1">IF(PlayerGameData[[#This Row],[Visible]]=1,1,1000)</f>
        <v>1</v>
      </c>
      <c r="BJ24" s="197" t="e">
        <f ca="1">_xlfn.MAXIFS(TeamGameData[Win],TeamGameData[School, Opponent,Game'#],PlayerGameData[[#This Row],[School, Opponent,Game'#]])</f>
        <v>#NAME?</v>
      </c>
      <c r="BK24" s="197" t="e">
        <f ca="1">_xlfn.MAXIFS(TeamGameData[Loss],TeamGameData[School, Opponent,Game'#],PlayerGameData[[#This Row],[School, Opponent,Game'#]])</f>
        <v>#NAME?</v>
      </c>
    </row>
    <row r="25" spans="1:63" x14ac:dyDescent="0.25">
      <c r="A25" s="8" t="str">
        <f t="shared" ca="1" si="0"/>
        <v xml:space="preserve">, </v>
      </c>
      <c r="B25" s="8" t="str">
        <f>Roster!$B$1</f>
        <v>Upton</v>
      </c>
      <c r="C25" s="8" t="str">
        <f t="shared" ca="1" si="1"/>
        <v>Ten Sleep</v>
      </c>
      <c r="D25" s="10">
        <f t="shared" ca="1" si="2"/>
        <v>44904</v>
      </c>
      <c r="E25" s="8">
        <f t="shared" ca="1" si="3"/>
        <v>0</v>
      </c>
      <c r="F25" s="8">
        <f t="shared" ca="1" si="4"/>
        <v>0</v>
      </c>
      <c r="G25" s="8">
        <f t="shared" ca="1" si="5"/>
        <v>0</v>
      </c>
      <c r="H25" s="8">
        <f t="shared" ca="1" si="6"/>
        <v>0</v>
      </c>
      <c r="I25" s="8">
        <f t="shared" ca="1" si="7"/>
        <v>0</v>
      </c>
      <c r="J25" s="8">
        <f t="shared" ca="1" si="8"/>
        <v>0</v>
      </c>
      <c r="K25" s="8">
        <f t="shared" ca="1" si="9"/>
        <v>0</v>
      </c>
      <c r="L25" s="8">
        <f t="shared" ca="1" si="10"/>
        <v>0</v>
      </c>
      <c r="M25" s="8">
        <f t="shared" ca="1" si="11"/>
        <v>0</v>
      </c>
      <c r="N25" s="8">
        <f t="shared" ca="1" si="12"/>
        <v>0</v>
      </c>
      <c r="O25" s="8">
        <f t="shared" ca="1" si="13"/>
        <v>0</v>
      </c>
      <c r="P25" s="8">
        <f t="shared" ca="1" si="14"/>
        <v>0</v>
      </c>
      <c r="Q25" s="8">
        <f t="shared" ca="1" si="15"/>
        <v>0</v>
      </c>
      <c r="R25" s="8">
        <f t="shared" ca="1" si="16"/>
        <v>0</v>
      </c>
      <c r="S25" s="8">
        <f t="shared" ca="1" si="17"/>
        <v>0</v>
      </c>
      <c r="T25" s="8">
        <f t="shared" ca="1" si="18"/>
        <v>0</v>
      </c>
      <c r="U25" s="8">
        <f t="shared" ca="1" si="19"/>
        <v>0</v>
      </c>
      <c r="V25" s="8">
        <f t="shared" ca="1" si="20"/>
        <v>0</v>
      </c>
      <c r="W25" s="11" t="str">
        <f t="shared" ca="1" si="21"/>
        <v/>
      </c>
      <c r="X25" s="11" t="str">
        <f t="shared" ca="1" si="22"/>
        <v/>
      </c>
      <c r="Y25" s="11" t="str">
        <f t="shared" ca="1" si="23"/>
        <v/>
      </c>
      <c r="Z25" s="11" t="str">
        <f t="shared" ca="1" si="24"/>
        <v/>
      </c>
      <c r="AA25" s="11" t="str">
        <f t="shared" ca="1" si="25"/>
        <v/>
      </c>
      <c r="AB25" s="47">
        <f ca="1">PlayerGameData[[#This Row],[3FGA]]+PlayerGameData[[#This Row],[2FGA]]</f>
        <v>0</v>
      </c>
      <c r="AC25" s="47">
        <f ca="1">PlayerGameData[[#This Row],[OFF REB]]+PlayerGameData[[#This Row],[DEF REB]]</f>
        <v>0</v>
      </c>
      <c r="AD25" s="8">
        <f t="shared" si="26"/>
        <v>1</v>
      </c>
      <c r="AE25" s="8" t="str">
        <f t="shared" ca="1" si="27"/>
        <v>,  - Ten Sleep 12/9/2022</v>
      </c>
      <c r="AF25" s="8" t="str">
        <f t="shared" ca="1" si="28"/>
        <v/>
      </c>
      <c r="AG25" s="8" t="str">
        <f ca="1">IFERROR(IF(C25=0,"",IF(AND(VLOOKUP(PlayerGameData[[#This Row],[Opponent]],WYTeamInfo,2,FALSE)=Roster!$D$1,VLOOKUP(PlayerGameData[[#This Row],[Opponent]],WYTeamInfo,3,FALSE)=Roster!$D$2),"SR","")),"")</f>
        <v/>
      </c>
      <c r="AH25" s="8" t="str">
        <f>CONCATENATE(Roster!$D$1," ",Roster!$D$5)</f>
        <v>1A BB</v>
      </c>
      <c r="AI25" s="8" t="str">
        <f t="shared" ca="1" si="29"/>
        <v>Upton - Ten Sleep 12/9/2022</v>
      </c>
      <c r="AJ25" s="8">
        <f ca="1">IFERROR(VLOOKUP(PlayerGameData[[#This Row],[School, Opponent,Game'#]],Table3[],2,FALSE),0)</f>
        <v>1</v>
      </c>
      <c r="AK25" s="8">
        <f ca="1">IF(PlayerGameData[[#This Row],[Visible]]=1,1,1000)</f>
        <v>1</v>
      </c>
      <c r="AL25" s="8">
        <f ca="1">RANK(PlayerGameData[[#This Row],[TL PTS]],PlayerGameData[TL PTS],0)+PlayerGameData[[#This Row],[VisibleOrder]]</f>
        <v>185</v>
      </c>
      <c r="AM25" s="8">
        <f ca="1">IF(COUNTIF(PlayerGameData[PointOrder],PlayerGameData[[#This Row],[PointOrder]])&gt;1,RANK(PlayerGameData[[#This Row],[FGA]],PlayerGameData[FGA],0)/100,0)+PlayerGameData[[#This Row],[PointOrder]]</f>
        <v>187.14</v>
      </c>
      <c r="AN25" s="8">
        <f ca="1">RANK(PlayerGameData[[#This Row],[PointTieBreak]],PlayerGameData[PointTieBreak],1)</f>
        <v>216</v>
      </c>
      <c r="AO25" s="8">
        <f ca="1">RANK(PlayerGameData[[#This Row],[REB]],PlayerGameData[REB],0)+PlayerGameData[[#This Row],[VisibleOrder]]</f>
        <v>192</v>
      </c>
      <c r="AP25" s="8">
        <f ca="1">IF(COUNTIF(PlayerGameData[REBOrder],PlayerGameData[[#This Row],[REBOrder]])&gt;1,PlayerGameData[[#This Row],[PointRank]]/100+PlayerGameData[[#This Row],[REBOrder]],PlayerGameData[[#This Row],[REBOrder]])</f>
        <v>194.16</v>
      </c>
      <c r="AQ25" s="8">
        <f ca="1">RANK(PlayerGameData[[#This Row],[REBTieBreak]],PlayerGameData[REBTieBreak],1)</f>
        <v>224</v>
      </c>
      <c r="AR25" s="8">
        <f ca="1">RANK(PlayerGameData[[#This Row],[AST]],PlayerGameData[AST],0)+PlayerGameData[[#This Row],[VisibleOrder]]</f>
        <v>158</v>
      </c>
      <c r="AS25" s="8">
        <f ca="1">IF(COUNTIF(PlayerGameData[ASTOrder],PlayerGameData[[#This Row],[ASTOrder]])&gt;1,PlayerGameData[[#This Row],[PointRank]]/100+PlayerGameData[[#This Row],[ASTOrder]],PlayerGameData[[#This Row],[ASTOrder]])</f>
        <v>160.16</v>
      </c>
      <c r="AT25" s="8">
        <f ca="1">RANK(PlayerGameData[[#This Row],[ASTTieBreak]],PlayerGameData[ASTTieBreak],1)</f>
        <v>221</v>
      </c>
      <c r="AU25" s="8">
        <f ca="1">RANK(PlayerGameData[[#This Row],[STL]],PlayerGameData[STL],0)+PlayerGameData[[#This Row],[VisibleOrder]]</f>
        <v>143</v>
      </c>
      <c r="AV25" s="8">
        <f ca="1">IF(COUNTIF(PlayerGameData[STLOrder],PlayerGameData[[#This Row],[STLOrder]])&gt;1,PlayerGameData[[#This Row],[PointRank]]/100+PlayerGameData[[#This Row],[STLOrder]],PlayerGameData[[#This Row],[STLOrder]])</f>
        <v>145.16</v>
      </c>
      <c r="AW25" s="8">
        <f ca="1">RANK(PlayerGameData[[#This Row],[STLTieBreak]],PlayerGameData[STLTieBreak],1)</f>
        <v>217</v>
      </c>
      <c r="AX25" s="8">
        <f ca="1">RANK(PlayerGameData[[#This Row],[BLK]],PlayerGameData[BLK],0)+PlayerGameData[[#This Row],[VisibleOrder]]</f>
        <v>32</v>
      </c>
      <c r="AY25" s="8">
        <f ca="1">IF(COUNTIF(PlayerGameData[BLKOrder],PlayerGameData[[#This Row],[BLKOrder]])&gt;1,PlayerGameData[[#This Row],[PointRank]]/100+PlayerGameData[[#This Row],[BLKOrder]],PlayerGameData[[#This Row],[BLKOrder]])</f>
        <v>34.159999999999997</v>
      </c>
      <c r="AZ25" s="8">
        <f ca="1">RANK(PlayerGameData[[#This Row],[BLKTieBreak]],PlayerGameData[BLKTieBreak],1)</f>
        <v>216</v>
      </c>
      <c r="BA25" s="11">
        <f ca="1">IFERROR(IF(PlayerGameData[[#This Row],[FGA]]&gt;$AA$5,PlayerGameData[[#This Row],[FG%*]],PlayerGameData[[#This Row],[FG%*]]*-1),-2)</f>
        <v>-2</v>
      </c>
      <c r="BB25" s="8">
        <f ca="1">RANK(PlayerGameData[[#This Row],[EligFG]],PlayerGameData[EligFG],0)+PlayerGameData[[#This Row],[VisibleOrder]]</f>
        <v>215</v>
      </c>
      <c r="BC25" s="8">
        <f ca="1">IF(COUNTIF(PlayerGameData[EligFGOrder],PlayerGameData[[#This Row],[EligFGOrder]])&gt;1,PlayerGameData[[#This Row],[PointRank]]/100+PlayerGameData[[#This Row],[EligFGOrder]],PlayerGameData[[#This Row],[EligFGOrder]])</f>
        <v>217.16</v>
      </c>
      <c r="BD25" s="8">
        <f ca="1">RANK(PlayerGameData[[#This Row],[EligFGTieBreak]],PlayerGameData[EligFGTieBreak],1)</f>
        <v>216</v>
      </c>
      <c r="BE25" s="8" t="str">
        <f>Roster!$D$3</f>
        <v>East</v>
      </c>
      <c r="BF25" s="8" t="str">
        <f>Roster!$D$2</f>
        <v>Northeast</v>
      </c>
      <c r="BG25" s="8" t="str">
        <f>Roster!$D$4</f>
        <v>North</v>
      </c>
      <c r="BH25" s="197">
        <f ca="1">IFERROR(VLOOKUP(CONCATENATE(PlayerGameData[[#This Row],[Opponent]]," ",MONTH(PlayerGameData[[#This Row],[Date]]),"/",DAY(PlayerGameData[[#This Row],[Date]]),"/",YEAR(PlayerGameData[[#This Row],[Date]])),Table35[],2,FALSE),0)</f>
        <v>1</v>
      </c>
      <c r="BI25" s="197">
        <f ca="1">IF(PlayerGameData[[#This Row],[Visible]]=1,1,1000)</f>
        <v>1</v>
      </c>
      <c r="BJ25" s="197" t="e">
        <f ca="1">_xlfn.MAXIFS(TeamGameData[Win],TeamGameData[School, Opponent,Game'#],PlayerGameData[[#This Row],[School, Opponent,Game'#]])</f>
        <v>#NAME?</v>
      </c>
      <c r="BK25" s="197" t="e">
        <f ca="1">_xlfn.MAXIFS(TeamGameData[Loss],TeamGameData[School, Opponent,Game'#],PlayerGameData[[#This Row],[School, Opponent,Game'#]])</f>
        <v>#NAME?</v>
      </c>
    </row>
    <row r="26" spans="1:63" x14ac:dyDescent="0.25">
      <c r="A26" s="8" t="str">
        <f t="shared" ca="1" si="0"/>
        <v xml:space="preserve">, </v>
      </c>
      <c r="B26" s="8" t="str">
        <f>Roster!$B$1</f>
        <v>Upton</v>
      </c>
      <c r="C26" s="8" t="str">
        <f t="shared" ca="1" si="1"/>
        <v>Ten Sleep</v>
      </c>
      <c r="D26" s="10">
        <f t="shared" ca="1" si="2"/>
        <v>44904</v>
      </c>
      <c r="E26" s="8">
        <f t="shared" ca="1" si="3"/>
        <v>0</v>
      </c>
      <c r="F26" s="8">
        <f t="shared" ca="1" si="4"/>
        <v>0</v>
      </c>
      <c r="G26" s="8">
        <f t="shared" ca="1" si="5"/>
        <v>0</v>
      </c>
      <c r="H26" s="8">
        <f t="shared" ca="1" si="6"/>
        <v>0</v>
      </c>
      <c r="I26" s="8">
        <f t="shared" ca="1" si="7"/>
        <v>0</v>
      </c>
      <c r="J26" s="8">
        <f t="shared" ca="1" si="8"/>
        <v>0</v>
      </c>
      <c r="K26" s="8">
        <f t="shared" ca="1" si="9"/>
        <v>0</v>
      </c>
      <c r="L26" s="8">
        <f t="shared" ca="1" si="10"/>
        <v>0</v>
      </c>
      <c r="M26" s="8">
        <f t="shared" ca="1" si="11"/>
        <v>0</v>
      </c>
      <c r="N26" s="8">
        <f t="shared" ca="1" si="12"/>
        <v>0</v>
      </c>
      <c r="O26" s="8">
        <f t="shared" ca="1" si="13"/>
        <v>0</v>
      </c>
      <c r="P26" s="8">
        <f t="shared" ca="1" si="14"/>
        <v>0</v>
      </c>
      <c r="Q26" s="8">
        <f t="shared" ca="1" si="15"/>
        <v>0</v>
      </c>
      <c r="R26" s="8">
        <f t="shared" ca="1" si="16"/>
        <v>0</v>
      </c>
      <c r="S26" s="8">
        <f t="shared" ca="1" si="17"/>
        <v>0</v>
      </c>
      <c r="T26" s="8">
        <f t="shared" ca="1" si="18"/>
        <v>0</v>
      </c>
      <c r="U26" s="8">
        <f t="shared" ca="1" si="19"/>
        <v>0</v>
      </c>
      <c r="V26" s="8">
        <f t="shared" ca="1" si="20"/>
        <v>0</v>
      </c>
      <c r="W26" s="11" t="str">
        <f t="shared" ca="1" si="21"/>
        <v/>
      </c>
      <c r="X26" s="11" t="str">
        <f t="shared" ca="1" si="22"/>
        <v/>
      </c>
      <c r="Y26" s="11" t="str">
        <f t="shared" ca="1" si="23"/>
        <v/>
      </c>
      <c r="Z26" s="11" t="str">
        <f t="shared" ca="1" si="24"/>
        <v/>
      </c>
      <c r="AA26" s="11" t="str">
        <f t="shared" ca="1" si="25"/>
        <v/>
      </c>
      <c r="AB26" s="47">
        <f ca="1">PlayerGameData[[#This Row],[3FGA]]+PlayerGameData[[#This Row],[2FGA]]</f>
        <v>0</v>
      </c>
      <c r="AC26" s="47">
        <f ca="1">PlayerGameData[[#This Row],[OFF REB]]+PlayerGameData[[#This Row],[DEF REB]]</f>
        <v>0</v>
      </c>
      <c r="AD26" s="8">
        <f t="shared" si="26"/>
        <v>1</v>
      </c>
      <c r="AE26" s="8" t="str">
        <f t="shared" ca="1" si="27"/>
        <v>,  - Ten Sleep 12/9/2022</v>
      </c>
      <c r="AF26" s="8" t="str">
        <f t="shared" ca="1" si="28"/>
        <v/>
      </c>
      <c r="AG26" s="8" t="str">
        <f ca="1">IFERROR(IF(C26=0,"",IF(AND(VLOOKUP(PlayerGameData[[#This Row],[Opponent]],WYTeamInfo,2,FALSE)=Roster!$D$1,VLOOKUP(PlayerGameData[[#This Row],[Opponent]],WYTeamInfo,3,FALSE)=Roster!$D$2),"SR","")),"")</f>
        <v/>
      </c>
      <c r="AH26" s="8" t="str">
        <f>CONCATENATE(Roster!$D$1," ",Roster!$D$5)</f>
        <v>1A BB</v>
      </c>
      <c r="AI26" s="8" t="str">
        <f t="shared" ca="1" si="29"/>
        <v>Upton - Ten Sleep 12/9/2022</v>
      </c>
      <c r="AJ26" s="8">
        <f ca="1">IFERROR(VLOOKUP(PlayerGameData[[#This Row],[School, Opponent,Game'#]],Table3[],2,FALSE),0)</f>
        <v>1</v>
      </c>
      <c r="AK26" s="8">
        <f ca="1">IF(PlayerGameData[[#This Row],[Visible]]=1,1,1000)</f>
        <v>1</v>
      </c>
      <c r="AL26" s="8">
        <f ca="1">RANK(PlayerGameData[[#This Row],[TL PTS]],PlayerGameData[TL PTS],0)+PlayerGameData[[#This Row],[VisibleOrder]]</f>
        <v>185</v>
      </c>
      <c r="AM26" s="8">
        <f ca="1">IF(COUNTIF(PlayerGameData[PointOrder],PlayerGameData[[#This Row],[PointOrder]])&gt;1,RANK(PlayerGameData[[#This Row],[FGA]],PlayerGameData[FGA],0)/100,0)+PlayerGameData[[#This Row],[PointOrder]]</f>
        <v>187.14</v>
      </c>
      <c r="AN26" s="8">
        <f ca="1">RANK(PlayerGameData[[#This Row],[PointTieBreak]],PlayerGameData[PointTieBreak],1)</f>
        <v>216</v>
      </c>
      <c r="AO26" s="8">
        <f ca="1">RANK(PlayerGameData[[#This Row],[REB]],PlayerGameData[REB],0)+PlayerGameData[[#This Row],[VisibleOrder]]</f>
        <v>192</v>
      </c>
      <c r="AP26" s="8">
        <f ca="1">IF(COUNTIF(PlayerGameData[REBOrder],PlayerGameData[[#This Row],[REBOrder]])&gt;1,PlayerGameData[[#This Row],[PointRank]]/100+PlayerGameData[[#This Row],[REBOrder]],PlayerGameData[[#This Row],[REBOrder]])</f>
        <v>194.16</v>
      </c>
      <c r="AQ26" s="8">
        <f ca="1">RANK(PlayerGameData[[#This Row],[REBTieBreak]],PlayerGameData[REBTieBreak],1)</f>
        <v>224</v>
      </c>
      <c r="AR26" s="8">
        <f ca="1">RANK(PlayerGameData[[#This Row],[AST]],PlayerGameData[AST],0)+PlayerGameData[[#This Row],[VisibleOrder]]</f>
        <v>158</v>
      </c>
      <c r="AS26" s="8">
        <f ca="1">IF(COUNTIF(PlayerGameData[ASTOrder],PlayerGameData[[#This Row],[ASTOrder]])&gt;1,PlayerGameData[[#This Row],[PointRank]]/100+PlayerGameData[[#This Row],[ASTOrder]],PlayerGameData[[#This Row],[ASTOrder]])</f>
        <v>160.16</v>
      </c>
      <c r="AT26" s="8">
        <f ca="1">RANK(PlayerGameData[[#This Row],[ASTTieBreak]],PlayerGameData[ASTTieBreak],1)</f>
        <v>221</v>
      </c>
      <c r="AU26" s="8">
        <f ca="1">RANK(PlayerGameData[[#This Row],[STL]],PlayerGameData[STL],0)+PlayerGameData[[#This Row],[VisibleOrder]]</f>
        <v>143</v>
      </c>
      <c r="AV26" s="8">
        <f ca="1">IF(COUNTIF(PlayerGameData[STLOrder],PlayerGameData[[#This Row],[STLOrder]])&gt;1,PlayerGameData[[#This Row],[PointRank]]/100+PlayerGameData[[#This Row],[STLOrder]],PlayerGameData[[#This Row],[STLOrder]])</f>
        <v>145.16</v>
      </c>
      <c r="AW26" s="8">
        <f ca="1">RANK(PlayerGameData[[#This Row],[STLTieBreak]],PlayerGameData[STLTieBreak],1)</f>
        <v>217</v>
      </c>
      <c r="AX26" s="8">
        <f ca="1">RANK(PlayerGameData[[#This Row],[BLK]],PlayerGameData[BLK],0)+PlayerGameData[[#This Row],[VisibleOrder]]</f>
        <v>32</v>
      </c>
      <c r="AY26" s="8">
        <f ca="1">IF(COUNTIF(PlayerGameData[BLKOrder],PlayerGameData[[#This Row],[BLKOrder]])&gt;1,PlayerGameData[[#This Row],[PointRank]]/100+PlayerGameData[[#This Row],[BLKOrder]],PlayerGameData[[#This Row],[BLKOrder]])</f>
        <v>34.159999999999997</v>
      </c>
      <c r="AZ26" s="8">
        <f ca="1">RANK(PlayerGameData[[#This Row],[BLKTieBreak]],PlayerGameData[BLKTieBreak],1)</f>
        <v>216</v>
      </c>
      <c r="BA26" s="11">
        <f ca="1">IFERROR(IF(PlayerGameData[[#This Row],[FGA]]&gt;$AA$5,PlayerGameData[[#This Row],[FG%*]],PlayerGameData[[#This Row],[FG%*]]*-1),-2)</f>
        <v>-2</v>
      </c>
      <c r="BB26" s="8">
        <f ca="1">RANK(PlayerGameData[[#This Row],[EligFG]],PlayerGameData[EligFG],0)+PlayerGameData[[#This Row],[VisibleOrder]]</f>
        <v>215</v>
      </c>
      <c r="BC26" s="8">
        <f ca="1">IF(COUNTIF(PlayerGameData[EligFGOrder],PlayerGameData[[#This Row],[EligFGOrder]])&gt;1,PlayerGameData[[#This Row],[PointRank]]/100+PlayerGameData[[#This Row],[EligFGOrder]],PlayerGameData[[#This Row],[EligFGOrder]])</f>
        <v>217.16</v>
      </c>
      <c r="BD26" s="8">
        <f ca="1">RANK(PlayerGameData[[#This Row],[EligFGTieBreak]],PlayerGameData[EligFGTieBreak],1)</f>
        <v>216</v>
      </c>
      <c r="BE26" s="8" t="str">
        <f>Roster!$D$3</f>
        <v>East</v>
      </c>
      <c r="BF26" s="8" t="str">
        <f>Roster!$D$2</f>
        <v>Northeast</v>
      </c>
      <c r="BG26" s="8" t="str">
        <f>Roster!$D$4</f>
        <v>North</v>
      </c>
      <c r="BH26" s="197">
        <f ca="1">IFERROR(VLOOKUP(CONCATENATE(PlayerGameData[[#This Row],[Opponent]]," ",MONTH(PlayerGameData[[#This Row],[Date]]),"/",DAY(PlayerGameData[[#This Row],[Date]]),"/",YEAR(PlayerGameData[[#This Row],[Date]])),Table35[],2,FALSE),0)</f>
        <v>1</v>
      </c>
      <c r="BI26" s="197">
        <f ca="1">IF(PlayerGameData[[#This Row],[Visible]]=1,1,1000)</f>
        <v>1</v>
      </c>
      <c r="BJ26" s="197" t="e">
        <f ca="1">_xlfn.MAXIFS(TeamGameData[Win],TeamGameData[School, Opponent,Game'#],PlayerGameData[[#This Row],[School, Opponent,Game'#]])</f>
        <v>#NAME?</v>
      </c>
      <c r="BK26" s="197" t="e">
        <f ca="1">_xlfn.MAXIFS(TeamGameData[Loss],TeamGameData[School, Opponent,Game'#],PlayerGameData[[#This Row],[School, Opponent,Game'#]])</f>
        <v>#NAME?</v>
      </c>
    </row>
    <row r="27" spans="1:63" x14ac:dyDescent="0.25">
      <c r="A27" s="8" t="str">
        <f t="shared" ca="1" si="0"/>
        <v xml:space="preserve">, </v>
      </c>
      <c r="B27" s="8" t="str">
        <f>Roster!$B$1</f>
        <v>Upton</v>
      </c>
      <c r="C27" s="8" t="str">
        <f t="shared" ca="1" si="1"/>
        <v>Ten Sleep</v>
      </c>
      <c r="D27" s="10">
        <f t="shared" ca="1" si="2"/>
        <v>44904</v>
      </c>
      <c r="E27" s="8">
        <f t="shared" ca="1" si="3"/>
        <v>0</v>
      </c>
      <c r="F27" s="8">
        <f t="shared" ca="1" si="4"/>
        <v>0</v>
      </c>
      <c r="G27" s="8">
        <f t="shared" ca="1" si="5"/>
        <v>0</v>
      </c>
      <c r="H27" s="8">
        <f t="shared" ca="1" si="6"/>
        <v>0</v>
      </c>
      <c r="I27" s="8">
        <f t="shared" ca="1" si="7"/>
        <v>0</v>
      </c>
      <c r="J27" s="8">
        <f t="shared" ca="1" si="8"/>
        <v>0</v>
      </c>
      <c r="K27" s="8">
        <f t="shared" ca="1" si="9"/>
        <v>0</v>
      </c>
      <c r="L27" s="8">
        <f t="shared" ca="1" si="10"/>
        <v>0</v>
      </c>
      <c r="M27" s="8">
        <f t="shared" ca="1" si="11"/>
        <v>0</v>
      </c>
      <c r="N27" s="8">
        <f t="shared" ca="1" si="12"/>
        <v>0</v>
      </c>
      <c r="O27" s="8">
        <f t="shared" ca="1" si="13"/>
        <v>0</v>
      </c>
      <c r="P27" s="8">
        <f t="shared" ca="1" si="14"/>
        <v>0</v>
      </c>
      <c r="Q27" s="8">
        <f t="shared" ca="1" si="15"/>
        <v>0</v>
      </c>
      <c r="R27" s="8">
        <f t="shared" ca="1" si="16"/>
        <v>0</v>
      </c>
      <c r="S27" s="8">
        <f t="shared" ca="1" si="17"/>
        <v>0</v>
      </c>
      <c r="T27" s="8">
        <f t="shared" ca="1" si="18"/>
        <v>0</v>
      </c>
      <c r="U27" s="8">
        <f t="shared" ca="1" si="19"/>
        <v>0</v>
      </c>
      <c r="V27" s="8">
        <f t="shared" ca="1" si="20"/>
        <v>0</v>
      </c>
      <c r="W27" s="11" t="str">
        <f t="shared" ca="1" si="21"/>
        <v/>
      </c>
      <c r="X27" s="11" t="str">
        <f t="shared" ca="1" si="22"/>
        <v/>
      </c>
      <c r="Y27" s="11" t="str">
        <f t="shared" ca="1" si="23"/>
        <v/>
      </c>
      <c r="Z27" s="11" t="str">
        <f t="shared" ca="1" si="24"/>
        <v/>
      </c>
      <c r="AA27" s="11" t="str">
        <f t="shared" ca="1" si="25"/>
        <v/>
      </c>
      <c r="AB27" s="47">
        <f ca="1">PlayerGameData[[#This Row],[3FGA]]+PlayerGameData[[#This Row],[2FGA]]</f>
        <v>0</v>
      </c>
      <c r="AC27" s="47">
        <f ca="1">PlayerGameData[[#This Row],[OFF REB]]+PlayerGameData[[#This Row],[DEF REB]]</f>
        <v>0</v>
      </c>
      <c r="AD27" s="8">
        <f t="shared" si="26"/>
        <v>1</v>
      </c>
      <c r="AE27" s="8" t="str">
        <f t="shared" ca="1" si="27"/>
        <v>,  - Ten Sleep 12/9/2022</v>
      </c>
      <c r="AF27" s="8" t="str">
        <f t="shared" ca="1" si="28"/>
        <v/>
      </c>
      <c r="AG27" s="8" t="str">
        <f ca="1">IFERROR(IF(C27=0,"",IF(AND(VLOOKUP(PlayerGameData[[#This Row],[Opponent]],WYTeamInfo,2,FALSE)=Roster!$D$1,VLOOKUP(PlayerGameData[[#This Row],[Opponent]],WYTeamInfo,3,FALSE)=Roster!$D$2),"SR","")),"")</f>
        <v/>
      </c>
      <c r="AH27" s="8" t="str">
        <f>CONCATENATE(Roster!$D$1," ",Roster!$D$5)</f>
        <v>1A BB</v>
      </c>
      <c r="AI27" s="8" t="str">
        <f t="shared" ca="1" si="29"/>
        <v>Upton - Ten Sleep 12/9/2022</v>
      </c>
      <c r="AJ27" s="8">
        <f ca="1">IFERROR(VLOOKUP(PlayerGameData[[#This Row],[School, Opponent,Game'#]],Table3[],2,FALSE),0)</f>
        <v>1</v>
      </c>
      <c r="AK27" s="8">
        <f ca="1">IF(PlayerGameData[[#This Row],[Visible]]=1,1,1000)</f>
        <v>1</v>
      </c>
      <c r="AL27" s="8">
        <f ca="1">RANK(PlayerGameData[[#This Row],[TL PTS]],PlayerGameData[TL PTS],0)+PlayerGameData[[#This Row],[VisibleOrder]]</f>
        <v>185</v>
      </c>
      <c r="AM27" s="8">
        <f ca="1">IF(COUNTIF(PlayerGameData[PointOrder],PlayerGameData[[#This Row],[PointOrder]])&gt;1,RANK(PlayerGameData[[#This Row],[FGA]],PlayerGameData[FGA],0)/100,0)+PlayerGameData[[#This Row],[PointOrder]]</f>
        <v>187.14</v>
      </c>
      <c r="AN27" s="8">
        <f ca="1">RANK(PlayerGameData[[#This Row],[PointTieBreak]],PlayerGameData[PointTieBreak],1)</f>
        <v>216</v>
      </c>
      <c r="AO27" s="8">
        <f ca="1">RANK(PlayerGameData[[#This Row],[REB]],PlayerGameData[REB],0)+PlayerGameData[[#This Row],[VisibleOrder]]</f>
        <v>192</v>
      </c>
      <c r="AP27" s="8">
        <f ca="1">IF(COUNTIF(PlayerGameData[REBOrder],PlayerGameData[[#This Row],[REBOrder]])&gt;1,PlayerGameData[[#This Row],[PointRank]]/100+PlayerGameData[[#This Row],[REBOrder]],PlayerGameData[[#This Row],[REBOrder]])</f>
        <v>194.16</v>
      </c>
      <c r="AQ27" s="8">
        <f ca="1">RANK(PlayerGameData[[#This Row],[REBTieBreak]],PlayerGameData[REBTieBreak],1)</f>
        <v>224</v>
      </c>
      <c r="AR27" s="8">
        <f ca="1">RANK(PlayerGameData[[#This Row],[AST]],PlayerGameData[AST],0)+PlayerGameData[[#This Row],[VisibleOrder]]</f>
        <v>158</v>
      </c>
      <c r="AS27" s="8">
        <f ca="1">IF(COUNTIF(PlayerGameData[ASTOrder],PlayerGameData[[#This Row],[ASTOrder]])&gt;1,PlayerGameData[[#This Row],[PointRank]]/100+PlayerGameData[[#This Row],[ASTOrder]],PlayerGameData[[#This Row],[ASTOrder]])</f>
        <v>160.16</v>
      </c>
      <c r="AT27" s="8">
        <f ca="1">RANK(PlayerGameData[[#This Row],[ASTTieBreak]],PlayerGameData[ASTTieBreak],1)</f>
        <v>221</v>
      </c>
      <c r="AU27" s="8">
        <f ca="1">RANK(PlayerGameData[[#This Row],[STL]],PlayerGameData[STL],0)+PlayerGameData[[#This Row],[VisibleOrder]]</f>
        <v>143</v>
      </c>
      <c r="AV27" s="8">
        <f ca="1">IF(COUNTIF(PlayerGameData[STLOrder],PlayerGameData[[#This Row],[STLOrder]])&gt;1,PlayerGameData[[#This Row],[PointRank]]/100+PlayerGameData[[#This Row],[STLOrder]],PlayerGameData[[#This Row],[STLOrder]])</f>
        <v>145.16</v>
      </c>
      <c r="AW27" s="8">
        <f ca="1">RANK(PlayerGameData[[#This Row],[STLTieBreak]],PlayerGameData[STLTieBreak],1)</f>
        <v>217</v>
      </c>
      <c r="AX27" s="8">
        <f ca="1">RANK(PlayerGameData[[#This Row],[BLK]],PlayerGameData[BLK],0)+PlayerGameData[[#This Row],[VisibleOrder]]</f>
        <v>32</v>
      </c>
      <c r="AY27" s="8">
        <f ca="1">IF(COUNTIF(PlayerGameData[BLKOrder],PlayerGameData[[#This Row],[BLKOrder]])&gt;1,PlayerGameData[[#This Row],[PointRank]]/100+PlayerGameData[[#This Row],[BLKOrder]],PlayerGameData[[#This Row],[BLKOrder]])</f>
        <v>34.159999999999997</v>
      </c>
      <c r="AZ27" s="8">
        <f ca="1">RANK(PlayerGameData[[#This Row],[BLKTieBreak]],PlayerGameData[BLKTieBreak],1)</f>
        <v>216</v>
      </c>
      <c r="BA27" s="11">
        <f ca="1">IFERROR(IF(PlayerGameData[[#This Row],[FGA]]&gt;$AA$5,PlayerGameData[[#This Row],[FG%*]],PlayerGameData[[#This Row],[FG%*]]*-1),-2)</f>
        <v>-2</v>
      </c>
      <c r="BB27" s="8">
        <f ca="1">RANK(PlayerGameData[[#This Row],[EligFG]],PlayerGameData[EligFG],0)+PlayerGameData[[#This Row],[VisibleOrder]]</f>
        <v>215</v>
      </c>
      <c r="BC27" s="8">
        <f ca="1">IF(COUNTIF(PlayerGameData[EligFGOrder],PlayerGameData[[#This Row],[EligFGOrder]])&gt;1,PlayerGameData[[#This Row],[PointRank]]/100+PlayerGameData[[#This Row],[EligFGOrder]],PlayerGameData[[#This Row],[EligFGOrder]])</f>
        <v>217.16</v>
      </c>
      <c r="BD27" s="8">
        <f ca="1">RANK(PlayerGameData[[#This Row],[EligFGTieBreak]],PlayerGameData[EligFGTieBreak],1)</f>
        <v>216</v>
      </c>
      <c r="BE27" s="8" t="str">
        <f>Roster!$D$3</f>
        <v>East</v>
      </c>
      <c r="BF27" s="8" t="str">
        <f>Roster!$D$2</f>
        <v>Northeast</v>
      </c>
      <c r="BG27" s="8" t="str">
        <f>Roster!$D$4</f>
        <v>North</v>
      </c>
      <c r="BH27" s="197">
        <f ca="1">IFERROR(VLOOKUP(CONCATENATE(PlayerGameData[[#This Row],[Opponent]]," ",MONTH(PlayerGameData[[#This Row],[Date]]),"/",DAY(PlayerGameData[[#This Row],[Date]]),"/",YEAR(PlayerGameData[[#This Row],[Date]])),Table35[],2,FALSE),0)</f>
        <v>1</v>
      </c>
      <c r="BI27" s="197">
        <f ca="1">IF(PlayerGameData[[#This Row],[Visible]]=1,1,1000)</f>
        <v>1</v>
      </c>
      <c r="BJ27" s="197" t="e">
        <f ca="1">_xlfn.MAXIFS(TeamGameData[Win],TeamGameData[School, Opponent,Game'#],PlayerGameData[[#This Row],[School, Opponent,Game'#]])</f>
        <v>#NAME?</v>
      </c>
      <c r="BK27" s="197" t="e">
        <f ca="1">_xlfn.MAXIFS(TeamGameData[Loss],TeamGameData[School, Opponent,Game'#],PlayerGameData[[#This Row],[School, Opponent,Game'#]])</f>
        <v>#NAME?</v>
      </c>
    </row>
    <row r="28" spans="1:63" x14ac:dyDescent="0.25">
      <c r="A28" s="8" t="str">
        <f t="shared" ca="1" si="0"/>
        <v xml:space="preserve">, </v>
      </c>
      <c r="B28" s="8" t="str">
        <f>Roster!$B$1</f>
        <v>Upton</v>
      </c>
      <c r="C28" s="8" t="str">
        <f t="shared" ca="1" si="1"/>
        <v>Ten Sleep</v>
      </c>
      <c r="D28" s="10">
        <f t="shared" ca="1" si="2"/>
        <v>44904</v>
      </c>
      <c r="E28" s="8">
        <f t="shared" ca="1" si="3"/>
        <v>0</v>
      </c>
      <c r="F28" s="8">
        <f t="shared" ca="1" si="4"/>
        <v>0</v>
      </c>
      <c r="G28" s="8">
        <f t="shared" ca="1" si="5"/>
        <v>0</v>
      </c>
      <c r="H28" s="8">
        <f t="shared" ca="1" si="6"/>
        <v>0</v>
      </c>
      <c r="I28" s="8">
        <f t="shared" ca="1" si="7"/>
        <v>0</v>
      </c>
      <c r="J28" s="8">
        <f t="shared" ca="1" si="8"/>
        <v>0</v>
      </c>
      <c r="K28" s="8">
        <f t="shared" ca="1" si="9"/>
        <v>0</v>
      </c>
      <c r="L28" s="8">
        <f t="shared" ca="1" si="10"/>
        <v>0</v>
      </c>
      <c r="M28" s="8">
        <f t="shared" ca="1" si="11"/>
        <v>0</v>
      </c>
      <c r="N28" s="8">
        <f t="shared" ca="1" si="12"/>
        <v>0</v>
      </c>
      <c r="O28" s="8">
        <f t="shared" ca="1" si="13"/>
        <v>0</v>
      </c>
      <c r="P28" s="8">
        <f t="shared" ca="1" si="14"/>
        <v>0</v>
      </c>
      <c r="Q28" s="8">
        <f t="shared" ca="1" si="15"/>
        <v>0</v>
      </c>
      <c r="R28" s="8">
        <f t="shared" ca="1" si="16"/>
        <v>0</v>
      </c>
      <c r="S28" s="8">
        <f t="shared" ca="1" si="17"/>
        <v>0</v>
      </c>
      <c r="T28" s="8">
        <f t="shared" ca="1" si="18"/>
        <v>0</v>
      </c>
      <c r="U28" s="8">
        <f t="shared" ca="1" si="19"/>
        <v>0</v>
      </c>
      <c r="V28" s="8">
        <f t="shared" ca="1" si="20"/>
        <v>0</v>
      </c>
      <c r="W28" s="11" t="str">
        <f t="shared" ca="1" si="21"/>
        <v/>
      </c>
      <c r="X28" s="11" t="str">
        <f t="shared" ca="1" si="22"/>
        <v/>
      </c>
      <c r="Y28" s="11" t="str">
        <f t="shared" ca="1" si="23"/>
        <v/>
      </c>
      <c r="Z28" s="11" t="str">
        <f t="shared" ca="1" si="24"/>
        <v/>
      </c>
      <c r="AA28" s="11" t="str">
        <f t="shared" ca="1" si="25"/>
        <v/>
      </c>
      <c r="AB28" s="47">
        <f ca="1">PlayerGameData[[#This Row],[3FGA]]+PlayerGameData[[#This Row],[2FGA]]</f>
        <v>0</v>
      </c>
      <c r="AC28" s="47">
        <f ca="1">PlayerGameData[[#This Row],[OFF REB]]+PlayerGameData[[#This Row],[DEF REB]]</f>
        <v>0</v>
      </c>
      <c r="AD28" s="8">
        <f t="shared" si="26"/>
        <v>1</v>
      </c>
      <c r="AE28" s="8" t="str">
        <f t="shared" ca="1" si="27"/>
        <v>,  - Ten Sleep 12/9/2022</v>
      </c>
      <c r="AF28" s="8" t="str">
        <f t="shared" ca="1" si="28"/>
        <v/>
      </c>
      <c r="AG28" s="8" t="str">
        <f ca="1">IFERROR(IF(C28=0,"",IF(AND(VLOOKUP(PlayerGameData[[#This Row],[Opponent]],WYTeamInfo,2,FALSE)=Roster!$D$1,VLOOKUP(PlayerGameData[[#This Row],[Opponent]],WYTeamInfo,3,FALSE)=Roster!$D$2),"SR","")),"")</f>
        <v/>
      </c>
      <c r="AH28" s="8" t="str">
        <f>CONCATENATE(Roster!$D$1," ",Roster!$D$5)</f>
        <v>1A BB</v>
      </c>
      <c r="AI28" s="8" t="str">
        <f t="shared" ca="1" si="29"/>
        <v>Upton - Ten Sleep 12/9/2022</v>
      </c>
      <c r="AJ28" s="8">
        <f ca="1">IFERROR(VLOOKUP(PlayerGameData[[#This Row],[School, Opponent,Game'#]],Table3[],2,FALSE),0)</f>
        <v>1</v>
      </c>
      <c r="AK28" s="8">
        <f ca="1">IF(PlayerGameData[[#This Row],[Visible]]=1,1,1000)</f>
        <v>1</v>
      </c>
      <c r="AL28" s="8">
        <f ca="1">RANK(PlayerGameData[[#This Row],[TL PTS]],PlayerGameData[TL PTS],0)+PlayerGameData[[#This Row],[VisibleOrder]]</f>
        <v>185</v>
      </c>
      <c r="AM28" s="8">
        <f ca="1">IF(COUNTIF(PlayerGameData[PointOrder],PlayerGameData[[#This Row],[PointOrder]])&gt;1,RANK(PlayerGameData[[#This Row],[FGA]],PlayerGameData[FGA],0)/100,0)+PlayerGameData[[#This Row],[PointOrder]]</f>
        <v>187.14</v>
      </c>
      <c r="AN28" s="8">
        <f ca="1">RANK(PlayerGameData[[#This Row],[PointTieBreak]],PlayerGameData[PointTieBreak],1)</f>
        <v>216</v>
      </c>
      <c r="AO28" s="8">
        <f ca="1">RANK(PlayerGameData[[#This Row],[REB]],PlayerGameData[REB],0)+PlayerGameData[[#This Row],[VisibleOrder]]</f>
        <v>192</v>
      </c>
      <c r="AP28" s="8">
        <f ca="1">IF(COUNTIF(PlayerGameData[REBOrder],PlayerGameData[[#This Row],[REBOrder]])&gt;1,PlayerGameData[[#This Row],[PointRank]]/100+PlayerGameData[[#This Row],[REBOrder]],PlayerGameData[[#This Row],[REBOrder]])</f>
        <v>194.16</v>
      </c>
      <c r="AQ28" s="8">
        <f ca="1">RANK(PlayerGameData[[#This Row],[REBTieBreak]],PlayerGameData[REBTieBreak],1)</f>
        <v>224</v>
      </c>
      <c r="AR28" s="8">
        <f ca="1">RANK(PlayerGameData[[#This Row],[AST]],PlayerGameData[AST],0)+PlayerGameData[[#This Row],[VisibleOrder]]</f>
        <v>158</v>
      </c>
      <c r="AS28" s="8">
        <f ca="1">IF(COUNTIF(PlayerGameData[ASTOrder],PlayerGameData[[#This Row],[ASTOrder]])&gt;1,PlayerGameData[[#This Row],[PointRank]]/100+PlayerGameData[[#This Row],[ASTOrder]],PlayerGameData[[#This Row],[ASTOrder]])</f>
        <v>160.16</v>
      </c>
      <c r="AT28" s="8">
        <f ca="1">RANK(PlayerGameData[[#This Row],[ASTTieBreak]],PlayerGameData[ASTTieBreak],1)</f>
        <v>221</v>
      </c>
      <c r="AU28" s="8">
        <f ca="1">RANK(PlayerGameData[[#This Row],[STL]],PlayerGameData[STL],0)+PlayerGameData[[#This Row],[VisibleOrder]]</f>
        <v>143</v>
      </c>
      <c r="AV28" s="8">
        <f ca="1">IF(COUNTIF(PlayerGameData[STLOrder],PlayerGameData[[#This Row],[STLOrder]])&gt;1,PlayerGameData[[#This Row],[PointRank]]/100+PlayerGameData[[#This Row],[STLOrder]],PlayerGameData[[#This Row],[STLOrder]])</f>
        <v>145.16</v>
      </c>
      <c r="AW28" s="8">
        <f ca="1">RANK(PlayerGameData[[#This Row],[STLTieBreak]],PlayerGameData[STLTieBreak],1)</f>
        <v>217</v>
      </c>
      <c r="AX28" s="8">
        <f ca="1">RANK(PlayerGameData[[#This Row],[BLK]],PlayerGameData[BLK],0)+PlayerGameData[[#This Row],[VisibleOrder]]</f>
        <v>32</v>
      </c>
      <c r="AY28" s="8">
        <f ca="1">IF(COUNTIF(PlayerGameData[BLKOrder],PlayerGameData[[#This Row],[BLKOrder]])&gt;1,PlayerGameData[[#This Row],[PointRank]]/100+PlayerGameData[[#This Row],[BLKOrder]],PlayerGameData[[#This Row],[BLKOrder]])</f>
        <v>34.159999999999997</v>
      </c>
      <c r="AZ28" s="8">
        <f ca="1">RANK(PlayerGameData[[#This Row],[BLKTieBreak]],PlayerGameData[BLKTieBreak],1)</f>
        <v>216</v>
      </c>
      <c r="BA28" s="11">
        <f ca="1">IFERROR(IF(PlayerGameData[[#This Row],[FGA]]&gt;$AA$5,PlayerGameData[[#This Row],[FG%*]],PlayerGameData[[#This Row],[FG%*]]*-1),-2)</f>
        <v>-2</v>
      </c>
      <c r="BB28" s="8">
        <f ca="1">RANK(PlayerGameData[[#This Row],[EligFG]],PlayerGameData[EligFG],0)+PlayerGameData[[#This Row],[VisibleOrder]]</f>
        <v>215</v>
      </c>
      <c r="BC28" s="8">
        <f ca="1">IF(COUNTIF(PlayerGameData[EligFGOrder],PlayerGameData[[#This Row],[EligFGOrder]])&gt;1,PlayerGameData[[#This Row],[PointRank]]/100+PlayerGameData[[#This Row],[EligFGOrder]],PlayerGameData[[#This Row],[EligFGOrder]])</f>
        <v>217.16</v>
      </c>
      <c r="BD28" s="8">
        <f ca="1">RANK(PlayerGameData[[#This Row],[EligFGTieBreak]],PlayerGameData[EligFGTieBreak],1)</f>
        <v>216</v>
      </c>
      <c r="BE28" s="8" t="str">
        <f>Roster!$D$3</f>
        <v>East</v>
      </c>
      <c r="BF28" s="8" t="str">
        <f>Roster!$D$2</f>
        <v>Northeast</v>
      </c>
      <c r="BG28" s="8" t="str">
        <f>Roster!$D$4</f>
        <v>North</v>
      </c>
      <c r="BH28" s="197">
        <f ca="1">IFERROR(VLOOKUP(CONCATENATE(PlayerGameData[[#This Row],[Opponent]]," ",MONTH(PlayerGameData[[#This Row],[Date]]),"/",DAY(PlayerGameData[[#This Row],[Date]]),"/",YEAR(PlayerGameData[[#This Row],[Date]])),Table35[],2,FALSE),0)</f>
        <v>1</v>
      </c>
      <c r="BI28" s="197">
        <f ca="1">IF(PlayerGameData[[#This Row],[Visible]]=1,1,1000)</f>
        <v>1</v>
      </c>
      <c r="BJ28" s="197" t="e">
        <f ca="1">_xlfn.MAXIFS(TeamGameData[Win],TeamGameData[School, Opponent,Game'#],PlayerGameData[[#This Row],[School, Opponent,Game'#]])</f>
        <v>#NAME?</v>
      </c>
      <c r="BK28" s="197" t="e">
        <f ca="1">_xlfn.MAXIFS(TeamGameData[Loss],TeamGameData[School, Opponent,Game'#],PlayerGameData[[#This Row],[School, Opponent,Game'#]])</f>
        <v>#NAME?</v>
      </c>
    </row>
    <row r="29" spans="1:63" x14ac:dyDescent="0.25">
      <c r="A29" s="8" t="str">
        <f t="shared" ca="1" si="0"/>
        <v xml:space="preserve">, </v>
      </c>
      <c r="B29" s="8" t="str">
        <f>Roster!$B$1</f>
        <v>Upton</v>
      </c>
      <c r="C29" s="8" t="str">
        <f t="shared" ca="1" si="1"/>
        <v>Ten Sleep</v>
      </c>
      <c r="D29" s="10">
        <f t="shared" ca="1" si="2"/>
        <v>44904</v>
      </c>
      <c r="E29" s="8">
        <f t="shared" ca="1" si="3"/>
        <v>0</v>
      </c>
      <c r="F29" s="8">
        <f t="shared" ca="1" si="4"/>
        <v>0</v>
      </c>
      <c r="G29" s="8">
        <f t="shared" ca="1" si="5"/>
        <v>0</v>
      </c>
      <c r="H29" s="8">
        <f t="shared" ca="1" si="6"/>
        <v>0</v>
      </c>
      <c r="I29" s="8">
        <f t="shared" ca="1" si="7"/>
        <v>0</v>
      </c>
      <c r="J29" s="8">
        <f t="shared" ca="1" si="8"/>
        <v>0</v>
      </c>
      <c r="K29" s="8">
        <f t="shared" ca="1" si="9"/>
        <v>0</v>
      </c>
      <c r="L29" s="8">
        <f t="shared" ca="1" si="10"/>
        <v>0</v>
      </c>
      <c r="M29" s="8">
        <f t="shared" ca="1" si="11"/>
        <v>0</v>
      </c>
      <c r="N29" s="8">
        <f t="shared" ca="1" si="12"/>
        <v>0</v>
      </c>
      <c r="O29" s="8">
        <f t="shared" ca="1" si="13"/>
        <v>0</v>
      </c>
      <c r="P29" s="8">
        <f t="shared" ca="1" si="14"/>
        <v>0</v>
      </c>
      <c r="Q29" s="8">
        <f t="shared" ca="1" si="15"/>
        <v>0</v>
      </c>
      <c r="R29" s="8">
        <f t="shared" ca="1" si="16"/>
        <v>0</v>
      </c>
      <c r="S29" s="8">
        <f t="shared" ca="1" si="17"/>
        <v>0</v>
      </c>
      <c r="T29" s="8">
        <f t="shared" ca="1" si="18"/>
        <v>0</v>
      </c>
      <c r="U29" s="8">
        <f t="shared" ca="1" si="19"/>
        <v>0</v>
      </c>
      <c r="V29" s="8">
        <f t="shared" ca="1" si="20"/>
        <v>0</v>
      </c>
      <c r="W29" s="11" t="str">
        <f t="shared" ca="1" si="21"/>
        <v/>
      </c>
      <c r="X29" s="11" t="str">
        <f t="shared" ca="1" si="22"/>
        <v/>
      </c>
      <c r="Y29" s="11" t="str">
        <f t="shared" ca="1" si="23"/>
        <v/>
      </c>
      <c r="Z29" s="11" t="str">
        <f t="shared" ca="1" si="24"/>
        <v/>
      </c>
      <c r="AA29" s="11" t="str">
        <f t="shared" ca="1" si="25"/>
        <v/>
      </c>
      <c r="AB29" s="47">
        <f ca="1">PlayerGameData[[#This Row],[3FGA]]+PlayerGameData[[#This Row],[2FGA]]</f>
        <v>0</v>
      </c>
      <c r="AC29" s="47">
        <f ca="1">PlayerGameData[[#This Row],[OFF REB]]+PlayerGameData[[#This Row],[DEF REB]]</f>
        <v>0</v>
      </c>
      <c r="AD29" s="8">
        <f t="shared" si="26"/>
        <v>1</v>
      </c>
      <c r="AE29" s="8" t="str">
        <f t="shared" ca="1" si="27"/>
        <v>,  - Ten Sleep 12/9/2022</v>
      </c>
      <c r="AF29" s="8" t="str">
        <f t="shared" ca="1" si="28"/>
        <v/>
      </c>
      <c r="AG29" s="8" t="str">
        <f ca="1">IFERROR(IF(C29=0,"",IF(AND(VLOOKUP(PlayerGameData[[#This Row],[Opponent]],WYTeamInfo,2,FALSE)=Roster!$D$1,VLOOKUP(PlayerGameData[[#This Row],[Opponent]],WYTeamInfo,3,FALSE)=Roster!$D$2),"SR","")),"")</f>
        <v/>
      </c>
      <c r="AH29" s="8" t="str">
        <f>CONCATENATE(Roster!$D$1," ",Roster!$D$5)</f>
        <v>1A BB</v>
      </c>
      <c r="AI29" s="8" t="str">
        <f t="shared" ca="1" si="29"/>
        <v>Upton - Ten Sleep 12/9/2022</v>
      </c>
      <c r="AJ29" s="8">
        <f ca="1">IFERROR(VLOOKUP(PlayerGameData[[#This Row],[School, Opponent,Game'#]],Table3[],2,FALSE),0)</f>
        <v>1</v>
      </c>
      <c r="AK29" s="8">
        <f ca="1">IF(PlayerGameData[[#This Row],[Visible]]=1,1,1000)</f>
        <v>1</v>
      </c>
      <c r="AL29" s="8">
        <f ca="1">RANK(PlayerGameData[[#This Row],[TL PTS]],PlayerGameData[TL PTS],0)+PlayerGameData[[#This Row],[VisibleOrder]]</f>
        <v>185</v>
      </c>
      <c r="AM29" s="8">
        <f ca="1">IF(COUNTIF(PlayerGameData[PointOrder],PlayerGameData[[#This Row],[PointOrder]])&gt;1,RANK(PlayerGameData[[#This Row],[FGA]],PlayerGameData[FGA],0)/100,0)+PlayerGameData[[#This Row],[PointOrder]]</f>
        <v>187.14</v>
      </c>
      <c r="AN29" s="8">
        <f ca="1">RANK(PlayerGameData[[#This Row],[PointTieBreak]],PlayerGameData[PointTieBreak],1)</f>
        <v>216</v>
      </c>
      <c r="AO29" s="8">
        <f ca="1">RANK(PlayerGameData[[#This Row],[REB]],PlayerGameData[REB],0)+PlayerGameData[[#This Row],[VisibleOrder]]</f>
        <v>192</v>
      </c>
      <c r="AP29" s="8">
        <f ca="1">IF(COUNTIF(PlayerGameData[REBOrder],PlayerGameData[[#This Row],[REBOrder]])&gt;1,PlayerGameData[[#This Row],[PointRank]]/100+PlayerGameData[[#This Row],[REBOrder]],PlayerGameData[[#This Row],[REBOrder]])</f>
        <v>194.16</v>
      </c>
      <c r="AQ29" s="8">
        <f ca="1">RANK(PlayerGameData[[#This Row],[REBTieBreak]],PlayerGameData[REBTieBreak],1)</f>
        <v>224</v>
      </c>
      <c r="AR29" s="8">
        <f ca="1">RANK(PlayerGameData[[#This Row],[AST]],PlayerGameData[AST],0)+PlayerGameData[[#This Row],[VisibleOrder]]</f>
        <v>158</v>
      </c>
      <c r="AS29" s="8">
        <f ca="1">IF(COUNTIF(PlayerGameData[ASTOrder],PlayerGameData[[#This Row],[ASTOrder]])&gt;1,PlayerGameData[[#This Row],[PointRank]]/100+PlayerGameData[[#This Row],[ASTOrder]],PlayerGameData[[#This Row],[ASTOrder]])</f>
        <v>160.16</v>
      </c>
      <c r="AT29" s="8">
        <f ca="1">RANK(PlayerGameData[[#This Row],[ASTTieBreak]],PlayerGameData[ASTTieBreak],1)</f>
        <v>221</v>
      </c>
      <c r="AU29" s="8">
        <f ca="1">RANK(PlayerGameData[[#This Row],[STL]],PlayerGameData[STL],0)+PlayerGameData[[#This Row],[VisibleOrder]]</f>
        <v>143</v>
      </c>
      <c r="AV29" s="8">
        <f ca="1">IF(COUNTIF(PlayerGameData[STLOrder],PlayerGameData[[#This Row],[STLOrder]])&gt;1,PlayerGameData[[#This Row],[PointRank]]/100+PlayerGameData[[#This Row],[STLOrder]],PlayerGameData[[#This Row],[STLOrder]])</f>
        <v>145.16</v>
      </c>
      <c r="AW29" s="8">
        <f ca="1">RANK(PlayerGameData[[#This Row],[STLTieBreak]],PlayerGameData[STLTieBreak],1)</f>
        <v>217</v>
      </c>
      <c r="AX29" s="8">
        <f ca="1">RANK(PlayerGameData[[#This Row],[BLK]],PlayerGameData[BLK],0)+PlayerGameData[[#This Row],[VisibleOrder]]</f>
        <v>32</v>
      </c>
      <c r="AY29" s="8">
        <f ca="1">IF(COUNTIF(PlayerGameData[BLKOrder],PlayerGameData[[#This Row],[BLKOrder]])&gt;1,PlayerGameData[[#This Row],[PointRank]]/100+PlayerGameData[[#This Row],[BLKOrder]],PlayerGameData[[#This Row],[BLKOrder]])</f>
        <v>34.159999999999997</v>
      </c>
      <c r="AZ29" s="8">
        <f ca="1">RANK(PlayerGameData[[#This Row],[BLKTieBreak]],PlayerGameData[BLKTieBreak],1)</f>
        <v>216</v>
      </c>
      <c r="BA29" s="11">
        <f ca="1">IFERROR(IF(PlayerGameData[[#This Row],[FGA]]&gt;$AA$5,PlayerGameData[[#This Row],[FG%*]],PlayerGameData[[#This Row],[FG%*]]*-1),-2)</f>
        <v>-2</v>
      </c>
      <c r="BB29" s="8">
        <f ca="1">RANK(PlayerGameData[[#This Row],[EligFG]],PlayerGameData[EligFG],0)+PlayerGameData[[#This Row],[VisibleOrder]]</f>
        <v>215</v>
      </c>
      <c r="BC29" s="8">
        <f ca="1">IF(COUNTIF(PlayerGameData[EligFGOrder],PlayerGameData[[#This Row],[EligFGOrder]])&gt;1,PlayerGameData[[#This Row],[PointRank]]/100+PlayerGameData[[#This Row],[EligFGOrder]],PlayerGameData[[#This Row],[EligFGOrder]])</f>
        <v>217.16</v>
      </c>
      <c r="BD29" s="8">
        <f ca="1">RANK(PlayerGameData[[#This Row],[EligFGTieBreak]],PlayerGameData[EligFGTieBreak],1)</f>
        <v>216</v>
      </c>
      <c r="BE29" s="8" t="str">
        <f>Roster!$D$3</f>
        <v>East</v>
      </c>
      <c r="BF29" s="8" t="str">
        <f>Roster!$D$2</f>
        <v>Northeast</v>
      </c>
      <c r="BG29" s="8" t="str">
        <f>Roster!$D$4</f>
        <v>North</v>
      </c>
      <c r="BH29" s="197">
        <f ca="1">IFERROR(VLOOKUP(CONCATENATE(PlayerGameData[[#This Row],[Opponent]]," ",MONTH(PlayerGameData[[#This Row],[Date]]),"/",DAY(PlayerGameData[[#This Row],[Date]]),"/",YEAR(PlayerGameData[[#This Row],[Date]])),Table35[],2,FALSE),0)</f>
        <v>1</v>
      </c>
      <c r="BI29" s="197">
        <f ca="1">IF(PlayerGameData[[#This Row],[Visible]]=1,1,1000)</f>
        <v>1</v>
      </c>
      <c r="BJ29" s="197" t="e">
        <f ca="1">_xlfn.MAXIFS(TeamGameData[Win],TeamGameData[School, Opponent,Game'#],PlayerGameData[[#This Row],[School, Opponent,Game'#]])</f>
        <v>#NAME?</v>
      </c>
      <c r="BK29" s="197" t="e">
        <f ca="1">_xlfn.MAXIFS(TeamGameData[Loss],TeamGameData[School, Opponent,Game'#],PlayerGameData[[#This Row],[School, Opponent,Game'#]])</f>
        <v>#NAME?</v>
      </c>
    </row>
    <row r="30" spans="1:63" x14ac:dyDescent="0.25">
      <c r="A30" s="8" t="str">
        <f t="shared" ca="1" si="0"/>
        <v xml:space="preserve">Team, </v>
      </c>
      <c r="B30" s="8" t="str">
        <f>Roster!$B$1</f>
        <v>Upton</v>
      </c>
      <c r="C30" s="8" t="str">
        <f t="shared" ca="1" si="1"/>
        <v>Ten Sleep</v>
      </c>
      <c r="D30" s="10">
        <f t="shared" ca="1" si="2"/>
        <v>44904</v>
      </c>
      <c r="E30" s="8">
        <f t="shared" ca="1" si="3"/>
        <v>0</v>
      </c>
      <c r="F30" s="8">
        <f t="shared" ca="1" si="4"/>
        <v>0</v>
      </c>
      <c r="G30" s="8">
        <f t="shared" ca="1" si="5"/>
        <v>0</v>
      </c>
      <c r="H30" s="8">
        <f t="shared" ca="1" si="6"/>
        <v>0</v>
      </c>
      <c r="I30" s="8">
        <f t="shared" ca="1" si="7"/>
        <v>0</v>
      </c>
      <c r="J30" s="8">
        <f t="shared" ca="1" si="8"/>
        <v>0</v>
      </c>
      <c r="K30" s="8">
        <f t="shared" ca="1" si="9"/>
        <v>0</v>
      </c>
      <c r="L30" s="8">
        <f t="shared" ca="1" si="10"/>
        <v>0</v>
      </c>
      <c r="M30" s="8">
        <f t="shared" ca="1" si="11"/>
        <v>0</v>
      </c>
      <c r="N30" s="8">
        <f t="shared" ca="1" si="12"/>
        <v>0</v>
      </c>
      <c r="O30" s="8">
        <f t="shared" ca="1" si="13"/>
        <v>0</v>
      </c>
      <c r="P30" s="8">
        <f t="shared" ca="1" si="14"/>
        <v>0</v>
      </c>
      <c r="Q30" s="8">
        <f t="shared" ca="1" si="15"/>
        <v>0</v>
      </c>
      <c r="R30" s="8">
        <f t="shared" ca="1" si="16"/>
        <v>0</v>
      </c>
      <c r="S30" s="8">
        <f t="shared" ca="1" si="17"/>
        <v>0</v>
      </c>
      <c r="T30" s="8">
        <f t="shared" ca="1" si="18"/>
        <v>0</v>
      </c>
      <c r="U30" s="8">
        <f t="shared" ca="1" si="19"/>
        <v>0</v>
      </c>
      <c r="V30" s="8">
        <f t="shared" ca="1" si="20"/>
        <v>0</v>
      </c>
      <c r="W30" s="11" t="str">
        <f t="shared" ca="1" si="21"/>
        <v/>
      </c>
      <c r="X30" s="11" t="str">
        <f t="shared" ca="1" si="22"/>
        <v/>
      </c>
      <c r="Y30" s="11" t="str">
        <f t="shared" ca="1" si="23"/>
        <v/>
      </c>
      <c r="Z30" s="11" t="str">
        <f t="shared" ca="1" si="24"/>
        <v/>
      </c>
      <c r="AA30" s="11" t="str">
        <f t="shared" ca="1" si="25"/>
        <v/>
      </c>
      <c r="AB30" s="47">
        <f ca="1">PlayerGameData[[#This Row],[3FGA]]+PlayerGameData[[#This Row],[2FGA]]</f>
        <v>0</v>
      </c>
      <c r="AC30" s="47">
        <f ca="1">PlayerGameData[[#This Row],[OFF REB]]+PlayerGameData[[#This Row],[DEF REB]]</f>
        <v>0</v>
      </c>
      <c r="AD30" s="8">
        <f t="shared" si="26"/>
        <v>1</v>
      </c>
      <c r="AE30" s="8" t="str">
        <f t="shared" ca="1" si="27"/>
        <v>Team,  - Ten Sleep 12/9/2022</v>
      </c>
      <c r="AF30" s="8" t="str">
        <f t="shared" ca="1" si="28"/>
        <v/>
      </c>
      <c r="AG30" s="8" t="str">
        <f ca="1">IFERROR(IF(C30=0,"",IF(AND(VLOOKUP(PlayerGameData[[#This Row],[Opponent]],WYTeamInfo,2,FALSE)=Roster!$D$1,VLOOKUP(PlayerGameData[[#This Row],[Opponent]],WYTeamInfo,3,FALSE)=Roster!$D$2),"SR","")),"")</f>
        <v/>
      </c>
      <c r="AH30" s="8" t="str">
        <f>CONCATENATE(Roster!$D$1," ",Roster!$D$5)</f>
        <v>1A BB</v>
      </c>
      <c r="AI30" s="8" t="str">
        <f t="shared" ca="1" si="29"/>
        <v>Upton - Ten Sleep 12/9/2022</v>
      </c>
      <c r="AJ30" s="8">
        <f ca="1">IFERROR(VLOOKUP(PlayerGameData[[#This Row],[School, Opponent,Game'#]],Table3[],2,FALSE),0)</f>
        <v>1</v>
      </c>
      <c r="AK30" s="8">
        <f ca="1">IF(PlayerGameData[[#This Row],[Visible]]=1,1,1000)</f>
        <v>1</v>
      </c>
      <c r="AL30" s="8">
        <f ca="1">RANK(PlayerGameData[[#This Row],[TL PTS]],PlayerGameData[TL PTS],0)+PlayerGameData[[#This Row],[VisibleOrder]]</f>
        <v>185</v>
      </c>
      <c r="AM30" s="8">
        <f ca="1">IF(COUNTIF(PlayerGameData[PointOrder],PlayerGameData[[#This Row],[PointOrder]])&gt;1,RANK(PlayerGameData[[#This Row],[FGA]],PlayerGameData[FGA],0)/100,0)+PlayerGameData[[#This Row],[PointOrder]]</f>
        <v>187.14</v>
      </c>
      <c r="AN30" s="8">
        <f ca="1">RANK(PlayerGameData[[#This Row],[PointTieBreak]],PlayerGameData[PointTieBreak],1)</f>
        <v>216</v>
      </c>
      <c r="AO30" s="8">
        <f ca="1">RANK(PlayerGameData[[#This Row],[REB]],PlayerGameData[REB],0)+PlayerGameData[[#This Row],[VisibleOrder]]</f>
        <v>192</v>
      </c>
      <c r="AP30" s="8">
        <f ca="1">IF(COUNTIF(PlayerGameData[REBOrder],PlayerGameData[[#This Row],[REBOrder]])&gt;1,PlayerGameData[[#This Row],[PointRank]]/100+PlayerGameData[[#This Row],[REBOrder]],PlayerGameData[[#This Row],[REBOrder]])</f>
        <v>194.16</v>
      </c>
      <c r="AQ30" s="8">
        <f ca="1">RANK(PlayerGameData[[#This Row],[REBTieBreak]],PlayerGameData[REBTieBreak],1)</f>
        <v>224</v>
      </c>
      <c r="AR30" s="8">
        <f ca="1">RANK(PlayerGameData[[#This Row],[AST]],PlayerGameData[AST],0)+PlayerGameData[[#This Row],[VisibleOrder]]</f>
        <v>158</v>
      </c>
      <c r="AS30" s="8">
        <f ca="1">IF(COUNTIF(PlayerGameData[ASTOrder],PlayerGameData[[#This Row],[ASTOrder]])&gt;1,PlayerGameData[[#This Row],[PointRank]]/100+PlayerGameData[[#This Row],[ASTOrder]],PlayerGameData[[#This Row],[ASTOrder]])</f>
        <v>160.16</v>
      </c>
      <c r="AT30" s="8">
        <f ca="1">RANK(PlayerGameData[[#This Row],[ASTTieBreak]],PlayerGameData[ASTTieBreak],1)</f>
        <v>221</v>
      </c>
      <c r="AU30" s="8">
        <f ca="1">RANK(PlayerGameData[[#This Row],[STL]],PlayerGameData[STL],0)+PlayerGameData[[#This Row],[VisibleOrder]]</f>
        <v>143</v>
      </c>
      <c r="AV30" s="8">
        <f ca="1">IF(COUNTIF(PlayerGameData[STLOrder],PlayerGameData[[#This Row],[STLOrder]])&gt;1,PlayerGameData[[#This Row],[PointRank]]/100+PlayerGameData[[#This Row],[STLOrder]],PlayerGameData[[#This Row],[STLOrder]])</f>
        <v>145.16</v>
      </c>
      <c r="AW30" s="8">
        <f ca="1">RANK(PlayerGameData[[#This Row],[STLTieBreak]],PlayerGameData[STLTieBreak],1)</f>
        <v>217</v>
      </c>
      <c r="AX30" s="8">
        <f ca="1">RANK(PlayerGameData[[#This Row],[BLK]],PlayerGameData[BLK],0)+PlayerGameData[[#This Row],[VisibleOrder]]</f>
        <v>32</v>
      </c>
      <c r="AY30" s="8">
        <f ca="1">IF(COUNTIF(PlayerGameData[BLKOrder],PlayerGameData[[#This Row],[BLKOrder]])&gt;1,PlayerGameData[[#This Row],[PointRank]]/100+PlayerGameData[[#This Row],[BLKOrder]],PlayerGameData[[#This Row],[BLKOrder]])</f>
        <v>34.159999999999997</v>
      </c>
      <c r="AZ30" s="8">
        <f ca="1">RANK(PlayerGameData[[#This Row],[BLKTieBreak]],PlayerGameData[BLKTieBreak],1)</f>
        <v>216</v>
      </c>
      <c r="BA30" s="11">
        <f ca="1">IFERROR(IF(PlayerGameData[[#This Row],[FGA]]&gt;$AA$5,PlayerGameData[[#This Row],[FG%*]],PlayerGameData[[#This Row],[FG%*]]*-1),-2)</f>
        <v>-2</v>
      </c>
      <c r="BB30" s="8">
        <f ca="1">RANK(PlayerGameData[[#This Row],[EligFG]],PlayerGameData[EligFG],0)+PlayerGameData[[#This Row],[VisibleOrder]]</f>
        <v>215</v>
      </c>
      <c r="BC30" s="8">
        <f ca="1">IF(COUNTIF(PlayerGameData[EligFGOrder],PlayerGameData[[#This Row],[EligFGOrder]])&gt;1,PlayerGameData[[#This Row],[PointRank]]/100+PlayerGameData[[#This Row],[EligFGOrder]],PlayerGameData[[#This Row],[EligFGOrder]])</f>
        <v>217.16</v>
      </c>
      <c r="BD30" s="8">
        <f ca="1">RANK(PlayerGameData[[#This Row],[EligFGTieBreak]],PlayerGameData[EligFGTieBreak],1)</f>
        <v>216</v>
      </c>
      <c r="BE30" s="8" t="str">
        <f>Roster!$D$3</f>
        <v>East</v>
      </c>
      <c r="BF30" s="8" t="str">
        <f>Roster!$D$2</f>
        <v>Northeast</v>
      </c>
      <c r="BG30" s="8" t="str">
        <f>Roster!$D$4</f>
        <v>North</v>
      </c>
      <c r="BH30" s="197">
        <f ca="1">IFERROR(VLOOKUP(CONCATENATE(PlayerGameData[[#This Row],[Opponent]]," ",MONTH(PlayerGameData[[#This Row],[Date]]),"/",DAY(PlayerGameData[[#This Row],[Date]]),"/",YEAR(PlayerGameData[[#This Row],[Date]])),Table35[],2,FALSE),0)</f>
        <v>1</v>
      </c>
      <c r="BI30" s="197">
        <f ca="1">IF(PlayerGameData[[#This Row],[Visible]]=1,1,1000)</f>
        <v>1</v>
      </c>
      <c r="BJ30" s="197" t="e">
        <f ca="1">_xlfn.MAXIFS(TeamGameData[Win],TeamGameData[School, Opponent,Game'#],PlayerGameData[[#This Row],[School, Opponent,Game'#]])</f>
        <v>#NAME?</v>
      </c>
      <c r="BK30" s="197" t="e">
        <f ca="1">_xlfn.MAXIFS(TeamGameData[Loss],TeamGameData[School, Opponent,Game'#],PlayerGameData[[#This Row],[School, Opponent,Game'#]])</f>
        <v>#NAME?</v>
      </c>
    </row>
    <row r="31" spans="1:63" x14ac:dyDescent="0.25">
      <c r="A31" s="8" t="str">
        <f t="shared" ca="1" si="0"/>
        <v>Landon Butler, 1</v>
      </c>
      <c r="B31" s="8" t="str">
        <f>Roster!$B$1</f>
        <v>Upton</v>
      </c>
      <c r="C31" s="8" t="str">
        <f t="shared" ca="1" si="1"/>
        <v>Riverside</v>
      </c>
      <c r="D31" s="10">
        <f t="shared" ca="1" si="2"/>
        <v>44904</v>
      </c>
      <c r="E31" s="8">
        <f t="shared" ca="1" si="3"/>
        <v>1</v>
      </c>
      <c r="F31" s="8">
        <f t="shared" ca="1" si="4"/>
        <v>0</v>
      </c>
      <c r="G31" s="8">
        <f t="shared" ca="1" si="5"/>
        <v>3</v>
      </c>
      <c r="H31" s="8">
        <f t="shared" ca="1" si="6"/>
        <v>0</v>
      </c>
      <c r="I31" s="8">
        <f t="shared" ca="1" si="7"/>
        <v>0</v>
      </c>
      <c r="J31" s="8">
        <f t="shared" ca="1" si="8"/>
        <v>0</v>
      </c>
      <c r="K31" s="8">
        <f t="shared" ca="1" si="9"/>
        <v>0</v>
      </c>
      <c r="L31" s="8">
        <f t="shared" ca="1" si="10"/>
        <v>0</v>
      </c>
      <c r="M31" s="8">
        <f t="shared" ca="1" si="11"/>
        <v>0</v>
      </c>
      <c r="N31" s="8">
        <f t="shared" ca="1" si="12"/>
        <v>0</v>
      </c>
      <c r="O31" s="8">
        <f t="shared" ca="1" si="13"/>
        <v>1</v>
      </c>
      <c r="P31" s="8">
        <f t="shared" ca="1" si="14"/>
        <v>0</v>
      </c>
      <c r="Q31" s="8">
        <f t="shared" ca="1" si="15"/>
        <v>0</v>
      </c>
      <c r="R31" s="8">
        <f t="shared" ca="1" si="16"/>
        <v>0</v>
      </c>
      <c r="S31" s="8">
        <f t="shared" ca="1" si="17"/>
        <v>2</v>
      </c>
      <c r="T31" s="8">
        <f t="shared" ca="1" si="18"/>
        <v>0</v>
      </c>
      <c r="U31" s="8">
        <f t="shared" ca="1" si="19"/>
        <v>0</v>
      </c>
      <c r="V31" s="8">
        <f t="shared" ca="1" si="20"/>
        <v>0</v>
      </c>
      <c r="W31" s="11" t="str">
        <f t="shared" ca="1" si="21"/>
        <v/>
      </c>
      <c r="X31" s="11" t="str">
        <f t="shared" ca="1" si="22"/>
        <v/>
      </c>
      <c r="Y31" s="11" t="str">
        <f t="shared" ca="1" si="23"/>
        <v/>
      </c>
      <c r="Z31" s="11" t="str">
        <f t="shared" ca="1" si="24"/>
        <v/>
      </c>
      <c r="AA31" s="11" t="str">
        <f t="shared" ca="1" si="25"/>
        <v/>
      </c>
      <c r="AB31" s="47">
        <f ca="1">PlayerGameData[[#This Row],[3FGA]]+PlayerGameData[[#This Row],[2FGA]]</f>
        <v>0</v>
      </c>
      <c r="AC31" s="47">
        <f ca="1">PlayerGameData[[#This Row],[OFF REB]]+PlayerGameData[[#This Row],[DEF REB]]</f>
        <v>1</v>
      </c>
      <c r="AD31" s="8">
        <f t="shared" si="26"/>
        <v>2</v>
      </c>
      <c r="AE31" s="8" t="str">
        <f t="shared" ca="1" si="27"/>
        <v>Landon Butler, 1 - Riverside 12/9/2022</v>
      </c>
      <c r="AF31" s="8" t="str">
        <f t="shared" ca="1" si="28"/>
        <v/>
      </c>
      <c r="AG31" s="8" t="str">
        <f ca="1">IFERROR(IF(C31=0,"",IF(AND(VLOOKUP(PlayerGameData[[#This Row],[Opponent]],WYTeamInfo,2,FALSE)=Roster!$D$1,VLOOKUP(PlayerGameData[[#This Row],[Opponent]],WYTeamInfo,3,FALSE)=Roster!$D$2),"SR","")),"")</f>
        <v/>
      </c>
      <c r="AH31" s="8" t="str">
        <f>CONCATENATE(Roster!$D$1," ",Roster!$D$5)</f>
        <v>1A BB</v>
      </c>
      <c r="AI31" s="8" t="str">
        <f t="shared" ca="1" si="29"/>
        <v>Upton - Riverside 12/9/2022</v>
      </c>
      <c r="AJ31" s="8">
        <f ca="1">IFERROR(VLOOKUP(PlayerGameData[[#This Row],[School, Opponent,Game'#]],Table3[],2,FALSE),0)</f>
        <v>1</v>
      </c>
      <c r="AK31" s="8">
        <f ca="1">IF(PlayerGameData[[#This Row],[Visible]]=1,1,1000)</f>
        <v>1</v>
      </c>
      <c r="AL31" s="8">
        <f ca="1">RANK(PlayerGameData[[#This Row],[TL PTS]],PlayerGameData[TL PTS],0)+PlayerGameData[[#This Row],[VisibleOrder]]</f>
        <v>185</v>
      </c>
      <c r="AM31" s="8">
        <f ca="1">IF(COUNTIF(PlayerGameData[PointOrder],PlayerGameData[[#This Row],[PointOrder]])&gt;1,RANK(PlayerGameData[[#This Row],[FGA]],PlayerGameData[FGA],0)/100,0)+PlayerGameData[[#This Row],[PointOrder]]</f>
        <v>187.14</v>
      </c>
      <c r="AN31" s="8">
        <f ca="1">RANK(PlayerGameData[[#This Row],[PointTieBreak]],PlayerGameData[PointTieBreak],1)</f>
        <v>216</v>
      </c>
      <c r="AO31" s="8">
        <f ca="1">RANK(PlayerGameData[[#This Row],[REB]],PlayerGameData[REB],0)+PlayerGameData[[#This Row],[VisibleOrder]]</f>
        <v>163</v>
      </c>
      <c r="AP31" s="8">
        <f ca="1">IF(COUNTIF(PlayerGameData[REBOrder],PlayerGameData[[#This Row],[REBOrder]])&gt;1,PlayerGameData[[#This Row],[PointRank]]/100+PlayerGameData[[#This Row],[REBOrder]],PlayerGameData[[#This Row],[REBOrder]])</f>
        <v>165.16</v>
      </c>
      <c r="AQ31" s="8">
        <f ca="1">RANK(PlayerGameData[[#This Row],[REBTieBreak]],PlayerGameData[REBTieBreak],1)</f>
        <v>185</v>
      </c>
      <c r="AR31" s="8">
        <f ca="1">RANK(PlayerGameData[[#This Row],[AST]],PlayerGameData[AST],0)+PlayerGameData[[#This Row],[VisibleOrder]]</f>
        <v>158</v>
      </c>
      <c r="AS31" s="8">
        <f ca="1">IF(COUNTIF(PlayerGameData[ASTOrder],PlayerGameData[[#This Row],[ASTOrder]])&gt;1,PlayerGameData[[#This Row],[PointRank]]/100+PlayerGameData[[#This Row],[ASTOrder]],PlayerGameData[[#This Row],[ASTOrder]])</f>
        <v>160.16</v>
      </c>
      <c r="AT31" s="8">
        <f ca="1">RANK(PlayerGameData[[#This Row],[ASTTieBreak]],PlayerGameData[ASTTieBreak],1)</f>
        <v>221</v>
      </c>
      <c r="AU31" s="8">
        <f ca="1">RANK(PlayerGameData[[#This Row],[STL]],PlayerGameData[STL],0)+PlayerGameData[[#This Row],[VisibleOrder]]</f>
        <v>143</v>
      </c>
      <c r="AV31" s="8">
        <f ca="1">IF(COUNTIF(PlayerGameData[STLOrder],PlayerGameData[[#This Row],[STLOrder]])&gt;1,PlayerGameData[[#This Row],[PointRank]]/100+PlayerGameData[[#This Row],[STLOrder]],PlayerGameData[[#This Row],[STLOrder]])</f>
        <v>145.16</v>
      </c>
      <c r="AW31" s="8">
        <f ca="1">RANK(PlayerGameData[[#This Row],[STLTieBreak]],PlayerGameData[STLTieBreak],1)</f>
        <v>217</v>
      </c>
      <c r="AX31" s="8">
        <f ca="1">RANK(PlayerGameData[[#This Row],[BLK]],PlayerGameData[BLK],0)+PlayerGameData[[#This Row],[VisibleOrder]]</f>
        <v>32</v>
      </c>
      <c r="AY31" s="8">
        <f ca="1">IF(COUNTIF(PlayerGameData[BLKOrder],PlayerGameData[[#This Row],[BLKOrder]])&gt;1,PlayerGameData[[#This Row],[PointRank]]/100+PlayerGameData[[#This Row],[BLKOrder]],PlayerGameData[[#This Row],[BLKOrder]])</f>
        <v>34.159999999999997</v>
      </c>
      <c r="AZ31" s="8">
        <f ca="1">RANK(PlayerGameData[[#This Row],[BLKTieBreak]],PlayerGameData[BLKTieBreak],1)</f>
        <v>216</v>
      </c>
      <c r="BA31" s="11">
        <f ca="1">IFERROR(IF(PlayerGameData[[#This Row],[FGA]]&gt;$AA$5,PlayerGameData[[#This Row],[FG%*]],PlayerGameData[[#This Row],[FG%*]]*-1),-2)</f>
        <v>-2</v>
      </c>
      <c r="BB31" s="8">
        <f ca="1">RANK(PlayerGameData[[#This Row],[EligFG]],PlayerGameData[EligFG],0)+PlayerGameData[[#This Row],[VisibleOrder]]</f>
        <v>215</v>
      </c>
      <c r="BC31" s="8">
        <f ca="1">IF(COUNTIF(PlayerGameData[EligFGOrder],PlayerGameData[[#This Row],[EligFGOrder]])&gt;1,PlayerGameData[[#This Row],[PointRank]]/100+PlayerGameData[[#This Row],[EligFGOrder]],PlayerGameData[[#This Row],[EligFGOrder]])</f>
        <v>217.16</v>
      </c>
      <c r="BD31" s="8">
        <f ca="1">RANK(PlayerGameData[[#This Row],[EligFGTieBreak]],PlayerGameData[EligFGTieBreak],1)</f>
        <v>216</v>
      </c>
      <c r="BE31" s="8" t="str">
        <f>Roster!$D$3</f>
        <v>East</v>
      </c>
      <c r="BF31" s="8" t="str">
        <f>Roster!$D$2</f>
        <v>Northeast</v>
      </c>
      <c r="BG31" s="8" t="str">
        <f>Roster!$D$4</f>
        <v>North</v>
      </c>
      <c r="BH31" s="197">
        <f ca="1">IFERROR(VLOOKUP(CONCATENATE(PlayerGameData[[#This Row],[Opponent]]," ",MONTH(PlayerGameData[[#This Row],[Date]]),"/",DAY(PlayerGameData[[#This Row],[Date]]),"/",YEAR(PlayerGameData[[#This Row],[Date]])),Table35[],2,FALSE),0)</f>
        <v>1</v>
      </c>
      <c r="BI31" s="197">
        <f ca="1">IF(PlayerGameData[[#This Row],[Visible]]=1,1,1000)</f>
        <v>1</v>
      </c>
      <c r="BJ31" s="197" t="e">
        <f ca="1">_xlfn.MAXIFS(TeamGameData[Win],TeamGameData[School, Opponent,Game'#],PlayerGameData[[#This Row],[School, Opponent,Game'#]])</f>
        <v>#NAME?</v>
      </c>
      <c r="BK31" s="197" t="e">
        <f ca="1">_xlfn.MAXIFS(TeamGameData[Loss],TeamGameData[School, Opponent,Game'#],PlayerGameData[[#This Row],[School, Opponent,Game'#]])</f>
        <v>#NAME?</v>
      </c>
    </row>
    <row r="32" spans="1:63" x14ac:dyDescent="0.25">
      <c r="A32" s="8" t="str">
        <f t="shared" ca="1" si="0"/>
        <v>Logan Timberman, 3</v>
      </c>
      <c r="B32" s="8" t="str">
        <f>Roster!$B$1</f>
        <v>Upton</v>
      </c>
      <c r="C32" s="8" t="str">
        <f t="shared" ca="1" si="1"/>
        <v>Riverside</v>
      </c>
      <c r="D32" s="10">
        <f t="shared" ca="1" si="2"/>
        <v>44904</v>
      </c>
      <c r="E32" s="8">
        <f t="shared" ca="1" si="3"/>
        <v>1</v>
      </c>
      <c r="F32" s="8">
        <f t="shared" ca="1" si="4"/>
        <v>1</v>
      </c>
      <c r="G32" s="8">
        <f t="shared" ca="1" si="5"/>
        <v>27</v>
      </c>
      <c r="H32" s="8">
        <f t="shared" ca="1" si="6"/>
        <v>1</v>
      </c>
      <c r="I32" s="8">
        <f t="shared" ca="1" si="7"/>
        <v>4</v>
      </c>
      <c r="J32" s="8">
        <f t="shared" ca="1" si="8"/>
        <v>2</v>
      </c>
      <c r="K32" s="8">
        <f t="shared" ca="1" si="9"/>
        <v>7</v>
      </c>
      <c r="L32" s="8">
        <f t="shared" ca="1" si="10"/>
        <v>0</v>
      </c>
      <c r="M32" s="8">
        <f t="shared" ca="1" si="11"/>
        <v>0</v>
      </c>
      <c r="N32" s="8">
        <f t="shared" ca="1" si="12"/>
        <v>4</v>
      </c>
      <c r="O32" s="8">
        <f t="shared" ca="1" si="13"/>
        <v>1</v>
      </c>
      <c r="P32" s="8">
        <f t="shared" ca="1" si="14"/>
        <v>2</v>
      </c>
      <c r="Q32" s="8">
        <f t="shared" ca="1" si="15"/>
        <v>1</v>
      </c>
      <c r="R32" s="8">
        <f t="shared" ca="1" si="16"/>
        <v>0</v>
      </c>
      <c r="S32" s="8">
        <f t="shared" ca="1" si="17"/>
        <v>2</v>
      </c>
      <c r="T32" s="8">
        <f t="shared" ca="1" si="18"/>
        <v>1</v>
      </c>
      <c r="U32" s="8">
        <f t="shared" ca="1" si="19"/>
        <v>1</v>
      </c>
      <c r="V32" s="8">
        <f t="shared" ca="1" si="20"/>
        <v>7</v>
      </c>
      <c r="W32" s="11">
        <f t="shared" ca="1" si="21"/>
        <v>0.25</v>
      </c>
      <c r="X32" s="11">
        <f t="shared" ca="1" si="22"/>
        <v>0.2857142857142857</v>
      </c>
      <c r="Y32" s="11" t="str">
        <f t="shared" ca="1" si="23"/>
        <v/>
      </c>
      <c r="Z32" s="11">
        <f t="shared" ca="1" si="24"/>
        <v>0.27272727272727271</v>
      </c>
      <c r="AA32" s="11">
        <f t="shared" ca="1" si="25"/>
        <v>0.31818181818181818</v>
      </c>
      <c r="AB32" s="47">
        <f ca="1">PlayerGameData[[#This Row],[3FGA]]+PlayerGameData[[#This Row],[2FGA]]</f>
        <v>11</v>
      </c>
      <c r="AC32" s="47">
        <f ca="1">PlayerGameData[[#This Row],[OFF REB]]+PlayerGameData[[#This Row],[DEF REB]]</f>
        <v>5</v>
      </c>
      <c r="AD32" s="8">
        <f t="shared" si="26"/>
        <v>2</v>
      </c>
      <c r="AE32" s="8" t="str">
        <f t="shared" ca="1" si="27"/>
        <v>Logan Timberman, 3 - Riverside 12/9/2022</v>
      </c>
      <c r="AF32" s="8" t="str">
        <f t="shared" ca="1" si="28"/>
        <v/>
      </c>
      <c r="AG32" s="8" t="str">
        <f ca="1">IFERROR(IF(C32=0,"",IF(AND(VLOOKUP(PlayerGameData[[#This Row],[Opponent]],WYTeamInfo,2,FALSE)=Roster!$D$1,VLOOKUP(PlayerGameData[[#This Row],[Opponent]],WYTeamInfo,3,FALSE)=Roster!$D$2),"SR","")),"")</f>
        <v/>
      </c>
      <c r="AH32" s="8" t="str">
        <f>CONCATENATE(Roster!$D$1," ",Roster!$D$5)</f>
        <v>1A BB</v>
      </c>
      <c r="AI32" s="8" t="str">
        <f t="shared" ca="1" si="29"/>
        <v>Upton - Riverside 12/9/2022</v>
      </c>
      <c r="AJ32" s="8">
        <f ca="1">IFERROR(VLOOKUP(PlayerGameData[[#This Row],[School, Opponent,Game'#]],Table3[],2,FALSE),0)</f>
        <v>1</v>
      </c>
      <c r="AK32" s="8">
        <f ca="1">IF(PlayerGameData[[#This Row],[Visible]]=1,1,1000)</f>
        <v>1</v>
      </c>
      <c r="AL32" s="8">
        <f ca="1">RANK(PlayerGameData[[#This Row],[TL PTS]],PlayerGameData[TL PTS],0)+PlayerGameData[[#This Row],[VisibleOrder]]</f>
        <v>94</v>
      </c>
      <c r="AM32" s="8">
        <f ca="1">IF(COUNTIF(PlayerGameData[PointOrder],PlayerGameData[[#This Row],[PointOrder]])&gt;1,RANK(PlayerGameData[[#This Row],[FGA]],PlayerGameData[FGA],0)/100,0)+PlayerGameData[[#This Row],[PointOrder]]</f>
        <v>94.34</v>
      </c>
      <c r="AN32" s="8">
        <f ca="1">RANK(PlayerGameData[[#This Row],[PointTieBreak]],PlayerGameData[PointTieBreak],1)</f>
        <v>93</v>
      </c>
      <c r="AO32" s="8">
        <f ca="1">RANK(PlayerGameData[[#This Row],[REB]],PlayerGameData[REB],0)+PlayerGameData[[#This Row],[VisibleOrder]]</f>
        <v>52</v>
      </c>
      <c r="AP32" s="8">
        <f ca="1">IF(COUNTIF(PlayerGameData[REBOrder],PlayerGameData[[#This Row],[REBOrder]])&gt;1,PlayerGameData[[#This Row],[PointRank]]/100+PlayerGameData[[#This Row],[REBOrder]],PlayerGameData[[#This Row],[REBOrder]])</f>
        <v>52.93</v>
      </c>
      <c r="AQ32" s="8">
        <f ca="1">RANK(PlayerGameData[[#This Row],[REBTieBreak]],PlayerGameData[REBTieBreak],1)</f>
        <v>66</v>
      </c>
      <c r="AR32" s="8">
        <f ca="1">RANK(PlayerGameData[[#This Row],[AST]],PlayerGameData[AST],0)+PlayerGameData[[#This Row],[VisibleOrder]]</f>
        <v>69</v>
      </c>
      <c r="AS32" s="8">
        <f ca="1">IF(COUNTIF(PlayerGameData[ASTOrder],PlayerGameData[[#This Row],[ASTOrder]])&gt;1,PlayerGameData[[#This Row],[PointRank]]/100+PlayerGameData[[#This Row],[ASTOrder]],PlayerGameData[[#This Row],[ASTOrder]])</f>
        <v>69.930000000000007</v>
      </c>
      <c r="AT32" s="8">
        <f ca="1">RANK(PlayerGameData[[#This Row],[ASTTieBreak]],PlayerGameData[ASTTieBreak],1)</f>
        <v>91</v>
      </c>
      <c r="AU32" s="8">
        <f ca="1">RANK(PlayerGameData[[#This Row],[STL]],PlayerGameData[STL],0)+PlayerGameData[[#This Row],[VisibleOrder]]</f>
        <v>84</v>
      </c>
      <c r="AV32" s="8">
        <f ca="1">IF(COUNTIF(PlayerGameData[STLOrder],PlayerGameData[[#This Row],[STLOrder]])&gt;1,PlayerGameData[[#This Row],[PointRank]]/100+PlayerGameData[[#This Row],[STLOrder]],PlayerGameData[[#This Row],[STLOrder]])</f>
        <v>84.93</v>
      </c>
      <c r="AW32" s="8">
        <f ca="1">RANK(PlayerGameData[[#This Row],[STLTieBreak]],PlayerGameData[STLTieBreak],1)</f>
        <v>104</v>
      </c>
      <c r="AX32" s="8">
        <f ca="1">RANK(PlayerGameData[[#This Row],[BLK]],PlayerGameData[BLK],0)+PlayerGameData[[#This Row],[VisibleOrder]]</f>
        <v>32</v>
      </c>
      <c r="AY32" s="8">
        <f ca="1">IF(COUNTIF(PlayerGameData[BLKOrder],PlayerGameData[[#This Row],[BLKOrder]])&gt;1,PlayerGameData[[#This Row],[PointRank]]/100+PlayerGameData[[#This Row],[BLKOrder]],PlayerGameData[[#This Row],[BLKOrder]])</f>
        <v>32.93</v>
      </c>
      <c r="AZ32" s="8">
        <f ca="1">RANK(PlayerGameData[[#This Row],[BLKTieBreak]],PlayerGameData[BLKTieBreak],1)</f>
        <v>101</v>
      </c>
      <c r="BA32" s="11">
        <f ca="1">IFERROR(IF(PlayerGameData[[#This Row],[FGA]]&gt;$AA$5,PlayerGameData[[#This Row],[FG%*]],PlayerGameData[[#This Row],[FG%*]]*-1),-2)</f>
        <v>0.27272727272727271</v>
      </c>
      <c r="BB32" s="8">
        <f ca="1">RANK(PlayerGameData[[#This Row],[EligFG]],PlayerGameData[EligFG],0)+PlayerGameData[[#This Row],[VisibleOrder]]</f>
        <v>94</v>
      </c>
      <c r="BC32" s="8">
        <f ca="1">IF(COUNTIF(PlayerGameData[EligFGOrder],PlayerGameData[[#This Row],[EligFGOrder]])&gt;1,PlayerGameData[[#This Row],[PointRank]]/100+PlayerGameData[[#This Row],[EligFGOrder]],PlayerGameData[[#This Row],[EligFGOrder]])</f>
        <v>94.93</v>
      </c>
      <c r="BD32" s="8">
        <f ca="1">RANK(PlayerGameData[[#This Row],[EligFGTieBreak]],PlayerGameData[EligFGTieBreak],1)</f>
        <v>96</v>
      </c>
      <c r="BE32" s="8" t="str">
        <f>Roster!$D$3</f>
        <v>East</v>
      </c>
      <c r="BF32" s="8" t="str">
        <f>Roster!$D$2</f>
        <v>Northeast</v>
      </c>
      <c r="BG32" s="8" t="str">
        <f>Roster!$D$4</f>
        <v>North</v>
      </c>
      <c r="BH32" s="197">
        <f ca="1">IFERROR(VLOOKUP(CONCATENATE(PlayerGameData[[#This Row],[Opponent]]," ",MONTH(PlayerGameData[[#This Row],[Date]]),"/",DAY(PlayerGameData[[#This Row],[Date]]),"/",YEAR(PlayerGameData[[#This Row],[Date]])),Table35[],2,FALSE),0)</f>
        <v>1</v>
      </c>
      <c r="BI32" s="197">
        <f ca="1">IF(PlayerGameData[[#This Row],[Visible]]=1,1,1000)</f>
        <v>1</v>
      </c>
      <c r="BJ32" s="197" t="e">
        <f ca="1">_xlfn.MAXIFS(TeamGameData[Win],TeamGameData[School, Opponent,Game'#],PlayerGameData[[#This Row],[School, Opponent,Game'#]])</f>
        <v>#NAME?</v>
      </c>
      <c r="BK32" s="197" t="e">
        <f ca="1">_xlfn.MAXIFS(TeamGameData[Loss],TeamGameData[School, Opponent,Game'#],PlayerGameData[[#This Row],[School, Opponent,Game'#]])</f>
        <v>#NAME?</v>
      </c>
    </row>
    <row r="33" spans="1:63" x14ac:dyDescent="0.25">
      <c r="A33" s="8" t="str">
        <f t="shared" ca="1" si="0"/>
        <v>Chase Mills, 5</v>
      </c>
      <c r="B33" s="8" t="str">
        <f>Roster!$B$1</f>
        <v>Upton</v>
      </c>
      <c r="C33" s="8" t="str">
        <f t="shared" ca="1" si="1"/>
        <v>Riverside</v>
      </c>
      <c r="D33" s="10">
        <f t="shared" ca="1" si="2"/>
        <v>44904</v>
      </c>
      <c r="E33" s="8">
        <f t="shared" ca="1" si="3"/>
        <v>1</v>
      </c>
      <c r="F33" s="8">
        <f t="shared" ca="1" si="4"/>
        <v>1</v>
      </c>
      <c r="G33" s="8">
        <f t="shared" ca="1" si="5"/>
        <v>25</v>
      </c>
      <c r="H33" s="8">
        <f t="shared" ca="1" si="6"/>
        <v>2</v>
      </c>
      <c r="I33" s="8">
        <f t="shared" ca="1" si="7"/>
        <v>4</v>
      </c>
      <c r="J33" s="8">
        <f t="shared" ca="1" si="8"/>
        <v>2</v>
      </c>
      <c r="K33" s="8">
        <f t="shared" ca="1" si="9"/>
        <v>5</v>
      </c>
      <c r="L33" s="8">
        <f t="shared" ca="1" si="10"/>
        <v>4</v>
      </c>
      <c r="M33" s="8">
        <f t="shared" ca="1" si="11"/>
        <v>4</v>
      </c>
      <c r="N33" s="8">
        <f t="shared" ca="1" si="12"/>
        <v>5</v>
      </c>
      <c r="O33" s="8">
        <f t="shared" ca="1" si="13"/>
        <v>2</v>
      </c>
      <c r="P33" s="8">
        <f t="shared" ca="1" si="14"/>
        <v>5</v>
      </c>
      <c r="Q33" s="8">
        <f t="shared" ca="1" si="15"/>
        <v>2</v>
      </c>
      <c r="R33" s="8">
        <f t="shared" ca="1" si="16"/>
        <v>0</v>
      </c>
      <c r="S33" s="8">
        <f t="shared" ca="1" si="17"/>
        <v>2</v>
      </c>
      <c r="T33" s="8">
        <f t="shared" ca="1" si="18"/>
        <v>0</v>
      </c>
      <c r="U33" s="8">
        <f t="shared" ca="1" si="19"/>
        <v>0</v>
      </c>
      <c r="V33" s="8">
        <f t="shared" ca="1" si="20"/>
        <v>14</v>
      </c>
      <c r="W33" s="11">
        <f t="shared" ca="1" si="21"/>
        <v>0.5</v>
      </c>
      <c r="X33" s="11">
        <f t="shared" ca="1" si="22"/>
        <v>0.4</v>
      </c>
      <c r="Y33" s="11">
        <f t="shared" ca="1" si="23"/>
        <v>1</v>
      </c>
      <c r="Z33" s="11">
        <f t="shared" ca="1" si="24"/>
        <v>0.44444444444444442</v>
      </c>
      <c r="AA33" s="11">
        <f t="shared" ca="1" si="25"/>
        <v>0.55555555555555558</v>
      </c>
      <c r="AB33" s="47">
        <f ca="1">PlayerGameData[[#This Row],[3FGA]]+PlayerGameData[[#This Row],[2FGA]]</f>
        <v>9</v>
      </c>
      <c r="AC33" s="47">
        <f ca="1">PlayerGameData[[#This Row],[OFF REB]]+PlayerGameData[[#This Row],[DEF REB]]</f>
        <v>7</v>
      </c>
      <c r="AD33" s="8">
        <f t="shared" si="26"/>
        <v>2</v>
      </c>
      <c r="AE33" s="8" t="str">
        <f t="shared" ca="1" si="27"/>
        <v>Chase Mills, 5 - Riverside 12/9/2022</v>
      </c>
      <c r="AF33" s="8" t="str">
        <f t="shared" ca="1" si="28"/>
        <v/>
      </c>
      <c r="AG33" s="8" t="str">
        <f ca="1">IFERROR(IF(C33=0,"",IF(AND(VLOOKUP(PlayerGameData[[#This Row],[Opponent]],WYTeamInfo,2,FALSE)=Roster!$D$1,VLOOKUP(PlayerGameData[[#This Row],[Opponent]],WYTeamInfo,3,FALSE)=Roster!$D$2),"SR","")),"")</f>
        <v/>
      </c>
      <c r="AH33" s="8" t="str">
        <f>CONCATENATE(Roster!$D$1," ",Roster!$D$5)</f>
        <v>1A BB</v>
      </c>
      <c r="AI33" s="8" t="str">
        <f t="shared" ca="1" si="29"/>
        <v>Upton - Riverside 12/9/2022</v>
      </c>
      <c r="AJ33" s="8">
        <f ca="1">IFERROR(VLOOKUP(PlayerGameData[[#This Row],[School, Opponent,Game'#]],Table3[],2,FALSE),0)</f>
        <v>1</v>
      </c>
      <c r="AK33" s="8">
        <f ca="1">IF(PlayerGameData[[#This Row],[Visible]]=1,1,1000)</f>
        <v>1</v>
      </c>
      <c r="AL33" s="8">
        <f ca="1">RANK(PlayerGameData[[#This Row],[TL PTS]],PlayerGameData[TL PTS],0)+PlayerGameData[[#This Row],[VisibleOrder]]</f>
        <v>36</v>
      </c>
      <c r="AM33" s="8">
        <f ca="1">IF(COUNTIF(PlayerGameData[PointOrder],PlayerGameData[[#This Row],[PointOrder]])&gt;1,RANK(PlayerGameData[[#This Row],[FGA]],PlayerGameData[FGA],0)/100,0)+PlayerGameData[[#This Row],[PointOrder]]</f>
        <v>36.590000000000003</v>
      </c>
      <c r="AN33" s="8">
        <f ca="1">RANK(PlayerGameData[[#This Row],[PointTieBreak]],PlayerGameData[PointTieBreak],1)</f>
        <v>40</v>
      </c>
      <c r="AO33" s="8">
        <f ca="1">RANK(PlayerGameData[[#This Row],[REB]],PlayerGameData[REB],0)+PlayerGameData[[#This Row],[VisibleOrder]]</f>
        <v>29</v>
      </c>
      <c r="AP33" s="8">
        <f ca="1">IF(COUNTIF(PlayerGameData[REBOrder],PlayerGameData[[#This Row],[REBOrder]])&gt;1,PlayerGameData[[#This Row],[PointRank]]/100+PlayerGameData[[#This Row],[REBOrder]],PlayerGameData[[#This Row],[REBOrder]])</f>
        <v>29.4</v>
      </c>
      <c r="AQ33" s="8">
        <f ca="1">RANK(PlayerGameData[[#This Row],[REBTieBreak]],PlayerGameData[REBTieBreak],1)</f>
        <v>29</v>
      </c>
      <c r="AR33" s="8">
        <f ca="1">RANK(PlayerGameData[[#This Row],[AST]],PlayerGameData[AST],0)+PlayerGameData[[#This Row],[VisibleOrder]]</f>
        <v>14</v>
      </c>
      <c r="AS33" s="8">
        <f ca="1">IF(COUNTIF(PlayerGameData[ASTOrder],PlayerGameData[[#This Row],[ASTOrder]])&gt;1,PlayerGameData[[#This Row],[PointRank]]/100+PlayerGameData[[#This Row],[ASTOrder]],PlayerGameData[[#This Row],[ASTOrder]])</f>
        <v>14.4</v>
      </c>
      <c r="AT33" s="8">
        <f ca="1">RANK(PlayerGameData[[#This Row],[ASTTieBreak]],PlayerGameData[ASTTieBreak],1)</f>
        <v>17</v>
      </c>
      <c r="AU33" s="8">
        <f ca="1">RANK(PlayerGameData[[#This Row],[STL]],PlayerGameData[STL],0)+PlayerGameData[[#This Row],[VisibleOrder]]</f>
        <v>48</v>
      </c>
      <c r="AV33" s="8">
        <f ca="1">IF(COUNTIF(PlayerGameData[STLOrder],PlayerGameData[[#This Row],[STLOrder]])&gt;1,PlayerGameData[[#This Row],[PointRank]]/100+PlayerGameData[[#This Row],[STLOrder]],PlayerGameData[[#This Row],[STLOrder]])</f>
        <v>48.4</v>
      </c>
      <c r="AW33" s="8">
        <f ca="1">RANK(PlayerGameData[[#This Row],[STLTieBreak]],PlayerGameData[STLTieBreak],1)</f>
        <v>52</v>
      </c>
      <c r="AX33" s="8">
        <f ca="1">RANK(PlayerGameData[[#This Row],[BLK]],PlayerGameData[BLK],0)+PlayerGameData[[#This Row],[VisibleOrder]]</f>
        <v>32</v>
      </c>
      <c r="AY33" s="8">
        <f ca="1">IF(COUNTIF(PlayerGameData[BLKOrder],PlayerGameData[[#This Row],[BLKOrder]])&gt;1,PlayerGameData[[#This Row],[PointRank]]/100+PlayerGameData[[#This Row],[BLKOrder]],PlayerGameData[[#This Row],[BLKOrder]])</f>
        <v>32.4</v>
      </c>
      <c r="AZ33" s="8">
        <f ca="1">RANK(PlayerGameData[[#This Row],[BLKTieBreak]],PlayerGameData[BLKTieBreak],1)</f>
        <v>62</v>
      </c>
      <c r="BA33" s="11">
        <f ca="1">IFERROR(IF(PlayerGameData[[#This Row],[FGA]]&gt;$AA$5,PlayerGameData[[#This Row],[FG%*]],PlayerGameData[[#This Row],[FG%*]]*-1),-2)</f>
        <v>0.44444444444444442</v>
      </c>
      <c r="BB33" s="8">
        <f ca="1">RANK(PlayerGameData[[#This Row],[EligFG]],PlayerGameData[EligFG],0)+PlayerGameData[[#This Row],[VisibleOrder]]</f>
        <v>56</v>
      </c>
      <c r="BC33" s="8">
        <f ca="1">IF(COUNTIF(PlayerGameData[EligFGOrder],PlayerGameData[[#This Row],[EligFGOrder]])&gt;1,PlayerGameData[[#This Row],[PointRank]]/100+PlayerGameData[[#This Row],[EligFGOrder]],PlayerGameData[[#This Row],[EligFGOrder]])</f>
        <v>56.4</v>
      </c>
      <c r="BD33" s="8">
        <f ca="1">RANK(PlayerGameData[[#This Row],[EligFGTieBreak]],PlayerGameData[EligFGTieBreak],1)</f>
        <v>55</v>
      </c>
      <c r="BE33" s="8" t="str">
        <f>Roster!$D$3</f>
        <v>East</v>
      </c>
      <c r="BF33" s="8" t="str">
        <f>Roster!$D$2</f>
        <v>Northeast</v>
      </c>
      <c r="BG33" s="8" t="str">
        <f>Roster!$D$4</f>
        <v>North</v>
      </c>
      <c r="BH33" s="197">
        <f ca="1">IFERROR(VLOOKUP(CONCATENATE(PlayerGameData[[#This Row],[Opponent]]," ",MONTH(PlayerGameData[[#This Row],[Date]]),"/",DAY(PlayerGameData[[#This Row],[Date]]),"/",YEAR(PlayerGameData[[#This Row],[Date]])),Table35[],2,FALSE),0)</f>
        <v>1</v>
      </c>
      <c r="BI33" s="197">
        <f ca="1">IF(PlayerGameData[[#This Row],[Visible]]=1,1,1000)</f>
        <v>1</v>
      </c>
      <c r="BJ33" s="197" t="e">
        <f ca="1">_xlfn.MAXIFS(TeamGameData[Win],TeamGameData[School, Opponent,Game'#],PlayerGameData[[#This Row],[School, Opponent,Game'#]])</f>
        <v>#NAME?</v>
      </c>
      <c r="BK33" s="197" t="e">
        <f ca="1">_xlfn.MAXIFS(TeamGameData[Loss],TeamGameData[School, Opponent,Game'#],PlayerGameData[[#This Row],[School, Opponent,Game'#]])</f>
        <v>#NAME?</v>
      </c>
    </row>
    <row r="34" spans="1:63" x14ac:dyDescent="0.25">
      <c r="A34" s="8" t="str">
        <f t="shared" ca="1" si="0"/>
        <v>Rhett Watt, 10</v>
      </c>
      <c r="B34" s="8" t="str">
        <f>Roster!$B$1</f>
        <v>Upton</v>
      </c>
      <c r="C34" s="8" t="str">
        <f t="shared" ca="1" si="1"/>
        <v>Riverside</v>
      </c>
      <c r="D34" s="10">
        <f t="shared" ca="1" si="2"/>
        <v>44904</v>
      </c>
      <c r="E34" s="8">
        <f t="shared" ca="1" si="3"/>
        <v>1</v>
      </c>
      <c r="F34" s="8">
        <f t="shared" ca="1" si="4"/>
        <v>1</v>
      </c>
      <c r="G34" s="8">
        <f t="shared" ca="1" si="5"/>
        <v>25</v>
      </c>
      <c r="H34" s="8">
        <f t="shared" ca="1" si="6"/>
        <v>0</v>
      </c>
      <c r="I34" s="8">
        <f t="shared" ca="1" si="7"/>
        <v>7</v>
      </c>
      <c r="J34" s="8">
        <f t="shared" ca="1" si="8"/>
        <v>4</v>
      </c>
      <c r="K34" s="8">
        <f t="shared" ca="1" si="9"/>
        <v>9</v>
      </c>
      <c r="L34" s="8">
        <f t="shared" ca="1" si="10"/>
        <v>0</v>
      </c>
      <c r="M34" s="8">
        <f t="shared" ca="1" si="11"/>
        <v>0</v>
      </c>
      <c r="N34" s="8">
        <f t="shared" ca="1" si="12"/>
        <v>3</v>
      </c>
      <c r="O34" s="8">
        <f t="shared" ca="1" si="13"/>
        <v>3</v>
      </c>
      <c r="P34" s="8">
        <f t="shared" ca="1" si="14"/>
        <v>3</v>
      </c>
      <c r="Q34" s="8">
        <f t="shared" ca="1" si="15"/>
        <v>1</v>
      </c>
      <c r="R34" s="8">
        <f t="shared" ca="1" si="16"/>
        <v>0</v>
      </c>
      <c r="S34" s="8">
        <f t="shared" ca="1" si="17"/>
        <v>2</v>
      </c>
      <c r="T34" s="8">
        <f t="shared" ca="1" si="18"/>
        <v>1</v>
      </c>
      <c r="U34" s="8">
        <f t="shared" ca="1" si="19"/>
        <v>0</v>
      </c>
      <c r="V34" s="8">
        <f t="shared" ca="1" si="20"/>
        <v>8</v>
      </c>
      <c r="W34" s="11">
        <f t="shared" ca="1" si="21"/>
        <v>0</v>
      </c>
      <c r="X34" s="11">
        <f t="shared" ca="1" si="22"/>
        <v>0.44444444444444442</v>
      </c>
      <c r="Y34" s="11" t="str">
        <f t="shared" ca="1" si="23"/>
        <v/>
      </c>
      <c r="Z34" s="11">
        <f t="shared" ca="1" si="24"/>
        <v>0.25</v>
      </c>
      <c r="AA34" s="11">
        <f t="shared" ca="1" si="25"/>
        <v>0.25</v>
      </c>
      <c r="AB34" s="47">
        <f ca="1">PlayerGameData[[#This Row],[3FGA]]+PlayerGameData[[#This Row],[2FGA]]</f>
        <v>16</v>
      </c>
      <c r="AC34" s="47">
        <f ca="1">PlayerGameData[[#This Row],[OFF REB]]+PlayerGameData[[#This Row],[DEF REB]]</f>
        <v>6</v>
      </c>
      <c r="AD34" s="8">
        <f t="shared" si="26"/>
        <v>2</v>
      </c>
      <c r="AE34" s="8" t="str">
        <f t="shared" ca="1" si="27"/>
        <v>Rhett Watt, 10 - Riverside 12/9/2022</v>
      </c>
      <c r="AF34" s="8" t="str">
        <f t="shared" ca="1" si="28"/>
        <v/>
      </c>
      <c r="AG34" s="8" t="str">
        <f ca="1">IFERROR(IF(C34=0,"",IF(AND(VLOOKUP(PlayerGameData[[#This Row],[Opponent]],WYTeamInfo,2,FALSE)=Roster!$D$1,VLOOKUP(PlayerGameData[[#This Row],[Opponent]],WYTeamInfo,3,FALSE)=Roster!$D$2),"SR","")),"")</f>
        <v/>
      </c>
      <c r="AH34" s="8" t="str">
        <f>CONCATENATE(Roster!$D$1," ",Roster!$D$5)</f>
        <v>1A BB</v>
      </c>
      <c r="AI34" s="8" t="str">
        <f t="shared" ca="1" si="29"/>
        <v>Upton - Riverside 12/9/2022</v>
      </c>
      <c r="AJ34" s="8">
        <f ca="1">IFERROR(VLOOKUP(PlayerGameData[[#This Row],[School, Opponent,Game'#]],Table3[],2,FALSE),0)</f>
        <v>1</v>
      </c>
      <c r="AK34" s="8">
        <f ca="1">IF(PlayerGameData[[#This Row],[Visible]]=1,1,1000)</f>
        <v>1</v>
      </c>
      <c r="AL34" s="8">
        <f ca="1">RANK(PlayerGameData[[#This Row],[TL PTS]],PlayerGameData[TL PTS],0)+PlayerGameData[[#This Row],[VisibleOrder]]</f>
        <v>82</v>
      </c>
      <c r="AM34" s="8">
        <f ca="1">IF(COUNTIF(PlayerGameData[PointOrder],PlayerGameData[[#This Row],[PointOrder]])&gt;1,RANK(PlayerGameData[[#This Row],[FGA]],PlayerGameData[FGA],0)/100,0)+PlayerGameData[[#This Row],[PointOrder]]</f>
        <v>82.05</v>
      </c>
      <c r="AN34" s="8">
        <f ca="1">RANK(PlayerGameData[[#This Row],[PointTieBreak]],PlayerGameData[PointTieBreak],1)</f>
        <v>81</v>
      </c>
      <c r="AO34" s="8">
        <f ca="1">RANK(PlayerGameData[[#This Row],[REB]],PlayerGameData[REB],0)+PlayerGameData[[#This Row],[VisibleOrder]]</f>
        <v>38</v>
      </c>
      <c r="AP34" s="8">
        <f ca="1">IF(COUNTIF(PlayerGameData[REBOrder],PlayerGameData[[#This Row],[REBOrder]])&gt;1,PlayerGameData[[#This Row],[PointRank]]/100+PlayerGameData[[#This Row],[REBOrder]],PlayerGameData[[#This Row],[REBOrder]])</f>
        <v>38.81</v>
      </c>
      <c r="AQ34" s="8">
        <f ca="1">RANK(PlayerGameData[[#This Row],[REBTieBreak]],PlayerGameData[REBTieBreak],1)</f>
        <v>44</v>
      </c>
      <c r="AR34" s="8">
        <f ca="1">RANK(PlayerGameData[[#This Row],[AST]],PlayerGameData[AST],0)+PlayerGameData[[#This Row],[VisibleOrder]]</f>
        <v>39</v>
      </c>
      <c r="AS34" s="8">
        <f ca="1">IF(COUNTIF(PlayerGameData[ASTOrder],PlayerGameData[[#This Row],[ASTOrder]])&gt;1,PlayerGameData[[#This Row],[PointRank]]/100+PlayerGameData[[#This Row],[ASTOrder]],PlayerGameData[[#This Row],[ASTOrder]])</f>
        <v>39.81</v>
      </c>
      <c r="AT34" s="8">
        <f ca="1">RANK(PlayerGameData[[#This Row],[ASTTieBreak]],PlayerGameData[ASTTieBreak],1)</f>
        <v>53</v>
      </c>
      <c r="AU34" s="8">
        <f ca="1">RANK(PlayerGameData[[#This Row],[STL]],PlayerGameData[STL],0)+PlayerGameData[[#This Row],[VisibleOrder]]</f>
        <v>84</v>
      </c>
      <c r="AV34" s="8">
        <f ca="1">IF(COUNTIF(PlayerGameData[STLOrder],PlayerGameData[[#This Row],[STLOrder]])&gt;1,PlayerGameData[[#This Row],[PointRank]]/100+PlayerGameData[[#This Row],[STLOrder]],PlayerGameData[[#This Row],[STLOrder]])</f>
        <v>84.81</v>
      </c>
      <c r="AW34" s="8">
        <f ca="1">RANK(PlayerGameData[[#This Row],[STLTieBreak]],PlayerGameData[STLTieBreak],1)</f>
        <v>98</v>
      </c>
      <c r="AX34" s="8">
        <f ca="1">RANK(PlayerGameData[[#This Row],[BLK]],PlayerGameData[BLK],0)+PlayerGameData[[#This Row],[VisibleOrder]]</f>
        <v>32</v>
      </c>
      <c r="AY34" s="8">
        <f ca="1">IF(COUNTIF(PlayerGameData[BLKOrder],PlayerGameData[[#This Row],[BLKOrder]])&gt;1,PlayerGameData[[#This Row],[PointRank]]/100+PlayerGameData[[#This Row],[BLKOrder]],PlayerGameData[[#This Row],[BLKOrder]])</f>
        <v>32.81</v>
      </c>
      <c r="AZ34" s="8">
        <f ca="1">RANK(PlayerGameData[[#This Row],[BLKTieBreak]],PlayerGameData[BLKTieBreak],1)</f>
        <v>94</v>
      </c>
      <c r="BA34" s="11">
        <f ca="1">IFERROR(IF(PlayerGameData[[#This Row],[FGA]]&gt;$AA$5,PlayerGameData[[#This Row],[FG%*]],PlayerGameData[[#This Row],[FG%*]]*-1),-2)</f>
        <v>0.25</v>
      </c>
      <c r="BB34" s="8">
        <f ca="1">RANK(PlayerGameData[[#This Row],[EligFG]],PlayerGameData[EligFG],0)+PlayerGameData[[#This Row],[VisibleOrder]]</f>
        <v>98</v>
      </c>
      <c r="BC34" s="8">
        <f ca="1">IF(COUNTIF(PlayerGameData[EligFGOrder],PlayerGameData[[#This Row],[EligFGOrder]])&gt;1,PlayerGameData[[#This Row],[PointRank]]/100+PlayerGameData[[#This Row],[EligFGOrder]],PlayerGameData[[#This Row],[EligFGOrder]])</f>
        <v>98.81</v>
      </c>
      <c r="BD34" s="8">
        <f ca="1">RANK(PlayerGameData[[#This Row],[EligFGTieBreak]],PlayerGameData[EligFGTieBreak],1)</f>
        <v>98</v>
      </c>
      <c r="BE34" s="8" t="str">
        <f>Roster!$D$3</f>
        <v>East</v>
      </c>
      <c r="BF34" s="8" t="str">
        <f>Roster!$D$2</f>
        <v>Northeast</v>
      </c>
      <c r="BG34" s="8" t="str">
        <f>Roster!$D$4</f>
        <v>North</v>
      </c>
      <c r="BH34" s="197">
        <f ca="1">IFERROR(VLOOKUP(CONCATENATE(PlayerGameData[[#This Row],[Opponent]]," ",MONTH(PlayerGameData[[#This Row],[Date]]),"/",DAY(PlayerGameData[[#This Row],[Date]]),"/",YEAR(PlayerGameData[[#This Row],[Date]])),Table35[],2,FALSE),0)</f>
        <v>1</v>
      </c>
      <c r="BI34" s="197">
        <f ca="1">IF(PlayerGameData[[#This Row],[Visible]]=1,1,1000)</f>
        <v>1</v>
      </c>
      <c r="BJ34" s="197" t="e">
        <f ca="1">_xlfn.MAXIFS(TeamGameData[Win],TeamGameData[School, Opponent,Game'#],PlayerGameData[[#This Row],[School, Opponent,Game'#]])</f>
        <v>#NAME?</v>
      </c>
      <c r="BK34" s="197" t="e">
        <f ca="1">_xlfn.MAXIFS(TeamGameData[Loss],TeamGameData[School, Opponent,Game'#],PlayerGameData[[#This Row],[School, Opponent,Game'#]])</f>
        <v>#NAME?</v>
      </c>
    </row>
    <row r="35" spans="1:63" x14ac:dyDescent="0.25">
      <c r="A35" s="8" t="str">
        <f t="shared" ca="1" si="0"/>
        <v>Keith Coburn, 11</v>
      </c>
      <c r="B35" s="8" t="str">
        <f>Roster!$B$1</f>
        <v>Upton</v>
      </c>
      <c r="C35" s="8" t="str">
        <f t="shared" ca="1" si="1"/>
        <v>Riverside</v>
      </c>
      <c r="D35" s="10">
        <f t="shared" ca="1" si="2"/>
        <v>44904</v>
      </c>
      <c r="E35" s="8">
        <f t="shared" ca="1" si="3"/>
        <v>0</v>
      </c>
      <c r="F35" s="8">
        <f t="shared" ca="1" si="4"/>
        <v>0</v>
      </c>
      <c r="G35" s="8">
        <f t="shared" ca="1" si="5"/>
        <v>0</v>
      </c>
      <c r="H35" s="8">
        <f t="shared" ca="1" si="6"/>
        <v>0</v>
      </c>
      <c r="I35" s="8">
        <f t="shared" ca="1" si="7"/>
        <v>0</v>
      </c>
      <c r="J35" s="8">
        <f t="shared" ca="1" si="8"/>
        <v>0</v>
      </c>
      <c r="K35" s="8">
        <f t="shared" ca="1" si="9"/>
        <v>0</v>
      </c>
      <c r="L35" s="8">
        <f t="shared" ca="1" si="10"/>
        <v>0</v>
      </c>
      <c r="M35" s="8">
        <f t="shared" ca="1" si="11"/>
        <v>0</v>
      </c>
      <c r="N35" s="8">
        <f t="shared" ca="1" si="12"/>
        <v>0</v>
      </c>
      <c r="O35" s="8">
        <f t="shared" ca="1" si="13"/>
        <v>0</v>
      </c>
      <c r="P35" s="8">
        <f t="shared" ca="1" si="14"/>
        <v>0</v>
      </c>
      <c r="Q35" s="8">
        <f t="shared" ca="1" si="15"/>
        <v>0</v>
      </c>
      <c r="R35" s="8">
        <f t="shared" ca="1" si="16"/>
        <v>0</v>
      </c>
      <c r="S35" s="8">
        <f t="shared" ca="1" si="17"/>
        <v>0</v>
      </c>
      <c r="T35" s="8">
        <f t="shared" ca="1" si="18"/>
        <v>0</v>
      </c>
      <c r="U35" s="8">
        <f t="shared" ca="1" si="19"/>
        <v>0</v>
      </c>
      <c r="V35" s="8">
        <f t="shared" ca="1" si="20"/>
        <v>0</v>
      </c>
      <c r="W35" s="11" t="str">
        <f t="shared" ca="1" si="21"/>
        <v/>
      </c>
      <c r="X35" s="11" t="str">
        <f t="shared" ca="1" si="22"/>
        <v/>
      </c>
      <c r="Y35" s="11" t="str">
        <f t="shared" ca="1" si="23"/>
        <v/>
      </c>
      <c r="Z35" s="11" t="str">
        <f t="shared" ca="1" si="24"/>
        <v/>
      </c>
      <c r="AA35" s="11" t="str">
        <f t="shared" ca="1" si="25"/>
        <v/>
      </c>
      <c r="AB35" s="47">
        <f ca="1">PlayerGameData[[#This Row],[3FGA]]+PlayerGameData[[#This Row],[2FGA]]</f>
        <v>0</v>
      </c>
      <c r="AC35" s="47">
        <f ca="1">PlayerGameData[[#This Row],[OFF REB]]+PlayerGameData[[#This Row],[DEF REB]]</f>
        <v>0</v>
      </c>
      <c r="AD35" s="8">
        <f t="shared" si="26"/>
        <v>2</v>
      </c>
      <c r="AE35" s="8" t="str">
        <f t="shared" ca="1" si="27"/>
        <v>Keith Coburn, 11 - Riverside 12/9/2022</v>
      </c>
      <c r="AF35" s="8" t="str">
        <f t="shared" ca="1" si="28"/>
        <v/>
      </c>
      <c r="AG35" s="8" t="str">
        <f ca="1">IFERROR(IF(C35=0,"",IF(AND(VLOOKUP(PlayerGameData[[#This Row],[Opponent]],WYTeamInfo,2,FALSE)=Roster!$D$1,VLOOKUP(PlayerGameData[[#This Row],[Opponent]],WYTeamInfo,3,FALSE)=Roster!$D$2),"SR","")),"")</f>
        <v/>
      </c>
      <c r="AH35" s="8" t="str">
        <f>CONCATENATE(Roster!$D$1," ",Roster!$D$5)</f>
        <v>1A BB</v>
      </c>
      <c r="AI35" s="8" t="str">
        <f t="shared" ca="1" si="29"/>
        <v>Upton - Riverside 12/9/2022</v>
      </c>
      <c r="AJ35" s="8">
        <f ca="1">IFERROR(VLOOKUP(PlayerGameData[[#This Row],[School, Opponent,Game'#]],Table3[],2,FALSE),0)</f>
        <v>1</v>
      </c>
      <c r="AK35" s="8">
        <f ca="1">IF(PlayerGameData[[#This Row],[Visible]]=1,1,1000)</f>
        <v>1</v>
      </c>
      <c r="AL35" s="8">
        <f ca="1">RANK(PlayerGameData[[#This Row],[TL PTS]],PlayerGameData[TL PTS],0)+PlayerGameData[[#This Row],[VisibleOrder]]</f>
        <v>185</v>
      </c>
      <c r="AM35" s="8">
        <f ca="1">IF(COUNTIF(PlayerGameData[PointOrder],PlayerGameData[[#This Row],[PointOrder]])&gt;1,RANK(PlayerGameData[[#This Row],[FGA]],PlayerGameData[FGA],0)/100,0)+PlayerGameData[[#This Row],[PointOrder]]</f>
        <v>187.14</v>
      </c>
      <c r="AN35" s="8">
        <f ca="1">RANK(PlayerGameData[[#This Row],[PointTieBreak]],PlayerGameData[PointTieBreak],1)</f>
        <v>216</v>
      </c>
      <c r="AO35" s="8">
        <f ca="1">RANK(PlayerGameData[[#This Row],[REB]],PlayerGameData[REB],0)+PlayerGameData[[#This Row],[VisibleOrder]]</f>
        <v>192</v>
      </c>
      <c r="AP35" s="8">
        <f ca="1">IF(COUNTIF(PlayerGameData[REBOrder],PlayerGameData[[#This Row],[REBOrder]])&gt;1,PlayerGameData[[#This Row],[PointRank]]/100+PlayerGameData[[#This Row],[REBOrder]],PlayerGameData[[#This Row],[REBOrder]])</f>
        <v>194.16</v>
      </c>
      <c r="AQ35" s="8">
        <f ca="1">RANK(PlayerGameData[[#This Row],[REBTieBreak]],PlayerGameData[REBTieBreak],1)</f>
        <v>224</v>
      </c>
      <c r="AR35" s="8">
        <f ca="1">RANK(PlayerGameData[[#This Row],[AST]],PlayerGameData[AST],0)+PlayerGameData[[#This Row],[VisibleOrder]]</f>
        <v>158</v>
      </c>
      <c r="AS35" s="8">
        <f ca="1">IF(COUNTIF(PlayerGameData[ASTOrder],PlayerGameData[[#This Row],[ASTOrder]])&gt;1,PlayerGameData[[#This Row],[PointRank]]/100+PlayerGameData[[#This Row],[ASTOrder]],PlayerGameData[[#This Row],[ASTOrder]])</f>
        <v>160.16</v>
      </c>
      <c r="AT35" s="8">
        <f ca="1">RANK(PlayerGameData[[#This Row],[ASTTieBreak]],PlayerGameData[ASTTieBreak],1)</f>
        <v>221</v>
      </c>
      <c r="AU35" s="8">
        <f ca="1">RANK(PlayerGameData[[#This Row],[STL]],PlayerGameData[STL],0)+PlayerGameData[[#This Row],[VisibleOrder]]</f>
        <v>143</v>
      </c>
      <c r="AV35" s="8">
        <f ca="1">IF(COUNTIF(PlayerGameData[STLOrder],PlayerGameData[[#This Row],[STLOrder]])&gt;1,PlayerGameData[[#This Row],[PointRank]]/100+PlayerGameData[[#This Row],[STLOrder]],PlayerGameData[[#This Row],[STLOrder]])</f>
        <v>145.16</v>
      </c>
      <c r="AW35" s="8">
        <f ca="1">RANK(PlayerGameData[[#This Row],[STLTieBreak]],PlayerGameData[STLTieBreak],1)</f>
        <v>217</v>
      </c>
      <c r="AX35" s="8">
        <f ca="1">RANK(PlayerGameData[[#This Row],[BLK]],PlayerGameData[BLK],0)+PlayerGameData[[#This Row],[VisibleOrder]]</f>
        <v>32</v>
      </c>
      <c r="AY35" s="8">
        <f ca="1">IF(COUNTIF(PlayerGameData[BLKOrder],PlayerGameData[[#This Row],[BLKOrder]])&gt;1,PlayerGameData[[#This Row],[PointRank]]/100+PlayerGameData[[#This Row],[BLKOrder]],PlayerGameData[[#This Row],[BLKOrder]])</f>
        <v>34.159999999999997</v>
      </c>
      <c r="AZ35" s="8">
        <f ca="1">RANK(PlayerGameData[[#This Row],[BLKTieBreak]],PlayerGameData[BLKTieBreak],1)</f>
        <v>216</v>
      </c>
      <c r="BA35" s="11">
        <f ca="1">IFERROR(IF(PlayerGameData[[#This Row],[FGA]]&gt;$AA$5,PlayerGameData[[#This Row],[FG%*]],PlayerGameData[[#This Row],[FG%*]]*-1),-2)</f>
        <v>-2</v>
      </c>
      <c r="BB35" s="8">
        <f ca="1">RANK(PlayerGameData[[#This Row],[EligFG]],PlayerGameData[EligFG],0)+PlayerGameData[[#This Row],[VisibleOrder]]</f>
        <v>215</v>
      </c>
      <c r="BC35" s="8">
        <f ca="1">IF(COUNTIF(PlayerGameData[EligFGOrder],PlayerGameData[[#This Row],[EligFGOrder]])&gt;1,PlayerGameData[[#This Row],[PointRank]]/100+PlayerGameData[[#This Row],[EligFGOrder]],PlayerGameData[[#This Row],[EligFGOrder]])</f>
        <v>217.16</v>
      </c>
      <c r="BD35" s="8">
        <f ca="1">RANK(PlayerGameData[[#This Row],[EligFGTieBreak]],PlayerGameData[EligFGTieBreak],1)</f>
        <v>216</v>
      </c>
      <c r="BE35" s="8" t="str">
        <f>Roster!$D$3</f>
        <v>East</v>
      </c>
      <c r="BF35" s="8" t="str">
        <f>Roster!$D$2</f>
        <v>Northeast</v>
      </c>
      <c r="BG35" s="8" t="str">
        <f>Roster!$D$4</f>
        <v>North</v>
      </c>
      <c r="BH35" s="197">
        <f ca="1">IFERROR(VLOOKUP(CONCATENATE(PlayerGameData[[#This Row],[Opponent]]," ",MONTH(PlayerGameData[[#This Row],[Date]]),"/",DAY(PlayerGameData[[#This Row],[Date]]),"/",YEAR(PlayerGameData[[#This Row],[Date]])),Table35[],2,FALSE),0)</f>
        <v>1</v>
      </c>
      <c r="BI35" s="197">
        <f ca="1">IF(PlayerGameData[[#This Row],[Visible]]=1,1,1000)</f>
        <v>1</v>
      </c>
      <c r="BJ35" s="197" t="e">
        <f ca="1">_xlfn.MAXIFS(TeamGameData[Win],TeamGameData[School, Opponent,Game'#],PlayerGameData[[#This Row],[School, Opponent,Game'#]])</f>
        <v>#NAME?</v>
      </c>
      <c r="BK35" s="197" t="e">
        <f ca="1">_xlfn.MAXIFS(TeamGameData[Loss],TeamGameData[School, Opponent,Game'#],PlayerGameData[[#This Row],[School, Opponent,Game'#]])</f>
        <v>#NAME?</v>
      </c>
    </row>
    <row r="36" spans="1:63" x14ac:dyDescent="0.25">
      <c r="A36" s="8" t="str">
        <f t="shared" ca="1" si="0"/>
        <v>Carson Barritt, 14</v>
      </c>
      <c r="B36" s="8" t="str">
        <f>Roster!$B$1</f>
        <v>Upton</v>
      </c>
      <c r="C36" s="8" t="str">
        <f t="shared" ca="1" si="1"/>
        <v>Riverside</v>
      </c>
      <c r="D36" s="10">
        <f t="shared" ca="1" si="2"/>
        <v>44904</v>
      </c>
      <c r="E36" s="8">
        <f t="shared" ca="1" si="3"/>
        <v>1</v>
      </c>
      <c r="F36" s="8">
        <f t="shared" ca="1" si="4"/>
        <v>0</v>
      </c>
      <c r="G36" s="8">
        <f t="shared" ca="1" si="5"/>
        <v>1</v>
      </c>
      <c r="H36" s="8">
        <f t="shared" ca="1" si="6"/>
        <v>0</v>
      </c>
      <c r="I36" s="8">
        <f t="shared" ca="1" si="7"/>
        <v>0</v>
      </c>
      <c r="J36" s="8">
        <f t="shared" ca="1" si="8"/>
        <v>0</v>
      </c>
      <c r="K36" s="8">
        <f t="shared" ca="1" si="9"/>
        <v>0</v>
      </c>
      <c r="L36" s="8">
        <f t="shared" ca="1" si="10"/>
        <v>0</v>
      </c>
      <c r="M36" s="8">
        <f t="shared" ca="1" si="11"/>
        <v>0</v>
      </c>
      <c r="N36" s="8">
        <f t="shared" ca="1" si="12"/>
        <v>0</v>
      </c>
      <c r="O36" s="8">
        <f t="shared" ca="1" si="13"/>
        <v>0</v>
      </c>
      <c r="P36" s="8">
        <f t="shared" ca="1" si="14"/>
        <v>0</v>
      </c>
      <c r="Q36" s="8">
        <f t="shared" ca="1" si="15"/>
        <v>0</v>
      </c>
      <c r="R36" s="8">
        <f t="shared" ca="1" si="16"/>
        <v>0</v>
      </c>
      <c r="S36" s="8">
        <f t="shared" ca="1" si="17"/>
        <v>0</v>
      </c>
      <c r="T36" s="8">
        <f t="shared" ca="1" si="18"/>
        <v>0</v>
      </c>
      <c r="U36" s="8">
        <f t="shared" ca="1" si="19"/>
        <v>0</v>
      </c>
      <c r="V36" s="8">
        <f t="shared" ca="1" si="20"/>
        <v>0</v>
      </c>
      <c r="W36" s="11" t="str">
        <f t="shared" ca="1" si="21"/>
        <v/>
      </c>
      <c r="X36" s="11" t="str">
        <f t="shared" ca="1" si="22"/>
        <v/>
      </c>
      <c r="Y36" s="11" t="str">
        <f t="shared" ca="1" si="23"/>
        <v/>
      </c>
      <c r="Z36" s="11" t="str">
        <f t="shared" ca="1" si="24"/>
        <v/>
      </c>
      <c r="AA36" s="11" t="str">
        <f t="shared" ca="1" si="25"/>
        <v/>
      </c>
      <c r="AB36" s="47">
        <f ca="1">PlayerGameData[[#This Row],[3FGA]]+PlayerGameData[[#This Row],[2FGA]]</f>
        <v>0</v>
      </c>
      <c r="AC36" s="47">
        <f ca="1">PlayerGameData[[#This Row],[OFF REB]]+PlayerGameData[[#This Row],[DEF REB]]</f>
        <v>0</v>
      </c>
      <c r="AD36" s="8">
        <f t="shared" si="26"/>
        <v>2</v>
      </c>
      <c r="AE36" s="8" t="str">
        <f t="shared" ca="1" si="27"/>
        <v>Carson Barritt, 14 - Riverside 12/9/2022</v>
      </c>
      <c r="AF36" s="8" t="str">
        <f t="shared" ca="1" si="28"/>
        <v/>
      </c>
      <c r="AG36" s="8" t="str">
        <f ca="1">IFERROR(IF(C36=0,"",IF(AND(VLOOKUP(PlayerGameData[[#This Row],[Opponent]],WYTeamInfo,2,FALSE)=Roster!$D$1,VLOOKUP(PlayerGameData[[#This Row],[Opponent]],WYTeamInfo,3,FALSE)=Roster!$D$2),"SR","")),"")</f>
        <v/>
      </c>
      <c r="AH36" s="8" t="str">
        <f>CONCATENATE(Roster!$D$1," ",Roster!$D$5)</f>
        <v>1A BB</v>
      </c>
      <c r="AI36" s="8" t="str">
        <f t="shared" ca="1" si="29"/>
        <v>Upton - Riverside 12/9/2022</v>
      </c>
      <c r="AJ36" s="8">
        <f ca="1">IFERROR(VLOOKUP(PlayerGameData[[#This Row],[School, Opponent,Game'#]],Table3[],2,FALSE),0)</f>
        <v>1</v>
      </c>
      <c r="AK36" s="8">
        <f ca="1">IF(PlayerGameData[[#This Row],[Visible]]=1,1,1000)</f>
        <v>1</v>
      </c>
      <c r="AL36" s="8">
        <f ca="1">RANK(PlayerGameData[[#This Row],[TL PTS]],PlayerGameData[TL PTS],0)+PlayerGameData[[#This Row],[VisibleOrder]]</f>
        <v>185</v>
      </c>
      <c r="AM36" s="8">
        <f ca="1">IF(COUNTIF(PlayerGameData[PointOrder],PlayerGameData[[#This Row],[PointOrder]])&gt;1,RANK(PlayerGameData[[#This Row],[FGA]],PlayerGameData[FGA],0)/100,0)+PlayerGameData[[#This Row],[PointOrder]]</f>
        <v>187.14</v>
      </c>
      <c r="AN36" s="8">
        <f ca="1">RANK(PlayerGameData[[#This Row],[PointTieBreak]],PlayerGameData[PointTieBreak],1)</f>
        <v>216</v>
      </c>
      <c r="AO36" s="8">
        <f ca="1">RANK(PlayerGameData[[#This Row],[REB]],PlayerGameData[REB],0)+PlayerGameData[[#This Row],[VisibleOrder]]</f>
        <v>192</v>
      </c>
      <c r="AP36" s="8">
        <f ca="1">IF(COUNTIF(PlayerGameData[REBOrder],PlayerGameData[[#This Row],[REBOrder]])&gt;1,PlayerGameData[[#This Row],[PointRank]]/100+PlayerGameData[[#This Row],[REBOrder]],PlayerGameData[[#This Row],[REBOrder]])</f>
        <v>194.16</v>
      </c>
      <c r="AQ36" s="8">
        <f ca="1">RANK(PlayerGameData[[#This Row],[REBTieBreak]],PlayerGameData[REBTieBreak],1)</f>
        <v>224</v>
      </c>
      <c r="AR36" s="8">
        <f ca="1">RANK(PlayerGameData[[#This Row],[AST]],PlayerGameData[AST],0)+PlayerGameData[[#This Row],[VisibleOrder]]</f>
        <v>158</v>
      </c>
      <c r="AS36" s="8">
        <f ca="1">IF(COUNTIF(PlayerGameData[ASTOrder],PlayerGameData[[#This Row],[ASTOrder]])&gt;1,PlayerGameData[[#This Row],[PointRank]]/100+PlayerGameData[[#This Row],[ASTOrder]],PlayerGameData[[#This Row],[ASTOrder]])</f>
        <v>160.16</v>
      </c>
      <c r="AT36" s="8">
        <f ca="1">RANK(PlayerGameData[[#This Row],[ASTTieBreak]],PlayerGameData[ASTTieBreak],1)</f>
        <v>221</v>
      </c>
      <c r="AU36" s="8">
        <f ca="1">RANK(PlayerGameData[[#This Row],[STL]],PlayerGameData[STL],0)+PlayerGameData[[#This Row],[VisibleOrder]]</f>
        <v>143</v>
      </c>
      <c r="AV36" s="8">
        <f ca="1">IF(COUNTIF(PlayerGameData[STLOrder],PlayerGameData[[#This Row],[STLOrder]])&gt;1,PlayerGameData[[#This Row],[PointRank]]/100+PlayerGameData[[#This Row],[STLOrder]],PlayerGameData[[#This Row],[STLOrder]])</f>
        <v>145.16</v>
      </c>
      <c r="AW36" s="8">
        <f ca="1">RANK(PlayerGameData[[#This Row],[STLTieBreak]],PlayerGameData[STLTieBreak],1)</f>
        <v>217</v>
      </c>
      <c r="AX36" s="8">
        <f ca="1">RANK(PlayerGameData[[#This Row],[BLK]],PlayerGameData[BLK],0)+PlayerGameData[[#This Row],[VisibleOrder]]</f>
        <v>32</v>
      </c>
      <c r="AY36" s="8">
        <f ca="1">IF(COUNTIF(PlayerGameData[BLKOrder],PlayerGameData[[#This Row],[BLKOrder]])&gt;1,PlayerGameData[[#This Row],[PointRank]]/100+PlayerGameData[[#This Row],[BLKOrder]],PlayerGameData[[#This Row],[BLKOrder]])</f>
        <v>34.159999999999997</v>
      </c>
      <c r="AZ36" s="8">
        <f ca="1">RANK(PlayerGameData[[#This Row],[BLKTieBreak]],PlayerGameData[BLKTieBreak],1)</f>
        <v>216</v>
      </c>
      <c r="BA36" s="11">
        <f ca="1">IFERROR(IF(PlayerGameData[[#This Row],[FGA]]&gt;$AA$5,PlayerGameData[[#This Row],[FG%*]],PlayerGameData[[#This Row],[FG%*]]*-1),-2)</f>
        <v>-2</v>
      </c>
      <c r="BB36" s="8">
        <f ca="1">RANK(PlayerGameData[[#This Row],[EligFG]],PlayerGameData[EligFG],0)+PlayerGameData[[#This Row],[VisibleOrder]]</f>
        <v>215</v>
      </c>
      <c r="BC36" s="8">
        <f ca="1">IF(COUNTIF(PlayerGameData[EligFGOrder],PlayerGameData[[#This Row],[EligFGOrder]])&gt;1,PlayerGameData[[#This Row],[PointRank]]/100+PlayerGameData[[#This Row],[EligFGOrder]],PlayerGameData[[#This Row],[EligFGOrder]])</f>
        <v>217.16</v>
      </c>
      <c r="BD36" s="8">
        <f ca="1">RANK(PlayerGameData[[#This Row],[EligFGTieBreak]],PlayerGameData[EligFGTieBreak],1)</f>
        <v>216</v>
      </c>
      <c r="BE36" s="8" t="str">
        <f>Roster!$D$3</f>
        <v>East</v>
      </c>
      <c r="BF36" s="8" t="str">
        <f>Roster!$D$2</f>
        <v>Northeast</v>
      </c>
      <c r="BG36" s="8" t="str">
        <f>Roster!$D$4</f>
        <v>North</v>
      </c>
      <c r="BH36" s="197">
        <f ca="1">IFERROR(VLOOKUP(CONCATENATE(PlayerGameData[[#This Row],[Opponent]]," ",MONTH(PlayerGameData[[#This Row],[Date]]),"/",DAY(PlayerGameData[[#This Row],[Date]]),"/",YEAR(PlayerGameData[[#This Row],[Date]])),Table35[],2,FALSE),0)</f>
        <v>1</v>
      </c>
      <c r="BI36" s="197">
        <f ca="1">IF(PlayerGameData[[#This Row],[Visible]]=1,1,1000)</f>
        <v>1</v>
      </c>
      <c r="BJ36" s="197" t="e">
        <f ca="1">_xlfn.MAXIFS(TeamGameData[Win],TeamGameData[School, Opponent,Game'#],PlayerGameData[[#This Row],[School, Opponent,Game'#]])</f>
        <v>#NAME?</v>
      </c>
      <c r="BK36" s="197" t="e">
        <f ca="1">_xlfn.MAXIFS(TeamGameData[Loss],TeamGameData[School, Opponent,Game'#],PlayerGameData[[#This Row],[School, Opponent,Game'#]])</f>
        <v>#NAME?</v>
      </c>
    </row>
    <row r="37" spans="1:63" x14ac:dyDescent="0.25">
      <c r="A37" s="8" t="str">
        <f t="shared" ca="1" si="0"/>
        <v>Ben Carpenter, 21</v>
      </c>
      <c r="B37" s="8" t="str">
        <f>Roster!$B$1</f>
        <v>Upton</v>
      </c>
      <c r="C37" s="8" t="str">
        <f t="shared" ca="1" si="1"/>
        <v>Riverside</v>
      </c>
      <c r="D37" s="10">
        <f t="shared" ca="1" si="2"/>
        <v>44904</v>
      </c>
      <c r="E37" s="8">
        <f t="shared" ca="1" si="3"/>
        <v>0</v>
      </c>
      <c r="F37" s="8">
        <f t="shared" ca="1" si="4"/>
        <v>0</v>
      </c>
      <c r="G37" s="8">
        <f t="shared" ca="1" si="5"/>
        <v>0</v>
      </c>
      <c r="H37" s="8">
        <f t="shared" ca="1" si="6"/>
        <v>0</v>
      </c>
      <c r="I37" s="8">
        <f t="shared" ca="1" si="7"/>
        <v>0</v>
      </c>
      <c r="J37" s="8">
        <f t="shared" ca="1" si="8"/>
        <v>0</v>
      </c>
      <c r="K37" s="8">
        <f t="shared" ca="1" si="9"/>
        <v>0</v>
      </c>
      <c r="L37" s="8">
        <f t="shared" ca="1" si="10"/>
        <v>0</v>
      </c>
      <c r="M37" s="8">
        <f t="shared" ca="1" si="11"/>
        <v>0</v>
      </c>
      <c r="N37" s="8">
        <f t="shared" ca="1" si="12"/>
        <v>0</v>
      </c>
      <c r="O37" s="8">
        <f t="shared" ca="1" si="13"/>
        <v>0</v>
      </c>
      <c r="P37" s="8">
        <f t="shared" ca="1" si="14"/>
        <v>0</v>
      </c>
      <c r="Q37" s="8">
        <f t="shared" ca="1" si="15"/>
        <v>0</v>
      </c>
      <c r="R37" s="8">
        <f t="shared" ca="1" si="16"/>
        <v>0</v>
      </c>
      <c r="S37" s="8">
        <f t="shared" ca="1" si="17"/>
        <v>0</v>
      </c>
      <c r="T37" s="8">
        <f t="shared" ca="1" si="18"/>
        <v>0</v>
      </c>
      <c r="U37" s="8">
        <f t="shared" ca="1" si="19"/>
        <v>0</v>
      </c>
      <c r="V37" s="8">
        <f t="shared" ca="1" si="20"/>
        <v>0</v>
      </c>
      <c r="W37" s="11" t="str">
        <f t="shared" ca="1" si="21"/>
        <v/>
      </c>
      <c r="X37" s="11" t="str">
        <f t="shared" ca="1" si="22"/>
        <v/>
      </c>
      <c r="Y37" s="11" t="str">
        <f t="shared" ca="1" si="23"/>
        <v/>
      </c>
      <c r="Z37" s="11" t="str">
        <f t="shared" ca="1" si="24"/>
        <v/>
      </c>
      <c r="AA37" s="11" t="str">
        <f t="shared" ca="1" si="25"/>
        <v/>
      </c>
      <c r="AB37" s="47">
        <f ca="1">PlayerGameData[[#This Row],[3FGA]]+PlayerGameData[[#This Row],[2FGA]]</f>
        <v>0</v>
      </c>
      <c r="AC37" s="47">
        <f ca="1">PlayerGameData[[#This Row],[OFF REB]]+PlayerGameData[[#This Row],[DEF REB]]</f>
        <v>0</v>
      </c>
      <c r="AD37" s="8">
        <f t="shared" si="26"/>
        <v>2</v>
      </c>
      <c r="AE37" s="8" t="str">
        <f t="shared" ca="1" si="27"/>
        <v>Ben Carpenter, 21 - Riverside 12/9/2022</v>
      </c>
      <c r="AF37" s="8" t="str">
        <f t="shared" ca="1" si="28"/>
        <v/>
      </c>
      <c r="AG37" s="8" t="str">
        <f ca="1">IFERROR(IF(C37=0,"",IF(AND(VLOOKUP(PlayerGameData[[#This Row],[Opponent]],WYTeamInfo,2,FALSE)=Roster!$D$1,VLOOKUP(PlayerGameData[[#This Row],[Opponent]],WYTeamInfo,3,FALSE)=Roster!$D$2),"SR","")),"")</f>
        <v/>
      </c>
      <c r="AH37" s="8" t="str">
        <f>CONCATENATE(Roster!$D$1," ",Roster!$D$5)</f>
        <v>1A BB</v>
      </c>
      <c r="AI37" s="8" t="str">
        <f t="shared" ca="1" si="29"/>
        <v>Upton - Riverside 12/9/2022</v>
      </c>
      <c r="AJ37" s="8">
        <f ca="1">IFERROR(VLOOKUP(PlayerGameData[[#This Row],[School, Opponent,Game'#]],Table3[],2,FALSE),0)</f>
        <v>1</v>
      </c>
      <c r="AK37" s="8">
        <f ca="1">IF(PlayerGameData[[#This Row],[Visible]]=1,1,1000)</f>
        <v>1</v>
      </c>
      <c r="AL37" s="8">
        <f ca="1">RANK(PlayerGameData[[#This Row],[TL PTS]],PlayerGameData[TL PTS],0)+PlayerGameData[[#This Row],[VisibleOrder]]</f>
        <v>185</v>
      </c>
      <c r="AM37" s="8">
        <f ca="1">IF(COUNTIF(PlayerGameData[PointOrder],PlayerGameData[[#This Row],[PointOrder]])&gt;1,RANK(PlayerGameData[[#This Row],[FGA]],PlayerGameData[FGA],0)/100,0)+PlayerGameData[[#This Row],[PointOrder]]</f>
        <v>187.14</v>
      </c>
      <c r="AN37" s="8">
        <f ca="1">RANK(PlayerGameData[[#This Row],[PointTieBreak]],PlayerGameData[PointTieBreak],1)</f>
        <v>216</v>
      </c>
      <c r="AO37" s="8">
        <f ca="1">RANK(PlayerGameData[[#This Row],[REB]],PlayerGameData[REB],0)+PlayerGameData[[#This Row],[VisibleOrder]]</f>
        <v>192</v>
      </c>
      <c r="AP37" s="8">
        <f ca="1">IF(COUNTIF(PlayerGameData[REBOrder],PlayerGameData[[#This Row],[REBOrder]])&gt;1,PlayerGameData[[#This Row],[PointRank]]/100+PlayerGameData[[#This Row],[REBOrder]],PlayerGameData[[#This Row],[REBOrder]])</f>
        <v>194.16</v>
      </c>
      <c r="AQ37" s="8">
        <f ca="1">RANK(PlayerGameData[[#This Row],[REBTieBreak]],PlayerGameData[REBTieBreak],1)</f>
        <v>224</v>
      </c>
      <c r="AR37" s="8">
        <f ca="1">RANK(PlayerGameData[[#This Row],[AST]],PlayerGameData[AST],0)+PlayerGameData[[#This Row],[VisibleOrder]]</f>
        <v>158</v>
      </c>
      <c r="AS37" s="8">
        <f ca="1">IF(COUNTIF(PlayerGameData[ASTOrder],PlayerGameData[[#This Row],[ASTOrder]])&gt;1,PlayerGameData[[#This Row],[PointRank]]/100+PlayerGameData[[#This Row],[ASTOrder]],PlayerGameData[[#This Row],[ASTOrder]])</f>
        <v>160.16</v>
      </c>
      <c r="AT37" s="8">
        <f ca="1">RANK(PlayerGameData[[#This Row],[ASTTieBreak]],PlayerGameData[ASTTieBreak],1)</f>
        <v>221</v>
      </c>
      <c r="AU37" s="8">
        <f ca="1">RANK(PlayerGameData[[#This Row],[STL]],PlayerGameData[STL],0)+PlayerGameData[[#This Row],[VisibleOrder]]</f>
        <v>143</v>
      </c>
      <c r="AV37" s="8">
        <f ca="1">IF(COUNTIF(PlayerGameData[STLOrder],PlayerGameData[[#This Row],[STLOrder]])&gt;1,PlayerGameData[[#This Row],[PointRank]]/100+PlayerGameData[[#This Row],[STLOrder]],PlayerGameData[[#This Row],[STLOrder]])</f>
        <v>145.16</v>
      </c>
      <c r="AW37" s="8">
        <f ca="1">RANK(PlayerGameData[[#This Row],[STLTieBreak]],PlayerGameData[STLTieBreak],1)</f>
        <v>217</v>
      </c>
      <c r="AX37" s="8">
        <f ca="1">RANK(PlayerGameData[[#This Row],[BLK]],PlayerGameData[BLK],0)+PlayerGameData[[#This Row],[VisibleOrder]]</f>
        <v>32</v>
      </c>
      <c r="AY37" s="8">
        <f ca="1">IF(COUNTIF(PlayerGameData[BLKOrder],PlayerGameData[[#This Row],[BLKOrder]])&gt;1,PlayerGameData[[#This Row],[PointRank]]/100+PlayerGameData[[#This Row],[BLKOrder]],PlayerGameData[[#This Row],[BLKOrder]])</f>
        <v>34.159999999999997</v>
      </c>
      <c r="AZ37" s="8">
        <f ca="1">RANK(PlayerGameData[[#This Row],[BLKTieBreak]],PlayerGameData[BLKTieBreak],1)</f>
        <v>216</v>
      </c>
      <c r="BA37" s="11">
        <f ca="1">IFERROR(IF(PlayerGameData[[#This Row],[FGA]]&gt;$AA$5,PlayerGameData[[#This Row],[FG%*]],PlayerGameData[[#This Row],[FG%*]]*-1),-2)</f>
        <v>-2</v>
      </c>
      <c r="BB37" s="8">
        <f ca="1">RANK(PlayerGameData[[#This Row],[EligFG]],PlayerGameData[EligFG],0)+PlayerGameData[[#This Row],[VisibleOrder]]</f>
        <v>215</v>
      </c>
      <c r="BC37" s="8">
        <f ca="1">IF(COUNTIF(PlayerGameData[EligFGOrder],PlayerGameData[[#This Row],[EligFGOrder]])&gt;1,PlayerGameData[[#This Row],[PointRank]]/100+PlayerGameData[[#This Row],[EligFGOrder]],PlayerGameData[[#This Row],[EligFGOrder]])</f>
        <v>217.16</v>
      </c>
      <c r="BD37" s="8">
        <f ca="1">RANK(PlayerGameData[[#This Row],[EligFGTieBreak]],PlayerGameData[EligFGTieBreak],1)</f>
        <v>216</v>
      </c>
      <c r="BE37" s="8" t="str">
        <f>Roster!$D$3</f>
        <v>East</v>
      </c>
      <c r="BF37" s="8" t="str">
        <f>Roster!$D$2</f>
        <v>Northeast</v>
      </c>
      <c r="BG37" s="8" t="str">
        <f>Roster!$D$4</f>
        <v>North</v>
      </c>
      <c r="BH37" s="197">
        <f ca="1">IFERROR(VLOOKUP(CONCATENATE(PlayerGameData[[#This Row],[Opponent]]," ",MONTH(PlayerGameData[[#This Row],[Date]]),"/",DAY(PlayerGameData[[#This Row],[Date]]),"/",YEAR(PlayerGameData[[#This Row],[Date]])),Table35[],2,FALSE),0)</f>
        <v>1</v>
      </c>
      <c r="BI37" s="197">
        <f ca="1">IF(PlayerGameData[[#This Row],[Visible]]=1,1,1000)</f>
        <v>1</v>
      </c>
      <c r="BJ37" s="197" t="e">
        <f ca="1">_xlfn.MAXIFS(TeamGameData[Win],TeamGameData[School, Opponent,Game'#],PlayerGameData[[#This Row],[School, Opponent,Game'#]])</f>
        <v>#NAME?</v>
      </c>
      <c r="BK37" s="197" t="e">
        <f ca="1">_xlfn.MAXIFS(TeamGameData[Loss],TeamGameData[School, Opponent,Game'#],PlayerGameData[[#This Row],[School, Opponent,Game'#]])</f>
        <v>#NAME?</v>
      </c>
    </row>
    <row r="38" spans="1:63" x14ac:dyDescent="0.25">
      <c r="A38" s="8" t="str">
        <f t="shared" ca="1" si="0"/>
        <v>Ethan Schiller, 23</v>
      </c>
      <c r="B38" s="8" t="str">
        <f>Roster!$B$1</f>
        <v>Upton</v>
      </c>
      <c r="C38" s="8" t="str">
        <f t="shared" ca="1" si="1"/>
        <v>Riverside</v>
      </c>
      <c r="D38" s="10">
        <f t="shared" ca="1" si="2"/>
        <v>44904</v>
      </c>
      <c r="E38" s="8">
        <f t="shared" ca="1" si="3"/>
        <v>1</v>
      </c>
      <c r="F38" s="8">
        <f t="shared" ca="1" si="4"/>
        <v>1</v>
      </c>
      <c r="G38" s="8">
        <f t="shared" ca="1" si="5"/>
        <v>22</v>
      </c>
      <c r="H38" s="8">
        <f t="shared" ca="1" si="6"/>
        <v>0</v>
      </c>
      <c r="I38" s="8">
        <f t="shared" ca="1" si="7"/>
        <v>3</v>
      </c>
      <c r="J38" s="8">
        <f t="shared" ca="1" si="8"/>
        <v>7</v>
      </c>
      <c r="K38" s="8">
        <f t="shared" ca="1" si="9"/>
        <v>10</v>
      </c>
      <c r="L38" s="8">
        <f t="shared" ca="1" si="10"/>
        <v>0</v>
      </c>
      <c r="M38" s="8">
        <f t="shared" ca="1" si="11"/>
        <v>1</v>
      </c>
      <c r="N38" s="8">
        <f t="shared" ca="1" si="12"/>
        <v>2</v>
      </c>
      <c r="O38" s="8">
        <f t="shared" ca="1" si="13"/>
        <v>6</v>
      </c>
      <c r="P38" s="8">
        <f t="shared" ca="1" si="14"/>
        <v>4</v>
      </c>
      <c r="Q38" s="8">
        <f t="shared" ca="1" si="15"/>
        <v>2</v>
      </c>
      <c r="R38" s="8">
        <f t="shared" ca="1" si="16"/>
        <v>1</v>
      </c>
      <c r="S38" s="8">
        <f t="shared" ca="1" si="17"/>
        <v>3</v>
      </c>
      <c r="T38" s="8">
        <f t="shared" ca="1" si="18"/>
        <v>3</v>
      </c>
      <c r="U38" s="8">
        <f t="shared" ca="1" si="19"/>
        <v>0</v>
      </c>
      <c r="V38" s="8">
        <f t="shared" ca="1" si="20"/>
        <v>14</v>
      </c>
      <c r="W38" s="11">
        <f t="shared" ca="1" si="21"/>
        <v>0</v>
      </c>
      <c r="X38" s="11">
        <f t="shared" ca="1" si="22"/>
        <v>0.7</v>
      </c>
      <c r="Y38" s="11">
        <f t="shared" ca="1" si="23"/>
        <v>0</v>
      </c>
      <c r="Z38" s="11">
        <f t="shared" ca="1" si="24"/>
        <v>0.53846153846153844</v>
      </c>
      <c r="AA38" s="11">
        <f t="shared" ca="1" si="25"/>
        <v>0.53846153846153844</v>
      </c>
      <c r="AB38" s="47">
        <f ca="1">PlayerGameData[[#This Row],[3FGA]]+PlayerGameData[[#This Row],[2FGA]]</f>
        <v>13</v>
      </c>
      <c r="AC38" s="47">
        <f ca="1">PlayerGameData[[#This Row],[OFF REB]]+PlayerGameData[[#This Row],[DEF REB]]</f>
        <v>8</v>
      </c>
      <c r="AD38" s="8">
        <f t="shared" si="26"/>
        <v>2</v>
      </c>
      <c r="AE38" s="8" t="str">
        <f t="shared" ca="1" si="27"/>
        <v>Ethan Schiller, 23 - Riverside 12/9/2022</v>
      </c>
      <c r="AF38" s="8" t="str">
        <f t="shared" ca="1" si="28"/>
        <v/>
      </c>
      <c r="AG38" s="8" t="str">
        <f ca="1">IFERROR(IF(C38=0,"",IF(AND(VLOOKUP(PlayerGameData[[#This Row],[Opponent]],WYTeamInfo,2,FALSE)=Roster!$D$1,VLOOKUP(PlayerGameData[[#This Row],[Opponent]],WYTeamInfo,3,FALSE)=Roster!$D$2),"SR","")),"")</f>
        <v/>
      </c>
      <c r="AH38" s="8" t="str">
        <f>CONCATENATE(Roster!$D$1," ",Roster!$D$5)</f>
        <v>1A BB</v>
      </c>
      <c r="AI38" s="8" t="str">
        <f t="shared" ca="1" si="29"/>
        <v>Upton - Riverside 12/9/2022</v>
      </c>
      <c r="AJ38" s="8">
        <f ca="1">IFERROR(VLOOKUP(PlayerGameData[[#This Row],[School, Opponent,Game'#]],Table3[],2,FALSE),0)</f>
        <v>1</v>
      </c>
      <c r="AK38" s="8">
        <f ca="1">IF(PlayerGameData[[#This Row],[Visible]]=1,1,1000)</f>
        <v>1</v>
      </c>
      <c r="AL38" s="8">
        <f ca="1">RANK(PlayerGameData[[#This Row],[TL PTS]],PlayerGameData[TL PTS],0)+PlayerGameData[[#This Row],[VisibleOrder]]</f>
        <v>36</v>
      </c>
      <c r="AM38" s="8">
        <f ca="1">IF(COUNTIF(PlayerGameData[PointOrder],PlayerGameData[[#This Row],[PointOrder]])&gt;1,RANK(PlayerGameData[[#This Row],[FGA]],PlayerGameData[FGA],0)/100,0)+PlayerGameData[[#This Row],[PointOrder]]</f>
        <v>36.17</v>
      </c>
      <c r="AN38" s="8">
        <f ca="1">RANK(PlayerGameData[[#This Row],[PointTieBreak]],PlayerGameData[PointTieBreak],1)</f>
        <v>38</v>
      </c>
      <c r="AO38" s="8">
        <f ca="1">RANK(PlayerGameData[[#This Row],[REB]],PlayerGameData[REB],0)+PlayerGameData[[#This Row],[VisibleOrder]]</f>
        <v>21</v>
      </c>
      <c r="AP38" s="8">
        <f ca="1">IF(COUNTIF(PlayerGameData[REBOrder],PlayerGameData[[#This Row],[REBOrder]])&gt;1,PlayerGameData[[#This Row],[PointRank]]/100+PlayerGameData[[#This Row],[REBOrder]],PlayerGameData[[#This Row],[REBOrder]])</f>
        <v>21.38</v>
      </c>
      <c r="AQ38" s="8">
        <f ca="1">RANK(PlayerGameData[[#This Row],[REBTieBreak]],PlayerGameData[REBTieBreak],1)</f>
        <v>22</v>
      </c>
      <c r="AR38" s="8">
        <f ca="1">RANK(PlayerGameData[[#This Row],[AST]],PlayerGameData[AST],0)+PlayerGameData[[#This Row],[VisibleOrder]]</f>
        <v>24</v>
      </c>
      <c r="AS38" s="8">
        <f ca="1">IF(COUNTIF(PlayerGameData[ASTOrder],PlayerGameData[[#This Row],[ASTOrder]])&gt;1,PlayerGameData[[#This Row],[PointRank]]/100+PlayerGameData[[#This Row],[ASTOrder]],PlayerGameData[[#This Row],[ASTOrder]])</f>
        <v>24.38</v>
      </c>
      <c r="AT38" s="8">
        <f ca="1">RANK(PlayerGameData[[#This Row],[ASTTieBreak]],PlayerGameData[ASTTieBreak],1)</f>
        <v>29</v>
      </c>
      <c r="AU38" s="8">
        <f ca="1">RANK(PlayerGameData[[#This Row],[STL]],PlayerGameData[STL],0)+PlayerGameData[[#This Row],[VisibleOrder]]</f>
        <v>48</v>
      </c>
      <c r="AV38" s="8">
        <f ca="1">IF(COUNTIF(PlayerGameData[STLOrder],PlayerGameData[[#This Row],[STLOrder]])&gt;1,PlayerGameData[[#This Row],[PointRank]]/100+PlayerGameData[[#This Row],[STLOrder]],PlayerGameData[[#This Row],[STLOrder]])</f>
        <v>48.38</v>
      </c>
      <c r="AW38" s="8">
        <f ca="1">RANK(PlayerGameData[[#This Row],[STLTieBreak]],PlayerGameData[STLTieBreak],1)</f>
        <v>50</v>
      </c>
      <c r="AX38" s="8">
        <f ca="1">RANK(PlayerGameData[[#This Row],[BLK]],PlayerGameData[BLK],0)+PlayerGameData[[#This Row],[VisibleOrder]]</f>
        <v>11</v>
      </c>
      <c r="AY38" s="8">
        <f ca="1">IF(COUNTIF(PlayerGameData[BLKOrder],PlayerGameData[[#This Row],[BLKOrder]])&gt;1,PlayerGameData[[#This Row],[PointRank]]/100+PlayerGameData[[#This Row],[BLKOrder]],PlayerGameData[[#This Row],[BLKOrder]])</f>
        <v>11.38</v>
      </c>
      <c r="AZ38" s="8">
        <f ca="1">RANK(PlayerGameData[[#This Row],[BLKTieBreak]],PlayerGameData[BLKTieBreak],1)</f>
        <v>14</v>
      </c>
      <c r="BA38" s="11">
        <f ca="1">IFERROR(IF(PlayerGameData[[#This Row],[FGA]]&gt;$AA$5,PlayerGameData[[#This Row],[FG%*]],PlayerGameData[[#This Row],[FG%*]]*-1),-2)</f>
        <v>0.53846153846153844</v>
      </c>
      <c r="BB38" s="8">
        <f ca="1">RANK(PlayerGameData[[#This Row],[EligFG]],PlayerGameData[EligFG],0)+PlayerGameData[[#This Row],[VisibleOrder]]</f>
        <v>34</v>
      </c>
      <c r="BC38" s="8">
        <f ca="1">IF(COUNTIF(PlayerGameData[EligFGOrder],PlayerGameData[[#This Row],[EligFGOrder]])&gt;1,PlayerGameData[[#This Row],[PointRank]]/100+PlayerGameData[[#This Row],[EligFGOrder]],PlayerGameData[[#This Row],[EligFGOrder]])</f>
        <v>34.380000000000003</v>
      </c>
      <c r="BD38" s="8">
        <f ca="1">RANK(PlayerGameData[[#This Row],[EligFGTieBreak]],PlayerGameData[EligFGTieBreak],1)</f>
        <v>36</v>
      </c>
      <c r="BE38" s="8" t="str">
        <f>Roster!$D$3</f>
        <v>East</v>
      </c>
      <c r="BF38" s="8" t="str">
        <f>Roster!$D$2</f>
        <v>Northeast</v>
      </c>
      <c r="BG38" s="8" t="str">
        <f>Roster!$D$4</f>
        <v>North</v>
      </c>
      <c r="BH38" s="197">
        <f ca="1">IFERROR(VLOOKUP(CONCATENATE(PlayerGameData[[#This Row],[Opponent]]," ",MONTH(PlayerGameData[[#This Row],[Date]]),"/",DAY(PlayerGameData[[#This Row],[Date]]),"/",YEAR(PlayerGameData[[#This Row],[Date]])),Table35[],2,FALSE),0)</f>
        <v>1</v>
      </c>
      <c r="BI38" s="197">
        <f ca="1">IF(PlayerGameData[[#This Row],[Visible]]=1,1,1000)</f>
        <v>1</v>
      </c>
      <c r="BJ38" s="197" t="e">
        <f ca="1">_xlfn.MAXIFS(TeamGameData[Win],TeamGameData[School, Opponent,Game'#],PlayerGameData[[#This Row],[School, Opponent,Game'#]])</f>
        <v>#NAME?</v>
      </c>
      <c r="BK38" s="197" t="e">
        <f ca="1">_xlfn.MAXIFS(TeamGameData[Loss],TeamGameData[School, Opponent,Game'#],PlayerGameData[[#This Row],[School, Opponent,Game'#]])</f>
        <v>#NAME?</v>
      </c>
    </row>
    <row r="39" spans="1:63" x14ac:dyDescent="0.25">
      <c r="A39" s="8" t="str">
        <f t="shared" ca="1" si="0"/>
        <v>Bridger Bruce, 25</v>
      </c>
      <c r="B39" s="8" t="str">
        <f>Roster!$B$1</f>
        <v>Upton</v>
      </c>
      <c r="C39" s="8" t="str">
        <f t="shared" ca="1" si="1"/>
        <v>Riverside</v>
      </c>
      <c r="D39" s="10">
        <f t="shared" ca="1" si="2"/>
        <v>44904</v>
      </c>
      <c r="E39" s="8">
        <f t="shared" ca="1" si="3"/>
        <v>1</v>
      </c>
      <c r="F39" s="8">
        <f t="shared" ca="1" si="4"/>
        <v>0</v>
      </c>
      <c r="G39" s="8">
        <f t="shared" ca="1" si="5"/>
        <v>14</v>
      </c>
      <c r="H39" s="8">
        <f t="shared" ca="1" si="6"/>
        <v>0</v>
      </c>
      <c r="I39" s="8">
        <f t="shared" ca="1" si="7"/>
        <v>1</v>
      </c>
      <c r="J39" s="8">
        <f t="shared" ca="1" si="8"/>
        <v>0</v>
      </c>
      <c r="K39" s="8">
        <f t="shared" ca="1" si="9"/>
        <v>5</v>
      </c>
      <c r="L39" s="8">
        <f t="shared" ca="1" si="10"/>
        <v>1</v>
      </c>
      <c r="M39" s="8">
        <f t="shared" ca="1" si="11"/>
        <v>4</v>
      </c>
      <c r="N39" s="8">
        <f t="shared" ca="1" si="12"/>
        <v>6</v>
      </c>
      <c r="O39" s="8">
        <f t="shared" ca="1" si="13"/>
        <v>1</v>
      </c>
      <c r="P39" s="8">
        <f t="shared" ca="1" si="14"/>
        <v>0</v>
      </c>
      <c r="Q39" s="8">
        <f t="shared" ca="1" si="15"/>
        <v>0</v>
      </c>
      <c r="R39" s="8">
        <f t="shared" ca="1" si="16"/>
        <v>0</v>
      </c>
      <c r="S39" s="8">
        <f t="shared" ca="1" si="17"/>
        <v>0</v>
      </c>
      <c r="T39" s="8">
        <f t="shared" ca="1" si="18"/>
        <v>1</v>
      </c>
      <c r="U39" s="8">
        <f t="shared" ca="1" si="19"/>
        <v>0</v>
      </c>
      <c r="V39" s="8">
        <f t="shared" ca="1" si="20"/>
        <v>1</v>
      </c>
      <c r="W39" s="11">
        <f t="shared" ca="1" si="21"/>
        <v>0</v>
      </c>
      <c r="X39" s="11">
        <f t="shared" ca="1" si="22"/>
        <v>0</v>
      </c>
      <c r="Y39" s="11">
        <f t="shared" ca="1" si="23"/>
        <v>0.25</v>
      </c>
      <c r="Z39" s="11">
        <f t="shared" ca="1" si="24"/>
        <v>0</v>
      </c>
      <c r="AA39" s="11">
        <f t="shared" ca="1" si="25"/>
        <v>0</v>
      </c>
      <c r="AB39" s="47">
        <f ca="1">PlayerGameData[[#This Row],[3FGA]]+PlayerGameData[[#This Row],[2FGA]]</f>
        <v>6</v>
      </c>
      <c r="AC39" s="47">
        <f ca="1">PlayerGameData[[#This Row],[OFF REB]]+PlayerGameData[[#This Row],[DEF REB]]</f>
        <v>7</v>
      </c>
      <c r="AD39" s="8">
        <f t="shared" si="26"/>
        <v>2</v>
      </c>
      <c r="AE39" s="8" t="str">
        <f t="shared" ca="1" si="27"/>
        <v>Bridger Bruce, 25 - Riverside 12/9/2022</v>
      </c>
      <c r="AF39" s="8" t="str">
        <f t="shared" ca="1" si="28"/>
        <v/>
      </c>
      <c r="AG39" s="8" t="str">
        <f ca="1">IFERROR(IF(C39=0,"",IF(AND(VLOOKUP(PlayerGameData[[#This Row],[Opponent]],WYTeamInfo,2,FALSE)=Roster!$D$1,VLOOKUP(PlayerGameData[[#This Row],[Opponent]],WYTeamInfo,3,FALSE)=Roster!$D$2),"SR","")),"")</f>
        <v/>
      </c>
      <c r="AH39" s="8" t="str">
        <f>CONCATENATE(Roster!$D$1," ",Roster!$D$5)</f>
        <v>1A BB</v>
      </c>
      <c r="AI39" s="8" t="str">
        <f t="shared" ca="1" si="29"/>
        <v>Upton - Riverside 12/9/2022</v>
      </c>
      <c r="AJ39" s="8">
        <f ca="1">IFERROR(VLOOKUP(PlayerGameData[[#This Row],[School, Opponent,Game'#]],Table3[],2,FALSE),0)</f>
        <v>1</v>
      </c>
      <c r="AK39" s="8">
        <f ca="1">IF(PlayerGameData[[#This Row],[Visible]]=1,1,1000)</f>
        <v>1</v>
      </c>
      <c r="AL39" s="8">
        <f ca="1">RANK(PlayerGameData[[#This Row],[TL PTS]],PlayerGameData[TL PTS],0)+PlayerGameData[[#This Row],[VisibleOrder]]</f>
        <v>176</v>
      </c>
      <c r="AM39" s="8">
        <f ca="1">IF(COUNTIF(PlayerGameData[PointOrder],PlayerGameData[[#This Row],[PointOrder]])&gt;1,RANK(PlayerGameData[[#This Row],[FGA]],PlayerGameData[FGA],0)/100,0)+PlayerGameData[[#This Row],[PointOrder]]</f>
        <v>177.08</v>
      </c>
      <c r="AN39" s="8">
        <f ca="1">RANK(PlayerGameData[[#This Row],[PointTieBreak]],PlayerGameData[PointTieBreak],1)</f>
        <v>175</v>
      </c>
      <c r="AO39" s="8">
        <f ca="1">RANK(PlayerGameData[[#This Row],[REB]],PlayerGameData[REB],0)+PlayerGameData[[#This Row],[VisibleOrder]]</f>
        <v>29</v>
      </c>
      <c r="AP39" s="8">
        <f ca="1">IF(COUNTIF(PlayerGameData[REBOrder],PlayerGameData[[#This Row],[REBOrder]])&gt;1,PlayerGameData[[#This Row],[PointRank]]/100+PlayerGameData[[#This Row],[REBOrder]],PlayerGameData[[#This Row],[REBOrder]])</f>
        <v>30.75</v>
      </c>
      <c r="AQ39" s="8">
        <f ca="1">RANK(PlayerGameData[[#This Row],[REBTieBreak]],PlayerGameData[REBTieBreak],1)</f>
        <v>36</v>
      </c>
      <c r="AR39" s="8">
        <f ca="1">RANK(PlayerGameData[[#This Row],[AST]],PlayerGameData[AST],0)+PlayerGameData[[#This Row],[VisibleOrder]]</f>
        <v>158</v>
      </c>
      <c r="AS39" s="8">
        <f ca="1">IF(COUNTIF(PlayerGameData[ASTOrder],PlayerGameData[[#This Row],[ASTOrder]])&gt;1,PlayerGameData[[#This Row],[PointRank]]/100+PlayerGameData[[#This Row],[ASTOrder]],PlayerGameData[[#This Row],[ASTOrder]])</f>
        <v>159.75</v>
      </c>
      <c r="AT39" s="8">
        <f ca="1">RANK(PlayerGameData[[#This Row],[ASTTieBreak]],PlayerGameData[ASTTieBreak],1)</f>
        <v>193</v>
      </c>
      <c r="AU39" s="8">
        <f ca="1">RANK(PlayerGameData[[#This Row],[STL]],PlayerGameData[STL],0)+PlayerGameData[[#This Row],[VisibleOrder]]</f>
        <v>143</v>
      </c>
      <c r="AV39" s="8">
        <f ca="1">IF(COUNTIF(PlayerGameData[STLOrder],PlayerGameData[[#This Row],[STLOrder]])&gt;1,PlayerGameData[[#This Row],[PointRank]]/100+PlayerGameData[[#This Row],[STLOrder]],PlayerGameData[[#This Row],[STLOrder]])</f>
        <v>144.75</v>
      </c>
      <c r="AW39" s="8">
        <f ca="1">RANK(PlayerGameData[[#This Row],[STLTieBreak]],PlayerGameData[STLTieBreak],1)</f>
        <v>187</v>
      </c>
      <c r="AX39" s="8">
        <f ca="1">RANK(PlayerGameData[[#This Row],[BLK]],PlayerGameData[BLK],0)+PlayerGameData[[#This Row],[VisibleOrder]]</f>
        <v>32</v>
      </c>
      <c r="AY39" s="8">
        <f ca="1">IF(COUNTIF(PlayerGameData[BLKOrder],PlayerGameData[[#This Row],[BLKOrder]])&gt;1,PlayerGameData[[#This Row],[PointRank]]/100+PlayerGameData[[#This Row],[BLKOrder]],PlayerGameData[[#This Row],[BLKOrder]])</f>
        <v>33.75</v>
      </c>
      <c r="AZ39" s="8">
        <f ca="1">RANK(PlayerGameData[[#This Row],[BLKTieBreak]],PlayerGameData[BLKTieBreak],1)</f>
        <v>176</v>
      </c>
      <c r="BA39" s="11">
        <f ca="1">IFERROR(IF(PlayerGameData[[#This Row],[FGA]]&gt;$AA$5,PlayerGameData[[#This Row],[FG%*]],PlayerGameData[[#This Row],[FG%*]]*-1),-2)</f>
        <v>0</v>
      </c>
      <c r="BB39" s="8">
        <f ca="1">RANK(PlayerGameData[[#This Row],[EligFG]],PlayerGameData[EligFG],0)+PlayerGameData[[#This Row],[VisibleOrder]]</f>
        <v>117</v>
      </c>
      <c r="BC39" s="8">
        <f ca="1">IF(COUNTIF(PlayerGameData[EligFGOrder],PlayerGameData[[#This Row],[EligFGOrder]])&gt;1,PlayerGameData[[#This Row],[PointRank]]/100+PlayerGameData[[#This Row],[EligFGOrder]],PlayerGameData[[#This Row],[EligFGOrder]])</f>
        <v>118.75</v>
      </c>
      <c r="BD39" s="8">
        <f ca="1">RANK(PlayerGameData[[#This Row],[EligFGTieBreak]],PlayerGameData[EligFGTieBreak],1)</f>
        <v>118</v>
      </c>
      <c r="BE39" s="8" t="str">
        <f>Roster!$D$3</f>
        <v>East</v>
      </c>
      <c r="BF39" s="8" t="str">
        <f>Roster!$D$2</f>
        <v>Northeast</v>
      </c>
      <c r="BG39" s="8" t="str">
        <f>Roster!$D$4</f>
        <v>North</v>
      </c>
      <c r="BH39" s="197">
        <f ca="1">IFERROR(VLOOKUP(CONCATENATE(PlayerGameData[[#This Row],[Opponent]]," ",MONTH(PlayerGameData[[#This Row],[Date]]),"/",DAY(PlayerGameData[[#This Row],[Date]]),"/",YEAR(PlayerGameData[[#This Row],[Date]])),Table35[],2,FALSE),0)</f>
        <v>1</v>
      </c>
      <c r="BI39" s="197">
        <f ca="1">IF(PlayerGameData[[#This Row],[Visible]]=1,1,1000)</f>
        <v>1</v>
      </c>
      <c r="BJ39" s="197" t="e">
        <f ca="1">_xlfn.MAXIFS(TeamGameData[Win],TeamGameData[School, Opponent,Game'#],PlayerGameData[[#This Row],[School, Opponent,Game'#]])</f>
        <v>#NAME?</v>
      </c>
      <c r="BK39" s="197" t="e">
        <f ca="1">_xlfn.MAXIFS(TeamGameData[Loss],TeamGameData[School, Opponent,Game'#],PlayerGameData[[#This Row],[School, Opponent,Game'#]])</f>
        <v>#NAME?</v>
      </c>
    </row>
    <row r="40" spans="1:63" x14ac:dyDescent="0.25">
      <c r="A40" s="8" t="str">
        <f t="shared" ca="1" si="0"/>
        <v>Kailer Duarte, 31</v>
      </c>
      <c r="B40" s="8" t="str">
        <f>Roster!$B$1</f>
        <v>Upton</v>
      </c>
      <c r="C40" s="8" t="str">
        <f t="shared" ca="1" si="1"/>
        <v>Riverside</v>
      </c>
      <c r="D40" s="10">
        <f t="shared" ca="1" si="2"/>
        <v>44904</v>
      </c>
      <c r="E40" s="8">
        <f t="shared" ca="1" si="3"/>
        <v>1</v>
      </c>
      <c r="F40" s="8">
        <f t="shared" ca="1" si="4"/>
        <v>1</v>
      </c>
      <c r="G40" s="8">
        <f t="shared" ca="1" si="5"/>
        <v>25</v>
      </c>
      <c r="H40" s="8">
        <f t="shared" ca="1" si="6"/>
        <v>2</v>
      </c>
      <c r="I40" s="8">
        <f t="shared" ca="1" si="7"/>
        <v>5</v>
      </c>
      <c r="J40" s="8">
        <f t="shared" ca="1" si="8"/>
        <v>1</v>
      </c>
      <c r="K40" s="8">
        <f t="shared" ca="1" si="9"/>
        <v>7</v>
      </c>
      <c r="L40" s="8">
        <f t="shared" ca="1" si="10"/>
        <v>0</v>
      </c>
      <c r="M40" s="8">
        <f t="shared" ca="1" si="11"/>
        <v>0</v>
      </c>
      <c r="N40" s="8">
        <f t="shared" ca="1" si="12"/>
        <v>5</v>
      </c>
      <c r="O40" s="8">
        <f t="shared" ca="1" si="13"/>
        <v>6</v>
      </c>
      <c r="P40" s="8">
        <f t="shared" ca="1" si="14"/>
        <v>2</v>
      </c>
      <c r="Q40" s="8">
        <f t="shared" ca="1" si="15"/>
        <v>1</v>
      </c>
      <c r="R40" s="8">
        <f t="shared" ca="1" si="16"/>
        <v>0</v>
      </c>
      <c r="S40" s="8">
        <f t="shared" ca="1" si="17"/>
        <v>1</v>
      </c>
      <c r="T40" s="8">
        <f t="shared" ca="1" si="18"/>
        <v>2</v>
      </c>
      <c r="U40" s="8">
        <f t="shared" ca="1" si="19"/>
        <v>1</v>
      </c>
      <c r="V40" s="8">
        <f t="shared" ca="1" si="20"/>
        <v>8</v>
      </c>
      <c r="W40" s="11">
        <f t="shared" ca="1" si="21"/>
        <v>0.4</v>
      </c>
      <c r="X40" s="11">
        <f t="shared" ca="1" si="22"/>
        <v>0.14285714285714285</v>
      </c>
      <c r="Y40" s="11" t="str">
        <f t="shared" ca="1" si="23"/>
        <v/>
      </c>
      <c r="Z40" s="11">
        <f t="shared" ca="1" si="24"/>
        <v>0.25</v>
      </c>
      <c r="AA40" s="11">
        <f t="shared" ca="1" si="25"/>
        <v>0.33333333333333331</v>
      </c>
      <c r="AB40" s="47">
        <f ca="1">PlayerGameData[[#This Row],[3FGA]]+PlayerGameData[[#This Row],[2FGA]]</f>
        <v>12</v>
      </c>
      <c r="AC40" s="47">
        <f ca="1">PlayerGameData[[#This Row],[OFF REB]]+PlayerGameData[[#This Row],[DEF REB]]</f>
        <v>11</v>
      </c>
      <c r="AD40" s="8">
        <f t="shared" si="26"/>
        <v>2</v>
      </c>
      <c r="AE40" s="8" t="str">
        <f t="shared" ca="1" si="27"/>
        <v>Kailer Duarte, 31 - Riverside 12/9/2022</v>
      </c>
      <c r="AF40" s="8" t="str">
        <f t="shared" ca="1" si="28"/>
        <v/>
      </c>
      <c r="AG40" s="8" t="str">
        <f ca="1">IFERROR(IF(C40=0,"",IF(AND(VLOOKUP(PlayerGameData[[#This Row],[Opponent]],WYTeamInfo,2,FALSE)=Roster!$D$1,VLOOKUP(PlayerGameData[[#This Row],[Opponent]],WYTeamInfo,3,FALSE)=Roster!$D$2),"SR","")),"")</f>
        <v/>
      </c>
      <c r="AH40" s="8" t="str">
        <f>CONCATENATE(Roster!$D$1," ",Roster!$D$5)</f>
        <v>1A BB</v>
      </c>
      <c r="AI40" s="8" t="str">
        <f t="shared" ca="1" si="29"/>
        <v>Upton - Riverside 12/9/2022</v>
      </c>
      <c r="AJ40" s="8">
        <f ca="1">IFERROR(VLOOKUP(PlayerGameData[[#This Row],[School, Opponent,Game'#]],Table3[],2,FALSE),0)</f>
        <v>1</v>
      </c>
      <c r="AK40" s="8">
        <f ca="1">IF(PlayerGameData[[#This Row],[Visible]]=1,1,1000)</f>
        <v>1</v>
      </c>
      <c r="AL40" s="8">
        <f ca="1">RANK(PlayerGameData[[#This Row],[TL PTS]],PlayerGameData[TL PTS],0)+PlayerGameData[[#This Row],[VisibleOrder]]</f>
        <v>82</v>
      </c>
      <c r="AM40" s="8">
        <f ca="1">IF(COUNTIF(PlayerGameData[PointOrder],PlayerGameData[[#This Row],[PointOrder]])&gt;1,RANK(PlayerGameData[[#This Row],[FGA]],PlayerGameData[FGA],0)/100,0)+PlayerGameData[[#This Row],[PointOrder]]</f>
        <v>82.25</v>
      </c>
      <c r="AN40" s="8">
        <f ca="1">RANK(PlayerGameData[[#This Row],[PointTieBreak]],PlayerGameData[PointTieBreak],1)</f>
        <v>82</v>
      </c>
      <c r="AO40" s="8">
        <f ca="1">RANK(PlayerGameData[[#This Row],[REB]],PlayerGameData[REB],0)+PlayerGameData[[#This Row],[VisibleOrder]]</f>
        <v>5</v>
      </c>
      <c r="AP40" s="8">
        <f ca="1">IF(COUNTIF(PlayerGameData[REBOrder],PlayerGameData[[#This Row],[REBOrder]])&gt;1,PlayerGameData[[#This Row],[PointRank]]/100+PlayerGameData[[#This Row],[REBOrder]],PlayerGameData[[#This Row],[REBOrder]])</f>
        <v>5</v>
      </c>
      <c r="AQ40" s="8">
        <f ca="1">RANK(PlayerGameData[[#This Row],[REBTieBreak]],PlayerGameData[REBTieBreak],1)</f>
        <v>4</v>
      </c>
      <c r="AR40" s="8">
        <f ca="1">RANK(PlayerGameData[[#This Row],[AST]],PlayerGameData[AST],0)+PlayerGameData[[#This Row],[VisibleOrder]]</f>
        <v>69</v>
      </c>
      <c r="AS40" s="8">
        <f ca="1">IF(COUNTIF(PlayerGameData[ASTOrder],PlayerGameData[[#This Row],[ASTOrder]])&gt;1,PlayerGameData[[#This Row],[PointRank]]/100+PlayerGameData[[#This Row],[ASTOrder]],PlayerGameData[[#This Row],[ASTOrder]])</f>
        <v>69.819999999999993</v>
      </c>
      <c r="AT40" s="8">
        <f ca="1">RANK(PlayerGameData[[#This Row],[ASTTieBreak]],PlayerGameData[ASTTieBreak],1)</f>
        <v>86</v>
      </c>
      <c r="AU40" s="8">
        <f ca="1">RANK(PlayerGameData[[#This Row],[STL]],PlayerGameData[STL],0)+PlayerGameData[[#This Row],[VisibleOrder]]</f>
        <v>84</v>
      </c>
      <c r="AV40" s="8">
        <f ca="1">IF(COUNTIF(PlayerGameData[STLOrder],PlayerGameData[[#This Row],[STLOrder]])&gt;1,PlayerGameData[[#This Row],[PointRank]]/100+PlayerGameData[[#This Row],[STLOrder]],PlayerGameData[[#This Row],[STLOrder]])</f>
        <v>84.82</v>
      </c>
      <c r="AW40" s="8">
        <f ca="1">RANK(PlayerGameData[[#This Row],[STLTieBreak]],PlayerGameData[STLTieBreak],1)</f>
        <v>99</v>
      </c>
      <c r="AX40" s="8">
        <f ca="1">RANK(PlayerGameData[[#This Row],[BLK]],PlayerGameData[BLK],0)+PlayerGameData[[#This Row],[VisibleOrder]]</f>
        <v>32</v>
      </c>
      <c r="AY40" s="8">
        <f ca="1">IF(COUNTIF(PlayerGameData[BLKOrder],PlayerGameData[[#This Row],[BLKOrder]])&gt;1,PlayerGameData[[#This Row],[PointRank]]/100+PlayerGameData[[#This Row],[BLKOrder]],PlayerGameData[[#This Row],[BLKOrder]])</f>
        <v>32.82</v>
      </c>
      <c r="AZ40" s="8">
        <f ca="1">RANK(PlayerGameData[[#This Row],[BLKTieBreak]],PlayerGameData[BLKTieBreak],1)</f>
        <v>95</v>
      </c>
      <c r="BA40" s="11">
        <f ca="1">IFERROR(IF(PlayerGameData[[#This Row],[FGA]]&gt;$AA$5,PlayerGameData[[#This Row],[FG%*]],PlayerGameData[[#This Row],[FG%*]]*-1),-2)</f>
        <v>0.25</v>
      </c>
      <c r="BB40" s="8">
        <f ca="1">RANK(PlayerGameData[[#This Row],[EligFG]],PlayerGameData[EligFG],0)+PlayerGameData[[#This Row],[VisibleOrder]]</f>
        <v>98</v>
      </c>
      <c r="BC40" s="8">
        <f ca="1">IF(COUNTIF(PlayerGameData[EligFGOrder],PlayerGameData[[#This Row],[EligFGOrder]])&gt;1,PlayerGameData[[#This Row],[PointRank]]/100+PlayerGameData[[#This Row],[EligFGOrder]],PlayerGameData[[#This Row],[EligFGOrder]])</f>
        <v>98.82</v>
      </c>
      <c r="BD40" s="8">
        <f ca="1">RANK(PlayerGameData[[#This Row],[EligFGTieBreak]],PlayerGameData[EligFGTieBreak],1)</f>
        <v>99</v>
      </c>
      <c r="BE40" s="8" t="str">
        <f>Roster!$D$3</f>
        <v>East</v>
      </c>
      <c r="BF40" s="8" t="str">
        <f>Roster!$D$2</f>
        <v>Northeast</v>
      </c>
      <c r="BG40" s="8" t="str">
        <f>Roster!$D$4</f>
        <v>North</v>
      </c>
      <c r="BH40" s="197">
        <f ca="1">IFERROR(VLOOKUP(CONCATENATE(PlayerGameData[[#This Row],[Opponent]]," ",MONTH(PlayerGameData[[#This Row],[Date]]),"/",DAY(PlayerGameData[[#This Row],[Date]]),"/",YEAR(PlayerGameData[[#This Row],[Date]])),Table35[],2,FALSE),0)</f>
        <v>1</v>
      </c>
      <c r="BI40" s="197">
        <f ca="1">IF(PlayerGameData[[#This Row],[Visible]]=1,1,1000)</f>
        <v>1</v>
      </c>
      <c r="BJ40" s="197" t="e">
        <f ca="1">_xlfn.MAXIFS(TeamGameData[Win],TeamGameData[School, Opponent,Game'#],PlayerGameData[[#This Row],[School, Opponent,Game'#]])</f>
        <v>#NAME?</v>
      </c>
      <c r="BK40" s="197" t="e">
        <f ca="1">_xlfn.MAXIFS(TeamGameData[Loss],TeamGameData[School, Opponent,Game'#],PlayerGameData[[#This Row],[School, Opponent,Game'#]])</f>
        <v>#NAME?</v>
      </c>
    </row>
    <row r="41" spans="1:63" x14ac:dyDescent="0.25">
      <c r="A41" s="8" t="str">
        <f t="shared" ca="1" si="0"/>
        <v>Matt Stirmel, 33</v>
      </c>
      <c r="B41" s="8" t="str">
        <f>Roster!$B$1</f>
        <v>Upton</v>
      </c>
      <c r="C41" s="8" t="str">
        <f t="shared" ca="1" si="1"/>
        <v>Riverside</v>
      </c>
      <c r="D41" s="10">
        <f t="shared" ca="1" si="2"/>
        <v>44904</v>
      </c>
      <c r="E41" s="8">
        <f t="shared" ca="1" si="3"/>
        <v>1</v>
      </c>
      <c r="F41" s="8">
        <f t="shared" ca="1" si="4"/>
        <v>0</v>
      </c>
      <c r="G41" s="8">
        <f t="shared" ca="1" si="5"/>
        <v>2</v>
      </c>
      <c r="H41" s="8">
        <f t="shared" ca="1" si="6"/>
        <v>0</v>
      </c>
      <c r="I41" s="8">
        <f t="shared" ca="1" si="7"/>
        <v>0</v>
      </c>
      <c r="J41" s="8">
        <f t="shared" ca="1" si="8"/>
        <v>0</v>
      </c>
      <c r="K41" s="8">
        <f t="shared" ca="1" si="9"/>
        <v>0</v>
      </c>
      <c r="L41" s="8">
        <f t="shared" ca="1" si="10"/>
        <v>0</v>
      </c>
      <c r="M41" s="8">
        <f t="shared" ca="1" si="11"/>
        <v>0</v>
      </c>
      <c r="N41" s="8">
        <f t="shared" ca="1" si="12"/>
        <v>0</v>
      </c>
      <c r="O41" s="8">
        <f t="shared" ca="1" si="13"/>
        <v>0</v>
      </c>
      <c r="P41" s="8">
        <f t="shared" ca="1" si="14"/>
        <v>0</v>
      </c>
      <c r="Q41" s="8">
        <f t="shared" ca="1" si="15"/>
        <v>0</v>
      </c>
      <c r="R41" s="8">
        <f t="shared" ca="1" si="16"/>
        <v>0</v>
      </c>
      <c r="S41" s="8">
        <f t="shared" ca="1" si="17"/>
        <v>1</v>
      </c>
      <c r="T41" s="8">
        <f t="shared" ca="1" si="18"/>
        <v>1</v>
      </c>
      <c r="U41" s="8">
        <f t="shared" ca="1" si="19"/>
        <v>0</v>
      </c>
      <c r="V41" s="8">
        <f t="shared" ca="1" si="20"/>
        <v>0</v>
      </c>
      <c r="W41" s="11" t="str">
        <f t="shared" ca="1" si="21"/>
        <v/>
      </c>
      <c r="X41" s="11" t="str">
        <f t="shared" ca="1" si="22"/>
        <v/>
      </c>
      <c r="Y41" s="11" t="str">
        <f t="shared" ca="1" si="23"/>
        <v/>
      </c>
      <c r="Z41" s="11" t="str">
        <f t="shared" ca="1" si="24"/>
        <v/>
      </c>
      <c r="AA41" s="11" t="str">
        <f t="shared" ca="1" si="25"/>
        <v/>
      </c>
      <c r="AB41" s="47">
        <f ca="1">PlayerGameData[[#This Row],[3FGA]]+PlayerGameData[[#This Row],[2FGA]]</f>
        <v>0</v>
      </c>
      <c r="AC41" s="47">
        <f ca="1">PlayerGameData[[#This Row],[OFF REB]]+PlayerGameData[[#This Row],[DEF REB]]</f>
        <v>0</v>
      </c>
      <c r="AD41" s="8">
        <f t="shared" si="26"/>
        <v>2</v>
      </c>
      <c r="AE41" s="8" t="str">
        <f t="shared" ca="1" si="27"/>
        <v>Matt Stirmel, 33 - Riverside 12/9/2022</v>
      </c>
      <c r="AF41" s="8" t="str">
        <f t="shared" ca="1" si="28"/>
        <v/>
      </c>
      <c r="AG41" s="8" t="str">
        <f ca="1">IFERROR(IF(C41=0,"",IF(AND(VLOOKUP(PlayerGameData[[#This Row],[Opponent]],WYTeamInfo,2,FALSE)=Roster!$D$1,VLOOKUP(PlayerGameData[[#This Row],[Opponent]],WYTeamInfo,3,FALSE)=Roster!$D$2),"SR","")),"")</f>
        <v/>
      </c>
      <c r="AH41" s="8" t="str">
        <f>CONCATENATE(Roster!$D$1," ",Roster!$D$5)</f>
        <v>1A BB</v>
      </c>
      <c r="AI41" s="8" t="str">
        <f t="shared" ca="1" si="29"/>
        <v>Upton - Riverside 12/9/2022</v>
      </c>
      <c r="AJ41" s="8">
        <f ca="1">IFERROR(VLOOKUP(PlayerGameData[[#This Row],[School, Opponent,Game'#]],Table3[],2,FALSE),0)</f>
        <v>1</v>
      </c>
      <c r="AK41" s="8">
        <f ca="1">IF(PlayerGameData[[#This Row],[Visible]]=1,1,1000)</f>
        <v>1</v>
      </c>
      <c r="AL41" s="8">
        <f ca="1">RANK(PlayerGameData[[#This Row],[TL PTS]],PlayerGameData[TL PTS],0)+PlayerGameData[[#This Row],[VisibleOrder]]</f>
        <v>185</v>
      </c>
      <c r="AM41" s="8">
        <f ca="1">IF(COUNTIF(PlayerGameData[PointOrder],PlayerGameData[[#This Row],[PointOrder]])&gt;1,RANK(PlayerGameData[[#This Row],[FGA]],PlayerGameData[FGA],0)/100,0)+PlayerGameData[[#This Row],[PointOrder]]</f>
        <v>187.14</v>
      </c>
      <c r="AN41" s="8">
        <f ca="1">RANK(PlayerGameData[[#This Row],[PointTieBreak]],PlayerGameData[PointTieBreak],1)</f>
        <v>216</v>
      </c>
      <c r="AO41" s="8">
        <f ca="1">RANK(PlayerGameData[[#This Row],[REB]],PlayerGameData[REB],0)+PlayerGameData[[#This Row],[VisibleOrder]]</f>
        <v>192</v>
      </c>
      <c r="AP41" s="8">
        <f ca="1">IF(COUNTIF(PlayerGameData[REBOrder],PlayerGameData[[#This Row],[REBOrder]])&gt;1,PlayerGameData[[#This Row],[PointRank]]/100+PlayerGameData[[#This Row],[REBOrder]],PlayerGameData[[#This Row],[REBOrder]])</f>
        <v>194.16</v>
      </c>
      <c r="AQ41" s="8">
        <f ca="1">RANK(PlayerGameData[[#This Row],[REBTieBreak]],PlayerGameData[REBTieBreak],1)</f>
        <v>224</v>
      </c>
      <c r="AR41" s="8">
        <f ca="1">RANK(PlayerGameData[[#This Row],[AST]],PlayerGameData[AST],0)+PlayerGameData[[#This Row],[VisibleOrder]]</f>
        <v>158</v>
      </c>
      <c r="AS41" s="8">
        <f ca="1">IF(COUNTIF(PlayerGameData[ASTOrder],PlayerGameData[[#This Row],[ASTOrder]])&gt;1,PlayerGameData[[#This Row],[PointRank]]/100+PlayerGameData[[#This Row],[ASTOrder]],PlayerGameData[[#This Row],[ASTOrder]])</f>
        <v>160.16</v>
      </c>
      <c r="AT41" s="8">
        <f ca="1">RANK(PlayerGameData[[#This Row],[ASTTieBreak]],PlayerGameData[ASTTieBreak],1)</f>
        <v>221</v>
      </c>
      <c r="AU41" s="8">
        <f ca="1">RANK(PlayerGameData[[#This Row],[STL]],PlayerGameData[STL],0)+PlayerGameData[[#This Row],[VisibleOrder]]</f>
        <v>143</v>
      </c>
      <c r="AV41" s="8">
        <f ca="1">IF(COUNTIF(PlayerGameData[STLOrder],PlayerGameData[[#This Row],[STLOrder]])&gt;1,PlayerGameData[[#This Row],[PointRank]]/100+PlayerGameData[[#This Row],[STLOrder]],PlayerGameData[[#This Row],[STLOrder]])</f>
        <v>145.16</v>
      </c>
      <c r="AW41" s="8">
        <f ca="1">RANK(PlayerGameData[[#This Row],[STLTieBreak]],PlayerGameData[STLTieBreak],1)</f>
        <v>217</v>
      </c>
      <c r="AX41" s="8">
        <f ca="1">RANK(PlayerGameData[[#This Row],[BLK]],PlayerGameData[BLK],0)+PlayerGameData[[#This Row],[VisibleOrder]]</f>
        <v>32</v>
      </c>
      <c r="AY41" s="8">
        <f ca="1">IF(COUNTIF(PlayerGameData[BLKOrder],PlayerGameData[[#This Row],[BLKOrder]])&gt;1,PlayerGameData[[#This Row],[PointRank]]/100+PlayerGameData[[#This Row],[BLKOrder]],PlayerGameData[[#This Row],[BLKOrder]])</f>
        <v>34.159999999999997</v>
      </c>
      <c r="AZ41" s="8">
        <f ca="1">RANK(PlayerGameData[[#This Row],[BLKTieBreak]],PlayerGameData[BLKTieBreak],1)</f>
        <v>216</v>
      </c>
      <c r="BA41" s="11">
        <f ca="1">IFERROR(IF(PlayerGameData[[#This Row],[FGA]]&gt;$AA$5,PlayerGameData[[#This Row],[FG%*]],PlayerGameData[[#This Row],[FG%*]]*-1),-2)</f>
        <v>-2</v>
      </c>
      <c r="BB41" s="8">
        <f ca="1">RANK(PlayerGameData[[#This Row],[EligFG]],PlayerGameData[EligFG],0)+PlayerGameData[[#This Row],[VisibleOrder]]</f>
        <v>215</v>
      </c>
      <c r="BC41" s="8">
        <f ca="1">IF(COUNTIF(PlayerGameData[EligFGOrder],PlayerGameData[[#This Row],[EligFGOrder]])&gt;1,PlayerGameData[[#This Row],[PointRank]]/100+PlayerGameData[[#This Row],[EligFGOrder]],PlayerGameData[[#This Row],[EligFGOrder]])</f>
        <v>217.16</v>
      </c>
      <c r="BD41" s="8">
        <f ca="1">RANK(PlayerGameData[[#This Row],[EligFGTieBreak]],PlayerGameData[EligFGTieBreak],1)</f>
        <v>216</v>
      </c>
      <c r="BE41" s="8" t="str">
        <f>Roster!$D$3</f>
        <v>East</v>
      </c>
      <c r="BF41" s="8" t="str">
        <f>Roster!$D$2</f>
        <v>Northeast</v>
      </c>
      <c r="BG41" s="8" t="str">
        <f>Roster!$D$4</f>
        <v>North</v>
      </c>
      <c r="BH41" s="197">
        <f ca="1">IFERROR(VLOOKUP(CONCATENATE(PlayerGameData[[#This Row],[Opponent]]," ",MONTH(PlayerGameData[[#This Row],[Date]]),"/",DAY(PlayerGameData[[#This Row],[Date]]),"/",YEAR(PlayerGameData[[#This Row],[Date]])),Table35[],2,FALSE),0)</f>
        <v>1</v>
      </c>
      <c r="BI41" s="197">
        <f ca="1">IF(PlayerGameData[[#This Row],[Visible]]=1,1,1000)</f>
        <v>1</v>
      </c>
      <c r="BJ41" s="197" t="e">
        <f ca="1">_xlfn.MAXIFS(TeamGameData[Win],TeamGameData[School, Opponent,Game'#],PlayerGameData[[#This Row],[School, Opponent,Game'#]])</f>
        <v>#NAME?</v>
      </c>
      <c r="BK41" s="197" t="e">
        <f ca="1">_xlfn.MAXIFS(TeamGameData[Loss],TeamGameData[School, Opponent,Game'#],PlayerGameData[[#This Row],[School, Opponent,Game'#]])</f>
        <v>#NAME?</v>
      </c>
    </row>
    <row r="42" spans="1:63" x14ac:dyDescent="0.25">
      <c r="A42" s="8" t="str">
        <f t="shared" ca="1" si="0"/>
        <v>Jacob McNutt, 34</v>
      </c>
      <c r="B42" s="8" t="str">
        <f>Roster!$B$1</f>
        <v>Upton</v>
      </c>
      <c r="C42" s="8" t="str">
        <f t="shared" ca="1" si="1"/>
        <v>Riverside</v>
      </c>
      <c r="D42" s="10">
        <f t="shared" ca="1" si="2"/>
        <v>44904</v>
      </c>
      <c r="E42" s="8">
        <f t="shared" ca="1" si="3"/>
        <v>1</v>
      </c>
      <c r="F42" s="8">
        <f t="shared" ca="1" si="4"/>
        <v>0</v>
      </c>
      <c r="G42" s="8">
        <f t="shared" ca="1" si="5"/>
        <v>1</v>
      </c>
      <c r="H42" s="8">
        <f t="shared" ca="1" si="6"/>
        <v>0</v>
      </c>
      <c r="I42" s="8">
        <f t="shared" ca="1" si="7"/>
        <v>1</v>
      </c>
      <c r="J42" s="8">
        <f t="shared" ca="1" si="8"/>
        <v>0</v>
      </c>
      <c r="K42" s="8">
        <f t="shared" ca="1" si="9"/>
        <v>0</v>
      </c>
      <c r="L42" s="8">
        <f t="shared" ca="1" si="10"/>
        <v>0</v>
      </c>
      <c r="M42" s="8">
        <f t="shared" ca="1" si="11"/>
        <v>0</v>
      </c>
      <c r="N42" s="8">
        <f t="shared" ca="1" si="12"/>
        <v>0</v>
      </c>
      <c r="O42" s="8">
        <f t="shared" ca="1" si="13"/>
        <v>0</v>
      </c>
      <c r="P42" s="8">
        <f t="shared" ca="1" si="14"/>
        <v>0</v>
      </c>
      <c r="Q42" s="8">
        <f t="shared" ca="1" si="15"/>
        <v>0</v>
      </c>
      <c r="R42" s="8">
        <f t="shared" ca="1" si="16"/>
        <v>0</v>
      </c>
      <c r="S42" s="8">
        <f t="shared" ca="1" si="17"/>
        <v>0</v>
      </c>
      <c r="T42" s="8">
        <f t="shared" ca="1" si="18"/>
        <v>0</v>
      </c>
      <c r="U42" s="8">
        <f t="shared" ca="1" si="19"/>
        <v>0</v>
      </c>
      <c r="V42" s="8">
        <f t="shared" ca="1" si="20"/>
        <v>0</v>
      </c>
      <c r="W42" s="11">
        <f t="shared" ca="1" si="21"/>
        <v>0</v>
      </c>
      <c r="X42" s="11" t="str">
        <f t="shared" ca="1" si="22"/>
        <v/>
      </c>
      <c r="Y42" s="11" t="str">
        <f t="shared" ca="1" si="23"/>
        <v/>
      </c>
      <c r="Z42" s="11">
        <f t="shared" ca="1" si="24"/>
        <v>0</v>
      </c>
      <c r="AA42" s="11">
        <f t="shared" ca="1" si="25"/>
        <v>0</v>
      </c>
      <c r="AB42" s="47">
        <f ca="1">PlayerGameData[[#This Row],[3FGA]]+PlayerGameData[[#This Row],[2FGA]]</f>
        <v>1</v>
      </c>
      <c r="AC42" s="47">
        <f ca="1">PlayerGameData[[#This Row],[OFF REB]]+PlayerGameData[[#This Row],[DEF REB]]</f>
        <v>0</v>
      </c>
      <c r="AD42" s="8">
        <f t="shared" si="26"/>
        <v>2</v>
      </c>
      <c r="AE42" s="8" t="str">
        <f t="shared" ca="1" si="27"/>
        <v>Jacob McNutt, 34 - Riverside 12/9/2022</v>
      </c>
      <c r="AF42" s="8" t="str">
        <f t="shared" ca="1" si="28"/>
        <v/>
      </c>
      <c r="AG42" s="8" t="str">
        <f ca="1">IFERROR(IF(C42=0,"",IF(AND(VLOOKUP(PlayerGameData[[#This Row],[Opponent]],WYTeamInfo,2,FALSE)=Roster!$D$1,VLOOKUP(PlayerGameData[[#This Row],[Opponent]],WYTeamInfo,3,FALSE)=Roster!$D$2),"SR","")),"")</f>
        <v/>
      </c>
      <c r="AH42" s="8" t="str">
        <f>CONCATENATE(Roster!$D$1," ",Roster!$D$5)</f>
        <v>1A BB</v>
      </c>
      <c r="AI42" s="8" t="str">
        <f t="shared" ca="1" si="29"/>
        <v>Upton - Riverside 12/9/2022</v>
      </c>
      <c r="AJ42" s="8">
        <f ca="1">IFERROR(VLOOKUP(PlayerGameData[[#This Row],[School, Opponent,Game'#]],Table3[],2,FALSE),0)</f>
        <v>1</v>
      </c>
      <c r="AK42" s="8">
        <f ca="1">IF(PlayerGameData[[#This Row],[Visible]]=1,1,1000)</f>
        <v>1</v>
      </c>
      <c r="AL42" s="8">
        <f ca="1">RANK(PlayerGameData[[#This Row],[TL PTS]],PlayerGameData[TL PTS],0)+PlayerGameData[[#This Row],[VisibleOrder]]</f>
        <v>185</v>
      </c>
      <c r="AM42" s="8">
        <f ca="1">IF(COUNTIF(PlayerGameData[PointOrder],PlayerGameData[[#This Row],[PointOrder]])&gt;1,RANK(PlayerGameData[[#This Row],[FGA]],PlayerGameData[FGA],0)/100,0)+PlayerGameData[[#This Row],[PointOrder]]</f>
        <v>186.82</v>
      </c>
      <c r="AN42" s="8">
        <f ca="1">RANK(PlayerGameData[[#This Row],[PointTieBreak]],PlayerGameData[PointTieBreak],1)</f>
        <v>196</v>
      </c>
      <c r="AO42" s="8">
        <f ca="1">RANK(PlayerGameData[[#This Row],[REB]],PlayerGameData[REB],0)+PlayerGameData[[#This Row],[VisibleOrder]]</f>
        <v>192</v>
      </c>
      <c r="AP42" s="8">
        <f ca="1">IF(COUNTIF(PlayerGameData[REBOrder],PlayerGameData[[#This Row],[REBOrder]])&gt;1,PlayerGameData[[#This Row],[PointRank]]/100+PlayerGameData[[#This Row],[REBOrder]],PlayerGameData[[#This Row],[REBOrder]])</f>
        <v>193.96</v>
      </c>
      <c r="AQ42" s="8">
        <f ca="1">RANK(PlayerGameData[[#This Row],[REBTieBreak]],PlayerGameData[REBTieBreak],1)</f>
        <v>213</v>
      </c>
      <c r="AR42" s="8">
        <f ca="1">RANK(PlayerGameData[[#This Row],[AST]],PlayerGameData[AST],0)+PlayerGameData[[#This Row],[VisibleOrder]]</f>
        <v>158</v>
      </c>
      <c r="AS42" s="8">
        <f ca="1">IF(COUNTIF(PlayerGameData[ASTOrder],PlayerGameData[[#This Row],[ASTOrder]])&gt;1,PlayerGameData[[#This Row],[PointRank]]/100+PlayerGameData[[#This Row],[ASTOrder]],PlayerGameData[[#This Row],[ASTOrder]])</f>
        <v>159.96</v>
      </c>
      <c r="AT42" s="8">
        <f ca="1">RANK(PlayerGameData[[#This Row],[ASTTieBreak]],PlayerGameData[ASTTieBreak],1)</f>
        <v>208</v>
      </c>
      <c r="AU42" s="8">
        <f ca="1">RANK(PlayerGameData[[#This Row],[STL]],PlayerGameData[STL],0)+PlayerGameData[[#This Row],[VisibleOrder]]</f>
        <v>143</v>
      </c>
      <c r="AV42" s="8">
        <f ca="1">IF(COUNTIF(PlayerGameData[STLOrder],PlayerGameData[[#This Row],[STLOrder]])&gt;1,PlayerGameData[[#This Row],[PointRank]]/100+PlayerGameData[[#This Row],[STLOrder]],PlayerGameData[[#This Row],[STLOrder]])</f>
        <v>144.96</v>
      </c>
      <c r="AW42" s="8">
        <f ca="1">RANK(PlayerGameData[[#This Row],[STLTieBreak]],PlayerGameData[STLTieBreak],1)</f>
        <v>200</v>
      </c>
      <c r="AX42" s="8">
        <f ca="1">RANK(PlayerGameData[[#This Row],[BLK]],PlayerGameData[BLK],0)+PlayerGameData[[#This Row],[VisibleOrder]]</f>
        <v>32</v>
      </c>
      <c r="AY42" s="8">
        <f ca="1">IF(COUNTIF(PlayerGameData[BLKOrder],PlayerGameData[[#This Row],[BLKOrder]])&gt;1,PlayerGameData[[#This Row],[PointRank]]/100+PlayerGameData[[#This Row],[BLKOrder]],PlayerGameData[[#This Row],[BLKOrder]])</f>
        <v>33.96</v>
      </c>
      <c r="AZ42" s="8">
        <f ca="1">RANK(PlayerGameData[[#This Row],[BLKTieBreak]],PlayerGameData[BLKTieBreak],1)</f>
        <v>196</v>
      </c>
      <c r="BA42" s="11">
        <f ca="1">IFERROR(IF(PlayerGameData[[#This Row],[FGA]]&gt;$AA$5,PlayerGameData[[#This Row],[FG%*]],PlayerGameData[[#This Row],[FG%*]]*-1),-2)</f>
        <v>0</v>
      </c>
      <c r="BB42" s="8">
        <f ca="1">RANK(PlayerGameData[[#This Row],[EligFG]],PlayerGameData[EligFG],0)+PlayerGameData[[#This Row],[VisibleOrder]]</f>
        <v>117</v>
      </c>
      <c r="BC42" s="8">
        <f ca="1">IF(COUNTIF(PlayerGameData[EligFGOrder],PlayerGameData[[#This Row],[EligFGOrder]])&gt;1,PlayerGameData[[#This Row],[PointRank]]/100+PlayerGameData[[#This Row],[EligFGOrder]],PlayerGameData[[#This Row],[EligFGOrder]])</f>
        <v>118.96</v>
      </c>
      <c r="BD42" s="8">
        <f ca="1">RANK(PlayerGameData[[#This Row],[EligFGTieBreak]],PlayerGameData[EligFGTieBreak],1)</f>
        <v>138</v>
      </c>
      <c r="BE42" s="8" t="str">
        <f>Roster!$D$3</f>
        <v>East</v>
      </c>
      <c r="BF42" s="8" t="str">
        <f>Roster!$D$2</f>
        <v>Northeast</v>
      </c>
      <c r="BG42" s="8" t="str">
        <f>Roster!$D$4</f>
        <v>North</v>
      </c>
      <c r="BH42" s="197">
        <f ca="1">IFERROR(VLOOKUP(CONCATENATE(PlayerGameData[[#This Row],[Opponent]]," ",MONTH(PlayerGameData[[#This Row],[Date]]),"/",DAY(PlayerGameData[[#This Row],[Date]]),"/",YEAR(PlayerGameData[[#This Row],[Date]])),Table35[],2,FALSE),0)</f>
        <v>1</v>
      </c>
      <c r="BI42" s="197">
        <f ca="1">IF(PlayerGameData[[#This Row],[Visible]]=1,1,1000)</f>
        <v>1</v>
      </c>
      <c r="BJ42" s="197" t="e">
        <f ca="1">_xlfn.MAXIFS(TeamGameData[Win],TeamGameData[School, Opponent,Game'#],PlayerGameData[[#This Row],[School, Opponent,Game'#]])</f>
        <v>#NAME?</v>
      </c>
      <c r="BK42" s="197" t="e">
        <f ca="1">_xlfn.MAXIFS(TeamGameData[Loss],TeamGameData[School, Opponent,Game'#],PlayerGameData[[#This Row],[School, Opponent,Game'#]])</f>
        <v>#NAME?</v>
      </c>
    </row>
    <row r="43" spans="1:63" x14ac:dyDescent="0.25">
      <c r="A43" s="8" t="str">
        <f t="shared" ca="1" si="0"/>
        <v>Ryan Baker, 35</v>
      </c>
      <c r="B43" s="8" t="str">
        <f>Roster!$B$1</f>
        <v>Upton</v>
      </c>
      <c r="C43" s="8" t="str">
        <f t="shared" ca="1" si="1"/>
        <v>Riverside</v>
      </c>
      <c r="D43" s="10">
        <f t="shared" ca="1" si="2"/>
        <v>44904</v>
      </c>
      <c r="E43" s="8">
        <f t="shared" ca="1" si="3"/>
        <v>1</v>
      </c>
      <c r="F43" s="8">
        <f t="shared" ca="1" si="4"/>
        <v>0</v>
      </c>
      <c r="G43" s="8">
        <f t="shared" ca="1" si="5"/>
        <v>8</v>
      </c>
      <c r="H43" s="8">
        <f t="shared" ca="1" si="6"/>
        <v>0</v>
      </c>
      <c r="I43" s="8">
        <f t="shared" ca="1" si="7"/>
        <v>0</v>
      </c>
      <c r="J43" s="8">
        <f t="shared" ca="1" si="8"/>
        <v>2</v>
      </c>
      <c r="K43" s="8">
        <f t="shared" ca="1" si="9"/>
        <v>2</v>
      </c>
      <c r="L43" s="8">
        <f t="shared" ca="1" si="10"/>
        <v>1</v>
      </c>
      <c r="M43" s="8">
        <f t="shared" ca="1" si="11"/>
        <v>2</v>
      </c>
      <c r="N43" s="8">
        <f t="shared" ca="1" si="12"/>
        <v>1</v>
      </c>
      <c r="O43" s="8">
        <f t="shared" ca="1" si="13"/>
        <v>3</v>
      </c>
      <c r="P43" s="8">
        <f t="shared" ca="1" si="14"/>
        <v>0</v>
      </c>
      <c r="Q43" s="8">
        <f t="shared" ca="1" si="15"/>
        <v>1</v>
      </c>
      <c r="R43" s="8">
        <f t="shared" ca="1" si="16"/>
        <v>0</v>
      </c>
      <c r="S43" s="8">
        <f t="shared" ca="1" si="17"/>
        <v>0</v>
      </c>
      <c r="T43" s="8">
        <f t="shared" ca="1" si="18"/>
        <v>0</v>
      </c>
      <c r="U43" s="8">
        <f t="shared" ca="1" si="19"/>
        <v>0</v>
      </c>
      <c r="V43" s="8">
        <f t="shared" ca="1" si="20"/>
        <v>5</v>
      </c>
      <c r="W43" s="11" t="str">
        <f t="shared" ca="1" si="21"/>
        <v/>
      </c>
      <c r="X43" s="11">
        <f t="shared" ca="1" si="22"/>
        <v>1</v>
      </c>
      <c r="Y43" s="11">
        <f t="shared" ca="1" si="23"/>
        <v>0.5</v>
      </c>
      <c r="Z43" s="11">
        <f t="shared" ca="1" si="24"/>
        <v>1</v>
      </c>
      <c r="AA43" s="11">
        <f t="shared" ca="1" si="25"/>
        <v>1</v>
      </c>
      <c r="AB43" s="47">
        <f ca="1">PlayerGameData[[#This Row],[3FGA]]+PlayerGameData[[#This Row],[2FGA]]</f>
        <v>2</v>
      </c>
      <c r="AC43" s="47">
        <f ca="1">PlayerGameData[[#This Row],[OFF REB]]+PlayerGameData[[#This Row],[DEF REB]]</f>
        <v>4</v>
      </c>
      <c r="AD43" s="8">
        <f t="shared" si="26"/>
        <v>2</v>
      </c>
      <c r="AE43" s="8" t="str">
        <f t="shared" ca="1" si="27"/>
        <v>Ryan Baker, 35 - Riverside 12/9/2022</v>
      </c>
      <c r="AF43" s="8" t="str">
        <f t="shared" ca="1" si="28"/>
        <v/>
      </c>
      <c r="AG43" s="8" t="str">
        <f ca="1">IFERROR(IF(C43=0,"",IF(AND(VLOOKUP(PlayerGameData[[#This Row],[Opponent]],WYTeamInfo,2,FALSE)=Roster!$D$1,VLOOKUP(PlayerGameData[[#This Row],[Opponent]],WYTeamInfo,3,FALSE)=Roster!$D$2),"SR","")),"")</f>
        <v/>
      </c>
      <c r="AH43" s="8" t="str">
        <f>CONCATENATE(Roster!$D$1," ",Roster!$D$5)</f>
        <v>1A BB</v>
      </c>
      <c r="AI43" s="8" t="str">
        <f t="shared" ca="1" si="29"/>
        <v>Upton - Riverside 12/9/2022</v>
      </c>
      <c r="AJ43" s="8">
        <f ca="1">IFERROR(VLOOKUP(PlayerGameData[[#This Row],[School, Opponent,Game'#]],Table3[],2,FALSE),0)</f>
        <v>1</v>
      </c>
      <c r="AK43" s="8">
        <f ca="1">IF(PlayerGameData[[#This Row],[Visible]]=1,1,1000)</f>
        <v>1</v>
      </c>
      <c r="AL43" s="8">
        <f ca="1">RANK(PlayerGameData[[#This Row],[TL PTS]],PlayerGameData[TL PTS],0)+PlayerGameData[[#This Row],[VisibleOrder]]</f>
        <v>110</v>
      </c>
      <c r="AM43" s="8">
        <f ca="1">IF(COUNTIF(PlayerGameData[PointOrder],PlayerGameData[[#This Row],[PointOrder]])&gt;1,RANK(PlayerGameData[[#This Row],[FGA]],PlayerGameData[FGA],0)/100,0)+PlayerGameData[[#This Row],[PointOrder]]</f>
        <v>111.61</v>
      </c>
      <c r="AN43" s="8">
        <f ca="1">RANK(PlayerGameData[[#This Row],[PointTieBreak]],PlayerGameData[PointTieBreak],1)</f>
        <v>116</v>
      </c>
      <c r="AO43" s="8">
        <f ca="1">RANK(PlayerGameData[[#This Row],[REB]],PlayerGameData[REB],0)+PlayerGameData[[#This Row],[VisibleOrder]]</f>
        <v>79</v>
      </c>
      <c r="AP43" s="8">
        <f ca="1">IF(COUNTIF(PlayerGameData[REBOrder],PlayerGameData[[#This Row],[REBOrder]])&gt;1,PlayerGameData[[#This Row],[PointRank]]/100+PlayerGameData[[#This Row],[REBOrder]],PlayerGameData[[#This Row],[REBOrder]])</f>
        <v>80.16</v>
      </c>
      <c r="AQ43" s="8">
        <f ca="1">RANK(PlayerGameData[[#This Row],[REBTieBreak]],PlayerGameData[REBTieBreak],1)</f>
        <v>99</v>
      </c>
      <c r="AR43" s="8">
        <f ca="1">RANK(PlayerGameData[[#This Row],[AST]],PlayerGameData[AST],0)+PlayerGameData[[#This Row],[VisibleOrder]]</f>
        <v>158</v>
      </c>
      <c r="AS43" s="8">
        <f ca="1">IF(COUNTIF(PlayerGameData[ASTOrder],PlayerGameData[[#This Row],[ASTOrder]])&gt;1,PlayerGameData[[#This Row],[PointRank]]/100+PlayerGameData[[#This Row],[ASTOrder]],PlayerGameData[[#This Row],[ASTOrder]])</f>
        <v>159.16</v>
      </c>
      <c r="AT43" s="8">
        <f ca="1">RANK(PlayerGameData[[#This Row],[ASTTieBreak]],PlayerGameData[ASTTieBreak],1)</f>
        <v>169</v>
      </c>
      <c r="AU43" s="8">
        <f ca="1">RANK(PlayerGameData[[#This Row],[STL]],PlayerGameData[STL],0)+PlayerGameData[[#This Row],[VisibleOrder]]</f>
        <v>84</v>
      </c>
      <c r="AV43" s="8">
        <f ca="1">IF(COUNTIF(PlayerGameData[STLOrder],PlayerGameData[[#This Row],[STLOrder]])&gt;1,PlayerGameData[[#This Row],[PointRank]]/100+PlayerGameData[[#This Row],[STLOrder]],PlayerGameData[[#This Row],[STLOrder]])</f>
        <v>85.16</v>
      </c>
      <c r="AW43" s="8">
        <f ca="1">RANK(PlayerGameData[[#This Row],[STLTieBreak]],PlayerGameData[STLTieBreak],1)</f>
        <v>114</v>
      </c>
      <c r="AX43" s="8">
        <f ca="1">RANK(PlayerGameData[[#This Row],[BLK]],PlayerGameData[BLK],0)+PlayerGameData[[#This Row],[VisibleOrder]]</f>
        <v>32</v>
      </c>
      <c r="AY43" s="8">
        <f ca="1">IF(COUNTIF(PlayerGameData[BLKOrder],PlayerGameData[[#This Row],[BLKOrder]])&gt;1,PlayerGameData[[#This Row],[PointRank]]/100+PlayerGameData[[#This Row],[BLKOrder]],PlayerGameData[[#This Row],[BLKOrder]])</f>
        <v>33.159999999999997</v>
      </c>
      <c r="AZ43" s="8">
        <f ca="1">RANK(PlayerGameData[[#This Row],[BLKTieBreak]],PlayerGameData[BLKTieBreak],1)</f>
        <v>121</v>
      </c>
      <c r="BA43" s="11">
        <f ca="1">IFERROR(IF(PlayerGameData[[#This Row],[FGA]]&gt;$AA$5,PlayerGameData[[#This Row],[FG%*]],PlayerGameData[[#This Row],[FG%*]]*-1),-2)</f>
        <v>-1</v>
      </c>
      <c r="BB43" s="8">
        <f ca="1">RANK(PlayerGameData[[#This Row],[EligFG]],PlayerGameData[EligFG],0)+PlayerGameData[[#This Row],[VisibleOrder]]</f>
        <v>203</v>
      </c>
      <c r="BC43" s="8">
        <f ca="1">IF(COUNTIF(PlayerGameData[EligFGOrder],PlayerGameData[[#This Row],[EligFGOrder]])&gt;1,PlayerGameData[[#This Row],[PointRank]]/100+PlayerGameData[[#This Row],[EligFGOrder]],PlayerGameData[[#This Row],[EligFGOrder]])</f>
        <v>204.16</v>
      </c>
      <c r="BD43" s="8">
        <f ca="1">RANK(PlayerGameData[[#This Row],[EligFGTieBreak]],PlayerGameData[EligFGTieBreak],1)</f>
        <v>203</v>
      </c>
      <c r="BE43" s="8" t="str">
        <f>Roster!$D$3</f>
        <v>East</v>
      </c>
      <c r="BF43" s="8" t="str">
        <f>Roster!$D$2</f>
        <v>Northeast</v>
      </c>
      <c r="BG43" s="8" t="str">
        <f>Roster!$D$4</f>
        <v>North</v>
      </c>
      <c r="BH43" s="197">
        <f ca="1">IFERROR(VLOOKUP(CONCATENATE(PlayerGameData[[#This Row],[Opponent]]," ",MONTH(PlayerGameData[[#This Row],[Date]]),"/",DAY(PlayerGameData[[#This Row],[Date]]),"/",YEAR(PlayerGameData[[#This Row],[Date]])),Table35[],2,FALSE),0)</f>
        <v>1</v>
      </c>
      <c r="BI43" s="197">
        <f ca="1">IF(PlayerGameData[[#This Row],[Visible]]=1,1,1000)</f>
        <v>1</v>
      </c>
      <c r="BJ43" s="197" t="e">
        <f ca="1">_xlfn.MAXIFS(TeamGameData[Win],TeamGameData[School, Opponent,Game'#],PlayerGameData[[#This Row],[School, Opponent,Game'#]])</f>
        <v>#NAME?</v>
      </c>
      <c r="BK43" s="197" t="e">
        <f ca="1">_xlfn.MAXIFS(TeamGameData[Loss],TeamGameData[School, Opponent,Game'#],PlayerGameData[[#This Row],[School, Opponent,Game'#]])</f>
        <v>#NAME?</v>
      </c>
    </row>
    <row r="44" spans="1:63" x14ac:dyDescent="0.25">
      <c r="A44" s="8" t="str">
        <f t="shared" ca="1" si="0"/>
        <v xml:space="preserve">, </v>
      </c>
      <c r="B44" s="8" t="str">
        <f>Roster!$B$1</f>
        <v>Upton</v>
      </c>
      <c r="C44" s="8" t="str">
        <f t="shared" ca="1" si="1"/>
        <v>Riverside</v>
      </c>
      <c r="D44" s="10">
        <f t="shared" ca="1" si="2"/>
        <v>44904</v>
      </c>
      <c r="E44" s="8">
        <f t="shared" ca="1" si="3"/>
        <v>0</v>
      </c>
      <c r="F44" s="8">
        <f t="shared" ca="1" si="4"/>
        <v>0</v>
      </c>
      <c r="G44" s="8">
        <f t="shared" ca="1" si="5"/>
        <v>0</v>
      </c>
      <c r="H44" s="8">
        <f t="shared" ca="1" si="6"/>
        <v>0</v>
      </c>
      <c r="I44" s="8">
        <f t="shared" ca="1" si="7"/>
        <v>0</v>
      </c>
      <c r="J44" s="8">
        <f t="shared" ca="1" si="8"/>
        <v>0</v>
      </c>
      <c r="K44" s="8">
        <f t="shared" ca="1" si="9"/>
        <v>0</v>
      </c>
      <c r="L44" s="8">
        <f t="shared" ca="1" si="10"/>
        <v>0</v>
      </c>
      <c r="M44" s="8">
        <f t="shared" ca="1" si="11"/>
        <v>0</v>
      </c>
      <c r="N44" s="8">
        <f t="shared" ca="1" si="12"/>
        <v>0</v>
      </c>
      <c r="O44" s="8">
        <f t="shared" ca="1" si="13"/>
        <v>0</v>
      </c>
      <c r="P44" s="8">
        <f t="shared" ca="1" si="14"/>
        <v>0</v>
      </c>
      <c r="Q44" s="8">
        <f t="shared" ca="1" si="15"/>
        <v>0</v>
      </c>
      <c r="R44" s="8">
        <f t="shared" ca="1" si="16"/>
        <v>0</v>
      </c>
      <c r="S44" s="8">
        <f t="shared" ca="1" si="17"/>
        <v>0</v>
      </c>
      <c r="T44" s="8">
        <f t="shared" ca="1" si="18"/>
        <v>0</v>
      </c>
      <c r="U44" s="8">
        <f t="shared" ca="1" si="19"/>
        <v>0</v>
      </c>
      <c r="V44" s="8">
        <f t="shared" ca="1" si="20"/>
        <v>0</v>
      </c>
      <c r="W44" s="11" t="str">
        <f t="shared" ca="1" si="21"/>
        <v/>
      </c>
      <c r="X44" s="11" t="str">
        <f t="shared" ca="1" si="22"/>
        <v/>
      </c>
      <c r="Y44" s="11" t="str">
        <f t="shared" ca="1" si="23"/>
        <v/>
      </c>
      <c r="Z44" s="11" t="str">
        <f t="shared" ca="1" si="24"/>
        <v/>
      </c>
      <c r="AA44" s="11" t="str">
        <f t="shared" ca="1" si="25"/>
        <v/>
      </c>
      <c r="AB44" s="47">
        <f ca="1">PlayerGameData[[#This Row],[3FGA]]+PlayerGameData[[#This Row],[2FGA]]</f>
        <v>0</v>
      </c>
      <c r="AC44" s="47">
        <f ca="1">PlayerGameData[[#This Row],[OFF REB]]+PlayerGameData[[#This Row],[DEF REB]]</f>
        <v>0</v>
      </c>
      <c r="AD44" s="8">
        <f t="shared" si="26"/>
        <v>2</v>
      </c>
      <c r="AE44" s="8" t="str">
        <f t="shared" ca="1" si="27"/>
        <v>,  - Riverside 12/9/2022</v>
      </c>
      <c r="AF44" s="8" t="str">
        <f t="shared" ca="1" si="28"/>
        <v/>
      </c>
      <c r="AG44" s="8" t="str">
        <f ca="1">IFERROR(IF(C44=0,"",IF(AND(VLOOKUP(PlayerGameData[[#This Row],[Opponent]],WYTeamInfo,2,FALSE)=Roster!$D$1,VLOOKUP(PlayerGameData[[#This Row],[Opponent]],WYTeamInfo,3,FALSE)=Roster!$D$2),"SR","")),"")</f>
        <v/>
      </c>
      <c r="AH44" s="8" t="str">
        <f>CONCATENATE(Roster!$D$1," ",Roster!$D$5)</f>
        <v>1A BB</v>
      </c>
      <c r="AI44" s="8" t="str">
        <f t="shared" ca="1" si="29"/>
        <v>Upton - Riverside 12/9/2022</v>
      </c>
      <c r="AJ44" s="8">
        <f ca="1">IFERROR(VLOOKUP(PlayerGameData[[#This Row],[School, Opponent,Game'#]],Table3[],2,FALSE),0)</f>
        <v>1</v>
      </c>
      <c r="AK44" s="8">
        <f ca="1">IF(PlayerGameData[[#This Row],[Visible]]=1,1,1000)</f>
        <v>1</v>
      </c>
      <c r="AL44" s="8">
        <f ca="1">RANK(PlayerGameData[[#This Row],[TL PTS]],PlayerGameData[TL PTS],0)+PlayerGameData[[#This Row],[VisibleOrder]]</f>
        <v>185</v>
      </c>
      <c r="AM44" s="8">
        <f ca="1">IF(COUNTIF(PlayerGameData[PointOrder],PlayerGameData[[#This Row],[PointOrder]])&gt;1,RANK(PlayerGameData[[#This Row],[FGA]],PlayerGameData[FGA],0)/100,0)+PlayerGameData[[#This Row],[PointOrder]]</f>
        <v>187.14</v>
      </c>
      <c r="AN44" s="8">
        <f ca="1">RANK(PlayerGameData[[#This Row],[PointTieBreak]],PlayerGameData[PointTieBreak],1)</f>
        <v>216</v>
      </c>
      <c r="AO44" s="8">
        <f ca="1">RANK(PlayerGameData[[#This Row],[REB]],PlayerGameData[REB],0)+PlayerGameData[[#This Row],[VisibleOrder]]</f>
        <v>192</v>
      </c>
      <c r="AP44" s="8">
        <f ca="1">IF(COUNTIF(PlayerGameData[REBOrder],PlayerGameData[[#This Row],[REBOrder]])&gt;1,PlayerGameData[[#This Row],[PointRank]]/100+PlayerGameData[[#This Row],[REBOrder]],PlayerGameData[[#This Row],[REBOrder]])</f>
        <v>194.16</v>
      </c>
      <c r="AQ44" s="8">
        <f ca="1">RANK(PlayerGameData[[#This Row],[REBTieBreak]],PlayerGameData[REBTieBreak],1)</f>
        <v>224</v>
      </c>
      <c r="AR44" s="8">
        <f ca="1">RANK(PlayerGameData[[#This Row],[AST]],PlayerGameData[AST],0)+PlayerGameData[[#This Row],[VisibleOrder]]</f>
        <v>158</v>
      </c>
      <c r="AS44" s="8">
        <f ca="1">IF(COUNTIF(PlayerGameData[ASTOrder],PlayerGameData[[#This Row],[ASTOrder]])&gt;1,PlayerGameData[[#This Row],[PointRank]]/100+PlayerGameData[[#This Row],[ASTOrder]],PlayerGameData[[#This Row],[ASTOrder]])</f>
        <v>160.16</v>
      </c>
      <c r="AT44" s="8">
        <f ca="1">RANK(PlayerGameData[[#This Row],[ASTTieBreak]],PlayerGameData[ASTTieBreak],1)</f>
        <v>221</v>
      </c>
      <c r="AU44" s="8">
        <f ca="1">RANK(PlayerGameData[[#This Row],[STL]],PlayerGameData[STL],0)+PlayerGameData[[#This Row],[VisibleOrder]]</f>
        <v>143</v>
      </c>
      <c r="AV44" s="8">
        <f ca="1">IF(COUNTIF(PlayerGameData[STLOrder],PlayerGameData[[#This Row],[STLOrder]])&gt;1,PlayerGameData[[#This Row],[PointRank]]/100+PlayerGameData[[#This Row],[STLOrder]],PlayerGameData[[#This Row],[STLOrder]])</f>
        <v>145.16</v>
      </c>
      <c r="AW44" s="8">
        <f ca="1">RANK(PlayerGameData[[#This Row],[STLTieBreak]],PlayerGameData[STLTieBreak],1)</f>
        <v>217</v>
      </c>
      <c r="AX44" s="8">
        <f ca="1">RANK(PlayerGameData[[#This Row],[BLK]],PlayerGameData[BLK],0)+PlayerGameData[[#This Row],[VisibleOrder]]</f>
        <v>32</v>
      </c>
      <c r="AY44" s="8">
        <f ca="1">IF(COUNTIF(PlayerGameData[BLKOrder],PlayerGameData[[#This Row],[BLKOrder]])&gt;1,PlayerGameData[[#This Row],[PointRank]]/100+PlayerGameData[[#This Row],[BLKOrder]],PlayerGameData[[#This Row],[BLKOrder]])</f>
        <v>34.159999999999997</v>
      </c>
      <c r="AZ44" s="8">
        <f ca="1">RANK(PlayerGameData[[#This Row],[BLKTieBreak]],PlayerGameData[BLKTieBreak],1)</f>
        <v>216</v>
      </c>
      <c r="BA44" s="11">
        <f ca="1">IFERROR(IF(PlayerGameData[[#This Row],[FGA]]&gt;$AA$5,PlayerGameData[[#This Row],[FG%*]],PlayerGameData[[#This Row],[FG%*]]*-1),-2)</f>
        <v>-2</v>
      </c>
      <c r="BB44" s="8">
        <f ca="1">RANK(PlayerGameData[[#This Row],[EligFG]],PlayerGameData[EligFG],0)+PlayerGameData[[#This Row],[VisibleOrder]]</f>
        <v>215</v>
      </c>
      <c r="BC44" s="8">
        <f ca="1">IF(COUNTIF(PlayerGameData[EligFGOrder],PlayerGameData[[#This Row],[EligFGOrder]])&gt;1,PlayerGameData[[#This Row],[PointRank]]/100+PlayerGameData[[#This Row],[EligFGOrder]],PlayerGameData[[#This Row],[EligFGOrder]])</f>
        <v>217.16</v>
      </c>
      <c r="BD44" s="8">
        <f ca="1">RANK(PlayerGameData[[#This Row],[EligFGTieBreak]],PlayerGameData[EligFGTieBreak],1)</f>
        <v>216</v>
      </c>
      <c r="BE44" s="8" t="str">
        <f>Roster!$D$3</f>
        <v>East</v>
      </c>
      <c r="BF44" s="8" t="str">
        <f>Roster!$D$2</f>
        <v>Northeast</v>
      </c>
      <c r="BG44" s="8" t="str">
        <f>Roster!$D$4</f>
        <v>North</v>
      </c>
      <c r="BH44" s="197">
        <f ca="1">IFERROR(VLOOKUP(CONCATENATE(PlayerGameData[[#This Row],[Opponent]]," ",MONTH(PlayerGameData[[#This Row],[Date]]),"/",DAY(PlayerGameData[[#This Row],[Date]]),"/",YEAR(PlayerGameData[[#This Row],[Date]])),Table35[],2,FALSE),0)</f>
        <v>1</v>
      </c>
      <c r="BI44" s="197">
        <f ca="1">IF(PlayerGameData[[#This Row],[Visible]]=1,1,1000)</f>
        <v>1</v>
      </c>
      <c r="BJ44" s="197" t="e">
        <f ca="1">_xlfn.MAXIFS(TeamGameData[Win],TeamGameData[School, Opponent,Game'#],PlayerGameData[[#This Row],[School, Opponent,Game'#]])</f>
        <v>#NAME?</v>
      </c>
      <c r="BK44" s="197" t="e">
        <f ca="1">_xlfn.MAXIFS(TeamGameData[Loss],TeamGameData[School, Opponent,Game'#],PlayerGameData[[#This Row],[School, Opponent,Game'#]])</f>
        <v>#NAME?</v>
      </c>
    </row>
    <row r="45" spans="1:63" x14ac:dyDescent="0.25">
      <c r="A45" s="8" t="str">
        <f t="shared" ca="1" si="0"/>
        <v xml:space="preserve">, </v>
      </c>
      <c r="B45" s="8" t="str">
        <f>Roster!$B$1</f>
        <v>Upton</v>
      </c>
      <c r="C45" s="8" t="str">
        <f t="shared" ca="1" si="1"/>
        <v>Riverside</v>
      </c>
      <c r="D45" s="10">
        <f t="shared" ca="1" si="2"/>
        <v>44904</v>
      </c>
      <c r="E45" s="8">
        <f t="shared" ca="1" si="3"/>
        <v>0</v>
      </c>
      <c r="F45" s="8">
        <f t="shared" ca="1" si="4"/>
        <v>0</v>
      </c>
      <c r="G45" s="8">
        <f t="shared" ca="1" si="5"/>
        <v>0</v>
      </c>
      <c r="H45" s="8">
        <f t="shared" ca="1" si="6"/>
        <v>0</v>
      </c>
      <c r="I45" s="8">
        <f t="shared" ca="1" si="7"/>
        <v>0</v>
      </c>
      <c r="J45" s="8">
        <f t="shared" ca="1" si="8"/>
        <v>0</v>
      </c>
      <c r="K45" s="8">
        <f t="shared" ca="1" si="9"/>
        <v>0</v>
      </c>
      <c r="L45" s="8">
        <f t="shared" ca="1" si="10"/>
        <v>0</v>
      </c>
      <c r="M45" s="8">
        <f t="shared" ca="1" si="11"/>
        <v>0</v>
      </c>
      <c r="N45" s="8">
        <f t="shared" ca="1" si="12"/>
        <v>0</v>
      </c>
      <c r="O45" s="8">
        <f t="shared" ca="1" si="13"/>
        <v>0</v>
      </c>
      <c r="P45" s="8">
        <f t="shared" ca="1" si="14"/>
        <v>0</v>
      </c>
      <c r="Q45" s="8">
        <f t="shared" ca="1" si="15"/>
        <v>0</v>
      </c>
      <c r="R45" s="8">
        <f t="shared" ca="1" si="16"/>
        <v>0</v>
      </c>
      <c r="S45" s="8">
        <f t="shared" ca="1" si="17"/>
        <v>0</v>
      </c>
      <c r="T45" s="8">
        <f t="shared" ca="1" si="18"/>
        <v>0</v>
      </c>
      <c r="U45" s="8">
        <f t="shared" ca="1" si="19"/>
        <v>0</v>
      </c>
      <c r="V45" s="8">
        <f t="shared" ca="1" si="20"/>
        <v>0</v>
      </c>
      <c r="W45" s="11" t="str">
        <f t="shared" ca="1" si="21"/>
        <v/>
      </c>
      <c r="X45" s="11" t="str">
        <f t="shared" ca="1" si="22"/>
        <v/>
      </c>
      <c r="Y45" s="11" t="str">
        <f t="shared" ca="1" si="23"/>
        <v/>
      </c>
      <c r="Z45" s="11" t="str">
        <f t="shared" ca="1" si="24"/>
        <v/>
      </c>
      <c r="AA45" s="11" t="str">
        <f t="shared" ca="1" si="25"/>
        <v/>
      </c>
      <c r="AB45" s="47">
        <f ca="1">PlayerGameData[[#This Row],[3FGA]]+PlayerGameData[[#This Row],[2FGA]]</f>
        <v>0</v>
      </c>
      <c r="AC45" s="47">
        <f ca="1">PlayerGameData[[#This Row],[OFF REB]]+PlayerGameData[[#This Row],[DEF REB]]</f>
        <v>0</v>
      </c>
      <c r="AD45" s="8">
        <f t="shared" si="26"/>
        <v>2</v>
      </c>
      <c r="AE45" s="8" t="str">
        <f t="shared" ca="1" si="27"/>
        <v>,  - Riverside 12/9/2022</v>
      </c>
      <c r="AF45" s="8" t="str">
        <f t="shared" ca="1" si="28"/>
        <v/>
      </c>
      <c r="AG45" s="8" t="str">
        <f ca="1">IFERROR(IF(C45=0,"",IF(AND(VLOOKUP(PlayerGameData[[#This Row],[Opponent]],WYTeamInfo,2,FALSE)=Roster!$D$1,VLOOKUP(PlayerGameData[[#This Row],[Opponent]],WYTeamInfo,3,FALSE)=Roster!$D$2),"SR","")),"")</f>
        <v/>
      </c>
      <c r="AH45" s="8" t="str">
        <f>CONCATENATE(Roster!$D$1," ",Roster!$D$5)</f>
        <v>1A BB</v>
      </c>
      <c r="AI45" s="8" t="str">
        <f t="shared" ca="1" si="29"/>
        <v>Upton - Riverside 12/9/2022</v>
      </c>
      <c r="AJ45" s="8">
        <f ca="1">IFERROR(VLOOKUP(PlayerGameData[[#This Row],[School, Opponent,Game'#]],Table3[],2,FALSE),0)</f>
        <v>1</v>
      </c>
      <c r="AK45" s="8">
        <f ca="1">IF(PlayerGameData[[#This Row],[Visible]]=1,1,1000)</f>
        <v>1</v>
      </c>
      <c r="AL45" s="8">
        <f ca="1">RANK(PlayerGameData[[#This Row],[TL PTS]],PlayerGameData[TL PTS],0)+PlayerGameData[[#This Row],[VisibleOrder]]</f>
        <v>185</v>
      </c>
      <c r="AM45" s="8">
        <f ca="1">IF(COUNTIF(PlayerGameData[PointOrder],PlayerGameData[[#This Row],[PointOrder]])&gt;1,RANK(PlayerGameData[[#This Row],[FGA]],PlayerGameData[FGA],0)/100,0)+PlayerGameData[[#This Row],[PointOrder]]</f>
        <v>187.14</v>
      </c>
      <c r="AN45" s="8">
        <f ca="1">RANK(PlayerGameData[[#This Row],[PointTieBreak]],PlayerGameData[PointTieBreak],1)</f>
        <v>216</v>
      </c>
      <c r="AO45" s="8">
        <f ca="1">RANK(PlayerGameData[[#This Row],[REB]],PlayerGameData[REB],0)+PlayerGameData[[#This Row],[VisibleOrder]]</f>
        <v>192</v>
      </c>
      <c r="AP45" s="8">
        <f ca="1">IF(COUNTIF(PlayerGameData[REBOrder],PlayerGameData[[#This Row],[REBOrder]])&gt;1,PlayerGameData[[#This Row],[PointRank]]/100+PlayerGameData[[#This Row],[REBOrder]],PlayerGameData[[#This Row],[REBOrder]])</f>
        <v>194.16</v>
      </c>
      <c r="AQ45" s="8">
        <f ca="1">RANK(PlayerGameData[[#This Row],[REBTieBreak]],PlayerGameData[REBTieBreak],1)</f>
        <v>224</v>
      </c>
      <c r="AR45" s="8">
        <f ca="1">RANK(PlayerGameData[[#This Row],[AST]],PlayerGameData[AST],0)+PlayerGameData[[#This Row],[VisibleOrder]]</f>
        <v>158</v>
      </c>
      <c r="AS45" s="8">
        <f ca="1">IF(COUNTIF(PlayerGameData[ASTOrder],PlayerGameData[[#This Row],[ASTOrder]])&gt;1,PlayerGameData[[#This Row],[PointRank]]/100+PlayerGameData[[#This Row],[ASTOrder]],PlayerGameData[[#This Row],[ASTOrder]])</f>
        <v>160.16</v>
      </c>
      <c r="AT45" s="8">
        <f ca="1">RANK(PlayerGameData[[#This Row],[ASTTieBreak]],PlayerGameData[ASTTieBreak],1)</f>
        <v>221</v>
      </c>
      <c r="AU45" s="8">
        <f ca="1">RANK(PlayerGameData[[#This Row],[STL]],PlayerGameData[STL],0)+PlayerGameData[[#This Row],[VisibleOrder]]</f>
        <v>143</v>
      </c>
      <c r="AV45" s="8">
        <f ca="1">IF(COUNTIF(PlayerGameData[STLOrder],PlayerGameData[[#This Row],[STLOrder]])&gt;1,PlayerGameData[[#This Row],[PointRank]]/100+PlayerGameData[[#This Row],[STLOrder]],PlayerGameData[[#This Row],[STLOrder]])</f>
        <v>145.16</v>
      </c>
      <c r="AW45" s="8">
        <f ca="1">RANK(PlayerGameData[[#This Row],[STLTieBreak]],PlayerGameData[STLTieBreak],1)</f>
        <v>217</v>
      </c>
      <c r="AX45" s="8">
        <f ca="1">RANK(PlayerGameData[[#This Row],[BLK]],PlayerGameData[BLK],0)+PlayerGameData[[#This Row],[VisibleOrder]]</f>
        <v>32</v>
      </c>
      <c r="AY45" s="8">
        <f ca="1">IF(COUNTIF(PlayerGameData[BLKOrder],PlayerGameData[[#This Row],[BLKOrder]])&gt;1,PlayerGameData[[#This Row],[PointRank]]/100+PlayerGameData[[#This Row],[BLKOrder]],PlayerGameData[[#This Row],[BLKOrder]])</f>
        <v>34.159999999999997</v>
      </c>
      <c r="AZ45" s="8">
        <f ca="1">RANK(PlayerGameData[[#This Row],[BLKTieBreak]],PlayerGameData[BLKTieBreak],1)</f>
        <v>216</v>
      </c>
      <c r="BA45" s="11">
        <f ca="1">IFERROR(IF(PlayerGameData[[#This Row],[FGA]]&gt;$AA$5,PlayerGameData[[#This Row],[FG%*]],PlayerGameData[[#This Row],[FG%*]]*-1),-2)</f>
        <v>-2</v>
      </c>
      <c r="BB45" s="8">
        <f ca="1">RANK(PlayerGameData[[#This Row],[EligFG]],PlayerGameData[EligFG],0)+PlayerGameData[[#This Row],[VisibleOrder]]</f>
        <v>215</v>
      </c>
      <c r="BC45" s="8">
        <f ca="1">IF(COUNTIF(PlayerGameData[EligFGOrder],PlayerGameData[[#This Row],[EligFGOrder]])&gt;1,PlayerGameData[[#This Row],[PointRank]]/100+PlayerGameData[[#This Row],[EligFGOrder]],PlayerGameData[[#This Row],[EligFGOrder]])</f>
        <v>217.16</v>
      </c>
      <c r="BD45" s="8">
        <f ca="1">RANK(PlayerGameData[[#This Row],[EligFGTieBreak]],PlayerGameData[EligFGTieBreak],1)</f>
        <v>216</v>
      </c>
      <c r="BE45" s="8" t="str">
        <f>Roster!$D$3</f>
        <v>East</v>
      </c>
      <c r="BF45" s="8" t="str">
        <f>Roster!$D$2</f>
        <v>Northeast</v>
      </c>
      <c r="BG45" s="8" t="str">
        <f>Roster!$D$4</f>
        <v>North</v>
      </c>
      <c r="BH45" s="197">
        <f ca="1">IFERROR(VLOOKUP(CONCATENATE(PlayerGameData[[#This Row],[Opponent]]," ",MONTH(PlayerGameData[[#This Row],[Date]]),"/",DAY(PlayerGameData[[#This Row],[Date]]),"/",YEAR(PlayerGameData[[#This Row],[Date]])),Table35[],2,FALSE),0)</f>
        <v>1</v>
      </c>
      <c r="BI45" s="197">
        <f ca="1">IF(PlayerGameData[[#This Row],[Visible]]=1,1,1000)</f>
        <v>1</v>
      </c>
      <c r="BJ45" s="197" t="e">
        <f ca="1">_xlfn.MAXIFS(TeamGameData[Win],TeamGameData[School, Opponent,Game'#],PlayerGameData[[#This Row],[School, Opponent,Game'#]])</f>
        <v>#NAME?</v>
      </c>
      <c r="BK45" s="197" t="e">
        <f ca="1">_xlfn.MAXIFS(TeamGameData[Loss],TeamGameData[School, Opponent,Game'#],PlayerGameData[[#This Row],[School, Opponent,Game'#]])</f>
        <v>#NAME?</v>
      </c>
    </row>
    <row r="46" spans="1:63" x14ac:dyDescent="0.25">
      <c r="A46" s="8" t="str">
        <f t="shared" ca="1" si="0"/>
        <v xml:space="preserve">, </v>
      </c>
      <c r="B46" s="8" t="str">
        <f>Roster!$B$1</f>
        <v>Upton</v>
      </c>
      <c r="C46" s="8" t="str">
        <f t="shared" ca="1" si="1"/>
        <v>Riverside</v>
      </c>
      <c r="D46" s="10">
        <f t="shared" ca="1" si="2"/>
        <v>44904</v>
      </c>
      <c r="E46" s="8">
        <f t="shared" ca="1" si="3"/>
        <v>0</v>
      </c>
      <c r="F46" s="8">
        <f t="shared" ca="1" si="4"/>
        <v>0</v>
      </c>
      <c r="G46" s="8">
        <f t="shared" ca="1" si="5"/>
        <v>0</v>
      </c>
      <c r="H46" s="8">
        <f t="shared" ca="1" si="6"/>
        <v>0</v>
      </c>
      <c r="I46" s="8">
        <f t="shared" ca="1" si="7"/>
        <v>0</v>
      </c>
      <c r="J46" s="8">
        <f t="shared" ca="1" si="8"/>
        <v>0</v>
      </c>
      <c r="K46" s="8">
        <f t="shared" ca="1" si="9"/>
        <v>0</v>
      </c>
      <c r="L46" s="8">
        <f t="shared" ca="1" si="10"/>
        <v>0</v>
      </c>
      <c r="M46" s="8">
        <f t="shared" ca="1" si="11"/>
        <v>0</v>
      </c>
      <c r="N46" s="8">
        <f t="shared" ca="1" si="12"/>
        <v>0</v>
      </c>
      <c r="O46" s="8">
        <f t="shared" ca="1" si="13"/>
        <v>0</v>
      </c>
      <c r="P46" s="8">
        <f t="shared" ca="1" si="14"/>
        <v>0</v>
      </c>
      <c r="Q46" s="8">
        <f t="shared" ca="1" si="15"/>
        <v>0</v>
      </c>
      <c r="R46" s="8">
        <f t="shared" ca="1" si="16"/>
        <v>0</v>
      </c>
      <c r="S46" s="8">
        <f t="shared" ca="1" si="17"/>
        <v>0</v>
      </c>
      <c r="T46" s="8">
        <f t="shared" ca="1" si="18"/>
        <v>0</v>
      </c>
      <c r="U46" s="8">
        <f t="shared" ca="1" si="19"/>
        <v>0</v>
      </c>
      <c r="V46" s="8">
        <f t="shared" ca="1" si="20"/>
        <v>0</v>
      </c>
      <c r="W46" s="11" t="str">
        <f t="shared" ca="1" si="21"/>
        <v/>
      </c>
      <c r="X46" s="11" t="str">
        <f t="shared" ca="1" si="22"/>
        <v/>
      </c>
      <c r="Y46" s="11" t="str">
        <f t="shared" ca="1" si="23"/>
        <v/>
      </c>
      <c r="Z46" s="11" t="str">
        <f t="shared" ca="1" si="24"/>
        <v/>
      </c>
      <c r="AA46" s="11" t="str">
        <f t="shared" ca="1" si="25"/>
        <v/>
      </c>
      <c r="AB46" s="47">
        <f ca="1">PlayerGameData[[#This Row],[3FGA]]+PlayerGameData[[#This Row],[2FGA]]</f>
        <v>0</v>
      </c>
      <c r="AC46" s="47">
        <f ca="1">PlayerGameData[[#This Row],[OFF REB]]+PlayerGameData[[#This Row],[DEF REB]]</f>
        <v>0</v>
      </c>
      <c r="AD46" s="8">
        <f t="shared" si="26"/>
        <v>2</v>
      </c>
      <c r="AE46" s="8" t="str">
        <f t="shared" ca="1" si="27"/>
        <v>,  - Riverside 12/9/2022</v>
      </c>
      <c r="AF46" s="8" t="str">
        <f t="shared" ca="1" si="28"/>
        <v/>
      </c>
      <c r="AG46" s="8" t="str">
        <f ca="1">IFERROR(IF(C46=0,"",IF(AND(VLOOKUP(PlayerGameData[[#This Row],[Opponent]],WYTeamInfo,2,FALSE)=Roster!$D$1,VLOOKUP(PlayerGameData[[#This Row],[Opponent]],WYTeamInfo,3,FALSE)=Roster!$D$2),"SR","")),"")</f>
        <v/>
      </c>
      <c r="AH46" s="8" t="str">
        <f>CONCATENATE(Roster!$D$1," ",Roster!$D$5)</f>
        <v>1A BB</v>
      </c>
      <c r="AI46" s="8" t="str">
        <f t="shared" ca="1" si="29"/>
        <v>Upton - Riverside 12/9/2022</v>
      </c>
      <c r="AJ46" s="8">
        <f ca="1">IFERROR(VLOOKUP(PlayerGameData[[#This Row],[School, Opponent,Game'#]],Table3[],2,FALSE),0)</f>
        <v>1</v>
      </c>
      <c r="AK46" s="8">
        <f ca="1">IF(PlayerGameData[[#This Row],[Visible]]=1,1,1000)</f>
        <v>1</v>
      </c>
      <c r="AL46" s="8">
        <f ca="1">RANK(PlayerGameData[[#This Row],[TL PTS]],PlayerGameData[TL PTS],0)+PlayerGameData[[#This Row],[VisibleOrder]]</f>
        <v>185</v>
      </c>
      <c r="AM46" s="8">
        <f ca="1">IF(COUNTIF(PlayerGameData[PointOrder],PlayerGameData[[#This Row],[PointOrder]])&gt;1,RANK(PlayerGameData[[#This Row],[FGA]],PlayerGameData[FGA],0)/100,0)+PlayerGameData[[#This Row],[PointOrder]]</f>
        <v>187.14</v>
      </c>
      <c r="AN46" s="8">
        <f ca="1">RANK(PlayerGameData[[#This Row],[PointTieBreak]],PlayerGameData[PointTieBreak],1)</f>
        <v>216</v>
      </c>
      <c r="AO46" s="8">
        <f ca="1">RANK(PlayerGameData[[#This Row],[REB]],PlayerGameData[REB],0)+PlayerGameData[[#This Row],[VisibleOrder]]</f>
        <v>192</v>
      </c>
      <c r="AP46" s="8">
        <f ca="1">IF(COUNTIF(PlayerGameData[REBOrder],PlayerGameData[[#This Row],[REBOrder]])&gt;1,PlayerGameData[[#This Row],[PointRank]]/100+PlayerGameData[[#This Row],[REBOrder]],PlayerGameData[[#This Row],[REBOrder]])</f>
        <v>194.16</v>
      </c>
      <c r="AQ46" s="8">
        <f ca="1">RANK(PlayerGameData[[#This Row],[REBTieBreak]],PlayerGameData[REBTieBreak],1)</f>
        <v>224</v>
      </c>
      <c r="AR46" s="8">
        <f ca="1">RANK(PlayerGameData[[#This Row],[AST]],PlayerGameData[AST],0)+PlayerGameData[[#This Row],[VisibleOrder]]</f>
        <v>158</v>
      </c>
      <c r="AS46" s="8">
        <f ca="1">IF(COUNTIF(PlayerGameData[ASTOrder],PlayerGameData[[#This Row],[ASTOrder]])&gt;1,PlayerGameData[[#This Row],[PointRank]]/100+PlayerGameData[[#This Row],[ASTOrder]],PlayerGameData[[#This Row],[ASTOrder]])</f>
        <v>160.16</v>
      </c>
      <c r="AT46" s="8">
        <f ca="1">RANK(PlayerGameData[[#This Row],[ASTTieBreak]],PlayerGameData[ASTTieBreak],1)</f>
        <v>221</v>
      </c>
      <c r="AU46" s="8">
        <f ca="1">RANK(PlayerGameData[[#This Row],[STL]],PlayerGameData[STL],0)+PlayerGameData[[#This Row],[VisibleOrder]]</f>
        <v>143</v>
      </c>
      <c r="AV46" s="8">
        <f ca="1">IF(COUNTIF(PlayerGameData[STLOrder],PlayerGameData[[#This Row],[STLOrder]])&gt;1,PlayerGameData[[#This Row],[PointRank]]/100+PlayerGameData[[#This Row],[STLOrder]],PlayerGameData[[#This Row],[STLOrder]])</f>
        <v>145.16</v>
      </c>
      <c r="AW46" s="8">
        <f ca="1">RANK(PlayerGameData[[#This Row],[STLTieBreak]],PlayerGameData[STLTieBreak],1)</f>
        <v>217</v>
      </c>
      <c r="AX46" s="8">
        <f ca="1">RANK(PlayerGameData[[#This Row],[BLK]],PlayerGameData[BLK],0)+PlayerGameData[[#This Row],[VisibleOrder]]</f>
        <v>32</v>
      </c>
      <c r="AY46" s="8">
        <f ca="1">IF(COUNTIF(PlayerGameData[BLKOrder],PlayerGameData[[#This Row],[BLKOrder]])&gt;1,PlayerGameData[[#This Row],[PointRank]]/100+PlayerGameData[[#This Row],[BLKOrder]],PlayerGameData[[#This Row],[BLKOrder]])</f>
        <v>34.159999999999997</v>
      </c>
      <c r="AZ46" s="8">
        <f ca="1">RANK(PlayerGameData[[#This Row],[BLKTieBreak]],PlayerGameData[BLKTieBreak],1)</f>
        <v>216</v>
      </c>
      <c r="BA46" s="11">
        <f ca="1">IFERROR(IF(PlayerGameData[[#This Row],[FGA]]&gt;$AA$5,PlayerGameData[[#This Row],[FG%*]],PlayerGameData[[#This Row],[FG%*]]*-1),-2)</f>
        <v>-2</v>
      </c>
      <c r="BB46" s="8">
        <f ca="1">RANK(PlayerGameData[[#This Row],[EligFG]],PlayerGameData[EligFG],0)+PlayerGameData[[#This Row],[VisibleOrder]]</f>
        <v>215</v>
      </c>
      <c r="BC46" s="8">
        <f ca="1">IF(COUNTIF(PlayerGameData[EligFGOrder],PlayerGameData[[#This Row],[EligFGOrder]])&gt;1,PlayerGameData[[#This Row],[PointRank]]/100+PlayerGameData[[#This Row],[EligFGOrder]],PlayerGameData[[#This Row],[EligFGOrder]])</f>
        <v>217.16</v>
      </c>
      <c r="BD46" s="8">
        <f ca="1">RANK(PlayerGameData[[#This Row],[EligFGTieBreak]],PlayerGameData[EligFGTieBreak],1)</f>
        <v>216</v>
      </c>
      <c r="BE46" s="8" t="str">
        <f>Roster!$D$3</f>
        <v>East</v>
      </c>
      <c r="BF46" s="8" t="str">
        <f>Roster!$D$2</f>
        <v>Northeast</v>
      </c>
      <c r="BG46" s="8" t="str">
        <f>Roster!$D$4</f>
        <v>North</v>
      </c>
      <c r="BH46" s="197">
        <f ca="1">IFERROR(VLOOKUP(CONCATENATE(PlayerGameData[[#This Row],[Opponent]]," ",MONTH(PlayerGameData[[#This Row],[Date]]),"/",DAY(PlayerGameData[[#This Row],[Date]]),"/",YEAR(PlayerGameData[[#This Row],[Date]])),Table35[],2,FALSE),0)</f>
        <v>1</v>
      </c>
      <c r="BI46" s="197">
        <f ca="1">IF(PlayerGameData[[#This Row],[Visible]]=1,1,1000)</f>
        <v>1</v>
      </c>
      <c r="BJ46" s="197" t="e">
        <f ca="1">_xlfn.MAXIFS(TeamGameData[Win],TeamGameData[School, Opponent,Game'#],PlayerGameData[[#This Row],[School, Opponent,Game'#]])</f>
        <v>#NAME?</v>
      </c>
      <c r="BK46" s="197" t="e">
        <f ca="1">_xlfn.MAXIFS(TeamGameData[Loss],TeamGameData[School, Opponent,Game'#],PlayerGameData[[#This Row],[School, Opponent,Game'#]])</f>
        <v>#NAME?</v>
      </c>
    </row>
    <row r="47" spans="1:63" x14ac:dyDescent="0.25">
      <c r="A47" s="8" t="str">
        <f t="shared" ca="1" si="0"/>
        <v xml:space="preserve">, </v>
      </c>
      <c r="B47" s="8" t="str">
        <f>Roster!$B$1</f>
        <v>Upton</v>
      </c>
      <c r="C47" s="8" t="str">
        <f t="shared" ca="1" si="1"/>
        <v>Riverside</v>
      </c>
      <c r="D47" s="10">
        <f t="shared" ca="1" si="2"/>
        <v>44904</v>
      </c>
      <c r="E47" s="8">
        <f t="shared" ca="1" si="3"/>
        <v>0</v>
      </c>
      <c r="F47" s="8">
        <f t="shared" ca="1" si="4"/>
        <v>0</v>
      </c>
      <c r="G47" s="8">
        <f t="shared" ca="1" si="5"/>
        <v>0</v>
      </c>
      <c r="H47" s="8">
        <f t="shared" ca="1" si="6"/>
        <v>0</v>
      </c>
      <c r="I47" s="8">
        <f t="shared" ca="1" si="7"/>
        <v>0</v>
      </c>
      <c r="J47" s="8">
        <f t="shared" ca="1" si="8"/>
        <v>0</v>
      </c>
      <c r="K47" s="8">
        <f t="shared" ca="1" si="9"/>
        <v>0</v>
      </c>
      <c r="L47" s="8">
        <f t="shared" ca="1" si="10"/>
        <v>0</v>
      </c>
      <c r="M47" s="8">
        <f t="shared" ca="1" si="11"/>
        <v>0</v>
      </c>
      <c r="N47" s="8">
        <f t="shared" ca="1" si="12"/>
        <v>0</v>
      </c>
      <c r="O47" s="8">
        <f t="shared" ca="1" si="13"/>
        <v>0</v>
      </c>
      <c r="P47" s="8">
        <f t="shared" ca="1" si="14"/>
        <v>0</v>
      </c>
      <c r="Q47" s="8">
        <f t="shared" ca="1" si="15"/>
        <v>0</v>
      </c>
      <c r="R47" s="8">
        <f t="shared" ca="1" si="16"/>
        <v>0</v>
      </c>
      <c r="S47" s="8">
        <f t="shared" ca="1" si="17"/>
        <v>0</v>
      </c>
      <c r="T47" s="8">
        <f t="shared" ca="1" si="18"/>
        <v>0</v>
      </c>
      <c r="U47" s="8">
        <f t="shared" ca="1" si="19"/>
        <v>0</v>
      </c>
      <c r="V47" s="8">
        <f t="shared" ca="1" si="20"/>
        <v>0</v>
      </c>
      <c r="W47" s="11" t="str">
        <f t="shared" ca="1" si="21"/>
        <v/>
      </c>
      <c r="X47" s="11" t="str">
        <f t="shared" ca="1" si="22"/>
        <v/>
      </c>
      <c r="Y47" s="11" t="str">
        <f t="shared" ca="1" si="23"/>
        <v/>
      </c>
      <c r="Z47" s="11" t="str">
        <f t="shared" ca="1" si="24"/>
        <v/>
      </c>
      <c r="AA47" s="11" t="str">
        <f t="shared" ca="1" si="25"/>
        <v/>
      </c>
      <c r="AB47" s="47">
        <f ca="1">PlayerGameData[[#This Row],[3FGA]]+PlayerGameData[[#This Row],[2FGA]]</f>
        <v>0</v>
      </c>
      <c r="AC47" s="47">
        <f ca="1">PlayerGameData[[#This Row],[OFF REB]]+PlayerGameData[[#This Row],[DEF REB]]</f>
        <v>0</v>
      </c>
      <c r="AD47" s="8">
        <f t="shared" si="26"/>
        <v>2</v>
      </c>
      <c r="AE47" s="8" t="str">
        <f t="shared" ca="1" si="27"/>
        <v>,  - Riverside 12/9/2022</v>
      </c>
      <c r="AF47" s="8" t="str">
        <f t="shared" ca="1" si="28"/>
        <v/>
      </c>
      <c r="AG47" s="8" t="str">
        <f ca="1">IFERROR(IF(C47=0,"",IF(AND(VLOOKUP(PlayerGameData[[#This Row],[Opponent]],WYTeamInfo,2,FALSE)=Roster!$D$1,VLOOKUP(PlayerGameData[[#This Row],[Opponent]],WYTeamInfo,3,FALSE)=Roster!$D$2),"SR","")),"")</f>
        <v/>
      </c>
      <c r="AH47" s="8" t="str">
        <f>CONCATENATE(Roster!$D$1," ",Roster!$D$5)</f>
        <v>1A BB</v>
      </c>
      <c r="AI47" s="8" t="str">
        <f t="shared" ca="1" si="29"/>
        <v>Upton - Riverside 12/9/2022</v>
      </c>
      <c r="AJ47" s="8">
        <f ca="1">IFERROR(VLOOKUP(PlayerGameData[[#This Row],[School, Opponent,Game'#]],Table3[],2,FALSE),0)</f>
        <v>1</v>
      </c>
      <c r="AK47" s="8">
        <f ca="1">IF(PlayerGameData[[#This Row],[Visible]]=1,1,1000)</f>
        <v>1</v>
      </c>
      <c r="AL47" s="8">
        <f ca="1">RANK(PlayerGameData[[#This Row],[TL PTS]],PlayerGameData[TL PTS],0)+PlayerGameData[[#This Row],[VisibleOrder]]</f>
        <v>185</v>
      </c>
      <c r="AM47" s="8">
        <f ca="1">IF(COUNTIF(PlayerGameData[PointOrder],PlayerGameData[[#This Row],[PointOrder]])&gt;1,RANK(PlayerGameData[[#This Row],[FGA]],PlayerGameData[FGA],0)/100,0)+PlayerGameData[[#This Row],[PointOrder]]</f>
        <v>187.14</v>
      </c>
      <c r="AN47" s="8">
        <f ca="1">RANK(PlayerGameData[[#This Row],[PointTieBreak]],PlayerGameData[PointTieBreak],1)</f>
        <v>216</v>
      </c>
      <c r="AO47" s="8">
        <f ca="1">RANK(PlayerGameData[[#This Row],[REB]],PlayerGameData[REB],0)+PlayerGameData[[#This Row],[VisibleOrder]]</f>
        <v>192</v>
      </c>
      <c r="AP47" s="8">
        <f ca="1">IF(COUNTIF(PlayerGameData[REBOrder],PlayerGameData[[#This Row],[REBOrder]])&gt;1,PlayerGameData[[#This Row],[PointRank]]/100+PlayerGameData[[#This Row],[REBOrder]],PlayerGameData[[#This Row],[REBOrder]])</f>
        <v>194.16</v>
      </c>
      <c r="AQ47" s="8">
        <f ca="1">RANK(PlayerGameData[[#This Row],[REBTieBreak]],PlayerGameData[REBTieBreak],1)</f>
        <v>224</v>
      </c>
      <c r="AR47" s="8">
        <f ca="1">RANK(PlayerGameData[[#This Row],[AST]],PlayerGameData[AST],0)+PlayerGameData[[#This Row],[VisibleOrder]]</f>
        <v>158</v>
      </c>
      <c r="AS47" s="8">
        <f ca="1">IF(COUNTIF(PlayerGameData[ASTOrder],PlayerGameData[[#This Row],[ASTOrder]])&gt;1,PlayerGameData[[#This Row],[PointRank]]/100+PlayerGameData[[#This Row],[ASTOrder]],PlayerGameData[[#This Row],[ASTOrder]])</f>
        <v>160.16</v>
      </c>
      <c r="AT47" s="8">
        <f ca="1">RANK(PlayerGameData[[#This Row],[ASTTieBreak]],PlayerGameData[ASTTieBreak],1)</f>
        <v>221</v>
      </c>
      <c r="AU47" s="8">
        <f ca="1">RANK(PlayerGameData[[#This Row],[STL]],PlayerGameData[STL],0)+PlayerGameData[[#This Row],[VisibleOrder]]</f>
        <v>143</v>
      </c>
      <c r="AV47" s="8">
        <f ca="1">IF(COUNTIF(PlayerGameData[STLOrder],PlayerGameData[[#This Row],[STLOrder]])&gt;1,PlayerGameData[[#This Row],[PointRank]]/100+PlayerGameData[[#This Row],[STLOrder]],PlayerGameData[[#This Row],[STLOrder]])</f>
        <v>145.16</v>
      </c>
      <c r="AW47" s="8">
        <f ca="1">RANK(PlayerGameData[[#This Row],[STLTieBreak]],PlayerGameData[STLTieBreak],1)</f>
        <v>217</v>
      </c>
      <c r="AX47" s="8">
        <f ca="1">RANK(PlayerGameData[[#This Row],[BLK]],PlayerGameData[BLK],0)+PlayerGameData[[#This Row],[VisibleOrder]]</f>
        <v>32</v>
      </c>
      <c r="AY47" s="8">
        <f ca="1">IF(COUNTIF(PlayerGameData[BLKOrder],PlayerGameData[[#This Row],[BLKOrder]])&gt;1,PlayerGameData[[#This Row],[PointRank]]/100+PlayerGameData[[#This Row],[BLKOrder]],PlayerGameData[[#This Row],[BLKOrder]])</f>
        <v>34.159999999999997</v>
      </c>
      <c r="AZ47" s="8">
        <f ca="1">RANK(PlayerGameData[[#This Row],[BLKTieBreak]],PlayerGameData[BLKTieBreak],1)</f>
        <v>216</v>
      </c>
      <c r="BA47" s="11">
        <f ca="1">IFERROR(IF(PlayerGameData[[#This Row],[FGA]]&gt;$AA$5,PlayerGameData[[#This Row],[FG%*]],PlayerGameData[[#This Row],[FG%*]]*-1),-2)</f>
        <v>-2</v>
      </c>
      <c r="BB47" s="8">
        <f ca="1">RANK(PlayerGameData[[#This Row],[EligFG]],PlayerGameData[EligFG],0)+PlayerGameData[[#This Row],[VisibleOrder]]</f>
        <v>215</v>
      </c>
      <c r="BC47" s="8">
        <f ca="1">IF(COUNTIF(PlayerGameData[EligFGOrder],PlayerGameData[[#This Row],[EligFGOrder]])&gt;1,PlayerGameData[[#This Row],[PointRank]]/100+PlayerGameData[[#This Row],[EligFGOrder]],PlayerGameData[[#This Row],[EligFGOrder]])</f>
        <v>217.16</v>
      </c>
      <c r="BD47" s="8">
        <f ca="1">RANK(PlayerGameData[[#This Row],[EligFGTieBreak]],PlayerGameData[EligFGTieBreak],1)</f>
        <v>216</v>
      </c>
      <c r="BE47" s="8" t="str">
        <f>Roster!$D$3</f>
        <v>East</v>
      </c>
      <c r="BF47" s="8" t="str">
        <f>Roster!$D$2</f>
        <v>Northeast</v>
      </c>
      <c r="BG47" s="8" t="str">
        <f>Roster!$D$4</f>
        <v>North</v>
      </c>
      <c r="BH47" s="197">
        <f ca="1">IFERROR(VLOOKUP(CONCATENATE(PlayerGameData[[#This Row],[Opponent]]," ",MONTH(PlayerGameData[[#This Row],[Date]]),"/",DAY(PlayerGameData[[#This Row],[Date]]),"/",YEAR(PlayerGameData[[#This Row],[Date]])),Table35[],2,FALSE),0)</f>
        <v>1</v>
      </c>
      <c r="BI47" s="197">
        <f ca="1">IF(PlayerGameData[[#This Row],[Visible]]=1,1,1000)</f>
        <v>1</v>
      </c>
      <c r="BJ47" s="197" t="e">
        <f ca="1">_xlfn.MAXIFS(TeamGameData[Win],TeamGameData[School, Opponent,Game'#],PlayerGameData[[#This Row],[School, Opponent,Game'#]])</f>
        <v>#NAME?</v>
      </c>
      <c r="BK47" s="197" t="e">
        <f ca="1">_xlfn.MAXIFS(TeamGameData[Loss],TeamGameData[School, Opponent,Game'#],PlayerGameData[[#This Row],[School, Opponent,Game'#]])</f>
        <v>#NAME?</v>
      </c>
    </row>
    <row r="48" spans="1:63" x14ac:dyDescent="0.25">
      <c r="A48" s="8" t="str">
        <f t="shared" ca="1" si="0"/>
        <v xml:space="preserve">, </v>
      </c>
      <c r="B48" s="8" t="str">
        <f>Roster!$B$1</f>
        <v>Upton</v>
      </c>
      <c r="C48" s="8" t="str">
        <f t="shared" ca="1" si="1"/>
        <v>Riverside</v>
      </c>
      <c r="D48" s="10">
        <f t="shared" ca="1" si="2"/>
        <v>44904</v>
      </c>
      <c r="E48" s="8">
        <f t="shared" ca="1" si="3"/>
        <v>0</v>
      </c>
      <c r="F48" s="8">
        <f t="shared" ca="1" si="4"/>
        <v>0</v>
      </c>
      <c r="G48" s="8">
        <f t="shared" ca="1" si="5"/>
        <v>0</v>
      </c>
      <c r="H48" s="8">
        <f t="shared" ca="1" si="6"/>
        <v>0</v>
      </c>
      <c r="I48" s="8">
        <f t="shared" ca="1" si="7"/>
        <v>0</v>
      </c>
      <c r="J48" s="8">
        <f t="shared" ca="1" si="8"/>
        <v>0</v>
      </c>
      <c r="K48" s="8">
        <f t="shared" ca="1" si="9"/>
        <v>0</v>
      </c>
      <c r="L48" s="8">
        <f t="shared" ca="1" si="10"/>
        <v>0</v>
      </c>
      <c r="M48" s="8">
        <f t="shared" ca="1" si="11"/>
        <v>0</v>
      </c>
      <c r="N48" s="8">
        <f t="shared" ca="1" si="12"/>
        <v>0</v>
      </c>
      <c r="O48" s="8">
        <f t="shared" ca="1" si="13"/>
        <v>0</v>
      </c>
      <c r="P48" s="8">
        <f t="shared" ca="1" si="14"/>
        <v>0</v>
      </c>
      <c r="Q48" s="8">
        <f t="shared" ca="1" si="15"/>
        <v>0</v>
      </c>
      <c r="R48" s="8">
        <f t="shared" ca="1" si="16"/>
        <v>0</v>
      </c>
      <c r="S48" s="8">
        <f t="shared" ca="1" si="17"/>
        <v>0</v>
      </c>
      <c r="T48" s="8">
        <f t="shared" ca="1" si="18"/>
        <v>0</v>
      </c>
      <c r="U48" s="8">
        <f t="shared" ca="1" si="19"/>
        <v>0</v>
      </c>
      <c r="V48" s="8">
        <f t="shared" ca="1" si="20"/>
        <v>0</v>
      </c>
      <c r="W48" s="11" t="str">
        <f t="shared" ca="1" si="21"/>
        <v/>
      </c>
      <c r="X48" s="11" t="str">
        <f t="shared" ca="1" si="22"/>
        <v/>
      </c>
      <c r="Y48" s="11" t="str">
        <f t="shared" ca="1" si="23"/>
        <v/>
      </c>
      <c r="Z48" s="11" t="str">
        <f t="shared" ca="1" si="24"/>
        <v/>
      </c>
      <c r="AA48" s="11" t="str">
        <f t="shared" ca="1" si="25"/>
        <v/>
      </c>
      <c r="AB48" s="47">
        <f ca="1">PlayerGameData[[#This Row],[3FGA]]+PlayerGameData[[#This Row],[2FGA]]</f>
        <v>0</v>
      </c>
      <c r="AC48" s="47">
        <f ca="1">PlayerGameData[[#This Row],[OFF REB]]+PlayerGameData[[#This Row],[DEF REB]]</f>
        <v>0</v>
      </c>
      <c r="AD48" s="8">
        <f t="shared" si="26"/>
        <v>2</v>
      </c>
      <c r="AE48" s="8" t="str">
        <f t="shared" ca="1" si="27"/>
        <v>,  - Riverside 12/9/2022</v>
      </c>
      <c r="AF48" s="8" t="str">
        <f t="shared" ca="1" si="28"/>
        <v/>
      </c>
      <c r="AG48" s="8" t="str">
        <f ca="1">IFERROR(IF(C48=0,"",IF(AND(VLOOKUP(PlayerGameData[[#This Row],[Opponent]],WYTeamInfo,2,FALSE)=Roster!$D$1,VLOOKUP(PlayerGameData[[#This Row],[Opponent]],WYTeamInfo,3,FALSE)=Roster!$D$2),"SR","")),"")</f>
        <v/>
      </c>
      <c r="AH48" s="8" t="str">
        <f>CONCATENATE(Roster!$D$1," ",Roster!$D$5)</f>
        <v>1A BB</v>
      </c>
      <c r="AI48" s="8" t="str">
        <f t="shared" ca="1" si="29"/>
        <v>Upton - Riverside 12/9/2022</v>
      </c>
      <c r="AJ48" s="8">
        <f ca="1">IFERROR(VLOOKUP(PlayerGameData[[#This Row],[School, Opponent,Game'#]],Table3[],2,FALSE),0)</f>
        <v>1</v>
      </c>
      <c r="AK48" s="8">
        <f ca="1">IF(PlayerGameData[[#This Row],[Visible]]=1,1,1000)</f>
        <v>1</v>
      </c>
      <c r="AL48" s="8">
        <f ca="1">RANK(PlayerGameData[[#This Row],[TL PTS]],PlayerGameData[TL PTS],0)+PlayerGameData[[#This Row],[VisibleOrder]]</f>
        <v>185</v>
      </c>
      <c r="AM48" s="8">
        <f ca="1">IF(COUNTIF(PlayerGameData[PointOrder],PlayerGameData[[#This Row],[PointOrder]])&gt;1,RANK(PlayerGameData[[#This Row],[FGA]],PlayerGameData[FGA],0)/100,0)+PlayerGameData[[#This Row],[PointOrder]]</f>
        <v>187.14</v>
      </c>
      <c r="AN48" s="8">
        <f ca="1">RANK(PlayerGameData[[#This Row],[PointTieBreak]],PlayerGameData[PointTieBreak],1)</f>
        <v>216</v>
      </c>
      <c r="AO48" s="8">
        <f ca="1">RANK(PlayerGameData[[#This Row],[REB]],PlayerGameData[REB],0)+PlayerGameData[[#This Row],[VisibleOrder]]</f>
        <v>192</v>
      </c>
      <c r="AP48" s="8">
        <f ca="1">IF(COUNTIF(PlayerGameData[REBOrder],PlayerGameData[[#This Row],[REBOrder]])&gt;1,PlayerGameData[[#This Row],[PointRank]]/100+PlayerGameData[[#This Row],[REBOrder]],PlayerGameData[[#This Row],[REBOrder]])</f>
        <v>194.16</v>
      </c>
      <c r="AQ48" s="8">
        <f ca="1">RANK(PlayerGameData[[#This Row],[REBTieBreak]],PlayerGameData[REBTieBreak],1)</f>
        <v>224</v>
      </c>
      <c r="AR48" s="8">
        <f ca="1">RANK(PlayerGameData[[#This Row],[AST]],PlayerGameData[AST],0)+PlayerGameData[[#This Row],[VisibleOrder]]</f>
        <v>158</v>
      </c>
      <c r="AS48" s="8">
        <f ca="1">IF(COUNTIF(PlayerGameData[ASTOrder],PlayerGameData[[#This Row],[ASTOrder]])&gt;1,PlayerGameData[[#This Row],[PointRank]]/100+PlayerGameData[[#This Row],[ASTOrder]],PlayerGameData[[#This Row],[ASTOrder]])</f>
        <v>160.16</v>
      </c>
      <c r="AT48" s="8">
        <f ca="1">RANK(PlayerGameData[[#This Row],[ASTTieBreak]],PlayerGameData[ASTTieBreak],1)</f>
        <v>221</v>
      </c>
      <c r="AU48" s="8">
        <f ca="1">RANK(PlayerGameData[[#This Row],[STL]],PlayerGameData[STL],0)+PlayerGameData[[#This Row],[VisibleOrder]]</f>
        <v>143</v>
      </c>
      <c r="AV48" s="8">
        <f ca="1">IF(COUNTIF(PlayerGameData[STLOrder],PlayerGameData[[#This Row],[STLOrder]])&gt;1,PlayerGameData[[#This Row],[PointRank]]/100+PlayerGameData[[#This Row],[STLOrder]],PlayerGameData[[#This Row],[STLOrder]])</f>
        <v>145.16</v>
      </c>
      <c r="AW48" s="8">
        <f ca="1">RANK(PlayerGameData[[#This Row],[STLTieBreak]],PlayerGameData[STLTieBreak],1)</f>
        <v>217</v>
      </c>
      <c r="AX48" s="8">
        <f ca="1">RANK(PlayerGameData[[#This Row],[BLK]],PlayerGameData[BLK],0)+PlayerGameData[[#This Row],[VisibleOrder]]</f>
        <v>32</v>
      </c>
      <c r="AY48" s="8">
        <f ca="1">IF(COUNTIF(PlayerGameData[BLKOrder],PlayerGameData[[#This Row],[BLKOrder]])&gt;1,PlayerGameData[[#This Row],[PointRank]]/100+PlayerGameData[[#This Row],[BLKOrder]],PlayerGameData[[#This Row],[BLKOrder]])</f>
        <v>34.159999999999997</v>
      </c>
      <c r="AZ48" s="8">
        <f ca="1">RANK(PlayerGameData[[#This Row],[BLKTieBreak]],PlayerGameData[BLKTieBreak],1)</f>
        <v>216</v>
      </c>
      <c r="BA48" s="11">
        <f ca="1">IFERROR(IF(PlayerGameData[[#This Row],[FGA]]&gt;$AA$5,PlayerGameData[[#This Row],[FG%*]],PlayerGameData[[#This Row],[FG%*]]*-1),-2)</f>
        <v>-2</v>
      </c>
      <c r="BB48" s="8">
        <f ca="1">RANK(PlayerGameData[[#This Row],[EligFG]],PlayerGameData[EligFG],0)+PlayerGameData[[#This Row],[VisibleOrder]]</f>
        <v>215</v>
      </c>
      <c r="BC48" s="8">
        <f ca="1">IF(COUNTIF(PlayerGameData[EligFGOrder],PlayerGameData[[#This Row],[EligFGOrder]])&gt;1,PlayerGameData[[#This Row],[PointRank]]/100+PlayerGameData[[#This Row],[EligFGOrder]],PlayerGameData[[#This Row],[EligFGOrder]])</f>
        <v>217.16</v>
      </c>
      <c r="BD48" s="8">
        <f ca="1">RANK(PlayerGameData[[#This Row],[EligFGTieBreak]],PlayerGameData[EligFGTieBreak],1)</f>
        <v>216</v>
      </c>
      <c r="BE48" s="8" t="str">
        <f>Roster!$D$3</f>
        <v>East</v>
      </c>
      <c r="BF48" s="8" t="str">
        <f>Roster!$D$2</f>
        <v>Northeast</v>
      </c>
      <c r="BG48" s="8" t="str">
        <f>Roster!$D$4</f>
        <v>North</v>
      </c>
      <c r="BH48" s="197">
        <f ca="1">IFERROR(VLOOKUP(CONCATENATE(PlayerGameData[[#This Row],[Opponent]]," ",MONTH(PlayerGameData[[#This Row],[Date]]),"/",DAY(PlayerGameData[[#This Row],[Date]]),"/",YEAR(PlayerGameData[[#This Row],[Date]])),Table35[],2,FALSE),0)</f>
        <v>1</v>
      </c>
      <c r="BI48" s="197">
        <f ca="1">IF(PlayerGameData[[#This Row],[Visible]]=1,1,1000)</f>
        <v>1</v>
      </c>
      <c r="BJ48" s="197" t="e">
        <f ca="1">_xlfn.MAXIFS(TeamGameData[Win],TeamGameData[School, Opponent,Game'#],PlayerGameData[[#This Row],[School, Opponent,Game'#]])</f>
        <v>#NAME?</v>
      </c>
      <c r="BK48" s="197" t="e">
        <f ca="1">_xlfn.MAXIFS(TeamGameData[Loss],TeamGameData[School, Opponent,Game'#],PlayerGameData[[#This Row],[School, Opponent,Game'#]])</f>
        <v>#NAME?</v>
      </c>
    </row>
    <row r="49" spans="1:63" x14ac:dyDescent="0.25">
      <c r="A49" s="8" t="str">
        <f t="shared" ca="1" si="0"/>
        <v xml:space="preserve">, </v>
      </c>
      <c r="B49" s="8" t="str">
        <f>Roster!$B$1</f>
        <v>Upton</v>
      </c>
      <c r="C49" s="8" t="str">
        <f t="shared" ca="1" si="1"/>
        <v>Riverside</v>
      </c>
      <c r="D49" s="10">
        <f t="shared" ca="1" si="2"/>
        <v>44904</v>
      </c>
      <c r="E49" s="8">
        <f t="shared" ca="1" si="3"/>
        <v>0</v>
      </c>
      <c r="F49" s="8">
        <f t="shared" ca="1" si="4"/>
        <v>0</v>
      </c>
      <c r="G49" s="8">
        <f t="shared" ca="1" si="5"/>
        <v>0</v>
      </c>
      <c r="H49" s="8">
        <f t="shared" ca="1" si="6"/>
        <v>0</v>
      </c>
      <c r="I49" s="8">
        <f t="shared" ca="1" si="7"/>
        <v>0</v>
      </c>
      <c r="J49" s="8">
        <f t="shared" ca="1" si="8"/>
        <v>0</v>
      </c>
      <c r="K49" s="8">
        <f t="shared" ca="1" si="9"/>
        <v>0</v>
      </c>
      <c r="L49" s="8">
        <f t="shared" ca="1" si="10"/>
        <v>0</v>
      </c>
      <c r="M49" s="8">
        <f t="shared" ca="1" si="11"/>
        <v>0</v>
      </c>
      <c r="N49" s="8">
        <f t="shared" ca="1" si="12"/>
        <v>0</v>
      </c>
      <c r="O49" s="8">
        <f t="shared" ca="1" si="13"/>
        <v>0</v>
      </c>
      <c r="P49" s="8">
        <f t="shared" ca="1" si="14"/>
        <v>0</v>
      </c>
      <c r="Q49" s="8">
        <f t="shared" ca="1" si="15"/>
        <v>0</v>
      </c>
      <c r="R49" s="8">
        <f t="shared" ca="1" si="16"/>
        <v>0</v>
      </c>
      <c r="S49" s="8">
        <f t="shared" ca="1" si="17"/>
        <v>0</v>
      </c>
      <c r="T49" s="8">
        <f t="shared" ca="1" si="18"/>
        <v>0</v>
      </c>
      <c r="U49" s="8">
        <f t="shared" ca="1" si="19"/>
        <v>0</v>
      </c>
      <c r="V49" s="8">
        <f t="shared" ca="1" si="20"/>
        <v>0</v>
      </c>
      <c r="W49" s="11" t="str">
        <f t="shared" ca="1" si="21"/>
        <v/>
      </c>
      <c r="X49" s="11" t="str">
        <f t="shared" ca="1" si="22"/>
        <v/>
      </c>
      <c r="Y49" s="11" t="str">
        <f t="shared" ca="1" si="23"/>
        <v/>
      </c>
      <c r="Z49" s="11" t="str">
        <f t="shared" ca="1" si="24"/>
        <v/>
      </c>
      <c r="AA49" s="11" t="str">
        <f t="shared" ca="1" si="25"/>
        <v/>
      </c>
      <c r="AB49" s="47">
        <f ca="1">PlayerGameData[[#This Row],[3FGA]]+PlayerGameData[[#This Row],[2FGA]]</f>
        <v>0</v>
      </c>
      <c r="AC49" s="47">
        <f ca="1">PlayerGameData[[#This Row],[OFF REB]]+PlayerGameData[[#This Row],[DEF REB]]</f>
        <v>0</v>
      </c>
      <c r="AD49" s="8">
        <f t="shared" si="26"/>
        <v>2</v>
      </c>
      <c r="AE49" s="8" t="str">
        <f t="shared" ca="1" si="27"/>
        <v>,  - Riverside 12/9/2022</v>
      </c>
      <c r="AF49" s="8" t="str">
        <f t="shared" ca="1" si="28"/>
        <v/>
      </c>
      <c r="AG49" s="8" t="str">
        <f ca="1">IFERROR(IF(C49=0,"",IF(AND(VLOOKUP(PlayerGameData[[#This Row],[Opponent]],WYTeamInfo,2,FALSE)=Roster!$D$1,VLOOKUP(PlayerGameData[[#This Row],[Opponent]],WYTeamInfo,3,FALSE)=Roster!$D$2),"SR","")),"")</f>
        <v/>
      </c>
      <c r="AH49" s="8" t="str">
        <f>CONCATENATE(Roster!$D$1," ",Roster!$D$5)</f>
        <v>1A BB</v>
      </c>
      <c r="AI49" s="8" t="str">
        <f t="shared" ca="1" si="29"/>
        <v>Upton - Riverside 12/9/2022</v>
      </c>
      <c r="AJ49" s="8">
        <f ca="1">IFERROR(VLOOKUP(PlayerGameData[[#This Row],[School, Opponent,Game'#]],Table3[],2,FALSE),0)</f>
        <v>1</v>
      </c>
      <c r="AK49" s="8">
        <f ca="1">IF(PlayerGameData[[#This Row],[Visible]]=1,1,1000)</f>
        <v>1</v>
      </c>
      <c r="AL49" s="8">
        <f ca="1">RANK(PlayerGameData[[#This Row],[TL PTS]],PlayerGameData[TL PTS],0)+PlayerGameData[[#This Row],[VisibleOrder]]</f>
        <v>185</v>
      </c>
      <c r="AM49" s="8">
        <f ca="1">IF(COUNTIF(PlayerGameData[PointOrder],PlayerGameData[[#This Row],[PointOrder]])&gt;1,RANK(PlayerGameData[[#This Row],[FGA]],PlayerGameData[FGA],0)/100,0)+PlayerGameData[[#This Row],[PointOrder]]</f>
        <v>187.14</v>
      </c>
      <c r="AN49" s="8">
        <f ca="1">RANK(PlayerGameData[[#This Row],[PointTieBreak]],PlayerGameData[PointTieBreak],1)</f>
        <v>216</v>
      </c>
      <c r="AO49" s="8">
        <f ca="1">RANK(PlayerGameData[[#This Row],[REB]],PlayerGameData[REB],0)+PlayerGameData[[#This Row],[VisibleOrder]]</f>
        <v>192</v>
      </c>
      <c r="AP49" s="8">
        <f ca="1">IF(COUNTIF(PlayerGameData[REBOrder],PlayerGameData[[#This Row],[REBOrder]])&gt;1,PlayerGameData[[#This Row],[PointRank]]/100+PlayerGameData[[#This Row],[REBOrder]],PlayerGameData[[#This Row],[REBOrder]])</f>
        <v>194.16</v>
      </c>
      <c r="AQ49" s="8">
        <f ca="1">RANK(PlayerGameData[[#This Row],[REBTieBreak]],PlayerGameData[REBTieBreak],1)</f>
        <v>224</v>
      </c>
      <c r="AR49" s="8">
        <f ca="1">RANK(PlayerGameData[[#This Row],[AST]],PlayerGameData[AST],0)+PlayerGameData[[#This Row],[VisibleOrder]]</f>
        <v>158</v>
      </c>
      <c r="AS49" s="8">
        <f ca="1">IF(COUNTIF(PlayerGameData[ASTOrder],PlayerGameData[[#This Row],[ASTOrder]])&gt;1,PlayerGameData[[#This Row],[PointRank]]/100+PlayerGameData[[#This Row],[ASTOrder]],PlayerGameData[[#This Row],[ASTOrder]])</f>
        <v>160.16</v>
      </c>
      <c r="AT49" s="8">
        <f ca="1">RANK(PlayerGameData[[#This Row],[ASTTieBreak]],PlayerGameData[ASTTieBreak],1)</f>
        <v>221</v>
      </c>
      <c r="AU49" s="8">
        <f ca="1">RANK(PlayerGameData[[#This Row],[STL]],PlayerGameData[STL],0)+PlayerGameData[[#This Row],[VisibleOrder]]</f>
        <v>143</v>
      </c>
      <c r="AV49" s="8">
        <f ca="1">IF(COUNTIF(PlayerGameData[STLOrder],PlayerGameData[[#This Row],[STLOrder]])&gt;1,PlayerGameData[[#This Row],[PointRank]]/100+PlayerGameData[[#This Row],[STLOrder]],PlayerGameData[[#This Row],[STLOrder]])</f>
        <v>145.16</v>
      </c>
      <c r="AW49" s="8">
        <f ca="1">RANK(PlayerGameData[[#This Row],[STLTieBreak]],PlayerGameData[STLTieBreak],1)</f>
        <v>217</v>
      </c>
      <c r="AX49" s="8">
        <f ca="1">RANK(PlayerGameData[[#This Row],[BLK]],PlayerGameData[BLK],0)+PlayerGameData[[#This Row],[VisibleOrder]]</f>
        <v>32</v>
      </c>
      <c r="AY49" s="8">
        <f ca="1">IF(COUNTIF(PlayerGameData[BLKOrder],PlayerGameData[[#This Row],[BLKOrder]])&gt;1,PlayerGameData[[#This Row],[PointRank]]/100+PlayerGameData[[#This Row],[BLKOrder]],PlayerGameData[[#This Row],[BLKOrder]])</f>
        <v>34.159999999999997</v>
      </c>
      <c r="AZ49" s="8">
        <f ca="1">RANK(PlayerGameData[[#This Row],[BLKTieBreak]],PlayerGameData[BLKTieBreak],1)</f>
        <v>216</v>
      </c>
      <c r="BA49" s="11">
        <f ca="1">IFERROR(IF(PlayerGameData[[#This Row],[FGA]]&gt;$AA$5,PlayerGameData[[#This Row],[FG%*]],PlayerGameData[[#This Row],[FG%*]]*-1),-2)</f>
        <v>-2</v>
      </c>
      <c r="BB49" s="8">
        <f ca="1">RANK(PlayerGameData[[#This Row],[EligFG]],PlayerGameData[EligFG],0)+PlayerGameData[[#This Row],[VisibleOrder]]</f>
        <v>215</v>
      </c>
      <c r="BC49" s="8">
        <f ca="1">IF(COUNTIF(PlayerGameData[EligFGOrder],PlayerGameData[[#This Row],[EligFGOrder]])&gt;1,PlayerGameData[[#This Row],[PointRank]]/100+PlayerGameData[[#This Row],[EligFGOrder]],PlayerGameData[[#This Row],[EligFGOrder]])</f>
        <v>217.16</v>
      </c>
      <c r="BD49" s="8">
        <f ca="1">RANK(PlayerGameData[[#This Row],[EligFGTieBreak]],PlayerGameData[EligFGTieBreak],1)</f>
        <v>216</v>
      </c>
      <c r="BE49" s="8" t="str">
        <f>Roster!$D$3</f>
        <v>East</v>
      </c>
      <c r="BF49" s="8" t="str">
        <f>Roster!$D$2</f>
        <v>Northeast</v>
      </c>
      <c r="BG49" s="8" t="str">
        <f>Roster!$D$4</f>
        <v>North</v>
      </c>
      <c r="BH49" s="197">
        <f ca="1">IFERROR(VLOOKUP(CONCATENATE(PlayerGameData[[#This Row],[Opponent]]," ",MONTH(PlayerGameData[[#This Row],[Date]]),"/",DAY(PlayerGameData[[#This Row],[Date]]),"/",YEAR(PlayerGameData[[#This Row],[Date]])),Table35[],2,FALSE),0)</f>
        <v>1</v>
      </c>
      <c r="BI49" s="197">
        <f ca="1">IF(PlayerGameData[[#This Row],[Visible]]=1,1,1000)</f>
        <v>1</v>
      </c>
      <c r="BJ49" s="197" t="e">
        <f ca="1">_xlfn.MAXIFS(TeamGameData[Win],TeamGameData[School, Opponent,Game'#],PlayerGameData[[#This Row],[School, Opponent,Game'#]])</f>
        <v>#NAME?</v>
      </c>
      <c r="BK49" s="197" t="e">
        <f ca="1">_xlfn.MAXIFS(TeamGameData[Loss],TeamGameData[School, Opponent,Game'#],PlayerGameData[[#This Row],[School, Opponent,Game'#]])</f>
        <v>#NAME?</v>
      </c>
    </row>
    <row r="50" spans="1:63" x14ac:dyDescent="0.25">
      <c r="A50" s="8" t="str">
        <f t="shared" ca="1" si="0"/>
        <v xml:space="preserve">, </v>
      </c>
      <c r="B50" s="8" t="str">
        <f>Roster!$B$1</f>
        <v>Upton</v>
      </c>
      <c r="C50" s="8" t="str">
        <f t="shared" ca="1" si="1"/>
        <v>Riverside</v>
      </c>
      <c r="D50" s="10">
        <f t="shared" ca="1" si="2"/>
        <v>44904</v>
      </c>
      <c r="E50" s="8">
        <f t="shared" ca="1" si="3"/>
        <v>0</v>
      </c>
      <c r="F50" s="8">
        <f t="shared" ca="1" si="4"/>
        <v>0</v>
      </c>
      <c r="G50" s="8">
        <f t="shared" ca="1" si="5"/>
        <v>0</v>
      </c>
      <c r="H50" s="8">
        <f t="shared" ca="1" si="6"/>
        <v>0</v>
      </c>
      <c r="I50" s="8">
        <f t="shared" ca="1" si="7"/>
        <v>0</v>
      </c>
      <c r="J50" s="8">
        <f t="shared" ca="1" si="8"/>
        <v>0</v>
      </c>
      <c r="K50" s="8">
        <f t="shared" ca="1" si="9"/>
        <v>0</v>
      </c>
      <c r="L50" s="8">
        <f t="shared" ca="1" si="10"/>
        <v>0</v>
      </c>
      <c r="M50" s="8">
        <f t="shared" ca="1" si="11"/>
        <v>0</v>
      </c>
      <c r="N50" s="8">
        <f t="shared" ca="1" si="12"/>
        <v>0</v>
      </c>
      <c r="O50" s="8">
        <f t="shared" ca="1" si="13"/>
        <v>0</v>
      </c>
      <c r="P50" s="8">
        <f t="shared" ca="1" si="14"/>
        <v>0</v>
      </c>
      <c r="Q50" s="8">
        <f t="shared" ca="1" si="15"/>
        <v>0</v>
      </c>
      <c r="R50" s="8">
        <f t="shared" ca="1" si="16"/>
        <v>0</v>
      </c>
      <c r="S50" s="8">
        <f t="shared" ca="1" si="17"/>
        <v>0</v>
      </c>
      <c r="T50" s="8">
        <f t="shared" ca="1" si="18"/>
        <v>0</v>
      </c>
      <c r="U50" s="8">
        <f t="shared" ca="1" si="19"/>
        <v>0</v>
      </c>
      <c r="V50" s="8">
        <f t="shared" ca="1" si="20"/>
        <v>0</v>
      </c>
      <c r="W50" s="11" t="str">
        <f t="shared" ca="1" si="21"/>
        <v/>
      </c>
      <c r="X50" s="11" t="str">
        <f t="shared" ca="1" si="22"/>
        <v/>
      </c>
      <c r="Y50" s="11" t="str">
        <f t="shared" ca="1" si="23"/>
        <v/>
      </c>
      <c r="Z50" s="11" t="str">
        <f t="shared" ca="1" si="24"/>
        <v/>
      </c>
      <c r="AA50" s="11" t="str">
        <f t="shared" ca="1" si="25"/>
        <v/>
      </c>
      <c r="AB50" s="47">
        <f ca="1">PlayerGameData[[#This Row],[3FGA]]+PlayerGameData[[#This Row],[2FGA]]</f>
        <v>0</v>
      </c>
      <c r="AC50" s="47">
        <f ca="1">PlayerGameData[[#This Row],[OFF REB]]+PlayerGameData[[#This Row],[DEF REB]]</f>
        <v>0</v>
      </c>
      <c r="AD50" s="8">
        <f t="shared" si="26"/>
        <v>2</v>
      </c>
      <c r="AE50" s="8" t="str">
        <f t="shared" ca="1" si="27"/>
        <v>,  - Riverside 12/9/2022</v>
      </c>
      <c r="AF50" s="8" t="str">
        <f t="shared" ca="1" si="28"/>
        <v/>
      </c>
      <c r="AG50" s="8" t="str">
        <f ca="1">IFERROR(IF(C50=0,"",IF(AND(VLOOKUP(PlayerGameData[[#This Row],[Opponent]],WYTeamInfo,2,FALSE)=Roster!$D$1,VLOOKUP(PlayerGameData[[#This Row],[Opponent]],WYTeamInfo,3,FALSE)=Roster!$D$2),"SR","")),"")</f>
        <v/>
      </c>
      <c r="AH50" s="8" t="str">
        <f>CONCATENATE(Roster!$D$1," ",Roster!$D$5)</f>
        <v>1A BB</v>
      </c>
      <c r="AI50" s="8" t="str">
        <f t="shared" ca="1" si="29"/>
        <v>Upton - Riverside 12/9/2022</v>
      </c>
      <c r="AJ50" s="8">
        <f ca="1">IFERROR(VLOOKUP(PlayerGameData[[#This Row],[School, Opponent,Game'#]],Table3[],2,FALSE),0)</f>
        <v>1</v>
      </c>
      <c r="AK50" s="8">
        <f ca="1">IF(PlayerGameData[[#This Row],[Visible]]=1,1,1000)</f>
        <v>1</v>
      </c>
      <c r="AL50" s="8">
        <f ca="1">RANK(PlayerGameData[[#This Row],[TL PTS]],PlayerGameData[TL PTS],0)+PlayerGameData[[#This Row],[VisibleOrder]]</f>
        <v>185</v>
      </c>
      <c r="AM50" s="8">
        <f ca="1">IF(COUNTIF(PlayerGameData[PointOrder],PlayerGameData[[#This Row],[PointOrder]])&gt;1,RANK(PlayerGameData[[#This Row],[FGA]],PlayerGameData[FGA],0)/100,0)+PlayerGameData[[#This Row],[PointOrder]]</f>
        <v>187.14</v>
      </c>
      <c r="AN50" s="8">
        <f ca="1">RANK(PlayerGameData[[#This Row],[PointTieBreak]],PlayerGameData[PointTieBreak],1)</f>
        <v>216</v>
      </c>
      <c r="AO50" s="8">
        <f ca="1">RANK(PlayerGameData[[#This Row],[REB]],PlayerGameData[REB],0)+PlayerGameData[[#This Row],[VisibleOrder]]</f>
        <v>192</v>
      </c>
      <c r="AP50" s="8">
        <f ca="1">IF(COUNTIF(PlayerGameData[REBOrder],PlayerGameData[[#This Row],[REBOrder]])&gt;1,PlayerGameData[[#This Row],[PointRank]]/100+PlayerGameData[[#This Row],[REBOrder]],PlayerGameData[[#This Row],[REBOrder]])</f>
        <v>194.16</v>
      </c>
      <c r="AQ50" s="8">
        <f ca="1">RANK(PlayerGameData[[#This Row],[REBTieBreak]],PlayerGameData[REBTieBreak],1)</f>
        <v>224</v>
      </c>
      <c r="AR50" s="8">
        <f ca="1">RANK(PlayerGameData[[#This Row],[AST]],PlayerGameData[AST],0)+PlayerGameData[[#This Row],[VisibleOrder]]</f>
        <v>158</v>
      </c>
      <c r="AS50" s="8">
        <f ca="1">IF(COUNTIF(PlayerGameData[ASTOrder],PlayerGameData[[#This Row],[ASTOrder]])&gt;1,PlayerGameData[[#This Row],[PointRank]]/100+PlayerGameData[[#This Row],[ASTOrder]],PlayerGameData[[#This Row],[ASTOrder]])</f>
        <v>160.16</v>
      </c>
      <c r="AT50" s="8">
        <f ca="1">RANK(PlayerGameData[[#This Row],[ASTTieBreak]],PlayerGameData[ASTTieBreak],1)</f>
        <v>221</v>
      </c>
      <c r="AU50" s="8">
        <f ca="1">RANK(PlayerGameData[[#This Row],[STL]],PlayerGameData[STL],0)+PlayerGameData[[#This Row],[VisibleOrder]]</f>
        <v>143</v>
      </c>
      <c r="AV50" s="8">
        <f ca="1">IF(COUNTIF(PlayerGameData[STLOrder],PlayerGameData[[#This Row],[STLOrder]])&gt;1,PlayerGameData[[#This Row],[PointRank]]/100+PlayerGameData[[#This Row],[STLOrder]],PlayerGameData[[#This Row],[STLOrder]])</f>
        <v>145.16</v>
      </c>
      <c r="AW50" s="8">
        <f ca="1">RANK(PlayerGameData[[#This Row],[STLTieBreak]],PlayerGameData[STLTieBreak],1)</f>
        <v>217</v>
      </c>
      <c r="AX50" s="8">
        <f ca="1">RANK(PlayerGameData[[#This Row],[BLK]],PlayerGameData[BLK],0)+PlayerGameData[[#This Row],[VisibleOrder]]</f>
        <v>32</v>
      </c>
      <c r="AY50" s="8">
        <f ca="1">IF(COUNTIF(PlayerGameData[BLKOrder],PlayerGameData[[#This Row],[BLKOrder]])&gt;1,PlayerGameData[[#This Row],[PointRank]]/100+PlayerGameData[[#This Row],[BLKOrder]],PlayerGameData[[#This Row],[BLKOrder]])</f>
        <v>34.159999999999997</v>
      </c>
      <c r="AZ50" s="8">
        <f ca="1">RANK(PlayerGameData[[#This Row],[BLKTieBreak]],PlayerGameData[BLKTieBreak],1)</f>
        <v>216</v>
      </c>
      <c r="BA50" s="11">
        <f ca="1">IFERROR(IF(PlayerGameData[[#This Row],[FGA]]&gt;$AA$5,PlayerGameData[[#This Row],[FG%*]],PlayerGameData[[#This Row],[FG%*]]*-1),-2)</f>
        <v>-2</v>
      </c>
      <c r="BB50" s="8">
        <f ca="1">RANK(PlayerGameData[[#This Row],[EligFG]],PlayerGameData[EligFG],0)+PlayerGameData[[#This Row],[VisibleOrder]]</f>
        <v>215</v>
      </c>
      <c r="BC50" s="8">
        <f ca="1">IF(COUNTIF(PlayerGameData[EligFGOrder],PlayerGameData[[#This Row],[EligFGOrder]])&gt;1,PlayerGameData[[#This Row],[PointRank]]/100+PlayerGameData[[#This Row],[EligFGOrder]],PlayerGameData[[#This Row],[EligFGOrder]])</f>
        <v>217.16</v>
      </c>
      <c r="BD50" s="8">
        <f ca="1">RANK(PlayerGameData[[#This Row],[EligFGTieBreak]],PlayerGameData[EligFGTieBreak],1)</f>
        <v>216</v>
      </c>
      <c r="BE50" s="8" t="str">
        <f>Roster!$D$3</f>
        <v>East</v>
      </c>
      <c r="BF50" s="8" t="str">
        <f>Roster!$D$2</f>
        <v>Northeast</v>
      </c>
      <c r="BG50" s="8" t="str">
        <f>Roster!$D$4</f>
        <v>North</v>
      </c>
      <c r="BH50" s="197">
        <f ca="1">IFERROR(VLOOKUP(CONCATENATE(PlayerGameData[[#This Row],[Opponent]]," ",MONTH(PlayerGameData[[#This Row],[Date]]),"/",DAY(PlayerGameData[[#This Row],[Date]]),"/",YEAR(PlayerGameData[[#This Row],[Date]])),Table35[],2,FALSE),0)</f>
        <v>1</v>
      </c>
      <c r="BI50" s="197">
        <f ca="1">IF(PlayerGameData[[#This Row],[Visible]]=1,1,1000)</f>
        <v>1</v>
      </c>
      <c r="BJ50" s="197" t="e">
        <f ca="1">_xlfn.MAXIFS(TeamGameData[Win],TeamGameData[School, Opponent,Game'#],PlayerGameData[[#This Row],[School, Opponent,Game'#]])</f>
        <v>#NAME?</v>
      </c>
      <c r="BK50" s="197" t="e">
        <f ca="1">_xlfn.MAXIFS(TeamGameData[Loss],TeamGameData[School, Opponent,Game'#],PlayerGameData[[#This Row],[School, Opponent,Game'#]])</f>
        <v>#NAME?</v>
      </c>
    </row>
    <row r="51" spans="1:63" x14ac:dyDescent="0.25">
      <c r="A51" s="8" t="str">
        <f t="shared" ca="1" si="0"/>
        <v xml:space="preserve">, </v>
      </c>
      <c r="B51" s="8" t="str">
        <f>Roster!$B$1</f>
        <v>Upton</v>
      </c>
      <c r="C51" s="8" t="str">
        <f t="shared" ca="1" si="1"/>
        <v>Riverside</v>
      </c>
      <c r="D51" s="10">
        <f t="shared" ca="1" si="2"/>
        <v>44904</v>
      </c>
      <c r="E51" s="8">
        <f t="shared" ca="1" si="3"/>
        <v>0</v>
      </c>
      <c r="F51" s="8">
        <f t="shared" ca="1" si="4"/>
        <v>0</v>
      </c>
      <c r="G51" s="8">
        <f t="shared" ca="1" si="5"/>
        <v>0</v>
      </c>
      <c r="H51" s="8">
        <f t="shared" ca="1" si="6"/>
        <v>0</v>
      </c>
      <c r="I51" s="8">
        <f t="shared" ca="1" si="7"/>
        <v>0</v>
      </c>
      <c r="J51" s="8">
        <f t="shared" ca="1" si="8"/>
        <v>0</v>
      </c>
      <c r="K51" s="8">
        <f t="shared" ca="1" si="9"/>
        <v>0</v>
      </c>
      <c r="L51" s="8">
        <f t="shared" ca="1" si="10"/>
        <v>0</v>
      </c>
      <c r="M51" s="8">
        <f t="shared" ca="1" si="11"/>
        <v>0</v>
      </c>
      <c r="N51" s="8">
        <f t="shared" ca="1" si="12"/>
        <v>0</v>
      </c>
      <c r="O51" s="8">
        <f t="shared" ca="1" si="13"/>
        <v>0</v>
      </c>
      <c r="P51" s="8">
        <f t="shared" ca="1" si="14"/>
        <v>0</v>
      </c>
      <c r="Q51" s="8">
        <f t="shared" ca="1" si="15"/>
        <v>0</v>
      </c>
      <c r="R51" s="8">
        <f t="shared" ca="1" si="16"/>
        <v>0</v>
      </c>
      <c r="S51" s="8">
        <f t="shared" ca="1" si="17"/>
        <v>0</v>
      </c>
      <c r="T51" s="8">
        <f t="shared" ca="1" si="18"/>
        <v>0</v>
      </c>
      <c r="U51" s="8">
        <f t="shared" ca="1" si="19"/>
        <v>0</v>
      </c>
      <c r="V51" s="8">
        <f t="shared" ca="1" si="20"/>
        <v>0</v>
      </c>
      <c r="W51" s="11" t="str">
        <f t="shared" ca="1" si="21"/>
        <v/>
      </c>
      <c r="X51" s="11" t="str">
        <f t="shared" ca="1" si="22"/>
        <v/>
      </c>
      <c r="Y51" s="11" t="str">
        <f t="shared" ca="1" si="23"/>
        <v/>
      </c>
      <c r="Z51" s="11" t="str">
        <f t="shared" ca="1" si="24"/>
        <v/>
      </c>
      <c r="AA51" s="11" t="str">
        <f t="shared" ca="1" si="25"/>
        <v/>
      </c>
      <c r="AB51" s="47">
        <f ca="1">PlayerGameData[[#This Row],[3FGA]]+PlayerGameData[[#This Row],[2FGA]]</f>
        <v>0</v>
      </c>
      <c r="AC51" s="47">
        <f ca="1">PlayerGameData[[#This Row],[OFF REB]]+PlayerGameData[[#This Row],[DEF REB]]</f>
        <v>0</v>
      </c>
      <c r="AD51" s="8">
        <f t="shared" si="26"/>
        <v>2</v>
      </c>
      <c r="AE51" s="8" t="str">
        <f t="shared" ca="1" si="27"/>
        <v>,  - Riverside 12/9/2022</v>
      </c>
      <c r="AF51" s="8" t="str">
        <f t="shared" ca="1" si="28"/>
        <v/>
      </c>
      <c r="AG51" s="8" t="str">
        <f ca="1">IFERROR(IF(C51=0,"",IF(AND(VLOOKUP(PlayerGameData[[#This Row],[Opponent]],WYTeamInfo,2,FALSE)=Roster!$D$1,VLOOKUP(PlayerGameData[[#This Row],[Opponent]],WYTeamInfo,3,FALSE)=Roster!$D$2),"SR","")),"")</f>
        <v/>
      </c>
      <c r="AH51" s="8" t="str">
        <f>CONCATENATE(Roster!$D$1," ",Roster!$D$5)</f>
        <v>1A BB</v>
      </c>
      <c r="AI51" s="8" t="str">
        <f t="shared" ca="1" si="29"/>
        <v>Upton - Riverside 12/9/2022</v>
      </c>
      <c r="AJ51" s="8">
        <f ca="1">IFERROR(VLOOKUP(PlayerGameData[[#This Row],[School, Opponent,Game'#]],Table3[],2,FALSE),0)</f>
        <v>1</v>
      </c>
      <c r="AK51" s="8">
        <f ca="1">IF(PlayerGameData[[#This Row],[Visible]]=1,1,1000)</f>
        <v>1</v>
      </c>
      <c r="AL51" s="8">
        <f ca="1">RANK(PlayerGameData[[#This Row],[TL PTS]],PlayerGameData[TL PTS],0)+PlayerGameData[[#This Row],[VisibleOrder]]</f>
        <v>185</v>
      </c>
      <c r="AM51" s="8">
        <f ca="1">IF(COUNTIF(PlayerGameData[PointOrder],PlayerGameData[[#This Row],[PointOrder]])&gt;1,RANK(PlayerGameData[[#This Row],[FGA]],PlayerGameData[FGA],0)/100,0)+PlayerGameData[[#This Row],[PointOrder]]</f>
        <v>187.14</v>
      </c>
      <c r="AN51" s="8">
        <f ca="1">RANK(PlayerGameData[[#This Row],[PointTieBreak]],PlayerGameData[PointTieBreak],1)</f>
        <v>216</v>
      </c>
      <c r="AO51" s="8">
        <f ca="1">RANK(PlayerGameData[[#This Row],[REB]],PlayerGameData[REB],0)+PlayerGameData[[#This Row],[VisibleOrder]]</f>
        <v>192</v>
      </c>
      <c r="AP51" s="8">
        <f ca="1">IF(COUNTIF(PlayerGameData[REBOrder],PlayerGameData[[#This Row],[REBOrder]])&gt;1,PlayerGameData[[#This Row],[PointRank]]/100+PlayerGameData[[#This Row],[REBOrder]],PlayerGameData[[#This Row],[REBOrder]])</f>
        <v>194.16</v>
      </c>
      <c r="AQ51" s="8">
        <f ca="1">RANK(PlayerGameData[[#This Row],[REBTieBreak]],PlayerGameData[REBTieBreak],1)</f>
        <v>224</v>
      </c>
      <c r="AR51" s="8">
        <f ca="1">RANK(PlayerGameData[[#This Row],[AST]],PlayerGameData[AST],0)+PlayerGameData[[#This Row],[VisibleOrder]]</f>
        <v>158</v>
      </c>
      <c r="AS51" s="8">
        <f ca="1">IF(COUNTIF(PlayerGameData[ASTOrder],PlayerGameData[[#This Row],[ASTOrder]])&gt;1,PlayerGameData[[#This Row],[PointRank]]/100+PlayerGameData[[#This Row],[ASTOrder]],PlayerGameData[[#This Row],[ASTOrder]])</f>
        <v>160.16</v>
      </c>
      <c r="AT51" s="8">
        <f ca="1">RANK(PlayerGameData[[#This Row],[ASTTieBreak]],PlayerGameData[ASTTieBreak],1)</f>
        <v>221</v>
      </c>
      <c r="AU51" s="8">
        <f ca="1">RANK(PlayerGameData[[#This Row],[STL]],PlayerGameData[STL],0)+PlayerGameData[[#This Row],[VisibleOrder]]</f>
        <v>143</v>
      </c>
      <c r="AV51" s="8">
        <f ca="1">IF(COUNTIF(PlayerGameData[STLOrder],PlayerGameData[[#This Row],[STLOrder]])&gt;1,PlayerGameData[[#This Row],[PointRank]]/100+PlayerGameData[[#This Row],[STLOrder]],PlayerGameData[[#This Row],[STLOrder]])</f>
        <v>145.16</v>
      </c>
      <c r="AW51" s="8">
        <f ca="1">RANK(PlayerGameData[[#This Row],[STLTieBreak]],PlayerGameData[STLTieBreak],1)</f>
        <v>217</v>
      </c>
      <c r="AX51" s="8">
        <f ca="1">RANK(PlayerGameData[[#This Row],[BLK]],PlayerGameData[BLK],0)+PlayerGameData[[#This Row],[VisibleOrder]]</f>
        <v>32</v>
      </c>
      <c r="AY51" s="8">
        <f ca="1">IF(COUNTIF(PlayerGameData[BLKOrder],PlayerGameData[[#This Row],[BLKOrder]])&gt;1,PlayerGameData[[#This Row],[PointRank]]/100+PlayerGameData[[#This Row],[BLKOrder]],PlayerGameData[[#This Row],[BLKOrder]])</f>
        <v>34.159999999999997</v>
      </c>
      <c r="AZ51" s="8">
        <f ca="1">RANK(PlayerGameData[[#This Row],[BLKTieBreak]],PlayerGameData[BLKTieBreak],1)</f>
        <v>216</v>
      </c>
      <c r="BA51" s="11">
        <f ca="1">IFERROR(IF(PlayerGameData[[#This Row],[FGA]]&gt;$AA$5,PlayerGameData[[#This Row],[FG%*]],PlayerGameData[[#This Row],[FG%*]]*-1),-2)</f>
        <v>-2</v>
      </c>
      <c r="BB51" s="8">
        <f ca="1">RANK(PlayerGameData[[#This Row],[EligFG]],PlayerGameData[EligFG],0)+PlayerGameData[[#This Row],[VisibleOrder]]</f>
        <v>215</v>
      </c>
      <c r="BC51" s="8">
        <f ca="1">IF(COUNTIF(PlayerGameData[EligFGOrder],PlayerGameData[[#This Row],[EligFGOrder]])&gt;1,PlayerGameData[[#This Row],[PointRank]]/100+PlayerGameData[[#This Row],[EligFGOrder]],PlayerGameData[[#This Row],[EligFGOrder]])</f>
        <v>217.16</v>
      </c>
      <c r="BD51" s="8">
        <f ca="1">RANK(PlayerGameData[[#This Row],[EligFGTieBreak]],PlayerGameData[EligFGTieBreak],1)</f>
        <v>216</v>
      </c>
      <c r="BE51" s="8" t="str">
        <f>Roster!$D$3</f>
        <v>East</v>
      </c>
      <c r="BF51" s="8" t="str">
        <f>Roster!$D$2</f>
        <v>Northeast</v>
      </c>
      <c r="BG51" s="8" t="str">
        <f>Roster!$D$4</f>
        <v>North</v>
      </c>
      <c r="BH51" s="197">
        <f ca="1">IFERROR(VLOOKUP(CONCATENATE(PlayerGameData[[#This Row],[Opponent]]," ",MONTH(PlayerGameData[[#This Row],[Date]]),"/",DAY(PlayerGameData[[#This Row],[Date]]),"/",YEAR(PlayerGameData[[#This Row],[Date]])),Table35[],2,FALSE),0)</f>
        <v>1</v>
      </c>
      <c r="BI51" s="197">
        <f ca="1">IF(PlayerGameData[[#This Row],[Visible]]=1,1,1000)</f>
        <v>1</v>
      </c>
      <c r="BJ51" s="197" t="e">
        <f ca="1">_xlfn.MAXIFS(TeamGameData[Win],TeamGameData[School, Opponent,Game'#],PlayerGameData[[#This Row],[School, Opponent,Game'#]])</f>
        <v>#NAME?</v>
      </c>
      <c r="BK51" s="197" t="e">
        <f ca="1">_xlfn.MAXIFS(TeamGameData[Loss],TeamGameData[School, Opponent,Game'#],PlayerGameData[[#This Row],[School, Opponent,Game'#]])</f>
        <v>#NAME?</v>
      </c>
    </row>
    <row r="52" spans="1:63" x14ac:dyDescent="0.25">
      <c r="A52" s="8" t="str">
        <f t="shared" ca="1" si="0"/>
        <v xml:space="preserve">, </v>
      </c>
      <c r="B52" s="8" t="str">
        <f>Roster!$B$1</f>
        <v>Upton</v>
      </c>
      <c r="C52" s="8" t="str">
        <f t="shared" ca="1" si="1"/>
        <v>Riverside</v>
      </c>
      <c r="D52" s="10">
        <f t="shared" ca="1" si="2"/>
        <v>44904</v>
      </c>
      <c r="E52" s="8">
        <f t="shared" ca="1" si="3"/>
        <v>0</v>
      </c>
      <c r="F52" s="8">
        <f t="shared" ca="1" si="4"/>
        <v>0</v>
      </c>
      <c r="G52" s="8">
        <f t="shared" ca="1" si="5"/>
        <v>0</v>
      </c>
      <c r="H52" s="8">
        <f t="shared" ca="1" si="6"/>
        <v>0</v>
      </c>
      <c r="I52" s="8">
        <f t="shared" ca="1" si="7"/>
        <v>0</v>
      </c>
      <c r="J52" s="8">
        <f t="shared" ca="1" si="8"/>
        <v>0</v>
      </c>
      <c r="K52" s="8">
        <f t="shared" ca="1" si="9"/>
        <v>0</v>
      </c>
      <c r="L52" s="8">
        <f t="shared" ca="1" si="10"/>
        <v>0</v>
      </c>
      <c r="M52" s="8">
        <f t="shared" ca="1" si="11"/>
        <v>0</v>
      </c>
      <c r="N52" s="8">
        <f t="shared" ca="1" si="12"/>
        <v>0</v>
      </c>
      <c r="O52" s="8">
        <f t="shared" ca="1" si="13"/>
        <v>0</v>
      </c>
      <c r="P52" s="8">
        <f t="shared" ca="1" si="14"/>
        <v>0</v>
      </c>
      <c r="Q52" s="8">
        <f t="shared" ca="1" si="15"/>
        <v>0</v>
      </c>
      <c r="R52" s="8">
        <f t="shared" ca="1" si="16"/>
        <v>0</v>
      </c>
      <c r="S52" s="8">
        <f t="shared" ca="1" si="17"/>
        <v>0</v>
      </c>
      <c r="T52" s="8">
        <f t="shared" ca="1" si="18"/>
        <v>0</v>
      </c>
      <c r="U52" s="8">
        <f t="shared" ca="1" si="19"/>
        <v>0</v>
      </c>
      <c r="V52" s="8">
        <f t="shared" ca="1" si="20"/>
        <v>0</v>
      </c>
      <c r="W52" s="11" t="str">
        <f t="shared" ca="1" si="21"/>
        <v/>
      </c>
      <c r="X52" s="11" t="str">
        <f t="shared" ca="1" si="22"/>
        <v/>
      </c>
      <c r="Y52" s="11" t="str">
        <f t="shared" ca="1" si="23"/>
        <v/>
      </c>
      <c r="Z52" s="11" t="str">
        <f t="shared" ca="1" si="24"/>
        <v/>
      </c>
      <c r="AA52" s="11" t="str">
        <f t="shared" ca="1" si="25"/>
        <v/>
      </c>
      <c r="AB52" s="47">
        <f ca="1">PlayerGameData[[#This Row],[3FGA]]+PlayerGameData[[#This Row],[2FGA]]</f>
        <v>0</v>
      </c>
      <c r="AC52" s="47">
        <f ca="1">PlayerGameData[[#This Row],[OFF REB]]+PlayerGameData[[#This Row],[DEF REB]]</f>
        <v>0</v>
      </c>
      <c r="AD52" s="8">
        <f t="shared" si="26"/>
        <v>2</v>
      </c>
      <c r="AE52" s="8" t="str">
        <f t="shared" ca="1" si="27"/>
        <v>,  - Riverside 12/9/2022</v>
      </c>
      <c r="AF52" s="8" t="str">
        <f t="shared" ca="1" si="28"/>
        <v/>
      </c>
      <c r="AG52" s="8" t="str">
        <f ca="1">IFERROR(IF(C52=0,"",IF(AND(VLOOKUP(PlayerGameData[[#This Row],[Opponent]],WYTeamInfo,2,FALSE)=Roster!$D$1,VLOOKUP(PlayerGameData[[#This Row],[Opponent]],WYTeamInfo,3,FALSE)=Roster!$D$2),"SR","")),"")</f>
        <v/>
      </c>
      <c r="AH52" s="8" t="str">
        <f>CONCATENATE(Roster!$D$1," ",Roster!$D$5)</f>
        <v>1A BB</v>
      </c>
      <c r="AI52" s="8" t="str">
        <f t="shared" ca="1" si="29"/>
        <v>Upton - Riverside 12/9/2022</v>
      </c>
      <c r="AJ52" s="8">
        <f ca="1">IFERROR(VLOOKUP(PlayerGameData[[#This Row],[School, Opponent,Game'#]],Table3[],2,FALSE),0)</f>
        <v>1</v>
      </c>
      <c r="AK52" s="8">
        <f ca="1">IF(PlayerGameData[[#This Row],[Visible]]=1,1,1000)</f>
        <v>1</v>
      </c>
      <c r="AL52" s="8">
        <f ca="1">RANK(PlayerGameData[[#This Row],[TL PTS]],PlayerGameData[TL PTS],0)+PlayerGameData[[#This Row],[VisibleOrder]]</f>
        <v>185</v>
      </c>
      <c r="AM52" s="8">
        <f ca="1">IF(COUNTIF(PlayerGameData[PointOrder],PlayerGameData[[#This Row],[PointOrder]])&gt;1,RANK(PlayerGameData[[#This Row],[FGA]],PlayerGameData[FGA],0)/100,0)+PlayerGameData[[#This Row],[PointOrder]]</f>
        <v>187.14</v>
      </c>
      <c r="AN52" s="8">
        <f ca="1">RANK(PlayerGameData[[#This Row],[PointTieBreak]],PlayerGameData[PointTieBreak],1)</f>
        <v>216</v>
      </c>
      <c r="AO52" s="8">
        <f ca="1">RANK(PlayerGameData[[#This Row],[REB]],PlayerGameData[REB],0)+PlayerGameData[[#This Row],[VisibleOrder]]</f>
        <v>192</v>
      </c>
      <c r="AP52" s="8">
        <f ca="1">IF(COUNTIF(PlayerGameData[REBOrder],PlayerGameData[[#This Row],[REBOrder]])&gt;1,PlayerGameData[[#This Row],[PointRank]]/100+PlayerGameData[[#This Row],[REBOrder]],PlayerGameData[[#This Row],[REBOrder]])</f>
        <v>194.16</v>
      </c>
      <c r="AQ52" s="8">
        <f ca="1">RANK(PlayerGameData[[#This Row],[REBTieBreak]],PlayerGameData[REBTieBreak],1)</f>
        <v>224</v>
      </c>
      <c r="AR52" s="8">
        <f ca="1">RANK(PlayerGameData[[#This Row],[AST]],PlayerGameData[AST],0)+PlayerGameData[[#This Row],[VisibleOrder]]</f>
        <v>158</v>
      </c>
      <c r="AS52" s="8">
        <f ca="1">IF(COUNTIF(PlayerGameData[ASTOrder],PlayerGameData[[#This Row],[ASTOrder]])&gt;1,PlayerGameData[[#This Row],[PointRank]]/100+PlayerGameData[[#This Row],[ASTOrder]],PlayerGameData[[#This Row],[ASTOrder]])</f>
        <v>160.16</v>
      </c>
      <c r="AT52" s="8">
        <f ca="1">RANK(PlayerGameData[[#This Row],[ASTTieBreak]],PlayerGameData[ASTTieBreak],1)</f>
        <v>221</v>
      </c>
      <c r="AU52" s="8">
        <f ca="1">RANK(PlayerGameData[[#This Row],[STL]],PlayerGameData[STL],0)+PlayerGameData[[#This Row],[VisibleOrder]]</f>
        <v>143</v>
      </c>
      <c r="AV52" s="8">
        <f ca="1">IF(COUNTIF(PlayerGameData[STLOrder],PlayerGameData[[#This Row],[STLOrder]])&gt;1,PlayerGameData[[#This Row],[PointRank]]/100+PlayerGameData[[#This Row],[STLOrder]],PlayerGameData[[#This Row],[STLOrder]])</f>
        <v>145.16</v>
      </c>
      <c r="AW52" s="8">
        <f ca="1">RANK(PlayerGameData[[#This Row],[STLTieBreak]],PlayerGameData[STLTieBreak],1)</f>
        <v>217</v>
      </c>
      <c r="AX52" s="8">
        <f ca="1">RANK(PlayerGameData[[#This Row],[BLK]],PlayerGameData[BLK],0)+PlayerGameData[[#This Row],[VisibleOrder]]</f>
        <v>32</v>
      </c>
      <c r="AY52" s="8">
        <f ca="1">IF(COUNTIF(PlayerGameData[BLKOrder],PlayerGameData[[#This Row],[BLKOrder]])&gt;1,PlayerGameData[[#This Row],[PointRank]]/100+PlayerGameData[[#This Row],[BLKOrder]],PlayerGameData[[#This Row],[BLKOrder]])</f>
        <v>34.159999999999997</v>
      </c>
      <c r="AZ52" s="8">
        <f ca="1">RANK(PlayerGameData[[#This Row],[BLKTieBreak]],PlayerGameData[BLKTieBreak],1)</f>
        <v>216</v>
      </c>
      <c r="BA52" s="11">
        <f ca="1">IFERROR(IF(PlayerGameData[[#This Row],[FGA]]&gt;$AA$5,PlayerGameData[[#This Row],[FG%*]],PlayerGameData[[#This Row],[FG%*]]*-1),-2)</f>
        <v>-2</v>
      </c>
      <c r="BB52" s="8">
        <f ca="1">RANK(PlayerGameData[[#This Row],[EligFG]],PlayerGameData[EligFG],0)+PlayerGameData[[#This Row],[VisibleOrder]]</f>
        <v>215</v>
      </c>
      <c r="BC52" s="8">
        <f ca="1">IF(COUNTIF(PlayerGameData[EligFGOrder],PlayerGameData[[#This Row],[EligFGOrder]])&gt;1,PlayerGameData[[#This Row],[PointRank]]/100+PlayerGameData[[#This Row],[EligFGOrder]],PlayerGameData[[#This Row],[EligFGOrder]])</f>
        <v>217.16</v>
      </c>
      <c r="BD52" s="8">
        <f ca="1">RANK(PlayerGameData[[#This Row],[EligFGTieBreak]],PlayerGameData[EligFGTieBreak],1)</f>
        <v>216</v>
      </c>
      <c r="BE52" s="8" t="str">
        <f>Roster!$D$3</f>
        <v>East</v>
      </c>
      <c r="BF52" s="8" t="str">
        <f>Roster!$D$2</f>
        <v>Northeast</v>
      </c>
      <c r="BG52" s="8" t="str">
        <f>Roster!$D$4</f>
        <v>North</v>
      </c>
      <c r="BH52" s="197">
        <f ca="1">IFERROR(VLOOKUP(CONCATENATE(PlayerGameData[[#This Row],[Opponent]]," ",MONTH(PlayerGameData[[#This Row],[Date]]),"/",DAY(PlayerGameData[[#This Row],[Date]]),"/",YEAR(PlayerGameData[[#This Row],[Date]])),Table35[],2,FALSE),0)</f>
        <v>1</v>
      </c>
      <c r="BI52" s="197">
        <f ca="1">IF(PlayerGameData[[#This Row],[Visible]]=1,1,1000)</f>
        <v>1</v>
      </c>
      <c r="BJ52" s="197" t="e">
        <f ca="1">_xlfn.MAXIFS(TeamGameData[Win],TeamGameData[School, Opponent,Game'#],PlayerGameData[[#This Row],[School, Opponent,Game'#]])</f>
        <v>#NAME?</v>
      </c>
      <c r="BK52" s="197" t="e">
        <f ca="1">_xlfn.MAXIFS(TeamGameData[Loss],TeamGameData[School, Opponent,Game'#],PlayerGameData[[#This Row],[School, Opponent,Game'#]])</f>
        <v>#NAME?</v>
      </c>
    </row>
    <row r="53" spans="1:63" x14ac:dyDescent="0.25">
      <c r="A53" s="8" t="str">
        <f t="shared" ca="1" si="0"/>
        <v xml:space="preserve">, </v>
      </c>
      <c r="B53" s="8" t="str">
        <f>Roster!$B$1</f>
        <v>Upton</v>
      </c>
      <c r="C53" s="8" t="str">
        <f t="shared" ca="1" si="1"/>
        <v>Riverside</v>
      </c>
      <c r="D53" s="10">
        <f t="shared" ca="1" si="2"/>
        <v>44904</v>
      </c>
      <c r="E53" s="8">
        <f t="shared" ca="1" si="3"/>
        <v>0</v>
      </c>
      <c r="F53" s="8">
        <f t="shared" ca="1" si="4"/>
        <v>0</v>
      </c>
      <c r="G53" s="8">
        <f t="shared" ca="1" si="5"/>
        <v>0</v>
      </c>
      <c r="H53" s="8">
        <f t="shared" ca="1" si="6"/>
        <v>0</v>
      </c>
      <c r="I53" s="8">
        <f t="shared" ca="1" si="7"/>
        <v>0</v>
      </c>
      <c r="J53" s="8">
        <f t="shared" ca="1" si="8"/>
        <v>0</v>
      </c>
      <c r="K53" s="8">
        <f t="shared" ca="1" si="9"/>
        <v>0</v>
      </c>
      <c r="L53" s="8">
        <f t="shared" ca="1" si="10"/>
        <v>0</v>
      </c>
      <c r="M53" s="8">
        <f t="shared" ca="1" si="11"/>
        <v>0</v>
      </c>
      <c r="N53" s="8">
        <f t="shared" ca="1" si="12"/>
        <v>0</v>
      </c>
      <c r="O53" s="8">
        <f t="shared" ca="1" si="13"/>
        <v>0</v>
      </c>
      <c r="P53" s="8">
        <f t="shared" ca="1" si="14"/>
        <v>0</v>
      </c>
      <c r="Q53" s="8">
        <f t="shared" ca="1" si="15"/>
        <v>0</v>
      </c>
      <c r="R53" s="8">
        <f t="shared" ca="1" si="16"/>
        <v>0</v>
      </c>
      <c r="S53" s="8">
        <f t="shared" ca="1" si="17"/>
        <v>0</v>
      </c>
      <c r="T53" s="8">
        <f t="shared" ca="1" si="18"/>
        <v>0</v>
      </c>
      <c r="U53" s="8">
        <f t="shared" ca="1" si="19"/>
        <v>0</v>
      </c>
      <c r="V53" s="8">
        <f t="shared" ca="1" si="20"/>
        <v>0</v>
      </c>
      <c r="W53" s="11" t="str">
        <f t="shared" ca="1" si="21"/>
        <v/>
      </c>
      <c r="X53" s="11" t="str">
        <f t="shared" ca="1" si="22"/>
        <v/>
      </c>
      <c r="Y53" s="11" t="str">
        <f t="shared" ca="1" si="23"/>
        <v/>
      </c>
      <c r="Z53" s="11" t="str">
        <f t="shared" ca="1" si="24"/>
        <v/>
      </c>
      <c r="AA53" s="11" t="str">
        <f t="shared" ca="1" si="25"/>
        <v/>
      </c>
      <c r="AB53" s="47">
        <f ca="1">PlayerGameData[[#This Row],[3FGA]]+PlayerGameData[[#This Row],[2FGA]]</f>
        <v>0</v>
      </c>
      <c r="AC53" s="47">
        <f ca="1">PlayerGameData[[#This Row],[OFF REB]]+PlayerGameData[[#This Row],[DEF REB]]</f>
        <v>0</v>
      </c>
      <c r="AD53" s="8">
        <f t="shared" si="26"/>
        <v>2</v>
      </c>
      <c r="AE53" s="8" t="str">
        <f t="shared" ca="1" si="27"/>
        <v>,  - Riverside 12/9/2022</v>
      </c>
      <c r="AF53" s="8" t="str">
        <f t="shared" ca="1" si="28"/>
        <v/>
      </c>
      <c r="AG53" s="8" t="str">
        <f ca="1">IFERROR(IF(C53=0,"",IF(AND(VLOOKUP(PlayerGameData[[#This Row],[Opponent]],WYTeamInfo,2,FALSE)=Roster!$D$1,VLOOKUP(PlayerGameData[[#This Row],[Opponent]],WYTeamInfo,3,FALSE)=Roster!$D$2),"SR","")),"")</f>
        <v/>
      </c>
      <c r="AH53" s="8" t="str">
        <f>CONCATENATE(Roster!$D$1," ",Roster!$D$5)</f>
        <v>1A BB</v>
      </c>
      <c r="AI53" s="8" t="str">
        <f t="shared" ca="1" si="29"/>
        <v>Upton - Riverside 12/9/2022</v>
      </c>
      <c r="AJ53" s="8">
        <f ca="1">IFERROR(VLOOKUP(PlayerGameData[[#This Row],[School, Opponent,Game'#]],Table3[],2,FALSE),0)</f>
        <v>1</v>
      </c>
      <c r="AK53" s="8">
        <f ca="1">IF(PlayerGameData[[#This Row],[Visible]]=1,1,1000)</f>
        <v>1</v>
      </c>
      <c r="AL53" s="8">
        <f ca="1">RANK(PlayerGameData[[#This Row],[TL PTS]],PlayerGameData[TL PTS],0)+PlayerGameData[[#This Row],[VisibleOrder]]</f>
        <v>185</v>
      </c>
      <c r="AM53" s="8">
        <f ca="1">IF(COUNTIF(PlayerGameData[PointOrder],PlayerGameData[[#This Row],[PointOrder]])&gt;1,RANK(PlayerGameData[[#This Row],[FGA]],PlayerGameData[FGA],0)/100,0)+PlayerGameData[[#This Row],[PointOrder]]</f>
        <v>187.14</v>
      </c>
      <c r="AN53" s="8">
        <f ca="1">RANK(PlayerGameData[[#This Row],[PointTieBreak]],PlayerGameData[PointTieBreak],1)</f>
        <v>216</v>
      </c>
      <c r="AO53" s="8">
        <f ca="1">RANK(PlayerGameData[[#This Row],[REB]],PlayerGameData[REB],0)+PlayerGameData[[#This Row],[VisibleOrder]]</f>
        <v>192</v>
      </c>
      <c r="AP53" s="8">
        <f ca="1">IF(COUNTIF(PlayerGameData[REBOrder],PlayerGameData[[#This Row],[REBOrder]])&gt;1,PlayerGameData[[#This Row],[PointRank]]/100+PlayerGameData[[#This Row],[REBOrder]],PlayerGameData[[#This Row],[REBOrder]])</f>
        <v>194.16</v>
      </c>
      <c r="AQ53" s="8">
        <f ca="1">RANK(PlayerGameData[[#This Row],[REBTieBreak]],PlayerGameData[REBTieBreak],1)</f>
        <v>224</v>
      </c>
      <c r="AR53" s="8">
        <f ca="1">RANK(PlayerGameData[[#This Row],[AST]],PlayerGameData[AST],0)+PlayerGameData[[#This Row],[VisibleOrder]]</f>
        <v>158</v>
      </c>
      <c r="AS53" s="8">
        <f ca="1">IF(COUNTIF(PlayerGameData[ASTOrder],PlayerGameData[[#This Row],[ASTOrder]])&gt;1,PlayerGameData[[#This Row],[PointRank]]/100+PlayerGameData[[#This Row],[ASTOrder]],PlayerGameData[[#This Row],[ASTOrder]])</f>
        <v>160.16</v>
      </c>
      <c r="AT53" s="8">
        <f ca="1">RANK(PlayerGameData[[#This Row],[ASTTieBreak]],PlayerGameData[ASTTieBreak],1)</f>
        <v>221</v>
      </c>
      <c r="AU53" s="8">
        <f ca="1">RANK(PlayerGameData[[#This Row],[STL]],PlayerGameData[STL],0)+PlayerGameData[[#This Row],[VisibleOrder]]</f>
        <v>143</v>
      </c>
      <c r="AV53" s="8">
        <f ca="1">IF(COUNTIF(PlayerGameData[STLOrder],PlayerGameData[[#This Row],[STLOrder]])&gt;1,PlayerGameData[[#This Row],[PointRank]]/100+PlayerGameData[[#This Row],[STLOrder]],PlayerGameData[[#This Row],[STLOrder]])</f>
        <v>145.16</v>
      </c>
      <c r="AW53" s="8">
        <f ca="1">RANK(PlayerGameData[[#This Row],[STLTieBreak]],PlayerGameData[STLTieBreak],1)</f>
        <v>217</v>
      </c>
      <c r="AX53" s="8">
        <f ca="1">RANK(PlayerGameData[[#This Row],[BLK]],PlayerGameData[BLK],0)+PlayerGameData[[#This Row],[VisibleOrder]]</f>
        <v>32</v>
      </c>
      <c r="AY53" s="8">
        <f ca="1">IF(COUNTIF(PlayerGameData[BLKOrder],PlayerGameData[[#This Row],[BLKOrder]])&gt;1,PlayerGameData[[#This Row],[PointRank]]/100+PlayerGameData[[#This Row],[BLKOrder]],PlayerGameData[[#This Row],[BLKOrder]])</f>
        <v>34.159999999999997</v>
      </c>
      <c r="AZ53" s="8">
        <f ca="1">RANK(PlayerGameData[[#This Row],[BLKTieBreak]],PlayerGameData[BLKTieBreak],1)</f>
        <v>216</v>
      </c>
      <c r="BA53" s="11">
        <f ca="1">IFERROR(IF(PlayerGameData[[#This Row],[FGA]]&gt;$AA$5,PlayerGameData[[#This Row],[FG%*]],PlayerGameData[[#This Row],[FG%*]]*-1),-2)</f>
        <v>-2</v>
      </c>
      <c r="BB53" s="8">
        <f ca="1">RANK(PlayerGameData[[#This Row],[EligFG]],PlayerGameData[EligFG],0)+PlayerGameData[[#This Row],[VisibleOrder]]</f>
        <v>215</v>
      </c>
      <c r="BC53" s="8">
        <f ca="1">IF(COUNTIF(PlayerGameData[EligFGOrder],PlayerGameData[[#This Row],[EligFGOrder]])&gt;1,PlayerGameData[[#This Row],[PointRank]]/100+PlayerGameData[[#This Row],[EligFGOrder]],PlayerGameData[[#This Row],[EligFGOrder]])</f>
        <v>217.16</v>
      </c>
      <c r="BD53" s="8">
        <f ca="1">RANK(PlayerGameData[[#This Row],[EligFGTieBreak]],PlayerGameData[EligFGTieBreak],1)</f>
        <v>216</v>
      </c>
      <c r="BE53" s="8" t="str">
        <f>Roster!$D$3</f>
        <v>East</v>
      </c>
      <c r="BF53" s="8" t="str">
        <f>Roster!$D$2</f>
        <v>Northeast</v>
      </c>
      <c r="BG53" s="8" t="str">
        <f>Roster!$D$4</f>
        <v>North</v>
      </c>
      <c r="BH53" s="197">
        <f ca="1">IFERROR(VLOOKUP(CONCATENATE(PlayerGameData[[#This Row],[Opponent]]," ",MONTH(PlayerGameData[[#This Row],[Date]]),"/",DAY(PlayerGameData[[#This Row],[Date]]),"/",YEAR(PlayerGameData[[#This Row],[Date]])),Table35[],2,FALSE),0)</f>
        <v>1</v>
      </c>
      <c r="BI53" s="197">
        <f ca="1">IF(PlayerGameData[[#This Row],[Visible]]=1,1,1000)</f>
        <v>1</v>
      </c>
      <c r="BJ53" s="197" t="e">
        <f ca="1">_xlfn.MAXIFS(TeamGameData[Win],TeamGameData[School, Opponent,Game'#],PlayerGameData[[#This Row],[School, Opponent,Game'#]])</f>
        <v>#NAME?</v>
      </c>
      <c r="BK53" s="197" t="e">
        <f ca="1">_xlfn.MAXIFS(TeamGameData[Loss],TeamGameData[School, Opponent,Game'#],PlayerGameData[[#This Row],[School, Opponent,Game'#]])</f>
        <v>#NAME?</v>
      </c>
    </row>
    <row r="54" spans="1:63" x14ac:dyDescent="0.25">
      <c r="A54" s="8" t="str">
        <f t="shared" ca="1" si="0"/>
        <v xml:space="preserve">Team, </v>
      </c>
      <c r="B54" s="8" t="str">
        <f>Roster!$B$1</f>
        <v>Upton</v>
      </c>
      <c r="C54" s="8" t="str">
        <f t="shared" ca="1" si="1"/>
        <v>Riverside</v>
      </c>
      <c r="D54" s="10">
        <f t="shared" ca="1" si="2"/>
        <v>44904</v>
      </c>
      <c r="E54" s="8">
        <f t="shared" ca="1" si="3"/>
        <v>0</v>
      </c>
      <c r="F54" s="8">
        <f t="shared" ca="1" si="4"/>
        <v>0</v>
      </c>
      <c r="G54" s="8">
        <f t="shared" ca="1" si="5"/>
        <v>0</v>
      </c>
      <c r="H54" s="8">
        <f t="shared" ca="1" si="6"/>
        <v>0</v>
      </c>
      <c r="I54" s="8">
        <f t="shared" ca="1" si="7"/>
        <v>0</v>
      </c>
      <c r="J54" s="8">
        <f t="shared" ca="1" si="8"/>
        <v>0</v>
      </c>
      <c r="K54" s="8">
        <f t="shared" ca="1" si="9"/>
        <v>0</v>
      </c>
      <c r="L54" s="8">
        <f t="shared" ca="1" si="10"/>
        <v>0</v>
      </c>
      <c r="M54" s="8">
        <f t="shared" ca="1" si="11"/>
        <v>0</v>
      </c>
      <c r="N54" s="8">
        <f t="shared" ca="1" si="12"/>
        <v>0</v>
      </c>
      <c r="O54" s="8">
        <f t="shared" ca="1" si="13"/>
        <v>0</v>
      </c>
      <c r="P54" s="8">
        <f t="shared" ca="1" si="14"/>
        <v>0</v>
      </c>
      <c r="Q54" s="8">
        <f t="shared" ca="1" si="15"/>
        <v>0</v>
      </c>
      <c r="R54" s="8">
        <f t="shared" ca="1" si="16"/>
        <v>0</v>
      </c>
      <c r="S54" s="8">
        <f t="shared" ca="1" si="17"/>
        <v>0</v>
      </c>
      <c r="T54" s="8">
        <f t="shared" ca="1" si="18"/>
        <v>0</v>
      </c>
      <c r="U54" s="8">
        <f t="shared" ca="1" si="19"/>
        <v>0</v>
      </c>
      <c r="V54" s="8">
        <f t="shared" ca="1" si="20"/>
        <v>0</v>
      </c>
      <c r="W54" s="11" t="str">
        <f t="shared" ca="1" si="21"/>
        <v/>
      </c>
      <c r="X54" s="11" t="str">
        <f t="shared" ca="1" si="22"/>
        <v/>
      </c>
      <c r="Y54" s="11" t="str">
        <f t="shared" ca="1" si="23"/>
        <v/>
      </c>
      <c r="Z54" s="11" t="str">
        <f t="shared" ca="1" si="24"/>
        <v/>
      </c>
      <c r="AA54" s="11" t="str">
        <f t="shared" ca="1" si="25"/>
        <v/>
      </c>
      <c r="AB54" s="47">
        <f ca="1">PlayerGameData[[#This Row],[3FGA]]+PlayerGameData[[#This Row],[2FGA]]</f>
        <v>0</v>
      </c>
      <c r="AC54" s="47">
        <f ca="1">PlayerGameData[[#This Row],[OFF REB]]+PlayerGameData[[#This Row],[DEF REB]]</f>
        <v>0</v>
      </c>
      <c r="AD54" s="8">
        <f t="shared" si="26"/>
        <v>2</v>
      </c>
      <c r="AE54" s="8" t="str">
        <f t="shared" ca="1" si="27"/>
        <v>Team,  - Riverside 12/9/2022</v>
      </c>
      <c r="AF54" s="8" t="str">
        <f t="shared" ca="1" si="28"/>
        <v/>
      </c>
      <c r="AG54" s="8" t="str">
        <f ca="1">IFERROR(IF(C54=0,"",IF(AND(VLOOKUP(PlayerGameData[[#This Row],[Opponent]],WYTeamInfo,2,FALSE)=Roster!$D$1,VLOOKUP(PlayerGameData[[#This Row],[Opponent]],WYTeamInfo,3,FALSE)=Roster!$D$2),"SR","")),"")</f>
        <v/>
      </c>
      <c r="AH54" s="8" t="str">
        <f>CONCATENATE(Roster!$D$1," ",Roster!$D$5)</f>
        <v>1A BB</v>
      </c>
      <c r="AI54" s="8" t="str">
        <f t="shared" ca="1" si="29"/>
        <v>Upton - Riverside 12/9/2022</v>
      </c>
      <c r="AJ54" s="8">
        <f ca="1">IFERROR(VLOOKUP(PlayerGameData[[#This Row],[School, Opponent,Game'#]],Table3[],2,FALSE),0)</f>
        <v>1</v>
      </c>
      <c r="AK54" s="8">
        <f ca="1">IF(PlayerGameData[[#This Row],[Visible]]=1,1,1000)</f>
        <v>1</v>
      </c>
      <c r="AL54" s="8">
        <f ca="1">RANK(PlayerGameData[[#This Row],[TL PTS]],PlayerGameData[TL PTS],0)+PlayerGameData[[#This Row],[VisibleOrder]]</f>
        <v>185</v>
      </c>
      <c r="AM54" s="8">
        <f ca="1">IF(COUNTIF(PlayerGameData[PointOrder],PlayerGameData[[#This Row],[PointOrder]])&gt;1,RANK(PlayerGameData[[#This Row],[FGA]],PlayerGameData[FGA],0)/100,0)+PlayerGameData[[#This Row],[PointOrder]]</f>
        <v>187.14</v>
      </c>
      <c r="AN54" s="8">
        <f ca="1">RANK(PlayerGameData[[#This Row],[PointTieBreak]],PlayerGameData[PointTieBreak],1)</f>
        <v>216</v>
      </c>
      <c r="AO54" s="8">
        <f ca="1">RANK(PlayerGameData[[#This Row],[REB]],PlayerGameData[REB],0)+PlayerGameData[[#This Row],[VisibleOrder]]</f>
        <v>192</v>
      </c>
      <c r="AP54" s="8">
        <f ca="1">IF(COUNTIF(PlayerGameData[REBOrder],PlayerGameData[[#This Row],[REBOrder]])&gt;1,PlayerGameData[[#This Row],[PointRank]]/100+PlayerGameData[[#This Row],[REBOrder]],PlayerGameData[[#This Row],[REBOrder]])</f>
        <v>194.16</v>
      </c>
      <c r="AQ54" s="8">
        <f ca="1">RANK(PlayerGameData[[#This Row],[REBTieBreak]],PlayerGameData[REBTieBreak],1)</f>
        <v>224</v>
      </c>
      <c r="AR54" s="8">
        <f ca="1">RANK(PlayerGameData[[#This Row],[AST]],PlayerGameData[AST],0)+PlayerGameData[[#This Row],[VisibleOrder]]</f>
        <v>158</v>
      </c>
      <c r="AS54" s="8">
        <f ca="1">IF(COUNTIF(PlayerGameData[ASTOrder],PlayerGameData[[#This Row],[ASTOrder]])&gt;1,PlayerGameData[[#This Row],[PointRank]]/100+PlayerGameData[[#This Row],[ASTOrder]],PlayerGameData[[#This Row],[ASTOrder]])</f>
        <v>160.16</v>
      </c>
      <c r="AT54" s="8">
        <f ca="1">RANK(PlayerGameData[[#This Row],[ASTTieBreak]],PlayerGameData[ASTTieBreak],1)</f>
        <v>221</v>
      </c>
      <c r="AU54" s="8">
        <f ca="1">RANK(PlayerGameData[[#This Row],[STL]],PlayerGameData[STL],0)+PlayerGameData[[#This Row],[VisibleOrder]]</f>
        <v>143</v>
      </c>
      <c r="AV54" s="8">
        <f ca="1">IF(COUNTIF(PlayerGameData[STLOrder],PlayerGameData[[#This Row],[STLOrder]])&gt;1,PlayerGameData[[#This Row],[PointRank]]/100+PlayerGameData[[#This Row],[STLOrder]],PlayerGameData[[#This Row],[STLOrder]])</f>
        <v>145.16</v>
      </c>
      <c r="AW54" s="8">
        <f ca="1">RANK(PlayerGameData[[#This Row],[STLTieBreak]],PlayerGameData[STLTieBreak],1)</f>
        <v>217</v>
      </c>
      <c r="AX54" s="8">
        <f ca="1">RANK(PlayerGameData[[#This Row],[BLK]],PlayerGameData[BLK],0)+PlayerGameData[[#This Row],[VisibleOrder]]</f>
        <v>32</v>
      </c>
      <c r="AY54" s="8">
        <f ca="1">IF(COUNTIF(PlayerGameData[BLKOrder],PlayerGameData[[#This Row],[BLKOrder]])&gt;1,PlayerGameData[[#This Row],[PointRank]]/100+PlayerGameData[[#This Row],[BLKOrder]],PlayerGameData[[#This Row],[BLKOrder]])</f>
        <v>34.159999999999997</v>
      </c>
      <c r="AZ54" s="8">
        <f ca="1">RANK(PlayerGameData[[#This Row],[BLKTieBreak]],PlayerGameData[BLKTieBreak],1)</f>
        <v>216</v>
      </c>
      <c r="BA54" s="11">
        <f ca="1">IFERROR(IF(PlayerGameData[[#This Row],[FGA]]&gt;$AA$5,PlayerGameData[[#This Row],[FG%*]],PlayerGameData[[#This Row],[FG%*]]*-1),-2)</f>
        <v>-2</v>
      </c>
      <c r="BB54" s="8">
        <f ca="1">RANK(PlayerGameData[[#This Row],[EligFG]],PlayerGameData[EligFG],0)+PlayerGameData[[#This Row],[VisibleOrder]]</f>
        <v>215</v>
      </c>
      <c r="BC54" s="8">
        <f ca="1">IF(COUNTIF(PlayerGameData[EligFGOrder],PlayerGameData[[#This Row],[EligFGOrder]])&gt;1,PlayerGameData[[#This Row],[PointRank]]/100+PlayerGameData[[#This Row],[EligFGOrder]],PlayerGameData[[#This Row],[EligFGOrder]])</f>
        <v>217.16</v>
      </c>
      <c r="BD54" s="8">
        <f ca="1">RANK(PlayerGameData[[#This Row],[EligFGTieBreak]],PlayerGameData[EligFGTieBreak],1)</f>
        <v>216</v>
      </c>
      <c r="BE54" s="8" t="str">
        <f>Roster!$D$3</f>
        <v>East</v>
      </c>
      <c r="BF54" s="8" t="str">
        <f>Roster!$D$2</f>
        <v>Northeast</v>
      </c>
      <c r="BG54" s="8" t="str">
        <f>Roster!$D$4</f>
        <v>North</v>
      </c>
      <c r="BH54" s="197">
        <f ca="1">IFERROR(VLOOKUP(CONCATENATE(PlayerGameData[[#This Row],[Opponent]]," ",MONTH(PlayerGameData[[#This Row],[Date]]),"/",DAY(PlayerGameData[[#This Row],[Date]]),"/",YEAR(PlayerGameData[[#This Row],[Date]])),Table35[],2,FALSE),0)</f>
        <v>1</v>
      </c>
      <c r="BI54" s="197">
        <f ca="1">IF(PlayerGameData[[#This Row],[Visible]]=1,1,1000)</f>
        <v>1</v>
      </c>
      <c r="BJ54" s="197" t="e">
        <f ca="1">_xlfn.MAXIFS(TeamGameData[Win],TeamGameData[School, Opponent,Game'#],PlayerGameData[[#This Row],[School, Opponent,Game'#]])</f>
        <v>#NAME?</v>
      </c>
      <c r="BK54" s="197" t="e">
        <f ca="1">_xlfn.MAXIFS(TeamGameData[Loss],TeamGameData[School, Opponent,Game'#],PlayerGameData[[#This Row],[School, Opponent,Game'#]])</f>
        <v>#NAME?</v>
      </c>
    </row>
    <row r="55" spans="1:63" x14ac:dyDescent="0.25">
      <c r="A55" s="8" t="str">
        <f t="shared" ref="A55:A71" ca="1" si="30">CONCATENATE(INDIRECT("Roster!B"&amp;ROW(A$7)+MOD(ROW(A55)-7,24)),", ",INDIRECT("Roster!a"&amp;ROW(A$7)+MOD(ROW(A55)-7,24)))</f>
        <v>Landon Butler, 1</v>
      </c>
      <c r="B55" s="8" t="str">
        <f>Roster!$B$1</f>
        <v>Upton</v>
      </c>
      <c r="C55" s="8" t="str">
        <f t="shared" ref="C55:C70" ca="1" si="31">INDIRECT("'game1 ("&amp;$AD55&amp;")'!$b$3")</f>
        <v>Sundance</v>
      </c>
      <c r="D55" s="10">
        <f t="shared" ref="D55:D70" ca="1" si="32">INDIRECT("'game1 ("&amp;$AD55&amp;")'!$m$4")</f>
        <v>0</v>
      </c>
      <c r="E55" s="8">
        <f t="shared" ca="1" si="3"/>
        <v>0</v>
      </c>
      <c r="F55" s="8">
        <f t="shared" ca="1" si="4"/>
        <v>0</v>
      </c>
      <c r="G55" s="8">
        <f t="shared" ca="1" si="5"/>
        <v>0</v>
      </c>
      <c r="H55" s="8">
        <f t="shared" ca="1" si="6"/>
        <v>0</v>
      </c>
      <c r="I55" s="8">
        <f t="shared" ca="1" si="7"/>
        <v>0</v>
      </c>
      <c r="J55" s="8">
        <f t="shared" ca="1" si="8"/>
        <v>0</v>
      </c>
      <c r="K55" s="8">
        <f t="shared" ca="1" si="9"/>
        <v>0</v>
      </c>
      <c r="L55" s="8">
        <f t="shared" ref="L55:L71" ca="1" si="33">INDIRECT("'game1 ("&amp;$AD55&amp;")'!"&amp;ADDRESS(ROW(G$7)+MOD(ROW(G55)-7,24),COLUMN(J55)))</f>
        <v>0</v>
      </c>
      <c r="M55" s="8">
        <f t="shared" ref="M55:M71" ca="1" si="34">INDIRECT("'game1 ("&amp;$AD55&amp;")'!"&amp;ADDRESS(ROW(H$7)+MOD(ROW(H55)-7,24),COLUMN(K55)))</f>
        <v>0</v>
      </c>
      <c r="N55" s="8">
        <f t="shared" ref="N55:N71" ca="1" si="35">INDIRECT("'game1 ("&amp;$AD55&amp;")'!"&amp;ADDRESS(ROW(I$7)+MOD(ROW(I55)-7,24),COLUMN(L55)))</f>
        <v>0</v>
      </c>
      <c r="O55" s="8">
        <f t="shared" ref="O55:O71" ca="1" si="36">INDIRECT("'game1 ("&amp;$AD55&amp;")'!"&amp;ADDRESS(ROW(J$7)+MOD(ROW(J55)-7,24),COLUMN(M55)))</f>
        <v>0</v>
      </c>
      <c r="P55" s="8">
        <f t="shared" ref="P55:P71" ca="1" si="37">INDIRECT("'game1 ("&amp;$AD55&amp;")'!"&amp;ADDRESS(ROW(K$7)+MOD(ROW(K55)-7,24),COLUMN(N55)))</f>
        <v>0</v>
      </c>
      <c r="Q55" s="8">
        <f t="shared" ref="Q55:Q71" ca="1" si="38">INDIRECT("'game1 ("&amp;$AD55&amp;")'!"&amp;ADDRESS(ROW(L$7)+MOD(ROW(L55)-7,24),COLUMN(O55)))</f>
        <v>0</v>
      </c>
      <c r="R55" s="8">
        <f t="shared" ref="R55:R71" ca="1" si="39">INDIRECT("'game1 ("&amp;$AD55&amp;")'!"&amp;ADDRESS(ROW(M$7)+MOD(ROW(M55)-7,24),COLUMN(P55)))</f>
        <v>0</v>
      </c>
      <c r="S55" s="8">
        <f t="shared" ref="S55:S71" ca="1" si="40">INDIRECT("'game1 ("&amp;$AD55&amp;")'!"&amp;ADDRESS(ROW(N$7)+MOD(ROW(N55)-7,24),COLUMN(Q55)))</f>
        <v>0</v>
      </c>
      <c r="T55" s="8">
        <f t="shared" ref="T55:T71" ca="1" si="41">INDIRECT("'game1 ("&amp;$AD55&amp;")'!"&amp;ADDRESS(ROW(O$7)+MOD(ROW(O55)-7,24),COLUMN(R55)))</f>
        <v>0</v>
      </c>
      <c r="U55" s="8">
        <f t="shared" ref="U55:U71" ca="1" si="42">INDIRECT("'game1 ("&amp;$AD55&amp;")'!"&amp;ADDRESS(ROW(P$7)+MOD(ROW(P55)-7,24),COLUMN(S55)))</f>
        <v>0</v>
      </c>
      <c r="V55" s="8">
        <f t="shared" ref="V55:V71" ca="1" si="43">INDIRECT("'game1 ("&amp;$AD55&amp;")'!"&amp;ADDRESS(ROW(Q$7)+MOD(ROW(Q55)-7,24),COLUMN(T55)))</f>
        <v>0</v>
      </c>
      <c r="W55" s="11" t="str">
        <f t="shared" ref="W55:W71" ca="1" si="44">INDIRECT("'game1 ("&amp;$AD55&amp;")'!"&amp;ADDRESS(ROW(R$7)+MOD(ROW(R55)-7,24),COLUMN(U55)))</f>
        <v/>
      </c>
      <c r="X55" s="11" t="str">
        <f t="shared" ref="X55:X71" ca="1" si="45">INDIRECT("'game1 ("&amp;$AD55&amp;")'!"&amp;ADDRESS(ROW(S$7)+MOD(ROW(S55)-7,24),COLUMN(V55)))</f>
        <v/>
      </c>
      <c r="Y55" s="11" t="str">
        <f t="shared" ref="Y55:Y71" ca="1" si="46">INDIRECT("'game1 ("&amp;$AD55&amp;")'!"&amp;ADDRESS(ROW(T$7)+MOD(ROW(T55)-7,24),COLUMN(W55)))</f>
        <v/>
      </c>
      <c r="Z55" s="11" t="str">
        <f t="shared" ref="Z55:Z71" ca="1" si="47">INDIRECT("'game1 ("&amp;$AD55&amp;")'!"&amp;ADDRESS(ROW(U$7)+MOD(ROW(U55)-7,24),COLUMN(X55)))</f>
        <v/>
      </c>
      <c r="AA55" s="11" t="str">
        <f t="shared" ref="AA55:AA71" ca="1" si="48">INDIRECT("'game1 ("&amp;$AD55&amp;")'!"&amp;ADDRESS(ROW(V$7)+MOD(ROW(V55)-7,24),COLUMN(Y55)))</f>
        <v/>
      </c>
      <c r="AB55" s="47">
        <f ca="1">PlayerGameData[[#This Row],[3FGA]]+PlayerGameData[[#This Row],[2FGA]]</f>
        <v>0</v>
      </c>
      <c r="AC55" s="47">
        <f ca="1">PlayerGameData[[#This Row],[OFF REB]]+PlayerGameData[[#This Row],[DEF REB]]</f>
        <v>0</v>
      </c>
      <c r="AD55" s="8">
        <f t="shared" si="26"/>
        <v>3</v>
      </c>
      <c r="AE55" s="8" t="str">
        <f t="shared" ca="1" si="27"/>
        <v>Landon Butler, 1 - Sundance 1/0/1900</v>
      </c>
      <c r="AF55" s="8" t="str">
        <f t="shared" ref="AF55:AF71" ca="1" si="49">IFERROR(INDIRECT("'game1 ("&amp;$AD55&amp;")'!$a$2"),"")</f>
        <v/>
      </c>
      <c r="AG55" s="8" t="str">
        <f ca="1">IFERROR(IF(C55=0,"",IF(AND(VLOOKUP(PlayerGameData[[#This Row],[Opponent]],WYTeamInfo,2,FALSE)=Roster!$D$1,VLOOKUP(PlayerGameData[[#This Row],[Opponent]],WYTeamInfo,3,FALSE)=Roster!$D$2),"SR","")),"")</f>
        <v/>
      </c>
      <c r="AH55" s="8" t="str">
        <f>CONCATENATE(Roster!$D$1," ",Roster!$D$5)</f>
        <v>1A BB</v>
      </c>
      <c r="AI55" s="8" t="str">
        <f t="shared" ref="AI55:AI70" ca="1" si="50">IF($C55&lt;&gt;0,CONCATENATE($B55," - ",$C55," ",MONTH($D55),"/",DAY($D55),"/",YEAR($D55)),"Blank")</f>
        <v>Upton - Sundance 1/0/1900</v>
      </c>
      <c r="AJ55" s="8">
        <f ca="1">IFERROR(VLOOKUP(PlayerGameData[[#This Row],[School, Opponent,Game'#]],Table3[],2,FALSE),0)</f>
        <v>1</v>
      </c>
      <c r="AK55" s="8">
        <f ca="1">IF(PlayerGameData[[#This Row],[Visible]]=1,1,1000)</f>
        <v>1</v>
      </c>
      <c r="AL55" s="8">
        <f ca="1">RANK(PlayerGameData[[#This Row],[TL PTS]],PlayerGameData[TL PTS],0)+PlayerGameData[[#This Row],[VisibleOrder]]</f>
        <v>185</v>
      </c>
      <c r="AM55" s="8">
        <f ca="1">IF(COUNTIF(PlayerGameData[PointOrder],PlayerGameData[[#This Row],[PointOrder]])&gt;1,RANK(PlayerGameData[[#This Row],[FGA]],PlayerGameData[FGA],0)/100,0)+PlayerGameData[[#This Row],[PointOrder]]</f>
        <v>187.14</v>
      </c>
      <c r="AN55" s="8">
        <f ca="1">RANK(PlayerGameData[[#This Row],[PointTieBreak]],PlayerGameData[PointTieBreak],1)</f>
        <v>216</v>
      </c>
      <c r="AO55" s="8">
        <f ca="1">RANK(PlayerGameData[[#This Row],[REB]],PlayerGameData[REB],0)+PlayerGameData[[#This Row],[VisibleOrder]]</f>
        <v>192</v>
      </c>
      <c r="AP55" s="8">
        <f ca="1">IF(COUNTIF(PlayerGameData[REBOrder],PlayerGameData[[#This Row],[REBOrder]])&gt;1,PlayerGameData[[#This Row],[PointRank]]/100+PlayerGameData[[#This Row],[REBOrder]],PlayerGameData[[#This Row],[REBOrder]])</f>
        <v>194.16</v>
      </c>
      <c r="AQ55" s="8">
        <f ca="1">RANK(PlayerGameData[[#This Row],[REBTieBreak]],PlayerGameData[REBTieBreak],1)</f>
        <v>224</v>
      </c>
      <c r="AR55" s="8">
        <f ca="1">RANK(PlayerGameData[[#This Row],[AST]],PlayerGameData[AST],0)+PlayerGameData[[#This Row],[VisibleOrder]]</f>
        <v>158</v>
      </c>
      <c r="AS55" s="8">
        <f ca="1">IF(COUNTIF(PlayerGameData[ASTOrder],PlayerGameData[[#This Row],[ASTOrder]])&gt;1,PlayerGameData[[#This Row],[PointRank]]/100+PlayerGameData[[#This Row],[ASTOrder]],PlayerGameData[[#This Row],[ASTOrder]])</f>
        <v>160.16</v>
      </c>
      <c r="AT55" s="8">
        <f ca="1">RANK(PlayerGameData[[#This Row],[ASTTieBreak]],PlayerGameData[ASTTieBreak],1)</f>
        <v>221</v>
      </c>
      <c r="AU55" s="8">
        <f ca="1">RANK(PlayerGameData[[#This Row],[STL]],PlayerGameData[STL],0)+PlayerGameData[[#This Row],[VisibleOrder]]</f>
        <v>143</v>
      </c>
      <c r="AV55" s="8">
        <f ca="1">IF(COUNTIF(PlayerGameData[STLOrder],PlayerGameData[[#This Row],[STLOrder]])&gt;1,PlayerGameData[[#This Row],[PointRank]]/100+PlayerGameData[[#This Row],[STLOrder]],PlayerGameData[[#This Row],[STLOrder]])</f>
        <v>145.16</v>
      </c>
      <c r="AW55" s="8">
        <f ca="1">RANK(PlayerGameData[[#This Row],[STLTieBreak]],PlayerGameData[STLTieBreak],1)</f>
        <v>217</v>
      </c>
      <c r="AX55" s="8">
        <f ca="1">RANK(PlayerGameData[[#This Row],[BLK]],PlayerGameData[BLK],0)+PlayerGameData[[#This Row],[VisibleOrder]]</f>
        <v>32</v>
      </c>
      <c r="AY55" s="8">
        <f ca="1">IF(COUNTIF(PlayerGameData[BLKOrder],PlayerGameData[[#This Row],[BLKOrder]])&gt;1,PlayerGameData[[#This Row],[PointRank]]/100+PlayerGameData[[#This Row],[BLKOrder]],PlayerGameData[[#This Row],[BLKOrder]])</f>
        <v>34.159999999999997</v>
      </c>
      <c r="AZ55" s="8">
        <f ca="1">RANK(PlayerGameData[[#This Row],[BLKTieBreak]],PlayerGameData[BLKTieBreak],1)</f>
        <v>216</v>
      </c>
      <c r="BA55" s="11">
        <f ca="1">IFERROR(IF(PlayerGameData[[#This Row],[FGA]]&gt;$AA$5,PlayerGameData[[#This Row],[FG%*]],PlayerGameData[[#This Row],[FG%*]]*-1),-2)</f>
        <v>-2</v>
      </c>
      <c r="BB55" s="8">
        <f ca="1">RANK(PlayerGameData[[#This Row],[EligFG]],PlayerGameData[EligFG],0)+PlayerGameData[[#This Row],[VisibleOrder]]</f>
        <v>215</v>
      </c>
      <c r="BC55" s="8">
        <f ca="1">IF(COUNTIF(PlayerGameData[EligFGOrder],PlayerGameData[[#This Row],[EligFGOrder]])&gt;1,PlayerGameData[[#This Row],[PointRank]]/100+PlayerGameData[[#This Row],[EligFGOrder]],PlayerGameData[[#This Row],[EligFGOrder]])</f>
        <v>217.16</v>
      </c>
      <c r="BD55" s="8">
        <f ca="1">RANK(PlayerGameData[[#This Row],[EligFGTieBreak]],PlayerGameData[EligFGTieBreak],1)</f>
        <v>216</v>
      </c>
      <c r="BE55" s="8" t="str">
        <f>Roster!$D$3</f>
        <v>East</v>
      </c>
      <c r="BF55" s="8" t="str">
        <f>Roster!$D$2</f>
        <v>Northeast</v>
      </c>
      <c r="BG55" s="8" t="str">
        <f>Roster!$D$4</f>
        <v>North</v>
      </c>
      <c r="BH55" s="197">
        <f ca="1">IFERROR(VLOOKUP(CONCATENATE(PlayerGameData[[#This Row],[Opponent]]," ",MONTH(PlayerGameData[[#This Row],[Date]]),"/",DAY(PlayerGameData[[#This Row],[Date]]),"/",YEAR(PlayerGameData[[#This Row],[Date]])),Table35[],2,FALSE),0)</f>
        <v>1</v>
      </c>
      <c r="BI55" s="197">
        <f ca="1">IF(PlayerGameData[[#This Row],[Visible]]=1,1,1000)</f>
        <v>1</v>
      </c>
      <c r="BJ55" s="197" t="e">
        <f ca="1">_xlfn.MAXIFS(TeamGameData[Win],TeamGameData[School, Opponent,Game'#],PlayerGameData[[#This Row],[School, Opponent,Game'#]])</f>
        <v>#NAME?</v>
      </c>
      <c r="BK55" s="197" t="e">
        <f ca="1">_xlfn.MAXIFS(TeamGameData[Loss],TeamGameData[School, Opponent,Game'#],PlayerGameData[[#This Row],[School, Opponent,Game'#]])</f>
        <v>#NAME?</v>
      </c>
    </row>
    <row r="56" spans="1:63" x14ac:dyDescent="0.25">
      <c r="A56" s="8" t="str">
        <f t="shared" ca="1" si="30"/>
        <v>Logan Timberman, 3</v>
      </c>
      <c r="B56" s="8" t="str">
        <f>Roster!$B$1</f>
        <v>Upton</v>
      </c>
      <c r="C56" s="8" t="str">
        <f t="shared" ca="1" si="31"/>
        <v>Sundance</v>
      </c>
      <c r="D56" s="10">
        <f t="shared" ca="1" si="32"/>
        <v>0</v>
      </c>
      <c r="E56" s="8">
        <f t="shared" ca="1" si="3"/>
        <v>1</v>
      </c>
      <c r="F56" s="8">
        <f t="shared" ca="1" si="4"/>
        <v>1</v>
      </c>
      <c r="G56" s="8">
        <f t="shared" ca="1" si="5"/>
        <v>25</v>
      </c>
      <c r="H56" s="8">
        <f t="shared" ca="1" si="6"/>
        <v>0</v>
      </c>
      <c r="I56" s="8">
        <f t="shared" ca="1" si="7"/>
        <v>2</v>
      </c>
      <c r="J56" s="8">
        <f t="shared" ca="1" si="8"/>
        <v>2</v>
      </c>
      <c r="K56" s="8">
        <f t="shared" ca="1" si="9"/>
        <v>5</v>
      </c>
      <c r="L56" s="8">
        <f t="shared" ca="1" si="33"/>
        <v>0</v>
      </c>
      <c r="M56" s="8">
        <f t="shared" ca="1" si="34"/>
        <v>3</v>
      </c>
      <c r="N56" s="8">
        <f t="shared" ca="1" si="35"/>
        <v>2</v>
      </c>
      <c r="O56" s="8">
        <f t="shared" ca="1" si="36"/>
        <v>4</v>
      </c>
      <c r="P56" s="8">
        <f t="shared" ca="1" si="37"/>
        <v>3</v>
      </c>
      <c r="Q56" s="8">
        <f t="shared" ca="1" si="38"/>
        <v>2</v>
      </c>
      <c r="R56" s="8">
        <f t="shared" ca="1" si="39"/>
        <v>0</v>
      </c>
      <c r="S56" s="8">
        <f t="shared" ca="1" si="40"/>
        <v>0</v>
      </c>
      <c r="T56" s="8">
        <f t="shared" ca="1" si="41"/>
        <v>3</v>
      </c>
      <c r="U56" s="8">
        <f t="shared" ca="1" si="42"/>
        <v>0</v>
      </c>
      <c r="V56" s="8">
        <f t="shared" ca="1" si="43"/>
        <v>4</v>
      </c>
      <c r="W56" s="11">
        <f t="shared" ca="1" si="44"/>
        <v>0</v>
      </c>
      <c r="X56" s="11">
        <f t="shared" ca="1" si="45"/>
        <v>0.4</v>
      </c>
      <c r="Y56" s="11">
        <f t="shared" ca="1" si="46"/>
        <v>0</v>
      </c>
      <c r="Z56" s="11">
        <f t="shared" ca="1" si="47"/>
        <v>0.2857142857142857</v>
      </c>
      <c r="AA56" s="11">
        <f t="shared" ca="1" si="48"/>
        <v>0.2857142857142857</v>
      </c>
      <c r="AB56" s="47">
        <f ca="1">PlayerGameData[[#This Row],[3FGA]]+PlayerGameData[[#This Row],[2FGA]]</f>
        <v>7</v>
      </c>
      <c r="AC56" s="47">
        <f ca="1">PlayerGameData[[#This Row],[OFF REB]]+PlayerGameData[[#This Row],[DEF REB]]</f>
        <v>6</v>
      </c>
      <c r="AD56" s="8">
        <f t="shared" si="26"/>
        <v>3</v>
      </c>
      <c r="AE56" s="8" t="str">
        <f t="shared" ca="1" si="27"/>
        <v>Logan Timberman, 3 - Sundance 1/0/1900</v>
      </c>
      <c r="AF56" s="8" t="str">
        <f t="shared" ca="1" si="49"/>
        <v/>
      </c>
      <c r="AG56" s="8" t="str">
        <f ca="1">IFERROR(IF(C56=0,"",IF(AND(VLOOKUP(PlayerGameData[[#This Row],[Opponent]],WYTeamInfo,2,FALSE)=Roster!$D$1,VLOOKUP(PlayerGameData[[#This Row],[Opponent]],WYTeamInfo,3,FALSE)=Roster!$D$2),"SR","")),"")</f>
        <v/>
      </c>
      <c r="AH56" s="8" t="str">
        <f>CONCATENATE(Roster!$D$1," ",Roster!$D$5)</f>
        <v>1A BB</v>
      </c>
      <c r="AI56" s="8" t="str">
        <f t="shared" ca="1" si="50"/>
        <v>Upton - Sundance 1/0/1900</v>
      </c>
      <c r="AJ56" s="8">
        <f ca="1">IFERROR(VLOOKUP(PlayerGameData[[#This Row],[School, Opponent,Game'#]],Table3[],2,FALSE),0)</f>
        <v>1</v>
      </c>
      <c r="AK56" s="8">
        <f ca="1">IF(PlayerGameData[[#This Row],[Visible]]=1,1,1000)</f>
        <v>1</v>
      </c>
      <c r="AL56" s="8">
        <f ca="1">RANK(PlayerGameData[[#This Row],[TL PTS]],PlayerGameData[TL PTS],0)+PlayerGameData[[#This Row],[VisibleOrder]]</f>
        <v>118</v>
      </c>
      <c r="AM56" s="8">
        <f ca="1">IF(COUNTIF(PlayerGameData[PointOrder],PlayerGameData[[#This Row],[PointOrder]])&gt;1,RANK(PlayerGameData[[#This Row],[FGA]],PlayerGameData[FGA],0)/100,0)+PlayerGameData[[#This Row],[PointOrder]]</f>
        <v>118.93</v>
      </c>
      <c r="AN56" s="8">
        <f ca="1">RANK(PlayerGameData[[#This Row],[PointTieBreak]],PlayerGameData[PointTieBreak],1)</f>
        <v>120</v>
      </c>
      <c r="AO56" s="8">
        <f ca="1">RANK(PlayerGameData[[#This Row],[REB]],PlayerGameData[REB],0)+PlayerGameData[[#This Row],[VisibleOrder]]</f>
        <v>38</v>
      </c>
      <c r="AP56" s="8">
        <f ca="1">IF(COUNTIF(PlayerGameData[REBOrder],PlayerGameData[[#This Row],[REBOrder]])&gt;1,PlayerGameData[[#This Row],[PointRank]]/100+PlayerGameData[[#This Row],[REBOrder]],PlayerGameData[[#This Row],[REBOrder]])</f>
        <v>39.200000000000003</v>
      </c>
      <c r="AQ56" s="8">
        <f ca="1">RANK(PlayerGameData[[#This Row],[REBTieBreak]],PlayerGameData[REBTieBreak],1)</f>
        <v>48</v>
      </c>
      <c r="AR56" s="8">
        <f ca="1">RANK(PlayerGameData[[#This Row],[AST]],PlayerGameData[AST],0)+PlayerGameData[[#This Row],[VisibleOrder]]</f>
        <v>39</v>
      </c>
      <c r="AS56" s="8">
        <f ca="1">IF(COUNTIF(PlayerGameData[ASTOrder],PlayerGameData[[#This Row],[ASTOrder]])&gt;1,PlayerGameData[[#This Row],[PointRank]]/100+PlayerGameData[[#This Row],[ASTOrder]],PlayerGameData[[#This Row],[ASTOrder]])</f>
        <v>40.200000000000003</v>
      </c>
      <c r="AT56" s="8">
        <f ca="1">RANK(PlayerGameData[[#This Row],[ASTTieBreak]],PlayerGameData[ASTTieBreak],1)</f>
        <v>60</v>
      </c>
      <c r="AU56" s="8">
        <f ca="1">RANK(PlayerGameData[[#This Row],[STL]],PlayerGameData[STL],0)+PlayerGameData[[#This Row],[VisibleOrder]]</f>
        <v>48</v>
      </c>
      <c r="AV56" s="8">
        <f ca="1">IF(COUNTIF(PlayerGameData[STLOrder],PlayerGameData[[#This Row],[STLOrder]])&gt;1,PlayerGameData[[#This Row],[PointRank]]/100+PlayerGameData[[#This Row],[STLOrder]],PlayerGameData[[#This Row],[STLOrder]])</f>
        <v>49.2</v>
      </c>
      <c r="AW56" s="8">
        <f ca="1">RANK(PlayerGameData[[#This Row],[STLTieBreak]],PlayerGameData[STLTieBreak],1)</f>
        <v>74</v>
      </c>
      <c r="AX56" s="8">
        <f ca="1">RANK(PlayerGameData[[#This Row],[BLK]],PlayerGameData[BLK],0)+PlayerGameData[[#This Row],[VisibleOrder]]</f>
        <v>32</v>
      </c>
      <c r="AY56" s="8">
        <f ca="1">IF(COUNTIF(PlayerGameData[BLKOrder],PlayerGameData[[#This Row],[BLKOrder]])&gt;1,PlayerGameData[[#This Row],[PointRank]]/100+PlayerGameData[[#This Row],[BLKOrder]],PlayerGameData[[#This Row],[BLKOrder]])</f>
        <v>33.200000000000003</v>
      </c>
      <c r="AZ56" s="8">
        <f ca="1">RANK(PlayerGameData[[#This Row],[BLKTieBreak]],PlayerGameData[BLKTieBreak],1)</f>
        <v>124</v>
      </c>
      <c r="BA56" s="11">
        <f ca="1">IFERROR(IF(PlayerGameData[[#This Row],[FGA]]&gt;$AA$5,PlayerGameData[[#This Row],[FG%*]],PlayerGameData[[#This Row],[FG%*]]*-1),-2)</f>
        <v>0.2857142857142857</v>
      </c>
      <c r="BB56" s="8">
        <f ca="1">RANK(PlayerGameData[[#This Row],[EligFG]],PlayerGameData[EligFG],0)+PlayerGameData[[#This Row],[VisibleOrder]]</f>
        <v>90</v>
      </c>
      <c r="BC56" s="8">
        <f ca="1">IF(COUNTIF(PlayerGameData[EligFGOrder],PlayerGameData[[#This Row],[EligFGOrder]])&gt;1,PlayerGameData[[#This Row],[PointRank]]/100+PlayerGameData[[#This Row],[EligFGOrder]],PlayerGameData[[#This Row],[EligFGOrder]])</f>
        <v>91.2</v>
      </c>
      <c r="BD56" s="8">
        <f ca="1">RANK(PlayerGameData[[#This Row],[EligFGTieBreak]],PlayerGameData[EligFGTieBreak],1)</f>
        <v>91</v>
      </c>
      <c r="BE56" s="8" t="str">
        <f>Roster!$D$3</f>
        <v>East</v>
      </c>
      <c r="BF56" s="8" t="str">
        <f>Roster!$D$2</f>
        <v>Northeast</v>
      </c>
      <c r="BG56" s="8" t="str">
        <f>Roster!$D$4</f>
        <v>North</v>
      </c>
      <c r="BH56" s="197">
        <f ca="1">IFERROR(VLOOKUP(CONCATENATE(PlayerGameData[[#This Row],[Opponent]]," ",MONTH(PlayerGameData[[#This Row],[Date]]),"/",DAY(PlayerGameData[[#This Row],[Date]]),"/",YEAR(PlayerGameData[[#This Row],[Date]])),Table35[],2,FALSE),0)</f>
        <v>1</v>
      </c>
      <c r="BI56" s="197">
        <f ca="1">IF(PlayerGameData[[#This Row],[Visible]]=1,1,1000)</f>
        <v>1</v>
      </c>
      <c r="BJ56" s="197" t="e">
        <f ca="1">_xlfn.MAXIFS(TeamGameData[Win],TeamGameData[School, Opponent,Game'#],PlayerGameData[[#This Row],[School, Opponent,Game'#]])</f>
        <v>#NAME?</v>
      </c>
      <c r="BK56" s="197" t="e">
        <f ca="1">_xlfn.MAXIFS(TeamGameData[Loss],TeamGameData[School, Opponent,Game'#],PlayerGameData[[#This Row],[School, Opponent,Game'#]])</f>
        <v>#NAME?</v>
      </c>
    </row>
    <row r="57" spans="1:63" x14ac:dyDescent="0.25">
      <c r="A57" s="8" t="str">
        <f t="shared" ca="1" si="30"/>
        <v>Chase Mills, 5</v>
      </c>
      <c r="B57" s="8" t="str">
        <f>Roster!$B$1</f>
        <v>Upton</v>
      </c>
      <c r="C57" s="8" t="str">
        <f t="shared" ca="1" si="31"/>
        <v>Sundance</v>
      </c>
      <c r="D57" s="10">
        <f t="shared" ca="1" si="32"/>
        <v>0</v>
      </c>
      <c r="E57" s="8">
        <f t="shared" ca="1" si="3"/>
        <v>1</v>
      </c>
      <c r="F57" s="8">
        <f t="shared" ca="1" si="4"/>
        <v>1</v>
      </c>
      <c r="G57" s="8">
        <f t="shared" ca="1" si="5"/>
        <v>31</v>
      </c>
      <c r="H57" s="8">
        <f t="shared" ca="1" si="6"/>
        <v>1</v>
      </c>
      <c r="I57" s="8">
        <f t="shared" ca="1" si="7"/>
        <v>3</v>
      </c>
      <c r="J57" s="8">
        <f t="shared" ca="1" si="8"/>
        <v>6</v>
      </c>
      <c r="K57" s="8">
        <f t="shared" ca="1" si="9"/>
        <v>10</v>
      </c>
      <c r="L57" s="8">
        <f t="shared" ca="1" si="33"/>
        <v>4</v>
      </c>
      <c r="M57" s="8">
        <f t="shared" ca="1" si="34"/>
        <v>5</v>
      </c>
      <c r="N57" s="8">
        <f t="shared" ca="1" si="35"/>
        <v>3</v>
      </c>
      <c r="O57" s="8">
        <f t="shared" ca="1" si="36"/>
        <v>2</v>
      </c>
      <c r="P57" s="8">
        <f t="shared" ca="1" si="37"/>
        <v>3</v>
      </c>
      <c r="Q57" s="8">
        <f t="shared" ca="1" si="38"/>
        <v>4</v>
      </c>
      <c r="R57" s="8">
        <f t="shared" ca="1" si="39"/>
        <v>0</v>
      </c>
      <c r="S57" s="8">
        <f t="shared" ca="1" si="40"/>
        <v>2</v>
      </c>
      <c r="T57" s="8">
        <f t="shared" ca="1" si="41"/>
        <v>1</v>
      </c>
      <c r="U57" s="8">
        <f t="shared" ca="1" si="42"/>
        <v>0</v>
      </c>
      <c r="V57" s="8">
        <f t="shared" ca="1" si="43"/>
        <v>19</v>
      </c>
      <c r="W57" s="11">
        <f t="shared" ca="1" si="44"/>
        <v>0.33333333333333331</v>
      </c>
      <c r="X57" s="11">
        <f t="shared" ca="1" si="45"/>
        <v>0.6</v>
      </c>
      <c r="Y57" s="11">
        <f t="shared" ca="1" si="46"/>
        <v>0.8</v>
      </c>
      <c r="Z57" s="11">
        <f t="shared" ca="1" si="47"/>
        <v>0.53846153846153844</v>
      </c>
      <c r="AA57" s="11">
        <f t="shared" ca="1" si="48"/>
        <v>0.57692307692307687</v>
      </c>
      <c r="AB57" s="47">
        <f ca="1">PlayerGameData[[#This Row],[3FGA]]+PlayerGameData[[#This Row],[2FGA]]</f>
        <v>13</v>
      </c>
      <c r="AC57" s="47">
        <f ca="1">PlayerGameData[[#This Row],[OFF REB]]+PlayerGameData[[#This Row],[DEF REB]]</f>
        <v>5</v>
      </c>
      <c r="AD57" s="8">
        <f t="shared" si="26"/>
        <v>3</v>
      </c>
      <c r="AE57" s="8" t="str">
        <f t="shared" ca="1" si="27"/>
        <v>Chase Mills, 5 - Sundance 1/0/1900</v>
      </c>
      <c r="AF57" s="8" t="str">
        <f t="shared" ca="1" si="49"/>
        <v/>
      </c>
      <c r="AG57" s="8" t="str">
        <f ca="1">IFERROR(IF(C57=0,"",IF(AND(VLOOKUP(PlayerGameData[[#This Row],[Opponent]],WYTeamInfo,2,FALSE)=Roster!$D$1,VLOOKUP(PlayerGameData[[#This Row],[Opponent]],WYTeamInfo,3,FALSE)=Roster!$D$2),"SR","")),"")</f>
        <v/>
      </c>
      <c r="AH57" s="8" t="str">
        <f>CONCATENATE(Roster!$D$1," ",Roster!$D$5)</f>
        <v>1A BB</v>
      </c>
      <c r="AI57" s="8" t="str">
        <f t="shared" ca="1" si="50"/>
        <v>Upton - Sundance 1/0/1900</v>
      </c>
      <c r="AJ57" s="8">
        <f ca="1">IFERROR(VLOOKUP(PlayerGameData[[#This Row],[School, Opponent,Game'#]],Table3[],2,FALSE),0)</f>
        <v>1</v>
      </c>
      <c r="AK57" s="8">
        <f ca="1">IF(PlayerGameData[[#This Row],[Visible]]=1,1,1000)</f>
        <v>1</v>
      </c>
      <c r="AL57" s="8">
        <f ca="1">RANK(PlayerGameData[[#This Row],[TL PTS]],PlayerGameData[TL PTS],0)+PlayerGameData[[#This Row],[VisibleOrder]]</f>
        <v>10</v>
      </c>
      <c r="AM57" s="8">
        <f ca="1">IF(COUNTIF(PlayerGameData[PointOrder],PlayerGameData[[#This Row],[PointOrder]])&gt;1,RANK(PlayerGameData[[#This Row],[FGA]],PlayerGameData[FGA],0)/100,0)+PlayerGameData[[#This Row],[PointOrder]]</f>
        <v>10.17</v>
      </c>
      <c r="AN57" s="8">
        <f ca="1">RANK(PlayerGameData[[#This Row],[PointTieBreak]],PlayerGameData[PointTieBreak],1)</f>
        <v>9</v>
      </c>
      <c r="AO57" s="8">
        <f ca="1">RANK(PlayerGameData[[#This Row],[REB]],PlayerGameData[REB],0)+PlayerGameData[[#This Row],[VisibleOrder]]</f>
        <v>52</v>
      </c>
      <c r="AP57" s="8">
        <f ca="1">IF(COUNTIF(PlayerGameData[REBOrder],PlayerGameData[[#This Row],[REBOrder]])&gt;1,PlayerGameData[[#This Row],[PointRank]]/100+PlayerGameData[[#This Row],[REBOrder]],PlayerGameData[[#This Row],[REBOrder]])</f>
        <v>52.09</v>
      </c>
      <c r="AQ57" s="8">
        <f ca="1">RANK(PlayerGameData[[#This Row],[REBTieBreak]],PlayerGameData[REBTieBreak],1)</f>
        <v>54</v>
      </c>
      <c r="AR57" s="8">
        <f ca="1">RANK(PlayerGameData[[#This Row],[AST]],PlayerGameData[AST],0)+PlayerGameData[[#This Row],[VisibleOrder]]</f>
        <v>39</v>
      </c>
      <c r="AS57" s="8">
        <f ca="1">IF(COUNTIF(PlayerGameData[ASTOrder],PlayerGameData[[#This Row],[ASTOrder]])&gt;1,PlayerGameData[[#This Row],[PointRank]]/100+PlayerGameData[[#This Row],[ASTOrder]],PlayerGameData[[#This Row],[ASTOrder]])</f>
        <v>39.090000000000003</v>
      </c>
      <c r="AT57" s="8">
        <f ca="1">RANK(PlayerGameData[[#This Row],[ASTTieBreak]],PlayerGameData[ASTTieBreak],1)</f>
        <v>39</v>
      </c>
      <c r="AU57" s="8">
        <f ca="1">RANK(PlayerGameData[[#This Row],[STL]],PlayerGameData[STL],0)+PlayerGameData[[#This Row],[VisibleOrder]]</f>
        <v>10</v>
      </c>
      <c r="AV57" s="8">
        <f ca="1">IF(COUNTIF(PlayerGameData[STLOrder],PlayerGameData[[#This Row],[STLOrder]])&gt;1,PlayerGameData[[#This Row],[PointRank]]/100+PlayerGameData[[#This Row],[STLOrder]],PlayerGameData[[#This Row],[STLOrder]])</f>
        <v>10.09</v>
      </c>
      <c r="AW57" s="8">
        <f ca="1">RANK(PlayerGameData[[#This Row],[STLTieBreak]],PlayerGameData[STLTieBreak],1)</f>
        <v>10</v>
      </c>
      <c r="AX57" s="8">
        <f ca="1">RANK(PlayerGameData[[#This Row],[BLK]],PlayerGameData[BLK],0)+PlayerGameData[[#This Row],[VisibleOrder]]</f>
        <v>32</v>
      </c>
      <c r="AY57" s="8">
        <f ca="1">IF(COUNTIF(PlayerGameData[BLKOrder],PlayerGameData[[#This Row],[BLKOrder]])&gt;1,PlayerGameData[[#This Row],[PointRank]]/100+PlayerGameData[[#This Row],[BLKOrder]],PlayerGameData[[#This Row],[BLKOrder]])</f>
        <v>32.090000000000003</v>
      </c>
      <c r="AZ57" s="8">
        <f ca="1">RANK(PlayerGameData[[#This Row],[BLKTieBreak]],PlayerGameData[BLKTieBreak],1)</f>
        <v>38</v>
      </c>
      <c r="BA57" s="11">
        <f ca="1">IFERROR(IF(PlayerGameData[[#This Row],[FGA]]&gt;$AA$5,PlayerGameData[[#This Row],[FG%*]],PlayerGameData[[#This Row],[FG%*]]*-1),-2)</f>
        <v>0.53846153846153844</v>
      </c>
      <c r="BB57" s="8">
        <f ca="1">RANK(PlayerGameData[[#This Row],[EligFG]],PlayerGameData[EligFG],0)+PlayerGameData[[#This Row],[VisibleOrder]]</f>
        <v>34</v>
      </c>
      <c r="BC57" s="8">
        <f ca="1">IF(COUNTIF(PlayerGameData[EligFGOrder],PlayerGameData[[#This Row],[EligFGOrder]])&gt;1,PlayerGameData[[#This Row],[PointRank]]/100+PlayerGameData[[#This Row],[EligFGOrder]],PlayerGameData[[#This Row],[EligFGOrder]])</f>
        <v>34.090000000000003</v>
      </c>
      <c r="BD57" s="8">
        <f ca="1">RANK(PlayerGameData[[#This Row],[EligFGTieBreak]],PlayerGameData[EligFGTieBreak],1)</f>
        <v>33</v>
      </c>
      <c r="BE57" s="8" t="str">
        <f>Roster!$D$3</f>
        <v>East</v>
      </c>
      <c r="BF57" s="8" t="str">
        <f>Roster!$D$2</f>
        <v>Northeast</v>
      </c>
      <c r="BG57" s="8" t="str">
        <f>Roster!$D$4</f>
        <v>North</v>
      </c>
      <c r="BH57" s="197">
        <f ca="1">IFERROR(VLOOKUP(CONCATENATE(PlayerGameData[[#This Row],[Opponent]]," ",MONTH(PlayerGameData[[#This Row],[Date]]),"/",DAY(PlayerGameData[[#This Row],[Date]]),"/",YEAR(PlayerGameData[[#This Row],[Date]])),Table35[],2,FALSE),0)</f>
        <v>1</v>
      </c>
      <c r="BI57" s="197">
        <f ca="1">IF(PlayerGameData[[#This Row],[Visible]]=1,1,1000)</f>
        <v>1</v>
      </c>
      <c r="BJ57" s="197" t="e">
        <f ca="1">_xlfn.MAXIFS(TeamGameData[Win],TeamGameData[School, Opponent,Game'#],PlayerGameData[[#This Row],[School, Opponent,Game'#]])</f>
        <v>#NAME?</v>
      </c>
      <c r="BK57" s="197" t="e">
        <f ca="1">_xlfn.MAXIFS(TeamGameData[Loss],TeamGameData[School, Opponent,Game'#],PlayerGameData[[#This Row],[School, Opponent,Game'#]])</f>
        <v>#NAME?</v>
      </c>
    </row>
    <row r="58" spans="1:63" x14ac:dyDescent="0.25">
      <c r="A58" s="8" t="str">
        <f t="shared" ca="1" si="30"/>
        <v>Rhett Watt, 10</v>
      </c>
      <c r="B58" s="8" t="str">
        <f>Roster!$B$1</f>
        <v>Upton</v>
      </c>
      <c r="C58" s="8" t="str">
        <f t="shared" ca="1" si="31"/>
        <v>Sundance</v>
      </c>
      <c r="D58" s="10">
        <f t="shared" ca="1" si="32"/>
        <v>0</v>
      </c>
      <c r="E58" s="8">
        <f t="shared" ca="1" si="3"/>
        <v>1</v>
      </c>
      <c r="F58" s="8">
        <f t="shared" ca="1" si="4"/>
        <v>1</v>
      </c>
      <c r="G58" s="8">
        <f t="shared" ca="1" si="5"/>
        <v>26</v>
      </c>
      <c r="H58" s="8">
        <f t="shared" ca="1" si="6"/>
        <v>2</v>
      </c>
      <c r="I58" s="8">
        <f t="shared" ca="1" si="7"/>
        <v>5</v>
      </c>
      <c r="J58" s="8">
        <f t="shared" ca="1" si="8"/>
        <v>0</v>
      </c>
      <c r="K58" s="8">
        <f t="shared" ca="1" si="9"/>
        <v>1</v>
      </c>
      <c r="L58" s="8">
        <f t="shared" ca="1" si="33"/>
        <v>1</v>
      </c>
      <c r="M58" s="8">
        <f t="shared" ca="1" si="34"/>
        <v>2</v>
      </c>
      <c r="N58" s="8">
        <f t="shared" ca="1" si="35"/>
        <v>1</v>
      </c>
      <c r="O58" s="8">
        <f t="shared" ca="1" si="36"/>
        <v>0</v>
      </c>
      <c r="P58" s="8">
        <f t="shared" ca="1" si="37"/>
        <v>0</v>
      </c>
      <c r="Q58" s="8">
        <f t="shared" ca="1" si="38"/>
        <v>1</v>
      </c>
      <c r="R58" s="8">
        <f t="shared" ca="1" si="39"/>
        <v>0</v>
      </c>
      <c r="S58" s="8">
        <f t="shared" ca="1" si="40"/>
        <v>0</v>
      </c>
      <c r="T58" s="8">
        <f t="shared" ca="1" si="41"/>
        <v>2</v>
      </c>
      <c r="U58" s="8">
        <f t="shared" ca="1" si="42"/>
        <v>0</v>
      </c>
      <c r="V58" s="8">
        <f t="shared" ca="1" si="43"/>
        <v>7</v>
      </c>
      <c r="W58" s="11">
        <f t="shared" ca="1" si="44"/>
        <v>0.4</v>
      </c>
      <c r="X58" s="11">
        <f t="shared" ca="1" si="45"/>
        <v>0</v>
      </c>
      <c r="Y58" s="11">
        <f t="shared" ca="1" si="46"/>
        <v>0.5</v>
      </c>
      <c r="Z58" s="11">
        <f t="shared" ca="1" si="47"/>
        <v>0.33333333333333331</v>
      </c>
      <c r="AA58" s="11">
        <f t="shared" ca="1" si="48"/>
        <v>0.5</v>
      </c>
      <c r="AB58" s="47">
        <f ca="1">PlayerGameData[[#This Row],[3FGA]]+PlayerGameData[[#This Row],[2FGA]]</f>
        <v>6</v>
      </c>
      <c r="AC58" s="47">
        <f ca="1">PlayerGameData[[#This Row],[OFF REB]]+PlayerGameData[[#This Row],[DEF REB]]</f>
        <v>1</v>
      </c>
      <c r="AD58" s="8">
        <f t="shared" si="26"/>
        <v>3</v>
      </c>
      <c r="AE58" s="8" t="str">
        <f t="shared" ca="1" si="27"/>
        <v>Rhett Watt, 10 - Sundance 1/0/1900</v>
      </c>
      <c r="AF58" s="8" t="str">
        <f t="shared" ca="1" si="49"/>
        <v/>
      </c>
      <c r="AG58" s="8" t="str">
        <f ca="1">IFERROR(IF(C58=0,"",IF(AND(VLOOKUP(PlayerGameData[[#This Row],[Opponent]],WYTeamInfo,2,FALSE)=Roster!$D$1,VLOOKUP(PlayerGameData[[#This Row],[Opponent]],WYTeamInfo,3,FALSE)=Roster!$D$2),"SR","")),"")</f>
        <v/>
      </c>
      <c r="AH58" s="8" t="str">
        <f>CONCATENATE(Roster!$D$1," ",Roster!$D$5)</f>
        <v>1A BB</v>
      </c>
      <c r="AI58" s="8" t="str">
        <f t="shared" ca="1" si="50"/>
        <v>Upton - Sundance 1/0/1900</v>
      </c>
      <c r="AJ58" s="8">
        <f ca="1">IFERROR(VLOOKUP(PlayerGameData[[#This Row],[School, Opponent,Game'#]],Table3[],2,FALSE),0)</f>
        <v>1</v>
      </c>
      <c r="AK58" s="8">
        <f ca="1">IF(PlayerGameData[[#This Row],[Visible]]=1,1,1000)</f>
        <v>1</v>
      </c>
      <c r="AL58" s="8">
        <f ca="1">RANK(PlayerGameData[[#This Row],[TL PTS]],PlayerGameData[TL PTS],0)+PlayerGameData[[#This Row],[VisibleOrder]]</f>
        <v>94</v>
      </c>
      <c r="AM58" s="8">
        <f ca="1">IF(COUNTIF(PlayerGameData[PointOrder],PlayerGameData[[#This Row],[PointOrder]])&gt;1,RANK(PlayerGameData[[#This Row],[FGA]],PlayerGameData[FGA],0)/100,0)+PlayerGameData[[#This Row],[PointOrder]]</f>
        <v>95.08</v>
      </c>
      <c r="AN58" s="8">
        <f ca="1">RANK(PlayerGameData[[#This Row],[PointTieBreak]],PlayerGameData[PointTieBreak],1)</f>
        <v>98</v>
      </c>
      <c r="AO58" s="8">
        <f ca="1">RANK(PlayerGameData[[#This Row],[REB]],PlayerGameData[REB],0)+PlayerGameData[[#This Row],[VisibleOrder]]</f>
        <v>163</v>
      </c>
      <c r="AP58" s="8">
        <f ca="1">IF(COUNTIF(PlayerGameData[REBOrder],PlayerGameData[[#This Row],[REBOrder]])&gt;1,PlayerGameData[[#This Row],[PointRank]]/100+PlayerGameData[[#This Row],[REBOrder]],PlayerGameData[[#This Row],[REBOrder]])</f>
        <v>163.98</v>
      </c>
      <c r="AQ58" s="8">
        <f ca="1">RANK(PlayerGameData[[#This Row],[REBTieBreak]],PlayerGameData[REBTieBreak],1)</f>
        <v>166</v>
      </c>
      <c r="AR58" s="8">
        <f ca="1">RANK(PlayerGameData[[#This Row],[AST]],PlayerGameData[AST],0)+PlayerGameData[[#This Row],[VisibleOrder]]</f>
        <v>158</v>
      </c>
      <c r="AS58" s="8">
        <f ca="1">IF(COUNTIF(PlayerGameData[ASTOrder],PlayerGameData[[#This Row],[ASTOrder]])&gt;1,PlayerGameData[[#This Row],[PointRank]]/100+PlayerGameData[[#This Row],[ASTOrder]],PlayerGameData[[#This Row],[ASTOrder]])</f>
        <v>158.97999999999999</v>
      </c>
      <c r="AT58" s="8">
        <f ca="1">RANK(PlayerGameData[[#This Row],[ASTTieBreak]],PlayerGameData[ASTTieBreak],1)</f>
        <v>165</v>
      </c>
      <c r="AU58" s="8">
        <f ca="1">RANK(PlayerGameData[[#This Row],[STL]],PlayerGameData[STL],0)+PlayerGameData[[#This Row],[VisibleOrder]]</f>
        <v>84</v>
      </c>
      <c r="AV58" s="8">
        <f ca="1">IF(COUNTIF(PlayerGameData[STLOrder],PlayerGameData[[#This Row],[STLOrder]])&gt;1,PlayerGameData[[#This Row],[PointRank]]/100+PlayerGameData[[#This Row],[STLOrder]],PlayerGameData[[#This Row],[STLOrder]])</f>
        <v>84.98</v>
      </c>
      <c r="AW58" s="8">
        <f ca="1">RANK(PlayerGameData[[#This Row],[STLTieBreak]],PlayerGameData[STLTieBreak],1)</f>
        <v>105</v>
      </c>
      <c r="AX58" s="8">
        <f ca="1">RANK(PlayerGameData[[#This Row],[BLK]],PlayerGameData[BLK],0)+PlayerGameData[[#This Row],[VisibleOrder]]</f>
        <v>32</v>
      </c>
      <c r="AY58" s="8">
        <f ca="1">IF(COUNTIF(PlayerGameData[BLKOrder],PlayerGameData[[#This Row],[BLKOrder]])&gt;1,PlayerGameData[[#This Row],[PointRank]]/100+PlayerGameData[[#This Row],[BLKOrder]],PlayerGameData[[#This Row],[BLKOrder]])</f>
        <v>32.979999999999997</v>
      </c>
      <c r="AZ58" s="8">
        <f ca="1">RANK(PlayerGameData[[#This Row],[BLKTieBreak]],PlayerGameData[BLKTieBreak],1)</f>
        <v>105</v>
      </c>
      <c r="BA58" s="11">
        <f ca="1">IFERROR(IF(PlayerGameData[[#This Row],[FGA]]&gt;$AA$5,PlayerGameData[[#This Row],[FG%*]],PlayerGameData[[#This Row],[FG%*]]*-1),-2)</f>
        <v>0.33333333333333331</v>
      </c>
      <c r="BB58" s="8">
        <f ca="1">RANK(PlayerGameData[[#This Row],[EligFG]],PlayerGameData[EligFG],0)+PlayerGameData[[#This Row],[VisibleOrder]]</f>
        <v>80</v>
      </c>
      <c r="BC58" s="8">
        <f ca="1">IF(COUNTIF(PlayerGameData[EligFGOrder],PlayerGameData[[#This Row],[EligFGOrder]])&gt;1,PlayerGameData[[#This Row],[PointRank]]/100+PlayerGameData[[#This Row],[EligFGOrder]],PlayerGameData[[#This Row],[EligFGOrder]])</f>
        <v>80.98</v>
      </c>
      <c r="BD58" s="8">
        <f ca="1">RANK(PlayerGameData[[#This Row],[EligFGTieBreak]],PlayerGameData[EligFGTieBreak],1)</f>
        <v>84</v>
      </c>
      <c r="BE58" s="8" t="str">
        <f>Roster!$D$3</f>
        <v>East</v>
      </c>
      <c r="BF58" s="8" t="str">
        <f>Roster!$D$2</f>
        <v>Northeast</v>
      </c>
      <c r="BG58" s="8" t="str">
        <f>Roster!$D$4</f>
        <v>North</v>
      </c>
      <c r="BH58" s="197">
        <f ca="1">IFERROR(VLOOKUP(CONCATENATE(PlayerGameData[[#This Row],[Opponent]]," ",MONTH(PlayerGameData[[#This Row],[Date]]),"/",DAY(PlayerGameData[[#This Row],[Date]]),"/",YEAR(PlayerGameData[[#This Row],[Date]])),Table35[],2,FALSE),0)</f>
        <v>1</v>
      </c>
      <c r="BI58" s="197">
        <f ca="1">IF(PlayerGameData[[#This Row],[Visible]]=1,1,1000)</f>
        <v>1</v>
      </c>
      <c r="BJ58" s="197" t="e">
        <f ca="1">_xlfn.MAXIFS(TeamGameData[Win],TeamGameData[School, Opponent,Game'#],PlayerGameData[[#This Row],[School, Opponent,Game'#]])</f>
        <v>#NAME?</v>
      </c>
      <c r="BK58" s="197" t="e">
        <f ca="1">_xlfn.MAXIFS(TeamGameData[Loss],TeamGameData[School, Opponent,Game'#],PlayerGameData[[#This Row],[School, Opponent,Game'#]])</f>
        <v>#NAME?</v>
      </c>
    </row>
    <row r="59" spans="1:63" x14ac:dyDescent="0.25">
      <c r="A59" s="8" t="str">
        <f t="shared" ca="1" si="30"/>
        <v>Keith Coburn, 11</v>
      </c>
      <c r="B59" s="8" t="str">
        <f>Roster!$B$1</f>
        <v>Upton</v>
      </c>
      <c r="C59" s="8" t="str">
        <f t="shared" ca="1" si="31"/>
        <v>Sundance</v>
      </c>
      <c r="D59" s="10">
        <f t="shared" ca="1" si="32"/>
        <v>0</v>
      </c>
      <c r="E59" s="8">
        <f t="shared" ca="1" si="3"/>
        <v>0</v>
      </c>
      <c r="F59" s="8">
        <f t="shared" ca="1" si="4"/>
        <v>0</v>
      </c>
      <c r="G59" s="8">
        <f t="shared" ca="1" si="5"/>
        <v>0</v>
      </c>
      <c r="H59" s="8">
        <f t="shared" ca="1" si="6"/>
        <v>0</v>
      </c>
      <c r="I59" s="8">
        <f t="shared" ca="1" si="7"/>
        <v>0</v>
      </c>
      <c r="J59" s="8">
        <f t="shared" ca="1" si="8"/>
        <v>0</v>
      </c>
      <c r="K59" s="8">
        <f t="shared" ca="1" si="9"/>
        <v>0</v>
      </c>
      <c r="L59" s="8">
        <f t="shared" ca="1" si="33"/>
        <v>0</v>
      </c>
      <c r="M59" s="8">
        <f t="shared" ca="1" si="34"/>
        <v>0</v>
      </c>
      <c r="N59" s="8">
        <f t="shared" ca="1" si="35"/>
        <v>0</v>
      </c>
      <c r="O59" s="8">
        <f t="shared" ca="1" si="36"/>
        <v>0</v>
      </c>
      <c r="P59" s="8">
        <f t="shared" ca="1" si="37"/>
        <v>0</v>
      </c>
      <c r="Q59" s="8">
        <f t="shared" ca="1" si="38"/>
        <v>0</v>
      </c>
      <c r="R59" s="8">
        <f t="shared" ca="1" si="39"/>
        <v>0</v>
      </c>
      <c r="S59" s="8">
        <f t="shared" ca="1" si="40"/>
        <v>0</v>
      </c>
      <c r="T59" s="8">
        <f t="shared" ca="1" si="41"/>
        <v>0</v>
      </c>
      <c r="U59" s="8">
        <f t="shared" ca="1" si="42"/>
        <v>0</v>
      </c>
      <c r="V59" s="8">
        <f t="shared" ca="1" si="43"/>
        <v>0</v>
      </c>
      <c r="W59" s="11" t="str">
        <f t="shared" ca="1" si="44"/>
        <v/>
      </c>
      <c r="X59" s="11" t="str">
        <f t="shared" ca="1" si="45"/>
        <v/>
      </c>
      <c r="Y59" s="11" t="str">
        <f t="shared" ca="1" si="46"/>
        <v/>
      </c>
      <c r="Z59" s="11" t="str">
        <f t="shared" ca="1" si="47"/>
        <v/>
      </c>
      <c r="AA59" s="11" t="str">
        <f t="shared" ca="1" si="48"/>
        <v/>
      </c>
      <c r="AB59" s="47">
        <f ca="1">PlayerGameData[[#This Row],[3FGA]]+PlayerGameData[[#This Row],[2FGA]]</f>
        <v>0</v>
      </c>
      <c r="AC59" s="47">
        <f ca="1">PlayerGameData[[#This Row],[OFF REB]]+PlayerGameData[[#This Row],[DEF REB]]</f>
        <v>0</v>
      </c>
      <c r="AD59" s="8">
        <f t="shared" si="26"/>
        <v>3</v>
      </c>
      <c r="AE59" s="8" t="str">
        <f t="shared" ca="1" si="27"/>
        <v>Keith Coburn, 11 - Sundance 1/0/1900</v>
      </c>
      <c r="AF59" s="8" t="str">
        <f t="shared" ca="1" si="49"/>
        <v/>
      </c>
      <c r="AG59" s="8" t="str">
        <f ca="1">IFERROR(IF(C59=0,"",IF(AND(VLOOKUP(PlayerGameData[[#This Row],[Opponent]],WYTeamInfo,2,FALSE)=Roster!$D$1,VLOOKUP(PlayerGameData[[#This Row],[Opponent]],WYTeamInfo,3,FALSE)=Roster!$D$2),"SR","")),"")</f>
        <v/>
      </c>
      <c r="AH59" s="8" t="str">
        <f>CONCATENATE(Roster!$D$1," ",Roster!$D$5)</f>
        <v>1A BB</v>
      </c>
      <c r="AI59" s="8" t="str">
        <f t="shared" ca="1" si="50"/>
        <v>Upton - Sundance 1/0/1900</v>
      </c>
      <c r="AJ59" s="8">
        <f ca="1">IFERROR(VLOOKUP(PlayerGameData[[#This Row],[School, Opponent,Game'#]],Table3[],2,FALSE),0)</f>
        <v>1</v>
      </c>
      <c r="AK59" s="8">
        <f ca="1">IF(PlayerGameData[[#This Row],[Visible]]=1,1,1000)</f>
        <v>1</v>
      </c>
      <c r="AL59" s="8">
        <f ca="1">RANK(PlayerGameData[[#This Row],[TL PTS]],PlayerGameData[TL PTS],0)+PlayerGameData[[#This Row],[VisibleOrder]]</f>
        <v>185</v>
      </c>
      <c r="AM59" s="8">
        <f ca="1">IF(COUNTIF(PlayerGameData[PointOrder],PlayerGameData[[#This Row],[PointOrder]])&gt;1,RANK(PlayerGameData[[#This Row],[FGA]],PlayerGameData[FGA],0)/100,0)+PlayerGameData[[#This Row],[PointOrder]]</f>
        <v>187.14</v>
      </c>
      <c r="AN59" s="8">
        <f ca="1">RANK(PlayerGameData[[#This Row],[PointTieBreak]],PlayerGameData[PointTieBreak],1)</f>
        <v>216</v>
      </c>
      <c r="AO59" s="8">
        <f ca="1">RANK(PlayerGameData[[#This Row],[REB]],PlayerGameData[REB],0)+PlayerGameData[[#This Row],[VisibleOrder]]</f>
        <v>192</v>
      </c>
      <c r="AP59" s="8">
        <f ca="1">IF(COUNTIF(PlayerGameData[REBOrder],PlayerGameData[[#This Row],[REBOrder]])&gt;1,PlayerGameData[[#This Row],[PointRank]]/100+PlayerGameData[[#This Row],[REBOrder]],PlayerGameData[[#This Row],[REBOrder]])</f>
        <v>194.16</v>
      </c>
      <c r="AQ59" s="8">
        <f ca="1">RANK(PlayerGameData[[#This Row],[REBTieBreak]],PlayerGameData[REBTieBreak],1)</f>
        <v>224</v>
      </c>
      <c r="AR59" s="8">
        <f ca="1">RANK(PlayerGameData[[#This Row],[AST]],PlayerGameData[AST],0)+PlayerGameData[[#This Row],[VisibleOrder]]</f>
        <v>158</v>
      </c>
      <c r="AS59" s="8">
        <f ca="1">IF(COUNTIF(PlayerGameData[ASTOrder],PlayerGameData[[#This Row],[ASTOrder]])&gt;1,PlayerGameData[[#This Row],[PointRank]]/100+PlayerGameData[[#This Row],[ASTOrder]],PlayerGameData[[#This Row],[ASTOrder]])</f>
        <v>160.16</v>
      </c>
      <c r="AT59" s="8">
        <f ca="1">RANK(PlayerGameData[[#This Row],[ASTTieBreak]],PlayerGameData[ASTTieBreak],1)</f>
        <v>221</v>
      </c>
      <c r="AU59" s="8">
        <f ca="1">RANK(PlayerGameData[[#This Row],[STL]],PlayerGameData[STL],0)+PlayerGameData[[#This Row],[VisibleOrder]]</f>
        <v>143</v>
      </c>
      <c r="AV59" s="8">
        <f ca="1">IF(COUNTIF(PlayerGameData[STLOrder],PlayerGameData[[#This Row],[STLOrder]])&gt;1,PlayerGameData[[#This Row],[PointRank]]/100+PlayerGameData[[#This Row],[STLOrder]],PlayerGameData[[#This Row],[STLOrder]])</f>
        <v>145.16</v>
      </c>
      <c r="AW59" s="8">
        <f ca="1">RANK(PlayerGameData[[#This Row],[STLTieBreak]],PlayerGameData[STLTieBreak],1)</f>
        <v>217</v>
      </c>
      <c r="AX59" s="8">
        <f ca="1">RANK(PlayerGameData[[#This Row],[BLK]],PlayerGameData[BLK],0)+PlayerGameData[[#This Row],[VisibleOrder]]</f>
        <v>32</v>
      </c>
      <c r="AY59" s="8">
        <f ca="1">IF(COUNTIF(PlayerGameData[BLKOrder],PlayerGameData[[#This Row],[BLKOrder]])&gt;1,PlayerGameData[[#This Row],[PointRank]]/100+PlayerGameData[[#This Row],[BLKOrder]],PlayerGameData[[#This Row],[BLKOrder]])</f>
        <v>34.159999999999997</v>
      </c>
      <c r="AZ59" s="8">
        <f ca="1">RANK(PlayerGameData[[#This Row],[BLKTieBreak]],PlayerGameData[BLKTieBreak],1)</f>
        <v>216</v>
      </c>
      <c r="BA59" s="11">
        <f ca="1">IFERROR(IF(PlayerGameData[[#This Row],[FGA]]&gt;$AA$5,PlayerGameData[[#This Row],[FG%*]],PlayerGameData[[#This Row],[FG%*]]*-1),-2)</f>
        <v>-2</v>
      </c>
      <c r="BB59" s="8">
        <f ca="1">RANK(PlayerGameData[[#This Row],[EligFG]],PlayerGameData[EligFG],0)+PlayerGameData[[#This Row],[VisibleOrder]]</f>
        <v>215</v>
      </c>
      <c r="BC59" s="8">
        <f ca="1">IF(COUNTIF(PlayerGameData[EligFGOrder],PlayerGameData[[#This Row],[EligFGOrder]])&gt;1,PlayerGameData[[#This Row],[PointRank]]/100+PlayerGameData[[#This Row],[EligFGOrder]],PlayerGameData[[#This Row],[EligFGOrder]])</f>
        <v>217.16</v>
      </c>
      <c r="BD59" s="8">
        <f ca="1">RANK(PlayerGameData[[#This Row],[EligFGTieBreak]],PlayerGameData[EligFGTieBreak],1)</f>
        <v>216</v>
      </c>
      <c r="BE59" s="8" t="str">
        <f>Roster!$D$3</f>
        <v>East</v>
      </c>
      <c r="BF59" s="8" t="str">
        <f>Roster!$D$2</f>
        <v>Northeast</v>
      </c>
      <c r="BG59" s="8" t="str">
        <f>Roster!$D$4</f>
        <v>North</v>
      </c>
      <c r="BH59" s="197">
        <f ca="1">IFERROR(VLOOKUP(CONCATENATE(PlayerGameData[[#This Row],[Opponent]]," ",MONTH(PlayerGameData[[#This Row],[Date]]),"/",DAY(PlayerGameData[[#This Row],[Date]]),"/",YEAR(PlayerGameData[[#This Row],[Date]])),Table35[],2,FALSE),0)</f>
        <v>1</v>
      </c>
      <c r="BI59" s="197">
        <f ca="1">IF(PlayerGameData[[#This Row],[Visible]]=1,1,1000)</f>
        <v>1</v>
      </c>
      <c r="BJ59" s="197" t="e">
        <f ca="1">_xlfn.MAXIFS(TeamGameData[Win],TeamGameData[School, Opponent,Game'#],PlayerGameData[[#This Row],[School, Opponent,Game'#]])</f>
        <v>#NAME?</v>
      </c>
      <c r="BK59" s="197" t="e">
        <f ca="1">_xlfn.MAXIFS(TeamGameData[Loss],TeamGameData[School, Opponent,Game'#],PlayerGameData[[#This Row],[School, Opponent,Game'#]])</f>
        <v>#NAME?</v>
      </c>
    </row>
    <row r="60" spans="1:63" x14ac:dyDescent="0.25">
      <c r="A60" s="8" t="str">
        <f t="shared" ca="1" si="30"/>
        <v>Carson Barritt, 14</v>
      </c>
      <c r="B60" s="8" t="str">
        <f>Roster!$B$1</f>
        <v>Upton</v>
      </c>
      <c r="C60" s="8" t="str">
        <f t="shared" ca="1" si="31"/>
        <v>Sundance</v>
      </c>
      <c r="D60" s="10">
        <f t="shared" ca="1" si="32"/>
        <v>0</v>
      </c>
      <c r="E60" s="8">
        <f t="shared" ca="1" si="3"/>
        <v>0</v>
      </c>
      <c r="F60" s="8">
        <f t="shared" ca="1" si="4"/>
        <v>0</v>
      </c>
      <c r="G60" s="8">
        <f t="shared" ca="1" si="5"/>
        <v>0</v>
      </c>
      <c r="H60" s="8">
        <f t="shared" ca="1" si="6"/>
        <v>0</v>
      </c>
      <c r="I60" s="8">
        <f t="shared" ca="1" si="7"/>
        <v>0</v>
      </c>
      <c r="J60" s="8">
        <f t="shared" ca="1" si="8"/>
        <v>0</v>
      </c>
      <c r="K60" s="8">
        <f t="shared" ca="1" si="9"/>
        <v>0</v>
      </c>
      <c r="L60" s="8">
        <f t="shared" ca="1" si="33"/>
        <v>0</v>
      </c>
      <c r="M60" s="8">
        <f t="shared" ca="1" si="34"/>
        <v>0</v>
      </c>
      <c r="N60" s="8">
        <f t="shared" ca="1" si="35"/>
        <v>0</v>
      </c>
      <c r="O60" s="8">
        <f t="shared" ca="1" si="36"/>
        <v>0</v>
      </c>
      <c r="P60" s="8">
        <f t="shared" ca="1" si="37"/>
        <v>0</v>
      </c>
      <c r="Q60" s="8">
        <f t="shared" ca="1" si="38"/>
        <v>0</v>
      </c>
      <c r="R60" s="8">
        <f t="shared" ca="1" si="39"/>
        <v>0</v>
      </c>
      <c r="S60" s="8">
        <f t="shared" ca="1" si="40"/>
        <v>0</v>
      </c>
      <c r="T60" s="8">
        <f t="shared" ca="1" si="41"/>
        <v>0</v>
      </c>
      <c r="U60" s="8">
        <f t="shared" ca="1" si="42"/>
        <v>0</v>
      </c>
      <c r="V60" s="8">
        <f t="shared" ca="1" si="43"/>
        <v>0</v>
      </c>
      <c r="W60" s="11" t="str">
        <f t="shared" ca="1" si="44"/>
        <v/>
      </c>
      <c r="X60" s="11" t="str">
        <f t="shared" ca="1" si="45"/>
        <v/>
      </c>
      <c r="Y60" s="11" t="str">
        <f t="shared" ca="1" si="46"/>
        <v/>
      </c>
      <c r="Z60" s="11" t="str">
        <f t="shared" ca="1" si="47"/>
        <v/>
      </c>
      <c r="AA60" s="11" t="str">
        <f t="shared" ca="1" si="48"/>
        <v/>
      </c>
      <c r="AB60" s="47">
        <f ca="1">PlayerGameData[[#This Row],[3FGA]]+PlayerGameData[[#This Row],[2FGA]]</f>
        <v>0</v>
      </c>
      <c r="AC60" s="47">
        <f ca="1">PlayerGameData[[#This Row],[OFF REB]]+PlayerGameData[[#This Row],[DEF REB]]</f>
        <v>0</v>
      </c>
      <c r="AD60" s="8">
        <f t="shared" si="26"/>
        <v>3</v>
      </c>
      <c r="AE60" s="8" t="str">
        <f t="shared" ca="1" si="27"/>
        <v>Carson Barritt, 14 - Sundance 1/0/1900</v>
      </c>
      <c r="AF60" s="8" t="str">
        <f t="shared" ca="1" si="49"/>
        <v/>
      </c>
      <c r="AG60" s="8" t="str">
        <f ca="1">IFERROR(IF(C60=0,"",IF(AND(VLOOKUP(PlayerGameData[[#This Row],[Opponent]],WYTeamInfo,2,FALSE)=Roster!$D$1,VLOOKUP(PlayerGameData[[#This Row],[Opponent]],WYTeamInfo,3,FALSE)=Roster!$D$2),"SR","")),"")</f>
        <v/>
      </c>
      <c r="AH60" s="8" t="str">
        <f>CONCATENATE(Roster!$D$1," ",Roster!$D$5)</f>
        <v>1A BB</v>
      </c>
      <c r="AI60" s="8" t="str">
        <f t="shared" ca="1" si="50"/>
        <v>Upton - Sundance 1/0/1900</v>
      </c>
      <c r="AJ60" s="8">
        <f ca="1">IFERROR(VLOOKUP(PlayerGameData[[#This Row],[School, Opponent,Game'#]],Table3[],2,FALSE),0)</f>
        <v>1</v>
      </c>
      <c r="AK60" s="8">
        <f ca="1">IF(PlayerGameData[[#This Row],[Visible]]=1,1,1000)</f>
        <v>1</v>
      </c>
      <c r="AL60" s="8">
        <f ca="1">RANK(PlayerGameData[[#This Row],[TL PTS]],PlayerGameData[TL PTS],0)+PlayerGameData[[#This Row],[VisibleOrder]]</f>
        <v>185</v>
      </c>
      <c r="AM60" s="8">
        <f ca="1">IF(COUNTIF(PlayerGameData[PointOrder],PlayerGameData[[#This Row],[PointOrder]])&gt;1,RANK(PlayerGameData[[#This Row],[FGA]],PlayerGameData[FGA],0)/100,0)+PlayerGameData[[#This Row],[PointOrder]]</f>
        <v>187.14</v>
      </c>
      <c r="AN60" s="8">
        <f ca="1">RANK(PlayerGameData[[#This Row],[PointTieBreak]],PlayerGameData[PointTieBreak],1)</f>
        <v>216</v>
      </c>
      <c r="AO60" s="8">
        <f ca="1">RANK(PlayerGameData[[#This Row],[REB]],PlayerGameData[REB],0)+PlayerGameData[[#This Row],[VisibleOrder]]</f>
        <v>192</v>
      </c>
      <c r="AP60" s="8">
        <f ca="1">IF(COUNTIF(PlayerGameData[REBOrder],PlayerGameData[[#This Row],[REBOrder]])&gt;1,PlayerGameData[[#This Row],[PointRank]]/100+PlayerGameData[[#This Row],[REBOrder]],PlayerGameData[[#This Row],[REBOrder]])</f>
        <v>194.16</v>
      </c>
      <c r="AQ60" s="8">
        <f ca="1">RANK(PlayerGameData[[#This Row],[REBTieBreak]],PlayerGameData[REBTieBreak],1)</f>
        <v>224</v>
      </c>
      <c r="AR60" s="8">
        <f ca="1">RANK(PlayerGameData[[#This Row],[AST]],PlayerGameData[AST],0)+PlayerGameData[[#This Row],[VisibleOrder]]</f>
        <v>158</v>
      </c>
      <c r="AS60" s="8">
        <f ca="1">IF(COUNTIF(PlayerGameData[ASTOrder],PlayerGameData[[#This Row],[ASTOrder]])&gt;1,PlayerGameData[[#This Row],[PointRank]]/100+PlayerGameData[[#This Row],[ASTOrder]],PlayerGameData[[#This Row],[ASTOrder]])</f>
        <v>160.16</v>
      </c>
      <c r="AT60" s="8">
        <f ca="1">RANK(PlayerGameData[[#This Row],[ASTTieBreak]],PlayerGameData[ASTTieBreak],1)</f>
        <v>221</v>
      </c>
      <c r="AU60" s="8">
        <f ca="1">RANK(PlayerGameData[[#This Row],[STL]],PlayerGameData[STL],0)+PlayerGameData[[#This Row],[VisibleOrder]]</f>
        <v>143</v>
      </c>
      <c r="AV60" s="8">
        <f ca="1">IF(COUNTIF(PlayerGameData[STLOrder],PlayerGameData[[#This Row],[STLOrder]])&gt;1,PlayerGameData[[#This Row],[PointRank]]/100+PlayerGameData[[#This Row],[STLOrder]],PlayerGameData[[#This Row],[STLOrder]])</f>
        <v>145.16</v>
      </c>
      <c r="AW60" s="8">
        <f ca="1">RANK(PlayerGameData[[#This Row],[STLTieBreak]],PlayerGameData[STLTieBreak],1)</f>
        <v>217</v>
      </c>
      <c r="AX60" s="8">
        <f ca="1">RANK(PlayerGameData[[#This Row],[BLK]],PlayerGameData[BLK],0)+PlayerGameData[[#This Row],[VisibleOrder]]</f>
        <v>32</v>
      </c>
      <c r="AY60" s="8">
        <f ca="1">IF(COUNTIF(PlayerGameData[BLKOrder],PlayerGameData[[#This Row],[BLKOrder]])&gt;1,PlayerGameData[[#This Row],[PointRank]]/100+PlayerGameData[[#This Row],[BLKOrder]],PlayerGameData[[#This Row],[BLKOrder]])</f>
        <v>34.159999999999997</v>
      </c>
      <c r="AZ60" s="8">
        <f ca="1">RANK(PlayerGameData[[#This Row],[BLKTieBreak]],PlayerGameData[BLKTieBreak],1)</f>
        <v>216</v>
      </c>
      <c r="BA60" s="11">
        <f ca="1">IFERROR(IF(PlayerGameData[[#This Row],[FGA]]&gt;$AA$5,PlayerGameData[[#This Row],[FG%*]],PlayerGameData[[#This Row],[FG%*]]*-1),-2)</f>
        <v>-2</v>
      </c>
      <c r="BB60" s="8">
        <f ca="1">RANK(PlayerGameData[[#This Row],[EligFG]],PlayerGameData[EligFG],0)+PlayerGameData[[#This Row],[VisibleOrder]]</f>
        <v>215</v>
      </c>
      <c r="BC60" s="8">
        <f ca="1">IF(COUNTIF(PlayerGameData[EligFGOrder],PlayerGameData[[#This Row],[EligFGOrder]])&gt;1,PlayerGameData[[#This Row],[PointRank]]/100+PlayerGameData[[#This Row],[EligFGOrder]],PlayerGameData[[#This Row],[EligFGOrder]])</f>
        <v>217.16</v>
      </c>
      <c r="BD60" s="8">
        <f ca="1">RANK(PlayerGameData[[#This Row],[EligFGTieBreak]],PlayerGameData[EligFGTieBreak],1)</f>
        <v>216</v>
      </c>
      <c r="BE60" s="8" t="str">
        <f>Roster!$D$3</f>
        <v>East</v>
      </c>
      <c r="BF60" s="8" t="str">
        <f>Roster!$D$2</f>
        <v>Northeast</v>
      </c>
      <c r="BG60" s="8" t="str">
        <f>Roster!$D$4</f>
        <v>North</v>
      </c>
      <c r="BH60" s="197">
        <f ca="1">IFERROR(VLOOKUP(CONCATENATE(PlayerGameData[[#This Row],[Opponent]]," ",MONTH(PlayerGameData[[#This Row],[Date]]),"/",DAY(PlayerGameData[[#This Row],[Date]]),"/",YEAR(PlayerGameData[[#This Row],[Date]])),Table35[],2,FALSE),0)</f>
        <v>1</v>
      </c>
      <c r="BI60" s="197">
        <f ca="1">IF(PlayerGameData[[#This Row],[Visible]]=1,1,1000)</f>
        <v>1</v>
      </c>
      <c r="BJ60" s="197" t="e">
        <f ca="1">_xlfn.MAXIFS(TeamGameData[Win],TeamGameData[School, Opponent,Game'#],PlayerGameData[[#This Row],[School, Opponent,Game'#]])</f>
        <v>#NAME?</v>
      </c>
      <c r="BK60" s="197" t="e">
        <f ca="1">_xlfn.MAXIFS(TeamGameData[Loss],TeamGameData[School, Opponent,Game'#],PlayerGameData[[#This Row],[School, Opponent,Game'#]])</f>
        <v>#NAME?</v>
      </c>
    </row>
    <row r="61" spans="1:63" x14ac:dyDescent="0.25">
      <c r="A61" s="8" t="str">
        <f t="shared" ca="1" si="30"/>
        <v>Ben Carpenter, 21</v>
      </c>
      <c r="B61" s="8" t="str">
        <f>Roster!$B$1</f>
        <v>Upton</v>
      </c>
      <c r="C61" s="8" t="str">
        <f t="shared" ca="1" si="31"/>
        <v>Sundance</v>
      </c>
      <c r="D61" s="10">
        <f t="shared" ca="1" si="32"/>
        <v>0</v>
      </c>
      <c r="E61" s="8">
        <f t="shared" ca="1" si="3"/>
        <v>0</v>
      </c>
      <c r="F61" s="8">
        <f t="shared" ca="1" si="4"/>
        <v>0</v>
      </c>
      <c r="G61" s="8">
        <f t="shared" ca="1" si="5"/>
        <v>0</v>
      </c>
      <c r="H61" s="8">
        <f t="shared" ca="1" si="6"/>
        <v>0</v>
      </c>
      <c r="I61" s="8">
        <f t="shared" ca="1" si="7"/>
        <v>0</v>
      </c>
      <c r="J61" s="8">
        <f t="shared" ca="1" si="8"/>
        <v>0</v>
      </c>
      <c r="K61" s="8">
        <f t="shared" ca="1" si="9"/>
        <v>0</v>
      </c>
      <c r="L61" s="8">
        <f t="shared" ca="1" si="33"/>
        <v>0</v>
      </c>
      <c r="M61" s="8">
        <f t="shared" ca="1" si="34"/>
        <v>0</v>
      </c>
      <c r="N61" s="8">
        <f t="shared" ca="1" si="35"/>
        <v>0</v>
      </c>
      <c r="O61" s="8">
        <f t="shared" ca="1" si="36"/>
        <v>0</v>
      </c>
      <c r="P61" s="8">
        <f t="shared" ca="1" si="37"/>
        <v>0</v>
      </c>
      <c r="Q61" s="8">
        <f t="shared" ca="1" si="38"/>
        <v>0</v>
      </c>
      <c r="R61" s="8">
        <f t="shared" ca="1" si="39"/>
        <v>0</v>
      </c>
      <c r="S61" s="8">
        <f t="shared" ca="1" si="40"/>
        <v>0</v>
      </c>
      <c r="T61" s="8">
        <f t="shared" ca="1" si="41"/>
        <v>0</v>
      </c>
      <c r="U61" s="8">
        <f t="shared" ca="1" si="42"/>
        <v>0</v>
      </c>
      <c r="V61" s="8">
        <f t="shared" ca="1" si="43"/>
        <v>0</v>
      </c>
      <c r="W61" s="11" t="str">
        <f t="shared" ca="1" si="44"/>
        <v/>
      </c>
      <c r="X61" s="11" t="str">
        <f t="shared" ca="1" si="45"/>
        <v/>
      </c>
      <c r="Y61" s="11" t="str">
        <f t="shared" ca="1" si="46"/>
        <v/>
      </c>
      <c r="Z61" s="11" t="str">
        <f t="shared" ca="1" si="47"/>
        <v/>
      </c>
      <c r="AA61" s="11" t="str">
        <f t="shared" ca="1" si="48"/>
        <v/>
      </c>
      <c r="AB61" s="47">
        <f ca="1">PlayerGameData[[#This Row],[3FGA]]+PlayerGameData[[#This Row],[2FGA]]</f>
        <v>0</v>
      </c>
      <c r="AC61" s="47">
        <f ca="1">PlayerGameData[[#This Row],[OFF REB]]+PlayerGameData[[#This Row],[DEF REB]]</f>
        <v>0</v>
      </c>
      <c r="AD61" s="8">
        <f t="shared" si="26"/>
        <v>3</v>
      </c>
      <c r="AE61" s="8" t="str">
        <f t="shared" ca="1" si="27"/>
        <v>Ben Carpenter, 21 - Sundance 1/0/1900</v>
      </c>
      <c r="AF61" s="8" t="str">
        <f t="shared" ca="1" si="49"/>
        <v/>
      </c>
      <c r="AG61" s="8" t="str">
        <f ca="1">IFERROR(IF(C61=0,"",IF(AND(VLOOKUP(PlayerGameData[[#This Row],[Opponent]],WYTeamInfo,2,FALSE)=Roster!$D$1,VLOOKUP(PlayerGameData[[#This Row],[Opponent]],WYTeamInfo,3,FALSE)=Roster!$D$2),"SR","")),"")</f>
        <v/>
      </c>
      <c r="AH61" s="8" t="str">
        <f>CONCATENATE(Roster!$D$1," ",Roster!$D$5)</f>
        <v>1A BB</v>
      </c>
      <c r="AI61" s="8" t="str">
        <f t="shared" ca="1" si="50"/>
        <v>Upton - Sundance 1/0/1900</v>
      </c>
      <c r="AJ61" s="8">
        <f ca="1">IFERROR(VLOOKUP(PlayerGameData[[#This Row],[School, Opponent,Game'#]],Table3[],2,FALSE),0)</f>
        <v>1</v>
      </c>
      <c r="AK61" s="8">
        <f ca="1">IF(PlayerGameData[[#This Row],[Visible]]=1,1,1000)</f>
        <v>1</v>
      </c>
      <c r="AL61" s="8">
        <f ca="1">RANK(PlayerGameData[[#This Row],[TL PTS]],PlayerGameData[TL PTS],0)+PlayerGameData[[#This Row],[VisibleOrder]]</f>
        <v>185</v>
      </c>
      <c r="AM61" s="8">
        <f ca="1">IF(COUNTIF(PlayerGameData[PointOrder],PlayerGameData[[#This Row],[PointOrder]])&gt;1,RANK(PlayerGameData[[#This Row],[FGA]],PlayerGameData[FGA],0)/100,0)+PlayerGameData[[#This Row],[PointOrder]]</f>
        <v>187.14</v>
      </c>
      <c r="AN61" s="8">
        <f ca="1">RANK(PlayerGameData[[#This Row],[PointTieBreak]],PlayerGameData[PointTieBreak],1)</f>
        <v>216</v>
      </c>
      <c r="AO61" s="8">
        <f ca="1">RANK(PlayerGameData[[#This Row],[REB]],PlayerGameData[REB],0)+PlayerGameData[[#This Row],[VisibleOrder]]</f>
        <v>192</v>
      </c>
      <c r="AP61" s="8">
        <f ca="1">IF(COUNTIF(PlayerGameData[REBOrder],PlayerGameData[[#This Row],[REBOrder]])&gt;1,PlayerGameData[[#This Row],[PointRank]]/100+PlayerGameData[[#This Row],[REBOrder]],PlayerGameData[[#This Row],[REBOrder]])</f>
        <v>194.16</v>
      </c>
      <c r="AQ61" s="8">
        <f ca="1">RANK(PlayerGameData[[#This Row],[REBTieBreak]],PlayerGameData[REBTieBreak],1)</f>
        <v>224</v>
      </c>
      <c r="AR61" s="8">
        <f ca="1">RANK(PlayerGameData[[#This Row],[AST]],PlayerGameData[AST],0)+PlayerGameData[[#This Row],[VisibleOrder]]</f>
        <v>158</v>
      </c>
      <c r="AS61" s="8">
        <f ca="1">IF(COUNTIF(PlayerGameData[ASTOrder],PlayerGameData[[#This Row],[ASTOrder]])&gt;1,PlayerGameData[[#This Row],[PointRank]]/100+PlayerGameData[[#This Row],[ASTOrder]],PlayerGameData[[#This Row],[ASTOrder]])</f>
        <v>160.16</v>
      </c>
      <c r="AT61" s="8">
        <f ca="1">RANK(PlayerGameData[[#This Row],[ASTTieBreak]],PlayerGameData[ASTTieBreak],1)</f>
        <v>221</v>
      </c>
      <c r="AU61" s="8">
        <f ca="1">RANK(PlayerGameData[[#This Row],[STL]],PlayerGameData[STL],0)+PlayerGameData[[#This Row],[VisibleOrder]]</f>
        <v>143</v>
      </c>
      <c r="AV61" s="8">
        <f ca="1">IF(COUNTIF(PlayerGameData[STLOrder],PlayerGameData[[#This Row],[STLOrder]])&gt;1,PlayerGameData[[#This Row],[PointRank]]/100+PlayerGameData[[#This Row],[STLOrder]],PlayerGameData[[#This Row],[STLOrder]])</f>
        <v>145.16</v>
      </c>
      <c r="AW61" s="8">
        <f ca="1">RANK(PlayerGameData[[#This Row],[STLTieBreak]],PlayerGameData[STLTieBreak],1)</f>
        <v>217</v>
      </c>
      <c r="AX61" s="8">
        <f ca="1">RANK(PlayerGameData[[#This Row],[BLK]],PlayerGameData[BLK],0)+PlayerGameData[[#This Row],[VisibleOrder]]</f>
        <v>32</v>
      </c>
      <c r="AY61" s="8">
        <f ca="1">IF(COUNTIF(PlayerGameData[BLKOrder],PlayerGameData[[#This Row],[BLKOrder]])&gt;1,PlayerGameData[[#This Row],[PointRank]]/100+PlayerGameData[[#This Row],[BLKOrder]],PlayerGameData[[#This Row],[BLKOrder]])</f>
        <v>34.159999999999997</v>
      </c>
      <c r="AZ61" s="8">
        <f ca="1">RANK(PlayerGameData[[#This Row],[BLKTieBreak]],PlayerGameData[BLKTieBreak],1)</f>
        <v>216</v>
      </c>
      <c r="BA61" s="11">
        <f ca="1">IFERROR(IF(PlayerGameData[[#This Row],[FGA]]&gt;$AA$5,PlayerGameData[[#This Row],[FG%*]],PlayerGameData[[#This Row],[FG%*]]*-1),-2)</f>
        <v>-2</v>
      </c>
      <c r="BB61" s="8">
        <f ca="1">RANK(PlayerGameData[[#This Row],[EligFG]],PlayerGameData[EligFG],0)+PlayerGameData[[#This Row],[VisibleOrder]]</f>
        <v>215</v>
      </c>
      <c r="BC61" s="8">
        <f ca="1">IF(COUNTIF(PlayerGameData[EligFGOrder],PlayerGameData[[#This Row],[EligFGOrder]])&gt;1,PlayerGameData[[#This Row],[PointRank]]/100+PlayerGameData[[#This Row],[EligFGOrder]],PlayerGameData[[#This Row],[EligFGOrder]])</f>
        <v>217.16</v>
      </c>
      <c r="BD61" s="8">
        <f ca="1">RANK(PlayerGameData[[#This Row],[EligFGTieBreak]],PlayerGameData[EligFGTieBreak],1)</f>
        <v>216</v>
      </c>
      <c r="BE61" s="8" t="str">
        <f>Roster!$D$3</f>
        <v>East</v>
      </c>
      <c r="BF61" s="8" t="str">
        <f>Roster!$D$2</f>
        <v>Northeast</v>
      </c>
      <c r="BG61" s="8" t="str">
        <f>Roster!$D$4</f>
        <v>North</v>
      </c>
      <c r="BH61" s="197">
        <f ca="1">IFERROR(VLOOKUP(CONCATENATE(PlayerGameData[[#This Row],[Opponent]]," ",MONTH(PlayerGameData[[#This Row],[Date]]),"/",DAY(PlayerGameData[[#This Row],[Date]]),"/",YEAR(PlayerGameData[[#This Row],[Date]])),Table35[],2,FALSE),0)</f>
        <v>1</v>
      </c>
      <c r="BI61" s="197">
        <f ca="1">IF(PlayerGameData[[#This Row],[Visible]]=1,1,1000)</f>
        <v>1</v>
      </c>
      <c r="BJ61" s="197" t="e">
        <f ca="1">_xlfn.MAXIFS(TeamGameData[Win],TeamGameData[School, Opponent,Game'#],PlayerGameData[[#This Row],[School, Opponent,Game'#]])</f>
        <v>#NAME?</v>
      </c>
      <c r="BK61" s="197" t="e">
        <f ca="1">_xlfn.MAXIFS(TeamGameData[Loss],TeamGameData[School, Opponent,Game'#],PlayerGameData[[#This Row],[School, Opponent,Game'#]])</f>
        <v>#NAME?</v>
      </c>
    </row>
    <row r="62" spans="1:63" x14ac:dyDescent="0.25">
      <c r="A62" s="8" t="str">
        <f t="shared" ca="1" si="30"/>
        <v>Ethan Schiller, 23</v>
      </c>
      <c r="B62" s="8" t="str">
        <f>Roster!$B$1</f>
        <v>Upton</v>
      </c>
      <c r="C62" s="8" t="str">
        <f t="shared" ca="1" si="31"/>
        <v>Sundance</v>
      </c>
      <c r="D62" s="10">
        <f t="shared" ca="1" si="32"/>
        <v>0</v>
      </c>
      <c r="E62" s="8">
        <f t="shared" ca="1" si="3"/>
        <v>1</v>
      </c>
      <c r="F62" s="8">
        <f t="shared" ca="1" si="4"/>
        <v>1</v>
      </c>
      <c r="G62" s="8">
        <f t="shared" ca="1" si="5"/>
        <v>26</v>
      </c>
      <c r="H62" s="8">
        <f t="shared" ca="1" si="6"/>
        <v>0</v>
      </c>
      <c r="I62" s="8">
        <f t="shared" ca="1" si="7"/>
        <v>5</v>
      </c>
      <c r="J62" s="8">
        <f t="shared" ca="1" si="8"/>
        <v>2</v>
      </c>
      <c r="K62" s="8">
        <f t="shared" ca="1" si="9"/>
        <v>3</v>
      </c>
      <c r="L62" s="8">
        <f t="shared" ca="1" si="33"/>
        <v>1</v>
      </c>
      <c r="M62" s="8">
        <f t="shared" ca="1" si="34"/>
        <v>3</v>
      </c>
      <c r="N62" s="8">
        <f t="shared" ca="1" si="35"/>
        <v>0</v>
      </c>
      <c r="O62" s="8">
        <f t="shared" ca="1" si="36"/>
        <v>3</v>
      </c>
      <c r="P62" s="8">
        <f t="shared" ca="1" si="37"/>
        <v>3</v>
      </c>
      <c r="Q62" s="8">
        <f t="shared" ca="1" si="38"/>
        <v>2</v>
      </c>
      <c r="R62" s="8">
        <f t="shared" ca="1" si="39"/>
        <v>1</v>
      </c>
      <c r="S62" s="8">
        <f t="shared" ca="1" si="40"/>
        <v>4</v>
      </c>
      <c r="T62" s="8">
        <f t="shared" ca="1" si="41"/>
        <v>3</v>
      </c>
      <c r="U62" s="8">
        <f t="shared" ca="1" si="42"/>
        <v>0</v>
      </c>
      <c r="V62" s="8">
        <f t="shared" ca="1" si="43"/>
        <v>5</v>
      </c>
      <c r="W62" s="11">
        <f t="shared" ca="1" si="44"/>
        <v>0</v>
      </c>
      <c r="X62" s="11">
        <f t="shared" ca="1" si="45"/>
        <v>0.66666666666666663</v>
      </c>
      <c r="Y62" s="11">
        <f t="shared" ca="1" si="46"/>
        <v>0.33333333333333331</v>
      </c>
      <c r="Z62" s="11">
        <f t="shared" ca="1" si="47"/>
        <v>0.25</v>
      </c>
      <c r="AA62" s="11">
        <f t="shared" ca="1" si="48"/>
        <v>0.25</v>
      </c>
      <c r="AB62" s="47">
        <f ca="1">PlayerGameData[[#This Row],[3FGA]]+PlayerGameData[[#This Row],[2FGA]]</f>
        <v>8</v>
      </c>
      <c r="AC62" s="47">
        <f ca="1">PlayerGameData[[#This Row],[OFF REB]]+PlayerGameData[[#This Row],[DEF REB]]</f>
        <v>3</v>
      </c>
      <c r="AD62" s="8">
        <f t="shared" si="26"/>
        <v>3</v>
      </c>
      <c r="AE62" s="8" t="str">
        <f t="shared" ca="1" si="27"/>
        <v>Ethan Schiller, 23 - Sundance 1/0/1900</v>
      </c>
      <c r="AF62" s="8" t="str">
        <f t="shared" ca="1" si="49"/>
        <v/>
      </c>
      <c r="AG62" s="8" t="str">
        <f ca="1">IFERROR(IF(C62=0,"",IF(AND(VLOOKUP(PlayerGameData[[#This Row],[Opponent]],WYTeamInfo,2,FALSE)=Roster!$D$1,VLOOKUP(PlayerGameData[[#This Row],[Opponent]],WYTeamInfo,3,FALSE)=Roster!$D$2),"SR","")),"")</f>
        <v/>
      </c>
      <c r="AH62" s="8" t="str">
        <f>CONCATENATE(Roster!$D$1," ",Roster!$D$5)</f>
        <v>1A BB</v>
      </c>
      <c r="AI62" s="8" t="str">
        <f t="shared" ca="1" si="50"/>
        <v>Upton - Sundance 1/0/1900</v>
      </c>
      <c r="AJ62" s="8">
        <f ca="1">IFERROR(VLOOKUP(PlayerGameData[[#This Row],[School, Opponent,Game'#]],Table3[],2,FALSE),0)</f>
        <v>1</v>
      </c>
      <c r="AK62" s="8">
        <f ca="1">IF(PlayerGameData[[#This Row],[Visible]]=1,1,1000)</f>
        <v>1</v>
      </c>
      <c r="AL62" s="8">
        <f ca="1">RANK(PlayerGameData[[#This Row],[TL PTS]],PlayerGameData[TL PTS],0)+PlayerGameData[[#This Row],[VisibleOrder]]</f>
        <v>110</v>
      </c>
      <c r="AM62" s="8">
        <f ca="1">IF(COUNTIF(PlayerGameData[PointOrder],PlayerGameData[[#This Row],[PointOrder]])&gt;1,RANK(PlayerGameData[[#This Row],[FGA]],PlayerGameData[FGA],0)/100,0)+PlayerGameData[[#This Row],[PointOrder]]</f>
        <v>110.76</v>
      </c>
      <c r="AN62" s="8">
        <f ca="1">RANK(PlayerGameData[[#This Row],[PointTieBreak]],PlayerGameData[PointTieBreak],1)</f>
        <v>110</v>
      </c>
      <c r="AO62" s="8">
        <f ca="1">RANK(PlayerGameData[[#This Row],[REB]],PlayerGameData[REB],0)+PlayerGameData[[#This Row],[VisibleOrder]]</f>
        <v>108</v>
      </c>
      <c r="AP62" s="8">
        <f ca="1">IF(COUNTIF(PlayerGameData[REBOrder],PlayerGameData[[#This Row],[REBOrder]])&gt;1,PlayerGameData[[#This Row],[PointRank]]/100+PlayerGameData[[#This Row],[REBOrder]],PlayerGameData[[#This Row],[REBOrder]])</f>
        <v>109.1</v>
      </c>
      <c r="AQ62" s="8">
        <f ca="1">RANK(PlayerGameData[[#This Row],[REBTieBreak]],PlayerGameData[REBTieBreak],1)</f>
        <v>118</v>
      </c>
      <c r="AR62" s="8">
        <f ca="1">RANK(PlayerGameData[[#This Row],[AST]],PlayerGameData[AST],0)+PlayerGameData[[#This Row],[VisibleOrder]]</f>
        <v>39</v>
      </c>
      <c r="AS62" s="8">
        <f ca="1">IF(COUNTIF(PlayerGameData[ASTOrder],PlayerGameData[[#This Row],[ASTOrder]])&gt;1,PlayerGameData[[#This Row],[PointRank]]/100+PlayerGameData[[#This Row],[ASTOrder]],PlayerGameData[[#This Row],[ASTOrder]])</f>
        <v>40.1</v>
      </c>
      <c r="AT62" s="8">
        <f ca="1">RANK(PlayerGameData[[#This Row],[ASTTieBreak]],PlayerGameData[ASTTieBreak],1)</f>
        <v>57</v>
      </c>
      <c r="AU62" s="8">
        <f ca="1">RANK(PlayerGameData[[#This Row],[STL]],PlayerGameData[STL],0)+PlayerGameData[[#This Row],[VisibleOrder]]</f>
        <v>48</v>
      </c>
      <c r="AV62" s="8">
        <f ca="1">IF(COUNTIF(PlayerGameData[STLOrder],PlayerGameData[[#This Row],[STLOrder]])&gt;1,PlayerGameData[[#This Row],[PointRank]]/100+PlayerGameData[[#This Row],[STLOrder]],PlayerGameData[[#This Row],[STLOrder]])</f>
        <v>49.1</v>
      </c>
      <c r="AW62" s="8">
        <f ca="1">RANK(PlayerGameData[[#This Row],[STLTieBreak]],PlayerGameData[STLTieBreak],1)</f>
        <v>71</v>
      </c>
      <c r="AX62" s="8">
        <f ca="1">RANK(PlayerGameData[[#This Row],[BLK]],PlayerGameData[BLK],0)+PlayerGameData[[#This Row],[VisibleOrder]]</f>
        <v>11</v>
      </c>
      <c r="AY62" s="8">
        <f ca="1">IF(COUNTIF(PlayerGameData[BLKOrder],PlayerGameData[[#This Row],[BLKOrder]])&gt;1,PlayerGameData[[#This Row],[PointRank]]/100+PlayerGameData[[#This Row],[BLKOrder]],PlayerGameData[[#This Row],[BLKOrder]])</f>
        <v>12.1</v>
      </c>
      <c r="AZ62" s="8">
        <f ca="1">RANK(PlayerGameData[[#This Row],[BLKTieBreak]],PlayerGameData[BLKTieBreak],1)</f>
        <v>26</v>
      </c>
      <c r="BA62" s="11">
        <f ca="1">IFERROR(IF(PlayerGameData[[#This Row],[FGA]]&gt;$AA$5,PlayerGameData[[#This Row],[FG%*]],PlayerGameData[[#This Row],[FG%*]]*-1),-2)</f>
        <v>0.25</v>
      </c>
      <c r="BB62" s="8">
        <f ca="1">RANK(PlayerGameData[[#This Row],[EligFG]],PlayerGameData[EligFG],0)+PlayerGameData[[#This Row],[VisibleOrder]]</f>
        <v>98</v>
      </c>
      <c r="BC62" s="8">
        <f ca="1">IF(COUNTIF(PlayerGameData[EligFGOrder],PlayerGameData[[#This Row],[EligFGOrder]])&gt;1,PlayerGameData[[#This Row],[PointRank]]/100+PlayerGameData[[#This Row],[EligFGOrder]],PlayerGameData[[#This Row],[EligFGOrder]])</f>
        <v>99.1</v>
      </c>
      <c r="BD62" s="8">
        <f ca="1">RANK(PlayerGameData[[#This Row],[EligFGTieBreak]],PlayerGameData[EligFGTieBreak],1)</f>
        <v>101</v>
      </c>
      <c r="BE62" s="8" t="str">
        <f>Roster!$D$3</f>
        <v>East</v>
      </c>
      <c r="BF62" s="8" t="str">
        <f>Roster!$D$2</f>
        <v>Northeast</v>
      </c>
      <c r="BG62" s="8" t="str">
        <f>Roster!$D$4</f>
        <v>North</v>
      </c>
      <c r="BH62" s="197">
        <f ca="1">IFERROR(VLOOKUP(CONCATENATE(PlayerGameData[[#This Row],[Opponent]]," ",MONTH(PlayerGameData[[#This Row],[Date]]),"/",DAY(PlayerGameData[[#This Row],[Date]]),"/",YEAR(PlayerGameData[[#This Row],[Date]])),Table35[],2,FALSE),0)</f>
        <v>1</v>
      </c>
      <c r="BI62" s="197">
        <f ca="1">IF(PlayerGameData[[#This Row],[Visible]]=1,1,1000)</f>
        <v>1</v>
      </c>
      <c r="BJ62" s="197" t="e">
        <f ca="1">_xlfn.MAXIFS(TeamGameData[Win],TeamGameData[School, Opponent,Game'#],PlayerGameData[[#This Row],[School, Opponent,Game'#]])</f>
        <v>#NAME?</v>
      </c>
      <c r="BK62" s="197" t="e">
        <f ca="1">_xlfn.MAXIFS(TeamGameData[Loss],TeamGameData[School, Opponent,Game'#],PlayerGameData[[#This Row],[School, Opponent,Game'#]])</f>
        <v>#NAME?</v>
      </c>
    </row>
    <row r="63" spans="1:63" x14ac:dyDescent="0.25">
      <c r="A63" s="8" t="str">
        <f t="shared" ca="1" si="30"/>
        <v>Bridger Bruce, 25</v>
      </c>
      <c r="B63" s="8" t="str">
        <f>Roster!$B$1</f>
        <v>Upton</v>
      </c>
      <c r="C63" s="8" t="str">
        <f t="shared" ca="1" si="31"/>
        <v>Sundance</v>
      </c>
      <c r="D63" s="10">
        <f t="shared" ca="1" si="32"/>
        <v>0</v>
      </c>
      <c r="E63" s="8">
        <f t="shared" ca="1" si="3"/>
        <v>1</v>
      </c>
      <c r="F63" s="8">
        <f t="shared" ca="1" si="4"/>
        <v>0</v>
      </c>
      <c r="G63" s="8">
        <f t="shared" ca="1" si="5"/>
        <v>14</v>
      </c>
      <c r="H63" s="8">
        <f t="shared" ca="1" si="6"/>
        <v>0</v>
      </c>
      <c r="I63" s="8">
        <f t="shared" ca="1" si="7"/>
        <v>0</v>
      </c>
      <c r="J63" s="8">
        <f t="shared" ca="1" si="8"/>
        <v>3</v>
      </c>
      <c r="K63" s="8">
        <f t="shared" ca="1" si="9"/>
        <v>4</v>
      </c>
      <c r="L63" s="8">
        <f t="shared" ca="1" si="33"/>
        <v>2</v>
      </c>
      <c r="M63" s="8">
        <f t="shared" ca="1" si="34"/>
        <v>2</v>
      </c>
      <c r="N63" s="8">
        <f t="shared" ca="1" si="35"/>
        <v>1</v>
      </c>
      <c r="O63" s="8">
        <f t="shared" ca="1" si="36"/>
        <v>2</v>
      </c>
      <c r="P63" s="8">
        <f t="shared" ca="1" si="37"/>
        <v>1</v>
      </c>
      <c r="Q63" s="8">
        <f t="shared" ca="1" si="38"/>
        <v>1</v>
      </c>
      <c r="R63" s="8">
        <f t="shared" ca="1" si="39"/>
        <v>0</v>
      </c>
      <c r="S63" s="8">
        <f t="shared" ca="1" si="40"/>
        <v>1</v>
      </c>
      <c r="T63" s="8">
        <f t="shared" ca="1" si="41"/>
        <v>5</v>
      </c>
      <c r="U63" s="8">
        <f t="shared" ca="1" si="42"/>
        <v>0</v>
      </c>
      <c r="V63" s="8">
        <f t="shared" ca="1" si="43"/>
        <v>8</v>
      </c>
      <c r="W63" s="11" t="str">
        <f t="shared" ca="1" si="44"/>
        <v/>
      </c>
      <c r="X63" s="11">
        <f t="shared" ca="1" si="45"/>
        <v>0.75</v>
      </c>
      <c r="Y63" s="11">
        <f t="shared" ca="1" si="46"/>
        <v>1</v>
      </c>
      <c r="Z63" s="11">
        <f t="shared" ca="1" si="47"/>
        <v>0.75</v>
      </c>
      <c r="AA63" s="11">
        <f t="shared" ca="1" si="48"/>
        <v>0.75</v>
      </c>
      <c r="AB63" s="47">
        <f ca="1">PlayerGameData[[#This Row],[3FGA]]+PlayerGameData[[#This Row],[2FGA]]</f>
        <v>4</v>
      </c>
      <c r="AC63" s="47">
        <f ca="1">PlayerGameData[[#This Row],[OFF REB]]+PlayerGameData[[#This Row],[DEF REB]]</f>
        <v>3</v>
      </c>
      <c r="AD63" s="8">
        <f t="shared" si="26"/>
        <v>3</v>
      </c>
      <c r="AE63" s="8" t="str">
        <f t="shared" ca="1" si="27"/>
        <v>Bridger Bruce, 25 - Sundance 1/0/1900</v>
      </c>
      <c r="AF63" s="8" t="str">
        <f t="shared" ca="1" si="49"/>
        <v/>
      </c>
      <c r="AG63" s="8" t="str">
        <f ca="1">IFERROR(IF(C63=0,"",IF(AND(VLOOKUP(PlayerGameData[[#This Row],[Opponent]],WYTeamInfo,2,FALSE)=Roster!$D$1,VLOOKUP(PlayerGameData[[#This Row],[Opponent]],WYTeamInfo,3,FALSE)=Roster!$D$2),"SR","")),"")</f>
        <v/>
      </c>
      <c r="AH63" s="8" t="str">
        <f>CONCATENATE(Roster!$D$1," ",Roster!$D$5)</f>
        <v>1A BB</v>
      </c>
      <c r="AI63" s="8" t="str">
        <f t="shared" ca="1" si="50"/>
        <v>Upton - Sundance 1/0/1900</v>
      </c>
      <c r="AJ63" s="8">
        <f ca="1">IFERROR(VLOOKUP(PlayerGameData[[#This Row],[School, Opponent,Game'#]],Table3[],2,FALSE),0)</f>
        <v>1</v>
      </c>
      <c r="AK63" s="8">
        <f ca="1">IF(PlayerGameData[[#This Row],[Visible]]=1,1,1000)</f>
        <v>1</v>
      </c>
      <c r="AL63" s="8">
        <f ca="1">RANK(PlayerGameData[[#This Row],[TL PTS]],PlayerGameData[TL PTS],0)+PlayerGameData[[#This Row],[VisibleOrder]]</f>
        <v>82</v>
      </c>
      <c r="AM63" s="8">
        <f ca="1">IF(COUNTIF(PlayerGameData[PointOrder],PlayerGameData[[#This Row],[PointOrder]])&gt;1,RANK(PlayerGameData[[#This Row],[FGA]],PlayerGameData[FGA],0)/100,0)+PlayerGameData[[#This Row],[PointOrder]]</f>
        <v>83.27</v>
      </c>
      <c r="AN63" s="8">
        <f ca="1">RANK(PlayerGameData[[#This Row],[PointTieBreak]],PlayerGameData[PointTieBreak],1)</f>
        <v>92</v>
      </c>
      <c r="AO63" s="8">
        <f ca="1">RANK(PlayerGameData[[#This Row],[REB]],PlayerGameData[REB],0)+PlayerGameData[[#This Row],[VisibleOrder]]</f>
        <v>108</v>
      </c>
      <c r="AP63" s="8">
        <f ca="1">IF(COUNTIF(PlayerGameData[REBOrder],PlayerGameData[[#This Row],[REBOrder]])&gt;1,PlayerGameData[[#This Row],[PointRank]]/100+PlayerGameData[[#This Row],[REBOrder]],PlayerGameData[[#This Row],[REBOrder]])</f>
        <v>108.92</v>
      </c>
      <c r="AQ63" s="8">
        <f ca="1">RANK(PlayerGameData[[#This Row],[REBTieBreak]],PlayerGameData[REBTieBreak],1)</f>
        <v>116</v>
      </c>
      <c r="AR63" s="8">
        <f ca="1">RANK(PlayerGameData[[#This Row],[AST]],PlayerGameData[AST],0)+PlayerGameData[[#This Row],[VisibleOrder]]</f>
        <v>115</v>
      </c>
      <c r="AS63" s="8">
        <f ca="1">IF(COUNTIF(PlayerGameData[ASTOrder],PlayerGameData[[#This Row],[ASTOrder]])&gt;1,PlayerGameData[[#This Row],[PointRank]]/100+PlayerGameData[[#This Row],[ASTOrder]],PlayerGameData[[#This Row],[ASTOrder]])</f>
        <v>115.92</v>
      </c>
      <c r="AT63" s="8">
        <f ca="1">RANK(PlayerGameData[[#This Row],[ASTTieBreak]],PlayerGameData[ASTTieBreak],1)</f>
        <v>126</v>
      </c>
      <c r="AU63" s="8">
        <f ca="1">RANK(PlayerGameData[[#This Row],[STL]],PlayerGameData[STL],0)+PlayerGameData[[#This Row],[VisibleOrder]]</f>
        <v>84</v>
      </c>
      <c r="AV63" s="8">
        <f ca="1">IF(COUNTIF(PlayerGameData[STLOrder],PlayerGameData[[#This Row],[STLOrder]])&gt;1,PlayerGameData[[#This Row],[PointRank]]/100+PlayerGameData[[#This Row],[STLOrder]],PlayerGameData[[#This Row],[STLOrder]])</f>
        <v>84.92</v>
      </c>
      <c r="AW63" s="8">
        <f ca="1">RANK(PlayerGameData[[#This Row],[STLTieBreak]],PlayerGameData[STLTieBreak],1)</f>
        <v>103</v>
      </c>
      <c r="AX63" s="8">
        <f ca="1">RANK(PlayerGameData[[#This Row],[BLK]],PlayerGameData[BLK],0)+PlayerGameData[[#This Row],[VisibleOrder]]</f>
        <v>32</v>
      </c>
      <c r="AY63" s="8">
        <f ca="1">IF(COUNTIF(PlayerGameData[BLKOrder],PlayerGameData[[#This Row],[BLKOrder]])&gt;1,PlayerGameData[[#This Row],[PointRank]]/100+PlayerGameData[[#This Row],[BLKOrder]],PlayerGameData[[#This Row],[BLKOrder]])</f>
        <v>32.92</v>
      </c>
      <c r="AZ63" s="8">
        <f ca="1">RANK(PlayerGameData[[#This Row],[BLKTieBreak]],PlayerGameData[BLKTieBreak],1)</f>
        <v>100</v>
      </c>
      <c r="BA63" s="11">
        <f ca="1">IFERROR(IF(PlayerGameData[[#This Row],[FGA]]&gt;$AA$5,PlayerGameData[[#This Row],[FG%*]],PlayerGameData[[#This Row],[FG%*]]*-1),-2)</f>
        <v>-0.75</v>
      </c>
      <c r="BB63" s="8">
        <f ca="1">RANK(PlayerGameData[[#This Row],[EligFG]],PlayerGameData[EligFG],0)+PlayerGameData[[#This Row],[VisibleOrder]]</f>
        <v>201</v>
      </c>
      <c r="BC63" s="8">
        <f ca="1">IF(COUNTIF(PlayerGameData[EligFGOrder],PlayerGameData[[#This Row],[EligFGOrder]])&gt;1,PlayerGameData[[#This Row],[PointRank]]/100+PlayerGameData[[#This Row],[EligFGOrder]],PlayerGameData[[#This Row],[EligFGOrder]])</f>
        <v>201.92</v>
      </c>
      <c r="BD63" s="8">
        <f ca="1">RANK(PlayerGameData[[#This Row],[EligFGTieBreak]],PlayerGameData[EligFGTieBreak],1)</f>
        <v>200</v>
      </c>
      <c r="BE63" s="8" t="str">
        <f>Roster!$D$3</f>
        <v>East</v>
      </c>
      <c r="BF63" s="8" t="str">
        <f>Roster!$D$2</f>
        <v>Northeast</v>
      </c>
      <c r="BG63" s="8" t="str">
        <f>Roster!$D$4</f>
        <v>North</v>
      </c>
      <c r="BH63" s="197">
        <f ca="1">IFERROR(VLOOKUP(CONCATENATE(PlayerGameData[[#This Row],[Opponent]]," ",MONTH(PlayerGameData[[#This Row],[Date]]),"/",DAY(PlayerGameData[[#This Row],[Date]]),"/",YEAR(PlayerGameData[[#This Row],[Date]])),Table35[],2,FALSE),0)</f>
        <v>1</v>
      </c>
      <c r="BI63" s="197">
        <f ca="1">IF(PlayerGameData[[#This Row],[Visible]]=1,1,1000)</f>
        <v>1</v>
      </c>
      <c r="BJ63" s="197" t="e">
        <f ca="1">_xlfn.MAXIFS(TeamGameData[Win],TeamGameData[School, Opponent,Game'#],PlayerGameData[[#This Row],[School, Opponent,Game'#]])</f>
        <v>#NAME?</v>
      </c>
      <c r="BK63" s="197" t="e">
        <f ca="1">_xlfn.MAXIFS(TeamGameData[Loss],TeamGameData[School, Opponent,Game'#],PlayerGameData[[#This Row],[School, Opponent,Game'#]])</f>
        <v>#NAME?</v>
      </c>
    </row>
    <row r="64" spans="1:63" x14ac:dyDescent="0.25">
      <c r="A64" s="8" t="str">
        <f t="shared" ca="1" si="30"/>
        <v>Kailer Duarte, 31</v>
      </c>
      <c r="B64" s="8" t="str">
        <f>Roster!$B$1</f>
        <v>Upton</v>
      </c>
      <c r="C64" s="8" t="str">
        <f t="shared" ca="1" si="31"/>
        <v>Sundance</v>
      </c>
      <c r="D64" s="10">
        <f t="shared" ca="1" si="32"/>
        <v>0</v>
      </c>
      <c r="E64" s="8">
        <f t="shared" ca="1" si="3"/>
        <v>1</v>
      </c>
      <c r="F64" s="8">
        <f t="shared" ca="1" si="4"/>
        <v>1</v>
      </c>
      <c r="G64" s="8">
        <f t="shared" ca="1" si="5"/>
        <v>28</v>
      </c>
      <c r="H64" s="8">
        <f t="shared" ca="1" si="6"/>
        <v>1</v>
      </c>
      <c r="I64" s="8">
        <f t="shared" ca="1" si="7"/>
        <v>4</v>
      </c>
      <c r="J64" s="8">
        <f t="shared" ca="1" si="8"/>
        <v>4</v>
      </c>
      <c r="K64" s="8">
        <f t="shared" ca="1" si="9"/>
        <v>4</v>
      </c>
      <c r="L64" s="8">
        <f t="shared" ca="1" si="33"/>
        <v>3</v>
      </c>
      <c r="M64" s="8">
        <f t="shared" ca="1" si="34"/>
        <v>4</v>
      </c>
      <c r="N64" s="8">
        <f t="shared" ca="1" si="35"/>
        <v>2</v>
      </c>
      <c r="O64" s="8">
        <f t="shared" ca="1" si="36"/>
        <v>6</v>
      </c>
      <c r="P64" s="8">
        <f t="shared" ca="1" si="37"/>
        <v>0</v>
      </c>
      <c r="Q64" s="8">
        <f t="shared" ca="1" si="38"/>
        <v>1</v>
      </c>
      <c r="R64" s="8">
        <f t="shared" ca="1" si="39"/>
        <v>1</v>
      </c>
      <c r="S64" s="8">
        <f t="shared" ca="1" si="40"/>
        <v>1</v>
      </c>
      <c r="T64" s="8">
        <f t="shared" ca="1" si="41"/>
        <v>3</v>
      </c>
      <c r="U64" s="8">
        <f t="shared" ca="1" si="42"/>
        <v>0</v>
      </c>
      <c r="V64" s="8">
        <f t="shared" ca="1" si="43"/>
        <v>14</v>
      </c>
      <c r="W64" s="11">
        <f t="shared" ca="1" si="44"/>
        <v>0.25</v>
      </c>
      <c r="X64" s="11">
        <f t="shared" ca="1" si="45"/>
        <v>1</v>
      </c>
      <c r="Y64" s="11">
        <f t="shared" ca="1" si="46"/>
        <v>0.75</v>
      </c>
      <c r="Z64" s="11">
        <f t="shared" ca="1" si="47"/>
        <v>0.625</v>
      </c>
      <c r="AA64" s="11">
        <f t="shared" ca="1" si="48"/>
        <v>0.6875</v>
      </c>
      <c r="AB64" s="47">
        <f ca="1">PlayerGameData[[#This Row],[3FGA]]+PlayerGameData[[#This Row],[2FGA]]</f>
        <v>8</v>
      </c>
      <c r="AC64" s="47">
        <f ca="1">PlayerGameData[[#This Row],[OFF REB]]+PlayerGameData[[#This Row],[DEF REB]]</f>
        <v>8</v>
      </c>
      <c r="AD64" s="8">
        <f t="shared" si="26"/>
        <v>3</v>
      </c>
      <c r="AE64" s="8" t="str">
        <f t="shared" ca="1" si="27"/>
        <v>Kailer Duarte, 31 - Sundance 1/0/1900</v>
      </c>
      <c r="AF64" s="8" t="str">
        <f t="shared" ca="1" si="49"/>
        <v/>
      </c>
      <c r="AG64" s="8" t="str">
        <f ca="1">IFERROR(IF(C64=0,"",IF(AND(VLOOKUP(PlayerGameData[[#This Row],[Opponent]],WYTeamInfo,2,FALSE)=Roster!$D$1,VLOOKUP(PlayerGameData[[#This Row],[Opponent]],WYTeamInfo,3,FALSE)=Roster!$D$2),"SR","")),"")</f>
        <v/>
      </c>
      <c r="AH64" s="8" t="str">
        <f>CONCATENATE(Roster!$D$1," ",Roster!$D$5)</f>
        <v>1A BB</v>
      </c>
      <c r="AI64" s="8" t="str">
        <f t="shared" ca="1" si="50"/>
        <v>Upton - Sundance 1/0/1900</v>
      </c>
      <c r="AJ64" s="8">
        <f ca="1">IFERROR(VLOOKUP(PlayerGameData[[#This Row],[School, Opponent,Game'#]],Table3[],2,FALSE),0)</f>
        <v>1</v>
      </c>
      <c r="AK64" s="8">
        <f ca="1">IF(PlayerGameData[[#This Row],[Visible]]=1,1,1000)</f>
        <v>1</v>
      </c>
      <c r="AL64" s="8">
        <f ca="1">RANK(PlayerGameData[[#This Row],[TL PTS]],PlayerGameData[TL PTS],0)+PlayerGameData[[#This Row],[VisibleOrder]]</f>
        <v>36</v>
      </c>
      <c r="AM64" s="8">
        <f ca="1">IF(COUNTIF(PlayerGameData[PointOrder],PlayerGameData[[#This Row],[PointOrder]])&gt;1,RANK(PlayerGameData[[#This Row],[FGA]],PlayerGameData[FGA],0)/100,0)+PlayerGameData[[#This Row],[PointOrder]]</f>
        <v>36.76</v>
      </c>
      <c r="AN64" s="8">
        <f ca="1">RANK(PlayerGameData[[#This Row],[PointTieBreak]],PlayerGameData[PointTieBreak],1)</f>
        <v>41</v>
      </c>
      <c r="AO64" s="8">
        <f ca="1">RANK(PlayerGameData[[#This Row],[REB]],PlayerGameData[REB],0)+PlayerGameData[[#This Row],[VisibleOrder]]</f>
        <v>21</v>
      </c>
      <c r="AP64" s="8">
        <f ca="1">IF(COUNTIF(PlayerGameData[REBOrder],PlayerGameData[[#This Row],[REBOrder]])&gt;1,PlayerGameData[[#This Row],[PointRank]]/100+PlayerGameData[[#This Row],[REBOrder]],PlayerGameData[[#This Row],[REBOrder]])</f>
        <v>21.41</v>
      </c>
      <c r="AQ64" s="8">
        <f ca="1">RANK(PlayerGameData[[#This Row],[REBTieBreak]],PlayerGameData[REBTieBreak],1)</f>
        <v>23</v>
      </c>
      <c r="AR64" s="8">
        <f ca="1">RANK(PlayerGameData[[#This Row],[AST]],PlayerGameData[AST],0)+PlayerGameData[[#This Row],[VisibleOrder]]</f>
        <v>158</v>
      </c>
      <c r="AS64" s="8">
        <f ca="1">IF(COUNTIF(PlayerGameData[ASTOrder],PlayerGameData[[#This Row],[ASTOrder]])&gt;1,PlayerGameData[[#This Row],[PointRank]]/100+PlayerGameData[[#This Row],[ASTOrder]],PlayerGameData[[#This Row],[ASTOrder]])</f>
        <v>158.41</v>
      </c>
      <c r="AT64" s="8">
        <f ca="1">RANK(PlayerGameData[[#This Row],[ASTTieBreak]],PlayerGameData[ASTTieBreak],1)</f>
        <v>161</v>
      </c>
      <c r="AU64" s="8">
        <f ca="1">RANK(PlayerGameData[[#This Row],[STL]],PlayerGameData[STL],0)+PlayerGameData[[#This Row],[VisibleOrder]]</f>
        <v>84</v>
      </c>
      <c r="AV64" s="8">
        <f ca="1">IF(COUNTIF(PlayerGameData[STLOrder],PlayerGameData[[#This Row],[STLOrder]])&gt;1,PlayerGameData[[#This Row],[PointRank]]/100+PlayerGameData[[#This Row],[STLOrder]],PlayerGameData[[#This Row],[STLOrder]])</f>
        <v>84.41</v>
      </c>
      <c r="AW64" s="8">
        <f ca="1">RANK(PlayerGameData[[#This Row],[STLTieBreak]],PlayerGameData[STLTieBreak],1)</f>
        <v>91</v>
      </c>
      <c r="AX64" s="8">
        <f ca="1">RANK(PlayerGameData[[#This Row],[BLK]],PlayerGameData[BLK],0)+PlayerGameData[[#This Row],[VisibleOrder]]</f>
        <v>11</v>
      </c>
      <c r="AY64" s="8">
        <f ca="1">IF(COUNTIF(PlayerGameData[BLKOrder],PlayerGameData[[#This Row],[BLKOrder]])&gt;1,PlayerGameData[[#This Row],[PointRank]]/100+PlayerGameData[[#This Row],[BLKOrder]],PlayerGameData[[#This Row],[BLKOrder]])</f>
        <v>11.41</v>
      </c>
      <c r="AZ64" s="8">
        <f ca="1">RANK(PlayerGameData[[#This Row],[BLKTieBreak]],PlayerGameData[BLKTieBreak],1)</f>
        <v>15</v>
      </c>
      <c r="BA64" s="11">
        <f ca="1">IFERROR(IF(PlayerGameData[[#This Row],[FGA]]&gt;$AA$5,PlayerGameData[[#This Row],[FG%*]],PlayerGameData[[#This Row],[FG%*]]*-1),-2)</f>
        <v>0.625</v>
      </c>
      <c r="BB64" s="8">
        <f ca="1">RANK(PlayerGameData[[#This Row],[EligFG]],PlayerGameData[EligFG],0)+PlayerGameData[[#This Row],[VisibleOrder]]</f>
        <v>17</v>
      </c>
      <c r="BC64" s="8">
        <f ca="1">IF(COUNTIF(PlayerGameData[EligFGOrder],PlayerGameData[[#This Row],[EligFGOrder]])&gt;1,PlayerGameData[[#This Row],[PointRank]]/100+PlayerGameData[[#This Row],[EligFGOrder]],PlayerGameData[[#This Row],[EligFGOrder]])</f>
        <v>17.41</v>
      </c>
      <c r="BD64" s="8">
        <f ca="1">RANK(PlayerGameData[[#This Row],[EligFGTieBreak]],PlayerGameData[EligFGTieBreak],1)</f>
        <v>16</v>
      </c>
      <c r="BE64" s="8" t="str">
        <f>Roster!$D$3</f>
        <v>East</v>
      </c>
      <c r="BF64" s="8" t="str">
        <f>Roster!$D$2</f>
        <v>Northeast</v>
      </c>
      <c r="BG64" s="8" t="str">
        <f>Roster!$D$4</f>
        <v>North</v>
      </c>
      <c r="BH64" s="197">
        <f ca="1">IFERROR(VLOOKUP(CONCATENATE(PlayerGameData[[#This Row],[Opponent]]," ",MONTH(PlayerGameData[[#This Row],[Date]]),"/",DAY(PlayerGameData[[#This Row],[Date]]),"/",YEAR(PlayerGameData[[#This Row],[Date]])),Table35[],2,FALSE),0)</f>
        <v>1</v>
      </c>
      <c r="BI64" s="197">
        <f ca="1">IF(PlayerGameData[[#This Row],[Visible]]=1,1,1000)</f>
        <v>1</v>
      </c>
      <c r="BJ64" s="197" t="e">
        <f ca="1">_xlfn.MAXIFS(TeamGameData[Win],TeamGameData[School, Opponent,Game'#],PlayerGameData[[#This Row],[School, Opponent,Game'#]])</f>
        <v>#NAME?</v>
      </c>
      <c r="BK64" s="197" t="e">
        <f ca="1">_xlfn.MAXIFS(TeamGameData[Loss],TeamGameData[School, Opponent,Game'#],PlayerGameData[[#This Row],[School, Opponent,Game'#]])</f>
        <v>#NAME?</v>
      </c>
    </row>
    <row r="65" spans="1:63" x14ac:dyDescent="0.25">
      <c r="A65" s="8" t="str">
        <f t="shared" ca="1" si="30"/>
        <v>Matt Stirmel, 33</v>
      </c>
      <c r="B65" s="8" t="str">
        <f>Roster!$B$1</f>
        <v>Upton</v>
      </c>
      <c r="C65" s="8" t="str">
        <f t="shared" ca="1" si="31"/>
        <v>Sundance</v>
      </c>
      <c r="D65" s="10">
        <f t="shared" ca="1" si="32"/>
        <v>0</v>
      </c>
      <c r="E65" s="8">
        <f t="shared" ca="1" si="3"/>
        <v>0</v>
      </c>
      <c r="F65" s="8">
        <f t="shared" ca="1" si="4"/>
        <v>0</v>
      </c>
      <c r="G65" s="8">
        <f t="shared" ca="1" si="5"/>
        <v>0</v>
      </c>
      <c r="H65" s="8">
        <f t="shared" ca="1" si="6"/>
        <v>0</v>
      </c>
      <c r="I65" s="8">
        <f t="shared" ca="1" si="7"/>
        <v>0</v>
      </c>
      <c r="J65" s="8">
        <f t="shared" ca="1" si="8"/>
        <v>0</v>
      </c>
      <c r="K65" s="8">
        <f t="shared" ca="1" si="9"/>
        <v>0</v>
      </c>
      <c r="L65" s="8">
        <f t="shared" ca="1" si="33"/>
        <v>0</v>
      </c>
      <c r="M65" s="8">
        <f t="shared" ca="1" si="34"/>
        <v>0</v>
      </c>
      <c r="N65" s="8">
        <f t="shared" ca="1" si="35"/>
        <v>0</v>
      </c>
      <c r="O65" s="8">
        <f t="shared" ca="1" si="36"/>
        <v>0</v>
      </c>
      <c r="P65" s="8">
        <f t="shared" ca="1" si="37"/>
        <v>0</v>
      </c>
      <c r="Q65" s="8">
        <f t="shared" ca="1" si="38"/>
        <v>0</v>
      </c>
      <c r="R65" s="8">
        <f t="shared" ca="1" si="39"/>
        <v>0</v>
      </c>
      <c r="S65" s="8">
        <f t="shared" ca="1" si="40"/>
        <v>0</v>
      </c>
      <c r="T65" s="8">
        <f t="shared" ca="1" si="41"/>
        <v>0</v>
      </c>
      <c r="U65" s="8">
        <f t="shared" ca="1" si="42"/>
        <v>0</v>
      </c>
      <c r="V65" s="8">
        <f t="shared" ca="1" si="43"/>
        <v>0</v>
      </c>
      <c r="W65" s="11" t="str">
        <f t="shared" ca="1" si="44"/>
        <v/>
      </c>
      <c r="X65" s="11" t="str">
        <f t="shared" ca="1" si="45"/>
        <v/>
      </c>
      <c r="Y65" s="11" t="str">
        <f t="shared" ca="1" si="46"/>
        <v/>
      </c>
      <c r="Z65" s="11" t="str">
        <f t="shared" ca="1" si="47"/>
        <v/>
      </c>
      <c r="AA65" s="11" t="str">
        <f t="shared" ca="1" si="48"/>
        <v/>
      </c>
      <c r="AB65" s="47">
        <f ca="1">PlayerGameData[[#This Row],[3FGA]]+PlayerGameData[[#This Row],[2FGA]]</f>
        <v>0</v>
      </c>
      <c r="AC65" s="47">
        <f ca="1">PlayerGameData[[#This Row],[OFF REB]]+PlayerGameData[[#This Row],[DEF REB]]</f>
        <v>0</v>
      </c>
      <c r="AD65" s="8">
        <f t="shared" si="26"/>
        <v>3</v>
      </c>
      <c r="AE65" s="8" t="str">
        <f t="shared" ca="1" si="27"/>
        <v>Matt Stirmel, 33 - Sundance 1/0/1900</v>
      </c>
      <c r="AF65" s="8" t="str">
        <f t="shared" ca="1" si="49"/>
        <v/>
      </c>
      <c r="AG65" s="8" t="str">
        <f ca="1">IFERROR(IF(C65=0,"",IF(AND(VLOOKUP(PlayerGameData[[#This Row],[Opponent]],WYTeamInfo,2,FALSE)=Roster!$D$1,VLOOKUP(PlayerGameData[[#This Row],[Opponent]],WYTeamInfo,3,FALSE)=Roster!$D$2),"SR","")),"")</f>
        <v/>
      </c>
      <c r="AH65" s="8" t="str">
        <f>CONCATENATE(Roster!$D$1," ",Roster!$D$5)</f>
        <v>1A BB</v>
      </c>
      <c r="AI65" s="8" t="str">
        <f t="shared" ca="1" si="50"/>
        <v>Upton - Sundance 1/0/1900</v>
      </c>
      <c r="AJ65" s="8">
        <f ca="1">IFERROR(VLOOKUP(PlayerGameData[[#This Row],[School, Opponent,Game'#]],Table3[],2,FALSE),0)</f>
        <v>1</v>
      </c>
      <c r="AK65" s="8">
        <f ca="1">IF(PlayerGameData[[#This Row],[Visible]]=1,1,1000)</f>
        <v>1</v>
      </c>
      <c r="AL65" s="8">
        <f ca="1">RANK(PlayerGameData[[#This Row],[TL PTS]],PlayerGameData[TL PTS],0)+PlayerGameData[[#This Row],[VisibleOrder]]</f>
        <v>185</v>
      </c>
      <c r="AM65" s="8">
        <f ca="1">IF(COUNTIF(PlayerGameData[PointOrder],PlayerGameData[[#This Row],[PointOrder]])&gt;1,RANK(PlayerGameData[[#This Row],[FGA]],PlayerGameData[FGA],0)/100,0)+PlayerGameData[[#This Row],[PointOrder]]</f>
        <v>187.14</v>
      </c>
      <c r="AN65" s="8">
        <f ca="1">RANK(PlayerGameData[[#This Row],[PointTieBreak]],PlayerGameData[PointTieBreak],1)</f>
        <v>216</v>
      </c>
      <c r="AO65" s="8">
        <f ca="1">RANK(PlayerGameData[[#This Row],[REB]],PlayerGameData[REB],0)+PlayerGameData[[#This Row],[VisibleOrder]]</f>
        <v>192</v>
      </c>
      <c r="AP65" s="8">
        <f ca="1">IF(COUNTIF(PlayerGameData[REBOrder],PlayerGameData[[#This Row],[REBOrder]])&gt;1,PlayerGameData[[#This Row],[PointRank]]/100+PlayerGameData[[#This Row],[REBOrder]],PlayerGameData[[#This Row],[REBOrder]])</f>
        <v>194.16</v>
      </c>
      <c r="AQ65" s="8">
        <f ca="1">RANK(PlayerGameData[[#This Row],[REBTieBreak]],PlayerGameData[REBTieBreak],1)</f>
        <v>224</v>
      </c>
      <c r="AR65" s="8">
        <f ca="1">RANK(PlayerGameData[[#This Row],[AST]],PlayerGameData[AST],0)+PlayerGameData[[#This Row],[VisibleOrder]]</f>
        <v>158</v>
      </c>
      <c r="AS65" s="8">
        <f ca="1">IF(COUNTIF(PlayerGameData[ASTOrder],PlayerGameData[[#This Row],[ASTOrder]])&gt;1,PlayerGameData[[#This Row],[PointRank]]/100+PlayerGameData[[#This Row],[ASTOrder]],PlayerGameData[[#This Row],[ASTOrder]])</f>
        <v>160.16</v>
      </c>
      <c r="AT65" s="8">
        <f ca="1">RANK(PlayerGameData[[#This Row],[ASTTieBreak]],PlayerGameData[ASTTieBreak],1)</f>
        <v>221</v>
      </c>
      <c r="AU65" s="8">
        <f ca="1">RANK(PlayerGameData[[#This Row],[STL]],PlayerGameData[STL],0)+PlayerGameData[[#This Row],[VisibleOrder]]</f>
        <v>143</v>
      </c>
      <c r="AV65" s="8">
        <f ca="1">IF(COUNTIF(PlayerGameData[STLOrder],PlayerGameData[[#This Row],[STLOrder]])&gt;1,PlayerGameData[[#This Row],[PointRank]]/100+PlayerGameData[[#This Row],[STLOrder]],PlayerGameData[[#This Row],[STLOrder]])</f>
        <v>145.16</v>
      </c>
      <c r="AW65" s="8">
        <f ca="1">RANK(PlayerGameData[[#This Row],[STLTieBreak]],PlayerGameData[STLTieBreak],1)</f>
        <v>217</v>
      </c>
      <c r="AX65" s="8">
        <f ca="1">RANK(PlayerGameData[[#This Row],[BLK]],PlayerGameData[BLK],0)+PlayerGameData[[#This Row],[VisibleOrder]]</f>
        <v>32</v>
      </c>
      <c r="AY65" s="8">
        <f ca="1">IF(COUNTIF(PlayerGameData[BLKOrder],PlayerGameData[[#This Row],[BLKOrder]])&gt;1,PlayerGameData[[#This Row],[PointRank]]/100+PlayerGameData[[#This Row],[BLKOrder]],PlayerGameData[[#This Row],[BLKOrder]])</f>
        <v>34.159999999999997</v>
      </c>
      <c r="AZ65" s="8">
        <f ca="1">RANK(PlayerGameData[[#This Row],[BLKTieBreak]],PlayerGameData[BLKTieBreak],1)</f>
        <v>216</v>
      </c>
      <c r="BA65" s="11">
        <f ca="1">IFERROR(IF(PlayerGameData[[#This Row],[FGA]]&gt;$AA$5,PlayerGameData[[#This Row],[FG%*]],PlayerGameData[[#This Row],[FG%*]]*-1),-2)</f>
        <v>-2</v>
      </c>
      <c r="BB65" s="8">
        <f ca="1">RANK(PlayerGameData[[#This Row],[EligFG]],PlayerGameData[EligFG],0)+PlayerGameData[[#This Row],[VisibleOrder]]</f>
        <v>215</v>
      </c>
      <c r="BC65" s="8">
        <f ca="1">IF(COUNTIF(PlayerGameData[EligFGOrder],PlayerGameData[[#This Row],[EligFGOrder]])&gt;1,PlayerGameData[[#This Row],[PointRank]]/100+PlayerGameData[[#This Row],[EligFGOrder]],PlayerGameData[[#This Row],[EligFGOrder]])</f>
        <v>217.16</v>
      </c>
      <c r="BD65" s="8">
        <f ca="1">RANK(PlayerGameData[[#This Row],[EligFGTieBreak]],PlayerGameData[EligFGTieBreak],1)</f>
        <v>216</v>
      </c>
      <c r="BE65" s="8" t="str">
        <f>Roster!$D$3</f>
        <v>East</v>
      </c>
      <c r="BF65" s="8" t="str">
        <f>Roster!$D$2</f>
        <v>Northeast</v>
      </c>
      <c r="BG65" s="8" t="str">
        <f>Roster!$D$4</f>
        <v>North</v>
      </c>
      <c r="BH65" s="197">
        <f ca="1">IFERROR(VLOOKUP(CONCATENATE(PlayerGameData[[#This Row],[Opponent]]," ",MONTH(PlayerGameData[[#This Row],[Date]]),"/",DAY(PlayerGameData[[#This Row],[Date]]),"/",YEAR(PlayerGameData[[#This Row],[Date]])),Table35[],2,FALSE),0)</f>
        <v>1</v>
      </c>
      <c r="BI65" s="197">
        <f ca="1">IF(PlayerGameData[[#This Row],[Visible]]=1,1,1000)</f>
        <v>1</v>
      </c>
      <c r="BJ65" s="197" t="e">
        <f ca="1">_xlfn.MAXIFS(TeamGameData[Win],TeamGameData[School, Opponent,Game'#],PlayerGameData[[#This Row],[School, Opponent,Game'#]])</f>
        <v>#NAME?</v>
      </c>
      <c r="BK65" s="197" t="e">
        <f ca="1">_xlfn.MAXIFS(TeamGameData[Loss],TeamGameData[School, Opponent,Game'#],PlayerGameData[[#This Row],[School, Opponent,Game'#]])</f>
        <v>#NAME?</v>
      </c>
    </row>
    <row r="66" spans="1:63" x14ac:dyDescent="0.25">
      <c r="A66" s="8" t="str">
        <f t="shared" ca="1" si="30"/>
        <v>Jacob McNutt, 34</v>
      </c>
      <c r="B66" s="8" t="str">
        <f>Roster!$B$1</f>
        <v>Upton</v>
      </c>
      <c r="C66" s="8" t="str">
        <f t="shared" ca="1" si="31"/>
        <v>Sundance</v>
      </c>
      <c r="D66" s="10">
        <f t="shared" ca="1" si="32"/>
        <v>0</v>
      </c>
      <c r="E66" s="8">
        <f t="shared" ca="1" si="3"/>
        <v>1</v>
      </c>
      <c r="F66" s="8">
        <f t="shared" ca="1" si="4"/>
        <v>0</v>
      </c>
      <c r="G66" s="8">
        <f t="shared" ca="1" si="5"/>
        <v>1</v>
      </c>
      <c r="H66" s="8">
        <f t="shared" ca="1" si="6"/>
        <v>0</v>
      </c>
      <c r="I66" s="8">
        <f t="shared" ca="1" si="7"/>
        <v>0</v>
      </c>
      <c r="J66" s="8">
        <f t="shared" ca="1" si="8"/>
        <v>0</v>
      </c>
      <c r="K66" s="8">
        <f t="shared" ca="1" si="9"/>
        <v>1</v>
      </c>
      <c r="L66" s="8">
        <f t="shared" ca="1" si="33"/>
        <v>0</v>
      </c>
      <c r="M66" s="8">
        <f t="shared" ca="1" si="34"/>
        <v>0</v>
      </c>
      <c r="N66" s="8">
        <f t="shared" ca="1" si="35"/>
        <v>0</v>
      </c>
      <c r="O66" s="8">
        <f t="shared" ca="1" si="36"/>
        <v>0</v>
      </c>
      <c r="P66" s="8">
        <f t="shared" ca="1" si="37"/>
        <v>0</v>
      </c>
      <c r="Q66" s="8">
        <f t="shared" ca="1" si="38"/>
        <v>0</v>
      </c>
      <c r="R66" s="8">
        <f t="shared" ca="1" si="39"/>
        <v>0</v>
      </c>
      <c r="S66" s="8">
        <f t="shared" ca="1" si="40"/>
        <v>0</v>
      </c>
      <c r="T66" s="8">
        <f t="shared" ca="1" si="41"/>
        <v>0</v>
      </c>
      <c r="U66" s="8">
        <f t="shared" ca="1" si="42"/>
        <v>0</v>
      </c>
      <c r="V66" s="8">
        <f t="shared" ca="1" si="43"/>
        <v>0</v>
      </c>
      <c r="W66" s="11" t="str">
        <f t="shared" ca="1" si="44"/>
        <v/>
      </c>
      <c r="X66" s="11">
        <f t="shared" ca="1" si="45"/>
        <v>0</v>
      </c>
      <c r="Y66" s="11" t="str">
        <f t="shared" ca="1" si="46"/>
        <v/>
      </c>
      <c r="Z66" s="11">
        <f t="shared" ca="1" si="47"/>
        <v>0</v>
      </c>
      <c r="AA66" s="11">
        <f t="shared" ca="1" si="48"/>
        <v>0</v>
      </c>
      <c r="AB66" s="47">
        <f ca="1">PlayerGameData[[#This Row],[3FGA]]+PlayerGameData[[#This Row],[2FGA]]</f>
        <v>1</v>
      </c>
      <c r="AC66" s="47">
        <f ca="1">PlayerGameData[[#This Row],[OFF REB]]+PlayerGameData[[#This Row],[DEF REB]]</f>
        <v>0</v>
      </c>
      <c r="AD66" s="8">
        <f t="shared" si="26"/>
        <v>3</v>
      </c>
      <c r="AE66" s="8" t="str">
        <f t="shared" ca="1" si="27"/>
        <v>Jacob McNutt, 34 - Sundance 1/0/1900</v>
      </c>
      <c r="AF66" s="8" t="str">
        <f t="shared" ca="1" si="49"/>
        <v/>
      </c>
      <c r="AG66" s="8" t="str">
        <f ca="1">IFERROR(IF(C66=0,"",IF(AND(VLOOKUP(PlayerGameData[[#This Row],[Opponent]],WYTeamInfo,2,FALSE)=Roster!$D$1,VLOOKUP(PlayerGameData[[#This Row],[Opponent]],WYTeamInfo,3,FALSE)=Roster!$D$2),"SR","")),"")</f>
        <v/>
      </c>
      <c r="AH66" s="8" t="str">
        <f>CONCATENATE(Roster!$D$1," ",Roster!$D$5)</f>
        <v>1A BB</v>
      </c>
      <c r="AI66" s="8" t="str">
        <f t="shared" ca="1" si="50"/>
        <v>Upton - Sundance 1/0/1900</v>
      </c>
      <c r="AJ66" s="8">
        <f ca="1">IFERROR(VLOOKUP(PlayerGameData[[#This Row],[School, Opponent,Game'#]],Table3[],2,FALSE),0)</f>
        <v>1</v>
      </c>
      <c r="AK66" s="8">
        <f ca="1">IF(PlayerGameData[[#This Row],[Visible]]=1,1,1000)</f>
        <v>1</v>
      </c>
      <c r="AL66" s="8">
        <f ca="1">RANK(PlayerGameData[[#This Row],[TL PTS]],PlayerGameData[TL PTS],0)+PlayerGameData[[#This Row],[VisibleOrder]]</f>
        <v>185</v>
      </c>
      <c r="AM66" s="8">
        <f ca="1">IF(COUNTIF(PlayerGameData[PointOrder],PlayerGameData[[#This Row],[PointOrder]])&gt;1,RANK(PlayerGameData[[#This Row],[FGA]],PlayerGameData[FGA],0)/100,0)+PlayerGameData[[#This Row],[PointOrder]]</f>
        <v>186.82</v>
      </c>
      <c r="AN66" s="8">
        <f ca="1">RANK(PlayerGameData[[#This Row],[PointTieBreak]],PlayerGameData[PointTieBreak],1)</f>
        <v>196</v>
      </c>
      <c r="AO66" s="8">
        <f ca="1">RANK(PlayerGameData[[#This Row],[REB]],PlayerGameData[REB],0)+PlayerGameData[[#This Row],[VisibleOrder]]</f>
        <v>192</v>
      </c>
      <c r="AP66" s="8">
        <f ca="1">IF(COUNTIF(PlayerGameData[REBOrder],PlayerGameData[[#This Row],[REBOrder]])&gt;1,PlayerGameData[[#This Row],[PointRank]]/100+PlayerGameData[[#This Row],[REBOrder]],PlayerGameData[[#This Row],[REBOrder]])</f>
        <v>193.96</v>
      </c>
      <c r="AQ66" s="8">
        <f ca="1">RANK(PlayerGameData[[#This Row],[REBTieBreak]],PlayerGameData[REBTieBreak],1)</f>
        <v>213</v>
      </c>
      <c r="AR66" s="8">
        <f ca="1">RANK(PlayerGameData[[#This Row],[AST]],PlayerGameData[AST],0)+PlayerGameData[[#This Row],[VisibleOrder]]</f>
        <v>158</v>
      </c>
      <c r="AS66" s="8">
        <f ca="1">IF(COUNTIF(PlayerGameData[ASTOrder],PlayerGameData[[#This Row],[ASTOrder]])&gt;1,PlayerGameData[[#This Row],[PointRank]]/100+PlayerGameData[[#This Row],[ASTOrder]],PlayerGameData[[#This Row],[ASTOrder]])</f>
        <v>159.96</v>
      </c>
      <c r="AT66" s="8">
        <f ca="1">RANK(PlayerGameData[[#This Row],[ASTTieBreak]],PlayerGameData[ASTTieBreak],1)</f>
        <v>208</v>
      </c>
      <c r="AU66" s="8">
        <f ca="1">RANK(PlayerGameData[[#This Row],[STL]],PlayerGameData[STL],0)+PlayerGameData[[#This Row],[VisibleOrder]]</f>
        <v>143</v>
      </c>
      <c r="AV66" s="8">
        <f ca="1">IF(COUNTIF(PlayerGameData[STLOrder],PlayerGameData[[#This Row],[STLOrder]])&gt;1,PlayerGameData[[#This Row],[PointRank]]/100+PlayerGameData[[#This Row],[STLOrder]],PlayerGameData[[#This Row],[STLOrder]])</f>
        <v>144.96</v>
      </c>
      <c r="AW66" s="8">
        <f ca="1">RANK(PlayerGameData[[#This Row],[STLTieBreak]],PlayerGameData[STLTieBreak],1)</f>
        <v>200</v>
      </c>
      <c r="AX66" s="8">
        <f ca="1">RANK(PlayerGameData[[#This Row],[BLK]],PlayerGameData[BLK],0)+PlayerGameData[[#This Row],[VisibleOrder]]</f>
        <v>32</v>
      </c>
      <c r="AY66" s="8">
        <f ca="1">IF(COUNTIF(PlayerGameData[BLKOrder],PlayerGameData[[#This Row],[BLKOrder]])&gt;1,PlayerGameData[[#This Row],[PointRank]]/100+PlayerGameData[[#This Row],[BLKOrder]],PlayerGameData[[#This Row],[BLKOrder]])</f>
        <v>33.96</v>
      </c>
      <c r="AZ66" s="8">
        <f ca="1">RANK(PlayerGameData[[#This Row],[BLKTieBreak]],PlayerGameData[BLKTieBreak],1)</f>
        <v>196</v>
      </c>
      <c r="BA66" s="11">
        <f ca="1">IFERROR(IF(PlayerGameData[[#This Row],[FGA]]&gt;$AA$5,PlayerGameData[[#This Row],[FG%*]],PlayerGameData[[#This Row],[FG%*]]*-1),-2)</f>
        <v>0</v>
      </c>
      <c r="BB66" s="8">
        <f ca="1">RANK(PlayerGameData[[#This Row],[EligFG]],PlayerGameData[EligFG],0)+PlayerGameData[[#This Row],[VisibleOrder]]</f>
        <v>117</v>
      </c>
      <c r="BC66" s="8">
        <f ca="1">IF(COUNTIF(PlayerGameData[EligFGOrder],PlayerGameData[[#This Row],[EligFGOrder]])&gt;1,PlayerGameData[[#This Row],[PointRank]]/100+PlayerGameData[[#This Row],[EligFGOrder]],PlayerGameData[[#This Row],[EligFGOrder]])</f>
        <v>118.96</v>
      </c>
      <c r="BD66" s="8">
        <f ca="1">RANK(PlayerGameData[[#This Row],[EligFGTieBreak]],PlayerGameData[EligFGTieBreak],1)</f>
        <v>138</v>
      </c>
      <c r="BE66" s="8" t="str">
        <f>Roster!$D$3</f>
        <v>East</v>
      </c>
      <c r="BF66" s="8" t="str">
        <f>Roster!$D$2</f>
        <v>Northeast</v>
      </c>
      <c r="BG66" s="8" t="str">
        <f>Roster!$D$4</f>
        <v>North</v>
      </c>
      <c r="BH66" s="197">
        <f ca="1">IFERROR(VLOOKUP(CONCATENATE(PlayerGameData[[#This Row],[Opponent]]," ",MONTH(PlayerGameData[[#This Row],[Date]]),"/",DAY(PlayerGameData[[#This Row],[Date]]),"/",YEAR(PlayerGameData[[#This Row],[Date]])),Table35[],2,FALSE),0)</f>
        <v>1</v>
      </c>
      <c r="BI66" s="197">
        <f ca="1">IF(PlayerGameData[[#This Row],[Visible]]=1,1,1000)</f>
        <v>1</v>
      </c>
      <c r="BJ66" s="197" t="e">
        <f ca="1">_xlfn.MAXIFS(TeamGameData[Win],TeamGameData[School, Opponent,Game'#],PlayerGameData[[#This Row],[School, Opponent,Game'#]])</f>
        <v>#NAME?</v>
      </c>
      <c r="BK66" s="197" t="e">
        <f ca="1">_xlfn.MAXIFS(TeamGameData[Loss],TeamGameData[School, Opponent,Game'#],PlayerGameData[[#This Row],[School, Opponent,Game'#]])</f>
        <v>#NAME?</v>
      </c>
    </row>
    <row r="67" spans="1:63" x14ac:dyDescent="0.25">
      <c r="A67" s="8" t="str">
        <f t="shared" ca="1" si="30"/>
        <v>Ryan Baker, 35</v>
      </c>
      <c r="B67" s="8" t="str">
        <f>Roster!$B$1</f>
        <v>Upton</v>
      </c>
      <c r="C67" s="8" t="str">
        <f t="shared" ca="1" si="31"/>
        <v>Sundance</v>
      </c>
      <c r="D67" s="10">
        <f t="shared" ca="1" si="32"/>
        <v>0</v>
      </c>
      <c r="E67" s="8">
        <f t="shared" ca="1" si="3"/>
        <v>1</v>
      </c>
      <c r="F67" s="8">
        <f t="shared" ca="1" si="4"/>
        <v>0</v>
      </c>
      <c r="G67" s="8">
        <f t="shared" ca="1" si="5"/>
        <v>17</v>
      </c>
      <c r="H67" s="8">
        <f t="shared" ca="1" si="6"/>
        <v>0</v>
      </c>
      <c r="I67" s="8">
        <f t="shared" ca="1" si="7"/>
        <v>0</v>
      </c>
      <c r="J67" s="8">
        <f t="shared" ca="1" si="8"/>
        <v>0</v>
      </c>
      <c r="K67" s="8">
        <f t="shared" ca="1" si="9"/>
        <v>2</v>
      </c>
      <c r="L67" s="8">
        <f t="shared" ca="1" si="33"/>
        <v>0</v>
      </c>
      <c r="M67" s="8">
        <f t="shared" ca="1" si="34"/>
        <v>0</v>
      </c>
      <c r="N67" s="8">
        <f t="shared" ca="1" si="35"/>
        <v>0</v>
      </c>
      <c r="O67" s="8">
        <f t="shared" ca="1" si="36"/>
        <v>0</v>
      </c>
      <c r="P67" s="8">
        <f t="shared" ca="1" si="37"/>
        <v>1</v>
      </c>
      <c r="Q67" s="8">
        <f t="shared" ca="1" si="38"/>
        <v>0</v>
      </c>
      <c r="R67" s="8">
        <f t="shared" ca="1" si="39"/>
        <v>1</v>
      </c>
      <c r="S67" s="8">
        <f t="shared" ca="1" si="40"/>
        <v>0</v>
      </c>
      <c r="T67" s="8">
        <f t="shared" ca="1" si="41"/>
        <v>2</v>
      </c>
      <c r="U67" s="8">
        <f t="shared" ca="1" si="42"/>
        <v>0</v>
      </c>
      <c r="V67" s="8">
        <f t="shared" ca="1" si="43"/>
        <v>0</v>
      </c>
      <c r="W67" s="11" t="str">
        <f t="shared" ca="1" si="44"/>
        <v/>
      </c>
      <c r="X67" s="11">
        <f t="shared" ca="1" si="45"/>
        <v>0</v>
      </c>
      <c r="Y67" s="11" t="str">
        <f t="shared" ca="1" si="46"/>
        <v/>
      </c>
      <c r="Z67" s="11">
        <f t="shared" ca="1" si="47"/>
        <v>0</v>
      </c>
      <c r="AA67" s="11">
        <f t="shared" ca="1" si="48"/>
        <v>0</v>
      </c>
      <c r="AB67" s="47">
        <f ca="1">PlayerGameData[[#This Row],[3FGA]]+PlayerGameData[[#This Row],[2FGA]]</f>
        <v>2</v>
      </c>
      <c r="AC67" s="47">
        <f ca="1">PlayerGameData[[#This Row],[OFF REB]]+PlayerGameData[[#This Row],[DEF REB]]</f>
        <v>0</v>
      </c>
      <c r="AD67" s="8">
        <f t="shared" si="26"/>
        <v>3</v>
      </c>
      <c r="AE67" s="8" t="str">
        <f t="shared" ca="1" si="27"/>
        <v>Ryan Baker, 35 - Sundance 1/0/1900</v>
      </c>
      <c r="AF67" s="8" t="str">
        <f t="shared" ca="1" si="49"/>
        <v/>
      </c>
      <c r="AG67" s="8" t="str">
        <f ca="1">IFERROR(IF(C67=0,"",IF(AND(VLOOKUP(PlayerGameData[[#This Row],[Opponent]],WYTeamInfo,2,FALSE)=Roster!$D$1,VLOOKUP(PlayerGameData[[#This Row],[Opponent]],WYTeamInfo,3,FALSE)=Roster!$D$2),"SR","")),"")</f>
        <v/>
      </c>
      <c r="AH67" s="8" t="str">
        <f>CONCATENATE(Roster!$D$1," ",Roster!$D$5)</f>
        <v>1A BB</v>
      </c>
      <c r="AI67" s="8" t="str">
        <f t="shared" ca="1" si="50"/>
        <v>Upton - Sundance 1/0/1900</v>
      </c>
      <c r="AJ67" s="8">
        <f ca="1">IFERROR(VLOOKUP(PlayerGameData[[#This Row],[School, Opponent,Game'#]],Table3[],2,FALSE),0)</f>
        <v>1</v>
      </c>
      <c r="AK67" s="8">
        <f ca="1">IF(PlayerGameData[[#This Row],[Visible]]=1,1,1000)</f>
        <v>1</v>
      </c>
      <c r="AL67" s="8">
        <f ca="1">RANK(PlayerGameData[[#This Row],[TL PTS]],PlayerGameData[TL PTS],0)+PlayerGameData[[#This Row],[VisibleOrder]]</f>
        <v>185</v>
      </c>
      <c r="AM67" s="8">
        <f ca="1">IF(COUNTIF(PlayerGameData[PointOrder],PlayerGameData[[#This Row],[PointOrder]])&gt;1,RANK(PlayerGameData[[#This Row],[FGA]],PlayerGameData[FGA],0)/100,0)+PlayerGameData[[#This Row],[PointOrder]]</f>
        <v>186.61</v>
      </c>
      <c r="AN67" s="8">
        <f ca="1">RANK(PlayerGameData[[#This Row],[PointTieBreak]],PlayerGameData[PointTieBreak],1)</f>
        <v>191</v>
      </c>
      <c r="AO67" s="8">
        <f ca="1">RANK(PlayerGameData[[#This Row],[REB]],PlayerGameData[REB],0)+PlayerGameData[[#This Row],[VisibleOrder]]</f>
        <v>192</v>
      </c>
      <c r="AP67" s="8">
        <f ca="1">IF(COUNTIF(PlayerGameData[REBOrder],PlayerGameData[[#This Row],[REBOrder]])&gt;1,PlayerGameData[[#This Row],[PointRank]]/100+PlayerGameData[[#This Row],[REBOrder]],PlayerGameData[[#This Row],[REBOrder]])</f>
        <v>193.91</v>
      </c>
      <c r="AQ67" s="8">
        <f ca="1">RANK(PlayerGameData[[#This Row],[REBTieBreak]],PlayerGameData[REBTieBreak],1)</f>
        <v>210</v>
      </c>
      <c r="AR67" s="8">
        <f ca="1">RANK(PlayerGameData[[#This Row],[AST]],PlayerGameData[AST],0)+PlayerGameData[[#This Row],[VisibleOrder]]</f>
        <v>115</v>
      </c>
      <c r="AS67" s="8">
        <f ca="1">IF(COUNTIF(PlayerGameData[ASTOrder],PlayerGameData[[#This Row],[ASTOrder]])&gt;1,PlayerGameData[[#This Row],[PointRank]]/100+PlayerGameData[[#This Row],[ASTOrder]],PlayerGameData[[#This Row],[ASTOrder]])</f>
        <v>116.91</v>
      </c>
      <c r="AT67" s="8">
        <f ca="1">RANK(PlayerGameData[[#This Row],[ASTTieBreak]],PlayerGameData[ASTTieBreak],1)</f>
        <v>146</v>
      </c>
      <c r="AU67" s="8">
        <f ca="1">RANK(PlayerGameData[[#This Row],[STL]],PlayerGameData[STL],0)+PlayerGameData[[#This Row],[VisibleOrder]]</f>
        <v>143</v>
      </c>
      <c r="AV67" s="8">
        <f ca="1">IF(COUNTIF(PlayerGameData[STLOrder],PlayerGameData[[#This Row],[STLOrder]])&gt;1,PlayerGameData[[#This Row],[PointRank]]/100+PlayerGameData[[#This Row],[STLOrder]],PlayerGameData[[#This Row],[STLOrder]])</f>
        <v>144.91</v>
      </c>
      <c r="AW67" s="8">
        <f ca="1">RANK(PlayerGameData[[#This Row],[STLTieBreak]],PlayerGameData[STLTieBreak],1)</f>
        <v>197</v>
      </c>
      <c r="AX67" s="8">
        <f ca="1">RANK(PlayerGameData[[#This Row],[BLK]],PlayerGameData[BLK],0)+PlayerGameData[[#This Row],[VisibleOrder]]</f>
        <v>11</v>
      </c>
      <c r="AY67" s="8">
        <f ca="1">IF(COUNTIF(PlayerGameData[BLKOrder],PlayerGameData[[#This Row],[BLKOrder]])&gt;1,PlayerGameData[[#This Row],[PointRank]]/100+PlayerGameData[[#This Row],[BLKOrder]],PlayerGameData[[#This Row],[BLKOrder]])</f>
        <v>12.91</v>
      </c>
      <c r="AZ67" s="8">
        <f ca="1">RANK(PlayerGameData[[#This Row],[BLKTieBreak]],PlayerGameData[BLKTieBreak],1)</f>
        <v>30</v>
      </c>
      <c r="BA67" s="11">
        <f ca="1">IFERROR(IF(PlayerGameData[[#This Row],[FGA]]&gt;$AA$5,PlayerGameData[[#This Row],[FG%*]],PlayerGameData[[#This Row],[FG%*]]*-1),-2)</f>
        <v>0</v>
      </c>
      <c r="BB67" s="8">
        <f ca="1">RANK(PlayerGameData[[#This Row],[EligFG]],PlayerGameData[EligFG],0)+PlayerGameData[[#This Row],[VisibleOrder]]</f>
        <v>117</v>
      </c>
      <c r="BC67" s="8">
        <f ca="1">IF(COUNTIF(PlayerGameData[EligFGOrder],PlayerGameData[[#This Row],[EligFGOrder]])&gt;1,PlayerGameData[[#This Row],[PointRank]]/100+PlayerGameData[[#This Row],[EligFGOrder]],PlayerGameData[[#This Row],[EligFGOrder]])</f>
        <v>118.91</v>
      </c>
      <c r="BD67" s="8">
        <f ca="1">RANK(PlayerGameData[[#This Row],[EligFGTieBreak]],PlayerGameData[EligFGTieBreak],1)</f>
        <v>133</v>
      </c>
      <c r="BE67" s="8" t="str">
        <f>Roster!$D$3</f>
        <v>East</v>
      </c>
      <c r="BF67" s="8" t="str">
        <f>Roster!$D$2</f>
        <v>Northeast</v>
      </c>
      <c r="BG67" s="8" t="str">
        <f>Roster!$D$4</f>
        <v>North</v>
      </c>
      <c r="BH67" s="197">
        <f ca="1">IFERROR(VLOOKUP(CONCATENATE(PlayerGameData[[#This Row],[Opponent]]," ",MONTH(PlayerGameData[[#This Row],[Date]]),"/",DAY(PlayerGameData[[#This Row],[Date]]),"/",YEAR(PlayerGameData[[#This Row],[Date]])),Table35[],2,FALSE),0)</f>
        <v>1</v>
      </c>
      <c r="BI67" s="197">
        <f ca="1">IF(PlayerGameData[[#This Row],[Visible]]=1,1,1000)</f>
        <v>1</v>
      </c>
      <c r="BJ67" s="197" t="e">
        <f ca="1">_xlfn.MAXIFS(TeamGameData[Win],TeamGameData[School, Opponent,Game'#],PlayerGameData[[#This Row],[School, Opponent,Game'#]])</f>
        <v>#NAME?</v>
      </c>
      <c r="BK67" s="197" t="e">
        <f ca="1">_xlfn.MAXIFS(TeamGameData[Loss],TeamGameData[School, Opponent,Game'#],PlayerGameData[[#This Row],[School, Opponent,Game'#]])</f>
        <v>#NAME?</v>
      </c>
    </row>
    <row r="68" spans="1:63" x14ac:dyDescent="0.25">
      <c r="A68" s="8" t="str">
        <f t="shared" ca="1" si="30"/>
        <v xml:space="preserve">, </v>
      </c>
      <c r="B68" s="8" t="str">
        <f>Roster!$B$1</f>
        <v>Upton</v>
      </c>
      <c r="C68" s="8" t="str">
        <f t="shared" ca="1" si="31"/>
        <v>Sundance</v>
      </c>
      <c r="D68" s="10">
        <f t="shared" ca="1" si="32"/>
        <v>0</v>
      </c>
      <c r="E68" s="8">
        <f t="shared" ca="1" si="3"/>
        <v>0</v>
      </c>
      <c r="F68" s="8">
        <f t="shared" ca="1" si="4"/>
        <v>0</v>
      </c>
      <c r="G68" s="8">
        <f t="shared" ca="1" si="5"/>
        <v>0</v>
      </c>
      <c r="H68" s="8">
        <f t="shared" ca="1" si="6"/>
        <v>0</v>
      </c>
      <c r="I68" s="8">
        <f t="shared" ca="1" si="7"/>
        <v>0</v>
      </c>
      <c r="J68" s="8">
        <f t="shared" ca="1" si="8"/>
        <v>0</v>
      </c>
      <c r="K68" s="8">
        <f t="shared" ca="1" si="9"/>
        <v>0</v>
      </c>
      <c r="L68" s="8">
        <f t="shared" ca="1" si="33"/>
        <v>0</v>
      </c>
      <c r="M68" s="8">
        <f t="shared" ca="1" si="34"/>
        <v>0</v>
      </c>
      <c r="N68" s="8">
        <f t="shared" ca="1" si="35"/>
        <v>0</v>
      </c>
      <c r="O68" s="8">
        <f t="shared" ca="1" si="36"/>
        <v>0</v>
      </c>
      <c r="P68" s="8">
        <f t="shared" ca="1" si="37"/>
        <v>0</v>
      </c>
      <c r="Q68" s="8">
        <f t="shared" ca="1" si="38"/>
        <v>0</v>
      </c>
      <c r="R68" s="8">
        <f t="shared" ca="1" si="39"/>
        <v>0</v>
      </c>
      <c r="S68" s="8">
        <f t="shared" ca="1" si="40"/>
        <v>0</v>
      </c>
      <c r="T68" s="8">
        <f t="shared" ca="1" si="41"/>
        <v>0</v>
      </c>
      <c r="U68" s="8">
        <f t="shared" ca="1" si="42"/>
        <v>0</v>
      </c>
      <c r="V68" s="8">
        <f t="shared" ca="1" si="43"/>
        <v>0</v>
      </c>
      <c r="W68" s="11" t="str">
        <f t="shared" ca="1" si="44"/>
        <v/>
      </c>
      <c r="X68" s="11" t="str">
        <f t="shared" ca="1" si="45"/>
        <v/>
      </c>
      <c r="Y68" s="11" t="str">
        <f t="shared" ca="1" si="46"/>
        <v/>
      </c>
      <c r="Z68" s="11" t="str">
        <f t="shared" ca="1" si="47"/>
        <v/>
      </c>
      <c r="AA68" s="11" t="str">
        <f t="shared" ca="1" si="48"/>
        <v/>
      </c>
      <c r="AB68" s="47">
        <f ca="1">PlayerGameData[[#This Row],[3FGA]]+PlayerGameData[[#This Row],[2FGA]]</f>
        <v>0</v>
      </c>
      <c r="AC68" s="47">
        <f ca="1">PlayerGameData[[#This Row],[OFF REB]]+PlayerGameData[[#This Row],[DEF REB]]</f>
        <v>0</v>
      </c>
      <c r="AD68" s="8">
        <f t="shared" si="26"/>
        <v>3</v>
      </c>
      <c r="AE68" s="8" t="str">
        <f t="shared" ca="1" si="27"/>
        <v>,  - Sundance 1/0/1900</v>
      </c>
      <c r="AF68" s="8" t="str">
        <f t="shared" ca="1" si="49"/>
        <v/>
      </c>
      <c r="AG68" s="8" t="str">
        <f ca="1">IFERROR(IF(C68=0,"",IF(AND(VLOOKUP(PlayerGameData[[#This Row],[Opponent]],WYTeamInfo,2,FALSE)=Roster!$D$1,VLOOKUP(PlayerGameData[[#This Row],[Opponent]],WYTeamInfo,3,FALSE)=Roster!$D$2),"SR","")),"")</f>
        <v/>
      </c>
      <c r="AH68" s="8" t="str">
        <f>CONCATENATE(Roster!$D$1," ",Roster!$D$5)</f>
        <v>1A BB</v>
      </c>
      <c r="AI68" s="8" t="str">
        <f t="shared" ca="1" si="50"/>
        <v>Upton - Sundance 1/0/1900</v>
      </c>
      <c r="AJ68" s="8">
        <f ca="1">IFERROR(VLOOKUP(PlayerGameData[[#This Row],[School, Opponent,Game'#]],Table3[],2,FALSE),0)</f>
        <v>1</v>
      </c>
      <c r="AK68" s="8">
        <f ca="1">IF(PlayerGameData[[#This Row],[Visible]]=1,1,1000)</f>
        <v>1</v>
      </c>
      <c r="AL68" s="8">
        <f ca="1">RANK(PlayerGameData[[#This Row],[TL PTS]],PlayerGameData[TL PTS],0)+PlayerGameData[[#This Row],[VisibleOrder]]</f>
        <v>185</v>
      </c>
      <c r="AM68" s="8">
        <f ca="1">IF(COUNTIF(PlayerGameData[PointOrder],PlayerGameData[[#This Row],[PointOrder]])&gt;1,RANK(PlayerGameData[[#This Row],[FGA]],PlayerGameData[FGA],0)/100,0)+PlayerGameData[[#This Row],[PointOrder]]</f>
        <v>187.14</v>
      </c>
      <c r="AN68" s="8">
        <f ca="1">RANK(PlayerGameData[[#This Row],[PointTieBreak]],PlayerGameData[PointTieBreak],1)</f>
        <v>216</v>
      </c>
      <c r="AO68" s="8">
        <f ca="1">RANK(PlayerGameData[[#This Row],[REB]],PlayerGameData[REB],0)+PlayerGameData[[#This Row],[VisibleOrder]]</f>
        <v>192</v>
      </c>
      <c r="AP68" s="8">
        <f ca="1">IF(COUNTIF(PlayerGameData[REBOrder],PlayerGameData[[#This Row],[REBOrder]])&gt;1,PlayerGameData[[#This Row],[PointRank]]/100+PlayerGameData[[#This Row],[REBOrder]],PlayerGameData[[#This Row],[REBOrder]])</f>
        <v>194.16</v>
      </c>
      <c r="AQ68" s="8">
        <f ca="1">RANK(PlayerGameData[[#This Row],[REBTieBreak]],PlayerGameData[REBTieBreak],1)</f>
        <v>224</v>
      </c>
      <c r="AR68" s="8">
        <f ca="1">RANK(PlayerGameData[[#This Row],[AST]],PlayerGameData[AST],0)+PlayerGameData[[#This Row],[VisibleOrder]]</f>
        <v>158</v>
      </c>
      <c r="AS68" s="8">
        <f ca="1">IF(COUNTIF(PlayerGameData[ASTOrder],PlayerGameData[[#This Row],[ASTOrder]])&gt;1,PlayerGameData[[#This Row],[PointRank]]/100+PlayerGameData[[#This Row],[ASTOrder]],PlayerGameData[[#This Row],[ASTOrder]])</f>
        <v>160.16</v>
      </c>
      <c r="AT68" s="8">
        <f ca="1">RANK(PlayerGameData[[#This Row],[ASTTieBreak]],PlayerGameData[ASTTieBreak],1)</f>
        <v>221</v>
      </c>
      <c r="AU68" s="8">
        <f ca="1">RANK(PlayerGameData[[#This Row],[STL]],PlayerGameData[STL],0)+PlayerGameData[[#This Row],[VisibleOrder]]</f>
        <v>143</v>
      </c>
      <c r="AV68" s="8">
        <f ca="1">IF(COUNTIF(PlayerGameData[STLOrder],PlayerGameData[[#This Row],[STLOrder]])&gt;1,PlayerGameData[[#This Row],[PointRank]]/100+PlayerGameData[[#This Row],[STLOrder]],PlayerGameData[[#This Row],[STLOrder]])</f>
        <v>145.16</v>
      </c>
      <c r="AW68" s="8">
        <f ca="1">RANK(PlayerGameData[[#This Row],[STLTieBreak]],PlayerGameData[STLTieBreak],1)</f>
        <v>217</v>
      </c>
      <c r="AX68" s="8">
        <f ca="1">RANK(PlayerGameData[[#This Row],[BLK]],PlayerGameData[BLK],0)+PlayerGameData[[#This Row],[VisibleOrder]]</f>
        <v>32</v>
      </c>
      <c r="AY68" s="8">
        <f ca="1">IF(COUNTIF(PlayerGameData[BLKOrder],PlayerGameData[[#This Row],[BLKOrder]])&gt;1,PlayerGameData[[#This Row],[PointRank]]/100+PlayerGameData[[#This Row],[BLKOrder]],PlayerGameData[[#This Row],[BLKOrder]])</f>
        <v>34.159999999999997</v>
      </c>
      <c r="AZ68" s="8">
        <f ca="1">RANK(PlayerGameData[[#This Row],[BLKTieBreak]],PlayerGameData[BLKTieBreak],1)</f>
        <v>216</v>
      </c>
      <c r="BA68" s="11">
        <f ca="1">IFERROR(IF(PlayerGameData[[#This Row],[FGA]]&gt;$AA$5,PlayerGameData[[#This Row],[FG%*]],PlayerGameData[[#This Row],[FG%*]]*-1),-2)</f>
        <v>-2</v>
      </c>
      <c r="BB68" s="8">
        <f ca="1">RANK(PlayerGameData[[#This Row],[EligFG]],PlayerGameData[EligFG],0)+PlayerGameData[[#This Row],[VisibleOrder]]</f>
        <v>215</v>
      </c>
      <c r="BC68" s="8">
        <f ca="1">IF(COUNTIF(PlayerGameData[EligFGOrder],PlayerGameData[[#This Row],[EligFGOrder]])&gt;1,PlayerGameData[[#This Row],[PointRank]]/100+PlayerGameData[[#This Row],[EligFGOrder]],PlayerGameData[[#This Row],[EligFGOrder]])</f>
        <v>217.16</v>
      </c>
      <c r="BD68" s="8">
        <f ca="1">RANK(PlayerGameData[[#This Row],[EligFGTieBreak]],PlayerGameData[EligFGTieBreak],1)</f>
        <v>216</v>
      </c>
      <c r="BE68" s="8" t="str">
        <f>Roster!$D$3</f>
        <v>East</v>
      </c>
      <c r="BF68" s="8" t="str">
        <f>Roster!$D$2</f>
        <v>Northeast</v>
      </c>
      <c r="BG68" s="8" t="str">
        <f>Roster!$D$4</f>
        <v>North</v>
      </c>
      <c r="BH68" s="197">
        <f ca="1">IFERROR(VLOOKUP(CONCATENATE(PlayerGameData[[#This Row],[Opponent]]," ",MONTH(PlayerGameData[[#This Row],[Date]]),"/",DAY(PlayerGameData[[#This Row],[Date]]),"/",YEAR(PlayerGameData[[#This Row],[Date]])),Table35[],2,FALSE),0)</f>
        <v>1</v>
      </c>
      <c r="BI68" s="197">
        <f ca="1">IF(PlayerGameData[[#This Row],[Visible]]=1,1,1000)</f>
        <v>1</v>
      </c>
      <c r="BJ68" s="197" t="e">
        <f ca="1">_xlfn.MAXIFS(TeamGameData[Win],TeamGameData[School, Opponent,Game'#],PlayerGameData[[#This Row],[School, Opponent,Game'#]])</f>
        <v>#NAME?</v>
      </c>
      <c r="BK68" s="197" t="e">
        <f ca="1">_xlfn.MAXIFS(TeamGameData[Loss],TeamGameData[School, Opponent,Game'#],PlayerGameData[[#This Row],[School, Opponent,Game'#]])</f>
        <v>#NAME?</v>
      </c>
    </row>
    <row r="69" spans="1:63" x14ac:dyDescent="0.25">
      <c r="A69" s="8" t="str">
        <f t="shared" ca="1" si="30"/>
        <v xml:space="preserve">, </v>
      </c>
      <c r="B69" s="8" t="str">
        <f>Roster!$B$1</f>
        <v>Upton</v>
      </c>
      <c r="C69" s="8" t="str">
        <f t="shared" ca="1" si="31"/>
        <v>Sundance</v>
      </c>
      <c r="D69" s="10">
        <f t="shared" ca="1" si="32"/>
        <v>0</v>
      </c>
      <c r="E69" s="8">
        <f t="shared" ca="1" si="3"/>
        <v>0</v>
      </c>
      <c r="F69" s="8">
        <f t="shared" ca="1" si="4"/>
        <v>0</v>
      </c>
      <c r="G69" s="8">
        <f t="shared" ca="1" si="5"/>
        <v>0</v>
      </c>
      <c r="H69" s="8">
        <f t="shared" ca="1" si="6"/>
        <v>0</v>
      </c>
      <c r="I69" s="8">
        <f t="shared" ca="1" si="7"/>
        <v>0</v>
      </c>
      <c r="J69" s="8">
        <f t="shared" ca="1" si="8"/>
        <v>0</v>
      </c>
      <c r="K69" s="8">
        <f t="shared" ca="1" si="9"/>
        <v>0</v>
      </c>
      <c r="L69" s="8">
        <f t="shared" ca="1" si="33"/>
        <v>0</v>
      </c>
      <c r="M69" s="8">
        <f t="shared" ca="1" si="34"/>
        <v>0</v>
      </c>
      <c r="N69" s="8">
        <f t="shared" ca="1" si="35"/>
        <v>0</v>
      </c>
      <c r="O69" s="8">
        <f t="shared" ca="1" si="36"/>
        <v>0</v>
      </c>
      <c r="P69" s="8">
        <f t="shared" ca="1" si="37"/>
        <v>0</v>
      </c>
      <c r="Q69" s="8">
        <f t="shared" ca="1" si="38"/>
        <v>0</v>
      </c>
      <c r="R69" s="8">
        <f t="shared" ca="1" si="39"/>
        <v>0</v>
      </c>
      <c r="S69" s="8">
        <f t="shared" ca="1" si="40"/>
        <v>0</v>
      </c>
      <c r="T69" s="8">
        <f t="shared" ca="1" si="41"/>
        <v>0</v>
      </c>
      <c r="U69" s="8">
        <f t="shared" ca="1" si="42"/>
        <v>0</v>
      </c>
      <c r="V69" s="8">
        <f t="shared" ca="1" si="43"/>
        <v>0</v>
      </c>
      <c r="W69" s="11" t="str">
        <f t="shared" ca="1" si="44"/>
        <v/>
      </c>
      <c r="X69" s="11" t="str">
        <f t="shared" ca="1" si="45"/>
        <v/>
      </c>
      <c r="Y69" s="11" t="str">
        <f t="shared" ca="1" si="46"/>
        <v/>
      </c>
      <c r="Z69" s="11" t="str">
        <f t="shared" ca="1" si="47"/>
        <v/>
      </c>
      <c r="AA69" s="11" t="str">
        <f t="shared" ca="1" si="48"/>
        <v/>
      </c>
      <c r="AB69" s="47">
        <f ca="1">PlayerGameData[[#This Row],[3FGA]]+PlayerGameData[[#This Row],[2FGA]]</f>
        <v>0</v>
      </c>
      <c r="AC69" s="47">
        <f ca="1">PlayerGameData[[#This Row],[OFF REB]]+PlayerGameData[[#This Row],[DEF REB]]</f>
        <v>0</v>
      </c>
      <c r="AD69" s="8">
        <f t="shared" si="26"/>
        <v>3</v>
      </c>
      <c r="AE69" s="8" t="str">
        <f t="shared" ca="1" si="27"/>
        <v>,  - Sundance 1/0/1900</v>
      </c>
      <c r="AF69" s="8" t="str">
        <f t="shared" ca="1" si="49"/>
        <v/>
      </c>
      <c r="AG69" s="8" t="str">
        <f ca="1">IFERROR(IF(C69=0,"",IF(AND(VLOOKUP(PlayerGameData[[#This Row],[Opponent]],WYTeamInfo,2,FALSE)=Roster!$D$1,VLOOKUP(PlayerGameData[[#This Row],[Opponent]],WYTeamInfo,3,FALSE)=Roster!$D$2),"SR","")),"")</f>
        <v/>
      </c>
      <c r="AH69" s="8" t="str">
        <f>CONCATENATE(Roster!$D$1," ",Roster!$D$5)</f>
        <v>1A BB</v>
      </c>
      <c r="AI69" s="8" t="str">
        <f t="shared" ca="1" si="50"/>
        <v>Upton - Sundance 1/0/1900</v>
      </c>
      <c r="AJ69" s="8">
        <f ca="1">IFERROR(VLOOKUP(PlayerGameData[[#This Row],[School, Opponent,Game'#]],Table3[],2,FALSE),0)</f>
        <v>1</v>
      </c>
      <c r="AK69" s="8">
        <f ca="1">IF(PlayerGameData[[#This Row],[Visible]]=1,1,1000)</f>
        <v>1</v>
      </c>
      <c r="AL69" s="8">
        <f ca="1">RANK(PlayerGameData[[#This Row],[TL PTS]],PlayerGameData[TL PTS],0)+PlayerGameData[[#This Row],[VisibleOrder]]</f>
        <v>185</v>
      </c>
      <c r="AM69" s="8">
        <f ca="1">IF(COUNTIF(PlayerGameData[PointOrder],PlayerGameData[[#This Row],[PointOrder]])&gt;1,RANK(PlayerGameData[[#This Row],[FGA]],PlayerGameData[FGA],0)/100,0)+PlayerGameData[[#This Row],[PointOrder]]</f>
        <v>187.14</v>
      </c>
      <c r="AN69" s="8">
        <f ca="1">RANK(PlayerGameData[[#This Row],[PointTieBreak]],PlayerGameData[PointTieBreak],1)</f>
        <v>216</v>
      </c>
      <c r="AO69" s="8">
        <f ca="1">RANK(PlayerGameData[[#This Row],[REB]],PlayerGameData[REB],0)+PlayerGameData[[#This Row],[VisibleOrder]]</f>
        <v>192</v>
      </c>
      <c r="AP69" s="8">
        <f ca="1">IF(COUNTIF(PlayerGameData[REBOrder],PlayerGameData[[#This Row],[REBOrder]])&gt;1,PlayerGameData[[#This Row],[PointRank]]/100+PlayerGameData[[#This Row],[REBOrder]],PlayerGameData[[#This Row],[REBOrder]])</f>
        <v>194.16</v>
      </c>
      <c r="AQ69" s="8">
        <f ca="1">RANK(PlayerGameData[[#This Row],[REBTieBreak]],PlayerGameData[REBTieBreak],1)</f>
        <v>224</v>
      </c>
      <c r="AR69" s="8">
        <f ca="1">RANK(PlayerGameData[[#This Row],[AST]],PlayerGameData[AST],0)+PlayerGameData[[#This Row],[VisibleOrder]]</f>
        <v>158</v>
      </c>
      <c r="AS69" s="8">
        <f ca="1">IF(COUNTIF(PlayerGameData[ASTOrder],PlayerGameData[[#This Row],[ASTOrder]])&gt;1,PlayerGameData[[#This Row],[PointRank]]/100+PlayerGameData[[#This Row],[ASTOrder]],PlayerGameData[[#This Row],[ASTOrder]])</f>
        <v>160.16</v>
      </c>
      <c r="AT69" s="8">
        <f ca="1">RANK(PlayerGameData[[#This Row],[ASTTieBreak]],PlayerGameData[ASTTieBreak],1)</f>
        <v>221</v>
      </c>
      <c r="AU69" s="8">
        <f ca="1">RANK(PlayerGameData[[#This Row],[STL]],PlayerGameData[STL],0)+PlayerGameData[[#This Row],[VisibleOrder]]</f>
        <v>143</v>
      </c>
      <c r="AV69" s="8">
        <f ca="1">IF(COUNTIF(PlayerGameData[STLOrder],PlayerGameData[[#This Row],[STLOrder]])&gt;1,PlayerGameData[[#This Row],[PointRank]]/100+PlayerGameData[[#This Row],[STLOrder]],PlayerGameData[[#This Row],[STLOrder]])</f>
        <v>145.16</v>
      </c>
      <c r="AW69" s="8">
        <f ca="1">RANK(PlayerGameData[[#This Row],[STLTieBreak]],PlayerGameData[STLTieBreak],1)</f>
        <v>217</v>
      </c>
      <c r="AX69" s="8">
        <f ca="1">RANK(PlayerGameData[[#This Row],[BLK]],PlayerGameData[BLK],0)+PlayerGameData[[#This Row],[VisibleOrder]]</f>
        <v>32</v>
      </c>
      <c r="AY69" s="8">
        <f ca="1">IF(COUNTIF(PlayerGameData[BLKOrder],PlayerGameData[[#This Row],[BLKOrder]])&gt;1,PlayerGameData[[#This Row],[PointRank]]/100+PlayerGameData[[#This Row],[BLKOrder]],PlayerGameData[[#This Row],[BLKOrder]])</f>
        <v>34.159999999999997</v>
      </c>
      <c r="AZ69" s="8">
        <f ca="1">RANK(PlayerGameData[[#This Row],[BLKTieBreak]],PlayerGameData[BLKTieBreak],1)</f>
        <v>216</v>
      </c>
      <c r="BA69" s="11">
        <f ca="1">IFERROR(IF(PlayerGameData[[#This Row],[FGA]]&gt;$AA$5,PlayerGameData[[#This Row],[FG%*]],PlayerGameData[[#This Row],[FG%*]]*-1),-2)</f>
        <v>-2</v>
      </c>
      <c r="BB69" s="8">
        <f ca="1">RANK(PlayerGameData[[#This Row],[EligFG]],PlayerGameData[EligFG],0)+PlayerGameData[[#This Row],[VisibleOrder]]</f>
        <v>215</v>
      </c>
      <c r="BC69" s="8">
        <f ca="1">IF(COUNTIF(PlayerGameData[EligFGOrder],PlayerGameData[[#This Row],[EligFGOrder]])&gt;1,PlayerGameData[[#This Row],[PointRank]]/100+PlayerGameData[[#This Row],[EligFGOrder]],PlayerGameData[[#This Row],[EligFGOrder]])</f>
        <v>217.16</v>
      </c>
      <c r="BD69" s="8">
        <f ca="1">RANK(PlayerGameData[[#This Row],[EligFGTieBreak]],PlayerGameData[EligFGTieBreak],1)</f>
        <v>216</v>
      </c>
      <c r="BE69" s="8" t="str">
        <f>Roster!$D$3</f>
        <v>East</v>
      </c>
      <c r="BF69" s="8" t="str">
        <f>Roster!$D$2</f>
        <v>Northeast</v>
      </c>
      <c r="BG69" s="8" t="str">
        <f>Roster!$D$4</f>
        <v>North</v>
      </c>
      <c r="BH69" s="197">
        <f ca="1">IFERROR(VLOOKUP(CONCATENATE(PlayerGameData[[#This Row],[Opponent]]," ",MONTH(PlayerGameData[[#This Row],[Date]]),"/",DAY(PlayerGameData[[#This Row],[Date]]),"/",YEAR(PlayerGameData[[#This Row],[Date]])),Table35[],2,FALSE),0)</f>
        <v>1</v>
      </c>
      <c r="BI69" s="197">
        <f ca="1">IF(PlayerGameData[[#This Row],[Visible]]=1,1,1000)</f>
        <v>1</v>
      </c>
      <c r="BJ69" s="197" t="e">
        <f ca="1">_xlfn.MAXIFS(TeamGameData[Win],TeamGameData[School, Opponent,Game'#],PlayerGameData[[#This Row],[School, Opponent,Game'#]])</f>
        <v>#NAME?</v>
      </c>
      <c r="BK69" s="197" t="e">
        <f ca="1">_xlfn.MAXIFS(TeamGameData[Loss],TeamGameData[School, Opponent,Game'#],PlayerGameData[[#This Row],[School, Opponent,Game'#]])</f>
        <v>#NAME?</v>
      </c>
    </row>
    <row r="70" spans="1:63" x14ac:dyDescent="0.25">
      <c r="A70" s="8" t="str">
        <f t="shared" ca="1" si="30"/>
        <v xml:space="preserve">, </v>
      </c>
      <c r="B70" s="8" t="str">
        <f>Roster!$B$1</f>
        <v>Upton</v>
      </c>
      <c r="C70" s="8" t="str">
        <f t="shared" ca="1" si="31"/>
        <v>Sundance</v>
      </c>
      <c r="D70" s="10">
        <f t="shared" ca="1" si="32"/>
        <v>0</v>
      </c>
      <c r="E70" s="8">
        <f t="shared" ca="1" si="3"/>
        <v>0</v>
      </c>
      <c r="F70" s="8">
        <f t="shared" ca="1" si="4"/>
        <v>0</v>
      </c>
      <c r="G70" s="8">
        <f t="shared" ca="1" si="5"/>
        <v>0</v>
      </c>
      <c r="H70" s="8">
        <f t="shared" ca="1" si="6"/>
        <v>0</v>
      </c>
      <c r="I70" s="8">
        <f t="shared" ca="1" si="7"/>
        <v>0</v>
      </c>
      <c r="J70" s="8">
        <f t="shared" ca="1" si="8"/>
        <v>0</v>
      </c>
      <c r="K70" s="8">
        <f t="shared" ca="1" si="9"/>
        <v>0</v>
      </c>
      <c r="L70" s="8">
        <f t="shared" ca="1" si="33"/>
        <v>0</v>
      </c>
      <c r="M70" s="8">
        <f t="shared" ca="1" si="34"/>
        <v>0</v>
      </c>
      <c r="N70" s="8">
        <f t="shared" ca="1" si="35"/>
        <v>0</v>
      </c>
      <c r="O70" s="8">
        <f t="shared" ca="1" si="36"/>
        <v>0</v>
      </c>
      <c r="P70" s="8">
        <f t="shared" ca="1" si="37"/>
        <v>0</v>
      </c>
      <c r="Q70" s="8">
        <f t="shared" ca="1" si="38"/>
        <v>0</v>
      </c>
      <c r="R70" s="8">
        <f t="shared" ca="1" si="39"/>
        <v>0</v>
      </c>
      <c r="S70" s="8">
        <f t="shared" ca="1" si="40"/>
        <v>0</v>
      </c>
      <c r="T70" s="8">
        <f t="shared" ca="1" si="41"/>
        <v>0</v>
      </c>
      <c r="U70" s="8">
        <f t="shared" ca="1" si="42"/>
        <v>0</v>
      </c>
      <c r="V70" s="8">
        <f t="shared" ca="1" si="43"/>
        <v>0</v>
      </c>
      <c r="W70" s="11" t="str">
        <f t="shared" ca="1" si="44"/>
        <v/>
      </c>
      <c r="X70" s="11" t="str">
        <f t="shared" ca="1" si="45"/>
        <v/>
      </c>
      <c r="Y70" s="11" t="str">
        <f t="shared" ca="1" si="46"/>
        <v/>
      </c>
      <c r="Z70" s="11" t="str">
        <f t="shared" ca="1" si="47"/>
        <v/>
      </c>
      <c r="AA70" s="11" t="str">
        <f t="shared" ca="1" si="48"/>
        <v/>
      </c>
      <c r="AB70" s="47">
        <f ca="1">PlayerGameData[[#This Row],[3FGA]]+PlayerGameData[[#This Row],[2FGA]]</f>
        <v>0</v>
      </c>
      <c r="AC70" s="47">
        <f ca="1">PlayerGameData[[#This Row],[OFF REB]]+PlayerGameData[[#This Row],[DEF REB]]</f>
        <v>0</v>
      </c>
      <c r="AD70" s="8">
        <f t="shared" si="26"/>
        <v>3</v>
      </c>
      <c r="AE70" s="8" t="str">
        <f t="shared" ca="1" si="27"/>
        <v>,  - Sundance 1/0/1900</v>
      </c>
      <c r="AF70" s="8" t="str">
        <f t="shared" ca="1" si="49"/>
        <v/>
      </c>
      <c r="AG70" s="8" t="str">
        <f ca="1">IFERROR(IF(C70=0,"",IF(AND(VLOOKUP(PlayerGameData[[#This Row],[Opponent]],WYTeamInfo,2,FALSE)=Roster!$D$1,VLOOKUP(PlayerGameData[[#This Row],[Opponent]],WYTeamInfo,3,FALSE)=Roster!$D$2),"SR","")),"")</f>
        <v/>
      </c>
      <c r="AH70" s="8" t="str">
        <f>CONCATENATE(Roster!$D$1," ",Roster!$D$5)</f>
        <v>1A BB</v>
      </c>
      <c r="AI70" s="8" t="str">
        <f t="shared" ca="1" si="50"/>
        <v>Upton - Sundance 1/0/1900</v>
      </c>
      <c r="AJ70" s="8">
        <f ca="1">IFERROR(VLOOKUP(PlayerGameData[[#This Row],[School, Opponent,Game'#]],Table3[],2,FALSE),0)</f>
        <v>1</v>
      </c>
      <c r="AK70" s="8">
        <f ca="1">IF(PlayerGameData[[#This Row],[Visible]]=1,1,1000)</f>
        <v>1</v>
      </c>
      <c r="AL70" s="8">
        <f ca="1">RANK(PlayerGameData[[#This Row],[TL PTS]],PlayerGameData[TL PTS],0)+PlayerGameData[[#This Row],[VisibleOrder]]</f>
        <v>185</v>
      </c>
      <c r="AM70" s="8">
        <f ca="1">IF(COUNTIF(PlayerGameData[PointOrder],PlayerGameData[[#This Row],[PointOrder]])&gt;1,RANK(PlayerGameData[[#This Row],[FGA]],PlayerGameData[FGA],0)/100,0)+PlayerGameData[[#This Row],[PointOrder]]</f>
        <v>187.14</v>
      </c>
      <c r="AN70" s="8">
        <f ca="1">RANK(PlayerGameData[[#This Row],[PointTieBreak]],PlayerGameData[PointTieBreak],1)</f>
        <v>216</v>
      </c>
      <c r="AO70" s="8">
        <f ca="1">RANK(PlayerGameData[[#This Row],[REB]],PlayerGameData[REB],0)+PlayerGameData[[#This Row],[VisibleOrder]]</f>
        <v>192</v>
      </c>
      <c r="AP70" s="8">
        <f ca="1">IF(COUNTIF(PlayerGameData[REBOrder],PlayerGameData[[#This Row],[REBOrder]])&gt;1,PlayerGameData[[#This Row],[PointRank]]/100+PlayerGameData[[#This Row],[REBOrder]],PlayerGameData[[#This Row],[REBOrder]])</f>
        <v>194.16</v>
      </c>
      <c r="AQ70" s="8">
        <f ca="1">RANK(PlayerGameData[[#This Row],[REBTieBreak]],PlayerGameData[REBTieBreak],1)</f>
        <v>224</v>
      </c>
      <c r="AR70" s="8">
        <f ca="1">RANK(PlayerGameData[[#This Row],[AST]],PlayerGameData[AST],0)+PlayerGameData[[#This Row],[VisibleOrder]]</f>
        <v>158</v>
      </c>
      <c r="AS70" s="8">
        <f ca="1">IF(COUNTIF(PlayerGameData[ASTOrder],PlayerGameData[[#This Row],[ASTOrder]])&gt;1,PlayerGameData[[#This Row],[PointRank]]/100+PlayerGameData[[#This Row],[ASTOrder]],PlayerGameData[[#This Row],[ASTOrder]])</f>
        <v>160.16</v>
      </c>
      <c r="AT70" s="8">
        <f ca="1">RANK(PlayerGameData[[#This Row],[ASTTieBreak]],PlayerGameData[ASTTieBreak],1)</f>
        <v>221</v>
      </c>
      <c r="AU70" s="8">
        <f ca="1">RANK(PlayerGameData[[#This Row],[STL]],PlayerGameData[STL],0)+PlayerGameData[[#This Row],[VisibleOrder]]</f>
        <v>143</v>
      </c>
      <c r="AV70" s="8">
        <f ca="1">IF(COUNTIF(PlayerGameData[STLOrder],PlayerGameData[[#This Row],[STLOrder]])&gt;1,PlayerGameData[[#This Row],[PointRank]]/100+PlayerGameData[[#This Row],[STLOrder]],PlayerGameData[[#This Row],[STLOrder]])</f>
        <v>145.16</v>
      </c>
      <c r="AW70" s="8">
        <f ca="1">RANK(PlayerGameData[[#This Row],[STLTieBreak]],PlayerGameData[STLTieBreak],1)</f>
        <v>217</v>
      </c>
      <c r="AX70" s="8">
        <f ca="1">RANK(PlayerGameData[[#This Row],[BLK]],PlayerGameData[BLK],0)+PlayerGameData[[#This Row],[VisibleOrder]]</f>
        <v>32</v>
      </c>
      <c r="AY70" s="8">
        <f ca="1">IF(COUNTIF(PlayerGameData[BLKOrder],PlayerGameData[[#This Row],[BLKOrder]])&gt;1,PlayerGameData[[#This Row],[PointRank]]/100+PlayerGameData[[#This Row],[BLKOrder]],PlayerGameData[[#This Row],[BLKOrder]])</f>
        <v>34.159999999999997</v>
      </c>
      <c r="AZ70" s="8">
        <f ca="1">RANK(PlayerGameData[[#This Row],[BLKTieBreak]],PlayerGameData[BLKTieBreak],1)</f>
        <v>216</v>
      </c>
      <c r="BA70" s="11">
        <f ca="1">IFERROR(IF(PlayerGameData[[#This Row],[FGA]]&gt;$AA$5,PlayerGameData[[#This Row],[FG%*]],PlayerGameData[[#This Row],[FG%*]]*-1),-2)</f>
        <v>-2</v>
      </c>
      <c r="BB70" s="8">
        <f ca="1">RANK(PlayerGameData[[#This Row],[EligFG]],PlayerGameData[EligFG],0)+PlayerGameData[[#This Row],[VisibleOrder]]</f>
        <v>215</v>
      </c>
      <c r="BC70" s="8">
        <f ca="1">IF(COUNTIF(PlayerGameData[EligFGOrder],PlayerGameData[[#This Row],[EligFGOrder]])&gt;1,PlayerGameData[[#This Row],[PointRank]]/100+PlayerGameData[[#This Row],[EligFGOrder]],PlayerGameData[[#This Row],[EligFGOrder]])</f>
        <v>217.16</v>
      </c>
      <c r="BD70" s="8">
        <f ca="1">RANK(PlayerGameData[[#This Row],[EligFGTieBreak]],PlayerGameData[EligFGTieBreak],1)</f>
        <v>216</v>
      </c>
      <c r="BE70" s="8" t="str">
        <f>Roster!$D$3</f>
        <v>East</v>
      </c>
      <c r="BF70" s="8" t="str">
        <f>Roster!$D$2</f>
        <v>Northeast</v>
      </c>
      <c r="BG70" s="8" t="str">
        <f>Roster!$D$4</f>
        <v>North</v>
      </c>
      <c r="BH70" s="197">
        <f ca="1">IFERROR(VLOOKUP(CONCATENATE(PlayerGameData[[#This Row],[Opponent]]," ",MONTH(PlayerGameData[[#This Row],[Date]]),"/",DAY(PlayerGameData[[#This Row],[Date]]),"/",YEAR(PlayerGameData[[#This Row],[Date]])),Table35[],2,FALSE),0)</f>
        <v>1</v>
      </c>
      <c r="BI70" s="197">
        <f ca="1">IF(PlayerGameData[[#This Row],[Visible]]=1,1,1000)</f>
        <v>1</v>
      </c>
      <c r="BJ70" s="197" t="e">
        <f ca="1">_xlfn.MAXIFS(TeamGameData[Win],TeamGameData[School, Opponent,Game'#],PlayerGameData[[#This Row],[School, Opponent,Game'#]])</f>
        <v>#NAME?</v>
      </c>
      <c r="BK70" s="197" t="e">
        <f ca="1">_xlfn.MAXIFS(TeamGameData[Loss],TeamGameData[School, Opponent,Game'#],PlayerGameData[[#This Row],[School, Opponent,Game'#]])</f>
        <v>#NAME?</v>
      </c>
    </row>
    <row r="71" spans="1:63" x14ac:dyDescent="0.25">
      <c r="A71" s="8" t="str">
        <f t="shared" ca="1" si="30"/>
        <v xml:space="preserve">, </v>
      </c>
      <c r="B71" s="8" t="str">
        <f>Roster!$B$1</f>
        <v>Upton</v>
      </c>
      <c r="C71" s="8" t="str">
        <f t="shared" ref="C71:C134" ca="1" si="51">INDIRECT("'game1 ("&amp;$AD71&amp;")'!$b$3")</f>
        <v>Sundance</v>
      </c>
      <c r="D71" s="10">
        <f t="shared" ref="D71:D134" ca="1" si="52">INDIRECT("'game1 ("&amp;$AD71&amp;")'!$m$4")</f>
        <v>0</v>
      </c>
      <c r="E71" s="8">
        <f t="shared" ref="E71:E134" ca="1" si="53">INDIRECT("'game1 ("&amp;$AD71&amp;")'!"&amp;ADDRESS(ROW(A$7)+MOD(ROW(A71)-7,24),COLUMN(D71)))</f>
        <v>0</v>
      </c>
      <c r="F71" s="8">
        <f t="shared" ref="F71:F134" ca="1" si="54">IF(INDIRECT("'game1 ("&amp;$AD71&amp;")'!"&amp;ADDRESS(ROW(B$7)+MOD(ROW(B71)-7,24),COLUMN(C71)))="s",1,0)</f>
        <v>0</v>
      </c>
      <c r="G71" s="8">
        <f t="shared" ref="G71:G134" ca="1" si="55">INDIRECT("'game1 ("&amp;$AD71&amp;")'!"&amp;ADDRESS(ROW(B$7)+MOD(ROW(B71)-7,24),COLUMN(E71)))</f>
        <v>0</v>
      </c>
      <c r="H71" s="8">
        <f t="shared" ref="H71:H134" ca="1" si="56">INDIRECT("'game1 ("&amp;$AD71&amp;")'!"&amp;ADDRESS(ROW(B$7)+MOD(ROW(B71)-7,24),COLUMN(F71)))</f>
        <v>0</v>
      </c>
      <c r="I71" s="8">
        <f t="shared" ref="I71:I134" ca="1" si="57">INDIRECT("'game1 ("&amp;$AD71&amp;")'!"&amp;ADDRESS(ROW(C$7)+MOD(ROW(C71)-7,24),COLUMN(G71)))</f>
        <v>0</v>
      </c>
      <c r="J71" s="8">
        <f t="shared" ref="J71:J134" ca="1" si="58">INDIRECT("'game1 ("&amp;$AD71&amp;")'!"&amp;ADDRESS(ROW(D$7)+MOD(ROW(D71)-7,24),COLUMN(H71)))</f>
        <v>0</v>
      </c>
      <c r="K71" s="8">
        <f t="shared" ref="K71:K134" ca="1" si="59">INDIRECT("'game1 ("&amp;$AD71&amp;")'!"&amp;ADDRESS(ROW(E$7)+MOD(ROW(E71)-7,24),COLUMN(I71)))</f>
        <v>0</v>
      </c>
      <c r="L71" s="8">
        <f t="shared" ca="1" si="33"/>
        <v>0</v>
      </c>
      <c r="M71" s="8">
        <f t="shared" ca="1" si="34"/>
        <v>0</v>
      </c>
      <c r="N71" s="8">
        <f t="shared" ca="1" si="35"/>
        <v>0</v>
      </c>
      <c r="O71" s="8">
        <f t="shared" ca="1" si="36"/>
        <v>0</v>
      </c>
      <c r="P71" s="8">
        <f t="shared" ca="1" si="37"/>
        <v>0</v>
      </c>
      <c r="Q71" s="8">
        <f t="shared" ca="1" si="38"/>
        <v>0</v>
      </c>
      <c r="R71" s="8">
        <f t="shared" ca="1" si="39"/>
        <v>0</v>
      </c>
      <c r="S71" s="8">
        <f t="shared" ca="1" si="40"/>
        <v>0</v>
      </c>
      <c r="T71" s="8">
        <f t="shared" ca="1" si="41"/>
        <v>0</v>
      </c>
      <c r="U71" s="8">
        <f t="shared" ca="1" si="42"/>
        <v>0</v>
      </c>
      <c r="V71" s="8">
        <f t="shared" ca="1" si="43"/>
        <v>0</v>
      </c>
      <c r="W71" s="11" t="str">
        <f t="shared" ca="1" si="44"/>
        <v/>
      </c>
      <c r="X71" s="11" t="str">
        <f t="shared" ca="1" si="45"/>
        <v/>
      </c>
      <c r="Y71" s="11" t="str">
        <f t="shared" ca="1" si="46"/>
        <v/>
      </c>
      <c r="Z71" s="11" t="str">
        <f t="shared" ca="1" si="47"/>
        <v/>
      </c>
      <c r="AA71" s="11" t="str">
        <f t="shared" ca="1" si="48"/>
        <v/>
      </c>
      <c r="AB71" s="47">
        <f ca="1">PlayerGameData[[#This Row],[3FGA]]+PlayerGameData[[#This Row],[2FGA]]</f>
        <v>0</v>
      </c>
      <c r="AC71" s="47">
        <f ca="1">PlayerGameData[[#This Row],[OFF REB]]+PlayerGameData[[#This Row],[DEF REB]]</f>
        <v>0</v>
      </c>
      <c r="AD71" s="8">
        <f t="shared" ref="AD71:AD134" si="60">INT((ROW(A71)-7)/24)+1</f>
        <v>3</v>
      </c>
      <c r="AE71" s="8" t="str">
        <f t="shared" ref="AE71:AE134" ca="1" si="61">CONCATENATE(A71," - ",C71," ",MONTH(D71),"/",DAY(D71),"/",YEAR(D71))</f>
        <v>,  - Sundance 1/0/1900</v>
      </c>
      <c r="AF71" s="8" t="str">
        <f t="shared" ca="1" si="49"/>
        <v/>
      </c>
      <c r="AG71" s="8" t="str">
        <f ca="1">IFERROR(IF(C71=0,"",IF(AND(VLOOKUP(PlayerGameData[[#This Row],[Opponent]],WYTeamInfo,2,FALSE)=Roster!$D$1,VLOOKUP(PlayerGameData[[#This Row],[Opponent]],WYTeamInfo,3,FALSE)=Roster!$D$2),"SR","")),"")</f>
        <v/>
      </c>
      <c r="AH71" s="8" t="str">
        <f>CONCATENATE(Roster!$D$1," ",Roster!$D$5)</f>
        <v>1A BB</v>
      </c>
      <c r="AI71" s="8" t="str">
        <f t="shared" ref="AI71:AI134" ca="1" si="62">IF($C71&lt;&gt;0,CONCATENATE($B71," - ",$C71," ",MONTH($D71),"/",DAY($D71),"/",YEAR($D71)),"Blank")</f>
        <v>Upton - Sundance 1/0/1900</v>
      </c>
      <c r="AJ71" s="8">
        <f ca="1">IFERROR(VLOOKUP(PlayerGameData[[#This Row],[School, Opponent,Game'#]],Table3[],2,FALSE),0)</f>
        <v>1</v>
      </c>
      <c r="AK71" s="8">
        <f ca="1">IF(PlayerGameData[[#This Row],[Visible]]=1,1,1000)</f>
        <v>1</v>
      </c>
      <c r="AL71" s="8">
        <f ca="1">RANK(PlayerGameData[[#This Row],[TL PTS]],PlayerGameData[TL PTS],0)+PlayerGameData[[#This Row],[VisibleOrder]]</f>
        <v>185</v>
      </c>
      <c r="AM71" s="8">
        <f ca="1">IF(COUNTIF(PlayerGameData[PointOrder],PlayerGameData[[#This Row],[PointOrder]])&gt;1,RANK(PlayerGameData[[#This Row],[FGA]],PlayerGameData[FGA],0)/100,0)+PlayerGameData[[#This Row],[PointOrder]]</f>
        <v>187.14</v>
      </c>
      <c r="AN71" s="8">
        <f ca="1">RANK(PlayerGameData[[#This Row],[PointTieBreak]],PlayerGameData[PointTieBreak],1)</f>
        <v>216</v>
      </c>
      <c r="AO71" s="8">
        <f ca="1">RANK(PlayerGameData[[#This Row],[REB]],PlayerGameData[REB],0)+PlayerGameData[[#This Row],[VisibleOrder]]</f>
        <v>192</v>
      </c>
      <c r="AP71" s="8">
        <f ca="1">IF(COUNTIF(PlayerGameData[REBOrder],PlayerGameData[[#This Row],[REBOrder]])&gt;1,PlayerGameData[[#This Row],[PointRank]]/100+PlayerGameData[[#This Row],[REBOrder]],PlayerGameData[[#This Row],[REBOrder]])</f>
        <v>194.16</v>
      </c>
      <c r="AQ71" s="8">
        <f ca="1">RANK(PlayerGameData[[#This Row],[REBTieBreak]],PlayerGameData[REBTieBreak],1)</f>
        <v>224</v>
      </c>
      <c r="AR71" s="8">
        <f ca="1">RANK(PlayerGameData[[#This Row],[AST]],PlayerGameData[AST],0)+PlayerGameData[[#This Row],[VisibleOrder]]</f>
        <v>158</v>
      </c>
      <c r="AS71" s="8">
        <f ca="1">IF(COUNTIF(PlayerGameData[ASTOrder],PlayerGameData[[#This Row],[ASTOrder]])&gt;1,PlayerGameData[[#This Row],[PointRank]]/100+PlayerGameData[[#This Row],[ASTOrder]],PlayerGameData[[#This Row],[ASTOrder]])</f>
        <v>160.16</v>
      </c>
      <c r="AT71" s="8">
        <f ca="1">RANK(PlayerGameData[[#This Row],[ASTTieBreak]],PlayerGameData[ASTTieBreak],1)</f>
        <v>221</v>
      </c>
      <c r="AU71" s="8">
        <f ca="1">RANK(PlayerGameData[[#This Row],[STL]],PlayerGameData[STL],0)+PlayerGameData[[#This Row],[VisibleOrder]]</f>
        <v>143</v>
      </c>
      <c r="AV71" s="8">
        <f ca="1">IF(COUNTIF(PlayerGameData[STLOrder],PlayerGameData[[#This Row],[STLOrder]])&gt;1,PlayerGameData[[#This Row],[PointRank]]/100+PlayerGameData[[#This Row],[STLOrder]],PlayerGameData[[#This Row],[STLOrder]])</f>
        <v>145.16</v>
      </c>
      <c r="AW71" s="8">
        <f ca="1">RANK(PlayerGameData[[#This Row],[STLTieBreak]],PlayerGameData[STLTieBreak],1)</f>
        <v>217</v>
      </c>
      <c r="AX71" s="8">
        <f ca="1">RANK(PlayerGameData[[#This Row],[BLK]],PlayerGameData[BLK],0)+PlayerGameData[[#This Row],[VisibleOrder]]</f>
        <v>32</v>
      </c>
      <c r="AY71" s="8">
        <f ca="1">IF(COUNTIF(PlayerGameData[BLKOrder],PlayerGameData[[#This Row],[BLKOrder]])&gt;1,PlayerGameData[[#This Row],[PointRank]]/100+PlayerGameData[[#This Row],[BLKOrder]],PlayerGameData[[#This Row],[BLKOrder]])</f>
        <v>34.159999999999997</v>
      </c>
      <c r="AZ71" s="8">
        <f ca="1">RANK(PlayerGameData[[#This Row],[BLKTieBreak]],PlayerGameData[BLKTieBreak],1)</f>
        <v>216</v>
      </c>
      <c r="BA71" s="11">
        <f ca="1">IFERROR(IF(PlayerGameData[[#This Row],[FGA]]&gt;$AA$5,PlayerGameData[[#This Row],[FG%*]],PlayerGameData[[#This Row],[FG%*]]*-1),-2)</f>
        <v>-2</v>
      </c>
      <c r="BB71" s="8">
        <f ca="1">RANK(PlayerGameData[[#This Row],[EligFG]],PlayerGameData[EligFG],0)+PlayerGameData[[#This Row],[VisibleOrder]]</f>
        <v>215</v>
      </c>
      <c r="BC71" s="8">
        <f ca="1">IF(COUNTIF(PlayerGameData[EligFGOrder],PlayerGameData[[#This Row],[EligFGOrder]])&gt;1,PlayerGameData[[#This Row],[PointRank]]/100+PlayerGameData[[#This Row],[EligFGOrder]],PlayerGameData[[#This Row],[EligFGOrder]])</f>
        <v>217.16</v>
      </c>
      <c r="BD71" s="8">
        <f ca="1">RANK(PlayerGameData[[#This Row],[EligFGTieBreak]],PlayerGameData[EligFGTieBreak],1)</f>
        <v>216</v>
      </c>
      <c r="BE71" s="8" t="str">
        <f>Roster!$D$3</f>
        <v>East</v>
      </c>
      <c r="BF71" s="8" t="str">
        <f>Roster!$D$2</f>
        <v>Northeast</v>
      </c>
      <c r="BG71" s="8" t="str">
        <f>Roster!$D$4</f>
        <v>North</v>
      </c>
      <c r="BH71" s="197">
        <f ca="1">IFERROR(VLOOKUP(CONCATENATE(PlayerGameData[[#This Row],[Opponent]]," ",MONTH(PlayerGameData[[#This Row],[Date]]),"/",DAY(PlayerGameData[[#This Row],[Date]]),"/",YEAR(PlayerGameData[[#This Row],[Date]])),Table35[],2,FALSE),0)</f>
        <v>1</v>
      </c>
      <c r="BI71" s="197">
        <f ca="1">IF(PlayerGameData[[#This Row],[Visible]]=1,1,1000)</f>
        <v>1</v>
      </c>
      <c r="BJ71" s="197" t="e">
        <f ca="1">_xlfn.MAXIFS(TeamGameData[Win],TeamGameData[School, Opponent,Game'#],PlayerGameData[[#This Row],[School, Opponent,Game'#]])</f>
        <v>#NAME?</v>
      </c>
      <c r="BK71" s="197" t="e">
        <f ca="1">_xlfn.MAXIFS(TeamGameData[Loss],TeamGameData[School, Opponent,Game'#],PlayerGameData[[#This Row],[School, Opponent,Game'#]])</f>
        <v>#NAME?</v>
      </c>
    </row>
    <row r="72" spans="1:63" x14ac:dyDescent="0.25">
      <c r="A72" s="8" t="str">
        <f t="shared" ref="A72:A135" ca="1" si="63">CONCATENATE(INDIRECT("Roster!B"&amp;ROW(A$7)+MOD(ROW(A72)-7,24)),", ",INDIRECT("Roster!a"&amp;ROW(A$7)+MOD(ROW(A72)-7,24)))</f>
        <v xml:space="preserve">, </v>
      </c>
      <c r="B72" s="8" t="str">
        <f>Roster!$B$1</f>
        <v>Upton</v>
      </c>
      <c r="C72" s="8" t="str">
        <f t="shared" ca="1" si="51"/>
        <v>Sundance</v>
      </c>
      <c r="D72" s="10">
        <f t="shared" ca="1" si="52"/>
        <v>0</v>
      </c>
      <c r="E72" s="8">
        <f t="shared" ca="1" si="53"/>
        <v>0</v>
      </c>
      <c r="F72" s="8">
        <f t="shared" ca="1" si="54"/>
        <v>0</v>
      </c>
      <c r="G72" s="8">
        <f t="shared" ca="1" si="55"/>
        <v>0</v>
      </c>
      <c r="H72" s="8">
        <f t="shared" ca="1" si="56"/>
        <v>0</v>
      </c>
      <c r="I72" s="8">
        <f t="shared" ca="1" si="57"/>
        <v>0</v>
      </c>
      <c r="J72" s="8">
        <f t="shared" ca="1" si="58"/>
        <v>0</v>
      </c>
      <c r="K72" s="8">
        <f t="shared" ca="1" si="59"/>
        <v>0</v>
      </c>
      <c r="L72" s="8">
        <f t="shared" ref="L72:L135" ca="1" si="64">INDIRECT("'game1 ("&amp;$AD72&amp;")'!"&amp;ADDRESS(ROW(G$7)+MOD(ROW(G72)-7,24),COLUMN(J72)))</f>
        <v>0</v>
      </c>
      <c r="M72" s="8">
        <f t="shared" ref="M72:M135" ca="1" si="65">INDIRECT("'game1 ("&amp;$AD72&amp;")'!"&amp;ADDRESS(ROW(H$7)+MOD(ROW(H72)-7,24),COLUMN(K72)))</f>
        <v>0</v>
      </c>
      <c r="N72" s="8">
        <f t="shared" ref="N72:N135" ca="1" si="66">INDIRECT("'game1 ("&amp;$AD72&amp;")'!"&amp;ADDRESS(ROW(I$7)+MOD(ROW(I72)-7,24),COLUMN(L72)))</f>
        <v>0</v>
      </c>
      <c r="O72" s="8">
        <f t="shared" ref="O72:O135" ca="1" si="67">INDIRECT("'game1 ("&amp;$AD72&amp;")'!"&amp;ADDRESS(ROW(J$7)+MOD(ROW(J72)-7,24),COLUMN(M72)))</f>
        <v>0</v>
      </c>
      <c r="P72" s="8">
        <f t="shared" ref="P72:P135" ca="1" si="68">INDIRECT("'game1 ("&amp;$AD72&amp;")'!"&amp;ADDRESS(ROW(K$7)+MOD(ROW(K72)-7,24),COLUMN(N72)))</f>
        <v>0</v>
      </c>
      <c r="Q72" s="8">
        <f t="shared" ref="Q72:Q135" ca="1" si="69">INDIRECT("'game1 ("&amp;$AD72&amp;")'!"&amp;ADDRESS(ROW(L$7)+MOD(ROW(L72)-7,24),COLUMN(O72)))</f>
        <v>0</v>
      </c>
      <c r="R72" s="8">
        <f t="shared" ref="R72:R135" ca="1" si="70">INDIRECT("'game1 ("&amp;$AD72&amp;")'!"&amp;ADDRESS(ROW(M$7)+MOD(ROW(M72)-7,24),COLUMN(P72)))</f>
        <v>0</v>
      </c>
      <c r="S72" s="8">
        <f t="shared" ref="S72:S135" ca="1" si="71">INDIRECT("'game1 ("&amp;$AD72&amp;")'!"&amp;ADDRESS(ROW(N$7)+MOD(ROW(N72)-7,24),COLUMN(Q72)))</f>
        <v>0</v>
      </c>
      <c r="T72" s="8">
        <f t="shared" ref="T72:T135" ca="1" si="72">INDIRECT("'game1 ("&amp;$AD72&amp;")'!"&amp;ADDRESS(ROW(O$7)+MOD(ROW(O72)-7,24),COLUMN(R72)))</f>
        <v>0</v>
      </c>
      <c r="U72" s="8">
        <f t="shared" ref="U72:U135" ca="1" si="73">INDIRECT("'game1 ("&amp;$AD72&amp;")'!"&amp;ADDRESS(ROW(P$7)+MOD(ROW(P72)-7,24),COLUMN(S72)))</f>
        <v>0</v>
      </c>
      <c r="V72" s="8">
        <f t="shared" ref="V72:V135" ca="1" si="74">INDIRECT("'game1 ("&amp;$AD72&amp;")'!"&amp;ADDRESS(ROW(Q$7)+MOD(ROW(Q72)-7,24),COLUMN(T72)))</f>
        <v>0</v>
      </c>
      <c r="W72" s="11" t="str">
        <f t="shared" ref="W72:W135" ca="1" si="75">INDIRECT("'game1 ("&amp;$AD72&amp;")'!"&amp;ADDRESS(ROW(R$7)+MOD(ROW(R72)-7,24),COLUMN(U72)))</f>
        <v/>
      </c>
      <c r="X72" s="11" t="str">
        <f t="shared" ref="X72:X135" ca="1" si="76">INDIRECT("'game1 ("&amp;$AD72&amp;")'!"&amp;ADDRESS(ROW(S$7)+MOD(ROW(S72)-7,24),COLUMN(V72)))</f>
        <v/>
      </c>
      <c r="Y72" s="11" t="str">
        <f t="shared" ref="Y72:Y135" ca="1" si="77">INDIRECT("'game1 ("&amp;$AD72&amp;")'!"&amp;ADDRESS(ROW(T$7)+MOD(ROW(T72)-7,24),COLUMN(W72)))</f>
        <v/>
      </c>
      <c r="Z72" s="11" t="str">
        <f t="shared" ref="Z72:Z135" ca="1" si="78">INDIRECT("'game1 ("&amp;$AD72&amp;")'!"&amp;ADDRESS(ROW(U$7)+MOD(ROW(U72)-7,24),COLUMN(X72)))</f>
        <v/>
      </c>
      <c r="AA72" s="11" t="str">
        <f t="shared" ref="AA72:AA135" ca="1" si="79">INDIRECT("'game1 ("&amp;$AD72&amp;")'!"&amp;ADDRESS(ROW(V$7)+MOD(ROW(V72)-7,24),COLUMN(Y72)))</f>
        <v/>
      </c>
      <c r="AB72" s="47">
        <f ca="1">PlayerGameData[[#This Row],[3FGA]]+PlayerGameData[[#This Row],[2FGA]]</f>
        <v>0</v>
      </c>
      <c r="AC72" s="47">
        <f ca="1">PlayerGameData[[#This Row],[OFF REB]]+PlayerGameData[[#This Row],[DEF REB]]</f>
        <v>0</v>
      </c>
      <c r="AD72" s="8">
        <f t="shared" si="60"/>
        <v>3</v>
      </c>
      <c r="AE72" s="8" t="str">
        <f t="shared" ca="1" si="61"/>
        <v>,  - Sundance 1/0/1900</v>
      </c>
      <c r="AF72" s="8" t="str">
        <f t="shared" ref="AF72:AF135" ca="1" si="80">IFERROR(INDIRECT("'game1 ("&amp;$AD72&amp;")'!$a$2"),"")</f>
        <v/>
      </c>
      <c r="AG72" s="8" t="str">
        <f ca="1">IFERROR(IF(C72=0,"",IF(AND(VLOOKUP(PlayerGameData[[#This Row],[Opponent]],WYTeamInfo,2,FALSE)=Roster!$D$1,VLOOKUP(PlayerGameData[[#This Row],[Opponent]],WYTeamInfo,3,FALSE)=Roster!$D$2),"SR","")),"")</f>
        <v/>
      </c>
      <c r="AH72" s="8" t="str">
        <f>CONCATENATE(Roster!$D$1," ",Roster!$D$5)</f>
        <v>1A BB</v>
      </c>
      <c r="AI72" s="8" t="str">
        <f t="shared" ca="1" si="62"/>
        <v>Upton - Sundance 1/0/1900</v>
      </c>
      <c r="AJ72" s="8">
        <f ca="1">IFERROR(VLOOKUP(PlayerGameData[[#This Row],[School, Opponent,Game'#]],Table3[],2,FALSE),0)</f>
        <v>1</v>
      </c>
      <c r="AK72" s="8">
        <f ca="1">IF(PlayerGameData[[#This Row],[Visible]]=1,1,1000)</f>
        <v>1</v>
      </c>
      <c r="AL72" s="8">
        <f ca="1">RANK(PlayerGameData[[#This Row],[TL PTS]],PlayerGameData[TL PTS],0)+PlayerGameData[[#This Row],[VisibleOrder]]</f>
        <v>185</v>
      </c>
      <c r="AM72" s="8">
        <f ca="1">IF(COUNTIF(PlayerGameData[PointOrder],PlayerGameData[[#This Row],[PointOrder]])&gt;1,RANK(PlayerGameData[[#This Row],[FGA]],PlayerGameData[FGA],0)/100,0)+PlayerGameData[[#This Row],[PointOrder]]</f>
        <v>187.14</v>
      </c>
      <c r="AN72" s="8">
        <f ca="1">RANK(PlayerGameData[[#This Row],[PointTieBreak]],PlayerGameData[PointTieBreak],1)</f>
        <v>216</v>
      </c>
      <c r="AO72" s="8">
        <f ca="1">RANK(PlayerGameData[[#This Row],[REB]],PlayerGameData[REB],0)+PlayerGameData[[#This Row],[VisibleOrder]]</f>
        <v>192</v>
      </c>
      <c r="AP72" s="8">
        <f ca="1">IF(COUNTIF(PlayerGameData[REBOrder],PlayerGameData[[#This Row],[REBOrder]])&gt;1,PlayerGameData[[#This Row],[PointRank]]/100+PlayerGameData[[#This Row],[REBOrder]],PlayerGameData[[#This Row],[REBOrder]])</f>
        <v>194.16</v>
      </c>
      <c r="AQ72" s="8">
        <f ca="1">RANK(PlayerGameData[[#This Row],[REBTieBreak]],PlayerGameData[REBTieBreak],1)</f>
        <v>224</v>
      </c>
      <c r="AR72" s="8">
        <f ca="1">RANK(PlayerGameData[[#This Row],[AST]],PlayerGameData[AST],0)+PlayerGameData[[#This Row],[VisibleOrder]]</f>
        <v>158</v>
      </c>
      <c r="AS72" s="8">
        <f ca="1">IF(COUNTIF(PlayerGameData[ASTOrder],PlayerGameData[[#This Row],[ASTOrder]])&gt;1,PlayerGameData[[#This Row],[PointRank]]/100+PlayerGameData[[#This Row],[ASTOrder]],PlayerGameData[[#This Row],[ASTOrder]])</f>
        <v>160.16</v>
      </c>
      <c r="AT72" s="8">
        <f ca="1">RANK(PlayerGameData[[#This Row],[ASTTieBreak]],PlayerGameData[ASTTieBreak],1)</f>
        <v>221</v>
      </c>
      <c r="AU72" s="8">
        <f ca="1">RANK(PlayerGameData[[#This Row],[STL]],PlayerGameData[STL],0)+PlayerGameData[[#This Row],[VisibleOrder]]</f>
        <v>143</v>
      </c>
      <c r="AV72" s="8">
        <f ca="1">IF(COUNTIF(PlayerGameData[STLOrder],PlayerGameData[[#This Row],[STLOrder]])&gt;1,PlayerGameData[[#This Row],[PointRank]]/100+PlayerGameData[[#This Row],[STLOrder]],PlayerGameData[[#This Row],[STLOrder]])</f>
        <v>145.16</v>
      </c>
      <c r="AW72" s="8">
        <f ca="1">RANK(PlayerGameData[[#This Row],[STLTieBreak]],PlayerGameData[STLTieBreak],1)</f>
        <v>217</v>
      </c>
      <c r="AX72" s="8">
        <f ca="1">RANK(PlayerGameData[[#This Row],[BLK]],PlayerGameData[BLK],0)+PlayerGameData[[#This Row],[VisibleOrder]]</f>
        <v>32</v>
      </c>
      <c r="AY72" s="8">
        <f ca="1">IF(COUNTIF(PlayerGameData[BLKOrder],PlayerGameData[[#This Row],[BLKOrder]])&gt;1,PlayerGameData[[#This Row],[PointRank]]/100+PlayerGameData[[#This Row],[BLKOrder]],PlayerGameData[[#This Row],[BLKOrder]])</f>
        <v>34.159999999999997</v>
      </c>
      <c r="AZ72" s="8">
        <f ca="1">RANK(PlayerGameData[[#This Row],[BLKTieBreak]],PlayerGameData[BLKTieBreak],1)</f>
        <v>216</v>
      </c>
      <c r="BA72" s="11">
        <f ca="1">IFERROR(IF(PlayerGameData[[#This Row],[FGA]]&gt;$AA$5,PlayerGameData[[#This Row],[FG%*]],PlayerGameData[[#This Row],[FG%*]]*-1),-2)</f>
        <v>-2</v>
      </c>
      <c r="BB72" s="8">
        <f ca="1">RANK(PlayerGameData[[#This Row],[EligFG]],PlayerGameData[EligFG],0)+PlayerGameData[[#This Row],[VisibleOrder]]</f>
        <v>215</v>
      </c>
      <c r="BC72" s="8">
        <f ca="1">IF(COUNTIF(PlayerGameData[EligFGOrder],PlayerGameData[[#This Row],[EligFGOrder]])&gt;1,PlayerGameData[[#This Row],[PointRank]]/100+PlayerGameData[[#This Row],[EligFGOrder]],PlayerGameData[[#This Row],[EligFGOrder]])</f>
        <v>217.16</v>
      </c>
      <c r="BD72" s="8">
        <f ca="1">RANK(PlayerGameData[[#This Row],[EligFGTieBreak]],PlayerGameData[EligFGTieBreak],1)</f>
        <v>216</v>
      </c>
      <c r="BE72" s="8" t="str">
        <f>Roster!$D$3</f>
        <v>East</v>
      </c>
      <c r="BF72" s="8" t="str">
        <f>Roster!$D$2</f>
        <v>Northeast</v>
      </c>
      <c r="BG72" s="8" t="str">
        <f>Roster!$D$4</f>
        <v>North</v>
      </c>
      <c r="BH72" s="197">
        <f ca="1">IFERROR(VLOOKUP(CONCATENATE(PlayerGameData[[#This Row],[Opponent]]," ",MONTH(PlayerGameData[[#This Row],[Date]]),"/",DAY(PlayerGameData[[#This Row],[Date]]),"/",YEAR(PlayerGameData[[#This Row],[Date]])),Table35[],2,FALSE),0)</f>
        <v>1</v>
      </c>
      <c r="BI72" s="197">
        <f ca="1">IF(PlayerGameData[[#This Row],[Visible]]=1,1,1000)</f>
        <v>1</v>
      </c>
      <c r="BJ72" s="197" t="e">
        <f ca="1">_xlfn.MAXIFS(TeamGameData[Win],TeamGameData[School, Opponent,Game'#],PlayerGameData[[#This Row],[School, Opponent,Game'#]])</f>
        <v>#NAME?</v>
      </c>
      <c r="BK72" s="197" t="e">
        <f ca="1">_xlfn.MAXIFS(TeamGameData[Loss],TeamGameData[School, Opponent,Game'#],PlayerGameData[[#This Row],[School, Opponent,Game'#]])</f>
        <v>#NAME?</v>
      </c>
    </row>
    <row r="73" spans="1:63" x14ac:dyDescent="0.25">
      <c r="A73" s="8" t="str">
        <f t="shared" ca="1" si="63"/>
        <v xml:space="preserve">, </v>
      </c>
      <c r="B73" s="8" t="str">
        <f>Roster!$B$1</f>
        <v>Upton</v>
      </c>
      <c r="C73" s="8" t="str">
        <f t="shared" ca="1" si="51"/>
        <v>Sundance</v>
      </c>
      <c r="D73" s="10">
        <f t="shared" ca="1" si="52"/>
        <v>0</v>
      </c>
      <c r="E73" s="8">
        <f t="shared" ca="1" si="53"/>
        <v>0</v>
      </c>
      <c r="F73" s="8">
        <f t="shared" ca="1" si="54"/>
        <v>0</v>
      </c>
      <c r="G73" s="8">
        <f t="shared" ca="1" si="55"/>
        <v>0</v>
      </c>
      <c r="H73" s="8">
        <f t="shared" ca="1" si="56"/>
        <v>0</v>
      </c>
      <c r="I73" s="8">
        <f t="shared" ca="1" si="57"/>
        <v>0</v>
      </c>
      <c r="J73" s="8">
        <f t="shared" ca="1" si="58"/>
        <v>0</v>
      </c>
      <c r="K73" s="8">
        <f t="shared" ca="1" si="59"/>
        <v>0</v>
      </c>
      <c r="L73" s="8">
        <f t="shared" ca="1" si="64"/>
        <v>0</v>
      </c>
      <c r="M73" s="8">
        <f t="shared" ca="1" si="65"/>
        <v>0</v>
      </c>
      <c r="N73" s="8">
        <f t="shared" ca="1" si="66"/>
        <v>0</v>
      </c>
      <c r="O73" s="8">
        <f t="shared" ca="1" si="67"/>
        <v>0</v>
      </c>
      <c r="P73" s="8">
        <f t="shared" ca="1" si="68"/>
        <v>0</v>
      </c>
      <c r="Q73" s="8">
        <f t="shared" ca="1" si="69"/>
        <v>0</v>
      </c>
      <c r="R73" s="8">
        <f t="shared" ca="1" si="70"/>
        <v>0</v>
      </c>
      <c r="S73" s="8">
        <f t="shared" ca="1" si="71"/>
        <v>0</v>
      </c>
      <c r="T73" s="8">
        <f t="shared" ca="1" si="72"/>
        <v>0</v>
      </c>
      <c r="U73" s="8">
        <f t="shared" ca="1" si="73"/>
        <v>0</v>
      </c>
      <c r="V73" s="8">
        <f t="shared" ca="1" si="74"/>
        <v>0</v>
      </c>
      <c r="W73" s="11" t="str">
        <f t="shared" ca="1" si="75"/>
        <v/>
      </c>
      <c r="X73" s="11" t="str">
        <f t="shared" ca="1" si="76"/>
        <v/>
      </c>
      <c r="Y73" s="11" t="str">
        <f t="shared" ca="1" si="77"/>
        <v/>
      </c>
      <c r="Z73" s="11" t="str">
        <f t="shared" ca="1" si="78"/>
        <v/>
      </c>
      <c r="AA73" s="11" t="str">
        <f t="shared" ca="1" si="79"/>
        <v/>
      </c>
      <c r="AB73" s="47">
        <f ca="1">PlayerGameData[[#This Row],[3FGA]]+PlayerGameData[[#This Row],[2FGA]]</f>
        <v>0</v>
      </c>
      <c r="AC73" s="47">
        <f ca="1">PlayerGameData[[#This Row],[OFF REB]]+PlayerGameData[[#This Row],[DEF REB]]</f>
        <v>0</v>
      </c>
      <c r="AD73" s="8">
        <f t="shared" si="60"/>
        <v>3</v>
      </c>
      <c r="AE73" s="8" t="str">
        <f t="shared" ca="1" si="61"/>
        <v>,  - Sundance 1/0/1900</v>
      </c>
      <c r="AF73" s="8" t="str">
        <f t="shared" ca="1" si="80"/>
        <v/>
      </c>
      <c r="AG73" s="8" t="str">
        <f ca="1">IFERROR(IF(C73=0,"",IF(AND(VLOOKUP(PlayerGameData[[#This Row],[Opponent]],WYTeamInfo,2,FALSE)=Roster!$D$1,VLOOKUP(PlayerGameData[[#This Row],[Opponent]],WYTeamInfo,3,FALSE)=Roster!$D$2),"SR","")),"")</f>
        <v/>
      </c>
      <c r="AH73" s="8" t="str">
        <f>CONCATENATE(Roster!$D$1," ",Roster!$D$5)</f>
        <v>1A BB</v>
      </c>
      <c r="AI73" s="8" t="str">
        <f t="shared" ca="1" si="62"/>
        <v>Upton - Sundance 1/0/1900</v>
      </c>
      <c r="AJ73" s="8">
        <f ca="1">IFERROR(VLOOKUP(PlayerGameData[[#This Row],[School, Opponent,Game'#]],Table3[],2,FALSE),0)</f>
        <v>1</v>
      </c>
      <c r="AK73" s="8">
        <f ca="1">IF(PlayerGameData[[#This Row],[Visible]]=1,1,1000)</f>
        <v>1</v>
      </c>
      <c r="AL73" s="8">
        <f ca="1">RANK(PlayerGameData[[#This Row],[TL PTS]],PlayerGameData[TL PTS],0)+PlayerGameData[[#This Row],[VisibleOrder]]</f>
        <v>185</v>
      </c>
      <c r="AM73" s="8">
        <f ca="1">IF(COUNTIF(PlayerGameData[PointOrder],PlayerGameData[[#This Row],[PointOrder]])&gt;1,RANK(PlayerGameData[[#This Row],[FGA]],PlayerGameData[FGA],0)/100,0)+PlayerGameData[[#This Row],[PointOrder]]</f>
        <v>187.14</v>
      </c>
      <c r="AN73" s="8">
        <f ca="1">RANK(PlayerGameData[[#This Row],[PointTieBreak]],PlayerGameData[PointTieBreak],1)</f>
        <v>216</v>
      </c>
      <c r="AO73" s="8">
        <f ca="1">RANK(PlayerGameData[[#This Row],[REB]],PlayerGameData[REB],0)+PlayerGameData[[#This Row],[VisibleOrder]]</f>
        <v>192</v>
      </c>
      <c r="AP73" s="8">
        <f ca="1">IF(COUNTIF(PlayerGameData[REBOrder],PlayerGameData[[#This Row],[REBOrder]])&gt;1,PlayerGameData[[#This Row],[PointRank]]/100+PlayerGameData[[#This Row],[REBOrder]],PlayerGameData[[#This Row],[REBOrder]])</f>
        <v>194.16</v>
      </c>
      <c r="AQ73" s="8">
        <f ca="1">RANK(PlayerGameData[[#This Row],[REBTieBreak]],PlayerGameData[REBTieBreak],1)</f>
        <v>224</v>
      </c>
      <c r="AR73" s="8">
        <f ca="1">RANK(PlayerGameData[[#This Row],[AST]],PlayerGameData[AST],0)+PlayerGameData[[#This Row],[VisibleOrder]]</f>
        <v>158</v>
      </c>
      <c r="AS73" s="8">
        <f ca="1">IF(COUNTIF(PlayerGameData[ASTOrder],PlayerGameData[[#This Row],[ASTOrder]])&gt;1,PlayerGameData[[#This Row],[PointRank]]/100+PlayerGameData[[#This Row],[ASTOrder]],PlayerGameData[[#This Row],[ASTOrder]])</f>
        <v>160.16</v>
      </c>
      <c r="AT73" s="8">
        <f ca="1">RANK(PlayerGameData[[#This Row],[ASTTieBreak]],PlayerGameData[ASTTieBreak],1)</f>
        <v>221</v>
      </c>
      <c r="AU73" s="8">
        <f ca="1">RANK(PlayerGameData[[#This Row],[STL]],PlayerGameData[STL],0)+PlayerGameData[[#This Row],[VisibleOrder]]</f>
        <v>143</v>
      </c>
      <c r="AV73" s="8">
        <f ca="1">IF(COUNTIF(PlayerGameData[STLOrder],PlayerGameData[[#This Row],[STLOrder]])&gt;1,PlayerGameData[[#This Row],[PointRank]]/100+PlayerGameData[[#This Row],[STLOrder]],PlayerGameData[[#This Row],[STLOrder]])</f>
        <v>145.16</v>
      </c>
      <c r="AW73" s="8">
        <f ca="1">RANK(PlayerGameData[[#This Row],[STLTieBreak]],PlayerGameData[STLTieBreak],1)</f>
        <v>217</v>
      </c>
      <c r="AX73" s="8">
        <f ca="1">RANK(PlayerGameData[[#This Row],[BLK]],PlayerGameData[BLK],0)+PlayerGameData[[#This Row],[VisibleOrder]]</f>
        <v>32</v>
      </c>
      <c r="AY73" s="8">
        <f ca="1">IF(COUNTIF(PlayerGameData[BLKOrder],PlayerGameData[[#This Row],[BLKOrder]])&gt;1,PlayerGameData[[#This Row],[PointRank]]/100+PlayerGameData[[#This Row],[BLKOrder]],PlayerGameData[[#This Row],[BLKOrder]])</f>
        <v>34.159999999999997</v>
      </c>
      <c r="AZ73" s="8">
        <f ca="1">RANK(PlayerGameData[[#This Row],[BLKTieBreak]],PlayerGameData[BLKTieBreak],1)</f>
        <v>216</v>
      </c>
      <c r="BA73" s="11">
        <f ca="1">IFERROR(IF(PlayerGameData[[#This Row],[FGA]]&gt;$AA$5,PlayerGameData[[#This Row],[FG%*]],PlayerGameData[[#This Row],[FG%*]]*-1),-2)</f>
        <v>-2</v>
      </c>
      <c r="BB73" s="8">
        <f ca="1">RANK(PlayerGameData[[#This Row],[EligFG]],PlayerGameData[EligFG],0)+PlayerGameData[[#This Row],[VisibleOrder]]</f>
        <v>215</v>
      </c>
      <c r="BC73" s="8">
        <f ca="1">IF(COUNTIF(PlayerGameData[EligFGOrder],PlayerGameData[[#This Row],[EligFGOrder]])&gt;1,PlayerGameData[[#This Row],[PointRank]]/100+PlayerGameData[[#This Row],[EligFGOrder]],PlayerGameData[[#This Row],[EligFGOrder]])</f>
        <v>217.16</v>
      </c>
      <c r="BD73" s="8">
        <f ca="1">RANK(PlayerGameData[[#This Row],[EligFGTieBreak]],PlayerGameData[EligFGTieBreak],1)</f>
        <v>216</v>
      </c>
      <c r="BE73" s="8" t="str">
        <f>Roster!$D$3</f>
        <v>East</v>
      </c>
      <c r="BF73" s="8" t="str">
        <f>Roster!$D$2</f>
        <v>Northeast</v>
      </c>
      <c r="BG73" s="8" t="str">
        <f>Roster!$D$4</f>
        <v>North</v>
      </c>
      <c r="BH73" s="197">
        <f ca="1">IFERROR(VLOOKUP(CONCATENATE(PlayerGameData[[#This Row],[Opponent]]," ",MONTH(PlayerGameData[[#This Row],[Date]]),"/",DAY(PlayerGameData[[#This Row],[Date]]),"/",YEAR(PlayerGameData[[#This Row],[Date]])),Table35[],2,FALSE),0)</f>
        <v>1</v>
      </c>
      <c r="BI73" s="197">
        <f ca="1">IF(PlayerGameData[[#This Row],[Visible]]=1,1,1000)</f>
        <v>1</v>
      </c>
      <c r="BJ73" s="197" t="e">
        <f ca="1">_xlfn.MAXIFS(TeamGameData[Win],TeamGameData[School, Opponent,Game'#],PlayerGameData[[#This Row],[School, Opponent,Game'#]])</f>
        <v>#NAME?</v>
      </c>
      <c r="BK73" s="197" t="e">
        <f ca="1">_xlfn.MAXIFS(TeamGameData[Loss],TeamGameData[School, Opponent,Game'#],PlayerGameData[[#This Row],[School, Opponent,Game'#]])</f>
        <v>#NAME?</v>
      </c>
    </row>
    <row r="74" spans="1:63" x14ac:dyDescent="0.25">
      <c r="A74" s="8" t="str">
        <f t="shared" ca="1" si="63"/>
        <v xml:space="preserve">, </v>
      </c>
      <c r="B74" s="8" t="str">
        <f>Roster!$B$1</f>
        <v>Upton</v>
      </c>
      <c r="C74" s="8" t="str">
        <f t="shared" ca="1" si="51"/>
        <v>Sundance</v>
      </c>
      <c r="D74" s="10">
        <f t="shared" ca="1" si="52"/>
        <v>0</v>
      </c>
      <c r="E74" s="8">
        <f t="shared" ca="1" si="53"/>
        <v>0</v>
      </c>
      <c r="F74" s="8">
        <f t="shared" ca="1" si="54"/>
        <v>0</v>
      </c>
      <c r="G74" s="8">
        <f t="shared" ca="1" si="55"/>
        <v>0</v>
      </c>
      <c r="H74" s="8">
        <f t="shared" ca="1" si="56"/>
        <v>0</v>
      </c>
      <c r="I74" s="8">
        <f t="shared" ca="1" si="57"/>
        <v>0</v>
      </c>
      <c r="J74" s="8">
        <f t="shared" ca="1" si="58"/>
        <v>0</v>
      </c>
      <c r="K74" s="8">
        <f t="shared" ca="1" si="59"/>
        <v>0</v>
      </c>
      <c r="L74" s="8">
        <f t="shared" ca="1" si="64"/>
        <v>0</v>
      </c>
      <c r="M74" s="8">
        <f t="shared" ca="1" si="65"/>
        <v>0</v>
      </c>
      <c r="N74" s="8">
        <f t="shared" ca="1" si="66"/>
        <v>0</v>
      </c>
      <c r="O74" s="8">
        <f t="shared" ca="1" si="67"/>
        <v>0</v>
      </c>
      <c r="P74" s="8">
        <f t="shared" ca="1" si="68"/>
        <v>0</v>
      </c>
      <c r="Q74" s="8">
        <f t="shared" ca="1" si="69"/>
        <v>0</v>
      </c>
      <c r="R74" s="8">
        <f t="shared" ca="1" si="70"/>
        <v>0</v>
      </c>
      <c r="S74" s="8">
        <f t="shared" ca="1" si="71"/>
        <v>0</v>
      </c>
      <c r="T74" s="8">
        <f t="shared" ca="1" si="72"/>
        <v>0</v>
      </c>
      <c r="U74" s="8">
        <f t="shared" ca="1" si="73"/>
        <v>0</v>
      </c>
      <c r="V74" s="8">
        <f t="shared" ca="1" si="74"/>
        <v>0</v>
      </c>
      <c r="W74" s="11" t="str">
        <f t="shared" ca="1" si="75"/>
        <v/>
      </c>
      <c r="X74" s="11" t="str">
        <f t="shared" ca="1" si="76"/>
        <v/>
      </c>
      <c r="Y74" s="11" t="str">
        <f t="shared" ca="1" si="77"/>
        <v/>
      </c>
      <c r="Z74" s="11" t="str">
        <f t="shared" ca="1" si="78"/>
        <v/>
      </c>
      <c r="AA74" s="11" t="str">
        <f t="shared" ca="1" si="79"/>
        <v/>
      </c>
      <c r="AB74" s="47">
        <f ca="1">PlayerGameData[[#This Row],[3FGA]]+PlayerGameData[[#This Row],[2FGA]]</f>
        <v>0</v>
      </c>
      <c r="AC74" s="47">
        <f ca="1">PlayerGameData[[#This Row],[OFF REB]]+PlayerGameData[[#This Row],[DEF REB]]</f>
        <v>0</v>
      </c>
      <c r="AD74" s="8">
        <f t="shared" si="60"/>
        <v>3</v>
      </c>
      <c r="AE74" s="8" t="str">
        <f t="shared" ca="1" si="61"/>
        <v>,  - Sundance 1/0/1900</v>
      </c>
      <c r="AF74" s="8" t="str">
        <f t="shared" ca="1" si="80"/>
        <v/>
      </c>
      <c r="AG74" s="8" t="str">
        <f ca="1">IFERROR(IF(C74=0,"",IF(AND(VLOOKUP(PlayerGameData[[#This Row],[Opponent]],WYTeamInfo,2,FALSE)=Roster!$D$1,VLOOKUP(PlayerGameData[[#This Row],[Opponent]],WYTeamInfo,3,FALSE)=Roster!$D$2),"SR","")),"")</f>
        <v/>
      </c>
      <c r="AH74" s="8" t="str">
        <f>CONCATENATE(Roster!$D$1," ",Roster!$D$5)</f>
        <v>1A BB</v>
      </c>
      <c r="AI74" s="8" t="str">
        <f t="shared" ca="1" si="62"/>
        <v>Upton - Sundance 1/0/1900</v>
      </c>
      <c r="AJ74" s="8">
        <f ca="1">IFERROR(VLOOKUP(PlayerGameData[[#This Row],[School, Opponent,Game'#]],Table3[],2,FALSE),0)</f>
        <v>1</v>
      </c>
      <c r="AK74" s="8">
        <f ca="1">IF(PlayerGameData[[#This Row],[Visible]]=1,1,1000)</f>
        <v>1</v>
      </c>
      <c r="AL74" s="8">
        <f ca="1">RANK(PlayerGameData[[#This Row],[TL PTS]],PlayerGameData[TL PTS],0)+PlayerGameData[[#This Row],[VisibleOrder]]</f>
        <v>185</v>
      </c>
      <c r="AM74" s="8">
        <f ca="1">IF(COUNTIF(PlayerGameData[PointOrder],PlayerGameData[[#This Row],[PointOrder]])&gt;1,RANK(PlayerGameData[[#This Row],[FGA]],PlayerGameData[FGA],0)/100,0)+PlayerGameData[[#This Row],[PointOrder]]</f>
        <v>187.14</v>
      </c>
      <c r="AN74" s="8">
        <f ca="1">RANK(PlayerGameData[[#This Row],[PointTieBreak]],PlayerGameData[PointTieBreak],1)</f>
        <v>216</v>
      </c>
      <c r="AO74" s="8">
        <f ca="1">RANK(PlayerGameData[[#This Row],[REB]],PlayerGameData[REB],0)+PlayerGameData[[#This Row],[VisibleOrder]]</f>
        <v>192</v>
      </c>
      <c r="AP74" s="8">
        <f ca="1">IF(COUNTIF(PlayerGameData[REBOrder],PlayerGameData[[#This Row],[REBOrder]])&gt;1,PlayerGameData[[#This Row],[PointRank]]/100+PlayerGameData[[#This Row],[REBOrder]],PlayerGameData[[#This Row],[REBOrder]])</f>
        <v>194.16</v>
      </c>
      <c r="AQ74" s="8">
        <f ca="1">RANK(PlayerGameData[[#This Row],[REBTieBreak]],PlayerGameData[REBTieBreak],1)</f>
        <v>224</v>
      </c>
      <c r="AR74" s="8">
        <f ca="1">RANK(PlayerGameData[[#This Row],[AST]],PlayerGameData[AST],0)+PlayerGameData[[#This Row],[VisibleOrder]]</f>
        <v>158</v>
      </c>
      <c r="AS74" s="8">
        <f ca="1">IF(COUNTIF(PlayerGameData[ASTOrder],PlayerGameData[[#This Row],[ASTOrder]])&gt;1,PlayerGameData[[#This Row],[PointRank]]/100+PlayerGameData[[#This Row],[ASTOrder]],PlayerGameData[[#This Row],[ASTOrder]])</f>
        <v>160.16</v>
      </c>
      <c r="AT74" s="8">
        <f ca="1">RANK(PlayerGameData[[#This Row],[ASTTieBreak]],PlayerGameData[ASTTieBreak],1)</f>
        <v>221</v>
      </c>
      <c r="AU74" s="8">
        <f ca="1">RANK(PlayerGameData[[#This Row],[STL]],PlayerGameData[STL],0)+PlayerGameData[[#This Row],[VisibleOrder]]</f>
        <v>143</v>
      </c>
      <c r="AV74" s="8">
        <f ca="1">IF(COUNTIF(PlayerGameData[STLOrder],PlayerGameData[[#This Row],[STLOrder]])&gt;1,PlayerGameData[[#This Row],[PointRank]]/100+PlayerGameData[[#This Row],[STLOrder]],PlayerGameData[[#This Row],[STLOrder]])</f>
        <v>145.16</v>
      </c>
      <c r="AW74" s="8">
        <f ca="1">RANK(PlayerGameData[[#This Row],[STLTieBreak]],PlayerGameData[STLTieBreak],1)</f>
        <v>217</v>
      </c>
      <c r="AX74" s="8">
        <f ca="1">RANK(PlayerGameData[[#This Row],[BLK]],PlayerGameData[BLK],0)+PlayerGameData[[#This Row],[VisibleOrder]]</f>
        <v>32</v>
      </c>
      <c r="AY74" s="8">
        <f ca="1">IF(COUNTIF(PlayerGameData[BLKOrder],PlayerGameData[[#This Row],[BLKOrder]])&gt;1,PlayerGameData[[#This Row],[PointRank]]/100+PlayerGameData[[#This Row],[BLKOrder]],PlayerGameData[[#This Row],[BLKOrder]])</f>
        <v>34.159999999999997</v>
      </c>
      <c r="AZ74" s="8">
        <f ca="1">RANK(PlayerGameData[[#This Row],[BLKTieBreak]],PlayerGameData[BLKTieBreak],1)</f>
        <v>216</v>
      </c>
      <c r="BA74" s="11">
        <f ca="1">IFERROR(IF(PlayerGameData[[#This Row],[FGA]]&gt;$AA$5,PlayerGameData[[#This Row],[FG%*]],PlayerGameData[[#This Row],[FG%*]]*-1),-2)</f>
        <v>-2</v>
      </c>
      <c r="BB74" s="8">
        <f ca="1">RANK(PlayerGameData[[#This Row],[EligFG]],PlayerGameData[EligFG],0)+PlayerGameData[[#This Row],[VisibleOrder]]</f>
        <v>215</v>
      </c>
      <c r="BC74" s="8">
        <f ca="1">IF(COUNTIF(PlayerGameData[EligFGOrder],PlayerGameData[[#This Row],[EligFGOrder]])&gt;1,PlayerGameData[[#This Row],[PointRank]]/100+PlayerGameData[[#This Row],[EligFGOrder]],PlayerGameData[[#This Row],[EligFGOrder]])</f>
        <v>217.16</v>
      </c>
      <c r="BD74" s="8">
        <f ca="1">RANK(PlayerGameData[[#This Row],[EligFGTieBreak]],PlayerGameData[EligFGTieBreak],1)</f>
        <v>216</v>
      </c>
      <c r="BE74" s="8" t="str">
        <f>Roster!$D$3</f>
        <v>East</v>
      </c>
      <c r="BF74" s="8" t="str">
        <f>Roster!$D$2</f>
        <v>Northeast</v>
      </c>
      <c r="BG74" s="8" t="str">
        <f>Roster!$D$4</f>
        <v>North</v>
      </c>
      <c r="BH74" s="197">
        <f ca="1">IFERROR(VLOOKUP(CONCATENATE(PlayerGameData[[#This Row],[Opponent]]," ",MONTH(PlayerGameData[[#This Row],[Date]]),"/",DAY(PlayerGameData[[#This Row],[Date]]),"/",YEAR(PlayerGameData[[#This Row],[Date]])),Table35[],2,FALSE),0)</f>
        <v>1</v>
      </c>
      <c r="BI74" s="197">
        <f ca="1">IF(PlayerGameData[[#This Row],[Visible]]=1,1,1000)</f>
        <v>1</v>
      </c>
      <c r="BJ74" s="197" t="e">
        <f ca="1">_xlfn.MAXIFS(TeamGameData[Win],TeamGameData[School, Opponent,Game'#],PlayerGameData[[#This Row],[School, Opponent,Game'#]])</f>
        <v>#NAME?</v>
      </c>
      <c r="BK74" s="197" t="e">
        <f ca="1">_xlfn.MAXIFS(TeamGameData[Loss],TeamGameData[School, Opponent,Game'#],PlayerGameData[[#This Row],[School, Opponent,Game'#]])</f>
        <v>#NAME?</v>
      </c>
    </row>
    <row r="75" spans="1:63" x14ac:dyDescent="0.25">
      <c r="A75" s="8" t="str">
        <f t="shared" ca="1" si="63"/>
        <v xml:space="preserve">, </v>
      </c>
      <c r="B75" s="8" t="str">
        <f>Roster!$B$1</f>
        <v>Upton</v>
      </c>
      <c r="C75" s="8" t="str">
        <f t="shared" ca="1" si="51"/>
        <v>Sundance</v>
      </c>
      <c r="D75" s="10">
        <f t="shared" ca="1" si="52"/>
        <v>0</v>
      </c>
      <c r="E75" s="8">
        <f t="shared" ca="1" si="53"/>
        <v>0</v>
      </c>
      <c r="F75" s="8">
        <f t="shared" ca="1" si="54"/>
        <v>0</v>
      </c>
      <c r="G75" s="8">
        <f t="shared" ca="1" si="55"/>
        <v>0</v>
      </c>
      <c r="H75" s="8">
        <f t="shared" ca="1" si="56"/>
        <v>0</v>
      </c>
      <c r="I75" s="8">
        <f t="shared" ca="1" si="57"/>
        <v>0</v>
      </c>
      <c r="J75" s="8">
        <f t="shared" ca="1" si="58"/>
        <v>0</v>
      </c>
      <c r="K75" s="8">
        <f t="shared" ca="1" si="59"/>
        <v>0</v>
      </c>
      <c r="L75" s="8">
        <f t="shared" ca="1" si="64"/>
        <v>0</v>
      </c>
      <c r="M75" s="8">
        <f t="shared" ca="1" si="65"/>
        <v>0</v>
      </c>
      <c r="N75" s="8">
        <f t="shared" ca="1" si="66"/>
        <v>0</v>
      </c>
      <c r="O75" s="8">
        <f t="shared" ca="1" si="67"/>
        <v>0</v>
      </c>
      <c r="P75" s="8">
        <f t="shared" ca="1" si="68"/>
        <v>0</v>
      </c>
      <c r="Q75" s="8">
        <f t="shared" ca="1" si="69"/>
        <v>0</v>
      </c>
      <c r="R75" s="8">
        <f t="shared" ca="1" si="70"/>
        <v>0</v>
      </c>
      <c r="S75" s="8">
        <f t="shared" ca="1" si="71"/>
        <v>0</v>
      </c>
      <c r="T75" s="8">
        <f t="shared" ca="1" si="72"/>
        <v>0</v>
      </c>
      <c r="U75" s="8">
        <f t="shared" ca="1" si="73"/>
        <v>0</v>
      </c>
      <c r="V75" s="8">
        <f t="shared" ca="1" si="74"/>
        <v>0</v>
      </c>
      <c r="W75" s="11" t="str">
        <f t="shared" ca="1" si="75"/>
        <v/>
      </c>
      <c r="X75" s="11" t="str">
        <f t="shared" ca="1" si="76"/>
        <v/>
      </c>
      <c r="Y75" s="11" t="str">
        <f t="shared" ca="1" si="77"/>
        <v/>
      </c>
      <c r="Z75" s="11" t="str">
        <f t="shared" ca="1" si="78"/>
        <v/>
      </c>
      <c r="AA75" s="11" t="str">
        <f t="shared" ca="1" si="79"/>
        <v/>
      </c>
      <c r="AB75" s="47">
        <f ca="1">PlayerGameData[[#This Row],[3FGA]]+PlayerGameData[[#This Row],[2FGA]]</f>
        <v>0</v>
      </c>
      <c r="AC75" s="47">
        <f ca="1">PlayerGameData[[#This Row],[OFF REB]]+PlayerGameData[[#This Row],[DEF REB]]</f>
        <v>0</v>
      </c>
      <c r="AD75" s="8">
        <f t="shared" si="60"/>
        <v>3</v>
      </c>
      <c r="AE75" s="8" t="str">
        <f t="shared" ca="1" si="61"/>
        <v>,  - Sundance 1/0/1900</v>
      </c>
      <c r="AF75" s="8" t="str">
        <f t="shared" ca="1" si="80"/>
        <v/>
      </c>
      <c r="AG75" s="8" t="str">
        <f ca="1">IFERROR(IF(C75=0,"",IF(AND(VLOOKUP(PlayerGameData[[#This Row],[Opponent]],WYTeamInfo,2,FALSE)=Roster!$D$1,VLOOKUP(PlayerGameData[[#This Row],[Opponent]],WYTeamInfo,3,FALSE)=Roster!$D$2),"SR","")),"")</f>
        <v/>
      </c>
      <c r="AH75" s="8" t="str">
        <f>CONCATENATE(Roster!$D$1," ",Roster!$D$5)</f>
        <v>1A BB</v>
      </c>
      <c r="AI75" s="8" t="str">
        <f t="shared" ca="1" si="62"/>
        <v>Upton - Sundance 1/0/1900</v>
      </c>
      <c r="AJ75" s="8">
        <f ca="1">IFERROR(VLOOKUP(PlayerGameData[[#This Row],[School, Opponent,Game'#]],Table3[],2,FALSE),0)</f>
        <v>1</v>
      </c>
      <c r="AK75" s="8">
        <f ca="1">IF(PlayerGameData[[#This Row],[Visible]]=1,1,1000)</f>
        <v>1</v>
      </c>
      <c r="AL75" s="8">
        <f ca="1">RANK(PlayerGameData[[#This Row],[TL PTS]],PlayerGameData[TL PTS],0)+PlayerGameData[[#This Row],[VisibleOrder]]</f>
        <v>185</v>
      </c>
      <c r="AM75" s="8">
        <f ca="1">IF(COUNTIF(PlayerGameData[PointOrder],PlayerGameData[[#This Row],[PointOrder]])&gt;1,RANK(PlayerGameData[[#This Row],[FGA]],PlayerGameData[FGA],0)/100,0)+PlayerGameData[[#This Row],[PointOrder]]</f>
        <v>187.14</v>
      </c>
      <c r="AN75" s="8">
        <f ca="1">RANK(PlayerGameData[[#This Row],[PointTieBreak]],PlayerGameData[PointTieBreak],1)</f>
        <v>216</v>
      </c>
      <c r="AO75" s="8">
        <f ca="1">RANK(PlayerGameData[[#This Row],[REB]],PlayerGameData[REB],0)+PlayerGameData[[#This Row],[VisibleOrder]]</f>
        <v>192</v>
      </c>
      <c r="AP75" s="8">
        <f ca="1">IF(COUNTIF(PlayerGameData[REBOrder],PlayerGameData[[#This Row],[REBOrder]])&gt;1,PlayerGameData[[#This Row],[PointRank]]/100+PlayerGameData[[#This Row],[REBOrder]],PlayerGameData[[#This Row],[REBOrder]])</f>
        <v>194.16</v>
      </c>
      <c r="AQ75" s="8">
        <f ca="1">RANK(PlayerGameData[[#This Row],[REBTieBreak]],PlayerGameData[REBTieBreak],1)</f>
        <v>224</v>
      </c>
      <c r="AR75" s="8">
        <f ca="1">RANK(PlayerGameData[[#This Row],[AST]],PlayerGameData[AST],0)+PlayerGameData[[#This Row],[VisibleOrder]]</f>
        <v>158</v>
      </c>
      <c r="AS75" s="8">
        <f ca="1">IF(COUNTIF(PlayerGameData[ASTOrder],PlayerGameData[[#This Row],[ASTOrder]])&gt;1,PlayerGameData[[#This Row],[PointRank]]/100+PlayerGameData[[#This Row],[ASTOrder]],PlayerGameData[[#This Row],[ASTOrder]])</f>
        <v>160.16</v>
      </c>
      <c r="AT75" s="8">
        <f ca="1">RANK(PlayerGameData[[#This Row],[ASTTieBreak]],PlayerGameData[ASTTieBreak],1)</f>
        <v>221</v>
      </c>
      <c r="AU75" s="8">
        <f ca="1">RANK(PlayerGameData[[#This Row],[STL]],PlayerGameData[STL],0)+PlayerGameData[[#This Row],[VisibleOrder]]</f>
        <v>143</v>
      </c>
      <c r="AV75" s="8">
        <f ca="1">IF(COUNTIF(PlayerGameData[STLOrder],PlayerGameData[[#This Row],[STLOrder]])&gt;1,PlayerGameData[[#This Row],[PointRank]]/100+PlayerGameData[[#This Row],[STLOrder]],PlayerGameData[[#This Row],[STLOrder]])</f>
        <v>145.16</v>
      </c>
      <c r="AW75" s="8">
        <f ca="1">RANK(PlayerGameData[[#This Row],[STLTieBreak]],PlayerGameData[STLTieBreak],1)</f>
        <v>217</v>
      </c>
      <c r="AX75" s="8">
        <f ca="1">RANK(PlayerGameData[[#This Row],[BLK]],PlayerGameData[BLK],0)+PlayerGameData[[#This Row],[VisibleOrder]]</f>
        <v>32</v>
      </c>
      <c r="AY75" s="8">
        <f ca="1">IF(COUNTIF(PlayerGameData[BLKOrder],PlayerGameData[[#This Row],[BLKOrder]])&gt;1,PlayerGameData[[#This Row],[PointRank]]/100+PlayerGameData[[#This Row],[BLKOrder]],PlayerGameData[[#This Row],[BLKOrder]])</f>
        <v>34.159999999999997</v>
      </c>
      <c r="AZ75" s="8">
        <f ca="1">RANK(PlayerGameData[[#This Row],[BLKTieBreak]],PlayerGameData[BLKTieBreak],1)</f>
        <v>216</v>
      </c>
      <c r="BA75" s="11">
        <f ca="1">IFERROR(IF(PlayerGameData[[#This Row],[FGA]]&gt;$AA$5,PlayerGameData[[#This Row],[FG%*]],PlayerGameData[[#This Row],[FG%*]]*-1),-2)</f>
        <v>-2</v>
      </c>
      <c r="BB75" s="8">
        <f ca="1">RANK(PlayerGameData[[#This Row],[EligFG]],PlayerGameData[EligFG],0)+PlayerGameData[[#This Row],[VisibleOrder]]</f>
        <v>215</v>
      </c>
      <c r="BC75" s="8">
        <f ca="1">IF(COUNTIF(PlayerGameData[EligFGOrder],PlayerGameData[[#This Row],[EligFGOrder]])&gt;1,PlayerGameData[[#This Row],[PointRank]]/100+PlayerGameData[[#This Row],[EligFGOrder]],PlayerGameData[[#This Row],[EligFGOrder]])</f>
        <v>217.16</v>
      </c>
      <c r="BD75" s="8">
        <f ca="1">RANK(PlayerGameData[[#This Row],[EligFGTieBreak]],PlayerGameData[EligFGTieBreak],1)</f>
        <v>216</v>
      </c>
      <c r="BE75" s="8" t="str">
        <f>Roster!$D$3</f>
        <v>East</v>
      </c>
      <c r="BF75" s="8" t="str">
        <f>Roster!$D$2</f>
        <v>Northeast</v>
      </c>
      <c r="BG75" s="8" t="str">
        <f>Roster!$D$4</f>
        <v>North</v>
      </c>
      <c r="BH75" s="197">
        <f ca="1">IFERROR(VLOOKUP(CONCATENATE(PlayerGameData[[#This Row],[Opponent]]," ",MONTH(PlayerGameData[[#This Row],[Date]]),"/",DAY(PlayerGameData[[#This Row],[Date]]),"/",YEAR(PlayerGameData[[#This Row],[Date]])),Table35[],2,FALSE),0)</f>
        <v>1</v>
      </c>
      <c r="BI75" s="197">
        <f ca="1">IF(PlayerGameData[[#This Row],[Visible]]=1,1,1000)</f>
        <v>1</v>
      </c>
      <c r="BJ75" s="197" t="e">
        <f ca="1">_xlfn.MAXIFS(TeamGameData[Win],TeamGameData[School, Opponent,Game'#],PlayerGameData[[#This Row],[School, Opponent,Game'#]])</f>
        <v>#NAME?</v>
      </c>
      <c r="BK75" s="197" t="e">
        <f ca="1">_xlfn.MAXIFS(TeamGameData[Loss],TeamGameData[School, Opponent,Game'#],PlayerGameData[[#This Row],[School, Opponent,Game'#]])</f>
        <v>#NAME?</v>
      </c>
    </row>
    <row r="76" spans="1:63" x14ac:dyDescent="0.25">
      <c r="A76" s="8" t="str">
        <f t="shared" ca="1" si="63"/>
        <v xml:space="preserve">, </v>
      </c>
      <c r="B76" s="8" t="str">
        <f>Roster!$B$1</f>
        <v>Upton</v>
      </c>
      <c r="C76" s="8" t="str">
        <f t="shared" ca="1" si="51"/>
        <v>Sundance</v>
      </c>
      <c r="D76" s="10">
        <f t="shared" ca="1" si="52"/>
        <v>0</v>
      </c>
      <c r="E76" s="8">
        <f t="shared" ca="1" si="53"/>
        <v>0</v>
      </c>
      <c r="F76" s="8">
        <f t="shared" ca="1" si="54"/>
        <v>0</v>
      </c>
      <c r="G76" s="8">
        <f t="shared" ca="1" si="55"/>
        <v>0</v>
      </c>
      <c r="H76" s="8">
        <f t="shared" ca="1" si="56"/>
        <v>0</v>
      </c>
      <c r="I76" s="8">
        <f t="shared" ca="1" si="57"/>
        <v>0</v>
      </c>
      <c r="J76" s="8">
        <f t="shared" ca="1" si="58"/>
        <v>0</v>
      </c>
      <c r="K76" s="8">
        <f t="shared" ca="1" si="59"/>
        <v>0</v>
      </c>
      <c r="L76" s="8">
        <f t="shared" ca="1" si="64"/>
        <v>0</v>
      </c>
      <c r="M76" s="8">
        <f t="shared" ca="1" si="65"/>
        <v>0</v>
      </c>
      <c r="N76" s="8">
        <f t="shared" ca="1" si="66"/>
        <v>0</v>
      </c>
      <c r="O76" s="8">
        <f t="shared" ca="1" si="67"/>
        <v>0</v>
      </c>
      <c r="P76" s="8">
        <f t="shared" ca="1" si="68"/>
        <v>0</v>
      </c>
      <c r="Q76" s="8">
        <f t="shared" ca="1" si="69"/>
        <v>0</v>
      </c>
      <c r="R76" s="8">
        <f t="shared" ca="1" si="70"/>
        <v>0</v>
      </c>
      <c r="S76" s="8">
        <f t="shared" ca="1" si="71"/>
        <v>0</v>
      </c>
      <c r="T76" s="8">
        <f t="shared" ca="1" si="72"/>
        <v>0</v>
      </c>
      <c r="U76" s="8">
        <f t="shared" ca="1" si="73"/>
        <v>0</v>
      </c>
      <c r="V76" s="8">
        <f t="shared" ca="1" si="74"/>
        <v>0</v>
      </c>
      <c r="W76" s="11" t="str">
        <f t="shared" ca="1" si="75"/>
        <v/>
      </c>
      <c r="X76" s="11" t="str">
        <f t="shared" ca="1" si="76"/>
        <v/>
      </c>
      <c r="Y76" s="11" t="str">
        <f t="shared" ca="1" si="77"/>
        <v/>
      </c>
      <c r="Z76" s="11" t="str">
        <f t="shared" ca="1" si="78"/>
        <v/>
      </c>
      <c r="AA76" s="11" t="str">
        <f t="shared" ca="1" si="79"/>
        <v/>
      </c>
      <c r="AB76" s="47">
        <f ca="1">PlayerGameData[[#This Row],[3FGA]]+PlayerGameData[[#This Row],[2FGA]]</f>
        <v>0</v>
      </c>
      <c r="AC76" s="47">
        <f ca="1">PlayerGameData[[#This Row],[OFF REB]]+PlayerGameData[[#This Row],[DEF REB]]</f>
        <v>0</v>
      </c>
      <c r="AD76" s="8">
        <f t="shared" si="60"/>
        <v>3</v>
      </c>
      <c r="AE76" s="8" t="str">
        <f t="shared" ca="1" si="61"/>
        <v>,  - Sundance 1/0/1900</v>
      </c>
      <c r="AF76" s="8" t="str">
        <f t="shared" ca="1" si="80"/>
        <v/>
      </c>
      <c r="AG76" s="8" t="str">
        <f ca="1">IFERROR(IF(C76=0,"",IF(AND(VLOOKUP(PlayerGameData[[#This Row],[Opponent]],WYTeamInfo,2,FALSE)=Roster!$D$1,VLOOKUP(PlayerGameData[[#This Row],[Opponent]],WYTeamInfo,3,FALSE)=Roster!$D$2),"SR","")),"")</f>
        <v/>
      </c>
      <c r="AH76" s="8" t="str">
        <f>CONCATENATE(Roster!$D$1," ",Roster!$D$5)</f>
        <v>1A BB</v>
      </c>
      <c r="AI76" s="8" t="str">
        <f t="shared" ca="1" si="62"/>
        <v>Upton - Sundance 1/0/1900</v>
      </c>
      <c r="AJ76" s="8">
        <f ca="1">IFERROR(VLOOKUP(PlayerGameData[[#This Row],[School, Opponent,Game'#]],Table3[],2,FALSE),0)</f>
        <v>1</v>
      </c>
      <c r="AK76" s="8">
        <f ca="1">IF(PlayerGameData[[#This Row],[Visible]]=1,1,1000)</f>
        <v>1</v>
      </c>
      <c r="AL76" s="8">
        <f ca="1">RANK(PlayerGameData[[#This Row],[TL PTS]],PlayerGameData[TL PTS],0)+PlayerGameData[[#This Row],[VisibleOrder]]</f>
        <v>185</v>
      </c>
      <c r="AM76" s="8">
        <f ca="1">IF(COUNTIF(PlayerGameData[PointOrder],PlayerGameData[[#This Row],[PointOrder]])&gt;1,RANK(PlayerGameData[[#This Row],[FGA]],PlayerGameData[FGA],0)/100,0)+PlayerGameData[[#This Row],[PointOrder]]</f>
        <v>187.14</v>
      </c>
      <c r="AN76" s="8">
        <f ca="1">RANK(PlayerGameData[[#This Row],[PointTieBreak]],PlayerGameData[PointTieBreak],1)</f>
        <v>216</v>
      </c>
      <c r="AO76" s="8">
        <f ca="1">RANK(PlayerGameData[[#This Row],[REB]],PlayerGameData[REB],0)+PlayerGameData[[#This Row],[VisibleOrder]]</f>
        <v>192</v>
      </c>
      <c r="AP76" s="8">
        <f ca="1">IF(COUNTIF(PlayerGameData[REBOrder],PlayerGameData[[#This Row],[REBOrder]])&gt;1,PlayerGameData[[#This Row],[PointRank]]/100+PlayerGameData[[#This Row],[REBOrder]],PlayerGameData[[#This Row],[REBOrder]])</f>
        <v>194.16</v>
      </c>
      <c r="AQ76" s="8">
        <f ca="1">RANK(PlayerGameData[[#This Row],[REBTieBreak]],PlayerGameData[REBTieBreak],1)</f>
        <v>224</v>
      </c>
      <c r="AR76" s="8">
        <f ca="1">RANK(PlayerGameData[[#This Row],[AST]],PlayerGameData[AST],0)+PlayerGameData[[#This Row],[VisibleOrder]]</f>
        <v>158</v>
      </c>
      <c r="AS76" s="8">
        <f ca="1">IF(COUNTIF(PlayerGameData[ASTOrder],PlayerGameData[[#This Row],[ASTOrder]])&gt;1,PlayerGameData[[#This Row],[PointRank]]/100+PlayerGameData[[#This Row],[ASTOrder]],PlayerGameData[[#This Row],[ASTOrder]])</f>
        <v>160.16</v>
      </c>
      <c r="AT76" s="8">
        <f ca="1">RANK(PlayerGameData[[#This Row],[ASTTieBreak]],PlayerGameData[ASTTieBreak],1)</f>
        <v>221</v>
      </c>
      <c r="AU76" s="8">
        <f ca="1">RANK(PlayerGameData[[#This Row],[STL]],PlayerGameData[STL],0)+PlayerGameData[[#This Row],[VisibleOrder]]</f>
        <v>143</v>
      </c>
      <c r="AV76" s="8">
        <f ca="1">IF(COUNTIF(PlayerGameData[STLOrder],PlayerGameData[[#This Row],[STLOrder]])&gt;1,PlayerGameData[[#This Row],[PointRank]]/100+PlayerGameData[[#This Row],[STLOrder]],PlayerGameData[[#This Row],[STLOrder]])</f>
        <v>145.16</v>
      </c>
      <c r="AW76" s="8">
        <f ca="1">RANK(PlayerGameData[[#This Row],[STLTieBreak]],PlayerGameData[STLTieBreak],1)</f>
        <v>217</v>
      </c>
      <c r="AX76" s="8">
        <f ca="1">RANK(PlayerGameData[[#This Row],[BLK]],PlayerGameData[BLK],0)+PlayerGameData[[#This Row],[VisibleOrder]]</f>
        <v>32</v>
      </c>
      <c r="AY76" s="8">
        <f ca="1">IF(COUNTIF(PlayerGameData[BLKOrder],PlayerGameData[[#This Row],[BLKOrder]])&gt;1,PlayerGameData[[#This Row],[PointRank]]/100+PlayerGameData[[#This Row],[BLKOrder]],PlayerGameData[[#This Row],[BLKOrder]])</f>
        <v>34.159999999999997</v>
      </c>
      <c r="AZ76" s="8">
        <f ca="1">RANK(PlayerGameData[[#This Row],[BLKTieBreak]],PlayerGameData[BLKTieBreak],1)</f>
        <v>216</v>
      </c>
      <c r="BA76" s="11">
        <f ca="1">IFERROR(IF(PlayerGameData[[#This Row],[FGA]]&gt;$AA$5,PlayerGameData[[#This Row],[FG%*]],PlayerGameData[[#This Row],[FG%*]]*-1),-2)</f>
        <v>-2</v>
      </c>
      <c r="BB76" s="8">
        <f ca="1">RANK(PlayerGameData[[#This Row],[EligFG]],PlayerGameData[EligFG],0)+PlayerGameData[[#This Row],[VisibleOrder]]</f>
        <v>215</v>
      </c>
      <c r="BC76" s="8">
        <f ca="1">IF(COUNTIF(PlayerGameData[EligFGOrder],PlayerGameData[[#This Row],[EligFGOrder]])&gt;1,PlayerGameData[[#This Row],[PointRank]]/100+PlayerGameData[[#This Row],[EligFGOrder]],PlayerGameData[[#This Row],[EligFGOrder]])</f>
        <v>217.16</v>
      </c>
      <c r="BD76" s="8">
        <f ca="1">RANK(PlayerGameData[[#This Row],[EligFGTieBreak]],PlayerGameData[EligFGTieBreak],1)</f>
        <v>216</v>
      </c>
      <c r="BE76" s="8" t="str">
        <f>Roster!$D$3</f>
        <v>East</v>
      </c>
      <c r="BF76" s="8" t="str">
        <f>Roster!$D$2</f>
        <v>Northeast</v>
      </c>
      <c r="BG76" s="8" t="str">
        <f>Roster!$D$4</f>
        <v>North</v>
      </c>
      <c r="BH76" s="197">
        <f ca="1">IFERROR(VLOOKUP(CONCATENATE(PlayerGameData[[#This Row],[Opponent]]," ",MONTH(PlayerGameData[[#This Row],[Date]]),"/",DAY(PlayerGameData[[#This Row],[Date]]),"/",YEAR(PlayerGameData[[#This Row],[Date]])),Table35[],2,FALSE),0)</f>
        <v>1</v>
      </c>
      <c r="BI76" s="197">
        <f ca="1">IF(PlayerGameData[[#This Row],[Visible]]=1,1,1000)</f>
        <v>1</v>
      </c>
      <c r="BJ76" s="197" t="e">
        <f ca="1">_xlfn.MAXIFS(TeamGameData[Win],TeamGameData[School, Opponent,Game'#],PlayerGameData[[#This Row],[School, Opponent,Game'#]])</f>
        <v>#NAME?</v>
      </c>
      <c r="BK76" s="197" t="e">
        <f ca="1">_xlfn.MAXIFS(TeamGameData[Loss],TeamGameData[School, Opponent,Game'#],PlayerGameData[[#This Row],[School, Opponent,Game'#]])</f>
        <v>#NAME?</v>
      </c>
    </row>
    <row r="77" spans="1:63" x14ac:dyDescent="0.25">
      <c r="A77" s="8" t="str">
        <f t="shared" ca="1" si="63"/>
        <v xml:space="preserve">, </v>
      </c>
      <c r="B77" s="8" t="str">
        <f>Roster!$B$1</f>
        <v>Upton</v>
      </c>
      <c r="C77" s="8" t="str">
        <f t="shared" ca="1" si="51"/>
        <v>Sundance</v>
      </c>
      <c r="D77" s="10">
        <f t="shared" ca="1" si="52"/>
        <v>0</v>
      </c>
      <c r="E77" s="8">
        <f t="shared" ca="1" si="53"/>
        <v>0</v>
      </c>
      <c r="F77" s="8">
        <f t="shared" ca="1" si="54"/>
        <v>0</v>
      </c>
      <c r="G77" s="8">
        <f t="shared" ca="1" si="55"/>
        <v>0</v>
      </c>
      <c r="H77" s="8">
        <f t="shared" ca="1" si="56"/>
        <v>0</v>
      </c>
      <c r="I77" s="8">
        <f t="shared" ca="1" si="57"/>
        <v>0</v>
      </c>
      <c r="J77" s="8">
        <f t="shared" ca="1" si="58"/>
        <v>0</v>
      </c>
      <c r="K77" s="8">
        <f t="shared" ca="1" si="59"/>
        <v>0</v>
      </c>
      <c r="L77" s="8">
        <f t="shared" ca="1" si="64"/>
        <v>0</v>
      </c>
      <c r="M77" s="8">
        <f t="shared" ca="1" si="65"/>
        <v>0</v>
      </c>
      <c r="N77" s="8">
        <f t="shared" ca="1" si="66"/>
        <v>0</v>
      </c>
      <c r="O77" s="8">
        <f t="shared" ca="1" si="67"/>
        <v>0</v>
      </c>
      <c r="P77" s="8">
        <f t="shared" ca="1" si="68"/>
        <v>0</v>
      </c>
      <c r="Q77" s="8">
        <f t="shared" ca="1" si="69"/>
        <v>0</v>
      </c>
      <c r="R77" s="8">
        <f t="shared" ca="1" si="70"/>
        <v>0</v>
      </c>
      <c r="S77" s="8">
        <f t="shared" ca="1" si="71"/>
        <v>0</v>
      </c>
      <c r="T77" s="8">
        <f t="shared" ca="1" si="72"/>
        <v>0</v>
      </c>
      <c r="U77" s="8">
        <f t="shared" ca="1" si="73"/>
        <v>0</v>
      </c>
      <c r="V77" s="8">
        <f t="shared" ca="1" si="74"/>
        <v>0</v>
      </c>
      <c r="W77" s="11" t="str">
        <f t="shared" ca="1" si="75"/>
        <v/>
      </c>
      <c r="X77" s="11" t="str">
        <f t="shared" ca="1" si="76"/>
        <v/>
      </c>
      <c r="Y77" s="11" t="str">
        <f t="shared" ca="1" si="77"/>
        <v/>
      </c>
      <c r="Z77" s="11" t="str">
        <f t="shared" ca="1" si="78"/>
        <v/>
      </c>
      <c r="AA77" s="11" t="str">
        <f t="shared" ca="1" si="79"/>
        <v/>
      </c>
      <c r="AB77" s="47">
        <f ca="1">PlayerGameData[[#This Row],[3FGA]]+PlayerGameData[[#This Row],[2FGA]]</f>
        <v>0</v>
      </c>
      <c r="AC77" s="47">
        <f ca="1">PlayerGameData[[#This Row],[OFF REB]]+PlayerGameData[[#This Row],[DEF REB]]</f>
        <v>0</v>
      </c>
      <c r="AD77" s="8">
        <f t="shared" si="60"/>
        <v>3</v>
      </c>
      <c r="AE77" s="8" t="str">
        <f t="shared" ca="1" si="61"/>
        <v>,  - Sundance 1/0/1900</v>
      </c>
      <c r="AF77" s="8" t="str">
        <f t="shared" ca="1" si="80"/>
        <v/>
      </c>
      <c r="AG77" s="8" t="str">
        <f ca="1">IFERROR(IF(C77=0,"",IF(AND(VLOOKUP(PlayerGameData[[#This Row],[Opponent]],WYTeamInfo,2,FALSE)=Roster!$D$1,VLOOKUP(PlayerGameData[[#This Row],[Opponent]],WYTeamInfo,3,FALSE)=Roster!$D$2),"SR","")),"")</f>
        <v/>
      </c>
      <c r="AH77" s="8" t="str">
        <f>CONCATENATE(Roster!$D$1," ",Roster!$D$5)</f>
        <v>1A BB</v>
      </c>
      <c r="AI77" s="8" t="str">
        <f t="shared" ca="1" si="62"/>
        <v>Upton - Sundance 1/0/1900</v>
      </c>
      <c r="AJ77" s="8">
        <f ca="1">IFERROR(VLOOKUP(PlayerGameData[[#This Row],[School, Opponent,Game'#]],Table3[],2,FALSE),0)</f>
        <v>1</v>
      </c>
      <c r="AK77" s="8">
        <f ca="1">IF(PlayerGameData[[#This Row],[Visible]]=1,1,1000)</f>
        <v>1</v>
      </c>
      <c r="AL77" s="8">
        <f ca="1">RANK(PlayerGameData[[#This Row],[TL PTS]],PlayerGameData[TL PTS],0)+PlayerGameData[[#This Row],[VisibleOrder]]</f>
        <v>185</v>
      </c>
      <c r="AM77" s="8">
        <f ca="1">IF(COUNTIF(PlayerGameData[PointOrder],PlayerGameData[[#This Row],[PointOrder]])&gt;1,RANK(PlayerGameData[[#This Row],[FGA]],PlayerGameData[FGA],0)/100,0)+PlayerGameData[[#This Row],[PointOrder]]</f>
        <v>187.14</v>
      </c>
      <c r="AN77" s="8">
        <f ca="1">RANK(PlayerGameData[[#This Row],[PointTieBreak]],PlayerGameData[PointTieBreak],1)</f>
        <v>216</v>
      </c>
      <c r="AO77" s="8">
        <f ca="1">RANK(PlayerGameData[[#This Row],[REB]],PlayerGameData[REB],0)+PlayerGameData[[#This Row],[VisibleOrder]]</f>
        <v>192</v>
      </c>
      <c r="AP77" s="8">
        <f ca="1">IF(COUNTIF(PlayerGameData[REBOrder],PlayerGameData[[#This Row],[REBOrder]])&gt;1,PlayerGameData[[#This Row],[PointRank]]/100+PlayerGameData[[#This Row],[REBOrder]],PlayerGameData[[#This Row],[REBOrder]])</f>
        <v>194.16</v>
      </c>
      <c r="AQ77" s="8">
        <f ca="1">RANK(PlayerGameData[[#This Row],[REBTieBreak]],PlayerGameData[REBTieBreak],1)</f>
        <v>224</v>
      </c>
      <c r="AR77" s="8">
        <f ca="1">RANK(PlayerGameData[[#This Row],[AST]],PlayerGameData[AST],0)+PlayerGameData[[#This Row],[VisibleOrder]]</f>
        <v>158</v>
      </c>
      <c r="AS77" s="8">
        <f ca="1">IF(COUNTIF(PlayerGameData[ASTOrder],PlayerGameData[[#This Row],[ASTOrder]])&gt;1,PlayerGameData[[#This Row],[PointRank]]/100+PlayerGameData[[#This Row],[ASTOrder]],PlayerGameData[[#This Row],[ASTOrder]])</f>
        <v>160.16</v>
      </c>
      <c r="AT77" s="8">
        <f ca="1">RANK(PlayerGameData[[#This Row],[ASTTieBreak]],PlayerGameData[ASTTieBreak],1)</f>
        <v>221</v>
      </c>
      <c r="AU77" s="8">
        <f ca="1">RANK(PlayerGameData[[#This Row],[STL]],PlayerGameData[STL],0)+PlayerGameData[[#This Row],[VisibleOrder]]</f>
        <v>143</v>
      </c>
      <c r="AV77" s="8">
        <f ca="1">IF(COUNTIF(PlayerGameData[STLOrder],PlayerGameData[[#This Row],[STLOrder]])&gt;1,PlayerGameData[[#This Row],[PointRank]]/100+PlayerGameData[[#This Row],[STLOrder]],PlayerGameData[[#This Row],[STLOrder]])</f>
        <v>145.16</v>
      </c>
      <c r="AW77" s="8">
        <f ca="1">RANK(PlayerGameData[[#This Row],[STLTieBreak]],PlayerGameData[STLTieBreak],1)</f>
        <v>217</v>
      </c>
      <c r="AX77" s="8">
        <f ca="1">RANK(PlayerGameData[[#This Row],[BLK]],PlayerGameData[BLK],0)+PlayerGameData[[#This Row],[VisibleOrder]]</f>
        <v>32</v>
      </c>
      <c r="AY77" s="8">
        <f ca="1">IF(COUNTIF(PlayerGameData[BLKOrder],PlayerGameData[[#This Row],[BLKOrder]])&gt;1,PlayerGameData[[#This Row],[PointRank]]/100+PlayerGameData[[#This Row],[BLKOrder]],PlayerGameData[[#This Row],[BLKOrder]])</f>
        <v>34.159999999999997</v>
      </c>
      <c r="AZ77" s="8">
        <f ca="1">RANK(PlayerGameData[[#This Row],[BLKTieBreak]],PlayerGameData[BLKTieBreak],1)</f>
        <v>216</v>
      </c>
      <c r="BA77" s="11">
        <f ca="1">IFERROR(IF(PlayerGameData[[#This Row],[FGA]]&gt;$AA$5,PlayerGameData[[#This Row],[FG%*]],PlayerGameData[[#This Row],[FG%*]]*-1),-2)</f>
        <v>-2</v>
      </c>
      <c r="BB77" s="8">
        <f ca="1">RANK(PlayerGameData[[#This Row],[EligFG]],PlayerGameData[EligFG],0)+PlayerGameData[[#This Row],[VisibleOrder]]</f>
        <v>215</v>
      </c>
      <c r="BC77" s="8">
        <f ca="1">IF(COUNTIF(PlayerGameData[EligFGOrder],PlayerGameData[[#This Row],[EligFGOrder]])&gt;1,PlayerGameData[[#This Row],[PointRank]]/100+PlayerGameData[[#This Row],[EligFGOrder]],PlayerGameData[[#This Row],[EligFGOrder]])</f>
        <v>217.16</v>
      </c>
      <c r="BD77" s="8">
        <f ca="1">RANK(PlayerGameData[[#This Row],[EligFGTieBreak]],PlayerGameData[EligFGTieBreak],1)</f>
        <v>216</v>
      </c>
      <c r="BE77" s="8" t="str">
        <f>Roster!$D$3</f>
        <v>East</v>
      </c>
      <c r="BF77" s="8" t="str">
        <f>Roster!$D$2</f>
        <v>Northeast</v>
      </c>
      <c r="BG77" s="8" t="str">
        <f>Roster!$D$4</f>
        <v>North</v>
      </c>
      <c r="BH77" s="197">
        <f ca="1">IFERROR(VLOOKUP(CONCATENATE(PlayerGameData[[#This Row],[Opponent]]," ",MONTH(PlayerGameData[[#This Row],[Date]]),"/",DAY(PlayerGameData[[#This Row],[Date]]),"/",YEAR(PlayerGameData[[#This Row],[Date]])),Table35[],2,FALSE),0)</f>
        <v>1</v>
      </c>
      <c r="BI77" s="197">
        <f ca="1">IF(PlayerGameData[[#This Row],[Visible]]=1,1,1000)</f>
        <v>1</v>
      </c>
      <c r="BJ77" s="197" t="e">
        <f ca="1">_xlfn.MAXIFS(TeamGameData[Win],TeamGameData[School, Opponent,Game'#],PlayerGameData[[#This Row],[School, Opponent,Game'#]])</f>
        <v>#NAME?</v>
      </c>
      <c r="BK77" s="197" t="e">
        <f ca="1">_xlfn.MAXIFS(TeamGameData[Loss],TeamGameData[School, Opponent,Game'#],PlayerGameData[[#This Row],[School, Opponent,Game'#]])</f>
        <v>#NAME?</v>
      </c>
    </row>
    <row r="78" spans="1:63" x14ac:dyDescent="0.25">
      <c r="A78" s="8" t="str">
        <f t="shared" ca="1" si="63"/>
        <v xml:space="preserve">Team, </v>
      </c>
      <c r="B78" s="8" t="str">
        <f>Roster!$B$1</f>
        <v>Upton</v>
      </c>
      <c r="C78" s="8" t="str">
        <f t="shared" ca="1" si="51"/>
        <v>Sundance</v>
      </c>
      <c r="D78" s="10">
        <f t="shared" ca="1" si="52"/>
        <v>0</v>
      </c>
      <c r="E78" s="8">
        <f t="shared" ca="1" si="53"/>
        <v>0</v>
      </c>
      <c r="F78" s="8">
        <f t="shared" ca="1" si="54"/>
        <v>0</v>
      </c>
      <c r="G78" s="8">
        <f t="shared" ca="1" si="55"/>
        <v>0</v>
      </c>
      <c r="H78" s="8">
        <f t="shared" ca="1" si="56"/>
        <v>0</v>
      </c>
      <c r="I78" s="8">
        <f t="shared" ca="1" si="57"/>
        <v>0</v>
      </c>
      <c r="J78" s="8">
        <f t="shared" ca="1" si="58"/>
        <v>0</v>
      </c>
      <c r="K78" s="8">
        <f t="shared" ca="1" si="59"/>
        <v>0</v>
      </c>
      <c r="L78" s="8">
        <f t="shared" ca="1" si="64"/>
        <v>0</v>
      </c>
      <c r="M78" s="8">
        <f t="shared" ca="1" si="65"/>
        <v>0</v>
      </c>
      <c r="N78" s="8">
        <f t="shared" ca="1" si="66"/>
        <v>0</v>
      </c>
      <c r="O78" s="8">
        <f t="shared" ca="1" si="67"/>
        <v>0</v>
      </c>
      <c r="P78" s="8">
        <f t="shared" ca="1" si="68"/>
        <v>0</v>
      </c>
      <c r="Q78" s="8">
        <f t="shared" ca="1" si="69"/>
        <v>0</v>
      </c>
      <c r="R78" s="8">
        <f t="shared" ca="1" si="70"/>
        <v>0</v>
      </c>
      <c r="S78" s="8">
        <f t="shared" ca="1" si="71"/>
        <v>0</v>
      </c>
      <c r="T78" s="8">
        <f t="shared" ca="1" si="72"/>
        <v>0</v>
      </c>
      <c r="U78" s="8">
        <f t="shared" ca="1" si="73"/>
        <v>0</v>
      </c>
      <c r="V78" s="8">
        <f t="shared" ca="1" si="74"/>
        <v>0</v>
      </c>
      <c r="W78" s="11" t="str">
        <f t="shared" ca="1" si="75"/>
        <v/>
      </c>
      <c r="X78" s="11" t="str">
        <f t="shared" ca="1" si="76"/>
        <v/>
      </c>
      <c r="Y78" s="11" t="str">
        <f t="shared" ca="1" si="77"/>
        <v/>
      </c>
      <c r="Z78" s="11" t="str">
        <f t="shared" ca="1" si="78"/>
        <v/>
      </c>
      <c r="AA78" s="11" t="str">
        <f t="shared" ca="1" si="79"/>
        <v/>
      </c>
      <c r="AB78" s="47">
        <f ca="1">PlayerGameData[[#This Row],[3FGA]]+PlayerGameData[[#This Row],[2FGA]]</f>
        <v>0</v>
      </c>
      <c r="AC78" s="47">
        <f ca="1">PlayerGameData[[#This Row],[OFF REB]]+PlayerGameData[[#This Row],[DEF REB]]</f>
        <v>0</v>
      </c>
      <c r="AD78" s="8">
        <f t="shared" si="60"/>
        <v>3</v>
      </c>
      <c r="AE78" s="8" t="str">
        <f t="shared" ca="1" si="61"/>
        <v>Team,  - Sundance 1/0/1900</v>
      </c>
      <c r="AF78" s="8" t="str">
        <f t="shared" ca="1" si="80"/>
        <v/>
      </c>
      <c r="AG78" s="8" t="str">
        <f ca="1">IFERROR(IF(C78=0,"",IF(AND(VLOOKUP(PlayerGameData[[#This Row],[Opponent]],WYTeamInfo,2,FALSE)=Roster!$D$1,VLOOKUP(PlayerGameData[[#This Row],[Opponent]],WYTeamInfo,3,FALSE)=Roster!$D$2),"SR","")),"")</f>
        <v/>
      </c>
      <c r="AH78" s="8" t="str">
        <f>CONCATENATE(Roster!$D$1," ",Roster!$D$5)</f>
        <v>1A BB</v>
      </c>
      <c r="AI78" s="8" t="str">
        <f t="shared" ca="1" si="62"/>
        <v>Upton - Sundance 1/0/1900</v>
      </c>
      <c r="AJ78" s="8">
        <f ca="1">IFERROR(VLOOKUP(PlayerGameData[[#This Row],[School, Opponent,Game'#]],Table3[],2,FALSE),0)</f>
        <v>1</v>
      </c>
      <c r="AK78" s="8">
        <f ca="1">IF(PlayerGameData[[#This Row],[Visible]]=1,1,1000)</f>
        <v>1</v>
      </c>
      <c r="AL78" s="8">
        <f ca="1">RANK(PlayerGameData[[#This Row],[TL PTS]],PlayerGameData[TL PTS],0)+PlayerGameData[[#This Row],[VisibleOrder]]</f>
        <v>185</v>
      </c>
      <c r="AM78" s="8">
        <f ca="1">IF(COUNTIF(PlayerGameData[PointOrder],PlayerGameData[[#This Row],[PointOrder]])&gt;1,RANK(PlayerGameData[[#This Row],[FGA]],PlayerGameData[FGA],0)/100,0)+PlayerGameData[[#This Row],[PointOrder]]</f>
        <v>187.14</v>
      </c>
      <c r="AN78" s="8">
        <f ca="1">RANK(PlayerGameData[[#This Row],[PointTieBreak]],PlayerGameData[PointTieBreak],1)</f>
        <v>216</v>
      </c>
      <c r="AO78" s="8">
        <f ca="1">RANK(PlayerGameData[[#This Row],[REB]],PlayerGameData[REB],0)+PlayerGameData[[#This Row],[VisibleOrder]]</f>
        <v>192</v>
      </c>
      <c r="AP78" s="8">
        <f ca="1">IF(COUNTIF(PlayerGameData[REBOrder],PlayerGameData[[#This Row],[REBOrder]])&gt;1,PlayerGameData[[#This Row],[PointRank]]/100+PlayerGameData[[#This Row],[REBOrder]],PlayerGameData[[#This Row],[REBOrder]])</f>
        <v>194.16</v>
      </c>
      <c r="AQ78" s="8">
        <f ca="1">RANK(PlayerGameData[[#This Row],[REBTieBreak]],PlayerGameData[REBTieBreak],1)</f>
        <v>224</v>
      </c>
      <c r="AR78" s="8">
        <f ca="1">RANK(PlayerGameData[[#This Row],[AST]],PlayerGameData[AST],0)+PlayerGameData[[#This Row],[VisibleOrder]]</f>
        <v>158</v>
      </c>
      <c r="AS78" s="8">
        <f ca="1">IF(COUNTIF(PlayerGameData[ASTOrder],PlayerGameData[[#This Row],[ASTOrder]])&gt;1,PlayerGameData[[#This Row],[PointRank]]/100+PlayerGameData[[#This Row],[ASTOrder]],PlayerGameData[[#This Row],[ASTOrder]])</f>
        <v>160.16</v>
      </c>
      <c r="AT78" s="8">
        <f ca="1">RANK(PlayerGameData[[#This Row],[ASTTieBreak]],PlayerGameData[ASTTieBreak],1)</f>
        <v>221</v>
      </c>
      <c r="AU78" s="8">
        <f ca="1">RANK(PlayerGameData[[#This Row],[STL]],PlayerGameData[STL],0)+PlayerGameData[[#This Row],[VisibleOrder]]</f>
        <v>143</v>
      </c>
      <c r="AV78" s="8">
        <f ca="1">IF(COUNTIF(PlayerGameData[STLOrder],PlayerGameData[[#This Row],[STLOrder]])&gt;1,PlayerGameData[[#This Row],[PointRank]]/100+PlayerGameData[[#This Row],[STLOrder]],PlayerGameData[[#This Row],[STLOrder]])</f>
        <v>145.16</v>
      </c>
      <c r="AW78" s="8">
        <f ca="1">RANK(PlayerGameData[[#This Row],[STLTieBreak]],PlayerGameData[STLTieBreak],1)</f>
        <v>217</v>
      </c>
      <c r="AX78" s="8">
        <f ca="1">RANK(PlayerGameData[[#This Row],[BLK]],PlayerGameData[BLK],0)+PlayerGameData[[#This Row],[VisibleOrder]]</f>
        <v>32</v>
      </c>
      <c r="AY78" s="8">
        <f ca="1">IF(COUNTIF(PlayerGameData[BLKOrder],PlayerGameData[[#This Row],[BLKOrder]])&gt;1,PlayerGameData[[#This Row],[PointRank]]/100+PlayerGameData[[#This Row],[BLKOrder]],PlayerGameData[[#This Row],[BLKOrder]])</f>
        <v>34.159999999999997</v>
      </c>
      <c r="AZ78" s="8">
        <f ca="1">RANK(PlayerGameData[[#This Row],[BLKTieBreak]],PlayerGameData[BLKTieBreak],1)</f>
        <v>216</v>
      </c>
      <c r="BA78" s="11">
        <f ca="1">IFERROR(IF(PlayerGameData[[#This Row],[FGA]]&gt;$AA$5,PlayerGameData[[#This Row],[FG%*]],PlayerGameData[[#This Row],[FG%*]]*-1),-2)</f>
        <v>-2</v>
      </c>
      <c r="BB78" s="8">
        <f ca="1">RANK(PlayerGameData[[#This Row],[EligFG]],PlayerGameData[EligFG],0)+PlayerGameData[[#This Row],[VisibleOrder]]</f>
        <v>215</v>
      </c>
      <c r="BC78" s="8">
        <f ca="1">IF(COUNTIF(PlayerGameData[EligFGOrder],PlayerGameData[[#This Row],[EligFGOrder]])&gt;1,PlayerGameData[[#This Row],[PointRank]]/100+PlayerGameData[[#This Row],[EligFGOrder]],PlayerGameData[[#This Row],[EligFGOrder]])</f>
        <v>217.16</v>
      </c>
      <c r="BD78" s="8">
        <f ca="1">RANK(PlayerGameData[[#This Row],[EligFGTieBreak]],PlayerGameData[EligFGTieBreak],1)</f>
        <v>216</v>
      </c>
      <c r="BE78" s="8" t="str">
        <f>Roster!$D$3</f>
        <v>East</v>
      </c>
      <c r="BF78" s="8" t="str">
        <f>Roster!$D$2</f>
        <v>Northeast</v>
      </c>
      <c r="BG78" s="8" t="str">
        <f>Roster!$D$4</f>
        <v>North</v>
      </c>
      <c r="BH78" s="197">
        <f ca="1">IFERROR(VLOOKUP(CONCATENATE(PlayerGameData[[#This Row],[Opponent]]," ",MONTH(PlayerGameData[[#This Row],[Date]]),"/",DAY(PlayerGameData[[#This Row],[Date]]),"/",YEAR(PlayerGameData[[#This Row],[Date]])),Table35[],2,FALSE),0)</f>
        <v>1</v>
      </c>
      <c r="BI78" s="197">
        <f ca="1">IF(PlayerGameData[[#This Row],[Visible]]=1,1,1000)</f>
        <v>1</v>
      </c>
      <c r="BJ78" s="197" t="e">
        <f ca="1">_xlfn.MAXIFS(TeamGameData[Win],TeamGameData[School, Opponent,Game'#],PlayerGameData[[#This Row],[School, Opponent,Game'#]])</f>
        <v>#NAME?</v>
      </c>
      <c r="BK78" s="197" t="e">
        <f ca="1">_xlfn.MAXIFS(TeamGameData[Loss],TeamGameData[School, Opponent,Game'#],PlayerGameData[[#This Row],[School, Opponent,Game'#]])</f>
        <v>#NAME?</v>
      </c>
    </row>
    <row r="79" spans="1:63" x14ac:dyDescent="0.25">
      <c r="A79" s="8" t="str">
        <f t="shared" ca="1" si="63"/>
        <v>Landon Butler, 1</v>
      </c>
      <c r="B79" s="8" t="str">
        <f>Roster!$B$1</f>
        <v>Upton</v>
      </c>
      <c r="C79" s="8" t="str">
        <f t="shared" ca="1" si="51"/>
        <v>Cokeville</v>
      </c>
      <c r="D79" s="10">
        <f t="shared" ca="1" si="52"/>
        <v>44914</v>
      </c>
      <c r="E79" s="8">
        <f t="shared" ca="1" si="53"/>
        <v>0</v>
      </c>
      <c r="F79" s="8">
        <f t="shared" ca="1" si="54"/>
        <v>0</v>
      </c>
      <c r="G79" s="8">
        <f t="shared" ca="1" si="55"/>
        <v>0</v>
      </c>
      <c r="H79" s="8">
        <f t="shared" ca="1" si="56"/>
        <v>0</v>
      </c>
      <c r="I79" s="8">
        <f t="shared" ca="1" si="57"/>
        <v>0</v>
      </c>
      <c r="J79" s="8">
        <f t="shared" ca="1" si="58"/>
        <v>0</v>
      </c>
      <c r="K79" s="8">
        <f t="shared" ca="1" si="59"/>
        <v>0</v>
      </c>
      <c r="L79" s="8">
        <f t="shared" ca="1" si="64"/>
        <v>0</v>
      </c>
      <c r="M79" s="8">
        <f t="shared" ca="1" si="65"/>
        <v>0</v>
      </c>
      <c r="N79" s="8">
        <f t="shared" ca="1" si="66"/>
        <v>0</v>
      </c>
      <c r="O79" s="8">
        <f t="shared" ca="1" si="67"/>
        <v>0</v>
      </c>
      <c r="P79" s="8">
        <f t="shared" ca="1" si="68"/>
        <v>0</v>
      </c>
      <c r="Q79" s="8">
        <f t="shared" ca="1" si="69"/>
        <v>0</v>
      </c>
      <c r="R79" s="8">
        <f t="shared" ca="1" si="70"/>
        <v>0</v>
      </c>
      <c r="S79" s="8">
        <f t="shared" ca="1" si="71"/>
        <v>0</v>
      </c>
      <c r="T79" s="8">
        <f t="shared" ca="1" si="72"/>
        <v>0</v>
      </c>
      <c r="U79" s="8">
        <f t="shared" ca="1" si="73"/>
        <v>0</v>
      </c>
      <c r="V79" s="8">
        <f t="shared" ca="1" si="74"/>
        <v>0</v>
      </c>
      <c r="W79" s="11" t="str">
        <f t="shared" ca="1" si="75"/>
        <v/>
      </c>
      <c r="X79" s="11" t="str">
        <f t="shared" ca="1" si="76"/>
        <v/>
      </c>
      <c r="Y79" s="11" t="str">
        <f t="shared" ca="1" si="77"/>
        <v/>
      </c>
      <c r="Z79" s="11" t="str">
        <f t="shared" ca="1" si="78"/>
        <v/>
      </c>
      <c r="AA79" s="11" t="str">
        <f t="shared" ca="1" si="79"/>
        <v/>
      </c>
      <c r="AB79" s="47">
        <f ca="1">PlayerGameData[[#This Row],[3FGA]]+PlayerGameData[[#This Row],[2FGA]]</f>
        <v>0</v>
      </c>
      <c r="AC79" s="47">
        <f ca="1">PlayerGameData[[#This Row],[OFF REB]]+PlayerGameData[[#This Row],[DEF REB]]</f>
        <v>0</v>
      </c>
      <c r="AD79" s="8">
        <f t="shared" si="60"/>
        <v>4</v>
      </c>
      <c r="AE79" s="8" t="str">
        <f t="shared" ca="1" si="61"/>
        <v>Landon Butler, 1 - Cokeville 12/19/2022</v>
      </c>
      <c r="AF79" s="8" t="str">
        <f t="shared" ca="1" si="80"/>
        <v/>
      </c>
      <c r="AG79" s="8" t="str">
        <f ca="1">IFERROR(IF(C79=0,"",IF(AND(VLOOKUP(PlayerGameData[[#This Row],[Opponent]],WYTeamInfo,2,FALSE)=Roster!$D$1,VLOOKUP(PlayerGameData[[#This Row],[Opponent]],WYTeamInfo,3,FALSE)=Roster!$D$2),"SR","")),"")</f>
        <v/>
      </c>
      <c r="AH79" s="8" t="str">
        <f>CONCATENATE(Roster!$D$1," ",Roster!$D$5)</f>
        <v>1A BB</v>
      </c>
      <c r="AI79" s="8" t="str">
        <f t="shared" ca="1" si="62"/>
        <v>Upton - Cokeville 12/19/2022</v>
      </c>
      <c r="AJ79" s="8">
        <f ca="1">IFERROR(VLOOKUP(PlayerGameData[[#This Row],[School, Opponent,Game'#]],Table3[],2,FALSE),0)</f>
        <v>1</v>
      </c>
      <c r="AK79" s="8">
        <f ca="1">IF(PlayerGameData[[#This Row],[Visible]]=1,1,1000)</f>
        <v>1</v>
      </c>
      <c r="AL79" s="8">
        <f ca="1">RANK(PlayerGameData[[#This Row],[TL PTS]],PlayerGameData[TL PTS],0)+PlayerGameData[[#This Row],[VisibleOrder]]</f>
        <v>185</v>
      </c>
      <c r="AM79" s="8">
        <f ca="1">IF(COUNTIF(PlayerGameData[PointOrder],PlayerGameData[[#This Row],[PointOrder]])&gt;1,RANK(PlayerGameData[[#This Row],[FGA]],PlayerGameData[FGA],0)/100,0)+PlayerGameData[[#This Row],[PointOrder]]</f>
        <v>187.14</v>
      </c>
      <c r="AN79" s="8">
        <f ca="1">RANK(PlayerGameData[[#This Row],[PointTieBreak]],PlayerGameData[PointTieBreak],1)</f>
        <v>216</v>
      </c>
      <c r="AO79" s="8">
        <f ca="1">RANK(PlayerGameData[[#This Row],[REB]],PlayerGameData[REB],0)+PlayerGameData[[#This Row],[VisibleOrder]]</f>
        <v>192</v>
      </c>
      <c r="AP79" s="8">
        <f ca="1">IF(COUNTIF(PlayerGameData[REBOrder],PlayerGameData[[#This Row],[REBOrder]])&gt;1,PlayerGameData[[#This Row],[PointRank]]/100+PlayerGameData[[#This Row],[REBOrder]],PlayerGameData[[#This Row],[REBOrder]])</f>
        <v>194.16</v>
      </c>
      <c r="AQ79" s="8">
        <f ca="1">RANK(PlayerGameData[[#This Row],[REBTieBreak]],PlayerGameData[REBTieBreak],1)</f>
        <v>224</v>
      </c>
      <c r="AR79" s="8">
        <f ca="1">RANK(PlayerGameData[[#This Row],[AST]],PlayerGameData[AST],0)+PlayerGameData[[#This Row],[VisibleOrder]]</f>
        <v>158</v>
      </c>
      <c r="AS79" s="8">
        <f ca="1">IF(COUNTIF(PlayerGameData[ASTOrder],PlayerGameData[[#This Row],[ASTOrder]])&gt;1,PlayerGameData[[#This Row],[PointRank]]/100+PlayerGameData[[#This Row],[ASTOrder]],PlayerGameData[[#This Row],[ASTOrder]])</f>
        <v>160.16</v>
      </c>
      <c r="AT79" s="8">
        <f ca="1">RANK(PlayerGameData[[#This Row],[ASTTieBreak]],PlayerGameData[ASTTieBreak],1)</f>
        <v>221</v>
      </c>
      <c r="AU79" s="8">
        <f ca="1">RANK(PlayerGameData[[#This Row],[STL]],PlayerGameData[STL],0)+PlayerGameData[[#This Row],[VisibleOrder]]</f>
        <v>143</v>
      </c>
      <c r="AV79" s="8">
        <f ca="1">IF(COUNTIF(PlayerGameData[STLOrder],PlayerGameData[[#This Row],[STLOrder]])&gt;1,PlayerGameData[[#This Row],[PointRank]]/100+PlayerGameData[[#This Row],[STLOrder]],PlayerGameData[[#This Row],[STLOrder]])</f>
        <v>145.16</v>
      </c>
      <c r="AW79" s="8">
        <f ca="1">RANK(PlayerGameData[[#This Row],[STLTieBreak]],PlayerGameData[STLTieBreak],1)</f>
        <v>217</v>
      </c>
      <c r="AX79" s="8">
        <f ca="1">RANK(PlayerGameData[[#This Row],[BLK]],PlayerGameData[BLK],0)+PlayerGameData[[#This Row],[VisibleOrder]]</f>
        <v>32</v>
      </c>
      <c r="AY79" s="8">
        <f ca="1">IF(COUNTIF(PlayerGameData[BLKOrder],PlayerGameData[[#This Row],[BLKOrder]])&gt;1,PlayerGameData[[#This Row],[PointRank]]/100+PlayerGameData[[#This Row],[BLKOrder]],PlayerGameData[[#This Row],[BLKOrder]])</f>
        <v>34.159999999999997</v>
      </c>
      <c r="AZ79" s="8">
        <f ca="1">RANK(PlayerGameData[[#This Row],[BLKTieBreak]],PlayerGameData[BLKTieBreak],1)</f>
        <v>216</v>
      </c>
      <c r="BA79" s="11">
        <f ca="1">IFERROR(IF(PlayerGameData[[#This Row],[FGA]]&gt;$AA$5,PlayerGameData[[#This Row],[FG%*]],PlayerGameData[[#This Row],[FG%*]]*-1),-2)</f>
        <v>-2</v>
      </c>
      <c r="BB79" s="8">
        <f ca="1">RANK(PlayerGameData[[#This Row],[EligFG]],PlayerGameData[EligFG],0)+PlayerGameData[[#This Row],[VisibleOrder]]</f>
        <v>215</v>
      </c>
      <c r="BC79" s="8">
        <f ca="1">IF(COUNTIF(PlayerGameData[EligFGOrder],PlayerGameData[[#This Row],[EligFGOrder]])&gt;1,PlayerGameData[[#This Row],[PointRank]]/100+PlayerGameData[[#This Row],[EligFGOrder]],PlayerGameData[[#This Row],[EligFGOrder]])</f>
        <v>217.16</v>
      </c>
      <c r="BD79" s="8">
        <f ca="1">RANK(PlayerGameData[[#This Row],[EligFGTieBreak]],PlayerGameData[EligFGTieBreak],1)</f>
        <v>216</v>
      </c>
      <c r="BE79" s="8" t="str">
        <f>Roster!$D$3</f>
        <v>East</v>
      </c>
      <c r="BF79" s="8" t="str">
        <f>Roster!$D$2</f>
        <v>Northeast</v>
      </c>
      <c r="BG79" s="8" t="str">
        <f>Roster!$D$4</f>
        <v>North</v>
      </c>
      <c r="BH79" s="197">
        <f ca="1">IFERROR(VLOOKUP(CONCATENATE(PlayerGameData[[#This Row],[Opponent]]," ",MONTH(PlayerGameData[[#This Row],[Date]]),"/",DAY(PlayerGameData[[#This Row],[Date]]),"/",YEAR(PlayerGameData[[#This Row],[Date]])),Table35[],2,FALSE),0)</f>
        <v>1</v>
      </c>
      <c r="BI79" s="197">
        <f ca="1">IF(PlayerGameData[[#This Row],[Visible]]=1,1,1000)</f>
        <v>1</v>
      </c>
      <c r="BJ79" s="197" t="e">
        <f ca="1">_xlfn.MAXIFS(TeamGameData[Win],TeamGameData[School, Opponent,Game'#],PlayerGameData[[#This Row],[School, Opponent,Game'#]])</f>
        <v>#NAME?</v>
      </c>
      <c r="BK79" s="197" t="e">
        <f ca="1">_xlfn.MAXIFS(TeamGameData[Loss],TeamGameData[School, Opponent,Game'#],PlayerGameData[[#This Row],[School, Opponent,Game'#]])</f>
        <v>#NAME?</v>
      </c>
    </row>
    <row r="80" spans="1:63" x14ac:dyDescent="0.25">
      <c r="A80" s="8" t="str">
        <f t="shared" ca="1" si="63"/>
        <v>Logan Timberman, 3</v>
      </c>
      <c r="B80" s="8" t="str">
        <f>Roster!$B$1</f>
        <v>Upton</v>
      </c>
      <c r="C80" s="8" t="str">
        <f t="shared" ca="1" si="51"/>
        <v>Cokeville</v>
      </c>
      <c r="D80" s="10">
        <f t="shared" ca="1" si="52"/>
        <v>44914</v>
      </c>
      <c r="E80" s="8">
        <f t="shared" ca="1" si="53"/>
        <v>1</v>
      </c>
      <c r="F80" s="8">
        <f t="shared" ca="1" si="54"/>
        <v>1</v>
      </c>
      <c r="G80" s="8">
        <f t="shared" ca="1" si="55"/>
        <v>29</v>
      </c>
      <c r="H80" s="8">
        <f t="shared" ca="1" si="56"/>
        <v>0</v>
      </c>
      <c r="I80" s="8">
        <f t="shared" ca="1" si="57"/>
        <v>2</v>
      </c>
      <c r="J80" s="8">
        <f t="shared" ca="1" si="58"/>
        <v>2</v>
      </c>
      <c r="K80" s="8">
        <f t="shared" ca="1" si="59"/>
        <v>2</v>
      </c>
      <c r="L80" s="8">
        <f t="shared" ca="1" si="64"/>
        <v>0</v>
      </c>
      <c r="M80" s="8">
        <f t="shared" ca="1" si="65"/>
        <v>0</v>
      </c>
      <c r="N80" s="8">
        <f t="shared" ca="1" si="66"/>
        <v>2</v>
      </c>
      <c r="O80" s="8">
        <f t="shared" ca="1" si="67"/>
        <v>3</v>
      </c>
      <c r="P80" s="8">
        <f t="shared" ca="1" si="68"/>
        <v>2</v>
      </c>
      <c r="Q80" s="8">
        <f t="shared" ca="1" si="69"/>
        <v>1</v>
      </c>
      <c r="R80" s="8">
        <f t="shared" ca="1" si="70"/>
        <v>0</v>
      </c>
      <c r="S80" s="8">
        <f t="shared" ca="1" si="71"/>
        <v>6</v>
      </c>
      <c r="T80" s="8">
        <f t="shared" ca="1" si="72"/>
        <v>3</v>
      </c>
      <c r="U80" s="8">
        <f t="shared" ca="1" si="73"/>
        <v>0</v>
      </c>
      <c r="V80" s="8">
        <f t="shared" ca="1" si="74"/>
        <v>4</v>
      </c>
      <c r="W80" s="11">
        <f t="shared" ca="1" si="75"/>
        <v>0</v>
      </c>
      <c r="X80" s="11">
        <f t="shared" ca="1" si="76"/>
        <v>1</v>
      </c>
      <c r="Y80" s="11" t="str">
        <f t="shared" ca="1" si="77"/>
        <v/>
      </c>
      <c r="Z80" s="11">
        <f t="shared" ca="1" si="78"/>
        <v>0.5</v>
      </c>
      <c r="AA80" s="11">
        <f t="shared" ca="1" si="79"/>
        <v>0.5</v>
      </c>
      <c r="AB80" s="47">
        <f ca="1">PlayerGameData[[#This Row],[3FGA]]+PlayerGameData[[#This Row],[2FGA]]</f>
        <v>4</v>
      </c>
      <c r="AC80" s="47">
        <f ca="1">PlayerGameData[[#This Row],[OFF REB]]+PlayerGameData[[#This Row],[DEF REB]]</f>
        <v>5</v>
      </c>
      <c r="AD80" s="8">
        <f t="shared" si="60"/>
        <v>4</v>
      </c>
      <c r="AE80" s="8" t="str">
        <f t="shared" ca="1" si="61"/>
        <v>Logan Timberman, 3 - Cokeville 12/19/2022</v>
      </c>
      <c r="AF80" s="8" t="str">
        <f t="shared" ca="1" si="80"/>
        <v/>
      </c>
      <c r="AG80" s="8" t="str">
        <f ca="1">IFERROR(IF(C80=0,"",IF(AND(VLOOKUP(PlayerGameData[[#This Row],[Opponent]],WYTeamInfo,2,FALSE)=Roster!$D$1,VLOOKUP(PlayerGameData[[#This Row],[Opponent]],WYTeamInfo,3,FALSE)=Roster!$D$2),"SR","")),"")</f>
        <v/>
      </c>
      <c r="AH80" s="8" t="str">
        <f>CONCATENATE(Roster!$D$1," ",Roster!$D$5)</f>
        <v>1A BB</v>
      </c>
      <c r="AI80" s="8" t="str">
        <f t="shared" ca="1" si="62"/>
        <v>Upton - Cokeville 12/19/2022</v>
      </c>
      <c r="AJ80" s="8">
        <f ca="1">IFERROR(VLOOKUP(PlayerGameData[[#This Row],[School, Opponent,Game'#]],Table3[],2,FALSE),0)</f>
        <v>1</v>
      </c>
      <c r="AK80" s="8">
        <f ca="1">IF(PlayerGameData[[#This Row],[Visible]]=1,1,1000)</f>
        <v>1</v>
      </c>
      <c r="AL80" s="8">
        <f ca="1">RANK(PlayerGameData[[#This Row],[TL PTS]],PlayerGameData[TL PTS],0)+PlayerGameData[[#This Row],[VisibleOrder]]</f>
        <v>118</v>
      </c>
      <c r="AM80" s="8">
        <f ca="1">IF(COUNTIF(PlayerGameData[PointOrder],PlayerGameData[[#This Row],[PointOrder]])&gt;1,RANK(PlayerGameData[[#This Row],[FGA]],PlayerGameData[FGA],0)/100,0)+PlayerGameData[[#This Row],[PointOrder]]</f>
        <v>119.27</v>
      </c>
      <c r="AN80" s="8">
        <f ca="1">RANK(PlayerGameData[[#This Row],[PointTieBreak]],PlayerGameData[PointTieBreak],1)</f>
        <v>125</v>
      </c>
      <c r="AO80" s="8">
        <f ca="1">RANK(PlayerGameData[[#This Row],[REB]],PlayerGameData[REB],0)+PlayerGameData[[#This Row],[VisibleOrder]]</f>
        <v>52</v>
      </c>
      <c r="AP80" s="8">
        <f ca="1">IF(COUNTIF(PlayerGameData[REBOrder],PlayerGameData[[#This Row],[REBOrder]])&gt;1,PlayerGameData[[#This Row],[PointRank]]/100+PlayerGameData[[#This Row],[REBOrder]],PlayerGameData[[#This Row],[REBOrder]])</f>
        <v>53.25</v>
      </c>
      <c r="AQ80" s="8">
        <f ca="1">RANK(PlayerGameData[[#This Row],[REBTieBreak]],PlayerGameData[REBTieBreak],1)</f>
        <v>69</v>
      </c>
      <c r="AR80" s="8">
        <f ca="1">RANK(PlayerGameData[[#This Row],[AST]],PlayerGameData[AST],0)+PlayerGameData[[#This Row],[VisibleOrder]]</f>
        <v>69</v>
      </c>
      <c r="AS80" s="8">
        <f ca="1">IF(COUNTIF(PlayerGameData[ASTOrder],PlayerGameData[[#This Row],[ASTOrder]])&gt;1,PlayerGameData[[#This Row],[PointRank]]/100+PlayerGameData[[#This Row],[ASTOrder]],PlayerGameData[[#This Row],[ASTOrder]])</f>
        <v>70.25</v>
      </c>
      <c r="AT80" s="8">
        <f ca="1">RANK(PlayerGameData[[#This Row],[ASTTieBreak]],PlayerGameData[ASTTieBreak],1)</f>
        <v>99</v>
      </c>
      <c r="AU80" s="8">
        <f ca="1">RANK(PlayerGameData[[#This Row],[STL]],PlayerGameData[STL],0)+PlayerGameData[[#This Row],[VisibleOrder]]</f>
        <v>84</v>
      </c>
      <c r="AV80" s="8">
        <f ca="1">IF(COUNTIF(PlayerGameData[STLOrder],PlayerGameData[[#This Row],[STLOrder]])&gt;1,PlayerGameData[[#This Row],[PointRank]]/100+PlayerGameData[[#This Row],[STLOrder]],PlayerGameData[[#This Row],[STLOrder]])</f>
        <v>85.25</v>
      </c>
      <c r="AW80" s="8">
        <f ca="1">RANK(PlayerGameData[[#This Row],[STLTieBreak]],PlayerGameData[STLTieBreak],1)</f>
        <v>118</v>
      </c>
      <c r="AX80" s="8">
        <f ca="1">RANK(PlayerGameData[[#This Row],[BLK]],PlayerGameData[BLK],0)+PlayerGameData[[#This Row],[VisibleOrder]]</f>
        <v>32</v>
      </c>
      <c r="AY80" s="8">
        <f ca="1">IF(COUNTIF(PlayerGameData[BLKOrder],PlayerGameData[[#This Row],[BLKOrder]])&gt;1,PlayerGameData[[#This Row],[PointRank]]/100+PlayerGameData[[#This Row],[BLKOrder]],PlayerGameData[[#This Row],[BLKOrder]])</f>
        <v>33.25</v>
      </c>
      <c r="AZ80" s="8">
        <f ca="1">RANK(PlayerGameData[[#This Row],[BLKTieBreak]],PlayerGameData[BLKTieBreak],1)</f>
        <v>129</v>
      </c>
      <c r="BA80" s="11">
        <f ca="1">IFERROR(IF(PlayerGameData[[#This Row],[FGA]]&gt;$AA$5,PlayerGameData[[#This Row],[FG%*]],PlayerGameData[[#This Row],[FG%*]]*-1),-2)</f>
        <v>-0.5</v>
      </c>
      <c r="BB80" s="8">
        <f ca="1">RANK(PlayerGameData[[#This Row],[EligFG]],PlayerGameData[EligFG],0)+PlayerGameData[[#This Row],[VisibleOrder]]</f>
        <v>182</v>
      </c>
      <c r="BC80" s="8">
        <f ca="1">IF(COUNTIF(PlayerGameData[EligFGOrder],PlayerGameData[[#This Row],[EligFGOrder]])&gt;1,PlayerGameData[[#This Row],[PointRank]]/100+PlayerGameData[[#This Row],[EligFGOrder]],PlayerGameData[[#This Row],[EligFGOrder]])</f>
        <v>183.25</v>
      </c>
      <c r="BD80" s="8">
        <f ca="1">RANK(PlayerGameData[[#This Row],[EligFGTieBreak]],PlayerGameData[EligFGTieBreak],1)</f>
        <v>181</v>
      </c>
      <c r="BE80" s="8" t="str">
        <f>Roster!$D$3</f>
        <v>East</v>
      </c>
      <c r="BF80" s="8" t="str">
        <f>Roster!$D$2</f>
        <v>Northeast</v>
      </c>
      <c r="BG80" s="8" t="str">
        <f>Roster!$D$4</f>
        <v>North</v>
      </c>
      <c r="BH80" s="197">
        <f ca="1">IFERROR(VLOOKUP(CONCATENATE(PlayerGameData[[#This Row],[Opponent]]," ",MONTH(PlayerGameData[[#This Row],[Date]]),"/",DAY(PlayerGameData[[#This Row],[Date]]),"/",YEAR(PlayerGameData[[#This Row],[Date]])),Table35[],2,FALSE),0)</f>
        <v>1</v>
      </c>
      <c r="BI80" s="197">
        <f ca="1">IF(PlayerGameData[[#This Row],[Visible]]=1,1,1000)</f>
        <v>1</v>
      </c>
      <c r="BJ80" s="197" t="e">
        <f ca="1">_xlfn.MAXIFS(TeamGameData[Win],TeamGameData[School, Opponent,Game'#],PlayerGameData[[#This Row],[School, Opponent,Game'#]])</f>
        <v>#NAME?</v>
      </c>
      <c r="BK80" s="197" t="e">
        <f ca="1">_xlfn.MAXIFS(TeamGameData[Loss],TeamGameData[School, Opponent,Game'#],PlayerGameData[[#This Row],[School, Opponent,Game'#]])</f>
        <v>#NAME?</v>
      </c>
    </row>
    <row r="81" spans="1:63" x14ac:dyDescent="0.25">
      <c r="A81" s="8" t="str">
        <f t="shared" ca="1" si="63"/>
        <v>Chase Mills, 5</v>
      </c>
      <c r="B81" s="8" t="str">
        <f>Roster!$B$1</f>
        <v>Upton</v>
      </c>
      <c r="C81" s="8" t="str">
        <f t="shared" ca="1" si="51"/>
        <v>Cokeville</v>
      </c>
      <c r="D81" s="10">
        <f t="shared" ca="1" si="52"/>
        <v>44914</v>
      </c>
      <c r="E81" s="8">
        <f t="shared" ca="1" si="53"/>
        <v>1</v>
      </c>
      <c r="F81" s="8">
        <f t="shared" ca="1" si="54"/>
        <v>1</v>
      </c>
      <c r="G81" s="8">
        <f t="shared" ca="1" si="55"/>
        <v>28</v>
      </c>
      <c r="H81" s="8">
        <f t="shared" ca="1" si="56"/>
        <v>2</v>
      </c>
      <c r="I81" s="8">
        <f t="shared" ca="1" si="57"/>
        <v>3</v>
      </c>
      <c r="J81" s="8">
        <f t="shared" ca="1" si="58"/>
        <v>5</v>
      </c>
      <c r="K81" s="8">
        <f t="shared" ca="1" si="59"/>
        <v>11</v>
      </c>
      <c r="L81" s="8">
        <f t="shared" ca="1" si="64"/>
        <v>0</v>
      </c>
      <c r="M81" s="8">
        <f t="shared" ca="1" si="65"/>
        <v>0</v>
      </c>
      <c r="N81" s="8">
        <f t="shared" ca="1" si="66"/>
        <v>3</v>
      </c>
      <c r="O81" s="8">
        <f t="shared" ca="1" si="67"/>
        <v>2</v>
      </c>
      <c r="P81" s="8">
        <f t="shared" ca="1" si="68"/>
        <v>4</v>
      </c>
      <c r="Q81" s="8">
        <f t="shared" ca="1" si="69"/>
        <v>4</v>
      </c>
      <c r="R81" s="8">
        <f t="shared" ca="1" si="70"/>
        <v>0</v>
      </c>
      <c r="S81" s="8">
        <f t="shared" ca="1" si="71"/>
        <v>7</v>
      </c>
      <c r="T81" s="8">
        <f t="shared" ca="1" si="72"/>
        <v>0</v>
      </c>
      <c r="U81" s="8">
        <f t="shared" ca="1" si="73"/>
        <v>0</v>
      </c>
      <c r="V81" s="8">
        <f t="shared" ca="1" si="74"/>
        <v>16</v>
      </c>
      <c r="W81" s="11">
        <f t="shared" ca="1" si="75"/>
        <v>0.66666666666666663</v>
      </c>
      <c r="X81" s="11">
        <f t="shared" ca="1" si="76"/>
        <v>0.45454545454545453</v>
      </c>
      <c r="Y81" s="11" t="str">
        <f t="shared" ca="1" si="77"/>
        <v/>
      </c>
      <c r="Z81" s="11">
        <f t="shared" ca="1" si="78"/>
        <v>0.5</v>
      </c>
      <c r="AA81" s="11">
        <f t="shared" ca="1" si="79"/>
        <v>0.5714285714285714</v>
      </c>
      <c r="AB81" s="47">
        <f ca="1">PlayerGameData[[#This Row],[3FGA]]+PlayerGameData[[#This Row],[2FGA]]</f>
        <v>14</v>
      </c>
      <c r="AC81" s="47">
        <f ca="1">PlayerGameData[[#This Row],[OFF REB]]+PlayerGameData[[#This Row],[DEF REB]]</f>
        <v>5</v>
      </c>
      <c r="AD81" s="8">
        <f t="shared" si="60"/>
        <v>4</v>
      </c>
      <c r="AE81" s="8" t="str">
        <f t="shared" ca="1" si="61"/>
        <v>Chase Mills, 5 - Cokeville 12/19/2022</v>
      </c>
      <c r="AF81" s="8" t="str">
        <f t="shared" ca="1" si="80"/>
        <v/>
      </c>
      <c r="AG81" s="8" t="str">
        <f ca="1">IFERROR(IF(C81=0,"",IF(AND(VLOOKUP(PlayerGameData[[#This Row],[Opponent]],WYTeamInfo,2,FALSE)=Roster!$D$1,VLOOKUP(PlayerGameData[[#This Row],[Opponent]],WYTeamInfo,3,FALSE)=Roster!$D$2),"SR","")),"")</f>
        <v/>
      </c>
      <c r="AH81" s="8" t="str">
        <f>CONCATENATE(Roster!$D$1," ",Roster!$D$5)</f>
        <v>1A BB</v>
      </c>
      <c r="AI81" s="8" t="str">
        <f t="shared" ca="1" si="62"/>
        <v>Upton - Cokeville 12/19/2022</v>
      </c>
      <c r="AJ81" s="8">
        <f ca="1">IFERROR(VLOOKUP(PlayerGameData[[#This Row],[School, Opponent,Game'#]],Table3[],2,FALSE),0)</f>
        <v>1</v>
      </c>
      <c r="AK81" s="8">
        <f ca="1">IF(PlayerGameData[[#This Row],[Visible]]=1,1,1000)</f>
        <v>1</v>
      </c>
      <c r="AL81" s="8">
        <f ca="1">RANK(PlayerGameData[[#This Row],[TL PTS]],PlayerGameData[TL PTS],0)+PlayerGameData[[#This Row],[VisibleOrder]]</f>
        <v>26</v>
      </c>
      <c r="AM81" s="8">
        <f ca="1">IF(COUNTIF(PlayerGameData[PointOrder],PlayerGameData[[#This Row],[PointOrder]])&gt;1,RANK(PlayerGameData[[#This Row],[FGA]],PlayerGameData[FGA],0)/100,0)+PlayerGameData[[#This Row],[PointOrder]]</f>
        <v>26.15</v>
      </c>
      <c r="AN81" s="8">
        <f ca="1">RANK(PlayerGameData[[#This Row],[PointTieBreak]],PlayerGameData[PointTieBreak],1)</f>
        <v>26</v>
      </c>
      <c r="AO81" s="8">
        <f ca="1">RANK(PlayerGameData[[#This Row],[REB]],PlayerGameData[REB],0)+PlayerGameData[[#This Row],[VisibleOrder]]</f>
        <v>52</v>
      </c>
      <c r="AP81" s="8">
        <f ca="1">IF(COUNTIF(PlayerGameData[REBOrder],PlayerGameData[[#This Row],[REBOrder]])&gt;1,PlayerGameData[[#This Row],[PointRank]]/100+PlayerGameData[[#This Row],[REBOrder]],PlayerGameData[[#This Row],[REBOrder]])</f>
        <v>52.26</v>
      </c>
      <c r="AQ81" s="8">
        <f ca="1">RANK(PlayerGameData[[#This Row],[REBTieBreak]],PlayerGameData[REBTieBreak],1)</f>
        <v>56</v>
      </c>
      <c r="AR81" s="8">
        <f ca="1">RANK(PlayerGameData[[#This Row],[AST]],PlayerGameData[AST],0)+PlayerGameData[[#This Row],[VisibleOrder]]</f>
        <v>24</v>
      </c>
      <c r="AS81" s="8">
        <f ca="1">IF(COUNTIF(PlayerGameData[ASTOrder],PlayerGameData[[#This Row],[ASTOrder]])&gt;1,PlayerGameData[[#This Row],[PointRank]]/100+PlayerGameData[[#This Row],[ASTOrder]],PlayerGameData[[#This Row],[ASTOrder]])</f>
        <v>24.26</v>
      </c>
      <c r="AT81" s="8">
        <f ca="1">RANK(PlayerGameData[[#This Row],[ASTTieBreak]],PlayerGameData[ASTTieBreak],1)</f>
        <v>27</v>
      </c>
      <c r="AU81" s="8">
        <f ca="1">RANK(PlayerGameData[[#This Row],[STL]],PlayerGameData[STL],0)+PlayerGameData[[#This Row],[VisibleOrder]]</f>
        <v>10</v>
      </c>
      <c r="AV81" s="8">
        <f ca="1">IF(COUNTIF(PlayerGameData[STLOrder],PlayerGameData[[#This Row],[STLOrder]])&gt;1,PlayerGameData[[#This Row],[PointRank]]/100+PlayerGameData[[#This Row],[STLOrder]],PlayerGameData[[#This Row],[STLOrder]])</f>
        <v>10.26</v>
      </c>
      <c r="AW81" s="8">
        <f ca="1">RANK(PlayerGameData[[#This Row],[STLTieBreak]],PlayerGameData[STLTieBreak],1)</f>
        <v>15</v>
      </c>
      <c r="AX81" s="8">
        <f ca="1">RANK(PlayerGameData[[#This Row],[BLK]],PlayerGameData[BLK],0)+PlayerGameData[[#This Row],[VisibleOrder]]</f>
        <v>32</v>
      </c>
      <c r="AY81" s="8">
        <f ca="1">IF(COUNTIF(PlayerGameData[BLKOrder],PlayerGameData[[#This Row],[BLKOrder]])&gt;1,PlayerGameData[[#This Row],[PointRank]]/100+PlayerGameData[[#This Row],[BLKOrder]],PlayerGameData[[#This Row],[BLKOrder]])</f>
        <v>32.26</v>
      </c>
      <c r="AZ81" s="8">
        <f ca="1">RANK(PlayerGameData[[#This Row],[BLKTieBreak]],PlayerGameData[BLKTieBreak],1)</f>
        <v>53</v>
      </c>
      <c r="BA81" s="11">
        <f ca="1">IFERROR(IF(PlayerGameData[[#This Row],[FGA]]&gt;$AA$5,PlayerGameData[[#This Row],[FG%*]],PlayerGameData[[#This Row],[FG%*]]*-1),-2)</f>
        <v>0.5</v>
      </c>
      <c r="BB81" s="8">
        <f ca="1">RANK(PlayerGameData[[#This Row],[EligFG]],PlayerGameData[EligFG],0)+PlayerGameData[[#This Row],[VisibleOrder]]</f>
        <v>39</v>
      </c>
      <c r="BC81" s="8">
        <f ca="1">IF(COUNTIF(PlayerGameData[EligFGOrder],PlayerGameData[[#This Row],[EligFGOrder]])&gt;1,PlayerGameData[[#This Row],[PointRank]]/100+PlayerGameData[[#This Row],[EligFGOrder]],PlayerGameData[[#This Row],[EligFGOrder]])</f>
        <v>39.26</v>
      </c>
      <c r="BD81" s="8">
        <f ca="1">RANK(PlayerGameData[[#This Row],[EligFGTieBreak]],PlayerGameData[EligFGTieBreak],1)</f>
        <v>40</v>
      </c>
      <c r="BE81" s="8" t="str">
        <f>Roster!$D$3</f>
        <v>East</v>
      </c>
      <c r="BF81" s="8" t="str">
        <f>Roster!$D$2</f>
        <v>Northeast</v>
      </c>
      <c r="BG81" s="8" t="str">
        <f>Roster!$D$4</f>
        <v>North</v>
      </c>
      <c r="BH81" s="197">
        <f ca="1">IFERROR(VLOOKUP(CONCATENATE(PlayerGameData[[#This Row],[Opponent]]," ",MONTH(PlayerGameData[[#This Row],[Date]]),"/",DAY(PlayerGameData[[#This Row],[Date]]),"/",YEAR(PlayerGameData[[#This Row],[Date]])),Table35[],2,FALSE),0)</f>
        <v>1</v>
      </c>
      <c r="BI81" s="197">
        <f ca="1">IF(PlayerGameData[[#This Row],[Visible]]=1,1,1000)</f>
        <v>1</v>
      </c>
      <c r="BJ81" s="197" t="e">
        <f ca="1">_xlfn.MAXIFS(TeamGameData[Win],TeamGameData[School, Opponent,Game'#],PlayerGameData[[#This Row],[School, Opponent,Game'#]])</f>
        <v>#NAME?</v>
      </c>
      <c r="BK81" s="197" t="e">
        <f ca="1">_xlfn.MAXIFS(TeamGameData[Loss],TeamGameData[School, Opponent,Game'#],PlayerGameData[[#This Row],[School, Opponent,Game'#]])</f>
        <v>#NAME?</v>
      </c>
    </row>
    <row r="82" spans="1:63" x14ac:dyDescent="0.25">
      <c r="A82" s="8" t="str">
        <f t="shared" ca="1" si="63"/>
        <v>Rhett Watt, 10</v>
      </c>
      <c r="B82" s="8" t="str">
        <f>Roster!$B$1</f>
        <v>Upton</v>
      </c>
      <c r="C82" s="8" t="str">
        <f t="shared" ca="1" si="51"/>
        <v>Cokeville</v>
      </c>
      <c r="D82" s="10">
        <f t="shared" ca="1" si="52"/>
        <v>44914</v>
      </c>
      <c r="E82" s="8">
        <f t="shared" ca="1" si="53"/>
        <v>1</v>
      </c>
      <c r="F82" s="8">
        <f t="shared" ca="1" si="54"/>
        <v>1</v>
      </c>
      <c r="G82" s="8">
        <f t="shared" ca="1" si="55"/>
        <v>30</v>
      </c>
      <c r="H82" s="8">
        <f t="shared" ca="1" si="56"/>
        <v>0</v>
      </c>
      <c r="I82" s="8">
        <f t="shared" ca="1" si="57"/>
        <v>5</v>
      </c>
      <c r="J82" s="8">
        <f t="shared" ca="1" si="58"/>
        <v>3</v>
      </c>
      <c r="K82" s="8">
        <f t="shared" ca="1" si="59"/>
        <v>6</v>
      </c>
      <c r="L82" s="8">
        <f t="shared" ca="1" si="64"/>
        <v>3</v>
      </c>
      <c r="M82" s="8">
        <f t="shared" ca="1" si="65"/>
        <v>4</v>
      </c>
      <c r="N82" s="8">
        <f t="shared" ca="1" si="66"/>
        <v>2</v>
      </c>
      <c r="O82" s="8">
        <f t="shared" ca="1" si="67"/>
        <v>1</v>
      </c>
      <c r="P82" s="8">
        <f t="shared" ca="1" si="68"/>
        <v>3</v>
      </c>
      <c r="Q82" s="8">
        <f t="shared" ca="1" si="69"/>
        <v>2</v>
      </c>
      <c r="R82" s="8">
        <f t="shared" ca="1" si="70"/>
        <v>0</v>
      </c>
      <c r="S82" s="8">
        <f t="shared" ca="1" si="71"/>
        <v>1</v>
      </c>
      <c r="T82" s="8">
        <f t="shared" ca="1" si="72"/>
        <v>0</v>
      </c>
      <c r="U82" s="8">
        <f t="shared" ca="1" si="73"/>
        <v>1</v>
      </c>
      <c r="V82" s="8">
        <f t="shared" ca="1" si="74"/>
        <v>9</v>
      </c>
      <c r="W82" s="11">
        <f t="shared" ca="1" si="75"/>
        <v>0</v>
      </c>
      <c r="X82" s="11">
        <f t="shared" ca="1" si="76"/>
        <v>0.5</v>
      </c>
      <c r="Y82" s="11">
        <f t="shared" ca="1" si="77"/>
        <v>0.75</v>
      </c>
      <c r="Z82" s="11">
        <f t="shared" ca="1" si="78"/>
        <v>0.27272727272727271</v>
      </c>
      <c r="AA82" s="11">
        <f t="shared" ca="1" si="79"/>
        <v>0.27272727272727271</v>
      </c>
      <c r="AB82" s="47">
        <f ca="1">PlayerGameData[[#This Row],[3FGA]]+PlayerGameData[[#This Row],[2FGA]]</f>
        <v>11</v>
      </c>
      <c r="AC82" s="47">
        <f ca="1">PlayerGameData[[#This Row],[OFF REB]]+PlayerGameData[[#This Row],[DEF REB]]</f>
        <v>3</v>
      </c>
      <c r="AD82" s="8">
        <f t="shared" si="60"/>
        <v>4</v>
      </c>
      <c r="AE82" s="8" t="str">
        <f t="shared" ca="1" si="61"/>
        <v>Rhett Watt, 10 - Cokeville 12/19/2022</v>
      </c>
      <c r="AF82" s="8" t="str">
        <f t="shared" ca="1" si="80"/>
        <v/>
      </c>
      <c r="AG82" s="8" t="str">
        <f ca="1">IFERROR(IF(C82=0,"",IF(AND(VLOOKUP(PlayerGameData[[#This Row],[Opponent]],WYTeamInfo,2,FALSE)=Roster!$D$1,VLOOKUP(PlayerGameData[[#This Row],[Opponent]],WYTeamInfo,3,FALSE)=Roster!$D$2),"SR","")),"")</f>
        <v/>
      </c>
      <c r="AH82" s="8" t="str">
        <f>CONCATENATE(Roster!$D$1," ",Roster!$D$5)</f>
        <v>1A BB</v>
      </c>
      <c r="AI82" s="8" t="str">
        <f t="shared" ca="1" si="62"/>
        <v>Upton - Cokeville 12/19/2022</v>
      </c>
      <c r="AJ82" s="8">
        <f ca="1">IFERROR(VLOOKUP(PlayerGameData[[#This Row],[School, Opponent,Game'#]],Table3[],2,FALSE),0)</f>
        <v>1</v>
      </c>
      <c r="AK82" s="8">
        <f ca="1">IF(PlayerGameData[[#This Row],[Visible]]=1,1,1000)</f>
        <v>1</v>
      </c>
      <c r="AL82" s="8">
        <f ca="1">RANK(PlayerGameData[[#This Row],[TL PTS]],PlayerGameData[TL PTS],0)+PlayerGameData[[#This Row],[VisibleOrder]]</f>
        <v>75</v>
      </c>
      <c r="AM82" s="8">
        <f ca="1">IF(COUNTIF(PlayerGameData[PointOrder],PlayerGameData[[#This Row],[PointOrder]])&gt;1,RANK(PlayerGameData[[#This Row],[FGA]],PlayerGameData[FGA],0)/100,0)+PlayerGameData[[#This Row],[PointOrder]]</f>
        <v>75.34</v>
      </c>
      <c r="AN82" s="8">
        <f ca="1">RANK(PlayerGameData[[#This Row],[PointTieBreak]],PlayerGameData[PointTieBreak],1)</f>
        <v>76</v>
      </c>
      <c r="AO82" s="8">
        <f ca="1">RANK(PlayerGameData[[#This Row],[REB]],PlayerGameData[REB],0)+PlayerGameData[[#This Row],[VisibleOrder]]</f>
        <v>108</v>
      </c>
      <c r="AP82" s="8">
        <f ca="1">IF(COUNTIF(PlayerGameData[REBOrder],PlayerGameData[[#This Row],[REBOrder]])&gt;1,PlayerGameData[[#This Row],[PointRank]]/100+PlayerGameData[[#This Row],[REBOrder]],PlayerGameData[[#This Row],[REBOrder]])</f>
        <v>108.76</v>
      </c>
      <c r="AQ82" s="8">
        <f ca="1">RANK(PlayerGameData[[#This Row],[REBTieBreak]],PlayerGameData[REBTieBreak],1)</f>
        <v>115</v>
      </c>
      <c r="AR82" s="8">
        <f ca="1">RANK(PlayerGameData[[#This Row],[AST]],PlayerGameData[AST],0)+PlayerGameData[[#This Row],[VisibleOrder]]</f>
        <v>39</v>
      </c>
      <c r="AS82" s="8">
        <f ca="1">IF(COUNTIF(PlayerGameData[ASTOrder],PlayerGameData[[#This Row],[ASTOrder]])&gt;1,PlayerGameData[[#This Row],[PointRank]]/100+PlayerGameData[[#This Row],[ASTOrder]],PlayerGameData[[#This Row],[ASTOrder]])</f>
        <v>39.76</v>
      </c>
      <c r="AT82" s="8">
        <f ca="1">RANK(PlayerGameData[[#This Row],[ASTTieBreak]],PlayerGameData[ASTTieBreak],1)</f>
        <v>51</v>
      </c>
      <c r="AU82" s="8">
        <f ca="1">RANK(PlayerGameData[[#This Row],[STL]],PlayerGameData[STL],0)+PlayerGameData[[#This Row],[VisibleOrder]]</f>
        <v>48</v>
      </c>
      <c r="AV82" s="8">
        <f ca="1">IF(COUNTIF(PlayerGameData[STLOrder],PlayerGameData[[#This Row],[STLOrder]])&gt;1,PlayerGameData[[#This Row],[PointRank]]/100+PlayerGameData[[#This Row],[STLOrder]],PlayerGameData[[#This Row],[STLOrder]])</f>
        <v>48.76</v>
      </c>
      <c r="AW82" s="8">
        <f ca="1">RANK(PlayerGameData[[#This Row],[STLTieBreak]],PlayerGameData[STLTieBreak],1)</f>
        <v>63</v>
      </c>
      <c r="AX82" s="8">
        <f ca="1">RANK(PlayerGameData[[#This Row],[BLK]],PlayerGameData[BLK],0)+PlayerGameData[[#This Row],[VisibleOrder]]</f>
        <v>32</v>
      </c>
      <c r="AY82" s="8">
        <f ca="1">IF(COUNTIF(PlayerGameData[BLKOrder],PlayerGameData[[#This Row],[BLKOrder]])&gt;1,PlayerGameData[[#This Row],[PointRank]]/100+PlayerGameData[[#This Row],[BLKOrder]],PlayerGameData[[#This Row],[BLKOrder]])</f>
        <v>32.76</v>
      </c>
      <c r="AZ82" s="8">
        <f ca="1">RANK(PlayerGameData[[#This Row],[BLKTieBreak]],PlayerGameData[BLKTieBreak],1)</f>
        <v>91</v>
      </c>
      <c r="BA82" s="11">
        <f ca="1">IFERROR(IF(PlayerGameData[[#This Row],[FGA]]&gt;$AA$5,PlayerGameData[[#This Row],[FG%*]],PlayerGameData[[#This Row],[FG%*]]*-1),-2)</f>
        <v>0.27272727272727271</v>
      </c>
      <c r="BB82" s="8">
        <f ca="1">RANK(PlayerGameData[[#This Row],[EligFG]],PlayerGameData[EligFG],0)+PlayerGameData[[#This Row],[VisibleOrder]]</f>
        <v>94</v>
      </c>
      <c r="BC82" s="8">
        <f ca="1">IF(COUNTIF(PlayerGameData[EligFGOrder],PlayerGameData[[#This Row],[EligFGOrder]])&gt;1,PlayerGameData[[#This Row],[PointRank]]/100+PlayerGameData[[#This Row],[EligFGOrder]],PlayerGameData[[#This Row],[EligFGOrder]])</f>
        <v>94.76</v>
      </c>
      <c r="BD82" s="8">
        <f ca="1">RANK(PlayerGameData[[#This Row],[EligFGTieBreak]],PlayerGameData[EligFGTieBreak],1)</f>
        <v>93</v>
      </c>
      <c r="BE82" s="8" t="str">
        <f>Roster!$D$3</f>
        <v>East</v>
      </c>
      <c r="BF82" s="8" t="str">
        <f>Roster!$D$2</f>
        <v>Northeast</v>
      </c>
      <c r="BG82" s="8" t="str">
        <f>Roster!$D$4</f>
        <v>North</v>
      </c>
      <c r="BH82" s="197">
        <f ca="1">IFERROR(VLOOKUP(CONCATENATE(PlayerGameData[[#This Row],[Opponent]]," ",MONTH(PlayerGameData[[#This Row],[Date]]),"/",DAY(PlayerGameData[[#This Row],[Date]]),"/",YEAR(PlayerGameData[[#This Row],[Date]])),Table35[],2,FALSE),0)</f>
        <v>1</v>
      </c>
      <c r="BI82" s="197">
        <f ca="1">IF(PlayerGameData[[#This Row],[Visible]]=1,1,1000)</f>
        <v>1</v>
      </c>
      <c r="BJ82" s="197" t="e">
        <f ca="1">_xlfn.MAXIFS(TeamGameData[Win],TeamGameData[School, Opponent,Game'#],PlayerGameData[[#This Row],[School, Opponent,Game'#]])</f>
        <v>#NAME?</v>
      </c>
      <c r="BK82" s="197" t="e">
        <f ca="1">_xlfn.MAXIFS(TeamGameData[Loss],TeamGameData[School, Opponent,Game'#],PlayerGameData[[#This Row],[School, Opponent,Game'#]])</f>
        <v>#NAME?</v>
      </c>
    </row>
    <row r="83" spans="1:63" x14ac:dyDescent="0.25">
      <c r="A83" s="8" t="str">
        <f t="shared" ca="1" si="63"/>
        <v>Keith Coburn, 11</v>
      </c>
      <c r="B83" s="8" t="str">
        <f>Roster!$B$1</f>
        <v>Upton</v>
      </c>
      <c r="C83" s="8" t="str">
        <f t="shared" ca="1" si="51"/>
        <v>Cokeville</v>
      </c>
      <c r="D83" s="10">
        <f t="shared" ca="1" si="52"/>
        <v>44914</v>
      </c>
      <c r="E83" s="8">
        <f t="shared" ca="1" si="53"/>
        <v>0</v>
      </c>
      <c r="F83" s="8">
        <f t="shared" ca="1" si="54"/>
        <v>0</v>
      </c>
      <c r="G83" s="8">
        <f t="shared" ca="1" si="55"/>
        <v>0</v>
      </c>
      <c r="H83" s="8">
        <f t="shared" ca="1" si="56"/>
        <v>0</v>
      </c>
      <c r="I83" s="8">
        <f t="shared" ca="1" si="57"/>
        <v>0</v>
      </c>
      <c r="J83" s="8">
        <f t="shared" ca="1" si="58"/>
        <v>0</v>
      </c>
      <c r="K83" s="8">
        <f t="shared" ca="1" si="59"/>
        <v>0</v>
      </c>
      <c r="L83" s="8">
        <f t="shared" ca="1" si="64"/>
        <v>0</v>
      </c>
      <c r="M83" s="8">
        <f t="shared" ca="1" si="65"/>
        <v>0</v>
      </c>
      <c r="N83" s="8">
        <f t="shared" ca="1" si="66"/>
        <v>0</v>
      </c>
      <c r="O83" s="8">
        <f t="shared" ca="1" si="67"/>
        <v>0</v>
      </c>
      <c r="P83" s="8">
        <f t="shared" ca="1" si="68"/>
        <v>0</v>
      </c>
      <c r="Q83" s="8">
        <f t="shared" ca="1" si="69"/>
        <v>0</v>
      </c>
      <c r="R83" s="8">
        <f t="shared" ca="1" si="70"/>
        <v>0</v>
      </c>
      <c r="S83" s="8">
        <f t="shared" ca="1" si="71"/>
        <v>0</v>
      </c>
      <c r="T83" s="8">
        <f t="shared" ca="1" si="72"/>
        <v>0</v>
      </c>
      <c r="U83" s="8">
        <f t="shared" ca="1" si="73"/>
        <v>0</v>
      </c>
      <c r="V83" s="8">
        <f t="shared" ca="1" si="74"/>
        <v>0</v>
      </c>
      <c r="W83" s="11" t="str">
        <f t="shared" ca="1" si="75"/>
        <v/>
      </c>
      <c r="X83" s="11" t="str">
        <f t="shared" ca="1" si="76"/>
        <v/>
      </c>
      <c r="Y83" s="11" t="str">
        <f t="shared" ca="1" si="77"/>
        <v/>
      </c>
      <c r="Z83" s="11" t="str">
        <f t="shared" ca="1" si="78"/>
        <v/>
      </c>
      <c r="AA83" s="11" t="str">
        <f t="shared" ca="1" si="79"/>
        <v/>
      </c>
      <c r="AB83" s="47">
        <f ca="1">PlayerGameData[[#This Row],[3FGA]]+PlayerGameData[[#This Row],[2FGA]]</f>
        <v>0</v>
      </c>
      <c r="AC83" s="47">
        <f ca="1">PlayerGameData[[#This Row],[OFF REB]]+PlayerGameData[[#This Row],[DEF REB]]</f>
        <v>0</v>
      </c>
      <c r="AD83" s="8">
        <f t="shared" si="60"/>
        <v>4</v>
      </c>
      <c r="AE83" s="8" t="str">
        <f t="shared" ca="1" si="61"/>
        <v>Keith Coburn, 11 - Cokeville 12/19/2022</v>
      </c>
      <c r="AF83" s="8" t="str">
        <f t="shared" ca="1" si="80"/>
        <v/>
      </c>
      <c r="AG83" s="8" t="str">
        <f ca="1">IFERROR(IF(C83=0,"",IF(AND(VLOOKUP(PlayerGameData[[#This Row],[Opponent]],WYTeamInfo,2,FALSE)=Roster!$D$1,VLOOKUP(PlayerGameData[[#This Row],[Opponent]],WYTeamInfo,3,FALSE)=Roster!$D$2),"SR","")),"")</f>
        <v/>
      </c>
      <c r="AH83" s="8" t="str">
        <f>CONCATENATE(Roster!$D$1," ",Roster!$D$5)</f>
        <v>1A BB</v>
      </c>
      <c r="AI83" s="8" t="str">
        <f t="shared" ca="1" si="62"/>
        <v>Upton - Cokeville 12/19/2022</v>
      </c>
      <c r="AJ83" s="8">
        <f ca="1">IFERROR(VLOOKUP(PlayerGameData[[#This Row],[School, Opponent,Game'#]],Table3[],2,FALSE),0)</f>
        <v>1</v>
      </c>
      <c r="AK83" s="8">
        <f ca="1">IF(PlayerGameData[[#This Row],[Visible]]=1,1,1000)</f>
        <v>1</v>
      </c>
      <c r="AL83" s="8">
        <f ca="1">RANK(PlayerGameData[[#This Row],[TL PTS]],PlayerGameData[TL PTS],0)+PlayerGameData[[#This Row],[VisibleOrder]]</f>
        <v>185</v>
      </c>
      <c r="AM83" s="8">
        <f ca="1">IF(COUNTIF(PlayerGameData[PointOrder],PlayerGameData[[#This Row],[PointOrder]])&gt;1,RANK(PlayerGameData[[#This Row],[FGA]],PlayerGameData[FGA],0)/100,0)+PlayerGameData[[#This Row],[PointOrder]]</f>
        <v>187.14</v>
      </c>
      <c r="AN83" s="8">
        <f ca="1">RANK(PlayerGameData[[#This Row],[PointTieBreak]],PlayerGameData[PointTieBreak],1)</f>
        <v>216</v>
      </c>
      <c r="AO83" s="8">
        <f ca="1">RANK(PlayerGameData[[#This Row],[REB]],PlayerGameData[REB],0)+PlayerGameData[[#This Row],[VisibleOrder]]</f>
        <v>192</v>
      </c>
      <c r="AP83" s="8">
        <f ca="1">IF(COUNTIF(PlayerGameData[REBOrder],PlayerGameData[[#This Row],[REBOrder]])&gt;1,PlayerGameData[[#This Row],[PointRank]]/100+PlayerGameData[[#This Row],[REBOrder]],PlayerGameData[[#This Row],[REBOrder]])</f>
        <v>194.16</v>
      </c>
      <c r="AQ83" s="8">
        <f ca="1">RANK(PlayerGameData[[#This Row],[REBTieBreak]],PlayerGameData[REBTieBreak],1)</f>
        <v>224</v>
      </c>
      <c r="AR83" s="8">
        <f ca="1">RANK(PlayerGameData[[#This Row],[AST]],PlayerGameData[AST],0)+PlayerGameData[[#This Row],[VisibleOrder]]</f>
        <v>158</v>
      </c>
      <c r="AS83" s="8">
        <f ca="1">IF(COUNTIF(PlayerGameData[ASTOrder],PlayerGameData[[#This Row],[ASTOrder]])&gt;1,PlayerGameData[[#This Row],[PointRank]]/100+PlayerGameData[[#This Row],[ASTOrder]],PlayerGameData[[#This Row],[ASTOrder]])</f>
        <v>160.16</v>
      </c>
      <c r="AT83" s="8">
        <f ca="1">RANK(PlayerGameData[[#This Row],[ASTTieBreak]],PlayerGameData[ASTTieBreak],1)</f>
        <v>221</v>
      </c>
      <c r="AU83" s="8">
        <f ca="1">RANK(PlayerGameData[[#This Row],[STL]],PlayerGameData[STL],0)+PlayerGameData[[#This Row],[VisibleOrder]]</f>
        <v>143</v>
      </c>
      <c r="AV83" s="8">
        <f ca="1">IF(COUNTIF(PlayerGameData[STLOrder],PlayerGameData[[#This Row],[STLOrder]])&gt;1,PlayerGameData[[#This Row],[PointRank]]/100+PlayerGameData[[#This Row],[STLOrder]],PlayerGameData[[#This Row],[STLOrder]])</f>
        <v>145.16</v>
      </c>
      <c r="AW83" s="8">
        <f ca="1">RANK(PlayerGameData[[#This Row],[STLTieBreak]],PlayerGameData[STLTieBreak],1)</f>
        <v>217</v>
      </c>
      <c r="AX83" s="8">
        <f ca="1">RANK(PlayerGameData[[#This Row],[BLK]],PlayerGameData[BLK],0)+PlayerGameData[[#This Row],[VisibleOrder]]</f>
        <v>32</v>
      </c>
      <c r="AY83" s="8">
        <f ca="1">IF(COUNTIF(PlayerGameData[BLKOrder],PlayerGameData[[#This Row],[BLKOrder]])&gt;1,PlayerGameData[[#This Row],[PointRank]]/100+PlayerGameData[[#This Row],[BLKOrder]],PlayerGameData[[#This Row],[BLKOrder]])</f>
        <v>34.159999999999997</v>
      </c>
      <c r="AZ83" s="8">
        <f ca="1">RANK(PlayerGameData[[#This Row],[BLKTieBreak]],PlayerGameData[BLKTieBreak],1)</f>
        <v>216</v>
      </c>
      <c r="BA83" s="11">
        <f ca="1">IFERROR(IF(PlayerGameData[[#This Row],[FGA]]&gt;$AA$5,PlayerGameData[[#This Row],[FG%*]],PlayerGameData[[#This Row],[FG%*]]*-1),-2)</f>
        <v>-2</v>
      </c>
      <c r="BB83" s="8">
        <f ca="1">RANK(PlayerGameData[[#This Row],[EligFG]],PlayerGameData[EligFG],0)+PlayerGameData[[#This Row],[VisibleOrder]]</f>
        <v>215</v>
      </c>
      <c r="BC83" s="8">
        <f ca="1">IF(COUNTIF(PlayerGameData[EligFGOrder],PlayerGameData[[#This Row],[EligFGOrder]])&gt;1,PlayerGameData[[#This Row],[PointRank]]/100+PlayerGameData[[#This Row],[EligFGOrder]],PlayerGameData[[#This Row],[EligFGOrder]])</f>
        <v>217.16</v>
      </c>
      <c r="BD83" s="8">
        <f ca="1">RANK(PlayerGameData[[#This Row],[EligFGTieBreak]],PlayerGameData[EligFGTieBreak],1)</f>
        <v>216</v>
      </c>
      <c r="BE83" s="8" t="str">
        <f>Roster!$D$3</f>
        <v>East</v>
      </c>
      <c r="BF83" s="8" t="str">
        <f>Roster!$D$2</f>
        <v>Northeast</v>
      </c>
      <c r="BG83" s="8" t="str">
        <f>Roster!$D$4</f>
        <v>North</v>
      </c>
      <c r="BH83" s="197">
        <f ca="1">IFERROR(VLOOKUP(CONCATENATE(PlayerGameData[[#This Row],[Opponent]]," ",MONTH(PlayerGameData[[#This Row],[Date]]),"/",DAY(PlayerGameData[[#This Row],[Date]]),"/",YEAR(PlayerGameData[[#This Row],[Date]])),Table35[],2,FALSE),0)</f>
        <v>1</v>
      </c>
      <c r="BI83" s="197">
        <f ca="1">IF(PlayerGameData[[#This Row],[Visible]]=1,1,1000)</f>
        <v>1</v>
      </c>
      <c r="BJ83" s="197" t="e">
        <f ca="1">_xlfn.MAXIFS(TeamGameData[Win],TeamGameData[School, Opponent,Game'#],PlayerGameData[[#This Row],[School, Opponent,Game'#]])</f>
        <v>#NAME?</v>
      </c>
      <c r="BK83" s="197" t="e">
        <f ca="1">_xlfn.MAXIFS(TeamGameData[Loss],TeamGameData[School, Opponent,Game'#],PlayerGameData[[#This Row],[School, Opponent,Game'#]])</f>
        <v>#NAME?</v>
      </c>
    </row>
    <row r="84" spans="1:63" x14ac:dyDescent="0.25">
      <c r="A84" s="8" t="str">
        <f t="shared" ca="1" si="63"/>
        <v>Carson Barritt, 14</v>
      </c>
      <c r="B84" s="8" t="str">
        <f>Roster!$B$1</f>
        <v>Upton</v>
      </c>
      <c r="C84" s="8" t="str">
        <f t="shared" ca="1" si="51"/>
        <v>Cokeville</v>
      </c>
      <c r="D84" s="10">
        <f t="shared" ca="1" si="52"/>
        <v>44914</v>
      </c>
      <c r="E84" s="8">
        <f t="shared" ca="1" si="53"/>
        <v>0</v>
      </c>
      <c r="F84" s="8">
        <f t="shared" ca="1" si="54"/>
        <v>0</v>
      </c>
      <c r="G84" s="8">
        <f t="shared" ca="1" si="55"/>
        <v>0</v>
      </c>
      <c r="H84" s="8">
        <f t="shared" ca="1" si="56"/>
        <v>0</v>
      </c>
      <c r="I84" s="8">
        <f t="shared" ca="1" si="57"/>
        <v>0</v>
      </c>
      <c r="J84" s="8">
        <f t="shared" ca="1" si="58"/>
        <v>0</v>
      </c>
      <c r="K84" s="8">
        <f t="shared" ca="1" si="59"/>
        <v>0</v>
      </c>
      <c r="L84" s="8">
        <f t="shared" ca="1" si="64"/>
        <v>0</v>
      </c>
      <c r="M84" s="8">
        <f t="shared" ca="1" si="65"/>
        <v>0</v>
      </c>
      <c r="N84" s="8">
        <f t="shared" ca="1" si="66"/>
        <v>0</v>
      </c>
      <c r="O84" s="8">
        <f t="shared" ca="1" si="67"/>
        <v>0</v>
      </c>
      <c r="P84" s="8">
        <f t="shared" ca="1" si="68"/>
        <v>0</v>
      </c>
      <c r="Q84" s="8">
        <f t="shared" ca="1" si="69"/>
        <v>0</v>
      </c>
      <c r="R84" s="8">
        <f t="shared" ca="1" si="70"/>
        <v>0</v>
      </c>
      <c r="S84" s="8">
        <f t="shared" ca="1" si="71"/>
        <v>0</v>
      </c>
      <c r="T84" s="8">
        <f t="shared" ca="1" si="72"/>
        <v>0</v>
      </c>
      <c r="U84" s="8">
        <f t="shared" ca="1" si="73"/>
        <v>0</v>
      </c>
      <c r="V84" s="8">
        <f t="shared" ca="1" si="74"/>
        <v>0</v>
      </c>
      <c r="W84" s="11" t="str">
        <f t="shared" ca="1" si="75"/>
        <v/>
      </c>
      <c r="X84" s="11" t="str">
        <f t="shared" ca="1" si="76"/>
        <v/>
      </c>
      <c r="Y84" s="11" t="str">
        <f t="shared" ca="1" si="77"/>
        <v/>
      </c>
      <c r="Z84" s="11" t="str">
        <f t="shared" ca="1" si="78"/>
        <v/>
      </c>
      <c r="AA84" s="11" t="str">
        <f t="shared" ca="1" si="79"/>
        <v/>
      </c>
      <c r="AB84" s="47">
        <f ca="1">PlayerGameData[[#This Row],[3FGA]]+PlayerGameData[[#This Row],[2FGA]]</f>
        <v>0</v>
      </c>
      <c r="AC84" s="47">
        <f ca="1">PlayerGameData[[#This Row],[OFF REB]]+PlayerGameData[[#This Row],[DEF REB]]</f>
        <v>0</v>
      </c>
      <c r="AD84" s="8">
        <f t="shared" si="60"/>
        <v>4</v>
      </c>
      <c r="AE84" s="8" t="str">
        <f t="shared" ca="1" si="61"/>
        <v>Carson Barritt, 14 - Cokeville 12/19/2022</v>
      </c>
      <c r="AF84" s="8" t="str">
        <f t="shared" ca="1" si="80"/>
        <v/>
      </c>
      <c r="AG84" s="8" t="str">
        <f ca="1">IFERROR(IF(C84=0,"",IF(AND(VLOOKUP(PlayerGameData[[#This Row],[Opponent]],WYTeamInfo,2,FALSE)=Roster!$D$1,VLOOKUP(PlayerGameData[[#This Row],[Opponent]],WYTeamInfo,3,FALSE)=Roster!$D$2),"SR","")),"")</f>
        <v/>
      </c>
      <c r="AH84" s="8" t="str">
        <f>CONCATENATE(Roster!$D$1," ",Roster!$D$5)</f>
        <v>1A BB</v>
      </c>
      <c r="AI84" s="8" t="str">
        <f t="shared" ca="1" si="62"/>
        <v>Upton - Cokeville 12/19/2022</v>
      </c>
      <c r="AJ84" s="8">
        <f ca="1">IFERROR(VLOOKUP(PlayerGameData[[#This Row],[School, Opponent,Game'#]],Table3[],2,FALSE),0)</f>
        <v>1</v>
      </c>
      <c r="AK84" s="8">
        <f ca="1">IF(PlayerGameData[[#This Row],[Visible]]=1,1,1000)</f>
        <v>1</v>
      </c>
      <c r="AL84" s="8">
        <f ca="1">RANK(PlayerGameData[[#This Row],[TL PTS]],PlayerGameData[TL PTS],0)+PlayerGameData[[#This Row],[VisibleOrder]]</f>
        <v>185</v>
      </c>
      <c r="AM84" s="8">
        <f ca="1">IF(COUNTIF(PlayerGameData[PointOrder],PlayerGameData[[#This Row],[PointOrder]])&gt;1,RANK(PlayerGameData[[#This Row],[FGA]],PlayerGameData[FGA],0)/100,0)+PlayerGameData[[#This Row],[PointOrder]]</f>
        <v>187.14</v>
      </c>
      <c r="AN84" s="8">
        <f ca="1">RANK(PlayerGameData[[#This Row],[PointTieBreak]],PlayerGameData[PointTieBreak],1)</f>
        <v>216</v>
      </c>
      <c r="AO84" s="8">
        <f ca="1">RANK(PlayerGameData[[#This Row],[REB]],PlayerGameData[REB],0)+PlayerGameData[[#This Row],[VisibleOrder]]</f>
        <v>192</v>
      </c>
      <c r="AP84" s="8">
        <f ca="1">IF(COUNTIF(PlayerGameData[REBOrder],PlayerGameData[[#This Row],[REBOrder]])&gt;1,PlayerGameData[[#This Row],[PointRank]]/100+PlayerGameData[[#This Row],[REBOrder]],PlayerGameData[[#This Row],[REBOrder]])</f>
        <v>194.16</v>
      </c>
      <c r="AQ84" s="8">
        <f ca="1">RANK(PlayerGameData[[#This Row],[REBTieBreak]],PlayerGameData[REBTieBreak],1)</f>
        <v>224</v>
      </c>
      <c r="AR84" s="8">
        <f ca="1">RANK(PlayerGameData[[#This Row],[AST]],PlayerGameData[AST],0)+PlayerGameData[[#This Row],[VisibleOrder]]</f>
        <v>158</v>
      </c>
      <c r="AS84" s="8">
        <f ca="1">IF(COUNTIF(PlayerGameData[ASTOrder],PlayerGameData[[#This Row],[ASTOrder]])&gt;1,PlayerGameData[[#This Row],[PointRank]]/100+PlayerGameData[[#This Row],[ASTOrder]],PlayerGameData[[#This Row],[ASTOrder]])</f>
        <v>160.16</v>
      </c>
      <c r="AT84" s="8">
        <f ca="1">RANK(PlayerGameData[[#This Row],[ASTTieBreak]],PlayerGameData[ASTTieBreak],1)</f>
        <v>221</v>
      </c>
      <c r="AU84" s="8">
        <f ca="1">RANK(PlayerGameData[[#This Row],[STL]],PlayerGameData[STL],0)+PlayerGameData[[#This Row],[VisibleOrder]]</f>
        <v>143</v>
      </c>
      <c r="AV84" s="8">
        <f ca="1">IF(COUNTIF(PlayerGameData[STLOrder],PlayerGameData[[#This Row],[STLOrder]])&gt;1,PlayerGameData[[#This Row],[PointRank]]/100+PlayerGameData[[#This Row],[STLOrder]],PlayerGameData[[#This Row],[STLOrder]])</f>
        <v>145.16</v>
      </c>
      <c r="AW84" s="8">
        <f ca="1">RANK(PlayerGameData[[#This Row],[STLTieBreak]],PlayerGameData[STLTieBreak],1)</f>
        <v>217</v>
      </c>
      <c r="AX84" s="8">
        <f ca="1">RANK(PlayerGameData[[#This Row],[BLK]],PlayerGameData[BLK],0)+PlayerGameData[[#This Row],[VisibleOrder]]</f>
        <v>32</v>
      </c>
      <c r="AY84" s="8">
        <f ca="1">IF(COUNTIF(PlayerGameData[BLKOrder],PlayerGameData[[#This Row],[BLKOrder]])&gt;1,PlayerGameData[[#This Row],[PointRank]]/100+PlayerGameData[[#This Row],[BLKOrder]],PlayerGameData[[#This Row],[BLKOrder]])</f>
        <v>34.159999999999997</v>
      </c>
      <c r="AZ84" s="8">
        <f ca="1">RANK(PlayerGameData[[#This Row],[BLKTieBreak]],PlayerGameData[BLKTieBreak],1)</f>
        <v>216</v>
      </c>
      <c r="BA84" s="11">
        <f ca="1">IFERROR(IF(PlayerGameData[[#This Row],[FGA]]&gt;$AA$5,PlayerGameData[[#This Row],[FG%*]],PlayerGameData[[#This Row],[FG%*]]*-1),-2)</f>
        <v>-2</v>
      </c>
      <c r="BB84" s="8">
        <f ca="1">RANK(PlayerGameData[[#This Row],[EligFG]],PlayerGameData[EligFG],0)+PlayerGameData[[#This Row],[VisibleOrder]]</f>
        <v>215</v>
      </c>
      <c r="BC84" s="8">
        <f ca="1">IF(COUNTIF(PlayerGameData[EligFGOrder],PlayerGameData[[#This Row],[EligFGOrder]])&gt;1,PlayerGameData[[#This Row],[PointRank]]/100+PlayerGameData[[#This Row],[EligFGOrder]],PlayerGameData[[#This Row],[EligFGOrder]])</f>
        <v>217.16</v>
      </c>
      <c r="BD84" s="8">
        <f ca="1">RANK(PlayerGameData[[#This Row],[EligFGTieBreak]],PlayerGameData[EligFGTieBreak],1)</f>
        <v>216</v>
      </c>
      <c r="BE84" s="8" t="str">
        <f>Roster!$D$3</f>
        <v>East</v>
      </c>
      <c r="BF84" s="8" t="str">
        <f>Roster!$D$2</f>
        <v>Northeast</v>
      </c>
      <c r="BG84" s="8" t="str">
        <f>Roster!$D$4</f>
        <v>North</v>
      </c>
      <c r="BH84" s="197">
        <f ca="1">IFERROR(VLOOKUP(CONCATENATE(PlayerGameData[[#This Row],[Opponent]]," ",MONTH(PlayerGameData[[#This Row],[Date]]),"/",DAY(PlayerGameData[[#This Row],[Date]]),"/",YEAR(PlayerGameData[[#This Row],[Date]])),Table35[],2,FALSE),0)</f>
        <v>1</v>
      </c>
      <c r="BI84" s="197">
        <f ca="1">IF(PlayerGameData[[#This Row],[Visible]]=1,1,1000)</f>
        <v>1</v>
      </c>
      <c r="BJ84" s="197" t="e">
        <f ca="1">_xlfn.MAXIFS(TeamGameData[Win],TeamGameData[School, Opponent,Game'#],PlayerGameData[[#This Row],[School, Opponent,Game'#]])</f>
        <v>#NAME?</v>
      </c>
      <c r="BK84" s="197" t="e">
        <f ca="1">_xlfn.MAXIFS(TeamGameData[Loss],TeamGameData[School, Opponent,Game'#],PlayerGameData[[#This Row],[School, Opponent,Game'#]])</f>
        <v>#NAME?</v>
      </c>
    </row>
    <row r="85" spans="1:63" x14ac:dyDescent="0.25">
      <c r="A85" s="8" t="str">
        <f t="shared" ca="1" si="63"/>
        <v>Ben Carpenter, 21</v>
      </c>
      <c r="B85" s="8" t="str">
        <f>Roster!$B$1</f>
        <v>Upton</v>
      </c>
      <c r="C85" s="8" t="str">
        <f t="shared" ca="1" si="51"/>
        <v>Cokeville</v>
      </c>
      <c r="D85" s="10">
        <f t="shared" ca="1" si="52"/>
        <v>44914</v>
      </c>
      <c r="E85" s="8">
        <f t="shared" ca="1" si="53"/>
        <v>0</v>
      </c>
      <c r="F85" s="8">
        <f t="shared" ca="1" si="54"/>
        <v>0</v>
      </c>
      <c r="G85" s="8">
        <f t="shared" ca="1" si="55"/>
        <v>0</v>
      </c>
      <c r="H85" s="8">
        <f t="shared" ca="1" si="56"/>
        <v>0</v>
      </c>
      <c r="I85" s="8">
        <f t="shared" ca="1" si="57"/>
        <v>0</v>
      </c>
      <c r="J85" s="8">
        <f t="shared" ca="1" si="58"/>
        <v>0</v>
      </c>
      <c r="K85" s="8">
        <f t="shared" ca="1" si="59"/>
        <v>0</v>
      </c>
      <c r="L85" s="8">
        <f t="shared" ca="1" si="64"/>
        <v>0</v>
      </c>
      <c r="M85" s="8">
        <f t="shared" ca="1" si="65"/>
        <v>0</v>
      </c>
      <c r="N85" s="8">
        <f t="shared" ca="1" si="66"/>
        <v>0</v>
      </c>
      <c r="O85" s="8">
        <f t="shared" ca="1" si="67"/>
        <v>0</v>
      </c>
      <c r="P85" s="8">
        <f t="shared" ca="1" si="68"/>
        <v>0</v>
      </c>
      <c r="Q85" s="8">
        <f t="shared" ca="1" si="69"/>
        <v>0</v>
      </c>
      <c r="R85" s="8">
        <f t="shared" ca="1" si="70"/>
        <v>0</v>
      </c>
      <c r="S85" s="8">
        <f t="shared" ca="1" si="71"/>
        <v>0</v>
      </c>
      <c r="T85" s="8">
        <f t="shared" ca="1" si="72"/>
        <v>0</v>
      </c>
      <c r="U85" s="8">
        <f t="shared" ca="1" si="73"/>
        <v>0</v>
      </c>
      <c r="V85" s="8">
        <f t="shared" ca="1" si="74"/>
        <v>0</v>
      </c>
      <c r="W85" s="11" t="str">
        <f t="shared" ca="1" si="75"/>
        <v/>
      </c>
      <c r="X85" s="11" t="str">
        <f t="shared" ca="1" si="76"/>
        <v/>
      </c>
      <c r="Y85" s="11" t="str">
        <f t="shared" ca="1" si="77"/>
        <v/>
      </c>
      <c r="Z85" s="11" t="str">
        <f t="shared" ca="1" si="78"/>
        <v/>
      </c>
      <c r="AA85" s="11" t="str">
        <f t="shared" ca="1" si="79"/>
        <v/>
      </c>
      <c r="AB85" s="47">
        <f ca="1">PlayerGameData[[#This Row],[3FGA]]+PlayerGameData[[#This Row],[2FGA]]</f>
        <v>0</v>
      </c>
      <c r="AC85" s="47">
        <f ca="1">PlayerGameData[[#This Row],[OFF REB]]+PlayerGameData[[#This Row],[DEF REB]]</f>
        <v>0</v>
      </c>
      <c r="AD85" s="8">
        <f t="shared" si="60"/>
        <v>4</v>
      </c>
      <c r="AE85" s="8" t="str">
        <f t="shared" ca="1" si="61"/>
        <v>Ben Carpenter, 21 - Cokeville 12/19/2022</v>
      </c>
      <c r="AF85" s="8" t="str">
        <f t="shared" ca="1" si="80"/>
        <v/>
      </c>
      <c r="AG85" s="8" t="str">
        <f ca="1">IFERROR(IF(C85=0,"",IF(AND(VLOOKUP(PlayerGameData[[#This Row],[Opponent]],WYTeamInfo,2,FALSE)=Roster!$D$1,VLOOKUP(PlayerGameData[[#This Row],[Opponent]],WYTeamInfo,3,FALSE)=Roster!$D$2),"SR","")),"")</f>
        <v/>
      </c>
      <c r="AH85" s="8" t="str">
        <f>CONCATENATE(Roster!$D$1," ",Roster!$D$5)</f>
        <v>1A BB</v>
      </c>
      <c r="AI85" s="8" t="str">
        <f t="shared" ca="1" si="62"/>
        <v>Upton - Cokeville 12/19/2022</v>
      </c>
      <c r="AJ85" s="8">
        <f ca="1">IFERROR(VLOOKUP(PlayerGameData[[#This Row],[School, Opponent,Game'#]],Table3[],2,FALSE),0)</f>
        <v>1</v>
      </c>
      <c r="AK85" s="8">
        <f ca="1">IF(PlayerGameData[[#This Row],[Visible]]=1,1,1000)</f>
        <v>1</v>
      </c>
      <c r="AL85" s="8">
        <f ca="1">RANK(PlayerGameData[[#This Row],[TL PTS]],PlayerGameData[TL PTS],0)+PlayerGameData[[#This Row],[VisibleOrder]]</f>
        <v>185</v>
      </c>
      <c r="AM85" s="8">
        <f ca="1">IF(COUNTIF(PlayerGameData[PointOrder],PlayerGameData[[#This Row],[PointOrder]])&gt;1,RANK(PlayerGameData[[#This Row],[FGA]],PlayerGameData[FGA],0)/100,0)+PlayerGameData[[#This Row],[PointOrder]]</f>
        <v>187.14</v>
      </c>
      <c r="AN85" s="8">
        <f ca="1">RANK(PlayerGameData[[#This Row],[PointTieBreak]],PlayerGameData[PointTieBreak],1)</f>
        <v>216</v>
      </c>
      <c r="AO85" s="8">
        <f ca="1">RANK(PlayerGameData[[#This Row],[REB]],PlayerGameData[REB],0)+PlayerGameData[[#This Row],[VisibleOrder]]</f>
        <v>192</v>
      </c>
      <c r="AP85" s="8">
        <f ca="1">IF(COUNTIF(PlayerGameData[REBOrder],PlayerGameData[[#This Row],[REBOrder]])&gt;1,PlayerGameData[[#This Row],[PointRank]]/100+PlayerGameData[[#This Row],[REBOrder]],PlayerGameData[[#This Row],[REBOrder]])</f>
        <v>194.16</v>
      </c>
      <c r="AQ85" s="8">
        <f ca="1">RANK(PlayerGameData[[#This Row],[REBTieBreak]],PlayerGameData[REBTieBreak],1)</f>
        <v>224</v>
      </c>
      <c r="AR85" s="8">
        <f ca="1">RANK(PlayerGameData[[#This Row],[AST]],PlayerGameData[AST],0)+PlayerGameData[[#This Row],[VisibleOrder]]</f>
        <v>158</v>
      </c>
      <c r="AS85" s="8">
        <f ca="1">IF(COUNTIF(PlayerGameData[ASTOrder],PlayerGameData[[#This Row],[ASTOrder]])&gt;1,PlayerGameData[[#This Row],[PointRank]]/100+PlayerGameData[[#This Row],[ASTOrder]],PlayerGameData[[#This Row],[ASTOrder]])</f>
        <v>160.16</v>
      </c>
      <c r="AT85" s="8">
        <f ca="1">RANK(PlayerGameData[[#This Row],[ASTTieBreak]],PlayerGameData[ASTTieBreak],1)</f>
        <v>221</v>
      </c>
      <c r="AU85" s="8">
        <f ca="1">RANK(PlayerGameData[[#This Row],[STL]],PlayerGameData[STL],0)+PlayerGameData[[#This Row],[VisibleOrder]]</f>
        <v>143</v>
      </c>
      <c r="AV85" s="8">
        <f ca="1">IF(COUNTIF(PlayerGameData[STLOrder],PlayerGameData[[#This Row],[STLOrder]])&gt;1,PlayerGameData[[#This Row],[PointRank]]/100+PlayerGameData[[#This Row],[STLOrder]],PlayerGameData[[#This Row],[STLOrder]])</f>
        <v>145.16</v>
      </c>
      <c r="AW85" s="8">
        <f ca="1">RANK(PlayerGameData[[#This Row],[STLTieBreak]],PlayerGameData[STLTieBreak],1)</f>
        <v>217</v>
      </c>
      <c r="AX85" s="8">
        <f ca="1">RANK(PlayerGameData[[#This Row],[BLK]],PlayerGameData[BLK],0)+PlayerGameData[[#This Row],[VisibleOrder]]</f>
        <v>32</v>
      </c>
      <c r="AY85" s="8">
        <f ca="1">IF(COUNTIF(PlayerGameData[BLKOrder],PlayerGameData[[#This Row],[BLKOrder]])&gt;1,PlayerGameData[[#This Row],[PointRank]]/100+PlayerGameData[[#This Row],[BLKOrder]],PlayerGameData[[#This Row],[BLKOrder]])</f>
        <v>34.159999999999997</v>
      </c>
      <c r="AZ85" s="8">
        <f ca="1">RANK(PlayerGameData[[#This Row],[BLKTieBreak]],PlayerGameData[BLKTieBreak],1)</f>
        <v>216</v>
      </c>
      <c r="BA85" s="11">
        <f ca="1">IFERROR(IF(PlayerGameData[[#This Row],[FGA]]&gt;$AA$5,PlayerGameData[[#This Row],[FG%*]],PlayerGameData[[#This Row],[FG%*]]*-1),-2)</f>
        <v>-2</v>
      </c>
      <c r="BB85" s="8">
        <f ca="1">RANK(PlayerGameData[[#This Row],[EligFG]],PlayerGameData[EligFG],0)+PlayerGameData[[#This Row],[VisibleOrder]]</f>
        <v>215</v>
      </c>
      <c r="BC85" s="8">
        <f ca="1">IF(COUNTIF(PlayerGameData[EligFGOrder],PlayerGameData[[#This Row],[EligFGOrder]])&gt;1,PlayerGameData[[#This Row],[PointRank]]/100+PlayerGameData[[#This Row],[EligFGOrder]],PlayerGameData[[#This Row],[EligFGOrder]])</f>
        <v>217.16</v>
      </c>
      <c r="BD85" s="8">
        <f ca="1">RANK(PlayerGameData[[#This Row],[EligFGTieBreak]],PlayerGameData[EligFGTieBreak],1)</f>
        <v>216</v>
      </c>
      <c r="BE85" s="8" t="str">
        <f>Roster!$D$3</f>
        <v>East</v>
      </c>
      <c r="BF85" s="8" t="str">
        <f>Roster!$D$2</f>
        <v>Northeast</v>
      </c>
      <c r="BG85" s="8" t="str">
        <f>Roster!$D$4</f>
        <v>North</v>
      </c>
      <c r="BH85" s="197">
        <f ca="1">IFERROR(VLOOKUP(CONCATENATE(PlayerGameData[[#This Row],[Opponent]]," ",MONTH(PlayerGameData[[#This Row],[Date]]),"/",DAY(PlayerGameData[[#This Row],[Date]]),"/",YEAR(PlayerGameData[[#This Row],[Date]])),Table35[],2,FALSE),0)</f>
        <v>1</v>
      </c>
      <c r="BI85" s="197">
        <f ca="1">IF(PlayerGameData[[#This Row],[Visible]]=1,1,1000)</f>
        <v>1</v>
      </c>
      <c r="BJ85" s="197" t="e">
        <f ca="1">_xlfn.MAXIFS(TeamGameData[Win],TeamGameData[School, Opponent,Game'#],PlayerGameData[[#This Row],[School, Opponent,Game'#]])</f>
        <v>#NAME?</v>
      </c>
      <c r="BK85" s="197" t="e">
        <f ca="1">_xlfn.MAXIFS(TeamGameData[Loss],TeamGameData[School, Opponent,Game'#],PlayerGameData[[#This Row],[School, Opponent,Game'#]])</f>
        <v>#NAME?</v>
      </c>
    </row>
    <row r="86" spans="1:63" x14ac:dyDescent="0.25">
      <c r="A86" s="8" t="str">
        <f t="shared" ca="1" si="63"/>
        <v>Ethan Schiller, 23</v>
      </c>
      <c r="B86" s="8" t="str">
        <f>Roster!$B$1</f>
        <v>Upton</v>
      </c>
      <c r="C86" s="8" t="str">
        <f t="shared" ca="1" si="51"/>
        <v>Cokeville</v>
      </c>
      <c r="D86" s="10">
        <f t="shared" ca="1" si="52"/>
        <v>44914</v>
      </c>
      <c r="E86" s="8">
        <f t="shared" ca="1" si="53"/>
        <v>1</v>
      </c>
      <c r="F86" s="8">
        <f t="shared" ca="1" si="54"/>
        <v>1</v>
      </c>
      <c r="G86" s="8">
        <f t="shared" ca="1" si="55"/>
        <v>24</v>
      </c>
      <c r="H86" s="8">
        <f t="shared" ca="1" si="56"/>
        <v>4</v>
      </c>
      <c r="I86" s="8">
        <f t="shared" ca="1" si="57"/>
        <v>6</v>
      </c>
      <c r="J86" s="8">
        <f t="shared" ca="1" si="58"/>
        <v>0</v>
      </c>
      <c r="K86" s="8">
        <f t="shared" ca="1" si="59"/>
        <v>4</v>
      </c>
      <c r="L86" s="8">
        <f t="shared" ca="1" si="64"/>
        <v>0</v>
      </c>
      <c r="M86" s="8">
        <f t="shared" ca="1" si="65"/>
        <v>0</v>
      </c>
      <c r="N86" s="8">
        <f t="shared" ca="1" si="66"/>
        <v>0</v>
      </c>
      <c r="O86" s="8">
        <f t="shared" ca="1" si="67"/>
        <v>4</v>
      </c>
      <c r="P86" s="8">
        <f t="shared" ca="1" si="68"/>
        <v>3</v>
      </c>
      <c r="Q86" s="8">
        <f t="shared" ca="1" si="69"/>
        <v>3</v>
      </c>
      <c r="R86" s="8">
        <f t="shared" ca="1" si="70"/>
        <v>3</v>
      </c>
      <c r="S86" s="8">
        <f t="shared" ca="1" si="71"/>
        <v>5</v>
      </c>
      <c r="T86" s="8">
        <f t="shared" ca="1" si="72"/>
        <v>3</v>
      </c>
      <c r="U86" s="8">
        <f t="shared" ca="1" si="73"/>
        <v>0</v>
      </c>
      <c r="V86" s="8">
        <f t="shared" ca="1" si="74"/>
        <v>12</v>
      </c>
      <c r="W86" s="11">
        <f t="shared" ca="1" si="75"/>
        <v>0.66666666666666663</v>
      </c>
      <c r="X86" s="11">
        <f t="shared" ca="1" si="76"/>
        <v>0</v>
      </c>
      <c r="Y86" s="11" t="str">
        <f t="shared" ca="1" si="77"/>
        <v/>
      </c>
      <c r="Z86" s="11">
        <f t="shared" ca="1" si="78"/>
        <v>0.4</v>
      </c>
      <c r="AA86" s="11">
        <f t="shared" ca="1" si="79"/>
        <v>0.6</v>
      </c>
      <c r="AB86" s="47">
        <f ca="1">PlayerGameData[[#This Row],[3FGA]]+PlayerGameData[[#This Row],[2FGA]]</f>
        <v>10</v>
      </c>
      <c r="AC86" s="47">
        <f ca="1">PlayerGameData[[#This Row],[OFF REB]]+PlayerGameData[[#This Row],[DEF REB]]</f>
        <v>4</v>
      </c>
      <c r="AD86" s="8">
        <f t="shared" si="60"/>
        <v>4</v>
      </c>
      <c r="AE86" s="8" t="str">
        <f t="shared" ca="1" si="61"/>
        <v>Ethan Schiller, 23 - Cokeville 12/19/2022</v>
      </c>
      <c r="AF86" s="8" t="str">
        <f t="shared" ca="1" si="80"/>
        <v/>
      </c>
      <c r="AG86" s="8" t="str">
        <f ca="1">IFERROR(IF(C86=0,"",IF(AND(VLOOKUP(PlayerGameData[[#This Row],[Opponent]],WYTeamInfo,2,FALSE)=Roster!$D$1,VLOOKUP(PlayerGameData[[#This Row],[Opponent]],WYTeamInfo,3,FALSE)=Roster!$D$2),"SR","")),"")</f>
        <v/>
      </c>
      <c r="AH86" s="8" t="str">
        <f>CONCATENATE(Roster!$D$1," ",Roster!$D$5)</f>
        <v>1A BB</v>
      </c>
      <c r="AI86" s="8" t="str">
        <f t="shared" ca="1" si="62"/>
        <v>Upton - Cokeville 12/19/2022</v>
      </c>
      <c r="AJ86" s="8">
        <f ca="1">IFERROR(VLOOKUP(PlayerGameData[[#This Row],[School, Opponent,Game'#]],Table3[],2,FALSE),0)</f>
        <v>1</v>
      </c>
      <c r="AK86" s="8">
        <f ca="1">IF(PlayerGameData[[#This Row],[Visible]]=1,1,1000)</f>
        <v>1</v>
      </c>
      <c r="AL86" s="8">
        <f ca="1">RANK(PlayerGameData[[#This Row],[TL PTS]],PlayerGameData[TL PTS],0)+PlayerGameData[[#This Row],[VisibleOrder]]</f>
        <v>51</v>
      </c>
      <c r="AM86" s="8">
        <f ca="1">IF(COUNTIF(PlayerGameData[PointOrder],PlayerGameData[[#This Row],[PointOrder]])&gt;1,RANK(PlayerGameData[[#This Row],[FGA]],PlayerGameData[FGA],0)/100,0)+PlayerGameData[[#This Row],[PointOrder]]</f>
        <v>51.43</v>
      </c>
      <c r="AN86" s="8">
        <f ca="1">RANK(PlayerGameData[[#This Row],[PointTieBreak]],PlayerGameData[PointTieBreak],1)</f>
        <v>51</v>
      </c>
      <c r="AO86" s="8">
        <f ca="1">RANK(PlayerGameData[[#This Row],[REB]],PlayerGameData[REB],0)+PlayerGameData[[#This Row],[VisibleOrder]]</f>
        <v>79</v>
      </c>
      <c r="AP86" s="8">
        <f ca="1">IF(COUNTIF(PlayerGameData[REBOrder],PlayerGameData[[#This Row],[REBOrder]])&gt;1,PlayerGameData[[#This Row],[PointRank]]/100+PlayerGameData[[#This Row],[REBOrder]],PlayerGameData[[#This Row],[REBOrder]])</f>
        <v>79.510000000000005</v>
      </c>
      <c r="AQ86" s="8">
        <f ca="1">RANK(PlayerGameData[[#This Row],[REBTieBreak]],PlayerGameData[REBTieBreak],1)</f>
        <v>87</v>
      </c>
      <c r="AR86" s="8">
        <f ca="1">RANK(PlayerGameData[[#This Row],[AST]],PlayerGameData[AST],0)+PlayerGameData[[#This Row],[VisibleOrder]]</f>
        <v>39</v>
      </c>
      <c r="AS86" s="8">
        <f ca="1">IF(COUNTIF(PlayerGameData[ASTOrder],PlayerGameData[[#This Row],[ASTOrder]])&gt;1,PlayerGameData[[#This Row],[PointRank]]/100+PlayerGameData[[#This Row],[ASTOrder]],PlayerGameData[[#This Row],[ASTOrder]])</f>
        <v>39.51</v>
      </c>
      <c r="AT86" s="8">
        <f ca="1">RANK(PlayerGameData[[#This Row],[ASTTieBreak]],PlayerGameData[ASTTieBreak],1)</f>
        <v>44</v>
      </c>
      <c r="AU86" s="8">
        <f ca="1">RANK(PlayerGameData[[#This Row],[STL]],PlayerGameData[STL],0)+PlayerGameData[[#This Row],[VisibleOrder]]</f>
        <v>26</v>
      </c>
      <c r="AV86" s="8">
        <f ca="1">IF(COUNTIF(PlayerGameData[STLOrder],PlayerGameData[[#This Row],[STLOrder]])&gt;1,PlayerGameData[[#This Row],[PointRank]]/100+PlayerGameData[[#This Row],[STLOrder]],PlayerGameData[[#This Row],[STLOrder]])</f>
        <v>26.51</v>
      </c>
      <c r="AW86" s="8">
        <f ca="1">RANK(PlayerGameData[[#This Row],[STLTieBreak]],PlayerGameData[STLTieBreak],1)</f>
        <v>32</v>
      </c>
      <c r="AX86" s="8">
        <f ca="1">RANK(PlayerGameData[[#This Row],[BLK]],PlayerGameData[BLK],0)+PlayerGameData[[#This Row],[VisibleOrder]]</f>
        <v>2</v>
      </c>
      <c r="AY86" s="8">
        <f ca="1">IF(COUNTIF(PlayerGameData[BLKOrder],PlayerGameData[[#This Row],[BLKOrder]])&gt;1,PlayerGameData[[#This Row],[PointRank]]/100+PlayerGameData[[#This Row],[BLKOrder]],PlayerGameData[[#This Row],[BLKOrder]])</f>
        <v>2.5099999999999998</v>
      </c>
      <c r="AZ86" s="8">
        <f ca="1">RANK(PlayerGameData[[#This Row],[BLKTieBreak]],PlayerGameData[BLKTieBreak],1)</f>
        <v>2</v>
      </c>
      <c r="BA86" s="11">
        <f ca="1">IFERROR(IF(PlayerGameData[[#This Row],[FGA]]&gt;$AA$5,PlayerGameData[[#This Row],[FG%*]],PlayerGameData[[#This Row],[FG%*]]*-1),-2)</f>
        <v>0.4</v>
      </c>
      <c r="BB86" s="8">
        <f ca="1">RANK(PlayerGameData[[#This Row],[EligFG]],PlayerGameData[EligFG],0)+PlayerGameData[[#This Row],[VisibleOrder]]</f>
        <v>68</v>
      </c>
      <c r="BC86" s="8">
        <f ca="1">IF(COUNTIF(PlayerGameData[EligFGOrder],PlayerGameData[[#This Row],[EligFGOrder]])&gt;1,PlayerGameData[[#This Row],[PointRank]]/100+PlayerGameData[[#This Row],[EligFGOrder]],PlayerGameData[[#This Row],[EligFGOrder]])</f>
        <v>68.510000000000005</v>
      </c>
      <c r="BD86" s="8">
        <f ca="1">RANK(PlayerGameData[[#This Row],[EligFGTieBreak]],PlayerGameData[EligFGTieBreak],1)</f>
        <v>68</v>
      </c>
      <c r="BE86" s="8" t="str">
        <f>Roster!$D$3</f>
        <v>East</v>
      </c>
      <c r="BF86" s="8" t="str">
        <f>Roster!$D$2</f>
        <v>Northeast</v>
      </c>
      <c r="BG86" s="8" t="str">
        <f>Roster!$D$4</f>
        <v>North</v>
      </c>
      <c r="BH86" s="197">
        <f ca="1">IFERROR(VLOOKUP(CONCATENATE(PlayerGameData[[#This Row],[Opponent]]," ",MONTH(PlayerGameData[[#This Row],[Date]]),"/",DAY(PlayerGameData[[#This Row],[Date]]),"/",YEAR(PlayerGameData[[#This Row],[Date]])),Table35[],2,FALSE),0)</f>
        <v>1</v>
      </c>
      <c r="BI86" s="197">
        <f ca="1">IF(PlayerGameData[[#This Row],[Visible]]=1,1,1000)</f>
        <v>1</v>
      </c>
      <c r="BJ86" s="197" t="e">
        <f ca="1">_xlfn.MAXIFS(TeamGameData[Win],TeamGameData[School, Opponent,Game'#],PlayerGameData[[#This Row],[School, Opponent,Game'#]])</f>
        <v>#NAME?</v>
      </c>
      <c r="BK86" s="197" t="e">
        <f ca="1">_xlfn.MAXIFS(TeamGameData[Loss],TeamGameData[School, Opponent,Game'#],PlayerGameData[[#This Row],[School, Opponent,Game'#]])</f>
        <v>#NAME?</v>
      </c>
    </row>
    <row r="87" spans="1:63" x14ac:dyDescent="0.25">
      <c r="A87" s="8" t="str">
        <f t="shared" ca="1" si="63"/>
        <v>Bridger Bruce, 25</v>
      </c>
      <c r="B87" s="8" t="str">
        <f>Roster!$B$1</f>
        <v>Upton</v>
      </c>
      <c r="C87" s="8" t="str">
        <f t="shared" ca="1" si="51"/>
        <v>Cokeville</v>
      </c>
      <c r="D87" s="10">
        <f t="shared" ca="1" si="52"/>
        <v>44914</v>
      </c>
      <c r="E87" s="8">
        <f t="shared" ca="1" si="53"/>
        <v>1</v>
      </c>
      <c r="F87" s="8">
        <f t="shared" ca="1" si="54"/>
        <v>0</v>
      </c>
      <c r="G87" s="8">
        <f t="shared" ca="1" si="55"/>
        <v>12</v>
      </c>
      <c r="H87" s="8">
        <f t="shared" ca="1" si="56"/>
        <v>0</v>
      </c>
      <c r="I87" s="8">
        <f t="shared" ca="1" si="57"/>
        <v>2</v>
      </c>
      <c r="J87" s="8">
        <f t="shared" ca="1" si="58"/>
        <v>1</v>
      </c>
      <c r="K87" s="8">
        <f t="shared" ca="1" si="59"/>
        <v>2</v>
      </c>
      <c r="L87" s="8">
        <f t="shared" ca="1" si="64"/>
        <v>0</v>
      </c>
      <c r="M87" s="8">
        <f t="shared" ca="1" si="65"/>
        <v>0</v>
      </c>
      <c r="N87" s="8">
        <f t="shared" ca="1" si="66"/>
        <v>1</v>
      </c>
      <c r="O87" s="8">
        <f t="shared" ca="1" si="67"/>
        <v>0</v>
      </c>
      <c r="P87" s="8">
        <f t="shared" ca="1" si="68"/>
        <v>0</v>
      </c>
      <c r="Q87" s="8">
        <f t="shared" ca="1" si="69"/>
        <v>0</v>
      </c>
      <c r="R87" s="8">
        <f t="shared" ca="1" si="70"/>
        <v>0</v>
      </c>
      <c r="S87" s="8">
        <f t="shared" ca="1" si="71"/>
        <v>1</v>
      </c>
      <c r="T87" s="8">
        <f t="shared" ca="1" si="72"/>
        <v>0</v>
      </c>
      <c r="U87" s="8">
        <f t="shared" ca="1" si="73"/>
        <v>0</v>
      </c>
      <c r="V87" s="8">
        <f t="shared" ca="1" si="74"/>
        <v>2</v>
      </c>
      <c r="W87" s="11">
        <f t="shared" ca="1" si="75"/>
        <v>0</v>
      </c>
      <c r="X87" s="11">
        <f t="shared" ca="1" si="76"/>
        <v>0.5</v>
      </c>
      <c r="Y87" s="11" t="str">
        <f t="shared" ca="1" si="77"/>
        <v/>
      </c>
      <c r="Z87" s="11">
        <f t="shared" ca="1" si="78"/>
        <v>0.25</v>
      </c>
      <c r="AA87" s="11">
        <f t="shared" ca="1" si="79"/>
        <v>0.25</v>
      </c>
      <c r="AB87" s="47">
        <f ca="1">PlayerGameData[[#This Row],[3FGA]]+PlayerGameData[[#This Row],[2FGA]]</f>
        <v>4</v>
      </c>
      <c r="AC87" s="47">
        <f ca="1">PlayerGameData[[#This Row],[OFF REB]]+PlayerGameData[[#This Row],[DEF REB]]</f>
        <v>1</v>
      </c>
      <c r="AD87" s="8">
        <f t="shared" si="60"/>
        <v>4</v>
      </c>
      <c r="AE87" s="8" t="str">
        <f t="shared" ca="1" si="61"/>
        <v>Bridger Bruce, 25 - Cokeville 12/19/2022</v>
      </c>
      <c r="AF87" s="8" t="str">
        <f t="shared" ca="1" si="80"/>
        <v/>
      </c>
      <c r="AG87" s="8" t="str">
        <f ca="1">IFERROR(IF(C87=0,"",IF(AND(VLOOKUP(PlayerGameData[[#This Row],[Opponent]],WYTeamInfo,2,FALSE)=Roster!$D$1,VLOOKUP(PlayerGameData[[#This Row],[Opponent]],WYTeamInfo,3,FALSE)=Roster!$D$2),"SR","")),"")</f>
        <v/>
      </c>
      <c r="AH87" s="8" t="str">
        <f>CONCATENATE(Roster!$D$1," ",Roster!$D$5)</f>
        <v>1A BB</v>
      </c>
      <c r="AI87" s="8" t="str">
        <f t="shared" ca="1" si="62"/>
        <v>Upton - Cokeville 12/19/2022</v>
      </c>
      <c r="AJ87" s="8">
        <f ca="1">IFERROR(VLOOKUP(PlayerGameData[[#This Row],[School, Opponent,Game'#]],Table3[],2,FALSE),0)</f>
        <v>1</v>
      </c>
      <c r="AK87" s="8">
        <f ca="1">IF(PlayerGameData[[#This Row],[Visible]]=1,1,1000)</f>
        <v>1</v>
      </c>
      <c r="AL87" s="8">
        <f ca="1">RANK(PlayerGameData[[#This Row],[TL PTS]],PlayerGameData[TL PTS],0)+PlayerGameData[[#This Row],[VisibleOrder]]</f>
        <v>152</v>
      </c>
      <c r="AM87" s="8">
        <f ca="1">IF(COUNTIF(PlayerGameData[PointOrder],PlayerGameData[[#This Row],[PointOrder]])&gt;1,RANK(PlayerGameData[[#This Row],[FGA]],PlayerGameData[FGA],0)/100,0)+PlayerGameData[[#This Row],[PointOrder]]</f>
        <v>153.27000000000001</v>
      </c>
      <c r="AN87" s="8">
        <f ca="1">RANK(PlayerGameData[[#This Row],[PointTieBreak]],PlayerGameData[PointTieBreak],1)</f>
        <v>157</v>
      </c>
      <c r="AO87" s="8">
        <f ca="1">RANK(PlayerGameData[[#This Row],[REB]],PlayerGameData[REB],0)+PlayerGameData[[#This Row],[VisibleOrder]]</f>
        <v>163</v>
      </c>
      <c r="AP87" s="8">
        <f ca="1">IF(COUNTIF(PlayerGameData[REBOrder],PlayerGameData[[#This Row],[REBOrder]])&gt;1,PlayerGameData[[#This Row],[PointRank]]/100+PlayerGameData[[#This Row],[REBOrder]],PlayerGameData[[#This Row],[REBOrder]])</f>
        <v>164.57</v>
      </c>
      <c r="AQ87" s="8">
        <f ca="1">RANK(PlayerGameData[[#This Row],[REBTieBreak]],PlayerGameData[REBTieBreak],1)</f>
        <v>173</v>
      </c>
      <c r="AR87" s="8">
        <f ca="1">RANK(PlayerGameData[[#This Row],[AST]],PlayerGameData[AST],0)+PlayerGameData[[#This Row],[VisibleOrder]]</f>
        <v>158</v>
      </c>
      <c r="AS87" s="8">
        <f ca="1">IF(COUNTIF(PlayerGameData[ASTOrder],PlayerGameData[[#This Row],[ASTOrder]])&gt;1,PlayerGameData[[#This Row],[PointRank]]/100+PlayerGameData[[#This Row],[ASTOrder]],PlayerGameData[[#This Row],[ASTOrder]])</f>
        <v>159.57</v>
      </c>
      <c r="AT87" s="8">
        <f ca="1">RANK(PlayerGameData[[#This Row],[ASTTieBreak]],PlayerGameData[ASTTieBreak],1)</f>
        <v>183</v>
      </c>
      <c r="AU87" s="8">
        <f ca="1">RANK(PlayerGameData[[#This Row],[STL]],PlayerGameData[STL],0)+PlayerGameData[[#This Row],[VisibleOrder]]</f>
        <v>143</v>
      </c>
      <c r="AV87" s="8">
        <f ca="1">IF(COUNTIF(PlayerGameData[STLOrder],PlayerGameData[[#This Row],[STLOrder]])&gt;1,PlayerGameData[[#This Row],[PointRank]]/100+PlayerGameData[[#This Row],[STLOrder]],PlayerGameData[[#This Row],[STLOrder]])</f>
        <v>144.57</v>
      </c>
      <c r="AW87" s="8">
        <f ca="1">RANK(PlayerGameData[[#This Row],[STLTieBreak]],PlayerGameData[STLTieBreak],1)</f>
        <v>177</v>
      </c>
      <c r="AX87" s="8">
        <f ca="1">RANK(PlayerGameData[[#This Row],[BLK]],PlayerGameData[BLK],0)+PlayerGameData[[#This Row],[VisibleOrder]]</f>
        <v>32</v>
      </c>
      <c r="AY87" s="8">
        <f ca="1">IF(COUNTIF(PlayerGameData[BLKOrder],PlayerGameData[[#This Row],[BLKOrder]])&gt;1,PlayerGameData[[#This Row],[PointRank]]/100+PlayerGameData[[#This Row],[BLKOrder]],PlayerGameData[[#This Row],[BLKOrder]])</f>
        <v>33.57</v>
      </c>
      <c r="AZ87" s="8">
        <f ca="1">RANK(PlayerGameData[[#This Row],[BLKTieBreak]],PlayerGameData[BLKTieBreak],1)</f>
        <v>159</v>
      </c>
      <c r="BA87" s="11">
        <f ca="1">IFERROR(IF(PlayerGameData[[#This Row],[FGA]]&gt;$AA$5,PlayerGameData[[#This Row],[FG%*]],PlayerGameData[[#This Row],[FG%*]]*-1),-2)</f>
        <v>-0.25</v>
      </c>
      <c r="BB87" s="8">
        <f ca="1">RANK(PlayerGameData[[#This Row],[EligFG]],PlayerGameData[EligFG],0)+PlayerGameData[[#This Row],[VisibleOrder]]</f>
        <v>160</v>
      </c>
      <c r="BC87" s="8">
        <f ca="1">IF(COUNTIF(PlayerGameData[EligFGOrder],PlayerGameData[[#This Row],[EligFGOrder]])&gt;1,PlayerGameData[[#This Row],[PointRank]]/100+PlayerGameData[[#This Row],[EligFGOrder]],PlayerGameData[[#This Row],[EligFGOrder]])</f>
        <v>161.57</v>
      </c>
      <c r="BD87" s="8">
        <f ca="1">RANK(PlayerGameData[[#This Row],[EligFGTieBreak]],PlayerGameData[EligFGTieBreak],1)</f>
        <v>161</v>
      </c>
      <c r="BE87" s="8" t="str">
        <f>Roster!$D$3</f>
        <v>East</v>
      </c>
      <c r="BF87" s="8" t="str">
        <f>Roster!$D$2</f>
        <v>Northeast</v>
      </c>
      <c r="BG87" s="8" t="str">
        <f>Roster!$D$4</f>
        <v>North</v>
      </c>
      <c r="BH87" s="197">
        <f ca="1">IFERROR(VLOOKUP(CONCATENATE(PlayerGameData[[#This Row],[Opponent]]," ",MONTH(PlayerGameData[[#This Row],[Date]]),"/",DAY(PlayerGameData[[#This Row],[Date]]),"/",YEAR(PlayerGameData[[#This Row],[Date]])),Table35[],2,FALSE),0)</f>
        <v>1</v>
      </c>
      <c r="BI87" s="197">
        <f ca="1">IF(PlayerGameData[[#This Row],[Visible]]=1,1,1000)</f>
        <v>1</v>
      </c>
      <c r="BJ87" s="197" t="e">
        <f ca="1">_xlfn.MAXIFS(TeamGameData[Win],TeamGameData[School, Opponent,Game'#],PlayerGameData[[#This Row],[School, Opponent,Game'#]])</f>
        <v>#NAME?</v>
      </c>
      <c r="BK87" s="197" t="e">
        <f ca="1">_xlfn.MAXIFS(TeamGameData[Loss],TeamGameData[School, Opponent,Game'#],PlayerGameData[[#This Row],[School, Opponent,Game'#]])</f>
        <v>#NAME?</v>
      </c>
    </row>
    <row r="88" spans="1:63" x14ac:dyDescent="0.25">
      <c r="A88" s="8" t="str">
        <f t="shared" ca="1" si="63"/>
        <v>Kailer Duarte, 31</v>
      </c>
      <c r="B88" s="8" t="str">
        <f>Roster!$B$1</f>
        <v>Upton</v>
      </c>
      <c r="C88" s="8" t="str">
        <f t="shared" ca="1" si="51"/>
        <v>Cokeville</v>
      </c>
      <c r="D88" s="10">
        <f t="shared" ca="1" si="52"/>
        <v>44914</v>
      </c>
      <c r="E88" s="8">
        <f t="shared" ca="1" si="53"/>
        <v>1</v>
      </c>
      <c r="F88" s="8">
        <f t="shared" ca="1" si="54"/>
        <v>1</v>
      </c>
      <c r="G88" s="8">
        <f t="shared" ca="1" si="55"/>
        <v>23</v>
      </c>
      <c r="H88" s="8">
        <f t="shared" ca="1" si="56"/>
        <v>0</v>
      </c>
      <c r="I88" s="8">
        <f t="shared" ca="1" si="57"/>
        <v>1</v>
      </c>
      <c r="J88" s="8">
        <f t="shared" ca="1" si="58"/>
        <v>2</v>
      </c>
      <c r="K88" s="8">
        <f t="shared" ca="1" si="59"/>
        <v>4</v>
      </c>
      <c r="L88" s="8">
        <f t="shared" ca="1" si="64"/>
        <v>0</v>
      </c>
      <c r="M88" s="8">
        <f t="shared" ca="1" si="65"/>
        <v>0</v>
      </c>
      <c r="N88" s="8">
        <f t="shared" ca="1" si="66"/>
        <v>0</v>
      </c>
      <c r="O88" s="8">
        <f t="shared" ca="1" si="67"/>
        <v>7</v>
      </c>
      <c r="P88" s="8">
        <f t="shared" ca="1" si="68"/>
        <v>0</v>
      </c>
      <c r="Q88" s="8">
        <f t="shared" ca="1" si="69"/>
        <v>1</v>
      </c>
      <c r="R88" s="8">
        <f t="shared" ca="1" si="70"/>
        <v>0</v>
      </c>
      <c r="S88" s="8">
        <f t="shared" ca="1" si="71"/>
        <v>2</v>
      </c>
      <c r="T88" s="8">
        <f t="shared" ca="1" si="72"/>
        <v>5</v>
      </c>
      <c r="U88" s="8">
        <f t="shared" ca="1" si="73"/>
        <v>0</v>
      </c>
      <c r="V88" s="8">
        <f t="shared" ca="1" si="74"/>
        <v>4</v>
      </c>
      <c r="W88" s="11">
        <f t="shared" ca="1" si="75"/>
        <v>0</v>
      </c>
      <c r="X88" s="11">
        <f t="shared" ca="1" si="76"/>
        <v>0.5</v>
      </c>
      <c r="Y88" s="11" t="str">
        <f t="shared" ca="1" si="77"/>
        <v/>
      </c>
      <c r="Z88" s="11">
        <f t="shared" ca="1" si="78"/>
        <v>0.4</v>
      </c>
      <c r="AA88" s="11">
        <f t="shared" ca="1" si="79"/>
        <v>0.4</v>
      </c>
      <c r="AB88" s="47">
        <f ca="1">PlayerGameData[[#This Row],[3FGA]]+PlayerGameData[[#This Row],[2FGA]]</f>
        <v>5</v>
      </c>
      <c r="AC88" s="47">
        <f ca="1">PlayerGameData[[#This Row],[OFF REB]]+PlayerGameData[[#This Row],[DEF REB]]</f>
        <v>7</v>
      </c>
      <c r="AD88" s="8">
        <f t="shared" si="60"/>
        <v>4</v>
      </c>
      <c r="AE88" s="8" t="str">
        <f t="shared" ca="1" si="61"/>
        <v>Kailer Duarte, 31 - Cokeville 12/19/2022</v>
      </c>
      <c r="AF88" s="8" t="str">
        <f t="shared" ca="1" si="80"/>
        <v/>
      </c>
      <c r="AG88" s="8" t="str">
        <f ca="1">IFERROR(IF(C88=0,"",IF(AND(VLOOKUP(PlayerGameData[[#This Row],[Opponent]],WYTeamInfo,2,FALSE)=Roster!$D$1,VLOOKUP(PlayerGameData[[#This Row],[Opponent]],WYTeamInfo,3,FALSE)=Roster!$D$2),"SR","")),"")</f>
        <v/>
      </c>
      <c r="AH88" s="8" t="str">
        <f>CONCATENATE(Roster!$D$1," ",Roster!$D$5)</f>
        <v>1A BB</v>
      </c>
      <c r="AI88" s="8" t="str">
        <f t="shared" ca="1" si="62"/>
        <v>Upton - Cokeville 12/19/2022</v>
      </c>
      <c r="AJ88" s="8">
        <f ca="1">IFERROR(VLOOKUP(PlayerGameData[[#This Row],[School, Opponent,Game'#]],Table3[],2,FALSE),0)</f>
        <v>1</v>
      </c>
      <c r="AK88" s="8">
        <f ca="1">IF(PlayerGameData[[#This Row],[Visible]]=1,1,1000)</f>
        <v>1</v>
      </c>
      <c r="AL88" s="8">
        <f ca="1">RANK(PlayerGameData[[#This Row],[TL PTS]],PlayerGameData[TL PTS],0)+PlayerGameData[[#This Row],[VisibleOrder]]</f>
        <v>118</v>
      </c>
      <c r="AM88" s="8">
        <f ca="1">IF(COUNTIF(PlayerGameData[PointOrder],PlayerGameData[[#This Row],[PointOrder]])&gt;1,RANK(PlayerGameData[[#This Row],[FGA]],PlayerGameData[FGA],0)/100,0)+PlayerGameData[[#This Row],[PointOrder]]</f>
        <v>119.19</v>
      </c>
      <c r="AN88" s="8">
        <f ca="1">RANK(PlayerGameData[[#This Row],[PointTieBreak]],PlayerGameData[PointTieBreak],1)</f>
        <v>123</v>
      </c>
      <c r="AO88" s="8">
        <f ca="1">RANK(PlayerGameData[[#This Row],[REB]],PlayerGameData[REB],0)+PlayerGameData[[#This Row],[VisibleOrder]]</f>
        <v>29</v>
      </c>
      <c r="AP88" s="8">
        <f ca="1">IF(COUNTIF(PlayerGameData[REBOrder],PlayerGameData[[#This Row],[REBOrder]])&gt;1,PlayerGameData[[#This Row],[PointRank]]/100+PlayerGameData[[#This Row],[REBOrder]],PlayerGameData[[#This Row],[REBOrder]])</f>
        <v>30.23</v>
      </c>
      <c r="AQ88" s="8">
        <f ca="1">RANK(PlayerGameData[[#This Row],[REBTieBreak]],PlayerGameData[REBTieBreak],1)</f>
        <v>35</v>
      </c>
      <c r="AR88" s="8">
        <f ca="1">RANK(PlayerGameData[[#This Row],[AST]],PlayerGameData[AST],0)+PlayerGameData[[#This Row],[VisibleOrder]]</f>
        <v>158</v>
      </c>
      <c r="AS88" s="8">
        <f ca="1">IF(COUNTIF(PlayerGameData[ASTOrder],PlayerGameData[[#This Row],[ASTOrder]])&gt;1,PlayerGameData[[#This Row],[PointRank]]/100+PlayerGameData[[#This Row],[ASTOrder]],PlayerGameData[[#This Row],[ASTOrder]])</f>
        <v>159.22999999999999</v>
      </c>
      <c r="AT88" s="8">
        <f ca="1">RANK(PlayerGameData[[#This Row],[ASTTieBreak]],PlayerGameData[ASTTieBreak],1)</f>
        <v>170</v>
      </c>
      <c r="AU88" s="8">
        <f ca="1">RANK(PlayerGameData[[#This Row],[STL]],PlayerGameData[STL],0)+PlayerGameData[[#This Row],[VisibleOrder]]</f>
        <v>84</v>
      </c>
      <c r="AV88" s="8">
        <f ca="1">IF(COUNTIF(PlayerGameData[STLOrder],PlayerGameData[[#This Row],[STLOrder]])&gt;1,PlayerGameData[[#This Row],[PointRank]]/100+PlayerGameData[[#This Row],[STLOrder]],PlayerGameData[[#This Row],[STLOrder]])</f>
        <v>85.23</v>
      </c>
      <c r="AW88" s="8">
        <f ca="1">RANK(PlayerGameData[[#This Row],[STLTieBreak]],PlayerGameData[STLTieBreak],1)</f>
        <v>117</v>
      </c>
      <c r="AX88" s="8">
        <f ca="1">RANK(PlayerGameData[[#This Row],[BLK]],PlayerGameData[BLK],0)+PlayerGameData[[#This Row],[VisibleOrder]]</f>
        <v>32</v>
      </c>
      <c r="AY88" s="8">
        <f ca="1">IF(COUNTIF(PlayerGameData[BLKOrder],PlayerGameData[[#This Row],[BLKOrder]])&gt;1,PlayerGameData[[#This Row],[PointRank]]/100+PlayerGameData[[#This Row],[BLKOrder]],PlayerGameData[[#This Row],[BLKOrder]])</f>
        <v>33.229999999999997</v>
      </c>
      <c r="AZ88" s="8">
        <f ca="1">RANK(PlayerGameData[[#This Row],[BLKTieBreak]],PlayerGameData[BLKTieBreak],1)</f>
        <v>127</v>
      </c>
      <c r="BA88" s="11">
        <f ca="1">IFERROR(IF(PlayerGameData[[#This Row],[FGA]]&gt;$AA$5,PlayerGameData[[#This Row],[FG%*]],PlayerGameData[[#This Row],[FG%*]]*-1),-2)</f>
        <v>-0.4</v>
      </c>
      <c r="BB88" s="8">
        <f ca="1">RANK(PlayerGameData[[#This Row],[EligFG]],PlayerGameData[EligFG],0)+PlayerGameData[[#This Row],[VisibleOrder]]</f>
        <v>176</v>
      </c>
      <c r="BC88" s="8">
        <f ca="1">IF(COUNTIF(PlayerGameData[EligFGOrder],PlayerGameData[[#This Row],[EligFGOrder]])&gt;1,PlayerGameData[[#This Row],[PointRank]]/100+PlayerGameData[[#This Row],[EligFGOrder]],PlayerGameData[[#This Row],[EligFGOrder]])</f>
        <v>177.23</v>
      </c>
      <c r="BD88" s="8">
        <f ca="1">RANK(PlayerGameData[[#This Row],[EligFGTieBreak]],PlayerGameData[EligFGTieBreak],1)</f>
        <v>179</v>
      </c>
      <c r="BE88" s="8" t="str">
        <f>Roster!$D$3</f>
        <v>East</v>
      </c>
      <c r="BF88" s="8" t="str">
        <f>Roster!$D$2</f>
        <v>Northeast</v>
      </c>
      <c r="BG88" s="8" t="str">
        <f>Roster!$D$4</f>
        <v>North</v>
      </c>
      <c r="BH88" s="197">
        <f ca="1">IFERROR(VLOOKUP(CONCATENATE(PlayerGameData[[#This Row],[Opponent]]," ",MONTH(PlayerGameData[[#This Row],[Date]]),"/",DAY(PlayerGameData[[#This Row],[Date]]),"/",YEAR(PlayerGameData[[#This Row],[Date]])),Table35[],2,FALSE),0)</f>
        <v>1</v>
      </c>
      <c r="BI88" s="197">
        <f ca="1">IF(PlayerGameData[[#This Row],[Visible]]=1,1,1000)</f>
        <v>1</v>
      </c>
      <c r="BJ88" s="197" t="e">
        <f ca="1">_xlfn.MAXIFS(TeamGameData[Win],TeamGameData[School, Opponent,Game'#],PlayerGameData[[#This Row],[School, Opponent,Game'#]])</f>
        <v>#NAME?</v>
      </c>
      <c r="BK88" s="197" t="e">
        <f ca="1">_xlfn.MAXIFS(TeamGameData[Loss],TeamGameData[School, Opponent,Game'#],PlayerGameData[[#This Row],[School, Opponent,Game'#]])</f>
        <v>#NAME?</v>
      </c>
    </row>
    <row r="89" spans="1:63" x14ac:dyDescent="0.25">
      <c r="A89" s="8" t="str">
        <f t="shared" ca="1" si="63"/>
        <v>Matt Stirmel, 33</v>
      </c>
      <c r="B89" s="8" t="str">
        <f>Roster!$B$1</f>
        <v>Upton</v>
      </c>
      <c r="C89" s="8" t="str">
        <f t="shared" ca="1" si="51"/>
        <v>Cokeville</v>
      </c>
      <c r="D89" s="10">
        <f t="shared" ca="1" si="52"/>
        <v>44914</v>
      </c>
      <c r="E89" s="8">
        <f t="shared" ca="1" si="53"/>
        <v>0</v>
      </c>
      <c r="F89" s="8">
        <f t="shared" ca="1" si="54"/>
        <v>0</v>
      </c>
      <c r="G89" s="8">
        <f t="shared" ca="1" si="55"/>
        <v>0</v>
      </c>
      <c r="H89" s="8">
        <f t="shared" ca="1" si="56"/>
        <v>0</v>
      </c>
      <c r="I89" s="8">
        <f t="shared" ca="1" si="57"/>
        <v>0</v>
      </c>
      <c r="J89" s="8">
        <f t="shared" ca="1" si="58"/>
        <v>0</v>
      </c>
      <c r="K89" s="8">
        <f t="shared" ca="1" si="59"/>
        <v>0</v>
      </c>
      <c r="L89" s="8">
        <f t="shared" ca="1" si="64"/>
        <v>0</v>
      </c>
      <c r="M89" s="8">
        <f t="shared" ca="1" si="65"/>
        <v>0</v>
      </c>
      <c r="N89" s="8">
        <f t="shared" ca="1" si="66"/>
        <v>0</v>
      </c>
      <c r="O89" s="8">
        <f t="shared" ca="1" si="67"/>
        <v>0</v>
      </c>
      <c r="P89" s="8">
        <f t="shared" ca="1" si="68"/>
        <v>0</v>
      </c>
      <c r="Q89" s="8">
        <f t="shared" ca="1" si="69"/>
        <v>0</v>
      </c>
      <c r="R89" s="8">
        <f t="shared" ca="1" si="70"/>
        <v>0</v>
      </c>
      <c r="S89" s="8">
        <f t="shared" ca="1" si="71"/>
        <v>0</v>
      </c>
      <c r="T89" s="8">
        <f t="shared" ca="1" si="72"/>
        <v>0</v>
      </c>
      <c r="U89" s="8">
        <f t="shared" ca="1" si="73"/>
        <v>0</v>
      </c>
      <c r="V89" s="8">
        <f t="shared" ca="1" si="74"/>
        <v>0</v>
      </c>
      <c r="W89" s="11" t="str">
        <f t="shared" ca="1" si="75"/>
        <v/>
      </c>
      <c r="X89" s="11" t="str">
        <f t="shared" ca="1" si="76"/>
        <v/>
      </c>
      <c r="Y89" s="11" t="str">
        <f t="shared" ca="1" si="77"/>
        <v/>
      </c>
      <c r="Z89" s="11" t="str">
        <f t="shared" ca="1" si="78"/>
        <v/>
      </c>
      <c r="AA89" s="11" t="str">
        <f t="shared" ca="1" si="79"/>
        <v/>
      </c>
      <c r="AB89" s="47">
        <f ca="1">PlayerGameData[[#This Row],[3FGA]]+PlayerGameData[[#This Row],[2FGA]]</f>
        <v>0</v>
      </c>
      <c r="AC89" s="47">
        <f ca="1">PlayerGameData[[#This Row],[OFF REB]]+PlayerGameData[[#This Row],[DEF REB]]</f>
        <v>0</v>
      </c>
      <c r="AD89" s="8">
        <f t="shared" si="60"/>
        <v>4</v>
      </c>
      <c r="AE89" s="8" t="str">
        <f t="shared" ca="1" si="61"/>
        <v>Matt Stirmel, 33 - Cokeville 12/19/2022</v>
      </c>
      <c r="AF89" s="8" t="str">
        <f t="shared" ca="1" si="80"/>
        <v/>
      </c>
      <c r="AG89" s="8" t="str">
        <f ca="1">IFERROR(IF(C89=0,"",IF(AND(VLOOKUP(PlayerGameData[[#This Row],[Opponent]],WYTeamInfo,2,FALSE)=Roster!$D$1,VLOOKUP(PlayerGameData[[#This Row],[Opponent]],WYTeamInfo,3,FALSE)=Roster!$D$2),"SR","")),"")</f>
        <v/>
      </c>
      <c r="AH89" s="8" t="str">
        <f>CONCATENATE(Roster!$D$1," ",Roster!$D$5)</f>
        <v>1A BB</v>
      </c>
      <c r="AI89" s="8" t="str">
        <f t="shared" ca="1" si="62"/>
        <v>Upton - Cokeville 12/19/2022</v>
      </c>
      <c r="AJ89" s="8">
        <f ca="1">IFERROR(VLOOKUP(PlayerGameData[[#This Row],[School, Opponent,Game'#]],Table3[],2,FALSE),0)</f>
        <v>1</v>
      </c>
      <c r="AK89" s="8">
        <f ca="1">IF(PlayerGameData[[#This Row],[Visible]]=1,1,1000)</f>
        <v>1</v>
      </c>
      <c r="AL89" s="8">
        <f ca="1">RANK(PlayerGameData[[#This Row],[TL PTS]],PlayerGameData[TL PTS],0)+PlayerGameData[[#This Row],[VisibleOrder]]</f>
        <v>185</v>
      </c>
      <c r="AM89" s="8">
        <f ca="1">IF(COUNTIF(PlayerGameData[PointOrder],PlayerGameData[[#This Row],[PointOrder]])&gt;1,RANK(PlayerGameData[[#This Row],[FGA]],PlayerGameData[FGA],0)/100,0)+PlayerGameData[[#This Row],[PointOrder]]</f>
        <v>187.14</v>
      </c>
      <c r="AN89" s="8">
        <f ca="1">RANK(PlayerGameData[[#This Row],[PointTieBreak]],PlayerGameData[PointTieBreak],1)</f>
        <v>216</v>
      </c>
      <c r="AO89" s="8">
        <f ca="1">RANK(PlayerGameData[[#This Row],[REB]],PlayerGameData[REB],0)+PlayerGameData[[#This Row],[VisibleOrder]]</f>
        <v>192</v>
      </c>
      <c r="AP89" s="8">
        <f ca="1">IF(COUNTIF(PlayerGameData[REBOrder],PlayerGameData[[#This Row],[REBOrder]])&gt;1,PlayerGameData[[#This Row],[PointRank]]/100+PlayerGameData[[#This Row],[REBOrder]],PlayerGameData[[#This Row],[REBOrder]])</f>
        <v>194.16</v>
      </c>
      <c r="AQ89" s="8">
        <f ca="1">RANK(PlayerGameData[[#This Row],[REBTieBreak]],PlayerGameData[REBTieBreak],1)</f>
        <v>224</v>
      </c>
      <c r="AR89" s="8">
        <f ca="1">RANK(PlayerGameData[[#This Row],[AST]],PlayerGameData[AST],0)+PlayerGameData[[#This Row],[VisibleOrder]]</f>
        <v>158</v>
      </c>
      <c r="AS89" s="8">
        <f ca="1">IF(COUNTIF(PlayerGameData[ASTOrder],PlayerGameData[[#This Row],[ASTOrder]])&gt;1,PlayerGameData[[#This Row],[PointRank]]/100+PlayerGameData[[#This Row],[ASTOrder]],PlayerGameData[[#This Row],[ASTOrder]])</f>
        <v>160.16</v>
      </c>
      <c r="AT89" s="8">
        <f ca="1">RANK(PlayerGameData[[#This Row],[ASTTieBreak]],PlayerGameData[ASTTieBreak],1)</f>
        <v>221</v>
      </c>
      <c r="AU89" s="8">
        <f ca="1">RANK(PlayerGameData[[#This Row],[STL]],PlayerGameData[STL],0)+PlayerGameData[[#This Row],[VisibleOrder]]</f>
        <v>143</v>
      </c>
      <c r="AV89" s="8">
        <f ca="1">IF(COUNTIF(PlayerGameData[STLOrder],PlayerGameData[[#This Row],[STLOrder]])&gt;1,PlayerGameData[[#This Row],[PointRank]]/100+PlayerGameData[[#This Row],[STLOrder]],PlayerGameData[[#This Row],[STLOrder]])</f>
        <v>145.16</v>
      </c>
      <c r="AW89" s="8">
        <f ca="1">RANK(PlayerGameData[[#This Row],[STLTieBreak]],PlayerGameData[STLTieBreak],1)</f>
        <v>217</v>
      </c>
      <c r="AX89" s="8">
        <f ca="1">RANK(PlayerGameData[[#This Row],[BLK]],PlayerGameData[BLK],0)+PlayerGameData[[#This Row],[VisibleOrder]]</f>
        <v>32</v>
      </c>
      <c r="AY89" s="8">
        <f ca="1">IF(COUNTIF(PlayerGameData[BLKOrder],PlayerGameData[[#This Row],[BLKOrder]])&gt;1,PlayerGameData[[#This Row],[PointRank]]/100+PlayerGameData[[#This Row],[BLKOrder]],PlayerGameData[[#This Row],[BLKOrder]])</f>
        <v>34.159999999999997</v>
      </c>
      <c r="AZ89" s="8">
        <f ca="1">RANK(PlayerGameData[[#This Row],[BLKTieBreak]],PlayerGameData[BLKTieBreak],1)</f>
        <v>216</v>
      </c>
      <c r="BA89" s="11">
        <f ca="1">IFERROR(IF(PlayerGameData[[#This Row],[FGA]]&gt;$AA$5,PlayerGameData[[#This Row],[FG%*]],PlayerGameData[[#This Row],[FG%*]]*-1),-2)</f>
        <v>-2</v>
      </c>
      <c r="BB89" s="8">
        <f ca="1">RANK(PlayerGameData[[#This Row],[EligFG]],PlayerGameData[EligFG],0)+PlayerGameData[[#This Row],[VisibleOrder]]</f>
        <v>215</v>
      </c>
      <c r="BC89" s="8">
        <f ca="1">IF(COUNTIF(PlayerGameData[EligFGOrder],PlayerGameData[[#This Row],[EligFGOrder]])&gt;1,PlayerGameData[[#This Row],[PointRank]]/100+PlayerGameData[[#This Row],[EligFGOrder]],PlayerGameData[[#This Row],[EligFGOrder]])</f>
        <v>217.16</v>
      </c>
      <c r="BD89" s="8">
        <f ca="1">RANK(PlayerGameData[[#This Row],[EligFGTieBreak]],PlayerGameData[EligFGTieBreak],1)</f>
        <v>216</v>
      </c>
      <c r="BE89" s="8" t="str">
        <f>Roster!$D$3</f>
        <v>East</v>
      </c>
      <c r="BF89" s="8" t="str">
        <f>Roster!$D$2</f>
        <v>Northeast</v>
      </c>
      <c r="BG89" s="8" t="str">
        <f>Roster!$D$4</f>
        <v>North</v>
      </c>
      <c r="BH89" s="197">
        <f ca="1">IFERROR(VLOOKUP(CONCATENATE(PlayerGameData[[#This Row],[Opponent]]," ",MONTH(PlayerGameData[[#This Row],[Date]]),"/",DAY(PlayerGameData[[#This Row],[Date]]),"/",YEAR(PlayerGameData[[#This Row],[Date]])),Table35[],2,FALSE),0)</f>
        <v>1</v>
      </c>
      <c r="BI89" s="197">
        <f ca="1">IF(PlayerGameData[[#This Row],[Visible]]=1,1,1000)</f>
        <v>1</v>
      </c>
      <c r="BJ89" s="197" t="e">
        <f ca="1">_xlfn.MAXIFS(TeamGameData[Win],TeamGameData[School, Opponent,Game'#],PlayerGameData[[#This Row],[School, Opponent,Game'#]])</f>
        <v>#NAME?</v>
      </c>
      <c r="BK89" s="197" t="e">
        <f ca="1">_xlfn.MAXIFS(TeamGameData[Loss],TeamGameData[School, Opponent,Game'#],PlayerGameData[[#This Row],[School, Opponent,Game'#]])</f>
        <v>#NAME?</v>
      </c>
    </row>
    <row r="90" spans="1:63" x14ac:dyDescent="0.25">
      <c r="A90" s="8" t="str">
        <f t="shared" ca="1" si="63"/>
        <v>Jacob McNutt, 34</v>
      </c>
      <c r="B90" s="8" t="str">
        <f>Roster!$B$1</f>
        <v>Upton</v>
      </c>
      <c r="C90" s="8" t="str">
        <f t="shared" ca="1" si="51"/>
        <v>Cokeville</v>
      </c>
      <c r="D90" s="10">
        <f t="shared" ca="1" si="52"/>
        <v>44914</v>
      </c>
      <c r="E90" s="8">
        <f t="shared" ca="1" si="53"/>
        <v>0</v>
      </c>
      <c r="F90" s="8">
        <f t="shared" ca="1" si="54"/>
        <v>0</v>
      </c>
      <c r="G90" s="8">
        <f t="shared" ca="1" si="55"/>
        <v>0</v>
      </c>
      <c r="H90" s="8">
        <f t="shared" ca="1" si="56"/>
        <v>0</v>
      </c>
      <c r="I90" s="8">
        <f t="shared" ca="1" si="57"/>
        <v>0</v>
      </c>
      <c r="J90" s="8">
        <f t="shared" ca="1" si="58"/>
        <v>0</v>
      </c>
      <c r="K90" s="8">
        <f t="shared" ca="1" si="59"/>
        <v>0</v>
      </c>
      <c r="L90" s="8">
        <f t="shared" ca="1" si="64"/>
        <v>0</v>
      </c>
      <c r="M90" s="8">
        <f t="shared" ca="1" si="65"/>
        <v>0</v>
      </c>
      <c r="N90" s="8">
        <f t="shared" ca="1" si="66"/>
        <v>0</v>
      </c>
      <c r="O90" s="8">
        <f t="shared" ca="1" si="67"/>
        <v>0</v>
      </c>
      <c r="P90" s="8">
        <f t="shared" ca="1" si="68"/>
        <v>0</v>
      </c>
      <c r="Q90" s="8">
        <f t="shared" ca="1" si="69"/>
        <v>0</v>
      </c>
      <c r="R90" s="8">
        <f t="shared" ca="1" si="70"/>
        <v>0</v>
      </c>
      <c r="S90" s="8">
        <f t="shared" ca="1" si="71"/>
        <v>0</v>
      </c>
      <c r="T90" s="8">
        <f t="shared" ca="1" si="72"/>
        <v>0</v>
      </c>
      <c r="U90" s="8">
        <f t="shared" ca="1" si="73"/>
        <v>0</v>
      </c>
      <c r="V90" s="8">
        <f t="shared" ca="1" si="74"/>
        <v>0</v>
      </c>
      <c r="W90" s="11" t="str">
        <f t="shared" ca="1" si="75"/>
        <v/>
      </c>
      <c r="X90" s="11" t="str">
        <f t="shared" ca="1" si="76"/>
        <v/>
      </c>
      <c r="Y90" s="11" t="str">
        <f t="shared" ca="1" si="77"/>
        <v/>
      </c>
      <c r="Z90" s="11" t="str">
        <f t="shared" ca="1" si="78"/>
        <v/>
      </c>
      <c r="AA90" s="11" t="str">
        <f t="shared" ca="1" si="79"/>
        <v/>
      </c>
      <c r="AB90" s="47">
        <f ca="1">PlayerGameData[[#This Row],[3FGA]]+PlayerGameData[[#This Row],[2FGA]]</f>
        <v>0</v>
      </c>
      <c r="AC90" s="47">
        <f ca="1">PlayerGameData[[#This Row],[OFF REB]]+PlayerGameData[[#This Row],[DEF REB]]</f>
        <v>0</v>
      </c>
      <c r="AD90" s="8">
        <f t="shared" si="60"/>
        <v>4</v>
      </c>
      <c r="AE90" s="8" t="str">
        <f t="shared" ca="1" si="61"/>
        <v>Jacob McNutt, 34 - Cokeville 12/19/2022</v>
      </c>
      <c r="AF90" s="8" t="str">
        <f t="shared" ca="1" si="80"/>
        <v/>
      </c>
      <c r="AG90" s="8" t="str">
        <f ca="1">IFERROR(IF(C90=0,"",IF(AND(VLOOKUP(PlayerGameData[[#This Row],[Opponent]],WYTeamInfo,2,FALSE)=Roster!$D$1,VLOOKUP(PlayerGameData[[#This Row],[Opponent]],WYTeamInfo,3,FALSE)=Roster!$D$2),"SR","")),"")</f>
        <v/>
      </c>
      <c r="AH90" s="8" t="str">
        <f>CONCATENATE(Roster!$D$1," ",Roster!$D$5)</f>
        <v>1A BB</v>
      </c>
      <c r="AI90" s="8" t="str">
        <f t="shared" ca="1" si="62"/>
        <v>Upton - Cokeville 12/19/2022</v>
      </c>
      <c r="AJ90" s="8">
        <f ca="1">IFERROR(VLOOKUP(PlayerGameData[[#This Row],[School, Opponent,Game'#]],Table3[],2,FALSE),0)</f>
        <v>1</v>
      </c>
      <c r="AK90" s="8">
        <f ca="1">IF(PlayerGameData[[#This Row],[Visible]]=1,1,1000)</f>
        <v>1</v>
      </c>
      <c r="AL90" s="8">
        <f ca="1">RANK(PlayerGameData[[#This Row],[TL PTS]],PlayerGameData[TL PTS],0)+PlayerGameData[[#This Row],[VisibleOrder]]</f>
        <v>185</v>
      </c>
      <c r="AM90" s="8">
        <f ca="1">IF(COUNTIF(PlayerGameData[PointOrder],PlayerGameData[[#This Row],[PointOrder]])&gt;1,RANK(PlayerGameData[[#This Row],[FGA]],PlayerGameData[FGA],0)/100,0)+PlayerGameData[[#This Row],[PointOrder]]</f>
        <v>187.14</v>
      </c>
      <c r="AN90" s="8">
        <f ca="1">RANK(PlayerGameData[[#This Row],[PointTieBreak]],PlayerGameData[PointTieBreak],1)</f>
        <v>216</v>
      </c>
      <c r="AO90" s="8">
        <f ca="1">RANK(PlayerGameData[[#This Row],[REB]],PlayerGameData[REB],0)+PlayerGameData[[#This Row],[VisibleOrder]]</f>
        <v>192</v>
      </c>
      <c r="AP90" s="8">
        <f ca="1">IF(COUNTIF(PlayerGameData[REBOrder],PlayerGameData[[#This Row],[REBOrder]])&gt;1,PlayerGameData[[#This Row],[PointRank]]/100+PlayerGameData[[#This Row],[REBOrder]],PlayerGameData[[#This Row],[REBOrder]])</f>
        <v>194.16</v>
      </c>
      <c r="AQ90" s="8">
        <f ca="1">RANK(PlayerGameData[[#This Row],[REBTieBreak]],PlayerGameData[REBTieBreak],1)</f>
        <v>224</v>
      </c>
      <c r="AR90" s="8">
        <f ca="1">RANK(PlayerGameData[[#This Row],[AST]],PlayerGameData[AST],0)+PlayerGameData[[#This Row],[VisibleOrder]]</f>
        <v>158</v>
      </c>
      <c r="AS90" s="8">
        <f ca="1">IF(COUNTIF(PlayerGameData[ASTOrder],PlayerGameData[[#This Row],[ASTOrder]])&gt;1,PlayerGameData[[#This Row],[PointRank]]/100+PlayerGameData[[#This Row],[ASTOrder]],PlayerGameData[[#This Row],[ASTOrder]])</f>
        <v>160.16</v>
      </c>
      <c r="AT90" s="8">
        <f ca="1">RANK(PlayerGameData[[#This Row],[ASTTieBreak]],PlayerGameData[ASTTieBreak],1)</f>
        <v>221</v>
      </c>
      <c r="AU90" s="8">
        <f ca="1">RANK(PlayerGameData[[#This Row],[STL]],PlayerGameData[STL],0)+PlayerGameData[[#This Row],[VisibleOrder]]</f>
        <v>143</v>
      </c>
      <c r="AV90" s="8">
        <f ca="1">IF(COUNTIF(PlayerGameData[STLOrder],PlayerGameData[[#This Row],[STLOrder]])&gt;1,PlayerGameData[[#This Row],[PointRank]]/100+PlayerGameData[[#This Row],[STLOrder]],PlayerGameData[[#This Row],[STLOrder]])</f>
        <v>145.16</v>
      </c>
      <c r="AW90" s="8">
        <f ca="1">RANK(PlayerGameData[[#This Row],[STLTieBreak]],PlayerGameData[STLTieBreak],1)</f>
        <v>217</v>
      </c>
      <c r="AX90" s="8">
        <f ca="1">RANK(PlayerGameData[[#This Row],[BLK]],PlayerGameData[BLK],0)+PlayerGameData[[#This Row],[VisibleOrder]]</f>
        <v>32</v>
      </c>
      <c r="AY90" s="8">
        <f ca="1">IF(COUNTIF(PlayerGameData[BLKOrder],PlayerGameData[[#This Row],[BLKOrder]])&gt;1,PlayerGameData[[#This Row],[PointRank]]/100+PlayerGameData[[#This Row],[BLKOrder]],PlayerGameData[[#This Row],[BLKOrder]])</f>
        <v>34.159999999999997</v>
      </c>
      <c r="AZ90" s="8">
        <f ca="1">RANK(PlayerGameData[[#This Row],[BLKTieBreak]],PlayerGameData[BLKTieBreak],1)</f>
        <v>216</v>
      </c>
      <c r="BA90" s="11">
        <f ca="1">IFERROR(IF(PlayerGameData[[#This Row],[FGA]]&gt;$AA$5,PlayerGameData[[#This Row],[FG%*]],PlayerGameData[[#This Row],[FG%*]]*-1),-2)</f>
        <v>-2</v>
      </c>
      <c r="BB90" s="8">
        <f ca="1">RANK(PlayerGameData[[#This Row],[EligFG]],PlayerGameData[EligFG],0)+PlayerGameData[[#This Row],[VisibleOrder]]</f>
        <v>215</v>
      </c>
      <c r="BC90" s="8">
        <f ca="1">IF(COUNTIF(PlayerGameData[EligFGOrder],PlayerGameData[[#This Row],[EligFGOrder]])&gt;1,PlayerGameData[[#This Row],[PointRank]]/100+PlayerGameData[[#This Row],[EligFGOrder]],PlayerGameData[[#This Row],[EligFGOrder]])</f>
        <v>217.16</v>
      </c>
      <c r="BD90" s="8">
        <f ca="1">RANK(PlayerGameData[[#This Row],[EligFGTieBreak]],PlayerGameData[EligFGTieBreak],1)</f>
        <v>216</v>
      </c>
      <c r="BE90" s="8" t="str">
        <f>Roster!$D$3</f>
        <v>East</v>
      </c>
      <c r="BF90" s="8" t="str">
        <f>Roster!$D$2</f>
        <v>Northeast</v>
      </c>
      <c r="BG90" s="8" t="str">
        <f>Roster!$D$4</f>
        <v>North</v>
      </c>
      <c r="BH90" s="197">
        <f ca="1">IFERROR(VLOOKUP(CONCATENATE(PlayerGameData[[#This Row],[Opponent]]," ",MONTH(PlayerGameData[[#This Row],[Date]]),"/",DAY(PlayerGameData[[#This Row],[Date]]),"/",YEAR(PlayerGameData[[#This Row],[Date]])),Table35[],2,FALSE),0)</f>
        <v>1</v>
      </c>
      <c r="BI90" s="197">
        <f ca="1">IF(PlayerGameData[[#This Row],[Visible]]=1,1,1000)</f>
        <v>1</v>
      </c>
      <c r="BJ90" s="197" t="e">
        <f ca="1">_xlfn.MAXIFS(TeamGameData[Win],TeamGameData[School, Opponent,Game'#],PlayerGameData[[#This Row],[School, Opponent,Game'#]])</f>
        <v>#NAME?</v>
      </c>
      <c r="BK90" s="197" t="e">
        <f ca="1">_xlfn.MAXIFS(TeamGameData[Loss],TeamGameData[School, Opponent,Game'#],PlayerGameData[[#This Row],[School, Opponent,Game'#]])</f>
        <v>#NAME?</v>
      </c>
    </row>
    <row r="91" spans="1:63" x14ac:dyDescent="0.25">
      <c r="A91" s="8" t="str">
        <f t="shared" ca="1" si="63"/>
        <v>Ryan Baker, 35</v>
      </c>
      <c r="B91" s="8" t="str">
        <f>Roster!$B$1</f>
        <v>Upton</v>
      </c>
      <c r="C91" s="8" t="str">
        <f t="shared" ca="1" si="51"/>
        <v>Cokeville</v>
      </c>
      <c r="D91" s="10">
        <f t="shared" ca="1" si="52"/>
        <v>44914</v>
      </c>
      <c r="E91" s="8">
        <f t="shared" ca="1" si="53"/>
        <v>1</v>
      </c>
      <c r="F91" s="8">
        <f t="shared" ca="1" si="54"/>
        <v>0</v>
      </c>
      <c r="G91" s="8">
        <f t="shared" ca="1" si="55"/>
        <v>10</v>
      </c>
      <c r="H91" s="8">
        <f t="shared" ca="1" si="56"/>
        <v>0</v>
      </c>
      <c r="I91" s="8">
        <f t="shared" ca="1" si="57"/>
        <v>0</v>
      </c>
      <c r="J91" s="8">
        <f t="shared" ca="1" si="58"/>
        <v>0</v>
      </c>
      <c r="K91" s="8">
        <f t="shared" ca="1" si="59"/>
        <v>2</v>
      </c>
      <c r="L91" s="8">
        <f t="shared" ca="1" si="64"/>
        <v>0</v>
      </c>
      <c r="M91" s="8">
        <f t="shared" ca="1" si="65"/>
        <v>0</v>
      </c>
      <c r="N91" s="8">
        <f t="shared" ca="1" si="66"/>
        <v>1</v>
      </c>
      <c r="O91" s="8">
        <f t="shared" ca="1" si="67"/>
        <v>2</v>
      </c>
      <c r="P91" s="8">
        <f t="shared" ca="1" si="68"/>
        <v>1</v>
      </c>
      <c r="Q91" s="8">
        <f t="shared" ca="1" si="69"/>
        <v>1</v>
      </c>
      <c r="R91" s="8">
        <f t="shared" ca="1" si="70"/>
        <v>0</v>
      </c>
      <c r="S91" s="8">
        <f t="shared" ca="1" si="71"/>
        <v>1</v>
      </c>
      <c r="T91" s="8">
        <f t="shared" ca="1" si="72"/>
        <v>0</v>
      </c>
      <c r="U91" s="8">
        <f t="shared" ca="1" si="73"/>
        <v>0</v>
      </c>
      <c r="V91" s="8">
        <f t="shared" ca="1" si="74"/>
        <v>0</v>
      </c>
      <c r="W91" s="11" t="str">
        <f t="shared" ca="1" si="75"/>
        <v/>
      </c>
      <c r="X91" s="11">
        <f t="shared" ca="1" si="76"/>
        <v>0</v>
      </c>
      <c r="Y91" s="11" t="str">
        <f t="shared" ca="1" si="77"/>
        <v/>
      </c>
      <c r="Z91" s="11">
        <f t="shared" ca="1" si="78"/>
        <v>0</v>
      </c>
      <c r="AA91" s="11">
        <f t="shared" ca="1" si="79"/>
        <v>0</v>
      </c>
      <c r="AB91" s="47">
        <f ca="1">PlayerGameData[[#This Row],[3FGA]]+PlayerGameData[[#This Row],[2FGA]]</f>
        <v>2</v>
      </c>
      <c r="AC91" s="47">
        <f ca="1">PlayerGameData[[#This Row],[OFF REB]]+PlayerGameData[[#This Row],[DEF REB]]</f>
        <v>3</v>
      </c>
      <c r="AD91" s="8">
        <f t="shared" si="60"/>
        <v>4</v>
      </c>
      <c r="AE91" s="8" t="str">
        <f t="shared" ca="1" si="61"/>
        <v>Ryan Baker, 35 - Cokeville 12/19/2022</v>
      </c>
      <c r="AF91" s="8" t="str">
        <f t="shared" ca="1" si="80"/>
        <v/>
      </c>
      <c r="AG91" s="8" t="str">
        <f ca="1">IFERROR(IF(C91=0,"",IF(AND(VLOOKUP(PlayerGameData[[#This Row],[Opponent]],WYTeamInfo,2,FALSE)=Roster!$D$1,VLOOKUP(PlayerGameData[[#This Row],[Opponent]],WYTeamInfo,3,FALSE)=Roster!$D$2),"SR","")),"")</f>
        <v/>
      </c>
      <c r="AH91" s="8" t="str">
        <f>CONCATENATE(Roster!$D$1," ",Roster!$D$5)</f>
        <v>1A BB</v>
      </c>
      <c r="AI91" s="8" t="str">
        <f t="shared" ca="1" si="62"/>
        <v>Upton - Cokeville 12/19/2022</v>
      </c>
      <c r="AJ91" s="8">
        <f ca="1">IFERROR(VLOOKUP(PlayerGameData[[#This Row],[School, Opponent,Game'#]],Table3[],2,FALSE),0)</f>
        <v>1</v>
      </c>
      <c r="AK91" s="8">
        <f ca="1">IF(PlayerGameData[[#This Row],[Visible]]=1,1,1000)</f>
        <v>1</v>
      </c>
      <c r="AL91" s="8">
        <f ca="1">RANK(PlayerGameData[[#This Row],[TL PTS]],PlayerGameData[TL PTS],0)+PlayerGameData[[#This Row],[VisibleOrder]]</f>
        <v>185</v>
      </c>
      <c r="AM91" s="8">
        <f ca="1">IF(COUNTIF(PlayerGameData[PointOrder],PlayerGameData[[#This Row],[PointOrder]])&gt;1,RANK(PlayerGameData[[#This Row],[FGA]],PlayerGameData[FGA],0)/100,0)+PlayerGameData[[#This Row],[PointOrder]]</f>
        <v>186.61</v>
      </c>
      <c r="AN91" s="8">
        <f ca="1">RANK(PlayerGameData[[#This Row],[PointTieBreak]],PlayerGameData[PointTieBreak],1)</f>
        <v>191</v>
      </c>
      <c r="AO91" s="8">
        <f ca="1">RANK(PlayerGameData[[#This Row],[REB]],PlayerGameData[REB],0)+PlayerGameData[[#This Row],[VisibleOrder]]</f>
        <v>108</v>
      </c>
      <c r="AP91" s="8">
        <f ca="1">IF(COUNTIF(PlayerGameData[REBOrder],PlayerGameData[[#This Row],[REBOrder]])&gt;1,PlayerGameData[[#This Row],[PointRank]]/100+PlayerGameData[[#This Row],[REBOrder]],PlayerGameData[[#This Row],[REBOrder]])</f>
        <v>109.91</v>
      </c>
      <c r="AQ91" s="8">
        <f ca="1">RANK(PlayerGameData[[#This Row],[REBTieBreak]],PlayerGameData[REBTieBreak],1)</f>
        <v>134</v>
      </c>
      <c r="AR91" s="8">
        <f ca="1">RANK(PlayerGameData[[#This Row],[AST]],PlayerGameData[AST],0)+PlayerGameData[[#This Row],[VisibleOrder]]</f>
        <v>115</v>
      </c>
      <c r="AS91" s="8">
        <f ca="1">IF(COUNTIF(PlayerGameData[ASTOrder],PlayerGameData[[#This Row],[ASTOrder]])&gt;1,PlayerGameData[[#This Row],[PointRank]]/100+PlayerGameData[[#This Row],[ASTOrder]],PlayerGameData[[#This Row],[ASTOrder]])</f>
        <v>116.91</v>
      </c>
      <c r="AT91" s="8">
        <f ca="1">RANK(PlayerGameData[[#This Row],[ASTTieBreak]],PlayerGameData[ASTTieBreak],1)</f>
        <v>146</v>
      </c>
      <c r="AU91" s="8">
        <f ca="1">RANK(PlayerGameData[[#This Row],[STL]],PlayerGameData[STL],0)+PlayerGameData[[#This Row],[VisibleOrder]]</f>
        <v>84</v>
      </c>
      <c r="AV91" s="8">
        <f ca="1">IF(COUNTIF(PlayerGameData[STLOrder],PlayerGameData[[#This Row],[STLOrder]])&gt;1,PlayerGameData[[#This Row],[PointRank]]/100+PlayerGameData[[#This Row],[STLOrder]],PlayerGameData[[#This Row],[STLOrder]])</f>
        <v>85.91</v>
      </c>
      <c r="AW91" s="8">
        <f ca="1">RANK(PlayerGameData[[#This Row],[STLTieBreak]],PlayerGameData[STLTieBreak],1)</f>
        <v>137</v>
      </c>
      <c r="AX91" s="8">
        <f ca="1">RANK(PlayerGameData[[#This Row],[BLK]],PlayerGameData[BLK],0)+PlayerGameData[[#This Row],[VisibleOrder]]</f>
        <v>32</v>
      </c>
      <c r="AY91" s="8">
        <f ca="1">IF(COUNTIF(PlayerGameData[BLKOrder],PlayerGameData[[#This Row],[BLKOrder]])&gt;1,PlayerGameData[[#This Row],[PointRank]]/100+PlayerGameData[[#This Row],[BLKOrder]],PlayerGameData[[#This Row],[BLKOrder]])</f>
        <v>33.909999999999997</v>
      </c>
      <c r="AZ91" s="8">
        <f ca="1">RANK(PlayerGameData[[#This Row],[BLKTieBreak]],PlayerGameData[BLKTieBreak],1)</f>
        <v>192</v>
      </c>
      <c r="BA91" s="11">
        <f ca="1">IFERROR(IF(PlayerGameData[[#This Row],[FGA]]&gt;$AA$5,PlayerGameData[[#This Row],[FG%*]],PlayerGameData[[#This Row],[FG%*]]*-1),-2)</f>
        <v>0</v>
      </c>
      <c r="BB91" s="8">
        <f ca="1">RANK(PlayerGameData[[#This Row],[EligFG]],PlayerGameData[EligFG],0)+PlayerGameData[[#This Row],[VisibleOrder]]</f>
        <v>117</v>
      </c>
      <c r="BC91" s="8">
        <f ca="1">IF(COUNTIF(PlayerGameData[EligFGOrder],PlayerGameData[[#This Row],[EligFGOrder]])&gt;1,PlayerGameData[[#This Row],[PointRank]]/100+PlayerGameData[[#This Row],[EligFGOrder]],PlayerGameData[[#This Row],[EligFGOrder]])</f>
        <v>118.91</v>
      </c>
      <c r="BD91" s="8">
        <f ca="1">RANK(PlayerGameData[[#This Row],[EligFGTieBreak]],PlayerGameData[EligFGTieBreak],1)</f>
        <v>133</v>
      </c>
      <c r="BE91" s="8" t="str">
        <f>Roster!$D$3</f>
        <v>East</v>
      </c>
      <c r="BF91" s="8" t="str">
        <f>Roster!$D$2</f>
        <v>Northeast</v>
      </c>
      <c r="BG91" s="8" t="str">
        <f>Roster!$D$4</f>
        <v>North</v>
      </c>
      <c r="BH91" s="197">
        <f ca="1">IFERROR(VLOOKUP(CONCATENATE(PlayerGameData[[#This Row],[Opponent]]," ",MONTH(PlayerGameData[[#This Row],[Date]]),"/",DAY(PlayerGameData[[#This Row],[Date]]),"/",YEAR(PlayerGameData[[#This Row],[Date]])),Table35[],2,FALSE),0)</f>
        <v>1</v>
      </c>
      <c r="BI91" s="197">
        <f ca="1">IF(PlayerGameData[[#This Row],[Visible]]=1,1,1000)</f>
        <v>1</v>
      </c>
      <c r="BJ91" s="197" t="e">
        <f ca="1">_xlfn.MAXIFS(TeamGameData[Win],TeamGameData[School, Opponent,Game'#],PlayerGameData[[#This Row],[School, Opponent,Game'#]])</f>
        <v>#NAME?</v>
      </c>
      <c r="BK91" s="197" t="e">
        <f ca="1">_xlfn.MAXIFS(TeamGameData[Loss],TeamGameData[School, Opponent,Game'#],PlayerGameData[[#This Row],[School, Opponent,Game'#]])</f>
        <v>#NAME?</v>
      </c>
    </row>
    <row r="92" spans="1:63" x14ac:dyDescent="0.25">
      <c r="A92" s="8" t="str">
        <f t="shared" ca="1" si="63"/>
        <v xml:space="preserve">, </v>
      </c>
      <c r="B92" s="8" t="str">
        <f>Roster!$B$1</f>
        <v>Upton</v>
      </c>
      <c r="C92" s="8" t="str">
        <f t="shared" ca="1" si="51"/>
        <v>Cokeville</v>
      </c>
      <c r="D92" s="10">
        <f t="shared" ca="1" si="52"/>
        <v>44914</v>
      </c>
      <c r="E92" s="8">
        <f t="shared" ca="1" si="53"/>
        <v>0</v>
      </c>
      <c r="F92" s="8">
        <f t="shared" ca="1" si="54"/>
        <v>0</v>
      </c>
      <c r="G92" s="8">
        <f t="shared" ca="1" si="55"/>
        <v>0</v>
      </c>
      <c r="H92" s="8">
        <f t="shared" ca="1" si="56"/>
        <v>0</v>
      </c>
      <c r="I92" s="8">
        <f t="shared" ca="1" si="57"/>
        <v>0</v>
      </c>
      <c r="J92" s="8">
        <f t="shared" ca="1" si="58"/>
        <v>0</v>
      </c>
      <c r="K92" s="8">
        <f t="shared" ca="1" si="59"/>
        <v>0</v>
      </c>
      <c r="L92" s="8">
        <f t="shared" ca="1" si="64"/>
        <v>0</v>
      </c>
      <c r="M92" s="8">
        <f t="shared" ca="1" si="65"/>
        <v>0</v>
      </c>
      <c r="N92" s="8">
        <f t="shared" ca="1" si="66"/>
        <v>0</v>
      </c>
      <c r="O92" s="8">
        <f t="shared" ca="1" si="67"/>
        <v>0</v>
      </c>
      <c r="P92" s="8">
        <f t="shared" ca="1" si="68"/>
        <v>0</v>
      </c>
      <c r="Q92" s="8">
        <f t="shared" ca="1" si="69"/>
        <v>0</v>
      </c>
      <c r="R92" s="8">
        <f t="shared" ca="1" si="70"/>
        <v>0</v>
      </c>
      <c r="S92" s="8">
        <f t="shared" ca="1" si="71"/>
        <v>0</v>
      </c>
      <c r="T92" s="8">
        <f t="shared" ca="1" si="72"/>
        <v>0</v>
      </c>
      <c r="U92" s="8">
        <f t="shared" ca="1" si="73"/>
        <v>0</v>
      </c>
      <c r="V92" s="8">
        <f t="shared" ca="1" si="74"/>
        <v>0</v>
      </c>
      <c r="W92" s="11" t="str">
        <f t="shared" ca="1" si="75"/>
        <v/>
      </c>
      <c r="X92" s="11" t="str">
        <f t="shared" ca="1" si="76"/>
        <v/>
      </c>
      <c r="Y92" s="11" t="str">
        <f t="shared" ca="1" si="77"/>
        <v/>
      </c>
      <c r="Z92" s="11" t="str">
        <f t="shared" ca="1" si="78"/>
        <v/>
      </c>
      <c r="AA92" s="11" t="str">
        <f t="shared" ca="1" si="79"/>
        <v/>
      </c>
      <c r="AB92" s="47">
        <f ca="1">PlayerGameData[[#This Row],[3FGA]]+PlayerGameData[[#This Row],[2FGA]]</f>
        <v>0</v>
      </c>
      <c r="AC92" s="47">
        <f ca="1">PlayerGameData[[#This Row],[OFF REB]]+PlayerGameData[[#This Row],[DEF REB]]</f>
        <v>0</v>
      </c>
      <c r="AD92" s="8">
        <f t="shared" si="60"/>
        <v>4</v>
      </c>
      <c r="AE92" s="8" t="str">
        <f t="shared" ca="1" si="61"/>
        <v>,  - Cokeville 12/19/2022</v>
      </c>
      <c r="AF92" s="8" t="str">
        <f t="shared" ca="1" si="80"/>
        <v/>
      </c>
      <c r="AG92" s="8" t="str">
        <f ca="1">IFERROR(IF(C92=0,"",IF(AND(VLOOKUP(PlayerGameData[[#This Row],[Opponent]],WYTeamInfo,2,FALSE)=Roster!$D$1,VLOOKUP(PlayerGameData[[#This Row],[Opponent]],WYTeamInfo,3,FALSE)=Roster!$D$2),"SR","")),"")</f>
        <v/>
      </c>
      <c r="AH92" s="8" t="str">
        <f>CONCATENATE(Roster!$D$1," ",Roster!$D$5)</f>
        <v>1A BB</v>
      </c>
      <c r="AI92" s="8" t="str">
        <f t="shared" ca="1" si="62"/>
        <v>Upton - Cokeville 12/19/2022</v>
      </c>
      <c r="AJ92" s="8">
        <f ca="1">IFERROR(VLOOKUP(PlayerGameData[[#This Row],[School, Opponent,Game'#]],Table3[],2,FALSE),0)</f>
        <v>1</v>
      </c>
      <c r="AK92" s="8">
        <f ca="1">IF(PlayerGameData[[#This Row],[Visible]]=1,1,1000)</f>
        <v>1</v>
      </c>
      <c r="AL92" s="8">
        <f ca="1">RANK(PlayerGameData[[#This Row],[TL PTS]],PlayerGameData[TL PTS],0)+PlayerGameData[[#This Row],[VisibleOrder]]</f>
        <v>185</v>
      </c>
      <c r="AM92" s="8">
        <f ca="1">IF(COUNTIF(PlayerGameData[PointOrder],PlayerGameData[[#This Row],[PointOrder]])&gt;1,RANK(PlayerGameData[[#This Row],[FGA]],PlayerGameData[FGA],0)/100,0)+PlayerGameData[[#This Row],[PointOrder]]</f>
        <v>187.14</v>
      </c>
      <c r="AN92" s="8">
        <f ca="1">RANK(PlayerGameData[[#This Row],[PointTieBreak]],PlayerGameData[PointTieBreak],1)</f>
        <v>216</v>
      </c>
      <c r="AO92" s="8">
        <f ca="1">RANK(PlayerGameData[[#This Row],[REB]],PlayerGameData[REB],0)+PlayerGameData[[#This Row],[VisibleOrder]]</f>
        <v>192</v>
      </c>
      <c r="AP92" s="8">
        <f ca="1">IF(COUNTIF(PlayerGameData[REBOrder],PlayerGameData[[#This Row],[REBOrder]])&gt;1,PlayerGameData[[#This Row],[PointRank]]/100+PlayerGameData[[#This Row],[REBOrder]],PlayerGameData[[#This Row],[REBOrder]])</f>
        <v>194.16</v>
      </c>
      <c r="AQ92" s="8">
        <f ca="1">RANK(PlayerGameData[[#This Row],[REBTieBreak]],PlayerGameData[REBTieBreak],1)</f>
        <v>224</v>
      </c>
      <c r="AR92" s="8">
        <f ca="1">RANK(PlayerGameData[[#This Row],[AST]],PlayerGameData[AST],0)+PlayerGameData[[#This Row],[VisibleOrder]]</f>
        <v>158</v>
      </c>
      <c r="AS92" s="8">
        <f ca="1">IF(COUNTIF(PlayerGameData[ASTOrder],PlayerGameData[[#This Row],[ASTOrder]])&gt;1,PlayerGameData[[#This Row],[PointRank]]/100+PlayerGameData[[#This Row],[ASTOrder]],PlayerGameData[[#This Row],[ASTOrder]])</f>
        <v>160.16</v>
      </c>
      <c r="AT92" s="8">
        <f ca="1">RANK(PlayerGameData[[#This Row],[ASTTieBreak]],PlayerGameData[ASTTieBreak],1)</f>
        <v>221</v>
      </c>
      <c r="AU92" s="8">
        <f ca="1">RANK(PlayerGameData[[#This Row],[STL]],PlayerGameData[STL],0)+PlayerGameData[[#This Row],[VisibleOrder]]</f>
        <v>143</v>
      </c>
      <c r="AV92" s="8">
        <f ca="1">IF(COUNTIF(PlayerGameData[STLOrder],PlayerGameData[[#This Row],[STLOrder]])&gt;1,PlayerGameData[[#This Row],[PointRank]]/100+PlayerGameData[[#This Row],[STLOrder]],PlayerGameData[[#This Row],[STLOrder]])</f>
        <v>145.16</v>
      </c>
      <c r="AW92" s="8">
        <f ca="1">RANK(PlayerGameData[[#This Row],[STLTieBreak]],PlayerGameData[STLTieBreak],1)</f>
        <v>217</v>
      </c>
      <c r="AX92" s="8">
        <f ca="1">RANK(PlayerGameData[[#This Row],[BLK]],PlayerGameData[BLK],0)+PlayerGameData[[#This Row],[VisibleOrder]]</f>
        <v>32</v>
      </c>
      <c r="AY92" s="8">
        <f ca="1">IF(COUNTIF(PlayerGameData[BLKOrder],PlayerGameData[[#This Row],[BLKOrder]])&gt;1,PlayerGameData[[#This Row],[PointRank]]/100+PlayerGameData[[#This Row],[BLKOrder]],PlayerGameData[[#This Row],[BLKOrder]])</f>
        <v>34.159999999999997</v>
      </c>
      <c r="AZ92" s="8">
        <f ca="1">RANK(PlayerGameData[[#This Row],[BLKTieBreak]],PlayerGameData[BLKTieBreak],1)</f>
        <v>216</v>
      </c>
      <c r="BA92" s="11">
        <f ca="1">IFERROR(IF(PlayerGameData[[#This Row],[FGA]]&gt;$AA$5,PlayerGameData[[#This Row],[FG%*]],PlayerGameData[[#This Row],[FG%*]]*-1),-2)</f>
        <v>-2</v>
      </c>
      <c r="BB92" s="8">
        <f ca="1">RANK(PlayerGameData[[#This Row],[EligFG]],PlayerGameData[EligFG],0)+PlayerGameData[[#This Row],[VisibleOrder]]</f>
        <v>215</v>
      </c>
      <c r="BC92" s="8">
        <f ca="1">IF(COUNTIF(PlayerGameData[EligFGOrder],PlayerGameData[[#This Row],[EligFGOrder]])&gt;1,PlayerGameData[[#This Row],[PointRank]]/100+PlayerGameData[[#This Row],[EligFGOrder]],PlayerGameData[[#This Row],[EligFGOrder]])</f>
        <v>217.16</v>
      </c>
      <c r="BD92" s="8">
        <f ca="1">RANK(PlayerGameData[[#This Row],[EligFGTieBreak]],PlayerGameData[EligFGTieBreak],1)</f>
        <v>216</v>
      </c>
      <c r="BE92" s="8" t="str">
        <f>Roster!$D$3</f>
        <v>East</v>
      </c>
      <c r="BF92" s="8" t="str">
        <f>Roster!$D$2</f>
        <v>Northeast</v>
      </c>
      <c r="BG92" s="8" t="str">
        <f>Roster!$D$4</f>
        <v>North</v>
      </c>
      <c r="BH92" s="197">
        <f ca="1">IFERROR(VLOOKUP(CONCATENATE(PlayerGameData[[#This Row],[Opponent]]," ",MONTH(PlayerGameData[[#This Row],[Date]]),"/",DAY(PlayerGameData[[#This Row],[Date]]),"/",YEAR(PlayerGameData[[#This Row],[Date]])),Table35[],2,FALSE),0)</f>
        <v>1</v>
      </c>
      <c r="BI92" s="197">
        <f ca="1">IF(PlayerGameData[[#This Row],[Visible]]=1,1,1000)</f>
        <v>1</v>
      </c>
      <c r="BJ92" s="197" t="e">
        <f ca="1">_xlfn.MAXIFS(TeamGameData[Win],TeamGameData[School, Opponent,Game'#],PlayerGameData[[#This Row],[School, Opponent,Game'#]])</f>
        <v>#NAME?</v>
      </c>
      <c r="BK92" s="197" t="e">
        <f ca="1">_xlfn.MAXIFS(TeamGameData[Loss],TeamGameData[School, Opponent,Game'#],PlayerGameData[[#This Row],[School, Opponent,Game'#]])</f>
        <v>#NAME?</v>
      </c>
    </row>
    <row r="93" spans="1:63" x14ac:dyDescent="0.25">
      <c r="A93" s="8" t="str">
        <f t="shared" ca="1" si="63"/>
        <v xml:space="preserve">, </v>
      </c>
      <c r="B93" s="8" t="str">
        <f>Roster!$B$1</f>
        <v>Upton</v>
      </c>
      <c r="C93" s="8" t="str">
        <f t="shared" ca="1" si="51"/>
        <v>Cokeville</v>
      </c>
      <c r="D93" s="10">
        <f t="shared" ca="1" si="52"/>
        <v>44914</v>
      </c>
      <c r="E93" s="8">
        <f t="shared" ca="1" si="53"/>
        <v>0</v>
      </c>
      <c r="F93" s="8">
        <f t="shared" ca="1" si="54"/>
        <v>0</v>
      </c>
      <c r="G93" s="8">
        <f t="shared" ca="1" si="55"/>
        <v>0</v>
      </c>
      <c r="H93" s="8">
        <f t="shared" ca="1" si="56"/>
        <v>0</v>
      </c>
      <c r="I93" s="8">
        <f t="shared" ca="1" si="57"/>
        <v>0</v>
      </c>
      <c r="J93" s="8">
        <f t="shared" ca="1" si="58"/>
        <v>0</v>
      </c>
      <c r="K93" s="8">
        <f t="shared" ca="1" si="59"/>
        <v>0</v>
      </c>
      <c r="L93" s="8">
        <f t="shared" ca="1" si="64"/>
        <v>0</v>
      </c>
      <c r="M93" s="8">
        <f t="shared" ca="1" si="65"/>
        <v>0</v>
      </c>
      <c r="N93" s="8">
        <f t="shared" ca="1" si="66"/>
        <v>0</v>
      </c>
      <c r="O93" s="8">
        <f t="shared" ca="1" si="67"/>
        <v>0</v>
      </c>
      <c r="P93" s="8">
        <f t="shared" ca="1" si="68"/>
        <v>0</v>
      </c>
      <c r="Q93" s="8">
        <f t="shared" ca="1" si="69"/>
        <v>0</v>
      </c>
      <c r="R93" s="8">
        <f t="shared" ca="1" si="70"/>
        <v>0</v>
      </c>
      <c r="S93" s="8">
        <f t="shared" ca="1" si="71"/>
        <v>0</v>
      </c>
      <c r="T93" s="8">
        <f t="shared" ca="1" si="72"/>
        <v>0</v>
      </c>
      <c r="U93" s="8">
        <f t="shared" ca="1" si="73"/>
        <v>0</v>
      </c>
      <c r="V93" s="8">
        <f t="shared" ca="1" si="74"/>
        <v>0</v>
      </c>
      <c r="W93" s="11" t="str">
        <f t="shared" ca="1" si="75"/>
        <v/>
      </c>
      <c r="X93" s="11" t="str">
        <f t="shared" ca="1" si="76"/>
        <v/>
      </c>
      <c r="Y93" s="11" t="str">
        <f t="shared" ca="1" si="77"/>
        <v/>
      </c>
      <c r="Z93" s="11" t="str">
        <f t="shared" ca="1" si="78"/>
        <v/>
      </c>
      <c r="AA93" s="11" t="str">
        <f t="shared" ca="1" si="79"/>
        <v/>
      </c>
      <c r="AB93" s="47">
        <f ca="1">PlayerGameData[[#This Row],[3FGA]]+PlayerGameData[[#This Row],[2FGA]]</f>
        <v>0</v>
      </c>
      <c r="AC93" s="47">
        <f ca="1">PlayerGameData[[#This Row],[OFF REB]]+PlayerGameData[[#This Row],[DEF REB]]</f>
        <v>0</v>
      </c>
      <c r="AD93" s="8">
        <f t="shared" si="60"/>
        <v>4</v>
      </c>
      <c r="AE93" s="8" t="str">
        <f t="shared" ca="1" si="61"/>
        <v>,  - Cokeville 12/19/2022</v>
      </c>
      <c r="AF93" s="8" t="str">
        <f t="shared" ca="1" si="80"/>
        <v/>
      </c>
      <c r="AG93" s="8" t="str">
        <f ca="1">IFERROR(IF(C93=0,"",IF(AND(VLOOKUP(PlayerGameData[[#This Row],[Opponent]],WYTeamInfo,2,FALSE)=Roster!$D$1,VLOOKUP(PlayerGameData[[#This Row],[Opponent]],WYTeamInfo,3,FALSE)=Roster!$D$2),"SR","")),"")</f>
        <v/>
      </c>
      <c r="AH93" s="8" t="str">
        <f>CONCATENATE(Roster!$D$1," ",Roster!$D$5)</f>
        <v>1A BB</v>
      </c>
      <c r="AI93" s="8" t="str">
        <f t="shared" ca="1" si="62"/>
        <v>Upton - Cokeville 12/19/2022</v>
      </c>
      <c r="AJ93" s="8">
        <f ca="1">IFERROR(VLOOKUP(PlayerGameData[[#This Row],[School, Opponent,Game'#]],Table3[],2,FALSE),0)</f>
        <v>1</v>
      </c>
      <c r="AK93" s="8">
        <f ca="1">IF(PlayerGameData[[#This Row],[Visible]]=1,1,1000)</f>
        <v>1</v>
      </c>
      <c r="AL93" s="8">
        <f ca="1">RANK(PlayerGameData[[#This Row],[TL PTS]],PlayerGameData[TL PTS],0)+PlayerGameData[[#This Row],[VisibleOrder]]</f>
        <v>185</v>
      </c>
      <c r="AM93" s="8">
        <f ca="1">IF(COUNTIF(PlayerGameData[PointOrder],PlayerGameData[[#This Row],[PointOrder]])&gt;1,RANK(PlayerGameData[[#This Row],[FGA]],PlayerGameData[FGA],0)/100,0)+PlayerGameData[[#This Row],[PointOrder]]</f>
        <v>187.14</v>
      </c>
      <c r="AN93" s="8">
        <f ca="1">RANK(PlayerGameData[[#This Row],[PointTieBreak]],PlayerGameData[PointTieBreak],1)</f>
        <v>216</v>
      </c>
      <c r="AO93" s="8">
        <f ca="1">RANK(PlayerGameData[[#This Row],[REB]],PlayerGameData[REB],0)+PlayerGameData[[#This Row],[VisibleOrder]]</f>
        <v>192</v>
      </c>
      <c r="AP93" s="8">
        <f ca="1">IF(COUNTIF(PlayerGameData[REBOrder],PlayerGameData[[#This Row],[REBOrder]])&gt;1,PlayerGameData[[#This Row],[PointRank]]/100+PlayerGameData[[#This Row],[REBOrder]],PlayerGameData[[#This Row],[REBOrder]])</f>
        <v>194.16</v>
      </c>
      <c r="AQ93" s="8">
        <f ca="1">RANK(PlayerGameData[[#This Row],[REBTieBreak]],PlayerGameData[REBTieBreak],1)</f>
        <v>224</v>
      </c>
      <c r="AR93" s="8">
        <f ca="1">RANK(PlayerGameData[[#This Row],[AST]],PlayerGameData[AST],0)+PlayerGameData[[#This Row],[VisibleOrder]]</f>
        <v>158</v>
      </c>
      <c r="AS93" s="8">
        <f ca="1">IF(COUNTIF(PlayerGameData[ASTOrder],PlayerGameData[[#This Row],[ASTOrder]])&gt;1,PlayerGameData[[#This Row],[PointRank]]/100+PlayerGameData[[#This Row],[ASTOrder]],PlayerGameData[[#This Row],[ASTOrder]])</f>
        <v>160.16</v>
      </c>
      <c r="AT93" s="8">
        <f ca="1">RANK(PlayerGameData[[#This Row],[ASTTieBreak]],PlayerGameData[ASTTieBreak],1)</f>
        <v>221</v>
      </c>
      <c r="AU93" s="8">
        <f ca="1">RANK(PlayerGameData[[#This Row],[STL]],PlayerGameData[STL],0)+PlayerGameData[[#This Row],[VisibleOrder]]</f>
        <v>143</v>
      </c>
      <c r="AV93" s="8">
        <f ca="1">IF(COUNTIF(PlayerGameData[STLOrder],PlayerGameData[[#This Row],[STLOrder]])&gt;1,PlayerGameData[[#This Row],[PointRank]]/100+PlayerGameData[[#This Row],[STLOrder]],PlayerGameData[[#This Row],[STLOrder]])</f>
        <v>145.16</v>
      </c>
      <c r="AW93" s="8">
        <f ca="1">RANK(PlayerGameData[[#This Row],[STLTieBreak]],PlayerGameData[STLTieBreak],1)</f>
        <v>217</v>
      </c>
      <c r="AX93" s="8">
        <f ca="1">RANK(PlayerGameData[[#This Row],[BLK]],PlayerGameData[BLK],0)+PlayerGameData[[#This Row],[VisibleOrder]]</f>
        <v>32</v>
      </c>
      <c r="AY93" s="8">
        <f ca="1">IF(COUNTIF(PlayerGameData[BLKOrder],PlayerGameData[[#This Row],[BLKOrder]])&gt;1,PlayerGameData[[#This Row],[PointRank]]/100+PlayerGameData[[#This Row],[BLKOrder]],PlayerGameData[[#This Row],[BLKOrder]])</f>
        <v>34.159999999999997</v>
      </c>
      <c r="AZ93" s="8">
        <f ca="1">RANK(PlayerGameData[[#This Row],[BLKTieBreak]],PlayerGameData[BLKTieBreak],1)</f>
        <v>216</v>
      </c>
      <c r="BA93" s="11">
        <f ca="1">IFERROR(IF(PlayerGameData[[#This Row],[FGA]]&gt;$AA$5,PlayerGameData[[#This Row],[FG%*]],PlayerGameData[[#This Row],[FG%*]]*-1),-2)</f>
        <v>-2</v>
      </c>
      <c r="BB93" s="8">
        <f ca="1">RANK(PlayerGameData[[#This Row],[EligFG]],PlayerGameData[EligFG],0)+PlayerGameData[[#This Row],[VisibleOrder]]</f>
        <v>215</v>
      </c>
      <c r="BC93" s="8">
        <f ca="1">IF(COUNTIF(PlayerGameData[EligFGOrder],PlayerGameData[[#This Row],[EligFGOrder]])&gt;1,PlayerGameData[[#This Row],[PointRank]]/100+PlayerGameData[[#This Row],[EligFGOrder]],PlayerGameData[[#This Row],[EligFGOrder]])</f>
        <v>217.16</v>
      </c>
      <c r="BD93" s="8">
        <f ca="1">RANK(PlayerGameData[[#This Row],[EligFGTieBreak]],PlayerGameData[EligFGTieBreak],1)</f>
        <v>216</v>
      </c>
      <c r="BE93" s="8" t="str">
        <f>Roster!$D$3</f>
        <v>East</v>
      </c>
      <c r="BF93" s="8" t="str">
        <f>Roster!$D$2</f>
        <v>Northeast</v>
      </c>
      <c r="BG93" s="8" t="str">
        <f>Roster!$D$4</f>
        <v>North</v>
      </c>
      <c r="BH93" s="197">
        <f ca="1">IFERROR(VLOOKUP(CONCATENATE(PlayerGameData[[#This Row],[Opponent]]," ",MONTH(PlayerGameData[[#This Row],[Date]]),"/",DAY(PlayerGameData[[#This Row],[Date]]),"/",YEAR(PlayerGameData[[#This Row],[Date]])),Table35[],2,FALSE),0)</f>
        <v>1</v>
      </c>
      <c r="BI93" s="197">
        <f ca="1">IF(PlayerGameData[[#This Row],[Visible]]=1,1,1000)</f>
        <v>1</v>
      </c>
      <c r="BJ93" s="197" t="e">
        <f ca="1">_xlfn.MAXIFS(TeamGameData[Win],TeamGameData[School, Opponent,Game'#],PlayerGameData[[#This Row],[School, Opponent,Game'#]])</f>
        <v>#NAME?</v>
      </c>
      <c r="BK93" s="197" t="e">
        <f ca="1">_xlfn.MAXIFS(TeamGameData[Loss],TeamGameData[School, Opponent,Game'#],PlayerGameData[[#This Row],[School, Opponent,Game'#]])</f>
        <v>#NAME?</v>
      </c>
    </row>
    <row r="94" spans="1:63" x14ac:dyDescent="0.25">
      <c r="A94" s="8" t="str">
        <f t="shared" ca="1" si="63"/>
        <v xml:space="preserve">, </v>
      </c>
      <c r="B94" s="8" t="str">
        <f>Roster!$B$1</f>
        <v>Upton</v>
      </c>
      <c r="C94" s="8" t="str">
        <f t="shared" ca="1" si="51"/>
        <v>Cokeville</v>
      </c>
      <c r="D94" s="10">
        <f t="shared" ca="1" si="52"/>
        <v>44914</v>
      </c>
      <c r="E94" s="8">
        <f t="shared" ca="1" si="53"/>
        <v>0</v>
      </c>
      <c r="F94" s="8">
        <f t="shared" ca="1" si="54"/>
        <v>0</v>
      </c>
      <c r="G94" s="8">
        <f t="shared" ca="1" si="55"/>
        <v>0</v>
      </c>
      <c r="H94" s="8">
        <f t="shared" ca="1" si="56"/>
        <v>0</v>
      </c>
      <c r="I94" s="8">
        <f t="shared" ca="1" si="57"/>
        <v>0</v>
      </c>
      <c r="J94" s="8">
        <f t="shared" ca="1" si="58"/>
        <v>0</v>
      </c>
      <c r="K94" s="8">
        <f t="shared" ca="1" si="59"/>
        <v>0</v>
      </c>
      <c r="L94" s="8">
        <f t="shared" ca="1" si="64"/>
        <v>0</v>
      </c>
      <c r="M94" s="8">
        <f t="shared" ca="1" si="65"/>
        <v>0</v>
      </c>
      <c r="N94" s="8">
        <f t="shared" ca="1" si="66"/>
        <v>0</v>
      </c>
      <c r="O94" s="8">
        <f t="shared" ca="1" si="67"/>
        <v>0</v>
      </c>
      <c r="P94" s="8">
        <f t="shared" ca="1" si="68"/>
        <v>0</v>
      </c>
      <c r="Q94" s="8">
        <f t="shared" ca="1" si="69"/>
        <v>0</v>
      </c>
      <c r="R94" s="8">
        <f t="shared" ca="1" si="70"/>
        <v>0</v>
      </c>
      <c r="S94" s="8">
        <f t="shared" ca="1" si="71"/>
        <v>0</v>
      </c>
      <c r="T94" s="8">
        <f t="shared" ca="1" si="72"/>
        <v>0</v>
      </c>
      <c r="U94" s="8">
        <f t="shared" ca="1" si="73"/>
        <v>0</v>
      </c>
      <c r="V94" s="8">
        <f t="shared" ca="1" si="74"/>
        <v>0</v>
      </c>
      <c r="W94" s="11" t="str">
        <f t="shared" ca="1" si="75"/>
        <v/>
      </c>
      <c r="X94" s="11" t="str">
        <f t="shared" ca="1" si="76"/>
        <v/>
      </c>
      <c r="Y94" s="11" t="str">
        <f t="shared" ca="1" si="77"/>
        <v/>
      </c>
      <c r="Z94" s="11" t="str">
        <f t="shared" ca="1" si="78"/>
        <v/>
      </c>
      <c r="AA94" s="11" t="str">
        <f t="shared" ca="1" si="79"/>
        <v/>
      </c>
      <c r="AB94" s="47">
        <f ca="1">PlayerGameData[[#This Row],[3FGA]]+PlayerGameData[[#This Row],[2FGA]]</f>
        <v>0</v>
      </c>
      <c r="AC94" s="47">
        <f ca="1">PlayerGameData[[#This Row],[OFF REB]]+PlayerGameData[[#This Row],[DEF REB]]</f>
        <v>0</v>
      </c>
      <c r="AD94" s="8">
        <f t="shared" si="60"/>
        <v>4</v>
      </c>
      <c r="AE94" s="8" t="str">
        <f t="shared" ca="1" si="61"/>
        <v>,  - Cokeville 12/19/2022</v>
      </c>
      <c r="AF94" s="8" t="str">
        <f t="shared" ca="1" si="80"/>
        <v/>
      </c>
      <c r="AG94" s="8" t="str">
        <f ca="1">IFERROR(IF(C94=0,"",IF(AND(VLOOKUP(PlayerGameData[[#This Row],[Opponent]],WYTeamInfo,2,FALSE)=Roster!$D$1,VLOOKUP(PlayerGameData[[#This Row],[Opponent]],WYTeamInfo,3,FALSE)=Roster!$D$2),"SR","")),"")</f>
        <v/>
      </c>
      <c r="AH94" s="8" t="str">
        <f>CONCATENATE(Roster!$D$1," ",Roster!$D$5)</f>
        <v>1A BB</v>
      </c>
      <c r="AI94" s="8" t="str">
        <f t="shared" ca="1" si="62"/>
        <v>Upton - Cokeville 12/19/2022</v>
      </c>
      <c r="AJ94" s="8">
        <f ca="1">IFERROR(VLOOKUP(PlayerGameData[[#This Row],[School, Opponent,Game'#]],Table3[],2,FALSE),0)</f>
        <v>1</v>
      </c>
      <c r="AK94" s="8">
        <f ca="1">IF(PlayerGameData[[#This Row],[Visible]]=1,1,1000)</f>
        <v>1</v>
      </c>
      <c r="AL94" s="8">
        <f ca="1">RANK(PlayerGameData[[#This Row],[TL PTS]],PlayerGameData[TL PTS],0)+PlayerGameData[[#This Row],[VisibleOrder]]</f>
        <v>185</v>
      </c>
      <c r="AM94" s="8">
        <f ca="1">IF(COUNTIF(PlayerGameData[PointOrder],PlayerGameData[[#This Row],[PointOrder]])&gt;1,RANK(PlayerGameData[[#This Row],[FGA]],PlayerGameData[FGA],0)/100,0)+PlayerGameData[[#This Row],[PointOrder]]</f>
        <v>187.14</v>
      </c>
      <c r="AN94" s="8">
        <f ca="1">RANK(PlayerGameData[[#This Row],[PointTieBreak]],PlayerGameData[PointTieBreak],1)</f>
        <v>216</v>
      </c>
      <c r="AO94" s="8">
        <f ca="1">RANK(PlayerGameData[[#This Row],[REB]],PlayerGameData[REB],0)+PlayerGameData[[#This Row],[VisibleOrder]]</f>
        <v>192</v>
      </c>
      <c r="AP94" s="8">
        <f ca="1">IF(COUNTIF(PlayerGameData[REBOrder],PlayerGameData[[#This Row],[REBOrder]])&gt;1,PlayerGameData[[#This Row],[PointRank]]/100+PlayerGameData[[#This Row],[REBOrder]],PlayerGameData[[#This Row],[REBOrder]])</f>
        <v>194.16</v>
      </c>
      <c r="AQ94" s="8">
        <f ca="1">RANK(PlayerGameData[[#This Row],[REBTieBreak]],PlayerGameData[REBTieBreak],1)</f>
        <v>224</v>
      </c>
      <c r="AR94" s="8">
        <f ca="1">RANK(PlayerGameData[[#This Row],[AST]],PlayerGameData[AST],0)+PlayerGameData[[#This Row],[VisibleOrder]]</f>
        <v>158</v>
      </c>
      <c r="AS94" s="8">
        <f ca="1">IF(COUNTIF(PlayerGameData[ASTOrder],PlayerGameData[[#This Row],[ASTOrder]])&gt;1,PlayerGameData[[#This Row],[PointRank]]/100+PlayerGameData[[#This Row],[ASTOrder]],PlayerGameData[[#This Row],[ASTOrder]])</f>
        <v>160.16</v>
      </c>
      <c r="AT94" s="8">
        <f ca="1">RANK(PlayerGameData[[#This Row],[ASTTieBreak]],PlayerGameData[ASTTieBreak],1)</f>
        <v>221</v>
      </c>
      <c r="AU94" s="8">
        <f ca="1">RANK(PlayerGameData[[#This Row],[STL]],PlayerGameData[STL],0)+PlayerGameData[[#This Row],[VisibleOrder]]</f>
        <v>143</v>
      </c>
      <c r="AV94" s="8">
        <f ca="1">IF(COUNTIF(PlayerGameData[STLOrder],PlayerGameData[[#This Row],[STLOrder]])&gt;1,PlayerGameData[[#This Row],[PointRank]]/100+PlayerGameData[[#This Row],[STLOrder]],PlayerGameData[[#This Row],[STLOrder]])</f>
        <v>145.16</v>
      </c>
      <c r="AW94" s="8">
        <f ca="1">RANK(PlayerGameData[[#This Row],[STLTieBreak]],PlayerGameData[STLTieBreak],1)</f>
        <v>217</v>
      </c>
      <c r="AX94" s="8">
        <f ca="1">RANK(PlayerGameData[[#This Row],[BLK]],PlayerGameData[BLK],0)+PlayerGameData[[#This Row],[VisibleOrder]]</f>
        <v>32</v>
      </c>
      <c r="AY94" s="8">
        <f ca="1">IF(COUNTIF(PlayerGameData[BLKOrder],PlayerGameData[[#This Row],[BLKOrder]])&gt;1,PlayerGameData[[#This Row],[PointRank]]/100+PlayerGameData[[#This Row],[BLKOrder]],PlayerGameData[[#This Row],[BLKOrder]])</f>
        <v>34.159999999999997</v>
      </c>
      <c r="AZ94" s="8">
        <f ca="1">RANK(PlayerGameData[[#This Row],[BLKTieBreak]],PlayerGameData[BLKTieBreak],1)</f>
        <v>216</v>
      </c>
      <c r="BA94" s="11">
        <f ca="1">IFERROR(IF(PlayerGameData[[#This Row],[FGA]]&gt;$AA$5,PlayerGameData[[#This Row],[FG%*]],PlayerGameData[[#This Row],[FG%*]]*-1),-2)</f>
        <v>-2</v>
      </c>
      <c r="BB94" s="8">
        <f ca="1">RANK(PlayerGameData[[#This Row],[EligFG]],PlayerGameData[EligFG],0)+PlayerGameData[[#This Row],[VisibleOrder]]</f>
        <v>215</v>
      </c>
      <c r="BC94" s="8">
        <f ca="1">IF(COUNTIF(PlayerGameData[EligFGOrder],PlayerGameData[[#This Row],[EligFGOrder]])&gt;1,PlayerGameData[[#This Row],[PointRank]]/100+PlayerGameData[[#This Row],[EligFGOrder]],PlayerGameData[[#This Row],[EligFGOrder]])</f>
        <v>217.16</v>
      </c>
      <c r="BD94" s="8">
        <f ca="1">RANK(PlayerGameData[[#This Row],[EligFGTieBreak]],PlayerGameData[EligFGTieBreak],1)</f>
        <v>216</v>
      </c>
      <c r="BE94" s="8" t="str">
        <f>Roster!$D$3</f>
        <v>East</v>
      </c>
      <c r="BF94" s="8" t="str">
        <f>Roster!$D$2</f>
        <v>Northeast</v>
      </c>
      <c r="BG94" s="8" t="str">
        <f>Roster!$D$4</f>
        <v>North</v>
      </c>
      <c r="BH94" s="197">
        <f ca="1">IFERROR(VLOOKUP(CONCATENATE(PlayerGameData[[#This Row],[Opponent]]," ",MONTH(PlayerGameData[[#This Row],[Date]]),"/",DAY(PlayerGameData[[#This Row],[Date]]),"/",YEAR(PlayerGameData[[#This Row],[Date]])),Table35[],2,FALSE),0)</f>
        <v>1</v>
      </c>
      <c r="BI94" s="197">
        <f ca="1">IF(PlayerGameData[[#This Row],[Visible]]=1,1,1000)</f>
        <v>1</v>
      </c>
      <c r="BJ94" s="197" t="e">
        <f ca="1">_xlfn.MAXIFS(TeamGameData[Win],TeamGameData[School, Opponent,Game'#],PlayerGameData[[#This Row],[School, Opponent,Game'#]])</f>
        <v>#NAME?</v>
      </c>
      <c r="BK94" s="197" t="e">
        <f ca="1">_xlfn.MAXIFS(TeamGameData[Loss],TeamGameData[School, Opponent,Game'#],PlayerGameData[[#This Row],[School, Opponent,Game'#]])</f>
        <v>#NAME?</v>
      </c>
    </row>
    <row r="95" spans="1:63" x14ac:dyDescent="0.25">
      <c r="A95" s="8" t="str">
        <f t="shared" ca="1" si="63"/>
        <v xml:space="preserve">, </v>
      </c>
      <c r="B95" s="8" t="str">
        <f>Roster!$B$1</f>
        <v>Upton</v>
      </c>
      <c r="C95" s="8" t="str">
        <f t="shared" ca="1" si="51"/>
        <v>Cokeville</v>
      </c>
      <c r="D95" s="10">
        <f t="shared" ca="1" si="52"/>
        <v>44914</v>
      </c>
      <c r="E95" s="8">
        <f t="shared" ca="1" si="53"/>
        <v>0</v>
      </c>
      <c r="F95" s="8">
        <f t="shared" ca="1" si="54"/>
        <v>0</v>
      </c>
      <c r="G95" s="8">
        <f t="shared" ca="1" si="55"/>
        <v>0</v>
      </c>
      <c r="H95" s="8">
        <f t="shared" ca="1" si="56"/>
        <v>0</v>
      </c>
      <c r="I95" s="8">
        <f t="shared" ca="1" si="57"/>
        <v>0</v>
      </c>
      <c r="J95" s="8">
        <f t="shared" ca="1" si="58"/>
        <v>0</v>
      </c>
      <c r="K95" s="8">
        <f t="shared" ca="1" si="59"/>
        <v>0</v>
      </c>
      <c r="L95" s="8">
        <f t="shared" ca="1" si="64"/>
        <v>0</v>
      </c>
      <c r="M95" s="8">
        <f t="shared" ca="1" si="65"/>
        <v>0</v>
      </c>
      <c r="N95" s="8">
        <f t="shared" ca="1" si="66"/>
        <v>0</v>
      </c>
      <c r="O95" s="8">
        <f t="shared" ca="1" si="67"/>
        <v>0</v>
      </c>
      <c r="P95" s="8">
        <f t="shared" ca="1" si="68"/>
        <v>0</v>
      </c>
      <c r="Q95" s="8">
        <f t="shared" ca="1" si="69"/>
        <v>0</v>
      </c>
      <c r="R95" s="8">
        <f t="shared" ca="1" si="70"/>
        <v>0</v>
      </c>
      <c r="S95" s="8">
        <f t="shared" ca="1" si="71"/>
        <v>0</v>
      </c>
      <c r="T95" s="8">
        <f t="shared" ca="1" si="72"/>
        <v>0</v>
      </c>
      <c r="U95" s="8">
        <f t="shared" ca="1" si="73"/>
        <v>0</v>
      </c>
      <c r="V95" s="8">
        <f t="shared" ca="1" si="74"/>
        <v>0</v>
      </c>
      <c r="W95" s="11" t="str">
        <f t="shared" ca="1" si="75"/>
        <v/>
      </c>
      <c r="X95" s="11" t="str">
        <f t="shared" ca="1" si="76"/>
        <v/>
      </c>
      <c r="Y95" s="11" t="str">
        <f t="shared" ca="1" si="77"/>
        <v/>
      </c>
      <c r="Z95" s="11" t="str">
        <f t="shared" ca="1" si="78"/>
        <v/>
      </c>
      <c r="AA95" s="11" t="str">
        <f t="shared" ca="1" si="79"/>
        <v/>
      </c>
      <c r="AB95" s="47">
        <f ca="1">PlayerGameData[[#This Row],[3FGA]]+PlayerGameData[[#This Row],[2FGA]]</f>
        <v>0</v>
      </c>
      <c r="AC95" s="47">
        <f ca="1">PlayerGameData[[#This Row],[OFF REB]]+PlayerGameData[[#This Row],[DEF REB]]</f>
        <v>0</v>
      </c>
      <c r="AD95" s="8">
        <f t="shared" si="60"/>
        <v>4</v>
      </c>
      <c r="AE95" s="8" t="str">
        <f t="shared" ca="1" si="61"/>
        <v>,  - Cokeville 12/19/2022</v>
      </c>
      <c r="AF95" s="8" t="str">
        <f t="shared" ca="1" si="80"/>
        <v/>
      </c>
      <c r="AG95" s="8" t="str">
        <f ca="1">IFERROR(IF(C95=0,"",IF(AND(VLOOKUP(PlayerGameData[[#This Row],[Opponent]],WYTeamInfo,2,FALSE)=Roster!$D$1,VLOOKUP(PlayerGameData[[#This Row],[Opponent]],WYTeamInfo,3,FALSE)=Roster!$D$2),"SR","")),"")</f>
        <v/>
      </c>
      <c r="AH95" s="8" t="str">
        <f>CONCATENATE(Roster!$D$1," ",Roster!$D$5)</f>
        <v>1A BB</v>
      </c>
      <c r="AI95" s="8" t="str">
        <f t="shared" ca="1" si="62"/>
        <v>Upton - Cokeville 12/19/2022</v>
      </c>
      <c r="AJ95" s="8">
        <f ca="1">IFERROR(VLOOKUP(PlayerGameData[[#This Row],[School, Opponent,Game'#]],Table3[],2,FALSE),0)</f>
        <v>1</v>
      </c>
      <c r="AK95" s="8">
        <f ca="1">IF(PlayerGameData[[#This Row],[Visible]]=1,1,1000)</f>
        <v>1</v>
      </c>
      <c r="AL95" s="8">
        <f ca="1">RANK(PlayerGameData[[#This Row],[TL PTS]],PlayerGameData[TL PTS],0)+PlayerGameData[[#This Row],[VisibleOrder]]</f>
        <v>185</v>
      </c>
      <c r="AM95" s="8">
        <f ca="1">IF(COUNTIF(PlayerGameData[PointOrder],PlayerGameData[[#This Row],[PointOrder]])&gt;1,RANK(PlayerGameData[[#This Row],[FGA]],PlayerGameData[FGA],0)/100,0)+PlayerGameData[[#This Row],[PointOrder]]</f>
        <v>187.14</v>
      </c>
      <c r="AN95" s="8">
        <f ca="1">RANK(PlayerGameData[[#This Row],[PointTieBreak]],PlayerGameData[PointTieBreak],1)</f>
        <v>216</v>
      </c>
      <c r="AO95" s="8">
        <f ca="1">RANK(PlayerGameData[[#This Row],[REB]],PlayerGameData[REB],0)+PlayerGameData[[#This Row],[VisibleOrder]]</f>
        <v>192</v>
      </c>
      <c r="AP95" s="8">
        <f ca="1">IF(COUNTIF(PlayerGameData[REBOrder],PlayerGameData[[#This Row],[REBOrder]])&gt;1,PlayerGameData[[#This Row],[PointRank]]/100+PlayerGameData[[#This Row],[REBOrder]],PlayerGameData[[#This Row],[REBOrder]])</f>
        <v>194.16</v>
      </c>
      <c r="AQ95" s="8">
        <f ca="1">RANK(PlayerGameData[[#This Row],[REBTieBreak]],PlayerGameData[REBTieBreak],1)</f>
        <v>224</v>
      </c>
      <c r="AR95" s="8">
        <f ca="1">RANK(PlayerGameData[[#This Row],[AST]],PlayerGameData[AST],0)+PlayerGameData[[#This Row],[VisibleOrder]]</f>
        <v>158</v>
      </c>
      <c r="AS95" s="8">
        <f ca="1">IF(COUNTIF(PlayerGameData[ASTOrder],PlayerGameData[[#This Row],[ASTOrder]])&gt;1,PlayerGameData[[#This Row],[PointRank]]/100+PlayerGameData[[#This Row],[ASTOrder]],PlayerGameData[[#This Row],[ASTOrder]])</f>
        <v>160.16</v>
      </c>
      <c r="AT95" s="8">
        <f ca="1">RANK(PlayerGameData[[#This Row],[ASTTieBreak]],PlayerGameData[ASTTieBreak],1)</f>
        <v>221</v>
      </c>
      <c r="AU95" s="8">
        <f ca="1">RANK(PlayerGameData[[#This Row],[STL]],PlayerGameData[STL],0)+PlayerGameData[[#This Row],[VisibleOrder]]</f>
        <v>143</v>
      </c>
      <c r="AV95" s="8">
        <f ca="1">IF(COUNTIF(PlayerGameData[STLOrder],PlayerGameData[[#This Row],[STLOrder]])&gt;1,PlayerGameData[[#This Row],[PointRank]]/100+PlayerGameData[[#This Row],[STLOrder]],PlayerGameData[[#This Row],[STLOrder]])</f>
        <v>145.16</v>
      </c>
      <c r="AW95" s="8">
        <f ca="1">RANK(PlayerGameData[[#This Row],[STLTieBreak]],PlayerGameData[STLTieBreak],1)</f>
        <v>217</v>
      </c>
      <c r="AX95" s="8">
        <f ca="1">RANK(PlayerGameData[[#This Row],[BLK]],PlayerGameData[BLK],0)+PlayerGameData[[#This Row],[VisibleOrder]]</f>
        <v>32</v>
      </c>
      <c r="AY95" s="8">
        <f ca="1">IF(COUNTIF(PlayerGameData[BLKOrder],PlayerGameData[[#This Row],[BLKOrder]])&gt;1,PlayerGameData[[#This Row],[PointRank]]/100+PlayerGameData[[#This Row],[BLKOrder]],PlayerGameData[[#This Row],[BLKOrder]])</f>
        <v>34.159999999999997</v>
      </c>
      <c r="AZ95" s="8">
        <f ca="1">RANK(PlayerGameData[[#This Row],[BLKTieBreak]],PlayerGameData[BLKTieBreak],1)</f>
        <v>216</v>
      </c>
      <c r="BA95" s="11">
        <f ca="1">IFERROR(IF(PlayerGameData[[#This Row],[FGA]]&gt;$AA$5,PlayerGameData[[#This Row],[FG%*]],PlayerGameData[[#This Row],[FG%*]]*-1),-2)</f>
        <v>-2</v>
      </c>
      <c r="BB95" s="8">
        <f ca="1">RANK(PlayerGameData[[#This Row],[EligFG]],PlayerGameData[EligFG],0)+PlayerGameData[[#This Row],[VisibleOrder]]</f>
        <v>215</v>
      </c>
      <c r="BC95" s="8">
        <f ca="1">IF(COUNTIF(PlayerGameData[EligFGOrder],PlayerGameData[[#This Row],[EligFGOrder]])&gt;1,PlayerGameData[[#This Row],[PointRank]]/100+PlayerGameData[[#This Row],[EligFGOrder]],PlayerGameData[[#This Row],[EligFGOrder]])</f>
        <v>217.16</v>
      </c>
      <c r="BD95" s="8">
        <f ca="1">RANK(PlayerGameData[[#This Row],[EligFGTieBreak]],PlayerGameData[EligFGTieBreak],1)</f>
        <v>216</v>
      </c>
      <c r="BE95" s="8" t="str">
        <f>Roster!$D$3</f>
        <v>East</v>
      </c>
      <c r="BF95" s="8" t="str">
        <f>Roster!$D$2</f>
        <v>Northeast</v>
      </c>
      <c r="BG95" s="8" t="str">
        <f>Roster!$D$4</f>
        <v>North</v>
      </c>
      <c r="BH95" s="197">
        <f ca="1">IFERROR(VLOOKUP(CONCATENATE(PlayerGameData[[#This Row],[Opponent]]," ",MONTH(PlayerGameData[[#This Row],[Date]]),"/",DAY(PlayerGameData[[#This Row],[Date]]),"/",YEAR(PlayerGameData[[#This Row],[Date]])),Table35[],2,FALSE),0)</f>
        <v>1</v>
      </c>
      <c r="BI95" s="197">
        <f ca="1">IF(PlayerGameData[[#This Row],[Visible]]=1,1,1000)</f>
        <v>1</v>
      </c>
      <c r="BJ95" s="197" t="e">
        <f ca="1">_xlfn.MAXIFS(TeamGameData[Win],TeamGameData[School, Opponent,Game'#],PlayerGameData[[#This Row],[School, Opponent,Game'#]])</f>
        <v>#NAME?</v>
      </c>
      <c r="BK95" s="197" t="e">
        <f ca="1">_xlfn.MAXIFS(TeamGameData[Loss],TeamGameData[School, Opponent,Game'#],PlayerGameData[[#This Row],[School, Opponent,Game'#]])</f>
        <v>#NAME?</v>
      </c>
    </row>
    <row r="96" spans="1:63" x14ac:dyDescent="0.25">
      <c r="A96" s="8" t="str">
        <f t="shared" ca="1" si="63"/>
        <v xml:space="preserve">, </v>
      </c>
      <c r="B96" s="8" t="str">
        <f>Roster!$B$1</f>
        <v>Upton</v>
      </c>
      <c r="C96" s="8" t="str">
        <f t="shared" ca="1" si="51"/>
        <v>Cokeville</v>
      </c>
      <c r="D96" s="10">
        <f t="shared" ca="1" si="52"/>
        <v>44914</v>
      </c>
      <c r="E96" s="8">
        <f t="shared" ca="1" si="53"/>
        <v>0</v>
      </c>
      <c r="F96" s="8">
        <f t="shared" ca="1" si="54"/>
        <v>0</v>
      </c>
      <c r="G96" s="8">
        <f t="shared" ca="1" si="55"/>
        <v>0</v>
      </c>
      <c r="H96" s="8">
        <f t="shared" ca="1" si="56"/>
        <v>0</v>
      </c>
      <c r="I96" s="8">
        <f t="shared" ca="1" si="57"/>
        <v>0</v>
      </c>
      <c r="J96" s="8">
        <f t="shared" ca="1" si="58"/>
        <v>0</v>
      </c>
      <c r="K96" s="8">
        <f t="shared" ca="1" si="59"/>
        <v>0</v>
      </c>
      <c r="L96" s="8">
        <f t="shared" ca="1" si="64"/>
        <v>0</v>
      </c>
      <c r="M96" s="8">
        <f t="shared" ca="1" si="65"/>
        <v>0</v>
      </c>
      <c r="N96" s="8">
        <f t="shared" ca="1" si="66"/>
        <v>0</v>
      </c>
      <c r="O96" s="8">
        <f t="shared" ca="1" si="67"/>
        <v>0</v>
      </c>
      <c r="P96" s="8">
        <f t="shared" ca="1" si="68"/>
        <v>0</v>
      </c>
      <c r="Q96" s="8">
        <f t="shared" ca="1" si="69"/>
        <v>0</v>
      </c>
      <c r="R96" s="8">
        <f t="shared" ca="1" si="70"/>
        <v>0</v>
      </c>
      <c r="S96" s="8">
        <f t="shared" ca="1" si="71"/>
        <v>0</v>
      </c>
      <c r="T96" s="8">
        <f t="shared" ca="1" si="72"/>
        <v>0</v>
      </c>
      <c r="U96" s="8">
        <f t="shared" ca="1" si="73"/>
        <v>0</v>
      </c>
      <c r="V96" s="8">
        <f t="shared" ca="1" si="74"/>
        <v>0</v>
      </c>
      <c r="W96" s="11" t="str">
        <f t="shared" ca="1" si="75"/>
        <v/>
      </c>
      <c r="X96" s="11" t="str">
        <f t="shared" ca="1" si="76"/>
        <v/>
      </c>
      <c r="Y96" s="11" t="str">
        <f t="shared" ca="1" si="77"/>
        <v/>
      </c>
      <c r="Z96" s="11" t="str">
        <f t="shared" ca="1" si="78"/>
        <v/>
      </c>
      <c r="AA96" s="11" t="str">
        <f t="shared" ca="1" si="79"/>
        <v/>
      </c>
      <c r="AB96" s="47">
        <f ca="1">PlayerGameData[[#This Row],[3FGA]]+PlayerGameData[[#This Row],[2FGA]]</f>
        <v>0</v>
      </c>
      <c r="AC96" s="47">
        <f ca="1">PlayerGameData[[#This Row],[OFF REB]]+PlayerGameData[[#This Row],[DEF REB]]</f>
        <v>0</v>
      </c>
      <c r="AD96" s="8">
        <f t="shared" si="60"/>
        <v>4</v>
      </c>
      <c r="AE96" s="8" t="str">
        <f t="shared" ca="1" si="61"/>
        <v>,  - Cokeville 12/19/2022</v>
      </c>
      <c r="AF96" s="8" t="str">
        <f t="shared" ca="1" si="80"/>
        <v/>
      </c>
      <c r="AG96" s="8" t="str">
        <f ca="1">IFERROR(IF(C96=0,"",IF(AND(VLOOKUP(PlayerGameData[[#This Row],[Opponent]],WYTeamInfo,2,FALSE)=Roster!$D$1,VLOOKUP(PlayerGameData[[#This Row],[Opponent]],WYTeamInfo,3,FALSE)=Roster!$D$2),"SR","")),"")</f>
        <v/>
      </c>
      <c r="AH96" s="8" t="str">
        <f>CONCATENATE(Roster!$D$1," ",Roster!$D$5)</f>
        <v>1A BB</v>
      </c>
      <c r="AI96" s="8" t="str">
        <f t="shared" ca="1" si="62"/>
        <v>Upton - Cokeville 12/19/2022</v>
      </c>
      <c r="AJ96" s="8">
        <f ca="1">IFERROR(VLOOKUP(PlayerGameData[[#This Row],[School, Opponent,Game'#]],Table3[],2,FALSE),0)</f>
        <v>1</v>
      </c>
      <c r="AK96" s="8">
        <f ca="1">IF(PlayerGameData[[#This Row],[Visible]]=1,1,1000)</f>
        <v>1</v>
      </c>
      <c r="AL96" s="8">
        <f ca="1">RANK(PlayerGameData[[#This Row],[TL PTS]],PlayerGameData[TL PTS],0)+PlayerGameData[[#This Row],[VisibleOrder]]</f>
        <v>185</v>
      </c>
      <c r="AM96" s="8">
        <f ca="1">IF(COUNTIF(PlayerGameData[PointOrder],PlayerGameData[[#This Row],[PointOrder]])&gt;1,RANK(PlayerGameData[[#This Row],[FGA]],PlayerGameData[FGA],0)/100,0)+PlayerGameData[[#This Row],[PointOrder]]</f>
        <v>187.14</v>
      </c>
      <c r="AN96" s="8">
        <f ca="1">RANK(PlayerGameData[[#This Row],[PointTieBreak]],PlayerGameData[PointTieBreak],1)</f>
        <v>216</v>
      </c>
      <c r="AO96" s="8">
        <f ca="1">RANK(PlayerGameData[[#This Row],[REB]],PlayerGameData[REB],0)+PlayerGameData[[#This Row],[VisibleOrder]]</f>
        <v>192</v>
      </c>
      <c r="AP96" s="8">
        <f ca="1">IF(COUNTIF(PlayerGameData[REBOrder],PlayerGameData[[#This Row],[REBOrder]])&gt;1,PlayerGameData[[#This Row],[PointRank]]/100+PlayerGameData[[#This Row],[REBOrder]],PlayerGameData[[#This Row],[REBOrder]])</f>
        <v>194.16</v>
      </c>
      <c r="AQ96" s="8">
        <f ca="1">RANK(PlayerGameData[[#This Row],[REBTieBreak]],PlayerGameData[REBTieBreak],1)</f>
        <v>224</v>
      </c>
      <c r="AR96" s="8">
        <f ca="1">RANK(PlayerGameData[[#This Row],[AST]],PlayerGameData[AST],0)+PlayerGameData[[#This Row],[VisibleOrder]]</f>
        <v>158</v>
      </c>
      <c r="AS96" s="8">
        <f ca="1">IF(COUNTIF(PlayerGameData[ASTOrder],PlayerGameData[[#This Row],[ASTOrder]])&gt;1,PlayerGameData[[#This Row],[PointRank]]/100+PlayerGameData[[#This Row],[ASTOrder]],PlayerGameData[[#This Row],[ASTOrder]])</f>
        <v>160.16</v>
      </c>
      <c r="AT96" s="8">
        <f ca="1">RANK(PlayerGameData[[#This Row],[ASTTieBreak]],PlayerGameData[ASTTieBreak],1)</f>
        <v>221</v>
      </c>
      <c r="AU96" s="8">
        <f ca="1">RANK(PlayerGameData[[#This Row],[STL]],PlayerGameData[STL],0)+PlayerGameData[[#This Row],[VisibleOrder]]</f>
        <v>143</v>
      </c>
      <c r="AV96" s="8">
        <f ca="1">IF(COUNTIF(PlayerGameData[STLOrder],PlayerGameData[[#This Row],[STLOrder]])&gt;1,PlayerGameData[[#This Row],[PointRank]]/100+PlayerGameData[[#This Row],[STLOrder]],PlayerGameData[[#This Row],[STLOrder]])</f>
        <v>145.16</v>
      </c>
      <c r="AW96" s="8">
        <f ca="1">RANK(PlayerGameData[[#This Row],[STLTieBreak]],PlayerGameData[STLTieBreak],1)</f>
        <v>217</v>
      </c>
      <c r="AX96" s="8">
        <f ca="1">RANK(PlayerGameData[[#This Row],[BLK]],PlayerGameData[BLK],0)+PlayerGameData[[#This Row],[VisibleOrder]]</f>
        <v>32</v>
      </c>
      <c r="AY96" s="8">
        <f ca="1">IF(COUNTIF(PlayerGameData[BLKOrder],PlayerGameData[[#This Row],[BLKOrder]])&gt;1,PlayerGameData[[#This Row],[PointRank]]/100+PlayerGameData[[#This Row],[BLKOrder]],PlayerGameData[[#This Row],[BLKOrder]])</f>
        <v>34.159999999999997</v>
      </c>
      <c r="AZ96" s="8">
        <f ca="1">RANK(PlayerGameData[[#This Row],[BLKTieBreak]],PlayerGameData[BLKTieBreak],1)</f>
        <v>216</v>
      </c>
      <c r="BA96" s="11">
        <f ca="1">IFERROR(IF(PlayerGameData[[#This Row],[FGA]]&gt;$AA$5,PlayerGameData[[#This Row],[FG%*]],PlayerGameData[[#This Row],[FG%*]]*-1),-2)</f>
        <v>-2</v>
      </c>
      <c r="BB96" s="8">
        <f ca="1">RANK(PlayerGameData[[#This Row],[EligFG]],PlayerGameData[EligFG],0)+PlayerGameData[[#This Row],[VisibleOrder]]</f>
        <v>215</v>
      </c>
      <c r="BC96" s="8">
        <f ca="1">IF(COUNTIF(PlayerGameData[EligFGOrder],PlayerGameData[[#This Row],[EligFGOrder]])&gt;1,PlayerGameData[[#This Row],[PointRank]]/100+PlayerGameData[[#This Row],[EligFGOrder]],PlayerGameData[[#This Row],[EligFGOrder]])</f>
        <v>217.16</v>
      </c>
      <c r="BD96" s="8">
        <f ca="1">RANK(PlayerGameData[[#This Row],[EligFGTieBreak]],PlayerGameData[EligFGTieBreak],1)</f>
        <v>216</v>
      </c>
      <c r="BE96" s="8" t="str">
        <f>Roster!$D$3</f>
        <v>East</v>
      </c>
      <c r="BF96" s="8" t="str">
        <f>Roster!$D$2</f>
        <v>Northeast</v>
      </c>
      <c r="BG96" s="8" t="str">
        <f>Roster!$D$4</f>
        <v>North</v>
      </c>
      <c r="BH96" s="197">
        <f ca="1">IFERROR(VLOOKUP(CONCATENATE(PlayerGameData[[#This Row],[Opponent]]," ",MONTH(PlayerGameData[[#This Row],[Date]]),"/",DAY(PlayerGameData[[#This Row],[Date]]),"/",YEAR(PlayerGameData[[#This Row],[Date]])),Table35[],2,FALSE),0)</f>
        <v>1</v>
      </c>
      <c r="BI96" s="197">
        <f ca="1">IF(PlayerGameData[[#This Row],[Visible]]=1,1,1000)</f>
        <v>1</v>
      </c>
      <c r="BJ96" s="197" t="e">
        <f ca="1">_xlfn.MAXIFS(TeamGameData[Win],TeamGameData[School, Opponent,Game'#],PlayerGameData[[#This Row],[School, Opponent,Game'#]])</f>
        <v>#NAME?</v>
      </c>
      <c r="BK96" s="197" t="e">
        <f ca="1">_xlfn.MAXIFS(TeamGameData[Loss],TeamGameData[School, Opponent,Game'#],PlayerGameData[[#This Row],[School, Opponent,Game'#]])</f>
        <v>#NAME?</v>
      </c>
    </row>
    <row r="97" spans="1:63" x14ac:dyDescent="0.25">
      <c r="A97" s="8" t="str">
        <f t="shared" ca="1" si="63"/>
        <v xml:space="preserve">, </v>
      </c>
      <c r="B97" s="8" t="str">
        <f>Roster!$B$1</f>
        <v>Upton</v>
      </c>
      <c r="C97" s="8" t="str">
        <f t="shared" ca="1" si="51"/>
        <v>Cokeville</v>
      </c>
      <c r="D97" s="10">
        <f t="shared" ca="1" si="52"/>
        <v>44914</v>
      </c>
      <c r="E97" s="8">
        <f t="shared" ca="1" si="53"/>
        <v>0</v>
      </c>
      <c r="F97" s="8">
        <f t="shared" ca="1" si="54"/>
        <v>0</v>
      </c>
      <c r="G97" s="8">
        <f t="shared" ca="1" si="55"/>
        <v>0</v>
      </c>
      <c r="H97" s="8">
        <f t="shared" ca="1" si="56"/>
        <v>0</v>
      </c>
      <c r="I97" s="8">
        <f t="shared" ca="1" si="57"/>
        <v>0</v>
      </c>
      <c r="J97" s="8">
        <f t="shared" ca="1" si="58"/>
        <v>0</v>
      </c>
      <c r="K97" s="8">
        <f t="shared" ca="1" si="59"/>
        <v>0</v>
      </c>
      <c r="L97" s="8">
        <f t="shared" ca="1" si="64"/>
        <v>0</v>
      </c>
      <c r="M97" s="8">
        <f t="shared" ca="1" si="65"/>
        <v>0</v>
      </c>
      <c r="N97" s="8">
        <f t="shared" ca="1" si="66"/>
        <v>0</v>
      </c>
      <c r="O97" s="8">
        <f t="shared" ca="1" si="67"/>
        <v>0</v>
      </c>
      <c r="P97" s="8">
        <f t="shared" ca="1" si="68"/>
        <v>0</v>
      </c>
      <c r="Q97" s="8">
        <f t="shared" ca="1" si="69"/>
        <v>0</v>
      </c>
      <c r="R97" s="8">
        <f t="shared" ca="1" si="70"/>
        <v>0</v>
      </c>
      <c r="S97" s="8">
        <f t="shared" ca="1" si="71"/>
        <v>0</v>
      </c>
      <c r="T97" s="8">
        <f t="shared" ca="1" si="72"/>
        <v>0</v>
      </c>
      <c r="U97" s="8">
        <f t="shared" ca="1" si="73"/>
        <v>0</v>
      </c>
      <c r="V97" s="8">
        <f t="shared" ca="1" si="74"/>
        <v>0</v>
      </c>
      <c r="W97" s="11" t="str">
        <f t="shared" ca="1" si="75"/>
        <v/>
      </c>
      <c r="X97" s="11" t="str">
        <f t="shared" ca="1" si="76"/>
        <v/>
      </c>
      <c r="Y97" s="11" t="str">
        <f t="shared" ca="1" si="77"/>
        <v/>
      </c>
      <c r="Z97" s="11" t="str">
        <f t="shared" ca="1" si="78"/>
        <v/>
      </c>
      <c r="AA97" s="11" t="str">
        <f t="shared" ca="1" si="79"/>
        <v/>
      </c>
      <c r="AB97" s="47">
        <f ca="1">PlayerGameData[[#This Row],[3FGA]]+PlayerGameData[[#This Row],[2FGA]]</f>
        <v>0</v>
      </c>
      <c r="AC97" s="47">
        <f ca="1">PlayerGameData[[#This Row],[OFF REB]]+PlayerGameData[[#This Row],[DEF REB]]</f>
        <v>0</v>
      </c>
      <c r="AD97" s="8">
        <f t="shared" si="60"/>
        <v>4</v>
      </c>
      <c r="AE97" s="8" t="str">
        <f t="shared" ca="1" si="61"/>
        <v>,  - Cokeville 12/19/2022</v>
      </c>
      <c r="AF97" s="8" t="str">
        <f t="shared" ca="1" si="80"/>
        <v/>
      </c>
      <c r="AG97" s="8" t="str">
        <f ca="1">IFERROR(IF(C97=0,"",IF(AND(VLOOKUP(PlayerGameData[[#This Row],[Opponent]],WYTeamInfo,2,FALSE)=Roster!$D$1,VLOOKUP(PlayerGameData[[#This Row],[Opponent]],WYTeamInfo,3,FALSE)=Roster!$D$2),"SR","")),"")</f>
        <v/>
      </c>
      <c r="AH97" s="8" t="str">
        <f>CONCATENATE(Roster!$D$1," ",Roster!$D$5)</f>
        <v>1A BB</v>
      </c>
      <c r="AI97" s="8" t="str">
        <f t="shared" ca="1" si="62"/>
        <v>Upton - Cokeville 12/19/2022</v>
      </c>
      <c r="AJ97" s="8">
        <f ca="1">IFERROR(VLOOKUP(PlayerGameData[[#This Row],[School, Opponent,Game'#]],Table3[],2,FALSE),0)</f>
        <v>1</v>
      </c>
      <c r="AK97" s="8">
        <f ca="1">IF(PlayerGameData[[#This Row],[Visible]]=1,1,1000)</f>
        <v>1</v>
      </c>
      <c r="AL97" s="8">
        <f ca="1">RANK(PlayerGameData[[#This Row],[TL PTS]],PlayerGameData[TL PTS],0)+PlayerGameData[[#This Row],[VisibleOrder]]</f>
        <v>185</v>
      </c>
      <c r="AM97" s="8">
        <f ca="1">IF(COUNTIF(PlayerGameData[PointOrder],PlayerGameData[[#This Row],[PointOrder]])&gt;1,RANK(PlayerGameData[[#This Row],[FGA]],PlayerGameData[FGA],0)/100,0)+PlayerGameData[[#This Row],[PointOrder]]</f>
        <v>187.14</v>
      </c>
      <c r="AN97" s="8">
        <f ca="1">RANK(PlayerGameData[[#This Row],[PointTieBreak]],PlayerGameData[PointTieBreak],1)</f>
        <v>216</v>
      </c>
      <c r="AO97" s="8">
        <f ca="1">RANK(PlayerGameData[[#This Row],[REB]],PlayerGameData[REB],0)+PlayerGameData[[#This Row],[VisibleOrder]]</f>
        <v>192</v>
      </c>
      <c r="AP97" s="8">
        <f ca="1">IF(COUNTIF(PlayerGameData[REBOrder],PlayerGameData[[#This Row],[REBOrder]])&gt;1,PlayerGameData[[#This Row],[PointRank]]/100+PlayerGameData[[#This Row],[REBOrder]],PlayerGameData[[#This Row],[REBOrder]])</f>
        <v>194.16</v>
      </c>
      <c r="AQ97" s="8">
        <f ca="1">RANK(PlayerGameData[[#This Row],[REBTieBreak]],PlayerGameData[REBTieBreak],1)</f>
        <v>224</v>
      </c>
      <c r="AR97" s="8">
        <f ca="1">RANK(PlayerGameData[[#This Row],[AST]],PlayerGameData[AST],0)+PlayerGameData[[#This Row],[VisibleOrder]]</f>
        <v>158</v>
      </c>
      <c r="AS97" s="8">
        <f ca="1">IF(COUNTIF(PlayerGameData[ASTOrder],PlayerGameData[[#This Row],[ASTOrder]])&gt;1,PlayerGameData[[#This Row],[PointRank]]/100+PlayerGameData[[#This Row],[ASTOrder]],PlayerGameData[[#This Row],[ASTOrder]])</f>
        <v>160.16</v>
      </c>
      <c r="AT97" s="8">
        <f ca="1">RANK(PlayerGameData[[#This Row],[ASTTieBreak]],PlayerGameData[ASTTieBreak],1)</f>
        <v>221</v>
      </c>
      <c r="AU97" s="8">
        <f ca="1">RANK(PlayerGameData[[#This Row],[STL]],PlayerGameData[STL],0)+PlayerGameData[[#This Row],[VisibleOrder]]</f>
        <v>143</v>
      </c>
      <c r="AV97" s="8">
        <f ca="1">IF(COUNTIF(PlayerGameData[STLOrder],PlayerGameData[[#This Row],[STLOrder]])&gt;1,PlayerGameData[[#This Row],[PointRank]]/100+PlayerGameData[[#This Row],[STLOrder]],PlayerGameData[[#This Row],[STLOrder]])</f>
        <v>145.16</v>
      </c>
      <c r="AW97" s="8">
        <f ca="1">RANK(PlayerGameData[[#This Row],[STLTieBreak]],PlayerGameData[STLTieBreak],1)</f>
        <v>217</v>
      </c>
      <c r="AX97" s="8">
        <f ca="1">RANK(PlayerGameData[[#This Row],[BLK]],PlayerGameData[BLK],0)+PlayerGameData[[#This Row],[VisibleOrder]]</f>
        <v>32</v>
      </c>
      <c r="AY97" s="8">
        <f ca="1">IF(COUNTIF(PlayerGameData[BLKOrder],PlayerGameData[[#This Row],[BLKOrder]])&gt;1,PlayerGameData[[#This Row],[PointRank]]/100+PlayerGameData[[#This Row],[BLKOrder]],PlayerGameData[[#This Row],[BLKOrder]])</f>
        <v>34.159999999999997</v>
      </c>
      <c r="AZ97" s="8">
        <f ca="1">RANK(PlayerGameData[[#This Row],[BLKTieBreak]],PlayerGameData[BLKTieBreak],1)</f>
        <v>216</v>
      </c>
      <c r="BA97" s="11">
        <f ca="1">IFERROR(IF(PlayerGameData[[#This Row],[FGA]]&gt;$AA$5,PlayerGameData[[#This Row],[FG%*]],PlayerGameData[[#This Row],[FG%*]]*-1),-2)</f>
        <v>-2</v>
      </c>
      <c r="BB97" s="8">
        <f ca="1">RANK(PlayerGameData[[#This Row],[EligFG]],PlayerGameData[EligFG],0)+PlayerGameData[[#This Row],[VisibleOrder]]</f>
        <v>215</v>
      </c>
      <c r="BC97" s="8">
        <f ca="1">IF(COUNTIF(PlayerGameData[EligFGOrder],PlayerGameData[[#This Row],[EligFGOrder]])&gt;1,PlayerGameData[[#This Row],[PointRank]]/100+PlayerGameData[[#This Row],[EligFGOrder]],PlayerGameData[[#This Row],[EligFGOrder]])</f>
        <v>217.16</v>
      </c>
      <c r="BD97" s="8">
        <f ca="1">RANK(PlayerGameData[[#This Row],[EligFGTieBreak]],PlayerGameData[EligFGTieBreak],1)</f>
        <v>216</v>
      </c>
      <c r="BE97" s="8" t="str">
        <f>Roster!$D$3</f>
        <v>East</v>
      </c>
      <c r="BF97" s="8" t="str">
        <f>Roster!$D$2</f>
        <v>Northeast</v>
      </c>
      <c r="BG97" s="8" t="str">
        <f>Roster!$D$4</f>
        <v>North</v>
      </c>
      <c r="BH97" s="197">
        <f ca="1">IFERROR(VLOOKUP(CONCATENATE(PlayerGameData[[#This Row],[Opponent]]," ",MONTH(PlayerGameData[[#This Row],[Date]]),"/",DAY(PlayerGameData[[#This Row],[Date]]),"/",YEAR(PlayerGameData[[#This Row],[Date]])),Table35[],2,FALSE),0)</f>
        <v>1</v>
      </c>
      <c r="BI97" s="197">
        <f ca="1">IF(PlayerGameData[[#This Row],[Visible]]=1,1,1000)</f>
        <v>1</v>
      </c>
      <c r="BJ97" s="197" t="e">
        <f ca="1">_xlfn.MAXIFS(TeamGameData[Win],TeamGameData[School, Opponent,Game'#],PlayerGameData[[#This Row],[School, Opponent,Game'#]])</f>
        <v>#NAME?</v>
      </c>
      <c r="BK97" s="197" t="e">
        <f ca="1">_xlfn.MAXIFS(TeamGameData[Loss],TeamGameData[School, Opponent,Game'#],PlayerGameData[[#This Row],[School, Opponent,Game'#]])</f>
        <v>#NAME?</v>
      </c>
    </row>
    <row r="98" spans="1:63" x14ac:dyDescent="0.25">
      <c r="A98" s="8" t="str">
        <f t="shared" ca="1" si="63"/>
        <v xml:space="preserve">, </v>
      </c>
      <c r="B98" s="8" t="str">
        <f>Roster!$B$1</f>
        <v>Upton</v>
      </c>
      <c r="C98" s="8" t="str">
        <f t="shared" ca="1" si="51"/>
        <v>Cokeville</v>
      </c>
      <c r="D98" s="10">
        <f t="shared" ca="1" si="52"/>
        <v>44914</v>
      </c>
      <c r="E98" s="8">
        <f t="shared" ca="1" si="53"/>
        <v>0</v>
      </c>
      <c r="F98" s="8">
        <f t="shared" ca="1" si="54"/>
        <v>0</v>
      </c>
      <c r="G98" s="8">
        <f t="shared" ca="1" si="55"/>
        <v>0</v>
      </c>
      <c r="H98" s="8">
        <f t="shared" ca="1" si="56"/>
        <v>0</v>
      </c>
      <c r="I98" s="8">
        <f t="shared" ca="1" si="57"/>
        <v>0</v>
      </c>
      <c r="J98" s="8">
        <f t="shared" ca="1" si="58"/>
        <v>0</v>
      </c>
      <c r="K98" s="8">
        <f t="shared" ca="1" si="59"/>
        <v>0</v>
      </c>
      <c r="L98" s="8">
        <f t="shared" ca="1" si="64"/>
        <v>0</v>
      </c>
      <c r="M98" s="8">
        <f t="shared" ca="1" si="65"/>
        <v>0</v>
      </c>
      <c r="N98" s="8">
        <f t="shared" ca="1" si="66"/>
        <v>0</v>
      </c>
      <c r="O98" s="8">
        <f t="shared" ca="1" si="67"/>
        <v>0</v>
      </c>
      <c r="P98" s="8">
        <f t="shared" ca="1" si="68"/>
        <v>0</v>
      </c>
      <c r="Q98" s="8">
        <f t="shared" ca="1" si="69"/>
        <v>0</v>
      </c>
      <c r="R98" s="8">
        <f t="shared" ca="1" si="70"/>
        <v>0</v>
      </c>
      <c r="S98" s="8">
        <f t="shared" ca="1" si="71"/>
        <v>0</v>
      </c>
      <c r="T98" s="8">
        <f t="shared" ca="1" si="72"/>
        <v>0</v>
      </c>
      <c r="U98" s="8">
        <f t="shared" ca="1" si="73"/>
        <v>0</v>
      </c>
      <c r="V98" s="8">
        <f t="shared" ca="1" si="74"/>
        <v>0</v>
      </c>
      <c r="W98" s="11" t="str">
        <f t="shared" ca="1" si="75"/>
        <v/>
      </c>
      <c r="X98" s="11" t="str">
        <f t="shared" ca="1" si="76"/>
        <v/>
      </c>
      <c r="Y98" s="11" t="str">
        <f t="shared" ca="1" si="77"/>
        <v/>
      </c>
      <c r="Z98" s="11" t="str">
        <f t="shared" ca="1" si="78"/>
        <v/>
      </c>
      <c r="AA98" s="11" t="str">
        <f t="shared" ca="1" si="79"/>
        <v/>
      </c>
      <c r="AB98" s="47">
        <f ca="1">PlayerGameData[[#This Row],[3FGA]]+PlayerGameData[[#This Row],[2FGA]]</f>
        <v>0</v>
      </c>
      <c r="AC98" s="47">
        <f ca="1">PlayerGameData[[#This Row],[OFF REB]]+PlayerGameData[[#This Row],[DEF REB]]</f>
        <v>0</v>
      </c>
      <c r="AD98" s="8">
        <f t="shared" si="60"/>
        <v>4</v>
      </c>
      <c r="AE98" s="8" t="str">
        <f t="shared" ca="1" si="61"/>
        <v>,  - Cokeville 12/19/2022</v>
      </c>
      <c r="AF98" s="8" t="str">
        <f t="shared" ca="1" si="80"/>
        <v/>
      </c>
      <c r="AG98" s="8" t="str">
        <f ca="1">IFERROR(IF(C98=0,"",IF(AND(VLOOKUP(PlayerGameData[[#This Row],[Opponent]],WYTeamInfo,2,FALSE)=Roster!$D$1,VLOOKUP(PlayerGameData[[#This Row],[Opponent]],WYTeamInfo,3,FALSE)=Roster!$D$2),"SR","")),"")</f>
        <v/>
      </c>
      <c r="AH98" s="8" t="str">
        <f>CONCATENATE(Roster!$D$1," ",Roster!$D$5)</f>
        <v>1A BB</v>
      </c>
      <c r="AI98" s="8" t="str">
        <f t="shared" ca="1" si="62"/>
        <v>Upton - Cokeville 12/19/2022</v>
      </c>
      <c r="AJ98" s="8">
        <f ca="1">IFERROR(VLOOKUP(PlayerGameData[[#This Row],[School, Opponent,Game'#]],Table3[],2,FALSE),0)</f>
        <v>1</v>
      </c>
      <c r="AK98" s="8">
        <f ca="1">IF(PlayerGameData[[#This Row],[Visible]]=1,1,1000)</f>
        <v>1</v>
      </c>
      <c r="AL98" s="8">
        <f ca="1">RANK(PlayerGameData[[#This Row],[TL PTS]],PlayerGameData[TL PTS],0)+PlayerGameData[[#This Row],[VisibleOrder]]</f>
        <v>185</v>
      </c>
      <c r="AM98" s="8">
        <f ca="1">IF(COUNTIF(PlayerGameData[PointOrder],PlayerGameData[[#This Row],[PointOrder]])&gt;1,RANK(PlayerGameData[[#This Row],[FGA]],PlayerGameData[FGA],0)/100,0)+PlayerGameData[[#This Row],[PointOrder]]</f>
        <v>187.14</v>
      </c>
      <c r="AN98" s="8">
        <f ca="1">RANK(PlayerGameData[[#This Row],[PointTieBreak]],PlayerGameData[PointTieBreak],1)</f>
        <v>216</v>
      </c>
      <c r="AO98" s="8">
        <f ca="1">RANK(PlayerGameData[[#This Row],[REB]],PlayerGameData[REB],0)+PlayerGameData[[#This Row],[VisibleOrder]]</f>
        <v>192</v>
      </c>
      <c r="AP98" s="8">
        <f ca="1">IF(COUNTIF(PlayerGameData[REBOrder],PlayerGameData[[#This Row],[REBOrder]])&gt;1,PlayerGameData[[#This Row],[PointRank]]/100+PlayerGameData[[#This Row],[REBOrder]],PlayerGameData[[#This Row],[REBOrder]])</f>
        <v>194.16</v>
      </c>
      <c r="AQ98" s="8">
        <f ca="1">RANK(PlayerGameData[[#This Row],[REBTieBreak]],PlayerGameData[REBTieBreak],1)</f>
        <v>224</v>
      </c>
      <c r="AR98" s="8">
        <f ca="1">RANK(PlayerGameData[[#This Row],[AST]],PlayerGameData[AST],0)+PlayerGameData[[#This Row],[VisibleOrder]]</f>
        <v>158</v>
      </c>
      <c r="AS98" s="8">
        <f ca="1">IF(COUNTIF(PlayerGameData[ASTOrder],PlayerGameData[[#This Row],[ASTOrder]])&gt;1,PlayerGameData[[#This Row],[PointRank]]/100+PlayerGameData[[#This Row],[ASTOrder]],PlayerGameData[[#This Row],[ASTOrder]])</f>
        <v>160.16</v>
      </c>
      <c r="AT98" s="8">
        <f ca="1">RANK(PlayerGameData[[#This Row],[ASTTieBreak]],PlayerGameData[ASTTieBreak],1)</f>
        <v>221</v>
      </c>
      <c r="AU98" s="8">
        <f ca="1">RANK(PlayerGameData[[#This Row],[STL]],PlayerGameData[STL],0)+PlayerGameData[[#This Row],[VisibleOrder]]</f>
        <v>143</v>
      </c>
      <c r="AV98" s="8">
        <f ca="1">IF(COUNTIF(PlayerGameData[STLOrder],PlayerGameData[[#This Row],[STLOrder]])&gt;1,PlayerGameData[[#This Row],[PointRank]]/100+PlayerGameData[[#This Row],[STLOrder]],PlayerGameData[[#This Row],[STLOrder]])</f>
        <v>145.16</v>
      </c>
      <c r="AW98" s="8">
        <f ca="1">RANK(PlayerGameData[[#This Row],[STLTieBreak]],PlayerGameData[STLTieBreak],1)</f>
        <v>217</v>
      </c>
      <c r="AX98" s="8">
        <f ca="1">RANK(PlayerGameData[[#This Row],[BLK]],PlayerGameData[BLK],0)+PlayerGameData[[#This Row],[VisibleOrder]]</f>
        <v>32</v>
      </c>
      <c r="AY98" s="8">
        <f ca="1">IF(COUNTIF(PlayerGameData[BLKOrder],PlayerGameData[[#This Row],[BLKOrder]])&gt;1,PlayerGameData[[#This Row],[PointRank]]/100+PlayerGameData[[#This Row],[BLKOrder]],PlayerGameData[[#This Row],[BLKOrder]])</f>
        <v>34.159999999999997</v>
      </c>
      <c r="AZ98" s="8">
        <f ca="1">RANK(PlayerGameData[[#This Row],[BLKTieBreak]],PlayerGameData[BLKTieBreak],1)</f>
        <v>216</v>
      </c>
      <c r="BA98" s="11">
        <f ca="1">IFERROR(IF(PlayerGameData[[#This Row],[FGA]]&gt;$AA$5,PlayerGameData[[#This Row],[FG%*]],PlayerGameData[[#This Row],[FG%*]]*-1),-2)</f>
        <v>-2</v>
      </c>
      <c r="BB98" s="8">
        <f ca="1">RANK(PlayerGameData[[#This Row],[EligFG]],PlayerGameData[EligFG],0)+PlayerGameData[[#This Row],[VisibleOrder]]</f>
        <v>215</v>
      </c>
      <c r="BC98" s="8">
        <f ca="1">IF(COUNTIF(PlayerGameData[EligFGOrder],PlayerGameData[[#This Row],[EligFGOrder]])&gt;1,PlayerGameData[[#This Row],[PointRank]]/100+PlayerGameData[[#This Row],[EligFGOrder]],PlayerGameData[[#This Row],[EligFGOrder]])</f>
        <v>217.16</v>
      </c>
      <c r="BD98" s="8">
        <f ca="1">RANK(PlayerGameData[[#This Row],[EligFGTieBreak]],PlayerGameData[EligFGTieBreak],1)</f>
        <v>216</v>
      </c>
      <c r="BE98" s="8" t="str">
        <f>Roster!$D$3</f>
        <v>East</v>
      </c>
      <c r="BF98" s="8" t="str">
        <f>Roster!$D$2</f>
        <v>Northeast</v>
      </c>
      <c r="BG98" s="8" t="str">
        <f>Roster!$D$4</f>
        <v>North</v>
      </c>
      <c r="BH98" s="197">
        <f ca="1">IFERROR(VLOOKUP(CONCATENATE(PlayerGameData[[#This Row],[Opponent]]," ",MONTH(PlayerGameData[[#This Row],[Date]]),"/",DAY(PlayerGameData[[#This Row],[Date]]),"/",YEAR(PlayerGameData[[#This Row],[Date]])),Table35[],2,FALSE),0)</f>
        <v>1</v>
      </c>
      <c r="BI98" s="197">
        <f ca="1">IF(PlayerGameData[[#This Row],[Visible]]=1,1,1000)</f>
        <v>1</v>
      </c>
      <c r="BJ98" s="197" t="e">
        <f ca="1">_xlfn.MAXIFS(TeamGameData[Win],TeamGameData[School, Opponent,Game'#],PlayerGameData[[#This Row],[School, Opponent,Game'#]])</f>
        <v>#NAME?</v>
      </c>
      <c r="BK98" s="197" t="e">
        <f ca="1">_xlfn.MAXIFS(TeamGameData[Loss],TeamGameData[School, Opponent,Game'#],PlayerGameData[[#This Row],[School, Opponent,Game'#]])</f>
        <v>#NAME?</v>
      </c>
    </row>
    <row r="99" spans="1:63" x14ac:dyDescent="0.25">
      <c r="A99" s="8" t="str">
        <f t="shared" ca="1" si="63"/>
        <v xml:space="preserve">, </v>
      </c>
      <c r="B99" s="8" t="str">
        <f>Roster!$B$1</f>
        <v>Upton</v>
      </c>
      <c r="C99" s="8" t="str">
        <f t="shared" ca="1" si="51"/>
        <v>Cokeville</v>
      </c>
      <c r="D99" s="10">
        <f t="shared" ca="1" si="52"/>
        <v>44914</v>
      </c>
      <c r="E99" s="8">
        <f t="shared" ca="1" si="53"/>
        <v>0</v>
      </c>
      <c r="F99" s="8">
        <f t="shared" ca="1" si="54"/>
        <v>0</v>
      </c>
      <c r="G99" s="8">
        <f t="shared" ca="1" si="55"/>
        <v>0</v>
      </c>
      <c r="H99" s="8">
        <f t="shared" ca="1" si="56"/>
        <v>0</v>
      </c>
      <c r="I99" s="8">
        <f t="shared" ca="1" si="57"/>
        <v>0</v>
      </c>
      <c r="J99" s="8">
        <f t="shared" ca="1" si="58"/>
        <v>0</v>
      </c>
      <c r="K99" s="8">
        <f t="shared" ca="1" si="59"/>
        <v>0</v>
      </c>
      <c r="L99" s="8">
        <f t="shared" ca="1" si="64"/>
        <v>0</v>
      </c>
      <c r="M99" s="8">
        <f t="shared" ca="1" si="65"/>
        <v>0</v>
      </c>
      <c r="N99" s="8">
        <f t="shared" ca="1" si="66"/>
        <v>0</v>
      </c>
      <c r="O99" s="8">
        <f t="shared" ca="1" si="67"/>
        <v>0</v>
      </c>
      <c r="P99" s="8">
        <f t="shared" ca="1" si="68"/>
        <v>0</v>
      </c>
      <c r="Q99" s="8">
        <f t="shared" ca="1" si="69"/>
        <v>0</v>
      </c>
      <c r="R99" s="8">
        <f t="shared" ca="1" si="70"/>
        <v>0</v>
      </c>
      <c r="S99" s="8">
        <f t="shared" ca="1" si="71"/>
        <v>0</v>
      </c>
      <c r="T99" s="8">
        <f t="shared" ca="1" si="72"/>
        <v>0</v>
      </c>
      <c r="U99" s="8">
        <f t="shared" ca="1" si="73"/>
        <v>0</v>
      </c>
      <c r="V99" s="8">
        <f t="shared" ca="1" si="74"/>
        <v>0</v>
      </c>
      <c r="W99" s="11" t="str">
        <f t="shared" ca="1" si="75"/>
        <v/>
      </c>
      <c r="X99" s="11" t="str">
        <f t="shared" ca="1" si="76"/>
        <v/>
      </c>
      <c r="Y99" s="11" t="str">
        <f t="shared" ca="1" si="77"/>
        <v/>
      </c>
      <c r="Z99" s="11" t="str">
        <f t="shared" ca="1" si="78"/>
        <v/>
      </c>
      <c r="AA99" s="11" t="str">
        <f t="shared" ca="1" si="79"/>
        <v/>
      </c>
      <c r="AB99" s="47">
        <f ca="1">PlayerGameData[[#This Row],[3FGA]]+PlayerGameData[[#This Row],[2FGA]]</f>
        <v>0</v>
      </c>
      <c r="AC99" s="47">
        <f ca="1">PlayerGameData[[#This Row],[OFF REB]]+PlayerGameData[[#This Row],[DEF REB]]</f>
        <v>0</v>
      </c>
      <c r="AD99" s="8">
        <f t="shared" si="60"/>
        <v>4</v>
      </c>
      <c r="AE99" s="8" t="str">
        <f t="shared" ca="1" si="61"/>
        <v>,  - Cokeville 12/19/2022</v>
      </c>
      <c r="AF99" s="8" t="str">
        <f t="shared" ca="1" si="80"/>
        <v/>
      </c>
      <c r="AG99" s="8" t="str">
        <f ca="1">IFERROR(IF(C99=0,"",IF(AND(VLOOKUP(PlayerGameData[[#This Row],[Opponent]],WYTeamInfo,2,FALSE)=Roster!$D$1,VLOOKUP(PlayerGameData[[#This Row],[Opponent]],WYTeamInfo,3,FALSE)=Roster!$D$2),"SR","")),"")</f>
        <v/>
      </c>
      <c r="AH99" s="8" t="str">
        <f>CONCATENATE(Roster!$D$1," ",Roster!$D$5)</f>
        <v>1A BB</v>
      </c>
      <c r="AI99" s="8" t="str">
        <f t="shared" ca="1" si="62"/>
        <v>Upton - Cokeville 12/19/2022</v>
      </c>
      <c r="AJ99" s="8">
        <f ca="1">IFERROR(VLOOKUP(PlayerGameData[[#This Row],[School, Opponent,Game'#]],Table3[],2,FALSE),0)</f>
        <v>1</v>
      </c>
      <c r="AK99" s="8">
        <f ca="1">IF(PlayerGameData[[#This Row],[Visible]]=1,1,1000)</f>
        <v>1</v>
      </c>
      <c r="AL99" s="8">
        <f ca="1">RANK(PlayerGameData[[#This Row],[TL PTS]],PlayerGameData[TL PTS],0)+PlayerGameData[[#This Row],[VisibleOrder]]</f>
        <v>185</v>
      </c>
      <c r="AM99" s="8">
        <f ca="1">IF(COUNTIF(PlayerGameData[PointOrder],PlayerGameData[[#This Row],[PointOrder]])&gt;1,RANK(PlayerGameData[[#This Row],[FGA]],PlayerGameData[FGA],0)/100,0)+PlayerGameData[[#This Row],[PointOrder]]</f>
        <v>187.14</v>
      </c>
      <c r="AN99" s="8">
        <f ca="1">RANK(PlayerGameData[[#This Row],[PointTieBreak]],PlayerGameData[PointTieBreak],1)</f>
        <v>216</v>
      </c>
      <c r="AO99" s="8">
        <f ca="1">RANK(PlayerGameData[[#This Row],[REB]],PlayerGameData[REB],0)+PlayerGameData[[#This Row],[VisibleOrder]]</f>
        <v>192</v>
      </c>
      <c r="AP99" s="8">
        <f ca="1">IF(COUNTIF(PlayerGameData[REBOrder],PlayerGameData[[#This Row],[REBOrder]])&gt;1,PlayerGameData[[#This Row],[PointRank]]/100+PlayerGameData[[#This Row],[REBOrder]],PlayerGameData[[#This Row],[REBOrder]])</f>
        <v>194.16</v>
      </c>
      <c r="AQ99" s="8">
        <f ca="1">RANK(PlayerGameData[[#This Row],[REBTieBreak]],PlayerGameData[REBTieBreak],1)</f>
        <v>224</v>
      </c>
      <c r="AR99" s="8">
        <f ca="1">RANK(PlayerGameData[[#This Row],[AST]],PlayerGameData[AST],0)+PlayerGameData[[#This Row],[VisibleOrder]]</f>
        <v>158</v>
      </c>
      <c r="AS99" s="8">
        <f ca="1">IF(COUNTIF(PlayerGameData[ASTOrder],PlayerGameData[[#This Row],[ASTOrder]])&gt;1,PlayerGameData[[#This Row],[PointRank]]/100+PlayerGameData[[#This Row],[ASTOrder]],PlayerGameData[[#This Row],[ASTOrder]])</f>
        <v>160.16</v>
      </c>
      <c r="AT99" s="8">
        <f ca="1">RANK(PlayerGameData[[#This Row],[ASTTieBreak]],PlayerGameData[ASTTieBreak],1)</f>
        <v>221</v>
      </c>
      <c r="AU99" s="8">
        <f ca="1">RANK(PlayerGameData[[#This Row],[STL]],PlayerGameData[STL],0)+PlayerGameData[[#This Row],[VisibleOrder]]</f>
        <v>143</v>
      </c>
      <c r="AV99" s="8">
        <f ca="1">IF(COUNTIF(PlayerGameData[STLOrder],PlayerGameData[[#This Row],[STLOrder]])&gt;1,PlayerGameData[[#This Row],[PointRank]]/100+PlayerGameData[[#This Row],[STLOrder]],PlayerGameData[[#This Row],[STLOrder]])</f>
        <v>145.16</v>
      </c>
      <c r="AW99" s="8">
        <f ca="1">RANK(PlayerGameData[[#This Row],[STLTieBreak]],PlayerGameData[STLTieBreak],1)</f>
        <v>217</v>
      </c>
      <c r="AX99" s="8">
        <f ca="1">RANK(PlayerGameData[[#This Row],[BLK]],PlayerGameData[BLK],0)+PlayerGameData[[#This Row],[VisibleOrder]]</f>
        <v>32</v>
      </c>
      <c r="AY99" s="8">
        <f ca="1">IF(COUNTIF(PlayerGameData[BLKOrder],PlayerGameData[[#This Row],[BLKOrder]])&gt;1,PlayerGameData[[#This Row],[PointRank]]/100+PlayerGameData[[#This Row],[BLKOrder]],PlayerGameData[[#This Row],[BLKOrder]])</f>
        <v>34.159999999999997</v>
      </c>
      <c r="AZ99" s="8">
        <f ca="1">RANK(PlayerGameData[[#This Row],[BLKTieBreak]],PlayerGameData[BLKTieBreak],1)</f>
        <v>216</v>
      </c>
      <c r="BA99" s="11">
        <f ca="1">IFERROR(IF(PlayerGameData[[#This Row],[FGA]]&gt;$AA$5,PlayerGameData[[#This Row],[FG%*]],PlayerGameData[[#This Row],[FG%*]]*-1),-2)</f>
        <v>-2</v>
      </c>
      <c r="BB99" s="8">
        <f ca="1">RANK(PlayerGameData[[#This Row],[EligFG]],PlayerGameData[EligFG],0)+PlayerGameData[[#This Row],[VisibleOrder]]</f>
        <v>215</v>
      </c>
      <c r="BC99" s="8">
        <f ca="1">IF(COUNTIF(PlayerGameData[EligFGOrder],PlayerGameData[[#This Row],[EligFGOrder]])&gt;1,PlayerGameData[[#This Row],[PointRank]]/100+PlayerGameData[[#This Row],[EligFGOrder]],PlayerGameData[[#This Row],[EligFGOrder]])</f>
        <v>217.16</v>
      </c>
      <c r="BD99" s="8">
        <f ca="1">RANK(PlayerGameData[[#This Row],[EligFGTieBreak]],PlayerGameData[EligFGTieBreak],1)</f>
        <v>216</v>
      </c>
      <c r="BE99" s="8" t="str">
        <f>Roster!$D$3</f>
        <v>East</v>
      </c>
      <c r="BF99" s="8" t="str">
        <f>Roster!$D$2</f>
        <v>Northeast</v>
      </c>
      <c r="BG99" s="8" t="str">
        <f>Roster!$D$4</f>
        <v>North</v>
      </c>
      <c r="BH99" s="197">
        <f ca="1">IFERROR(VLOOKUP(CONCATENATE(PlayerGameData[[#This Row],[Opponent]]," ",MONTH(PlayerGameData[[#This Row],[Date]]),"/",DAY(PlayerGameData[[#This Row],[Date]]),"/",YEAR(PlayerGameData[[#This Row],[Date]])),Table35[],2,FALSE),0)</f>
        <v>1</v>
      </c>
      <c r="BI99" s="197">
        <f ca="1">IF(PlayerGameData[[#This Row],[Visible]]=1,1,1000)</f>
        <v>1</v>
      </c>
      <c r="BJ99" s="197" t="e">
        <f ca="1">_xlfn.MAXIFS(TeamGameData[Win],TeamGameData[School, Opponent,Game'#],PlayerGameData[[#This Row],[School, Opponent,Game'#]])</f>
        <v>#NAME?</v>
      </c>
      <c r="BK99" s="197" t="e">
        <f ca="1">_xlfn.MAXIFS(TeamGameData[Loss],TeamGameData[School, Opponent,Game'#],PlayerGameData[[#This Row],[School, Opponent,Game'#]])</f>
        <v>#NAME?</v>
      </c>
    </row>
    <row r="100" spans="1:63" x14ac:dyDescent="0.25">
      <c r="A100" s="8" t="str">
        <f t="shared" ca="1" si="63"/>
        <v xml:space="preserve">, </v>
      </c>
      <c r="B100" s="8" t="str">
        <f>Roster!$B$1</f>
        <v>Upton</v>
      </c>
      <c r="C100" s="8" t="str">
        <f t="shared" ca="1" si="51"/>
        <v>Cokeville</v>
      </c>
      <c r="D100" s="10">
        <f t="shared" ca="1" si="52"/>
        <v>44914</v>
      </c>
      <c r="E100" s="8">
        <f t="shared" ca="1" si="53"/>
        <v>0</v>
      </c>
      <c r="F100" s="8">
        <f t="shared" ca="1" si="54"/>
        <v>0</v>
      </c>
      <c r="G100" s="8">
        <f t="shared" ca="1" si="55"/>
        <v>0</v>
      </c>
      <c r="H100" s="8">
        <f t="shared" ca="1" si="56"/>
        <v>0</v>
      </c>
      <c r="I100" s="8">
        <f t="shared" ca="1" si="57"/>
        <v>0</v>
      </c>
      <c r="J100" s="8">
        <f t="shared" ca="1" si="58"/>
        <v>0</v>
      </c>
      <c r="K100" s="8">
        <f t="shared" ca="1" si="59"/>
        <v>0</v>
      </c>
      <c r="L100" s="8">
        <f t="shared" ca="1" si="64"/>
        <v>0</v>
      </c>
      <c r="M100" s="8">
        <f t="shared" ca="1" si="65"/>
        <v>0</v>
      </c>
      <c r="N100" s="8">
        <f t="shared" ca="1" si="66"/>
        <v>0</v>
      </c>
      <c r="O100" s="8">
        <f t="shared" ca="1" si="67"/>
        <v>0</v>
      </c>
      <c r="P100" s="8">
        <f t="shared" ca="1" si="68"/>
        <v>0</v>
      </c>
      <c r="Q100" s="8">
        <f t="shared" ca="1" si="69"/>
        <v>0</v>
      </c>
      <c r="R100" s="8">
        <f t="shared" ca="1" si="70"/>
        <v>0</v>
      </c>
      <c r="S100" s="8">
        <f t="shared" ca="1" si="71"/>
        <v>0</v>
      </c>
      <c r="T100" s="8">
        <f t="shared" ca="1" si="72"/>
        <v>0</v>
      </c>
      <c r="U100" s="8">
        <f t="shared" ca="1" si="73"/>
        <v>0</v>
      </c>
      <c r="V100" s="8">
        <f t="shared" ca="1" si="74"/>
        <v>0</v>
      </c>
      <c r="W100" s="11" t="str">
        <f t="shared" ca="1" si="75"/>
        <v/>
      </c>
      <c r="X100" s="11" t="str">
        <f t="shared" ca="1" si="76"/>
        <v/>
      </c>
      <c r="Y100" s="11" t="str">
        <f t="shared" ca="1" si="77"/>
        <v/>
      </c>
      <c r="Z100" s="11" t="str">
        <f t="shared" ca="1" si="78"/>
        <v/>
      </c>
      <c r="AA100" s="11" t="str">
        <f t="shared" ca="1" si="79"/>
        <v/>
      </c>
      <c r="AB100" s="47">
        <f ca="1">PlayerGameData[[#This Row],[3FGA]]+PlayerGameData[[#This Row],[2FGA]]</f>
        <v>0</v>
      </c>
      <c r="AC100" s="47">
        <f ca="1">PlayerGameData[[#This Row],[OFF REB]]+PlayerGameData[[#This Row],[DEF REB]]</f>
        <v>0</v>
      </c>
      <c r="AD100" s="8">
        <f t="shared" si="60"/>
        <v>4</v>
      </c>
      <c r="AE100" s="8" t="str">
        <f t="shared" ca="1" si="61"/>
        <v>,  - Cokeville 12/19/2022</v>
      </c>
      <c r="AF100" s="8" t="str">
        <f t="shared" ca="1" si="80"/>
        <v/>
      </c>
      <c r="AG100" s="8" t="str">
        <f ca="1">IFERROR(IF(C100=0,"",IF(AND(VLOOKUP(PlayerGameData[[#This Row],[Opponent]],WYTeamInfo,2,FALSE)=Roster!$D$1,VLOOKUP(PlayerGameData[[#This Row],[Opponent]],WYTeamInfo,3,FALSE)=Roster!$D$2),"SR","")),"")</f>
        <v/>
      </c>
      <c r="AH100" s="8" t="str">
        <f>CONCATENATE(Roster!$D$1," ",Roster!$D$5)</f>
        <v>1A BB</v>
      </c>
      <c r="AI100" s="8" t="str">
        <f t="shared" ca="1" si="62"/>
        <v>Upton - Cokeville 12/19/2022</v>
      </c>
      <c r="AJ100" s="8">
        <f ca="1">IFERROR(VLOOKUP(PlayerGameData[[#This Row],[School, Opponent,Game'#]],Table3[],2,FALSE),0)</f>
        <v>1</v>
      </c>
      <c r="AK100" s="8">
        <f ca="1">IF(PlayerGameData[[#This Row],[Visible]]=1,1,1000)</f>
        <v>1</v>
      </c>
      <c r="AL100" s="8">
        <f ca="1">RANK(PlayerGameData[[#This Row],[TL PTS]],PlayerGameData[TL PTS],0)+PlayerGameData[[#This Row],[VisibleOrder]]</f>
        <v>185</v>
      </c>
      <c r="AM100" s="8">
        <f ca="1">IF(COUNTIF(PlayerGameData[PointOrder],PlayerGameData[[#This Row],[PointOrder]])&gt;1,RANK(PlayerGameData[[#This Row],[FGA]],PlayerGameData[FGA],0)/100,0)+PlayerGameData[[#This Row],[PointOrder]]</f>
        <v>187.14</v>
      </c>
      <c r="AN100" s="8">
        <f ca="1">RANK(PlayerGameData[[#This Row],[PointTieBreak]],PlayerGameData[PointTieBreak],1)</f>
        <v>216</v>
      </c>
      <c r="AO100" s="8">
        <f ca="1">RANK(PlayerGameData[[#This Row],[REB]],PlayerGameData[REB],0)+PlayerGameData[[#This Row],[VisibleOrder]]</f>
        <v>192</v>
      </c>
      <c r="AP100" s="8">
        <f ca="1">IF(COUNTIF(PlayerGameData[REBOrder],PlayerGameData[[#This Row],[REBOrder]])&gt;1,PlayerGameData[[#This Row],[PointRank]]/100+PlayerGameData[[#This Row],[REBOrder]],PlayerGameData[[#This Row],[REBOrder]])</f>
        <v>194.16</v>
      </c>
      <c r="AQ100" s="8">
        <f ca="1">RANK(PlayerGameData[[#This Row],[REBTieBreak]],PlayerGameData[REBTieBreak],1)</f>
        <v>224</v>
      </c>
      <c r="AR100" s="8">
        <f ca="1">RANK(PlayerGameData[[#This Row],[AST]],PlayerGameData[AST],0)+PlayerGameData[[#This Row],[VisibleOrder]]</f>
        <v>158</v>
      </c>
      <c r="AS100" s="8">
        <f ca="1">IF(COUNTIF(PlayerGameData[ASTOrder],PlayerGameData[[#This Row],[ASTOrder]])&gt;1,PlayerGameData[[#This Row],[PointRank]]/100+PlayerGameData[[#This Row],[ASTOrder]],PlayerGameData[[#This Row],[ASTOrder]])</f>
        <v>160.16</v>
      </c>
      <c r="AT100" s="8">
        <f ca="1">RANK(PlayerGameData[[#This Row],[ASTTieBreak]],PlayerGameData[ASTTieBreak],1)</f>
        <v>221</v>
      </c>
      <c r="AU100" s="8">
        <f ca="1">RANK(PlayerGameData[[#This Row],[STL]],PlayerGameData[STL],0)+PlayerGameData[[#This Row],[VisibleOrder]]</f>
        <v>143</v>
      </c>
      <c r="AV100" s="8">
        <f ca="1">IF(COUNTIF(PlayerGameData[STLOrder],PlayerGameData[[#This Row],[STLOrder]])&gt;1,PlayerGameData[[#This Row],[PointRank]]/100+PlayerGameData[[#This Row],[STLOrder]],PlayerGameData[[#This Row],[STLOrder]])</f>
        <v>145.16</v>
      </c>
      <c r="AW100" s="8">
        <f ca="1">RANK(PlayerGameData[[#This Row],[STLTieBreak]],PlayerGameData[STLTieBreak],1)</f>
        <v>217</v>
      </c>
      <c r="AX100" s="8">
        <f ca="1">RANK(PlayerGameData[[#This Row],[BLK]],PlayerGameData[BLK],0)+PlayerGameData[[#This Row],[VisibleOrder]]</f>
        <v>32</v>
      </c>
      <c r="AY100" s="8">
        <f ca="1">IF(COUNTIF(PlayerGameData[BLKOrder],PlayerGameData[[#This Row],[BLKOrder]])&gt;1,PlayerGameData[[#This Row],[PointRank]]/100+PlayerGameData[[#This Row],[BLKOrder]],PlayerGameData[[#This Row],[BLKOrder]])</f>
        <v>34.159999999999997</v>
      </c>
      <c r="AZ100" s="8">
        <f ca="1">RANK(PlayerGameData[[#This Row],[BLKTieBreak]],PlayerGameData[BLKTieBreak],1)</f>
        <v>216</v>
      </c>
      <c r="BA100" s="11">
        <f ca="1">IFERROR(IF(PlayerGameData[[#This Row],[FGA]]&gt;$AA$5,PlayerGameData[[#This Row],[FG%*]],PlayerGameData[[#This Row],[FG%*]]*-1),-2)</f>
        <v>-2</v>
      </c>
      <c r="BB100" s="8">
        <f ca="1">RANK(PlayerGameData[[#This Row],[EligFG]],PlayerGameData[EligFG],0)+PlayerGameData[[#This Row],[VisibleOrder]]</f>
        <v>215</v>
      </c>
      <c r="BC100" s="8">
        <f ca="1">IF(COUNTIF(PlayerGameData[EligFGOrder],PlayerGameData[[#This Row],[EligFGOrder]])&gt;1,PlayerGameData[[#This Row],[PointRank]]/100+PlayerGameData[[#This Row],[EligFGOrder]],PlayerGameData[[#This Row],[EligFGOrder]])</f>
        <v>217.16</v>
      </c>
      <c r="BD100" s="8">
        <f ca="1">RANK(PlayerGameData[[#This Row],[EligFGTieBreak]],PlayerGameData[EligFGTieBreak],1)</f>
        <v>216</v>
      </c>
      <c r="BE100" s="8" t="str">
        <f>Roster!$D$3</f>
        <v>East</v>
      </c>
      <c r="BF100" s="8" t="str">
        <f>Roster!$D$2</f>
        <v>Northeast</v>
      </c>
      <c r="BG100" s="8" t="str">
        <f>Roster!$D$4</f>
        <v>North</v>
      </c>
      <c r="BH100" s="197">
        <f ca="1">IFERROR(VLOOKUP(CONCATENATE(PlayerGameData[[#This Row],[Opponent]]," ",MONTH(PlayerGameData[[#This Row],[Date]]),"/",DAY(PlayerGameData[[#This Row],[Date]]),"/",YEAR(PlayerGameData[[#This Row],[Date]])),Table35[],2,FALSE),0)</f>
        <v>1</v>
      </c>
      <c r="BI100" s="197">
        <f ca="1">IF(PlayerGameData[[#This Row],[Visible]]=1,1,1000)</f>
        <v>1</v>
      </c>
      <c r="BJ100" s="197" t="e">
        <f ca="1">_xlfn.MAXIFS(TeamGameData[Win],TeamGameData[School, Opponent,Game'#],PlayerGameData[[#This Row],[School, Opponent,Game'#]])</f>
        <v>#NAME?</v>
      </c>
      <c r="BK100" s="197" t="e">
        <f ca="1">_xlfn.MAXIFS(TeamGameData[Loss],TeamGameData[School, Opponent,Game'#],PlayerGameData[[#This Row],[School, Opponent,Game'#]])</f>
        <v>#NAME?</v>
      </c>
    </row>
    <row r="101" spans="1:63" x14ac:dyDescent="0.25">
      <c r="A101" s="8" t="str">
        <f t="shared" ca="1" si="63"/>
        <v xml:space="preserve">, </v>
      </c>
      <c r="B101" s="8" t="str">
        <f>Roster!$B$1</f>
        <v>Upton</v>
      </c>
      <c r="C101" s="8" t="str">
        <f t="shared" ca="1" si="51"/>
        <v>Cokeville</v>
      </c>
      <c r="D101" s="10">
        <f t="shared" ca="1" si="52"/>
        <v>44914</v>
      </c>
      <c r="E101" s="8">
        <f t="shared" ca="1" si="53"/>
        <v>0</v>
      </c>
      <c r="F101" s="8">
        <f t="shared" ca="1" si="54"/>
        <v>0</v>
      </c>
      <c r="G101" s="8">
        <f t="shared" ca="1" si="55"/>
        <v>0</v>
      </c>
      <c r="H101" s="8">
        <f t="shared" ca="1" si="56"/>
        <v>0</v>
      </c>
      <c r="I101" s="8">
        <f t="shared" ca="1" si="57"/>
        <v>0</v>
      </c>
      <c r="J101" s="8">
        <f t="shared" ca="1" si="58"/>
        <v>0</v>
      </c>
      <c r="K101" s="8">
        <f t="shared" ca="1" si="59"/>
        <v>0</v>
      </c>
      <c r="L101" s="8">
        <f t="shared" ca="1" si="64"/>
        <v>0</v>
      </c>
      <c r="M101" s="8">
        <f t="shared" ca="1" si="65"/>
        <v>0</v>
      </c>
      <c r="N101" s="8">
        <f t="shared" ca="1" si="66"/>
        <v>0</v>
      </c>
      <c r="O101" s="8">
        <f t="shared" ca="1" si="67"/>
        <v>0</v>
      </c>
      <c r="P101" s="8">
        <f t="shared" ca="1" si="68"/>
        <v>0</v>
      </c>
      <c r="Q101" s="8">
        <f t="shared" ca="1" si="69"/>
        <v>0</v>
      </c>
      <c r="R101" s="8">
        <f t="shared" ca="1" si="70"/>
        <v>0</v>
      </c>
      <c r="S101" s="8">
        <f t="shared" ca="1" si="71"/>
        <v>0</v>
      </c>
      <c r="T101" s="8">
        <f t="shared" ca="1" si="72"/>
        <v>0</v>
      </c>
      <c r="U101" s="8">
        <f t="shared" ca="1" si="73"/>
        <v>0</v>
      </c>
      <c r="V101" s="8">
        <f t="shared" ca="1" si="74"/>
        <v>0</v>
      </c>
      <c r="W101" s="11" t="str">
        <f t="shared" ca="1" si="75"/>
        <v/>
      </c>
      <c r="X101" s="11" t="str">
        <f t="shared" ca="1" si="76"/>
        <v/>
      </c>
      <c r="Y101" s="11" t="str">
        <f t="shared" ca="1" si="77"/>
        <v/>
      </c>
      <c r="Z101" s="11" t="str">
        <f t="shared" ca="1" si="78"/>
        <v/>
      </c>
      <c r="AA101" s="11" t="str">
        <f t="shared" ca="1" si="79"/>
        <v/>
      </c>
      <c r="AB101" s="47">
        <f ca="1">PlayerGameData[[#This Row],[3FGA]]+PlayerGameData[[#This Row],[2FGA]]</f>
        <v>0</v>
      </c>
      <c r="AC101" s="47">
        <f ca="1">PlayerGameData[[#This Row],[OFF REB]]+PlayerGameData[[#This Row],[DEF REB]]</f>
        <v>0</v>
      </c>
      <c r="AD101" s="8">
        <f t="shared" si="60"/>
        <v>4</v>
      </c>
      <c r="AE101" s="8" t="str">
        <f t="shared" ca="1" si="61"/>
        <v>,  - Cokeville 12/19/2022</v>
      </c>
      <c r="AF101" s="8" t="str">
        <f t="shared" ca="1" si="80"/>
        <v/>
      </c>
      <c r="AG101" s="8" t="str">
        <f ca="1">IFERROR(IF(C101=0,"",IF(AND(VLOOKUP(PlayerGameData[[#This Row],[Opponent]],WYTeamInfo,2,FALSE)=Roster!$D$1,VLOOKUP(PlayerGameData[[#This Row],[Opponent]],WYTeamInfo,3,FALSE)=Roster!$D$2),"SR","")),"")</f>
        <v/>
      </c>
      <c r="AH101" s="8" t="str">
        <f>CONCATENATE(Roster!$D$1," ",Roster!$D$5)</f>
        <v>1A BB</v>
      </c>
      <c r="AI101" s="8" t="str">
        <f t="shared" ca="1" si="62"/>
        <v>Upton - Cokeville 12/19/2022</v>
      </c>
      <c r="AJ101" s="8">
        <f ca="1">IFERROR(VLOOKUP(PlayerGameData[[#This Row],[School, Opponent,Game'#]],Table3[],2,FALSE),0)</f>
        <v>1</v>
      </c>
      <c r="AK101" s="8">
        <f ca="1">IF(PlayerGameData[[#This Row],[Visible]]=1,1,1000)</f>
        <v>1</v>
      </c>
      <c r="AL101" s="8">
        <f ca="1">RANK(PlayerGameData[[#This Row],[TL PTS]],PlayerGameData[TL PTS],0)+PlayerGameData[[#This Row],[VisibleOrder]]</f>
        <v>185</v>
      </c>
      <c r="AM101" s="8">
        <f ca="1">IF(COUNTIF(PlayerGameData[PointOrder],PlayerGameData[[#This Row],[PointOrder]])&gt;1,RANK(PlayerGameData[[#This Row],[FGA]],PlayerGameData[FGA],0)/100,0)+PlayerGameData[[#This Row],[PointOrder]]</f>
        <v>187.14</v>
      </c>
      <c r="AN101" s="8">
        <f ca="1">RANK(PlayerGameData[[#This Row],[PointTieBreak]],PlayerGameData[PointTieBreak],1)</f>
        <v>216</v>
      </c>
      <c r="AO101" s="8">
        <f ca="1">RANK(PlayerGameData[[#This Row],[REB]],PlayerGameData[REB],0)+PlayerGameData[[#This Row],[VisibleOrder]]</f>
        <v>192</v>
      </c>
      <c r="AP101" s="8">
        <f ca="1">IF(COUNTIF(PlayerGameData[REBOrder],PlayerGameData[[#This Row],[REBOrder]])&gt;1,PlayerGameData[[#This Row],[PointRank]]/100+PlayerGameData[[#This Row],[REBOrder]],PlayerGameData[[#This Row],[REBOrder]])</f>
        <v>194.16</v>
      </c>
      <c r="AQ101" s="8">
        <f ca="1">RANK(PlayerGameData[[#This Row],[REBTieBreak]],PlayerGameData[REBTieBreak],1)</f>
        <v>224</v>
      </c>
      <c r="AR101" s="8">
        <f ca="1">RANK(PlayerGameData[[#This Row],[AST]],PlayerGameData[AST],0)+PlayerGameData[[#This Row],[VisibleOrder]]</f>
        <v>158</v>
      </c>
      <c r="AS101" s="8">
        <f ca="1">IF(COUNTIF(PlayerGameData[ASTOrder],PlayerGameData[[#This Row],[ASTOrder]])&gt;1,PlayerGameData[[#This Row],[PointRank]]/100+PlayerGameData[[#This Row],[ASTOrder]],PlayerGameData[[#This Row],[ASTOrder]])</f>
        <v>160.16</v>
      </c>
      <c r="AT101" s="8">
        <f ca="1">RANK(PlayerGameData[[#This Row],[ASTTieBreak]],PlayerGameData[ASTTieBreak],1)</f>
        <v>221</v>
      </c>
      <c r="AU101" s="8">
        <f ca="1">RANK(PlayerGameData[[#This Row],[STL]],PlayerGameData[STL],0)+PlayerGameData[[#This Row],[VisibleOrder]]</f>
        <v>143</v>
      </c>
      <c r="AV101" s="8">
        <f ca="1">IF(COUNTIF(PlayerGameData[STLOrder],PlayerGameData[[#This Row],[STLOrder]])&gt;1,PlayerGameData[[#This Row],[PointRank]]/100+PlayerGameData[[#This Row],[STLOrder]],PlayerGameData[[#This Row],[STLOrder]])</f>
        <v>145.16</v>
      </c>
      <c r="AW101" s="8">
        <f ca="1">RANK(PlayerGameData[[#This Row],[STLTieBreak]],PlayerGameData[STLTieBreak],1)</f>
        <v>217</v>
      </c>
      <c r="AX101" s="8">
        <f ca="1">RANK(PlayerGameData[[#This Row],[BLK]],PlayerGameData[BLK],0)+PlayerGameData[[#This Row],[VisibleOrder]]</f>
        <v>32</v>
      </c>
      <c r="AY101" s="8">
        <f ca="1">IF(COUNTIF(PlayerGameData[BLKOrder],PlayerGameData[[#This Row],[BLKOrder]])&gt;1,PlayerGameData[[#This Row],[PointRank]]/100+PlayerGameData[[#This Row],[BLKOrder]],PlayerGameData[[#This Row],[BLKOrder]])</f>
        <v>34.159999999999997</v>
      </c>
      <c r="AZ101" s="8">
        <f ca="1">RANK(PlayerGameData[[#This Row],[BLKTieBreak]],PlayerGameData[BLKTieBreak],1)</f>
        <v>216</v>
      </c>
      <c r="BA101" s="11">
        <f ca="1">IFERROR(IF(PlayerGameData[[#This Row],[FGA]]&gt;$AA$5,PlayerGameData[[#This Row],[FG%*]],PlayerGameData[[#This Row],[FG%*]]*-1),-2)</f>
        <v>-2</v>
      </c>
      <c r="BB101" s="8">
        <f ca="1">RANK(PlayerGameData[[#This Row],[EligFG]],PlayerGameData[EligFG],0)+PlayerGameData[[#This Row],[VisibleOrder]]</f>
        <v>215</v>
      </c>
      <c r="BC101" s="8">
        <f ca="1">IF(COUNTIF(PlayerGameData[EligFGOrder],PlayerGameData[[#This Row],[EligFGOrder]])&gt;1,PlayerGameData[[#This Row],[PointRank]]/100+PlayerGameData[[#This Row],[EligFGOrder]],PlayerGameData[[#This Row],[EligFGOrder]])</f>
        <v>217.16</v>
      </c>
      <c r="BD101" s="8">
        <f ca="1">RANK(PlayerGameData[[#This Row],[EligFGTieBreak]],PlayerGameData[EligFGTieBreak],1)</f>
        <v>216</v>
      </c>
      <c r="BE101" s="8" t="str">
        <f>Roster!$D$3</f>
        <v>East</v>
      </c>
      <c r="BF101" s="8" t="str">
        <f>Roster!$D$2</f>
        <v>Northeast</v>
      </c>
      <c r="BG101" s="8" t="str">
        <f>Roster!$D$4</f>
        <v>North</v>
      </c>
      <c r="BH101" s="197">
        <f ca="1">IFERROR(VLOOKUP(CONCATENATE(PlayerGameData[[#This Row],[Opponent]]," ",MONTH(PlayerGameData[[#This Row],[Date]]),"/",DAY(PlayerGameData[[#This Row],[Date]]),"/",YEAR(PlayerGameData[[#This Row],[Date]])),Table35[],2,FALSE),0)</f>
        <v>1</v>
      </c>
      <c r="BI101" s="197">
        <f ca="1">IF(PlayerGameData[[#This Row],[Visible]]=1,1,1000)</f>
        <v>1</v>
      </c>
      <c r="BJ101" s="197" t="e">
        <f ca="1">_xlfn.MAXIFS(TeamGameData[Win],TeamGameData[School, Opponent,Game'#],PlayerGameData[[#This Row],[School, Opponent,Game'#]])</f>
        <v>#NAME?</v>
      </c>
      <c r="BK101" s="197" t="e">
        <f ca="1">_xlfn.MAXIFS(TeamGameData[Loss],TeamGameData[School, Opponent,Game'#],PlayerGameData[[#This Row],[School, Opponent,Game'#]])</f>
        <v>#NAME?</v>
      </c>
    </row>
    <row r="102" spans="1:63" x14ac:dyDescent="0.25">
      <c r="A102" s="8" t="str">
        <f t="shared" ca="1" si="63"/>
        <v xml:space="preserve">Team, </v>
      </c>
      <c r="B102" s="8" t="str">
        <f>Roster!$B$1</f>
        <v>Upton</v>
      </c>
      <c r="C102" s="8" t="str">
        <f t="shared" ca="1" si="51"/>
        <v>Cokeville</v>
      </c>
      <c r="D102" s="10">
        <f t="shared" ca="1" si="52"/>
        <v>44914</v>
      </c>
      <c r="E102" s="8">
        <f t="shared" ca="1" si="53"/>
        <v>0</v>
      </c>
      <c r="F102" s="8">
        <f t="shared" ca="1" si="54"/>
        <v>0</v>
      </c>
      <c r="G102" s="8">
        <f t="shared" ca="1" si="55"/>
        <v>0</v>
      </c>
      <c r="H102" s="8">
        <f t="shared" ca="1" si="56"/>
        <v>0</v>
      </c>
      <c r="I102" s="8">
        <f t="shared" ca="1" si="57"/>
        <v>0</v>
      </c>
      <c r="J102" s="8">
        <f t="shared" ca="1" si="58"/>
        <v>0</v>
      </c>
      <c r="K102" s="8">
        <f t="shared" ca="1" si="59"/>
        <v>0</v>
      </c>
      <c r="L102" s="8">
        <f t="shared" ca="1" si="64"/>
        <v>0</v>
      </c>
      <c r="M102" s="8">
        <f t="shared" ca="1" si="65"/>
        <v>0</v>
      </c>
      <c r="N102" s="8">
        <f t="shared" ca="1" si="66"/>
        <v>0</v>
      </c>
      <c r="O102" s="8">
        <f t="shared" ca="1" si="67"/>
        <v>0</v>
      </c>
      <c r="P102" s="8">
        <f t="shared" ca="1" si="68"/>
        <v>0</v>
      </c>
      <c r="Q102" s="8">
        <f t="shared" ca="1" si="69"/>
        <v>0</v>
      </c>
      <c r="R102" s="8">
        <f t="shared" ca="1" si="70"/>
        <v>0</v>
      </c>
      <c r="S102" s="8">
        <f t="shared" ca="1" si="71"/>
        <v>0</v>
      </c>
      <c r="T102" s="8">
        <f t="shared" ca="1" si="72"/>
        <v>0</v>
      </c>
      <c r="U102" s="8">
        <f t="shared" ca="1" si="73"/>
        <v>0</v>
      </c>
      <c r="V102" s="8">
        <f t="shared" ca="1" si="74"/>
        <v>0</v>
      </c>
      <c r="W102" s="11" t="str">
        <f t="shared" ca="1" si="75"/>
        <v/>
      </c>
      <c r="X102" s="11" t="str">
        <f t="shared" ca="1" si="76"/>
        <v/>
      </c>
      <c r="Y102" s="11" t="str">
        <f t="shared" ca="1" si="77"/>
        <v/>
      </c>
      <c r="Z102" s="11" t="str">
        <f t="shared" ca="1" si="78"/>
        <v/>
      </c>
      <c r="AA102" s="11" t="str">
        <f t="shared" ca="1" si="79"/>
        <v/>
      </c>
      <c r="AB102" s="47">
        <f ca="1">PlayerGameData[[#This Row],[3FGA]]+PlayerGameData[[#This Row],[2FGA]]</f>
        <v>0</v>
      </c>
      <c r="AC102" s="47">
        <f ca="1">PlayerGameData[[#This Row],[OFF REB]]+PlayerGameData[[#This Row],[DEF REB]]</f>
        <v>0</v>
      </c>
      <c r="AD102" s="8">
        <f t="shared" si="60"/>
        <v>4</v>
      </c>
      <c r="AE102" s="8" t="str">
        <f t="shared" ca="1" si="61"/>
        <v>Team,  - Cokeville 12/19/2022</v>
      </c>
      <c r="AF102" s="8" t="str">
        <f t="shared" ca="1" si="80"/>
        <v/>
      </c>
      <c r="AG102" s="8" t="str">
        <f ca="1">IFERROR(IF(C102=0,"",IF(AND(VLOOKUP(PlayerGameData[[#This Row],[Opponent]],WYTeamInfo,2,FALSE)=Roster!$D$1,VLOOKUP(PlayerGameData[[#This Row],[Opponent]],WYTeamInfo,3,FALSE)=Roster!$D$2),"SR","")),"")</f>
        <v/>
      </c>
      <c r="AH102" s="8" t="str">
        <f>CONCATENATE(Roster!$D$1," ",Roster!$D$5)</f>
        <v>1A BB</v>
      </c>
      <c r="AI102" s="8" t="str">
        <f t="shared" ca="1" si="62"/>
        <v>Upton - Cokeville 12/19/2022</v>
      </c>
      <c r="AJ102" s="8">
        <f ca="1">IFERROR(VLOOKUP(PlayerGameData[[#This Row],[School, Opponent,Game'#]],Table3[],2,FALSE),0)</f>
        <v>1</v>
      </c>
      <c r="AK102" s="8">
        <f ca="1">IF(PlayerGameData[[#This Row],[Visible]]=1,1,1000)</f>
        <v>1</v>
      </c>
      <c r="AL102" s="8">
        <f ca="1">RANK(PlayerGameData[[#This Row],[TL PTS]],PlayerGameData[TL PTS],0)+PlayerGameData[[#This Row],[VisibleOrder]]</f>
        <v>185</v>
      </c>
      <c r="AM102" s="8">
        <f ca="1">IF(COUNTIF(PlayerGameData[PointOrder],PlayerGameData[[#This Row],[PointOrder]])&gt;1,RANK(PlayerGameData[[#This Row],[FGA]],PlayerGameData[FGA],0)/100,0)+PlayerGameData[[#This Row],[PointOrder]]</f>
        <v>187.14</v>
      </c>
      <c r="AN102" s="8">
        <f ca="1">RANK(PlayerGameData[[#This Row],[PointTieBreak]],PlayerGameData[PointTieBreak],1)</f>
        <v>216</v>
      </c>
      <c r="AO102" s="8">
        <f ca="1">RANK(PlayerGameData[[#This Row],[REB]],PlayerGameData[REB],0)+PlayerGameData[[#This Row],[VisibleOrder]]</f>
        <v>192</v>
      </c>
      <c r="AP102" s="8">
        <f ca="1">IF(COUNTIF(PlayerGameData[REBOrder],PlayerGameData[[#This Row],[REBOrder]])&gt;1,PlayerGameData[[#This Row],[PointRank]]/100+PlayerGameData[[#This Row],[REBOrder]],PlayerGameData[[#This Row],[REBOrder]])</f>
        <v>194.16</v>
      </c>
      <c r="AQ102" s="8">
        <f ca="1">RANK(PlayerGameData[[#This Row],[REBTieBreak]],PlayerGameData[REBTieBreak],1)</f>
        <v>224</v>
      </c>
      <c r="AR102" s="8">
        <f ca="1">RANK(PlayerGameData[[#This Row],[AST]],PlayerGameData[AST],0)+PlayerGameData[[#This Row],[VisibleOrder]]</f>
        <v>158</v>
      </c>
      <c r="AS102" s="8">
        <f ca="1">IF(COUNTIF(PlayerGameData[ASTOrder],PlayerGameData[[#This Row],[ASTOrder]])&gt;1,PlayerGameData[[#This Row],[PointRank]]/100+PlayerGameData[[#This Row],[ASTOrder]],PlayerGameData[[#This Row],[ASTOrder]])</f>
        <v>160.16</v>
      </c>
      <c r="AT102" s="8">
        <f ca="1">RANK(PlayerGameData[[#This Row],[ASTTieBreak]],PlayerGameData[ASTTieBreak],1)</f>
        <v>221</v>
      </c>
      <c r="AU102" s="8">
        <f ca="1">RANK(PlayerGameData[[#This Row],[STL]],PlayerGameData[STL],0)+PlayerGameData[[#This Row],[VisibleOrder]]</f>
        <v>143</v>
      </c>
      <c r="AV102" s="8">
        <f ca="1">IF(COUNTIF(PlayerGameData[STLOrder],PlayerGameData[[#This Row],[STLOrder]])&gt;1,PlayerGameData[[#This Row],[PointRank]]/100+PlayerGameData[[#This Row],[STLOrder]],PlayerGameData[[#This Row],[STLOrder]])</f>
        <v>145.16</v>
      </c>
      <c r="AW102" s="8">
        <f ca="1">RANK(PlayerGameData[[#This Row],[STLTieBreak]],PlayerGameData[STLTieBreak],1)</f>
        <v>217</v>
      </c>
      <c r="AX102" s="8">
        <f ca="1">RANK(PlayerGameData[[#This Row],[BLK]],PlayerGameData[BLK],0)+PlayerGameData[[#This Row],[VisibleOrder]]</f>
        <v>32</v>
      </c>
      <c r="AY102" s="8">
        <f ca="1">IF(COUNTIF(PlayerGameData[BLKOrder],PlayerGameData[[#This Row],[BLKOrder]])&gt;1,PlayerGameData[[#This Row],[PointRank]]/100+PlayerGameData[[#This Row],[BLKOrder]],PlayerGameData[[#This Row],[BLKOrder]])</f>
        <v>34.159999999999997</v>
      </c>
      <c r="AZ102" s="8">
        <f ca="1">RANK(PlayerGameData[[#This Row],[BLKTieBreak]],PlayerGameData[BLKTieBreak],1)</f>
        <v>216</v>
      </c>
      <c r="BA102" s="11">
        <f ca="1">IFERROR(IF(PlayerGameData[[#This Row],[FGA]]&gt;$AA$5,PlayerGameData[[#This Row],[FG%*]],PlayerGameData[[#This Row],[FG%*]]*-1),-2)</f>
        <v>-2</v>
      </c>
      <c r="BB102" s="8">
        <f ca="1">RANK(PlayerGameData[[#This Row],[EligFG]],PlayerGameData[EligFG],0)+PlayerGameData[[#This Row],[VisibleOrder]]</f>
        <v>215</v>
      </c>
      <c r="BC102" s="8">
        <f ca="1">IF(COUNTIF(PlayerGameData[EligFGOrder],PlayerGameData[[#This Row],[EligFGOrder]])&gt;1,PlayerGameData[[#This Row],[PointRank]]/100+PlayerGameData[[#This Row],[EligFGOrder]],PlayerGameData[[#This Row],[EligFGOrder]])</f>
        <v>217.16</v>
      </c>
      <c r="BD102" s="8">
        <f ca="1">RANK(PlayerGameData[[#This Row],[EligFGTieBreak]],PlayerGameData[EligFGTieBreak],1)</f>
        <v>216</v>
      </c>
      <c r="BE102" s="8" t="str">
        <f>Roster!$D$3</f>
        <v>East</v>
      </c>
      <c r="BF102" s="8" t="str">
        <f>Roster!$D$2</f>
        <v>Northeast</v>
      </c>
      <c r="BG102" s="8" t="str">
        <f>Roster!$D$4</f>
        <v>North</v>
      </c>
      <c r="BH102" s="197">
        <f ca="1">IFERROR(VLOOKUP(CONCATENATE(PlayerGameData[[#This Row],[Opponent]]," ",MONTH(PlayerGameData[[#This Row],[Date]]),"/",DAY(PlayerGameData[[#This Row],[Date]]),"/",YEAR(PlayerGameData[[#This Row],[Date]])),Table35[],2,FALSE),0)</f>
        <v>1</v>
      </c>
      <c r="BI102" s="197">
        <f ca="1">IF(PlayerGameData[[#This Row],[Visible]]=1,1,1000)</f>
        <v>1</v>
      </c>
      <c r="BJ102" s="197" t="e">
        <f ca="1">_xlfn.MAXIFS(TeamGameData[Win],TeamGameData[School, Opponent,Game'#],PlayerGameData[[#This Row],[School, Opponent,Game'#]])</f>
        <v>#NAME?</v>
      </c>
      <c r="BK102" s="197" t="e">
        <f ca="1">_xlfn.MAXIFS(TeamGameData[Loss],TeamGameData[School, Opponent,Game'#],PlayerGameData[[#This Row],[School, Opponent,Game'#]])</f>
        <v>#NAME?</v>
      </c>
    </row>
    <row r="103" spans="1:63" x14ac:dyDescent="0.25">
      <c r="A103" s="8" t="str">
        <f t="shared" ca="1" si="63"/>
        <v>Landon Butler, 1</v>
      </c>
      <c r="B103" s="8" t="str">
        <f>Roster!$B$1</f>
        <v>Upton</v>
      </c>
      <c r="C103" s="8" t="str">
        <f t="shared" ca="1" si="51"/>
        <v>Little Snake River</v>
      </c>
      <c r="D103" s="10">
        <f t="shared" ca="1" si="52"/>
        <v>44912</v>
      </c>
      <c r="E103" s="8">
        <f t="shared" ca="1" si="53"/>
        <v>0</v>
      </c>
      <c r="F103" s="8">
        <f t="shared" ca="1" si="54"/>
        <v>0</v>
      </c>
      <c r="G103" s="8">
        <f t="shared" ca="1" si="55"/>
        <v>0</v>
      </c>
      <c r="H103" s="8">
        <f t="shared" ca="1" si="56"/>
        <v>0</v>
      </c>
      <c r="I103" s="8">
        <f t="shared" ca="1" si="57"/>
        <v>0</v>
      </c>
      <c r="J103" s="8">
        <f t="shared" ca="1" si="58"/>
        <v>0</v>
      </c>
      <c r="K103" s="8">
        <f t="shared" ca="1" si="59"/>
        <v>0</v>
      </c>
      <c r="L103" s="8">
        <f t="shared" ca="1" si="64"/>
        <v>0</v>
      </c>
      <c r="M103" s="8">
        <f t="shared" ca="1" si="65"/>
        <v>0</v>
      </c>
      <c r="N103" s="8">
        <f t="shared" ca="1" si="66"/>
        <v>0</v>
      </c>
      <c r="O103" s="8">
        <f t="shared" ca="1" si="67"/>
        <v>0</v>
      </c>
      <c r="P103" s="8">
        <f t="shared" ca="1" si="68"/>
        <v>0</v>
      </c>
      <c r="Q103" s="8">
        <f t="shared" ca="1" si="69"/>
        <v>0</v>
      </c>
      <c r="R103" s="8">
        <f t="shared" ca="1" si="70"/>
        <v>0</v>
      </c>
      <c r="S103" s="8">
        <f t="shared" ca="1" si="71"/>
        <v>0</v>
      </c>
      <c r="T103" s="8">
        <f t="shared" ca="1" si="72"/>
        <v>0</v>
      </c>
      <c r="U103" s="8">
        <f t="shared" ca="1" si="73"/>
        <v>0</v>
      </c>
      <c r="V103" s="8">
        <f t="shared" ca="1" si="74"/>
        <v>0</v>
      </c>
      <c r="W103" s="11" t="str">
        <f t="shared" ca="1" si="75"/>
        <v/>
      </c>
      <c r="X103" s="11" t="str">
        <f t="shared" ca="1" si="76"/>
        <v/>
      </c>
      <c r="Y103" s="11" t="str">
        <f t="shared" ca="1" si="77"/>
        <v/>
      </c>
      <c r="Z103" s="11" t="str">
        <f t="shared" ca="1" si="78"/>
        <v/>
      </c>
      <c r="AA103" s="11" t="str">
        <f t="shared" ca="1" si="79"/>
        <v/>
      </c>
      <c r="AB103" s="47">
        <f ca="1">PlayerGameData[[#This Row],[3FGA]]+PlayerGameData[[#This Row],[2FGA]]</f>
        <v>0</v>
      </c>
      <c r="AC103" s="47">
        <f ca="1">PlayerGameData[[#This Row],[OFF REB]]+PlayerGameData[[#This Row],[DEF REB]]</f>
        <v>0</v>
      </c>
      <c r="AD103" s="8">
        <f t="shared" si="60"/>
        <v>5</v>
      </c>
      <c r="AE103" s="8" t="str">
        <f t="shared" ca="1" si="61"/>
        <v>Landon Butler, 1 - Little Snake River 12/17/2022</v>
      </c>
      <c r="AF103" s="8" t="str">
        <f t="shared" ca="1" si="80"/>
        <v/>
      </c>
      <c r="AG103" s="8" t="str">
        <f ca="1">IFERROR(IF(C103=0,"",IF(AND(VLOOKUP(PlayerGameData[[#This Row],[Opponent]],WYTeamInfo,2,FALSE)=Roster!$D$1,VLOOKUP(PlayerGameData[[#This Row],[Opponent]],WYTeamInfo,3,FALSE)=Roster!$D$2),"SR","")),"")</f>
        <v/>
      </c>
      <c r="AH103" s="8" t="str">
        <f>CONCATENATE(Roster!$D$1," ",Roster!$D$5)</f>
        <v>1A BB</v>
      </c>
      <c r="AI103" s="8" t="str">
        <f t="shared" ca="1" si="62"/>
        <v>Upton - Little Snake River 12/17/2022</v>
      </c>
      <c r="AJ103" s="8">
        <f ca="1">IFERROR(VLOOKUP(PlayerGameData[[#This Row],[School, Opponent,Game'#]],Table3[],2,FALSE),0)</f>
        <v>1</v>
      </c>
      <c r="AK103" s="8">
        <f ca="1">IF(PlayerGameData[[#This Row],[Visible]]=1,1,1000)</f>
        <v>1</v>
      </c>
      <c r="AL103" s="8">
        <f ca="1">RANK(PlayerGameData[[#This Row],[TL PTS]],PlayerGameData[TL PTS],0)+PlayerGameData[[#This Row],[VisibleOrder]]</f>
        <v>185</v>
      </c>
      <c r="AM103" s="8">
        <f ca="1">IF(COUNTIF(PlayerGameData[PointOrder],PlayerGameData[[#This Row],[PointOrder]])&gt;1,RANK(PlayerGameData[[#This Row],[FGA]],PlayerGameData[FGA],0)/100,0)+PlayerGameData[[#This Row],[PointOrder]]</f>
        <v>187.14</v>
      </c>
      <c r="AN103" s="8">
        <f ca="1">RANK(PlayerGameData[[#This Row],[PointTieBreak]],PlayerGameData[PointTieBreak],1)</f>
        <v>216</v>
      </c>
      <c r="AO103" s="8">
        <f ca="1">RANK(PlayerGameData[[#This Row],[REB]],PlayerGameData[REB],0)+PlayerGameData[[#This Row],[VisibleOrder]]</f>
        <v>192</v>
      </c>
      <c r="AP103" s="8">
        <f ca="1">IF(COUNTIF(PlayerGameData[REBOrder],PlayerGameData[[#This Row],[REBOrder]])&gt;1,PlayerGameData[[#This Row],[PointRank]]/100+PlayerGameData[[#This Row],[REBOrder]],PlayerGameData[[#This Row],[REBOrder]])</f>
        <v>194.16</v>
      </c>
      <c r="AQ103" s="8">
        <f ca="1">RANK(PlayerGameData[[#This Row],[REBTieBreak]],PlayerGameData[REBTieBreak],1)</f>
        <v>224</v>
      </c>
      <c r="AR103" s="8">
        <f ca="1">RANK(PlayerGameData[[#This Row],[AST]],PlayerGameData[AST],0)+PlayerGameData[[#This Row],[VisibleOrder]]</f>
        <v>158</v>
      </c>
      <c r="AS103" s="8">
        <f ca="1">IF(COUNTIF(PlayerGameData[ASTOrder],PlayerGameData[[#This Row],[ASTOrder]])&gt;1,PlayerGameData[[#This Row],[PointRank]]/100+PlayerGameData[[#This Row],[ASTOrder]],PlayerGameData[[#This Row],[ASTOrder]])</f>
        <v>160.16</v>
      </c>
      <c r="AT103" s="8">
        <f ca="1">RANK(PlayerGameData[[#This Row],[ASTTieBreak]],PlayerGameData[ASTTieBreak],1)</f>
        <v>221</v>
      </c>
      <c r="AU103" s="8">
        <f ca="1">RANK(PlayerGameData[[#This Row],[STL]],PlayerGameData[STL],0)+PlayerGameData[[#This Row],[VisibleOrder]]</f>
        <v>143</v>
      </c>
      <c r="AV103" s="8">
        <f ca="1">IF(COUNTIF(PlayerGameData[STLOrder],PlayerGameData[[#This Row],[STLOrder]])&gt;1,PlayerGameData[[#This Row],[PointRank]]/100+PlayerGameData[[#This Row],[STLOrder]],PlayerGameData[[#This Row],[STLOrder]])</f>
        <v>145.16</v>
      </c>
      <c r="AW103" s="8">
        <f ca="1">RANK(PlayerGameData[[#This Row],[STLTieBreak]],PlayerGameData[STLTieBreak],1)</f>
        <v>217</v>
      </c>
      <c r="AX103" s="8">
        <f ca="1">RANK(PlayerGameData[[#This Row],[BLK]],PlayerGameData[BLK],0)+PlayerGameData[[#This Row],[VisibleOrder]]</f>
        <v>32</v>
      </c>
      <c r="AY103" s="8">
        <f ca="1">IF(COUNTIF(PlayerGameData[BLKOrder],PlayerGameData[[#This Row],[BLKOrder]])&gt;1,PlayerGameData[[#This Row],[PointRank]]/100+PlayerGameData[[#This Row],[BLKOrder]],PlayerGameData[[#This Row],[BLKOrder]])</f>
        <v>34.159999999999997</v>
      </c>
      <c r="AZ103" s="8">
        <f ca="1">RANK(PlayerGameData[[#This Row],[BLKTieBreak]],PlayerGameData[BLKTieBreak],1)</f>
        <v>216</v>
      </c>
      <c r="BA103" s="11">
        <f ca="1">IFERROR(IF(PlayerGameData[[#This Row],[FGA]]&gt;$AA$5,PlayerGameData[[#This Row],[FG%*]],PlayerGameData[[#This Row],[FG%*]]*-1),-2)</f>
        <v>-2</v>
      </c>
      <c r="BB103" s="8">
        <f ca="1">RANK(PlayerGameData[[#This Row],[EligFG]],PlayerGameData[EligFG],0)+PlayerGameData[[#This Row],[VisibleOrder]]</f>
        <v>215</v>
      </c>
      <c r="BC103" s="8">
        <f ca="1">IF(COUNTIF(PlayerGameData[EligFGOrder],PlayerGameData[[#This Row],[EligFGOrder]])&gt;1,PlayerGameData[[#This Row],[PointRank]]/100+PlayerGameData[[#This Row],[EligFGOrder]],PlayerGameData[[#This Row],[EligFGOrder]])</f>
        <v>217.16</v>
      </c>
      <c r="BD103" s="8">
        <f ca="1">RANK(PlayerGameData[[#This Row],[EligFGTieBreak]],PlayerGameData[EligFGTieBreak],1)</f>
        <v>216</v>
      </c>
      <c r="BE103" s="8" t="str">
        <f>Roster!$D$3</f>
        <v>East</v>
      </c>
      <c r="BF103" s="8" t="str">
        <f>Roster!$D$2</f>
        <v>Northeast</v>
      </c>
      <c r="BG103" s="8" t="str">
        <f>Roster!$D$4</f>
        <v>North</v>
      </c>
      <c r="BH103" s="197">
        <f ca="1">IFERROR(VLOOKUP(CONCATENATE(PlayerGameData[[#This Row],[Opponent]]," ",MONTH(PlayerGameData[[#This Row],[Date]]),"/",DAY(PlayerGameData[[#This Row],[Date]]),"/",YEAR(PlayerGameData[[#This Row],[Date]])),Table35[],2,FALSE),0)</f>
        <v>1</v>
      </c>
      <c r="BI103" s="197">
        <f ca="1">IF(PlayerGameData[[#This Row],[Visible]]=1,1,1000)</f>
        <v>1</v>
      </c>
      <c r="BJ103" s="197" t="e">
        <f ca="1">_xlfn.MAXIFS(TeamGameData[Win],TeamGameData[School, Opponent,Game'#],PlayerGameData[[#This Row],[School, Opponent,Game'#]])</f>
        <v>#NAME?</v>
      </c>
      <c r="BK103" s="197" t="e">
        <f ca="1">_xlfn.MAXIFS(TeamGameData[Loss],TeamGameData[School, Opponent,Game'#],PlayerGameData[[#This Row],[School, Opponent,Game'#]])</f>
        <v>#NAME?</v>
      </c>
    </row>
    <row r="104" spans="1:63" x14ac:dyDescent="0.25">
      <c r="A104" s="8" t="str">
        <f t="shared" ca="1" si="63"/>
        <v>Logan Timberman, 3</v>
      </c>
      <c r="B104" s="8" t="str">
        <f>Roster!$B$1</f>
        <v>Upton</v>
      </c>
      <c r="C104" s="8" t="str">
        <f t="shared" ca="1" si="51"/>
        <v>Little Snake River</v>
      </c>
      <c r="D104" s="10">
        <f t="shared" ca="1" si="52"/>
        <v>44912</v>
      </c>
      <c r="E104" s="8">
        <f t="shared" ca="1" si="53"/>
        <v>1</v>
      </c>
      <c r="F104" s="8">
        <f t="shared" ca="1" si="54"/>
        <v>1</v>
      </c>
      <c r="G104" s="8">
        <f t="shared" ca="1" si="55"/>
        <v>29</v>
      </c>
      <c r="H104" s="8">
        <f t="shared" ca="1" si="56"/>
        <v>2</v>
      </c>
      <c r="I104" s="8">
        <f t="shared" ca="1" si="57"/>
        <v>4</v>
      </c>
      <c r="J104" s="8">
        <f t="shared" ca="1" si="58"/>
        <v>1</v>
      </c>
      <c r="K104" s="8">
        <f t="shared" ca="1" si="59"/>
        <v>3</v>
      </c>
      <c r="L104" s="8">
        <f t="shared" ca="1" si="64"/>
        <v>0</v>
      </c>
      <c r="M104" s="8">
        <f t="shared" ca="1" si="65"/>
        <v>0</v>
      </c>
      <c r="N104" s="8">
        <f t="shared" ca="1" si="66"/>
        <v>0</v>
      </c>
      <c r="O104" s="8">
        <f t="shared" ca="1" si="67"/>
        <v>2</v>
      </c>
      <c r="P104" s="8">
        <f t="shared" ca="1" si="68"/>
        <v>2</v>
      </c>
      <c r="Q104" s="8">
        <f t="shared" ca="1" si="69"/>
        <v>2</v>
      </c>
      <c r="R104" s="8">
        <f t="shared" ca="1" si="70"/>
        <v>0</v>
      </c>
      <c r="S104" s="8">
        <f t="shared" ca="1" si="71"/>
        <v>2</v>
      </c>
      <c r="T104" s="8">
        <f t="shared" ca="1" si="72"/>
        <v>5</v>
      </c>
      <c r="U104" s="8">
        <f t="shared" ca="1" si="73"/>
        <v>0</v>
      </c>
      <c r="V104" s="8">
        <f t="shared" ca="1" si="74"/>
        <v>8</v>
      </c>
      <c r="W104" s="11">
        <f t="shared" ca="1" si="75"/>
        <v>0.5</v>
      </c>
      <c r="X104" s="11">
        <f t="shared" ca="1" si="76"/>
        <v>0.33333333333333331</v>
      </c>
      <c r="Y104" s="11" t="str">
        <f t="shared" ca="1" si="77"/>
        <v/>
      </c>
      <c r="Z104" s="11">
        <f t="shared" ca="1" si="78"/>
        <v>0.42857142857142855</v>
      </c>
      <c r="AA104" s="11">
        <f t="shared" ca="1" si="79"/>
        <v>0.5714285714285714</v>
      </c>
      <c r="AB104" s="47">
        <f ca="1">PlayerGameData[[#This Row],[3FGA]]+PlayerGameData[[#This Row],[2FGA]]</f>
        <v>7</v>
      </c>
      <c r="AC104" s="47">
        <f ca="1">PlayerGameData[[#This Row],[OFF REB]]+PlayerGameData[[#This Row],[DEF REB]]</f>
        <v>2</v>
      </c>
      <c r="AD104" s="8">
        <f t="shared" si="60"/>
        <v>5</v>
      </c>
      <c r="AE104" s="8" t="str">
        <f t="shared" ca="1" si="61"/>
        <v>Logan Timberman, 3 - Little Snake River 12/17/2022</v>
      </c>
      <c r="AF104" s="8" t="str">
        <f t="shared" ca="1" si="80"/>
        <v/>
      </c>
      <c r="AG104" s="8" t="str">
        <f ca="1">IFERROR(IF(C104=0,"",IF(AND(VLOOKUP(PlayerGameData[[#This Row],[Opponent]],WYTeamInfo,2,FALSE)=Roster!$D$1,VLOOKUP(PlayerGameData[[#This Row],[Opponent]],WYTeamInfo,3,FALSE)=Roster!$D$2),"SR","")),"")</f>
        <v/>
      </c>
      <c r="AH104" s="8" t="str">
        <f>CONCATENATE(Roster!$D$1," ",Roster!$D$5)</f>
        <v>1A BB</v>
      </c>
      <c r="AI104" s="8" t="str">
        <f t="shared" ca="1" si="62"/>
        <v>Upton - Little Snake River 12/17/2022</v>
      </c>
      <c r="AJ104" s="8">
        <f ca="1">IFERROR(VLOOKUP(PlayerGameData[[#This Row],[School, Opponent,Game'#]],Table3[],2,FALSE),0)</f>
        <v>1</v>
      </c>
      <c r="AK104" s="8">
        <f ca="1">IF(PlayerGameData[[#This Row],[Visible]]=1,1,1000)</f>
        <v>1</v>
      </c>
      <c r="AL104" s="8">
        <f ca="1">RANK(PlayerGameData[[#This Row],[TL PTS]],PlayerGameData[TL PTS],0)+PlayerGameData[[#This Row],[VisibleOrder]]</f>
        <v>82</v>
      </c>
      <c r="AM104" s="8">
        <f ca="1">IF(COUNTIF(PlayerGameData[PointOrder],PlayerGameData[[#This Row],[PointOrder]])&gt;1,RANK(PlayerGameData[[#This Row],[FGA]],PlayerGameData[FGA],0)/100,0)+PlayerGameData[[#This Row],[PointOrder]]</f>
        <v>82.93</v>
      </c>
      <c r="AN104" s="8">
        <f ca="1">RANK(PlayerGameData[[#This Row],[PointTieBreak]],PlayerGameData[PointTieBreak],1)</f>
        <v>88</v>
      </c>
      <c r="AO104" s="8">
        <f ca="1">RANK(PlayerGameData[[#This Row],[REB]],PlayerGameData[REB],0)+PlayerGameData[[#This Row],[VisibleOrder]]</f>
        <v>137</v>
      </c>
      <c r="AP104" s="8">
        <f ca="1">IF(COUNTIF(PlayerGameData[REBOrder],PlayerGameData[[#This Row],[REBOrder]])&gt;1,PlayerGameData[[#This Row],[PointRank]]/100+PlayerGameData[[#This Row],[REBOrder]],PlayerGameData[[#This Row],[REBOrder]])</f>
        <v>137.88</v>
      </c>
      <c r="AQ104" s="8">
        <f ca="1">RANK(PlayerGameData[[#This Row],[REBTieBreak]],PlayerGameData[REBTieBreak],1)</f>
        <v>142</v>
      </c>
      <c r="AR104" s="8">
        <f ca="1">RANK(PlayerGameData[[#This Row],[AST]],PlayerGameData[AST],0)+PlayerGameData[[#This Row],[VisibleOrder]]</f>
        <v>69</v>
      </c>
      <c r="AS104" s="8">
        <f ca="1">IF(COUNTIF(PlayerGameData[ASTOrder],PlayerGameData[[#This Row],[ASTOrder]])&gt;1,PlayerGameData[[#This Row],[PointRank]]/100+PlayerGameData[[#This Row],[ASTOrder]],PlayerGameData[[#This Row],[ASTOrder]])</f>
        <v>69.88</v>
      </c>
      <c r="AT104" s="8">
        <f ca="1">RANK(PlayerGameData[[#This Row],[ASTTieBreak]],PlayerGameData[ASTTieBreak],1)</f>
        <v>89</v>
      </c>
      <c r="AU104" s="8">
        <f ca="1">RANK(PlayerGameData[[#This Row],[STL]],PlayerGameData[STL],0)+PlayerGameData[[#This Row],[VisibleOrder]]</f>
        <v>48</v>
      </c>
      <c r="AV104" s="8">
        <f ca="1">IF(COUNTIF(PlayerGameData[STLOrder],PlayerGameData[[#This Row],[STLOrder]])&gt;1,PlayerGameData[[#This Row],[PointRank]]/100+PlayerGameData[[#This Row],[STLOrder]],PlayerGameData[[#This Row],[STLOrder]])</f>
        <v>48.88</v>
      </c>
      <c r="AW104" s="8">
        <f ca="1">RANK(PlayerGameData[[#This Row],[STLTieBreak]],PlayerGameData[STLTieBreak],1)</f>
        <v>67</v>
      </c>
      <c r="AX104" s="8">
        <f ca="1">RANK(PlayerGameData[[#This Row],[BLK]],PlayerGameData[BLK],0)+PlayerGameData[[#This Row],[VisibleOrder]]</f>
        <v>32</v>
      </c>
      <c r="AY104" s="8">
        <f ca="1">IF(COUNTIF(PlayerGameData[BLKOrder],PlayerGameData[[#This Row],[BLKOrder]])&gt;1,PlayerGameData[[#This Row],[PointRank]]/100+PlayerGameData[[#This Row],[BLKOrder]],PlayerGameData[[#This Row],[BLKOrder]])</f>
        <v>32.880000000000003</v>
      </c>
      <c r="AZ104" s="8">
        <f ca="1">RANK(PlayerGameData[[#This Row],[BLKTieBreak]],PlayerGameData[BLKTieBreak],1)</f>
        <v>98</v>
      </c>
      <c r="BA104" s="11">
        <f ca="1">IFERROR(IF(PlayerGameData[[#This Row],[FGA]]&gt;$AA$5,PlayerGameData[[#This Row],[FG%*]],PlayerGameData[[#This Row],[FG%*]]*-1),-2)</f>
        <v>0.42857142857142855</v>
      </c>
      <c r="BB104" s="8">
        <f ca="1">RANK(PlayerGameData[[#This Row],[EligFG]],PlayerGameData[EligFG],0)+PlayerGameData[[#This Row],[VisibleOrder]]</f>
        <v>63</v>
      </c>
      <c r="BC104" s="8">
        <f ca="1">IF(COUNTIF(PlayerGameData[EligFGOrder],PlayerGameData[[#This Row],[EligFGOrder]])&gt;1,PlayerGameData[[#This Row],[PointRank]]/100+PlayerGameData[[#This Row],[EligFGOrder]],PlayerGameData[[#This Row],[EligFGOrder]])</f>
        <v>63.88</v>
      </c>
      <c r="BD104" s="8">
        <f ca="1">RANK(PlayerGameData[[#This Row],[EligFGTieBreak]],PlayerGameData[EligFGTieBreak],1)</f>
        <v>62</v>
      </c>
      <c r="BE104" s="8" t="str">
        <f>Roster!$D$3</f>
        <v>East</v>
      </c>
      <c r="BF104" s="8" t="str">
        <f>Roster!$D$2</f>
        <v>Northeast</v>
      </c>
      <c r="BG104" s="8" t="str">
        <f>Roster!$D$4</f>
        <v>North</v>
      </c>
      <c r="BH104" s="197">
        <f ca="1">IFERROR(VLOOKUP(CONCATENATE(PlayerGameData[[#This Row],[Opponent]]," ",MONTH(PlayerGameData[[#This Row],[Date]]),"/",DAY(PlayerGameData[[#This Row],[Date]]),"/",YEAR(PlayerGameData[[#This Row],[Date]])),Table35[],2,FALSE),0)</f>
        <v>1</v>
      </c>
      <c r="BI104" s="197">
        <f ca="1">IF(PlayerGameData[[#This Row],[Visible]]=1,1,1000)</f>
        <v>1</v>
      </c>
      <c r="BJ104" s="197" t="e">
        <f ca="1">_xlfn.MAXIFS(TeamGameData[Win],TeamGameData[School, Opponent,Game'#],PlayerGameData[[#This Row],[School, Opponent,Game'#]])</f>
        <v>#NAME?</v>
      </c>
      <c r="BK104" s="197" t="e">
        <f ca="1">_xlfn.MAXIFS(TeamGameData[Loss],TeamGameData[School, Opponent,Game'#],PlayerGameData[[#This Row],[School, Opponent,Game'#]])</f>
        <v>#NAME?</v>
      </c>
    </row>
    <row r="105" spans="1:63" x14ac:dyDescent="0.25">
      <c r="A105" s="8" t="str">
        <f t="shared" ca="1" si="63"/>
        <v>Chase Mills, 5</v>
      </c>
      <c r="B105" s="8" t="str">
        <f>Roster!$B$1</f>
        <v>Upton</v>
      </c>
      <c r="C105" s="8" t="str">
        <f t="shared" ca="1" si="51"/>
        <v>Little Snake River</v>
      </c>
      <c r="D105" s="10">
        <f t="shared" ca="1" si="52"/>
        <v>44912</v>
      </c>
      <c r="E105" s="8">
        <f t="shared" ca="1" si="53"/>
        <v>1</v>
      </c>
      <c r="F105" s="8">
        <f t="shared" ca="1" si="54"/>
        <v>1</v>
      </c>
      <c r="G105" s="8">
        <f t="shared" ca="1" si="55"/>
        <v>31</v>
      </c>
      <c r="H105" s="8">
        <f t="shared" ca="1" si="56"/>
        <v>2</v>
      </c>
      <c r="I105" s="8">
        <f t="shared" ca="1" si="57"/>
        <v>8</v>
      </c>
      <c r="J105" s="8">
        <f t="shared" ca="1" si="58"/>
        <v>4</v>
      </c>
      <c r="K105" s="8">
        <f t="shared" ca="1" si="59"/>
        <v>8</v>
      </c>
      <c r="L105" s="8">
        <f t="shared" ca="1" si="64"/>
        <v>4</v>
      </c>
      <c r="M105" s="8">
        <f t="shared" ca="1" si="65"/>
        <v>4</v>
      </c>
      <c r="N105" s="8">
        <f t="shared" ca="1" si="66"/>
        <v>1</v>
      </c>
      <c r="O105" s="8">
        <f t="shared" ca="1" si="67"/>
        <v>1</v>
      </c>
      <c r="P105" s="8">
        <f t="shared" ca="1" si="68"/>
        <v>4</v>
      </c>
      <c r="Q105" s="8">
        <f t="shared" ca="1" si="69"/>
        <v>4</v>
      </c>
      <c r="R105" s="8">
        <f t="shared" ca="1" si="70"/>
        <v>0</v>
      </c>
      <c r="S105" s="8">
        <f t="shared" ca="1" si="71"/>
        <v>2</v>
      </c>
      <c r="T105" s="8">
        <f t="shared" ca="1" si="72"/>
        <v>3</v>
      </c>
      <c r="U105" s="8">
        <f t="shared" ca="1" si="73"/>
        <v>0</v>
      </c>
      <c r="V105" s="8">
        <f t="shared" ca="1" si="74"/>
        <v>18</v>
      </c>
      <c r="W105" s="11">
        <f t="shared" ca="1" si="75"/>
        <v>0.25</v>
      </c>
      <c r="X105" s="11">
        <f t="shared" ca="1" si="76"/>
        <v>0.5</v>
      </c>
      <c r="Y105" s="11">
        <f t="shared" ca="1" si="77"/>
        <v>1</v>
      </c>
      <c r="Z105" s="11">
        <f t="shared" ca="1" si="78"/>
        <v>0.375</v>
      </c>
      <c r="AA105" s="11">
        <f t="shared" ca="1" si="79"/>
        <v>0.4375</v>
      </c>
      <c r="AB105" s="47">
        <f ca="1">PlayerGameData[[#This Row],[3FGA]]+PlayerGameData[[#This Row],[2FGA]]</f>
        <v>16</v>
      </c>
      <c r="AC105" s="47">
        <f ca="1">PlayerGameData[[#This Row],[OFF REB]]+PlayerGameData[[#This Row],[DEF REB]]</f>
        <v>2</v>
      </c>
      <c r="AD105" s="8">
        <f t="shared" si="60"/>
        <v>5</v>
      </c>
      <c r="AE105" s="8" t="str">
        <f t="shared" ca="1" si="61"/>
        <v>Chase Mills, 5 - Little Snake River 12/17/2022</v>
      </c>
      <c r="AF105" s="8" t="str">
        <f t="shared" ca="1" si="80"/>
        <v/>
      </c>
      <c r="AG105" s="8" t="str">
        <f ca="1">IFERROR(IF(C105=0,"",IF(AND(VLOOKUP(PlayerGameData[[#This Row],[Opponent]],WYTeamInfo,2,FALSE)=Roster!$D$1,VLOOKUP(PlayerGameData[[#This Row],[Opponent]],WYTeamInfo,3,FALSE)=Roster!$D$2),"SR","")),"")</f>
        <v/>
      </c>
      <c r="AH105" s="8" t="str">
        <f>CONCATENATE(Roster!$D$1," ",Roster!$D$5)</f>
        <v>1A BB</v>
      </c>
      <c r="AI105" s="8" t="str">
        <f t="shared" ca="1" si="62"/>
        <v>Upton - Little Snake River 12/17/2022</v>
      </c>
      <c r="AJ105" s="8">
        <f ca="1">IFERROR(VLOOKUP(PlayerGameData[[#This Row],[School, Opponent,Game'#]],Table3[],2,FALSE),0)</f>
        <v>1</v>
      </c>
      <c r="AK105" s="8">
        <f ca="1">IF(PlayerGameData[[#This Row],[Visible]]=1,1,1000)</f>
        <v>1</v>
      </c>
      <c r="AL105" s="8">
        <f ca="1">RANK(PlayerGameData[[#This Row],[TL PTS]],PlayerGameData[TL PTS],0)+PlayerGameData[[#This Row],[VisibleOrder]]</f>
        <v>13</v>
      </c>
      <c r="AM105" s="8">
        <f ca="1">IF(COUNTIF(PlayerGameData[PointOrder],PlayerGameData[[#This Row],[PointOrder]])&gt;1,RANK(PlayerGameData[[#This Row],[FGA]],PlayerGameData[FGA],0)/100,0)+PlayerGameData[[#This Row],[PointOrder]]</f>
        <v>13.05</v>
      </c>
      <c r="AN105" s="8">
        <f ca="1">RANK(PlayerGameData[[#This Row],[PointTieBreak]],PlayerGameData[PointTieBreak],1)</f>
        <v>12</v>
      </c>
      <c r="AO105" s="8">
        <f ca="1">RANK(PlayerGameData[[#This Row],[REB]],PlayerGameData[REB],0)+PlayerGameData[[#This Row],[VisibleOrder]]</f>
        <v>137</v>
      </c>
      <c r="AP105" s="8">
        <f ca="1">IF(COUNTIF(PlayerGameData[REBOrder],PlayerGameData[[#This Row],[REBOrder]])&gt;1,PlayerGameData[[#This Row],[PointRank]]/100+PlayerGameData[[#This Row],[REBOrder]],PlayerGameData[[#This Row],[REBOrder]])</f>
        <v>137.12</v>
      </c>
      <c r="AQ105" s="8">
        <f ca="1">RANK(PlayerGameData[[#This Row],[REBTieBreak]],PlayerGameData[REBTieBreak],1)</f>
        <v>137</v>
      </c>
      <c r="AR105" s="8">
        <f ca="1">RANK(PlayerGameData[[#This Row],[AST]],PlayerGameData[AST],0)+PlayerGameData[[#This Row],[VisibleOrder]]</f>
        <v>24</v>
      </c>
      <c r="AS105" s="8">
        <f ca="1">IF(COUNTIF(PlayerGameData[ASTOrder],PlayerGameData[[#This Row],[ASTOrder]])&gt;1,PlayerGameData[[#This Row],[PointRank]]/100+PlayerGameData[[#This Row],[ASTOrder]],PlayerGameData[[#This Row],[ASTOrder]])</f>
        <v>24.12</v>
      </c>
      <c r="AT105" s="8">
        <f ca="1">RANK(PlayerGameData[[#This Row],[ASTTieBreak]],PlayerGameData[ASTTieBreak],1)</f>
        <v>24</v>
      </c>
      <c r="AU105" s="8">
        <f ca="1">RANK(PlayerGameData[[#This Row],[STL]],PlayerGameData[STL],0)+PlayerGameData[[#This Row],[VisibleOrder]]</f>
        <v>10</v>
      </c>
      <c r="AV105" s="8">
        <f ca="1">IF(COUNTIF(PlayerGameData[STLOrder],PlayerGameData[[#This Row],[STLOrder]])&gt;1,PlayerGameData[[#This Row],[PointRank]]/100+PlayerGameData[[#This Row],[STLOrder]],PlayerGameData[[#This Row],[STLOrder]])</f>
        <v>10.119999999999999</v>
      </c>
      <c r="AW105" s="8">
        <f ca="1">RANK(PlayerGameData[[#This Row],[STLTieBreak]],PlayerGameData[STLTieBreak],1)</f>
        <v>11</v>
      </c>
      <c r="AX105" s="8">
        <f ca="1">RANK(PlayerGameData[[#This Row],[BLK]],PlayerGameData[BLK],0)+PlayerGameData[[#This Row],[VisibleOrder]]</f>
        <v>32</v>
      </c>
      <c r="AY105" s="8">
        <f ca="1">IF(COUNTIF(PlayerGameData[BLKOrder],PlayerGameData[[#This Row],[BLKOrder]])&gt;1,PlayerGameData[[#This Row],[PointRank]]/100+PlayerGameData[[#This Row],[BLKOrder]],PlayerGameData[[#This Row],[BLKOrder]])</f>
        <v>32.119999999999997</v>
      </c>
      <c r="AZ105" s="8">
        <f ca="1">RANK(PlayerGameData[[#This Row],[BLKTieBreak]],PlayerGameData[BLKTieBreak],1)</f>
        <v>40</v>
      </c>
      <c r="BA105" s="11">
        <f ca="1">IFERROR(IF(PlayerGameData[[#This Row],[FGA]]&gt;$AA$5,PlayerGameData[[#This Row],[FG%*]],PlayerGameData[[#This Row],[FG%*]]*-1),-2)</f>
        <v>0.375</v>
      </c>
      <c r="BB105" s="8">
        <f ca="1">RANK(PlayerGameData[[#This Row],[EligFG]],PlayerGameData[EligFG],0)+PlayerGameData[[#This Row],[VisibleOrder]]</f>
        <v>73</v>
      </c>
      <c r="BC105" s="8">
        <f ca="1">IF(COUNTIF(PlayerGameData[EligFGOrder],PlayerGameData[[#This Row],[EligFGOrder]])&gt;1,PlayerGameData[[#This Row],[PointRank]]/100+PlayerGameData[[#This Row],[EligFGOrder]],PlayerGameData[[#This Row],[EligFGOrder]])</f>
        <v>73.12</v>
      </c>
      <c r="BD105" s="8">
        <f ca="1">RANK(PlayerGameData[[#This Row],[EligFGTieBreak]],PlayerGameData[EligFGTieBreak],1)</f>
        <v>72</v>
      </c>
      <c r="BE105" s="8" t="str">
        <f>Roster!$D$3</f>
        <v>East</v>
      </c>
      <c r="BF105" s="8" t="str">
        <f>Roster!$D$2</f>
        <v>Northeast</v>
      </c>
      <c r="BG105" s="8" t="str">
        <f>Roster!$D$4</f>
        <v>North</v>
      </c>
      <c r="BH105" s="197">
        <f ca="1">IFERROR(VLOOKUP(CONCATENATE(PlayerGameData[[#This Row],[Opponent]]," ",MONTH(PlayerGameData[[#This Row],[Date]]),"/",DAY(PlayerGameData[[#This Row],[Date]]),"/",YEAR(PlayerGameData[[#This Row],[Date]])),Table35[],2,FALSE),0)</f>
        <v>1</v>
      </c>
      <c r="BI105" s="197">
        <f ca="1">IF(PlayerGameData[[#This Row],[Visible]]=1,1,1000)</f>
        <v>1</v>
      </c>
      <c r="BJ105" s="197" t="e">
        <f ca="1">_xlfn.MAXIFS(TeamGameData[Win],TeamGameData[School, Opponent,Game'#],PlayerGameData[[#This Row],[School, Opponent,Game'#]])</f>
        <v>#NAME?</v>
      </c>
      <c r="BK105" s="197" t="e">
        <f ca="1">_xlfn.MAXIFS(TeamGameData[Loss],TeamGameData[School, Opponent,Game'#],PlayerGameData[[#This Row],[School, Opponent,Game'#]])</f>
        <v>#NAME?</v>
      </c>
    </row>
    <row r="106" spans="1:63" x14ac:dyDescent="0.25">
      <c r="A106" s="8" t="str">
        <f t="shared" ca="1" si="63"/>
        <v>Rhett Watt, 10</v>
      </c>
      <c r="B106" s="8" t="str">
        <f>Roster!$B$1</f>
        <v>Upton</v>
      </c>
      <c r="C106" s="8" t="str">
        <f t="shared" ca="1" si="51"/>
        <v>Little Snake River</v>
      </c>
      <c r="D106" s="10">
        <f t="shared" ca="1" si="52"/>
        <v>44912</v>
      </c>
      <c r="E106" s="8">
        <f t="shared" ca="1" si="53"/>
        <v>1</v>
      </c>
      <c r="F106" s="8">
        <f t="shared" ca="1" si="54"/>
        <v>1</v>
      </c>
      <c r="G106" s="8">
        <f t="shared" ca="1" si="55"/>
        <v>27</v>
      </c>
      <c r="H106" s="8">
        <f t="shared" ca="1" si="56"/>
        <v>0</v>
      </c>
      <c r="I106" s="8">
        <f t="shared" ca="1" si="57"/>
        <v>3</v>
      </c>
      <c r="J106" s="8">
        <f t="shared" ca="1" si="58"/>
        <v>2</v>
      </c>
      <c r="K106" s="8">
        <f t="shared" ca="1" si="59"/>
        <v>4</v>
      </c>
      <c r="L106" s="8">
        <f t="shared" ca="1" si="64"/>
        <v>1</v>
      </c>
      <c r="M106" s="8">
        <f t="shared" ca="1" si="65"/>
        <v>3</v>
      </c>
      <c r="N106" s="8">
        <f t="shared" ca="1" si="66"/>
        <v>0</v>
      </c>
      <c r="O106" s="8">
        <f t="shared" ca="1" si="67"/>
        <v>4</v>
      </c>
      <c r="P106" s="8">
        <f t="shared" ca="1" si="68"/>
        <v>3</v>
      </c>
      <c r="Q106" s="8">
        <f t="shared" ca="1" si="69"/>
        <v>1</v>
      </c>
      <c r="R106" s="8">
        <f t="shared" ca="1" si="70"/>
        <v>0</v>
      </c>
      <c r="S106" s="8">
        <f t="shared" ca="1" si="71"/>
        <v>6</v>
      </c>
      <c r="T106" s="8">
        <f t="shared" ca="1" si="72"/>
        <v>0</v>
      </c>
      <c r="U106" s="8">
        <f t="shared" ca="1" si="73"/>
        <v>0</v>
      </c>
      <c r="V106" s="8">
        <f t="shared" ca="1" si="74"/>
        <v>5</v>
      </c>
      <c r="W106" s="11">
        <f t="shared" ca="1" si="75"/>
        <v>0</v>
      </c>
      <c r="X106" s="11">
        <f t="shared" ca="1" si="76"/>
        <v>0.5</v>
      </c>
      <c r="Y106" s="11">
        <f t="shared" ca="1" si="77"/>
        <v>0.33333333333333331</v>
      </c>
      <c r="Z106" s="11">
        <f t="shared" ca="1" si="78"/>
        <v>0.2857142857142857</v>
      </c>
      <c r="AA106" s="11">
        <f t="shared" ca="1" si="79"/>
        <v>0.2857142857142857</v>
      </c>
      <c r="AB106" s="47">
        <f ca="1">PlayerGameData[[#This Row],[3FGA]]+PlayerGameData[[#This Row],[2FGA]]</f>
        <v>7</v>
      </c>
      <c r="AC106" s="47">
        <f ca="1">PlayerGameData[[#This Row],[OFF REB]]+PlayerGameData[[#This Row],[DEF REB]]</f>
        <v>4</v>
      </c>
      <c r="AD106" s="8">
        <f t="shared" si="60"/>
        <v>5</v>
      </c>
      <c r="AE106" s="8" t="str">
        <f t="shared" ca="1" si="61"/>
        <v>Rhett Watt, 10 - Little Snake River 12/17/2022</v>
      </c>
      <c r="AF106" s="8" t="str">
        <f t="shared" ca="1" si="80"/>
        <v/>
      </c>
      <c r="AG106" s="8" t="str">
        <f ca="1">IFERROR(IF(C106=0,"",IF(AND(VLOOKUP(PlayerGameData[[#This Row],[Opponent]],WYTeamInfo,2,FALSE)=Roster!$D$1,VLOOKUP(PlayerGameData[[#This Row],[Opponent]],WYTeamInfo,3,FALSE)=Roster!$D$2),"SR","")),"")</f>
        <v/>
      </c>
      <c r="AH106" s="8" t="str">
        <f>CONCATENATE(Roster!$D$1," ",Roster!$D$5)</f>
        <v>1A BB</v>
      </c>
      <c r="AI106" s="8" t="str">
        <f t="shared" ca="1" si="62"/>
        <v>Upton - Little Snake River 12/17/2022</v>
      </c>
      <c r="AJ106" s="8">
        <f ca="1">IFERROR(VLOOKUP(PlayerGameData[[#This Row],[School, Opponent,Game'#]],Table3[],2,FALSE),0)</f>
        <v>1</v>
      </c>
      <c r="AK106" s="8">
        <f ca="1">IF(PlayerGameData[[#This Row],[Visible]]=1,1,1000)</f>
        <v>1</v>
      </c>
      <c r="AL106" s="8">
        <f ca="1">RANK(PlayerGameData[[#This Row],[TL PTS]],PlayerGameData[TL PTS],0)+PlayerGameData[[#This Row],[VisibleOrder]]</f>
        <v>110</v>
      </c>
      <c r="AM106" s="8">
        <f ca="1">IF(COUNTIF(PlayerGameData[PointOrder],PlayerGameData[[#This Row],[PointOrder]])&gt;1,RANK(PlayerGameData[[#This Row],[FGA]],PlayerGameData[FGA],0)/100,0)+PlayerGameData[[#This Row],[PointOrder]]</f>
        <v>110.93</v>
      </c>
      <c r="AN106" s="8">
        <f ca="1">RANK(PlayerGameData[[#This Row],[PointTieBreak]],PlayerGameData[PointTieBreak],1)</f>
        <v>111</v>
      </c>
      <c r="AO106" s="8">
        <f ca="1">RANK(PlayerGameData[[#This Row],[REB]],PlayerGameData[REB],0)+PlayerGameData[[#This Row],[VisibleOrder]]</f>
        <v>79</v>
      </c>
      <c r="AP106" s="8">
        <f ca="1">IF(COUNTIF(PlayerGameData[REBOrder],PlayerGameData[[#This Row],[REBOrder]])&gt;1,PlayerGameData[[#This Row],[PointRank]]/100+PlayerGameData[[#This Row],[REBOrder]],PlayerGameData[[#This Row],[REBOrder]])</f>
        <v>80.11</v>
      </c>
      <c r="AQ106" s="8">
        <f ca="1">RANK(PlayerGameData[[#This Row],[REBTieBreak]],PlayerGameData[REBTieBreak],1)</f>
        <v>96</v>
      </c>
      <c r="AR106" s="8">
        <f ca="1">RANK(PlayerGameData[[#This Row],[AST]],PlayerGameData[AST],0)+PlayerGameData[[#This Row],[VisibleOrder]]</f>
        <v>39</v>
      </c>
      <c r="AS106" s="8">
        <f ca="1">IF(COUNTIF(PlayerGameData[ASTOrder],PlayerGameData[[#This Row],[ASTOrder]])&gt;1,PlayerGameData[[#This Row],[PointRank]]/100+PlayerGameData[[#This Row],[ASTOrder]],PlayerGameData[[#This Row],[ASTOrder]])</f>
        <v>40.11</v>
      </c>
      <c r="AT106" s="8">
        <f ca="1">RANK(PlayerGameData[[#This Row],[ASTTieBreak]],PlayerGameData[ASTTieBreak],1)</f>
        <v>58</v>
      </c>
      <c r="AU106" s="8">
        <f ca="1">RANK(PlayerGameData[[#This Row],[STL]],PlayerGameData[STL],0)+PlayerGameData[[#This Row],[VisibleOrder]]</f>
        <v>84</v>
      </c>
      <c r="AV106" s="8">
        <f ca="1">IF(COUNTIF(PlayerGameData[STLOrder],PlayerGameData[[#This Row],[STLOrder]])&gt;1,PlayerGameData[[#This Row],[PointRank]]/100+PlayerGameData[[#This Row],[STLOrder]],PlayerGameData[[#This Row],[STLOrder]])</f>
        <v>85.11</v>
      </c>
      <c r="AW106" s="8">
        <f ca="1">RANK(PlayerGameData[[#This Row],[STLTieBreak]],PlayerGameData[STLTieBreak],1)</f>
        <v>112</v>
      </c>
      <c r="AX106" s="8">
        <f ca="1">RANK(PlayerGameData[[#This Row],[BLK]],PlayerGameData[BLK],0)+PlayerGameData[[#This Row],[VisibleOrder]]</f>
        <v>32</v>
      </c>
      <c r="AY106" s="8">
        <f ca="1">IF(COUNTIF(PlayerGameData[BLKOrder],PlayerGameData[[#This Row],[BLKOrder]])&gt;1,PlayerGameData[[#This Row],[PointRank]]/100+PlayerGameData[[#This Row],[BLKOrder]],PlayerGameData[[#This Row],[BLKOrder]])</f>
        <v>33.11</v>
      </c>
      <c r="AZ106" s="8">
        <f ca="1">RANK(PlayerGameData[[#This Row],[BLKTieBreak]],PlayerGameData[BLKTieBreak],1)</f>
        <v>117</v>
      </c>
      <c r="BA106" s="11">
        <f ca="1">IFERROR(IF(PlayerGameData[[#This Row],[FGA]]&gt;$AA$5,PlayerGameData[[#This Row],[FG%*]],PlayerGameData[[#This Row],[FG%*]]*-1),-2)</f>
        <v>0.2857142857142857</v>
      </c>
      <c r="BB106" s="8">
        <f ca="1">RANK(PlayerGameData[[#This Row],[EligFG]],PlayerGameData[EligFG],0)+PlayerGameData[[#This Row],[VisibleOrder]]</f>
        <v>90</v>
      </c>
      <c r="BC106" s="8">
        <f ca="1">IF(COUNTIF(PlayerGameData[EligFGOrder],PlayerGameData[[#This Row],[EligFGOrder]])&gt;1,PlayerGameData[[#This Row],[PointRank]]/100+PlayerGameData[[#This Row],[EligFGOrder]],PlayerGameData[[#This Row],[EligFGOrder]])</f>
        <v>91.11</v>
      </c>
      <c r="BD106" s="8">
        <f ca="1">RANK(PlayerGameData[[#This Row],[EligFGTieBreak]],PlayerGameData[EligFGTieBreak],1)</f>
        <v>90</v>
      </c>
      <c r="BE106" s="8" t="str">
        <f>Roster!$D$3</f>
        <v>East</v>
      </c>
      <c r="BF106" s="8" t="str">
        <f>Roster!$D$2</f>
        <v>Northeast</v>
      </c>
      <c r="BG106" s="8" t="str">
        <f>Roster!$D$4</f>
        <v>North</v>
      </c>
      <c r="BH106" s="197">
        <f ca="1">IFERROR(VLOOKUP(CONCATENATE(PlayerGameData[[#This Row],[Opponent]]," ",MONTH(PlayerGameData[[#This Row],[Date]]),"/",DAY(PlayerGameData[[#This Row],[Date]]),"/",YEAR(PlayerGameData[[#This Row],[Date]])),Table35[],2,FALSE),0)</f>
        <v>1</v>
      </c>
      <c r="BI106" s="197">
        <f ca="1">IF(PlayerGameData[[#This Row],[Visible]]=1,1,1000)</f>
        <v>1</v>
      </c>
      <c r="BJ106" s="197" t="e">
        <f ca="1">_xlfn.MAXIFS(TeamGameData[Win],TeamGameData[School, Opponent,Game'#],PlayerGameData[[#This Row],[School, Opponent,Game'#]])</f>
        <v>#NAME?</v>
      </c>
      <c r="BK106" s="197" t="e">
        <f ca="1">_xlfn.MAXIFS(TeamGameData[Loss],TeamGameData[School, Opponent,Game'#],PlayerGameData[[#This Row],[School, Opponent,Game'#]])</f>
        <v>#NAME?</v>
      </c>
    </row>
    <row r="107" spans="1:63" x14ac:dyDescent="0.25">
      <c r="A107" s="8" t="str">
        <f t="shared" ca="1" si="63"/>
        <v>Keith Coburn, 11</v>
      </c>
      <c r="B107" s="8" t="str">
        <f>Roster!$B$1</f>
        <v>Upton</v>
      </c>
      <c r="C107" s="8" t="str">
        <f t="shared" ca="1" si="51"/>
        <v>Little Snake River</v>
      </c>
      <c r="D107" s="10">
        <f t="shared" ca="1" si="52"/>
        <v>44912</v>
      </c>
      <c r="E107" s="8">
        <f t="shared" ca="1" si="53"/>
        <v>0</v>
      </c>
      <c r="F107" s="8">
        <f t="shared" ca="1" si="54"/>
        <v>0</v>
      </c>
      <c r="G107" s="8">
        <f t="shared" ca="1" si="55"/>
        <v>0</v>
      </c>
      <c r="H107" s="8">
        <f t="shared" ca="1" si="56"/>
        <v>0</v>
      </c>
      <c r="I107" s="8">
        <f t="shared" ca="1" si="57"/>
        <v>0</v>
      </c>
      <c r="J107" s="8">
        <f t="shared" ca="1" si="58"/>
        <v>0</v>
      </c>
      <c r="K107" s="8">
        <f t="shared" ca="1" si="59"/>
        <v>0</v>
      </c>
      <c r="L107" s="8">
        <f t="shared" ca="1" si="64"/>
        <v>0</v>
      </c>
      <c r="M107" s="8">
        <f t="shared" ca="1" si="65"/>
        <v>0</v>
      </c>
      <c r="N107" s="8">
        <f t="shared" ca="1" si="66"/>
        <v>0</v>
      </c>
      <c r="O107" s="8">
        <f t="shared" ca="1" si="67"/>
        <v>0</v>
      </c>
      <c r="P107" s="8">
        <f t="shared" ca="1" si="68"/>
        <v>0</v>
      </c>
      <c r="Q107" s="8">
        <f t="shared" ca="1" si="69"/>
        <v>0</v>
      </c>
      <c r="R107" s="8">
        <f t="shared" ca="1" si="70"/>
        <v>0</v>
      </c>
      <c r="S107" s="8">
        <f t="shared" ca="1" si="71"/>
        <v>0</v>
      </c>
      <c r="T107" s="8">
        <f t="shared" ca="1" si="72"/>
        <v>0</v>
      </c>
      <c r="U107" s="8">
        <f t="shared" ca="1" si="73"/>
        <v>0</v>
      </c>
      <c r="V107" s="8">
        <f t="shared" ca="1" si="74"/>
        <v>0</v>
      </c>
      <c r="W107" s="11" t="str">
        <f t="shared" ca="1" si="75"/>
        <v/>
      </c>
      <c r="X107" s="11" t="str">
        <f t="shared" ca="1" si="76"/>
        <v/>
      </c>
      <c r="Y107" s="11" t="str">
        <f t="shared" ca="1" si="77"/>
        <v/>
      </c>
      <c r="Z107" s="11" t="str">
        <f t="shared" ca="1" si="78"/>
        <v/>
      </c>
      <c r="AA107" s="11" t="str">
        <f t="shared" ca="1" si="79"/>
        <v/>
      </c>
      <c r="AB107" s="47">
        <f ca="1">PlayerGameData[[#This Row],[3FGA]]+PlayerGameData[[#This Row],[2FGA]]</f>
        <v>0</v>
      </c>
      <c r="AC107" s="47">
        <f ca="1">PlayerGameData[[#This Row],[OFF REB]]+PlayerGameData[[#This Row],[DEF REB]]</f>
        <v>0</v>
      </c>
      <c r="AD107" s="8">
        <f t="shared" si="60"/>
        <v>5</v>
      </c>
      <c r="AE107" s="8" t="str">
        <f t="shared" ca="1" si="61"/>
        <v>Keith Coburn, 11 - Little Snake River 12/17/2022</v>
      </c>
      <c r="AF107" s="8" t="str">
        <f t="shared" ca="1" si="80"/>
        <v/>
      </c>
      <c r="AG107" s="8" t="str">
        <f ca="1">IFERROR(IF(C107=0,"",IF(AND(VLOOKUP(PlayerGameData[[#This Row],[Opponent]],WYTeamInfo,2,FALSE)=Roster!$D$1,VLOOKUP(PlayerGameData[[#This Row],[Opponent]],WYTeamInfo,3,FALSE)=Roster!$D$2),"SR","")),"")</f>
        <v/>
      </c>
      <c r="AH107" s="8" t="str">
        <f>CONCATENATE(Roster!$D$1," ",Roster!$D$5)</f>
        <v>1A BB</v>
      </c>
      <c r="AI107" s="8" t="str">
        <f t="shared" ca="1" si="62"/>
        <v>Upton - Little Snake River 12/17/2022</v>
      </c>
      <c r="AJ107" s="8">
        <f ca="1">IFERROR(VLOOKUP(PlayerGameData[[#This Row],[School, Opponent,Game'#]],Table3[],2,FALSE),0)</f>
        <v>1</v>
      </c>
      <c r="AK107" s="8">
        <f ca="1">IF(PlayerGameData[[#This Row],[Visible]]=1,1,1000)</f>
        <v>1</v>
      </c>
      <c r="AL107" s="8">
        <f ca="1">RANK(PlayerGameData[[#This Row],[TL PTS]],PlayerGameData[TL PTS],0)+PlayerGameData[[#This Row],[VisibleOrder]]</f>
        <v>185</v>
      </c>
      <c r="AM107" s="8">
        <f ca="1">IF(COUNTIF(PlayerGameData[PointOrder],PlayerGameData[[#This Row],[PointOrder]])&gt;1,RANK(PlayerGameData[[#This Row],[FGA]],PlayerGameData[FGA],0)/100,0)+PlayerGameData[[#This Row],[PointOrder]]</f>
        <v>187.14</v>
      </c>
      <c r="AN107" s="8">
        <f ca="1">RANK(PlayerGameData[[#This Row],[PointTieBreak]],PlayerGameData[PointTieBreak],1)</f>
        <v>216</v>
      </c>
      <c r="AO107" s="8">
        <f ca="1">RANK(PlayerGameData[[#This Row],[REB]],PlayerGameData[REB],0)+PlayerGameData[[#This Row],[VisibleOrder]]</f>
        <v>192</v>
      </c>
      <c r="AP107" s="8">
        <f ca="1">IF(COUNTIF(PlayerGameData[REBOrder],PlayerGameData[[#This Row],[REBOrder]])&gt;1,PlayerGameData[[#This Row],[PointRank]]/100+PlayerGameData[[#This Row],[REBOrder]],PlayerGameData[[#This Row],[REBOrder]])</f>
        <v>194.16</v>
      </c>
      <c r="AQ107" s="8">
        <f ca="1">RANK(PlayerGameData[[#This Row],[REBTieBreak]],PlayerGameData[REBTieBreak],1)</f>
        <v>224</v>
      </c>
      <c r="AR107" s="8">
        <f ca="1">RANK(PlayerGameData[[#This Row],[AST]],PlayerGameData[AST],0)+PlayerGameData[[#This Row],[VisibleOrder]]</f>
        <v>158</v>
      </c>
      <c r="AS107" s="8">
        <f ca="1">IF(COUNTIF(PlayerGameData[ASTOrder],PlayerGameData[[#This Row],[ASTOrder]])&gt;1,PlayerGameData[[#This Row],[PointRank]]/100+PlayerGameData[[#This Row],[ASTOrder]],PlayerGameData[[#This Row],[ASTOrder]])</f>
        <v>160.16</v>
      </c>
      <c r="AT107" s="8">
        <f ca="1">RANK(PlayerGameData[[#This Row],[ASTTieBreak]],PlayerGameData[ASTTieBreak],1)</f>
        <v>221</v>
      </c>
      <c r="AU107" s="8">
        <f ca="1">RANK(PlayerGameData[[#This Row],[STL]],PlayerGameData[STL],0)+PlayerGameData[[#This Row],[VisibleOrder]]</f>
        <v>143</v>
      </c>
      <c r="AV107" s="8">
        <f ca="1">IF(COUNTIF(PlayerGameData[STLOrder],PlayerGameData[[#This Row],[STLOrder]])&gt;1,PlayerGameData[[#This Row],[PointRank]]/100+PlayerGameData[[#This Row],[STLOrder]],PlayerGameData[[#This Row],[STLOrder]])</f>
        <v>145.16</v>
      </c>
      <c r="AW107" s="8">
        <f ca="1">RANK(PlayerGameData[[#This Row],[STLTieBreak]],PlayerGameData[STLTieBreak],1)</f>
        <v>217</v>
      </c>
      <c r="AX107" s="8">
        <f ca="1">RANK(PlayerGameData[[#This Row],[BLK]],PlayerGameData[BLK],0)+PlayerGameData[[#This Row],[VisibleOrder]]</f>
        <v>32</v>
      </c>
      <c r="AY107" s="8">
        <f ca="1">IF(COUNTIF(PlayerGameData[BLKOrder],PlayerGameData[[#This Row],[BLKOrder]])&gt;1,PlayerGameData[[#This Row],[PointRank]]/100+PlayerGameData[[#This Row],[BLKOrder]],PlayerGameData[[#This Row],[BLKOrder]])</f>
        <v>34.159999999999997</v>
      </c>
      <c r="AZ107" s="8">
        <f ca="1">RANK(PlayerGameData[[#This Row],[BLKTieBreak]],PlayerGameData[BLKTieBreak],1)</f>
        <v>216</v>
      </c>
      <c r="BA107" s="11">
        <f ca="1">IFERROR(IF(PlayerGameData[[#This Row],[FGA]]&gt;$AA$5,PlayerGameData[[#This Row],[FG%*]],PlayerGameData[[#This Row],[FG%*]]*-1),-2)</f>
        <v>-2</v>
      </c>
      <c r="BB107" s="8">
        <f ca="1">RANK(PlayerGameData[[#This Row],[EligFG]],PlayerGameData[EligFG],0)+PlayerGameData[[#This Row],[VisibleOrder]]</f>
        <v>215</v>
      </c>
      <c r="BC107" s="8">
        <f ca="1">IF(COUNTIF(PlayerGameData[EligFGOrder],PlayerGameData[[#This Row],[EligFGOrder]])&gt;1,PlayerGameData[[#This Row],[PointRank]]/100+PlayerGameData[[#This Row],[EligFGOrder]],PlayerGameData[[#This Row],[EligFGOrder]])</f>
        <v>217.16</v>
      </c>
      <c r="BD107" s="8">
        <f ca="1">RANK(PlayerGameData[[#This Row],[EligFGTieBreak]],PlayerGameData[EligFGTieBreak],1)</f>
        <v>216</v>
      </c>
      <c r="BE107" s="8" t="str">
        <f>Roster!$D$3</f>
        <v>East</v>
      </c>
      <c r="BF107" s="8" t="str">
        <f>Roster!$D$2</f>
        <v>Northeast</v>
      </c>
      <c r="BG107" s="8" t="str">
        <f>Roster!$D$4</f>
        <v>North</v>
      </c>
      <c r="BH107" s="197">
        <f ca="1">IFERROR(VLOOKUP(CONCATENATE(PlayerGameData[[#This Row],[Opponent]]," ",MONTH(PlayerGameData[[#This Row],[Date]]),"/",DAY(PlayerGameData[[#This Row],[Date]]),"/",YEAR(PlayerGameData[[#This Row],[Date]])),Table35[],2,FALSE),0)</f>
        <v>1</v>
      </c>
      <c r="BI107" s="197">
        <f ca="1">IF(PlayerGameData[[#This Row],[Visible]]=1,1,1000)</f>
        <v>1</v>
      </c>
      <c r="BJ107" s="197" t="e">
        <f ca="1">_xlfn.MAXIFS(TeamGameData[Win],TeamGameData[School, Opponent,Game'#],PlayerGameData[[#This Row],[School, Opponent,Game'#]])</f>
        <v>#NAME?</v>
      </c>
      <c r="BK107" s="197" t="e">
        <f ca="1">_xlfn.MAXIFS(TeamGameData[Loss],TeamGameData[School, Opponent,Game'#],PlayerGameData[[#This Row],[School, Opponent,Game'#]])</f>
        <v>#NAME?</v>
      </c>
    </row>
    <row r="108" spans="1:63" x14ac:dyDescent="0.25">
      <c r="A108" s="8" t="str">
        <f t="shared" ca="1" si="63"/>
        <v>Carson Barritt, 14</v>
      </c>
      <c r="B108" s="8" t="str">
        <f>Roster!$B$1</f>
        <v>Upton</v>
      </c>
      <c r="C108" s="8" t="str">
        <f t="shared" ca="1" si="51"/>
        <v>Little Snake River</v>
      </c>
      <c r="D108" s="10">
        <f t="shared" ca="1" si="52"/>
        <v>44912</v>
      </c>
      <c r="E108" s="8">
        <f t="shared" ca="1" si="53"/>
        <v>0</v>
      </c>
      <c r="F108" s="8">
        <f t="shared" ca="1" si="54"/>
        <v>0</v>
      </c>
      <c r="G108" s="8">
        <f t="shared" ca="1" si="55"/>
        <v>0</v>
      </c>
      <c r="H108" s="8">
        <f t="shared" ca="1" si="56"/>
        <v>0</v>
      </c>
      <c r="I108" s="8">
        <f t="shared" ca="1" si="57"/>
        <v>0</v>
      </c>
      <c r="J108" s="8">
        <f t="shared" ca="1" si="58"/>
        <v>0</v>
      </c>
      <c r="K108" s="8">
        <f t="shared" ca="1" si="59"/>
        <v>0</v>
      </c>
      <c r="L108" s="8">
        <f t="shared" ca="1" si="64"/>
        <v>0</v>
      </c>
      <c r="M108" s="8">
        <f t="shared" ca="1" si="65"/>
        <v>0</v>
      </c>
      <c r="N108" s="8">
        <f t="shared" ca="1" si="66"/>
        <v>0</v>
      </c>
      <c r="O108" s="8">
        <f t="shared" ca="1" si="67"/>
        <v>0</v>
      </c>
      <c r="P108" s="8">
        <f t="shared" ca="1" si="68"/>
        <v>0</v>
      </c>
      <c r="Q108" s="8">
        <f t="shared" ca="1" si="69"/>
        <v>0</v>
      </c>
      <c r="R108" s="8">
        <f t="shared" ca="1" si="70"/>
        <v>0</v>
      </c>
      <c r="S108" s="8">
        <f t="shared" ca="1" si="71"/>
        <v>0</v>
      </c>
      <c r="T108" s="8">
        <f t="shared" ca="1" si="72"/>
        <v>0</v>
      </c>
      <c r="U108" s="8">
        <f t="shared" ca="1" si="73"/>
        <v>0</v>
      </c>
      <c r="V108" s="8">
        <f t="shared" ca="1" si="74"/>
        <v>0</v>
      </c>
      <c r="W108" s="11" t="str">
        <f t="shared" ca="1" si="75"/>
        <v/>
      </c>
      <c r="X108" s="11" t="str">
        <f t="shared" ca="1" si="76"/>
        <v/>
      </c>
      <c r="Y108" s="11" t="str">
        <f t="shared" ca="1" si="77"/>
        <v/>
      </c>
      <c r="Z108" s="11" t="str">
        <f t="shared" ca="1" si="78"/>
        <v/>
      </c>
      <c r="AA108" s="11" t="str">
        <f t="shared" ca="1" si="79"/>
        <v/>
      </c>
      <c r="AB108" s="47">
        <f ca="1">PlayerGameData[[#This Row],[3FGA]]+PlayerGameData[[#This Row],[2FGA]]</f>
        <v>0</v>
      </c>
      <c r="AC108" s="47">
        <f ca="1">PlayerGameData[[#This Row],[OFF REB]]+PlayerGameData[[#This Row],[DEF REB]]</f>
        <v>0</v>
      </c>
      <c r="AD108" s="8">
        <f t="shared" si="60"/>
        <v>5</v>
      </c>
      <c r="AE108" s="8" t="str">
        <f t="shared" ca="1" si="61"/>
        <v>Carson Barritt, 14 - Little Snake River 12/17/2022</v>
      </c>
      <c r="AF108" s="8" t="str">
        <f t="shared" ca="1" si="80"/>
        <v/>
      </c>
      <c r="AG108" s="8" t="str">
        <f ca="1">IFERROR(IF(C108=0,"",IF(AND(VLOOKUP(PlayerGameData[[#This Row],[Opponent]],WYTeamInfo,2,FALSE)=Roster!$D$1,VLOOKUP(PlayerGameData[[#This Row],[Opponent]],WYTeamInfo,3,FALSE)=Roster!$D$2),"SR","")),"")</f>
        <v/>
      </c>
      <c r="AH108" s="8" t="str">
        <f>CONCATENATE(Roster!$D$1," ",Roster!$D$5)</f>
        <v>1A BB</v>
      </c>
      <c r="AI108" s="8" t="str">
        <f t="shared" ca="1" si="62"/>
        <v>Upton - Little Snake River 12/17/2022</v>
      </c>
      <c r="AJ108" s="8">
        <f ca="1">IFERROR(VLOOKUP(PlayerGameData[[#This Row],[School, Opponent,Game'#]],Table3[],2,FALSE),0)</f>
        <v>1</v>
      </c>
      <c r="AK108" s="8">
        <f ca="1">IF(PlayerGameData[[#This Row],[Visible]]=1,1,1000)</f>
        <v>1</v>
      </c>
      <c r="AL108" s="8">
        <f ca="1">RANK(PlayerGameData[[#This Row],[TL PTS]],PlayerGameData[TL PTS],0)+PlayerGameData[[#This Row],[VisibleOrder]]</f>
        <v>185</v>
      </c>
      <c r="AM108" s="8">
        <f ca="1">IF(COUNTIF(PlayerGameData[PointOrder],PlayerGameData[[#This Row],[PointOrder]])&gt;1,RANK(PlayerGameData[[#This Row],[FGA]],PlayerGameData[FGA],0)/100,0)+PlayerGameData[[#This Row],[PointOrder]]</f>
        <v>187.14</v>
      </c>
      <c r="AN108" s="8">
        <f ca="1">RANK(PlayerGameData[[#This Row],[PointTieBreak]],PlayerGameData[PointTieBreak],1)</f>
        <v>216</v>
      </c>
      <c r="AO108" s="8">
        <f ca="1">RANK(PlayerGameData[[#This Row],[REB]],PlayerGameData[REB],0)+PlayerGameData[[#This Row],[VisibleOrder]]</f>
        <v>192</v>
      </c>
      <c r="AP108" s="8">
        <f ca="1">IF(COUNTIF(PlayerGameData[REBOrder],PlayerGameData[[#This Row],[REBOrder]])&gt;1,PlayerGameData[[#This Row],[PointRank]]/100+PlayerGameData[[#This Row],[REBOrder]],PlayerGameData[[#This Row],[REBOrder]])</f>
        <v>194.16</v>
      </c>
      <c r="AQ108" s="8">
        <f ca="1">RANK(PlayerGameData[[#This Row],[REBTieBreak]],PlayerGameData[REBTieBreak],1)</f>
        <v>224</v>
      </c>
      <c r="AR108" s="8">
        <f ca="1">RANK(PlayerGameData[[#This Row],[AST]],PlayerGameData[AST],0)+PlayerGameData[[#This Row],[VisibleOrder]]</f>
        <v>158</v>
      </c>
      <c r="AS108" s="8">
        <f ca="1">IF(COUNTIF(PlayerGameData[ASTOrder],PlayerGameData[[#This Row],[ASTOrder]])&gt;1,PlayerGameData[[#This Row],[PointRank]]/100+PlayerGameData[[#This Row],[ASTOrder]],PlayerGameData[[#This Row],[ASTOrder]])</f>
        <v>160.16</v>
      </c>
      <c r="AT108" s="8">
        <f ca="1">RANK(PlayerGameData[[#This Row],[ASTTieBreak]],PlayerGameData[ASTTieBreak],1)</f>
        <v>221</v>
      </c>
      <c r="AU108" s="8">
        <f ca="1">RANK(PlayerGameData[[#This Row],[STL]],PlayerGameData[STL],0)+PlayerGameData[[#This Row],[VisibleOrder]]</f>
        <v>143</v>
      </c>
      <c r="AV108" s="8">
        <f ca="1">IF(COUNTIF(PlayerGameData[STLOrder],PlayerGameData[[#This Row],[STLOrder]])&gt;1,PlayerGameData[[#This Row],[PointRank]]/100+PlayerGameData[[#This Row],[STLOrder]],PlayerGameData[[#This Row],[STLOrder]])</f>
        <v>145.16</v>
      </c>
      <c r="AW108" s="8">
        <f ca="1">RANK(PlayerGameData[[#This Row],[STLTieBreak]],PlayerGameData[STLTieBreak],1)</f>
        <v>217</v>
      </c>
      <c r="AX108" s="8">
        <f ca="1">RANK(PlayerGameData[[#This Row],[BLK]],PlayerGameData[BLK],0)+PlayerGameData[[#This Row],[VisibleOrder]]</f>
        <v>32</v>
      </c>
      <c r="AY108" s="8">
        <f ca="1">IF(COUNTIF(PlayerGameData[BLKOrder],PlayerGameData[[#This Row],[BLKOrder]])&gt;1,PlayerGameData[[#This Row],[PointRank]]/100+PlayerGameData[[#This Row],[BLKOrder]],PlayerGameData[[#This Row],[BLKOrder]])</f>
        <v>34.159999999999997</v>
      </c>
      <c r="AZ108" s="8">
        <f ca="1">RANK(PlayerGameData[[#This Row],[BLKTieBreak]],PlayerGameData[BLKTieBreak],1)</f>
        <v>216</v>
      </c>
      <c r="BA108" s="11">
        <f ca="1">IFERROR(IF(PlayerGameData[[#This Row],[FGA]]&gt;$AA$5,PlayerGameData[[#This Row],[FG%*]],PlayerGameData[[#This Row],[FG%*]]*-1),-2)</f>
        <v>-2</v>
      </c>
      <c r="BB108" s="8">
        <f ca="1">RANK(PlayerGameData[[#This Row],[EligFG]],PlayerGameData[EligFG],0)+PlayerGameData[[#This Row],[VisibleOrder]]</f>
        <v>215</v>
      </c>
      <c r="BC108" s="8">
        <f ca="1">IF(COUNTIF(PlayerGameData[EligFGOrder],PlayerGameData[[#This Row],[EligFGOrder]])&gt;1,PlayerGameData[[#This Row],[PointRank]]/100+PlayerGameData[[#This Row],[EligFGOrder]],PlayerGameData[[#This Row],[EligFGOrder]])</f>
        <v>217.16</v>
      </c>
      <c r="BD108" s="8">
        <f ca="1">RANK(PlayerGameData[[#This Row],[EligFGTieBreak]],PlayerGameData[EligFGTieBreak],1)</f>
        <v>216</v>
      </c>
      <c r="BE108" s="8" t="str">
        <f>Roster!$D$3</f>
        <v>East</v>
      </c>
      <c r="BF108" s="8" t="str">
        <f>Roster!$D$2</f>
        <v>Northeast</v>
      </c>
      <c r="BG108" s="8" t="str">
        <f>Roster!$D$4</f>
        <v>North</v>
      </c>
      <c r="BH108" s="197">
        <f ca="1">IFERROR(VLOOKUP(CONCATENATE(PlayerGameData[[#This Row],[Opponent]]," ",MONTH(PlayerGameData[[#This Row],[Date]]),"/",DAY(PlayerGameData[[#This Row],[Date]]),"/",YEAR(PlayerGameData[[#This Row],[Date]])),Table35[],2,FALSE),0)</f>
        <v>1</v>
      </c>
      <c r="BI108" s="197">
        <f ca="1">IF(PlayerGameData[[#This Row],[Visible]]=1,1,1000)</f>
        <v>1</v>
      </c>
      <c r="BJ108" s="197" t="e">
        <f ca="1">_xlfn.MAXIFS(TeamGameData[Win],TeamGameData[School, Opponent,Game'#],PlayerGameData[[#This Row],[School, Opponent,Game'#]])</f>
        <v>#NAME?</v>
      </c>
      <c r="BK108" s="197" t="e">
        <f ca="1">_xlfn.MAXIFS(TeamGameData[Loss],TeamGameData[School, Opponent,Game'#],PlayerGameData[[#This Row],[School, Opponent,Game'#]])</f>
        <v>#NAME?</v>
      </c>
    </row>
    <row r="109" spans="1:63" x14ac:dyDescent="0.25">
      <c r="A109" s="8" t="str">
        <f t="shared" ca="1" si="63"/>
        <v>Ben Carpenter, 21</v>
      </c>
      <c r="B109" s="8" t="str">
        <f>Roster!$B$1</f>
        <v>Upton</v>
      </c>
      <c r="C109" s="8" t="str">
        <f t="shared" ca="1" si="51"/>
        <v>Little Snake River</v>
      </c>
      <c r="D109" s="10">
        <f t="shared" ca="1" si="52"/>
        <v>44912</v>
      </c>
      <c r="E109" s="8">
        <f t="shared" ca="1" si="53"/>
        <v>0</v>
      </c>
      <c r="F109" s="8">
        <f t="shared" ca="1" si="54"/>
        <v>0</v>
      </c>
      <c r="G109" s="8">
        <f t="shared" ca="1" si="55"/>
        <v>0</v>
      </c>
      <c r="H109" s="8">
        <f t="shared" ca="1" si="56"/>
        <v>0</v>
      </c>
      <c r="I109" s="8">
        <f t="shared" ca="1" si="57"/>
        <v>0</v>
      </c>
      <c r="J109" s="8">
        <f t="shared" ca="1" si="58"/>
        <v>0</v>
      </c>
      <c r="K109" s="8">
        <f t="shared" ca="1" si="59"/>
        <v>0</v>
      </c>
      <c r="L109" s="8">
        <f t="shared" ca="1" si="64"/>
        <v>0</v>
      </c>
      <c r="M109" s="8">
        <f t="shared" ca="1" si="65"/>
        <v>0</v>
      </c>
      <c r="N109" s="8">
        <f t="shared" ca="1" si="66"/>
        <v>0</v>
      </c>
      <c r="O109" s="8">
        <f t="shared" ca="1" si="67"/>
        <v>0</v>
      </c>
      <c r="P109" s="8">
        <f t="shared" ca="1" si="68"/>
        <v>0</v>
      </c>
      <c r="Q109" s="8">
        <f t="shared" ca="1" si="69"/>
        <v>0</v>
      </c>
      <c r="R109" s="8">
        <f t="shared" ca="1" si="70"/>
        <v>0</v>
      </c>
      <c r="S109" s="8">
        <f t="shared" ca="1" si="71"/>
        <v>0</v>
      </c>
      <c r="T109" s="8">
        <f t="shared" ca="1" si="72"/>
        <v>0</v>
      </c>
      <c r="U109" s="8">
        <f t="shared" ca="1" si="73"/>
        <v>0</v>
      </c>
      <c r="V109" s="8">
        <f t="shared" ca="1" si="74"/>
        <v>0</v>
      </c>
      <c r="W109" s="11" t="str">
        <f t="shared" ca="1" si="75"/>
        <v/>
      </c>
      <c r="X109" s="11" t="str">
        <f t="shared" ca="1" si="76"/>
        <v/>
      </c>
      <c r="Y109" s="11" t="str">
        <f t="shared" ca="1" si="77"/>
        <v/>
      </c>
      <c r="Z109" s="11" t="str">
        <f t="shared" ca="1" si="78"/>
        <v/>
      </c>
      <c r="AA109" s="11" t="str">
        <f t="shared" ca="1" si="79"/>
        <v/>
      </c>
      <c r="AB109" s="47">
        <f ca="1">PlayerGameData[[#This Row],[3FGA]]+PlayerGameData[[#This Row],[2FGA]]</f>
        <v>0</v>
      </c>
      <c r="AC109" s="47">
        <f ca="1">PlayerGameData[[#This Row],[OFF REB]]+PlayerGameData[[#This Row],[DEF REB]]</f>
        <v>0</v>
      </c>
      <c r="AD109" s="8">
        <f t="shared" si="60"/>
        <v>5</v>
      </c>
      <c r="AE109" s="8" t="str">
        <f t="shared" ca="1" si="61"/>
        <v>Ben Carpenter, 21 - Little Snake River 12/17/2022</v>
      </c>
      <c r="AF109" s="8" t="str">
        <f t="shared" ca="1" si="80"/>
        <v/>
      </c>
      <c r="AG109" s="8" t="str">
        <f ca="1">IFERROR(IF(C109=0,"",IF(AND(VLOOKUP(PlayerGameData[[#This Row],[Opponent]],WYTeamInfo,2,FALSE)=Roster!$D$1,VLOOKUP(PlayerGameData[[#This Row],[Opponent]],WYTeamInfo,3,FALSE)=Roster!$D$2),"SR","")),"")</f>
        <v/>
      </c>
      <c r="AH109" s="8" t="str">
        <f>CONCATENATE(Roster!$D$1," ",Roster!$D$5)</f>
        <v>1A BB</v>
      </c>
      <c r="AI109" s="8" t="str">
        <f t="shared" ca="1" si="62"/>
        <v>Upton - Little Snake River 12/17/2022</v>
      </c>
      <c r="AJ109" s="8">
        <f ca="1">IFERROR(VLOOKUP(PlayerGameData[[#This Row],[School, Opponent,Game'#]],Table3[],2,FALSE),0)</f>
        <v>1</v>
      </c>
      <c r="AK109" s="8">
        <f ca="1">IF(PlayerGameData[[#This Row],[Visible]]=1,1,1000)</f>
        <v>1</v>
      </c>
      <c r="AL109" s="8">
        <f ca="1">RANK(PlayerGameData[[#This Row],[TL PTS]],PlayerGameData[TL PTS],0)+PlayerGameData[[#This Row],[VisibleOrder]]</f>
        <v>185</v>
      </c>
      <c r="AM109" s="8">
        <f ca="1">IF(COUNTIF(PlayerGameData[PointOrder],PlayerGameData[[#This Row],[PointOrder]])&gt;1,RANK(PlayerGameData[[#This Row],[FGA]],PlayerGameData[FGA],0)/100,0)+PlayerGameData[[#This Row],[PointOrder]]</f>
        <v>187.14</v>
      </c>
      <c r="AN109" s="8">
        <f ca="1">RANK(PlayerGameData[[#This Row],[PointTieBreak]],PlayerGameData[PointTieBreak],1)</f>
        <v>216</v>
      </c>
      <c r="AO109" s="8">
        <f ca="1">RANK(PlayerGameData[[#This Row],[REB]],PlayerGameData[REB],0)+PlayerGameData[[#This Row],[VisibleOrder]]</f>
        <v>192</v>
      </c>
      <c r="AP109" s="8">
        <f ca="1">IF(COUNTIF(PlayerGameData[REBOrder],PlayerGameData[[#This Row],[REBOrder]])&gt;1,PlayerGameData[[#This Row],[PointRank]]/100+PlayerGameData[[#This Row],[REBOrder]],PlayerGameData[[#This Row],[REBOrder]])</f>
        <v>194.16</v>
      </c>
      <c r="AQ109" s="8">
        <f ca="1">RANK(PlayerGameData[[#This Row],[REBTieBreak]],PlayerGameData[REBTieBreak],1)</f>
        <v>224</v>
      </c>
      <c r="AR109" s="8">
        <f ca="1">RANK(PlayerGameData[[#This Row],[AST]],PlayerGameData[AST],0)+PlayerGameData[[#This Row],[VisibleOrder]]</f>
        <v>158</v>
      </c>
      <c r="AS109" s="8">
        <f ca="1">IF(COUNTIF(PlayerGameData[ASTOrder],PlayerGameData[[#This Row],[ASTOrder]])&gt;1,PlayerGameData[[#This Row],[PointRank]]/100+PlayerGameData[[#This Row],[ASTOrder]],PlayerGameData[[#This Row],[ASTOrder]])</f>
        <v>160.16</v>
      </c>
      <c r="AT109" s="8">
        <f ca="1">RANK(PlayerGameData[[#This Row],[ASTTieBreak]],PlayerGameData[ASTTieBreak],1)</f>
        <v>221</v>
      </c>
      <c r="AU109" s="8">
        <f ca="1">RANK(PlayerGameData[[#This Row],[STL]],PlayerGameData[STL],0)+PlayerGameData[[#This Row],[VisibleOrder]]</f>
        <v>143</v>
      </c>
      <c r="AV109" s="8">
        <f ca="1">IF(COUNTIF(PlayerGameData[STLOrder],PlayerGameData[[#This Row],[STLOrder]])&gt;1,PlayerGameData[[#This Row],[PointRank]]/100+PlayerGameData[[#This Row],[STLOrder]],PlayerGameData[[#This Row],[STLOrder]])</f>
        <v>145.16</v>
      </c>
      <c r="AW109" s="8">
        <f ca="1">RANK(PlayerGameData[[#This Row],[STLTieBreak]],PlayerGameData[STLTieBreak],1)</f>
        <v>217</v>
      </c>
      <c r="AX109" s="8">
        <f ca="1">RANK(PlayerGameData[[#This Row],[BLK]],PlayerGameData[BLK],0)+PlayerGameData[[#This Row],[VisibleOrder]]</f>
        <v>32</v>
      </c>
      <c r="AY109" s="8">
        <f ca="1">IF(COUNTIF(PlayerGameData[BLKOrder],PlayerGameData[[#This Row],[BLKOrder]])&gt;1,PlayerGameData[[#This Row],[PointRank]]/100+PlayerGameData[[#This Row],[BLKOrder]],PlayerGameData[[#This Row],[BLKOrder]])</f>
        <v>34.159999999999997</v>
      </c>
      <c r="AZ109" s="8">
        <f ca="1">RANK(PlayerGameData[[#This Row],[BLKTieBreak]],PlayerGameData[BLKTieBreak],1)</f>
        <v>216</v>
      </c>
      <c r="BA109" s="11">
        <f ca="1">IFERROR(IF(PlayerGameData[[#This Row],[FGA]]&gt;$AA$5,PlayerGameData[[#This Row],[FG%*]],PlayerGameData[[#This Row],[FG%*]]*-1),-2)</f>
        <v>-2</v>
      </c>
      <c r="BB109" s="8">
        <f ca="1">RANK(PlayerGameData[[#This Row],[EligFG]],PlayerGameData[EligFG],0)+PlayerGameData[[#This Row],[VisibleOrder]]</f>
        <v>215</v>
      </c>
      <c r="BC109" s="8">
        <f ca="1">IF(COUNTIF(PlayerGameData[EligFGOrder],PlayerGameData[[#This Row],[EligFGOrder]])&gt;1,PlayerGameData[[#This Row],[PointRank]]/100+PlayerGameData[[#This Row],[EligFGOrder]],PlayerGameData[[#This Row],[EligFGOrder]])</f>
        <v>217.16</v>
      </c>
      <c r="BD109" s="8">
        <f ca="1">RANK(PlayerGameData[[#This Row],[EligFGTieBreak]],PlayerGameData[EligFGTieBreak],1)</f>
        <v>216</v>
      </c>
      <c r="BE109" s="8" t="str">
        <f>Roster!$D$3</f>
        <v>East</v>
      </c>
      <c r="BF109" s="8" t="str">
        <f>Roster!$D$2</f>
        <v>Northeast</v>
      </c>
      <c r="BG109" s="8" t="str">
        <f>Roster!$D$4</f>
        <v>North</v>
      </c>
      <c r="BH109" s="197">
        <f ca="1">IFERROR(VLOOKUP(CONCATENATE(PlayerGameData[[#This Row],[Opponent]]," ",MONTH(PlayerGameData[[#This Row],[Date]]),"/",DAY(PlayerGameData[[#This Row],[Date]]),"/",YEAR(PlayerGameData[[#This Row],[Date]])),Table35[],2,FALSE),0)</f>
        <v>1</v>
      </c>
      <c r="BI109" s="197">
        <f ca="1">IF(PlayerGameData[[#This Row],[Visible]]=1,1,1000)</f>
        <v>1</v>
      </c>
      <c r="BJ109" s="197" t="e">
        <f ca="1">_xlfn.MAXIFS(TeamGameData[Win],TeamGameData[School, Opponent,Game'#],PlayerGameData[[#This Row],[School, Opponent,Game'#]])</f>
        <v>#NAME?</v>
      </c>
      <c r="BK109" s="197" t="e">
        <f ca="1">_xlfn.MAXIFS(TeamGameData[Loss],TeamGameData[School, Opponent,Game'#],PlayerGameData[[#This Row],[School, Opponent,Game'#]])</f>
        <v>#NAME?</v>
      </c>
    </row>
    <row r="110" spans="1:63" x14ac:dyDescent="0.25">
      <c r="A110" s="8" t="str">
        <f t="shared" ca="1" si="63"/>
        <v>Ethan Schiller, 23</v>
      </c>
      <c r="B110" s="8" t="str">
        <f>Roster!$B$1</f>
        <v>Upton</v>
      </c>
      <c r="C110" s="8" t="str">
        <f t="shared" ca="1" si="51"/>
        <v>Little Snake River</v>
      </c>
      <c r="D110" s="10">
        <f t="shared" ca="1" si="52"/>
        <v>44912</v>
      </c>
      <c r="E110" s="8">
        <f t="shared" ca="1" si="53"/>
        <v>1</v>
      </c>
      <c r="F110" s="8">
        <f t="shared" ca="1" si="54"/>
        <v>1</v>
      </c>
      <c r="G110" s="8">
        <f t="shared" ca="1" si="55"/>
        <v>31</v>
      </c>
      <c r="H110" s="8">
        <f t="shared" ca="1" si="56"/>
        <v>0</v>
      </c>
      <c r="I110" s="8">
        <f t="shared" ca="1" si="57"/>
        <v>4</v>
      </c>
      <c r="J110" s="8">
        <f t="shared" ca="1" si="58"/>
        <v>2</v>
      </c>
      <c r="K110" s="8">
        <f t="shared" ca="1" si="59"/>
        <v>6</v>
      </c>
      <c r="L110" s="8">
        <f t="shared" ca="1" si="64"/>
        <v>4</v>
      </c>
      <c r="M110" s="8">
        <f t="shared" ca="1" si="65"/>
        <v>4</v>
      </c>
      <c r="N110" s="8">
        <f t="shared" ca="1" si="66"/>
        <v>3</v>
      </c>
      <c r="O110" s="8">
        <f t="shared" ca="1" si="67"/>
        <v>4</v>
      </c>
      <c r="P110" s="8">
        <f t="shared" ca="1" si="68"/>
        <v>2</v>
      </c>
      <c r="Q110" s="8">
        <f t="shared" ca="1" si="69"/>
        <v>1</v>
      </c>
      <c r="R110" s="8">
        <f t="shared" ca="1" si="70"/>
        <v>1</v>
      </c>
      <c r="S110" s="8">
        <f t="shared" ca="1" si="71"/>
        <v>3</v>
      </c>
      <c r="T110" s="8">
        <f t="shared" ca="1" si="72"/>
        <v>4</v>
      </c>
      <c r="U110" s="8">
        <f t="shared" ca="1" si="73"/>
        <v>0</v>
      </c>
      <c r="V110" s="8">
        <f t="shared" ca="1" si="74"/>
        <v>8</v>
      </c>
      <c r="W110" s="11">
        <f t="shared" ca="1" si="75"/>
        <v>0</v>
      </c>
      <c r="X110" s="11">
        <f t="shared" ca="1" si="76"/>
        <v>0.33333333333333331</v>
      </c>
      <c r="Y110" s="11">
        <f t="shared" ca="1" si="77"/>
        <v>1</v>
      </c>
      <c r="Z110" s="11">
        <f t="shared" ca="1" si="78"/>
        <v>0.2</v>
      </c>
      <c r="AA110" s="11">
        <f t="shared" ca="1" si="79"/>
        <v>0.2</v>
      </c>
      <c r="AB110" s="47">
        <f ca="1">PlayerGameData[[#This Row],[3FGA]]+PlayerGameData[[#This Row],[2FGA]]</f>
        <v>10</v>
      </c>
      <c r="AC110" s="47">
        <f ca="1">PlayerGameData[[#This Row],[OFF REB]]+PlayerGameData[[#This Row],[DEF REB]]</f>
        <v>7</v>
      </c>
      <c r="AD110" s="8">
        <f t="shared" si="60"/>
        <v>5</v>
      </c>
      <c r="AE110" s="8" t="str">
        <f t="shared" ca="1" si="61"/>
        <v>Ethan Schiller, 23 - Little Snake River 12/17/2022</v>
      </c>
      <c r="AF110" s="8" t="str">
        <f t="shared" ca="1" si="80"/>
        <v/>
      </c>
      <c r="AG110" s="8" t="str">
        <f ca="1">IFERROR(IF(C110=0,"",IF(AND(VLOOKUP(PlayerGameData[[#This Row],[Opponent]],WYTeamInfo,2,FALSE)=Roster!$D$1,VLOOKUP(PlayerGameData[[#This Row],[Opponent]],WYTeamInfo,3,FALSE)=Roster!$D$2),"SR","")),"")</f>
        <v/>
      </c>
      <c r="AH110" s="8" t="str">
        <f>CONCATENATE(Roster!$D$1," ",Roster!$D$5)</f>
        <v>1A BB</v>
      </c>
      <c r="AI110" s="8" t="str">
        <f t="shared" ca="1" si="62"/>
        <v>Upton - Little Snake River 12/17/2022</v>
      </c>
      <c r="AJ110" s="8">
        <f ca="1">IFERROR(VLOOKUP(PlayerGameData[[#This Row],[School, Opponent,Game'#]],Table3[],2,FALSE),0)</f>
        <v>1</v>
      </c>
      <c r="AK110" s="8">
        <f ca="1">IF(PlayerGameData[[#This Row],[Visible]]=1,1,1000)</f>
        <v>1</v>
      </c>
      <c r="AL110" s="8">
        <f ca="1">RANK(PlayerGameData[[#This Row],[TL PTS]],PlayerGameData[TL PTS],0)+PlayerGameData[[#This Row],[VisibleOrder]]</f>
        <v>82</v>
      </c>
      <c r="AM110" s="8">
        <f ca="1">IF(COUNTIF(PlayerGameData[PointOrder],PlayerGameData[[#This Row],[PointOrder]])&gt;1,RANK(PlayerGameData[[#This Row],[FGA]],PlayerGameData[FGA],0)/100,0)+PlayerGameData[[#This Row],[PointOrder]]</f>
        <v>82.43</v>
      </c>
      <c r="AN110" s="8">
        <f ca="1">RANK(PlayerGameData[[#This Row],[PointTieBreak]],PlayerGameData[PointTieBreak],1)</f>
        <v>85</v>
      </c>
      <c r="AO110" s="8">
        <f ca="1">RANK(PlayerGameData[[#This Row],[REB]],PlayerGameData[REB],0)+PlayerGameData[[#This Row],[VisibleOrder]]</f>
        <v>29</v>
      </c>
      <c r="AP110" s="8">
        <f ca="1">IF(COUNTIF(PlayerGameData[REBOrder],PlayerGameData[[#This Row],[REBOrder]])&gt;1,PlayerGameData[[#This Row],[PointRank]]/100+PlayerGameData[[#This Row],[REBOrder]],PlayerGameData[[#This Row],[REBOrder]])</f>
        <v>29.85</v>
      </c>
      <c r="AQ110" s="8">
        <f ca="1">RANK(PlayerGameData[[#This Row],[REBTieBreak]],PlayerGameData[REBTieBreak],1)</f>
        <v>34</v>
      </c>
      <c r="AR110" s="8">
        <f ca="1">RANK(PlayerGameData[[#This Row],[AST]],PlayerGameData[AST],0)+PlayerGameData[[#This Row],[VisibleOrder]]</f>
        <v>69</v>
      </c>
      <c r="AS110" s="8">
        <f ca="1">IF(COUNTIF(PlayerGameData[ASTOrder],PlayerGameData[[#This Row],[ASTOrder]])&gt;1,PlayerGameData[[#This Row],[PointRank]]/100+PlayerGameData[[#This Row],[ASTOrder]],PlayerGameData[[#This Row],[ASTOrder]])</f>
        <v>69.849999999999994</v>
      </c>
      <c r="AT110" s="8">
        <f ca="1">RANK(PlayerGameData[[#This Row],[ASTTieBreak]],PlayerGameData[ASTTieBreak],1)</f>
        <v>87</v>
      </c>
      <c r="AU110" s="8">
        <f ca="1">RANK(PlayerGameData[[#This Row],[STL]],PlayerGameData[STL],0)+PlayerGameData[[#This Row],[VisibleOrder]]</f>
        <v>84</v>
      </c>
      <c r="AV110" s="8">
        <f ca="1">IF(COUNTIF(PlayerGameData[STLOrder],PlayerGameData[[#This Row],[STLOrder]])&gt;1,PlayerGameData[[#This Row],[PointRank]]/100+PlayerGameData[[#This Row],[STLOrder]],PlayerGameData[[#This Row],[STLOrder]])</f>
        <v>84.85</v>
      </c>
      <c r="AW110" s="8">
        <f ca="1">RANK(PlayerGameData[[#This Row],[STLTieBreak]],PlayerGameData[STLTieBreak],1)</f>
        <v>100</v>
      </c>
      <c r="AX110" s="8">
        <f ca="1">RANK(PlayerGameData[[#This Row],[BLK]],PlayerGameData[BLK],0)+PlayerGameData[[#This Row],[VisibleOrder]]</f>
        <v>11</v>
      </c>
      <c r="AY110" s="8">
        <f ca="1">IF(COUNTIF(PlayerGameData[BLKOrder],PlayerGameData[[#This Row],[BLKOrder]])&gt;1,PlayerGameData[[#This Row],[PointRank]]/100+PlayerGameData[[#This Row],[BLKOrder]],PlayerGameData[[#This Row],[BLKOrder]])</f>
        <v>11.85</v>
      </c>
      <c r="AZ110" s="8">
        <f ca="1">RANK(PlayerGameData[[#This Row],[BLKTieBreak]],PlayerGameData[BLKTieBreak],1)</f>
        <v>22</v>
      </c>
      <c r="BA110" s="11">
        <f ca="1">IFERROR(IF(PlayerGameData[[#This Row],[FGA]]&gt;$AA$5,PlayerGameData[[#This Row],[FG%*]],PlayerGameData[[#This Row],[FG%*]]*-1),-2)</f>
        <v>0.2</v>
      </c>
      <c r="BB110" s="8">
        <f ca="1">RANK(PlayerGameData[[#This Row],[EligFG]],PlayerGameData[EligFG],0)+PlayerGameData[[#This Row],[VisibleOrder]]</f>
        <v>107</v>
      </c>
      <c r="BC110" s="8">
        <f ca="1">IF(COUNTIF(PlayerGameData[EligFGOrder],PlayerGameData[[#This Row],[EligFGOrder]])&gt;1,PlayerGameData[[#This Row],[PointRank]]/100+PlayerGameData[[#This Row],[EligFGOrder]],PlayerGameData[[#This Row],[EligFGOrder]])</f>
        <v>107</v>
      </c>
      <c r="BD110" s="8">
        <f ca="1">RANK(PlayerGameData[[#This Row],[EligFGTieBreak]],PlayerGameData[EligFGTieBreak],1)</f>
        <v>106</v>
      </c>
      <c r="BE110" s="8" t="str">
        <f>Roster!$D$3</f>
        <v>East</v>
      </c>
      <c r="BF110" s="8" t="str">
        <f>Roster!$D$2</f>
        <v>Northeast</v>
      </c>
      <c r="BG110" s="8" t="str">
        <f>Roster!$D$4</f>
        <v>North</v>
      </c>
      <c r="BH110" s="197">
        <f ca="1">IFERROR(VLOOKUP(CONCATENATE(PlayerGameData[[#This Row],[Opponent]]," ",MONTH(PlayerGameData[[#This Row],[Date]]),"/",DAY(PlayerGameData[[#This Row],[Date]]),"/",YEAR(PlayerGameData[[#This Row],[Date]])),Table35[],2,FALSE),0)</f>
        <v>1</v>
      </c>
      <c r="BI110" s="197">
        <f ca="1">IF(PlayerGameData[[#This Row],[Visible]]=1,1,1000)</f>
        <v>1</v>
      </c>
      <c r="BJ110" s="197" t="e">
        <f ca="1">_xlfn.MAXIFS(TeamGameData[Win],TeamGameData[School, Opponent,Game'#],PlayerGameData[[#This Row],[School, Opponent,Game'#]])</f>
        <v>#NAME?</v>
      </c>
      <c r="BK110" s="197" t="e">
        <f ca="1">_xlfn.MAXIFS(TeamGameData[Loss],TeamGameData[School, Opponent,Game'#],PlayerGameData[[#This Row],[School, Opponent,Game'#]])</f>
        <v>#NAME?</v>
      </c>
    </row>
    <row r="111" spans="1:63" x14ac:dyDescent="0.25">
      <c r="A111" s="8" t="str">
        <f t="shared" ca="1" si="63"/>
        <v>Bridger Bruce, 25</v>
      </c>
      <c r="B111" s="8" t="str">
        <f>Roster!$B$1</f>
        <v>Upton</v>
      </c>
      <c r="C111" s="8" t="str">
        <f t="shared" ca="1" si="51"/>
        <v>Little Snake River</v>
      </c>
      <c r="D111" s="10">
        <f t="shared" ca="1" si="52"/>
        <v>44912</v>
      </c>
      <c r="E111" s="8">
        <f t="shared" ca="1" si="53"/>
        <v>1</v>
      </c>
      <c r="F111" s="8">
        <f t="shared" ca="1" si="54"/>
        <v>0</v>
      </c>
      <c r="G111" s="8">
        <f t="shared" ca="1" si="55"/>
        <v>9</v>
      </c>
      <c r="H111" s="8">
        <f t="shared" ca="1" si="56"/>
        <v>0</v>
      </c>
      <c r="I111" s="8">
        <f t="shared" ca="1" si="57"/>
        <v>0</v>
      </c>
      <c r="J111" s="8">
        <f t="shared" ca="1" si="58"/>
        <v>0</v>
      </c>
      <c r="K111" s="8">
        <f t="shared" ca="1" si="59"/>
        <v>3</v>
      </c>
      <c r="L111" s="8">
        <f t="shared" ca="1" si="64"/>
        <v>1</v>
      </c>
      <c r="M111" s="8">
        <f t="shared" ca="1" si="65"/>
        <v>3</v>
      </c>
      <c r="N111" s="8">
        <f t="shared" ca="1" si="66"/>
        <v>3</v>
      </c>
      <c r="O111" s="8">
        <f t="shared" ca="1" si="67"/>
        <v>0</v>
      </c>
      <c r="P111" s="8">
        <f t="shared" ca="1" si="68"/>
        <v>0</v>
      </c>
      <c r="Q111" s="8">
        <f t="shared" ca="1" si="69"/>
        <v>0</v>
      </c>
      <c r="R111" s="8">
        <f t="shared" ca="1" si="70"/>
        <v>0</v>
      </c>
      <c r="S111" s="8">
        <f t="shared" ca="1" si="71"/>
        <v>0</v>
      </c>
      <c r="T111" s="8">
        <f t="shared" ca="1" si="72"/>
        <v>4</v>
      </c>
      <c r="U111" s="8">
        <f t="shared" ca="1" si="73"/>
        <v>0</v>
      </c>
      <c r="V111" s="8">
        <f t="shared" ca="1" si="74"/>
        <v>1</v>
      </c>
      <c r="W111" s="11" t="str">
        <f t="shared" ca="1" si="75"/>
        <v/>
      </c>
      <c r="X111" s="11">
        <f t="shared" ca="1" si="76"/>
        <v>0</v>
      </c>
      <c r="Y111" s="11">
        <f t="shared" ca="1" si="77"/>
        <v>0.33333333333333331</v>
      </c>
      <c r="Z111" s="11">
        <f t="shared" ca="1" si="78"/>
        <v>0</v>
      </c>
      <c r="AA111" s="11">
        <f t="shared" ca="1" si="79"/>
        <v>0</v>
      </c>
      <c r="AB111" s="47">
        <f ca="1">PlayerGameData[[#This Row],[3FGA]]+PlayerGameData[[#This Row],[2FGA]]</f>
        <v>3</v>
      </c>
      <c r="AC111" s="47">
        <f ca="1">PlayerGameData[[#This Row],[OFF REB]]+PlayerGameData[[#This Row],[DEF REB]]</f>
        <v>3</v>
      </c>
      <c r="AD111" s="8">
        <f t="shared" si="60"/>
        <v>5</v>
      </c>
      <c r="AE111" s="8" t="str">
        <f t="shared" ca="1" si="61"/>
        <v>Bridger Bruce, 25 - Little Snake River 12/17/2022</v>
      </c>
      <c r="AF111" s="8" t="str">
        <f t="shared" ca="1" si="80"/>
        <v/>
      </c>
      <c r="AG111" s="8" t="str">
        <f ca="1">IFERROR(IF(C111=0,"",IF(AND(VLOOKUP(PlayerGameData[[#This Row],[Opponent]],WYTeamInfo,2,FALSE)=Roster!$D$1,VLOOKUP(PlayerGameData[[#This Row],[Opponent]],WYTeamInfo,3,FALSE)=Roster!$D$2),"SR","")),"")</f>
        <v/>
      </c>
      <c r="AH111" s="8" t="str">
        <f>CONCATENATE(Roster!$D$1," ",Roster!$D$5)</f>
        <v>1A BB</v>
      </c>
      <c r="AI111" s="8" t="str">
        <f t="shared" ca="1" si="62"/>
        <v>Upton - Little Snake River 12/17/2022</v>
      </c>
      <c r="AJ111" s="8">
        <f ca="1">IFERROR(VLOOKUP(PlayerGameData[[#This Row],[School, Opponent,Game'#]],Table3[],2,FALSE),0)</f>
        <v>1</v>
      </c>
      <c r="AK111" s="8">
        <f ca="1">IF(PlayerGameData[[#This Row],[Visible]]=1,1,1000)</f>
        <v>1</v>
      </c>
      <c r="AL111" s="8">
        <f ca="1">RANK(PlayerGameData[[#This Row],[TL PTS]],PlayerGameData[TL PTS],0)+PlayerGameData[[#This Row],[VisibleOrder]]</f>
        <v>176</v>
      </c>
      <c r="AM111" s="8">
        <f ca="1">IF(COUNTIF(PlayerGameData[PointOrder],PlayerGameData[[#This Row],[PointOrder]])&gt;1,RANK(PlayerGameData[[#This Row],[FGA]],PlayerGameData[FGA],0)/100,0)+PlayerGameData[[#This Row],[PointOrder]]</f>
        <v>177.4</v>
      </c>
      <c r="AN111" s="8">
        <f ca="1">RANK(PlayerGameData[[#This Row],[PointTieBreak]],PlayerGameData[PointTieBreak],1)</f>
        <v>177</v>
      </c>
      <c r="AO111" s="8">
        <f ca="1">RANK(PlayerGameData[[#This Row],[REB]],PlayerGameData[REB],0)+PlayerGameData[[#This Row],[VisibleOrder]]</f>
        <v>108</v>
      </c>
      <c r="AP111" s="8">
        <f ca="1">IF(COUNTIF(PlayerGameData[REBOrder],PlayerGameData[[#This Row],[REBOrder]])&gt;1,PlayerGameData[[#This Row],[PointRank]]/100+PlayerGameData[[#This Row],[REBOrder]],PlayerGameData[[#This Row],[REBOrder]])</f>
        <v>109.77</v>
      </c>
      <c r="AQ111" s="8">
        <f ca="1">RANK(PlayerGameData[[#This Row],[REBTieBreak]],PlayerGameData[REBTieBreak],1)</f>
        <v>131</v>
      </c>
      <c r="AR111" s="8">
        <f ca="1">RANK(PlayerGameData[[#This Row],[AST]],PlayerGameData[AST],0)+PlayerGameData[[#This Row],[VisibleOrder]]</f>
        <v>158</v>
      </c>
      <c r="AS111" s="8">
        <f ca="1">IF(COUNTIF(PlayerGameData[ASTOrder],PlayerGameData[[#This Row],[ASTOrder]])&gt;1,PlayerGameData[[#This Row],[PointRank]]/100+PlayerGameData[[#This Row],[ASTOrder]],PlayerGameData[[#This Row],[ASTOrder]])</f>
        <v>159.77000000000001</v>
      </c>
      <c r="AT111" s="8">
        <f ca="1">RANK(PlayerGameData[[#This Row],[ASTTieBreak]],PlayerGameData[ASTTieBreak],1)</f>
        <v>195</v>
      </c>
      <c r="AU111" s="8">
        <f ca="1">RANK(PlayerGameData[[#This Row],[STL]],PlayerGameData[STL],0)+PlayerGameData[[#This Row],[VisibleOrder]]</f>
        <v>143</v>
      </c>
      <c r="AV111" s="8">
        <f ca="1">IF(COUNTIF(PlayerGameData[STLOrder],PlayerGameData[[#This Row],[STLOrder]])&gt;1,PlayerGameData[[#This Row],[PointRank]]/100+PlayerGameData[[#This Row],[STLOrder]],PlayerGameData[[#This Row],[STLOrder]])</f>
        <v>144.77000000000001</v>
      </c>
      <c r="AW111" s="8">
        <f ca="1">RANK(PlayerGameData[[#This Row],[STLTieBreak]],PlayerGameData[STLTieBreak],1)</f>
        <v>188</v>
      </c>
      <c r="AX111" s="8">
        <f ca="1">RANK(PlayerGameData[[#This Row],[BLK]],PlayerGameData[BLK],0)+PlayerGameData[[#This Row],[VisibleOrder]]</f>
        <v>32</v>
      </c>
      <c r="AY111" s="8">
        <f ca="1">IF(COUNTIF(PlayerGameData[BLKOrder],PlayerGameData[[#This Row],[BLKOrder]])&gt;1,PlayerGameData[[#This Row],[PointRank]]/100+PlayerGameData[[#This Row],[BLKOrder]],PlayerGameData[[#This Row],[BLKOrder]])</f>
        <v>33.770000000000003</v>
      </c>
      <c r="AZ111" s="8">
        <f ca="1">RANK(PlayerGameData[[#This Row],[BLKTieBreak]],PlayerGameData[BLKTieBreak],1)</f>
        <v>178</v>
      </c>
      <c r="BA111" s="11">
        <f ca="1">IFERROR(IF(PlayerGameData[[#This Row],[FGA]]&gt;$AA$5,PlayerGameData[[#This Row],[FG%*]],PlayerGameData[[#This Row],[FG%*]]*-1),-2)</f>
        <v>0</v>
      </c>
      <c r="BB111" s="8">
        <f ca="1">RANK(PlayerGameData[[#This Row],[EligFG]],PlayerGameData[EligFG],0)+PlayerGameData[[#This Row],[VisibleOrder]]</f>
        <v>117</v>
      </c>
      <c r="BC111" s="8">
        <f ca="1">IF(COUNTIF(PlayerGameData[EligFGOrder],PlayerGameData[[#This Row],[EligFGOrder]])&gt;1,PlayerGameData[[#This Row],[PointRank]]/100+PlayerGameData[[#This Row],[EligFGOrder]],PlayerGameData[[#This Row],[EligFGOrder]])</f>
        <v>118.77</v>
      </c>
      <c r="BD111" s="8">
        <f ca="1">RANK(PlayerGameData[[#This Row],[EligFGTieBreak]],PlayerGameData[EligFGTieBreak],1)</f>
        <v>120</v>
      </c>
      <c r="BE111" s="8" t="str">
        <f>Roster!$D$3</f>
        <v>East</v>
      </c>
      <c r="BF111" s="8" t="str">
        <f>Roster!$D$2</f>
        <v>Northeast</v>
      </c>
      <c r="BG111" s="8" t="str">
        <f>Roster!$D$4</f>
        <v>North</v>
      </c>
      <c r="BH111" s="197">
        <f ca="1">IFERROR(VLOOKUP(CONCATENATE(PlayerGameData[[#This Row],[Opponent]]," ",MONTH(PlayerGameData[[#This Row],[Date]]),"/",DAY(PlayerGameData[[#This Row],[Date]]),"/",YEAR(PlayerGameData[[#This Row],[Date]])),Table35[],2,FALSE),0)</f>
        <v>1</v>
      </c>
      <c r="BI111" s="197">
        <f ca="1">IF(PlayerGameData[[#This Row],[Visible]]=1,1,1000)</f>
        <v>1</v>
      </c>
      <c r="BJ111" s="197" t="e">
        <f ca="1">_xlfn.MAXIFS(TeamGameData[Win],TeamGameData[School, Opponent,Game'#],PlayerGameData[[#This Row],[School, Opponent,Game'#]])</f>
        <v>#NAME?</v>
      </c>
      <c r="BK111" s="197" t="e">
        <f ca="1">_xlfn.MAXIFS(TeamGameData[Loss],TeamGameData[School, Opponent,Game'#],PlayerGameData[[#This Row],[School, Opponent,Game'#]])</f>
        <v>#NAME?</v>
      </c>
    </row>
    <row r="112" spans="1:63" x14ac:dyDescent="0.25">
      <c r="A112" s="8" t="str">
        <f t="shared" ca="1" si="63"/>
        <v>Kailer Duarte, 31</v>
      </c>
      <c r="B112" s="8" t="str">
        <f>Roster!$B$1</f>
        <v>Upton</v>
      </c>
      <c r="C112" s="8" t="str">
        <f t="shared" ca="1" si="51"/>
        <v>Little Snake River</v>
      </c>
      <c r="D112" s="10">
        <f t="shared" ca="1" si="52"/>
        <v>44912</v>
      </c>
      <c r="E112" s="8">
        <f t="shared" ca="1" si="53"/>
        <v>1</v>
      </c>
      <c r="F112" s="8">
        <f t="shared" ca="1" si="54"/>
        <v>1</v>
      </c>
      <c r="G112" s="8">
        <f t="shared" ca="1" si="55"/>
        <v>20</v>
      </c>
      <c r="H112" s="8">
        <f t="shared" ca="1" si="56"/>
        <v>1</v>
      </c>
      <c r="I112" s="8">
        <f t="shared" ca="1" si="57"/>
        <v>3</v>
      </c>
      <c r="J112" s="8">
        <f t="shared" ca="1" si="58"/>
        <v>0</v>
      </c>
      <c r="K112" s="8">
        <f t="shared" ca="1" si="59"/>
        <v>5</v>
      </c>
      <c r="L112" s="8">
        <f t="shared" ca="1" si="64"/>
        <v>3</v>
      </c>
      <c r="M112" s="8">
        <f t="shared" ca="1" si="65"/>
        <v>4</v>
      </c>
      <c r="N112" s="8">
        <f t="shared" ca="1" si="66"/>
        <v>2</v>
      </c>
      <c r="O112" s="8">
        <f t="shared" ca="1" si="67"/>
        <v>6</v>
      </c>
      <c r="P112" s="8">
        <f t="shared" ca="1" si="68"/>
        <v>1</v>
      </c>
      <c r="Q112" s="8">
        <f t="shared" ca="1" si="69"/>
        <v>1</v>
      </c>
      <c r="R112" s="8">
        <f t="shared" ca="1" si="70"/>
        <v>0</v>
      </c>
      <c r="S112" s="8">
        <f t="shared" ca="1" si="71"/>
        <v>1</v>
      </c>
      <c r="T112" s="8">
        <f t="shared" ca="1" si="72"/>
        <v>3</v>
      </c>
      <c r="U112" s="8">
        <f t="shared" ca="1" si="73"/>
        <v>0</v>
      </c>
      <c r="V112" s="8">
        <f t="shared" ca="1" si="74"/>
        <v>6</v>
      </c>
      <c r="W112" s="11">
        <f t="shared" ca="1" si="75"/>
        <v>0.33333333333333331</v>
      </c>
      <c r="X112" s="11">
        <f t="shared" ca="1" si="76"/>
        <v>0</v>
      </c>
      <c r="Y112" s="11">
        <f t="shared" ca="1" si="77"/>
        <v>0.75</v>
      </c>
      <c r="Z112" s="11">
        <f t="shared" ca="1" si="78"/>
        <v>0.125</v>
      </c>
      <c r="AA112" s="11">
        <f t="shared" ca="1" si="79"/>
        <v>0.1875</v>
      </c>
      <c r="AB112" s="47">
        <f ca="1">PlayerGameData[[#This Row],[3FGA]]+PlayerGameData[[#This Row],[2FGA]]</f>
        <v>8</v>
      </c>
      <c r="AC112" s="47">
        <f ca="1">PlayerGameData[[#This Row],[OFF REB]]+PlayerGameData[[#This Row],[DEF REB]]</f>
        <v>8</v>
      </c>
      <c r="AD112" s="8">
        <f t="shared" si="60"/>
        <v>5</v>
      </c>
      <c r="AE112" s="8" t="str">
        <f t="shared" ca="1" si="61"/>
        <v>Kailer Duarte, 31 - Little Snake River 12/17/2022</v>
      </c>
      <c r="AF112" s="8" t="str">
        <f t="shared" ca="1" si="80"/>
        <v/>
      </c>
      <c r="AG112" s="8" t="str">
        <f ca="1">IFERROR(IF(C112=0,"",IF(AND(VLOOKUP(PlayerGameData[[#This Row],[Opponent]],WYTeamInfo,2,FALSE)=Roster!$D$1,VLOOKUP(PlayerGameData[[#This Row],[Opponent]],WYTeamInfo,3,FALSE)=Roster!$D$2),"SR","")),"")</f>
        <v/>
      </c>
      <c r="AH112" s="8" t="str">
        <f>CONCATENATE(Roster!$D$1," ",Roster!$D$5)</f>
        <v>1A BB</v>
      </c>
      <c r="AI112" s="8" t="str">
        <f t="shared" ca="1" si="62"/>
        <v>Upton - Little Snake River 12/17/2022</v>
      </c>
      <c r="AJ112" s="8">
        <f ca="1">IFERROR(VLOOKUP(PlayerGameData[[#This Row],[School, Opponent,Game'#]],Table3[],2,FALSE),0)</f>
        <v>1</v>
      </c>
      <c r="AK112" s="8">
        <f ca="1">IF(PlayerGameData[[#This Row],[Visible]]=1,1,1000)</f>
        <v>1</v>
      </c>
      <c r="AL112" s="8">
        <f ca="1">RANK(PlayerGameData[[#This Row],[TL PTS]],PlayerGameData[TL PTS],0)+PlayerGameData[[#This Row],[VisibleOrder]]</f>
        <v>102</v>
      </c>
      <c r="AM112" s="8">
        <f ca="1">IF(COUNTIF(PlayerGameData[PointOrder],PlayerGameData[[#This Row],[PointOrder]])&gt;1,RANK(PlayerGameData[[#This Row],[FGA]],PlayerGameData[FGA],0)/100,0)+PlayerGameData[[#This Row],[PointOrder]]</f>
        <v>102.76</v>
      </c>
      <c r="AN112" s="8">
        <f ca="1">RANK(PlayerGameData[[#This Row],[PointTieBreak]],PlayerGameData[PointTieBreak],1)</f>
        <v>101</v>
      </c>
      <c r="AO112" s="8">
        <f ca="1">RANK(PlayerGameData[[#This Row],[REB]],PlayerGameData[REB],0)+PlayerGameData[[#This Row],[VisibleOrder]]</f>
        <v>21</v>
      </c>
      <c r="AP112" s="8">
        <f ca="1">IF(COUNTIF(PlayerGameData[REBOrder],PlayerGameData[[#This Row],[REBOrder]])&gt;1,PlayerGameData[[#This Row],[PointRank]]/100+PlayerGameData[[#This Row],[REBOrder]],PlayerGameData[[#This Row],[REBOrder]])</f>
        <v>22.01</v>
      </c>
      <c r="AQ112" s="8">
        <f ca="1">RANK(PlayerGameData[[#This Row],[REBTieBreak]],PlayerGameData[REBTieBreak],1)</f>
        <v>26</v>
      </c>
      <c r="AR112" s="8">
        <f ca="1">RANK(PlayerGameData[[#This Row],[AST]],PlayerGameData[AST],0)+PlayerGameData[[#This Row],[VisibleOrder]]</f>
        <v>115</v>
      </c>
      <c r="AS112" s="8">
        <f ca="1">IF(COUNTIF(PlayerGameData[ASTOrder],PlayerGameData[[#This Row],[ASTOrder]])&gt;1,PlayerGameData[[#This Row],[PointRank]]/100+PlayerGameData[[#This Row],[ASTOrder]],PlayerGameData[[#This Row],[ASTOrder]])</f>
        <v>116.01</v>
      </c>
      <c r="AT112" s="8">
        <f ca="1">RANK(PlayerGameData[[#This Row],[ASTTieBreak]],PlayerGameData[ASTTieBreak],1)</f>
        <v>129</v>
      </c>
      <c r="AU112" s="8">
        <f ca="1">RANK(PlayerGameData[[#This Row],[STL]],PlayerGameData[STL],0)+PlayerGameData[[#This Row],[VisibleOrder]]</f>
        <v>84</v>
      </c>
      <c r="AV112" s="8">
        <f ca="1">IF(COUNTIF(PlayerGameData[STLOrder],PlayerGameData[[#This Row],[STLOrder]])&gt;1,PlayerGameData[[#This Row],[PointRank]]/100+PlayerGameData[[#This Row],[STLOrder]],PlayerGameData[[#This Row],[STLOrder]])</f>
        <v>85.01</v>
      </c>
      <c r="AW112" s="8">
        <f ca="1">RANK(PlayerGameData[[#This Row],[STLTieBreak]],PlayerGameData[STLTieBreak],1)</f>
        <v>106</v>
      </c>
      <c r="AX112" s="8">
        <f ca="1">RANK(PlayerGameData[[#This Row],[BLK]],PlayerGameData[BLK],0)+PlayerGameData[[#This Row],[VisibleOrder]]</f>
        <v>32</v>
      </c>
      <c r="AY112" s="8">
        <f ca="1">IF(COUNTIF(PlayerGameData[BLKOrder],PlayerGameData[[#This Row],[BLKOrder]])&gt;1,PlayerGameData[[#This Row],[PointRank]]/100+PlayerGameData[[#This Row],[BLKOrder]],PlayerGameData[[#This Row],[BLKOrder]])</f>
        <v>33.01</v>
      </c>
      <c r="AZ112" s="8">
        <f ca="1">RANK(PlayerGameData[[#This Row],[BLKTieBreak]],PlayerGameData[BLKTieBreak],1)</f>
        <v>108</v>
      </c>
      <c r="BA112" s="11">
        <f ca="1">IFERROR(IF(PlayerGameData[[#This Row],[FGA]]&gt;$AA$5,PlayerGameData[[#This Row],[FG%*]],PlayerGameData[[#This Row],[FG%*]]*-1),-2)</f>
        <v>0.125</v>
      </c>
      <c r="BB112" s="8">
        <f ca="1">RANK(PlayerGameData[[#This Row],[EligFG]],PlayerGameData[EligFG],0)+PlayerGameData[[#This Row],[VisibleOrder]]</f>
        <v>110</v>
      </c>
      <c r="BC112" s="8">
        <f ca="1">IF(COUNTIF(PlayerGameData[EligFGOrder],PlayerGameData[[#This Row],[EligFGOrder]])&gt;1,PlayerGameData[[#This Row],[PointRank]]/100+PlayerGameData[[#This Row],[EligFGOrder]],PlayerGameData[[#This Row],[EligFGOrder]])</f>
        <v>111.01</v>
      </c>
      <c r="BD112" s="8">
        <f ca="1">RANK(PlayerGameData[[#This Row],[EligFGTieBreak]],PlayerGameData[EligFGTieBreak],1)</f>
        <v>109</v>
      </c>
      <c r="BE112" s="8" t="str">
        <f>Roster!$D$3</f>
        <v>East</v>
      </c>
      <c r="BF112" s="8" t="str">
        <f>Roster!$D$2</f>
        <v>Northeast</v>
      </c>
      <c r="BG112" s="8" t="str">
        <f>Roster!$D$4</f>
        <v>North</v>
      </c>
      <c r="BH112" s="197">
        <f ca="1">IFERROR(VLOOKUP(CONCATENATE(PlayerGameData[[#This Row],[Opponent]]," ",MONTH(PlayerGameData[[#This Row],[Date]]),"/",DAY(PlayerGameData[[#This Row],[Date]]),"/",YEAR(PlayerGameData[[#This Row],[Date]])),Table35[],2,FALSE),0)</f>
        <v>1</v>
      </c>
      <c r="BI112" s="197">
        <f ca="1">IF(PlayerGameData[[#This Row],[Visible]]=1,1,1000)</f>
        <v>1</v>
      </c>
      <c r="BJ112" s="197" t="e">
        <f ca="1">_xlfn.MAXIFS(TeamGameData[Win],TeamGameData[School, Opponent,Game'#],PlayerGameData[[#This Row],[School, Opponent,Game'#]])</f>
        <v>#NAME?</v>
      </c>
      <c r="BK112" s="197" t="e">
        <f ca="1">_xlfn.MAXIFS(TeamGameData[Loss],TeamGameData[School, Opponent,Game'#],PlayerGameData[[#This Row],[School, Opponent,Game'#]])</f>
        <v>#NAME?</v>
      </c>
    </row>
    <row r="113" spans="1:63" x14ac:dyDescent="0.25">
      <c r="A113" s="8" t="str">
        <f t="shared" ca="1" si="63"/>
        <v>Matt Stirmel, 33</v>
      </c>
      <c r="B113" s="8" t="str">
        <f>Roster!$B$1</f>
        <v>Upton</v>
      </c>
      <c r="C113" s="8" t="str">
        <f t="shared" ca="1" si="51"/>
        <v>Little Snake River</v>
      </c>
      <c r="D113" s="10">
        <f t="shared" ca="1" si="52"/>
        <v>44912</v>
      </c>
      <c r="E113" s="8">
        <f t="shared" ca="1" si="53"/>
        <v>0</v>
      </c>
      <c r="F113" s="8">
        <f t="shared" ca="1" si="54"/>
        <v>0</v>
      </c>
      <c r="G113" s="8">
        <f t="shared" ca="1" si="55"/>
        <v>0</v>
      </c>
      <c r="H113" s="8">
        <f t="shared" ca="1" si="56"/>
        <v>0</v>
      </c>
      <c r="I113" s="8">
        <f t="shared" ca="1" si="57"/>
        <v>0</v>
      </c>
      <c r="J113" s="8">
        <f t="shared" ca="1" si="58"/>
        <v>0</v>
      </c>
      <c r="K113" s="8">
        <f t="shared" ca="1" si="59"/>
        <v>0</v>
      </c>
      <c r="L113" s="8">
        <f t="shared" ca="1" si="64"/>
        <v>0</v>
      </c>
      <c r="M113" s="8">
        <f t="shared" ca="1" si="65"/>
        <v>0</v>
      </c>
      <c r="N113" s="8">
        <f t="shared" ca="1" si="66"/>
        <v>0</v>
      </c>
      <c r="O113" s="8">
        <f t="shared" ca="1" si="67"/>
        <v>0</v>
      </c>
      <c r="P113" s="8">
        <f t="shared" ca="1" si="68"/>
        <v>0</v>
      </c>
      <c r="Q113" s="8">
        <f t="shared" ca="1" si="69"/>
        <v>0</v>
      </c>
      <c r="R113" s="8">
        <f t="shared" ca="1" si="70"/>
        <v>0</v>
      </c>
      <c r="S113" s="8">
        <f t="shared" ca="1" si="71"/>
        <v>0</v>
      </c>
      <c r="T113" s="8">
        <f t="shared" ca="1" si="72"/>
        <v>0</v>
      </c>
      <c r="U113" s="8">
        <f t="shared" ca="1" si="73"/>
        <v>0</v>
      </c>
      <c r="V113" s="8">
        <f t="shared" ca="1" si="74"/>
        <v>0</v>
      </c>
      <c r="W113" s="11" t="str">
        <f t="shared" ca="1" si="75"/>
        <v/>
      </c>
      <c r="X113" s="11" t="str">
        <f t="shared" ca="1" si="76"/>
        <v/>
      </c>
      <c r="Y113" s="11" t="str">
        <f t="shared" ca="1" si="77"/>
        <v/>
      </c>
      <c r="Z113" s="11" t="str">
        <f t="shared" ca="1" si="78"/>
        <v/>
      </c>
      <c r="AA113" s="11" t="str">
        <f t="shared" ca="1" si="79"/>
        <v/>
      </c>
      <c r="AB113" s="47">
        <f ca="1">PlayerGameData[[#This Row],[3FGA]]+PlayerGameData[[#This Row],[2FGA]]</f>
        <v>0</v>
      </c>
      <c r="AC113" s="47">
        <f ca="1">PlayerGameData[[#This Row],[OFF REB]]+PlayerGameData[[#This Row],[DEF REB]]</f>
        <v>0</v>
      </c>
      <c r="AD113" s="8">
        <f t="shared" si="60"/>
        <v>5</v>
      </c>
      <c r="AE113" s="8" t="str">
        <f t="shared" ca="1" si="61"/>
        <v>Matt Stirmel, 33 - Little Snake River 12/17/2022</v>
      </c>
      <c r="AF113" s="8" t="str">
        <f t="shared" ca="1" si="80"/>
        <v/>
      </c>
      <c r="AG113" s="8" t="str">
        <f ca="1">IFERROR(IF(C113=0,"",IF(AND(VLOOKUP(PlayerGameData[[#This Row],[Opponent]],WYTeamInfo,2,FALSE)=Roster!$D$1,VLOOKUP(PlayerGameData[[#This Row],[Opponent]],WYTeamInfo,3,FALSE)=Roster!$D$2),"SR","")),"")</f>
        <v/>
      </c>
      <c r="AH113" s="8" t="str">
        <f>CONCATENATE(Roster!$D$1," ",Roster!$D$5)</f>
        <v>1A BB</v>
      </c>
      <c r="AI113" s="8" t="str">
        <f t="shared" ca="1" si="62"/>
        <v>Upton - Little Snake River 12/17/2022</v>
      </c>
      <c r="AJ113" s="8">
        <f ca="1">IFERROR(VLOOKUP(PlayerGameData[[#This Row],[School, Opponent,Game'#]],Table3[],2,FALSE),0)</f>
        <v>1</v>
      </c>
      <c r="AK113" s="8">
        <f ca="1">IF(PlayerGameData[[#This Row],[Visible]]=1,1,1000)</f>
        <v>1</v>
      </c>
      <c r="AL113" s="8">
        <f ca="1">RANK(PlayerGameData[[#This Row],[TL PTS]],PlayerGameData[TL PTS],0)+PlayerGameData[[#This Row],[VisibleOrder]]</f>
        <v>185</v>
      </c>
      <c r="AM113" s="8">
        <f ca="1">IF(COUNTIF(PlayerGameData[PointOrder],PlayerGameData[[#This Row],[PointOrder]])&gt;1,RANK(PlayerGameData[[#This Row],[FGA]],PlayerGameData[FGA],0)/100,0)+PlayerGameData[[#This Row],[PointOrder]]</f>
        <v>187.14</v>
      </c>
      <c r="AN113" s="8">
        <f ca="1">RANK(PlayerGameData[[#This Row],[PointTieBreak]],PlayerGameData[PointTieBreak],1)</f>
        <v>216</v>
      </c>
      <c r="AO113" s="8">
        <f ca="1">RANK(PlayerGameData[[#This Row],[REB]],PlayerGameData[REB],0)+PlayerGameData[[#This Row],[VisibleOrder]]</f>
        <v>192</v>
      </c>
      <c r="AP113" s="8">
        <f ca="1">IF(COUNTIF(PlayerGameData[REBOrder],PlayerGameData[[#This Row],[REBOrder]])&gt;1,PlayerGameData[[#This Row],[PointRank]]/100+PlayerGameData[[#This Row],[REBOrder]],PlayerGameData[[#This Row],[REBOrder]])</f>
        <v>194.16</v>
      </c>
      <c r="AQ113" s="8">
        <f ca="1">RANK(PlayerGameData[[#This Row],[REBTieBreak]],PlayerGameData[REBTieBreak],1)</f>
        <v>224</v>
      </c>
      <c r="AR113" s="8">
        <f ca="1">RANK(PlayerGameData[[#This Row],[AST]],PlayerGameData[AST],0)+PlayerGameData[[#This Row],[VisibleOrder]]</f>
        <v>158</v>
      </c>
      <c r="AS113" s="8">
        <f ca="1">IF(COUNTIF(PlayerGameData[ASTOrder],PlayerGameData[[#This Row],[ASTOrder]])&gt;1,PlayerGameData[[#This Row],[PointRank]]/100+PlayerGameData[[#This Row],[ASTOrder]],PlayerGameData[[#This Row],[ASTOrder]])</f>
        <v>160.16</v>
      </c>
      <c r="AT113" s="8">
        <f ca="1">RANK(PlayerGameData[[#This Row],[ASTTieBreak]],PlayerGameData[ASTTieBreak],1)</f>
        <v>221</v>
      </c>
      <c r="AU113" s="8">
        <f ca="1">RANK(PlayerGameData[[#This Row],[STL]],PlayerGameData[STL],0)+PlayerGameData[[#This Row],[VisibleOrder]]</f>
        <v>143</v>
      </c>
      <c r="AV113" s="8">
        <f ca="1">IF(COUNTIF(PlayerGameData[STLOrder],PlayerGameData[[#This Row],[STLOrder]])&gt;1,PlayerGameData[[#This Row],[PointRank]]/100+PlayerGameData[[#This Row],[STLOrder]],PlayerGameData[[#This Row],[STLOrder]])</f>
        <v>145.16</v>
      </c>
      <c r="AW113" s="8">
        <f ca="1">RANK(PlayerGameData[[#This Row],[STLTieBreak]],PlayerGameData[STLTieBreak],1)</f>
        <v>217</v>
      </c>
      <c r="AX113" s="8">
        <f ca="1">RANK(PlayerGameData[[#This Row],[BLK]],PlayerGameData[BLK],0)+PlayerGameData[[#This Row],[VisibleOrder]]</f>
        <v>32</v>
      </c>
      <c r="AY113" s="8">
        <f ca="1">IF(COUNTIF(PlayerGameData[BLKOrder],PlayerGameData[[#This Row],[BLKOrder]])&gt;1,PlayerGameData[[#This Row],[PointRank]]/100+PlayerGameData[[#This Row],[BLKOrder]],PlayerGameData[[#This Row],[BLKOrder]])</f>
        <v>34.159999999999997</v>
      </c>
      <c r="AZ113" s="8">
        <f ca="1">RANK(PlayerGameData[[#This Row],[BLKTieBreak]],PlayerGameData[BLKTieBreak],1)</f>
        <v>216</v>
      </c>
      <c r="BA113" s="11">
        <f ca="1">IFERROR(IF(PlayerGameData[[#This Row],[FGA]]&gt;$AA$5,PlayerGameData[[#This Row],[FG%*]],PlayerGameData[[#This Row],[FG%*]]*-1),-2)</f>
        <v>-2</v>
      </c>
      <c r="BB113" s="8">
        <f ca="1">RANK(PlayerGameData[[#This Row],[EligFG]],PlayerGameData[EligFG],0)+PlayerGameData[[#This Row],[VisibleOrder]]</f>
        <v>215</v>
      </c>
      <c r="BC113" s="8">
        <f ca="1">IF(COUNTIF(PlayerGameData[EligFGOrder],PlayerGameData[[#This Row],[EligFGOrder]])&gt;1,PlayerGameData[[#This Row],[PointRank]]/100+PlayerGameData[[#This Row],[EligFGOrder]],PlayerGameData[[#This Row],[EligFGOrder]])</f>
        <v>217.16</v>
      </c>
      <c r="BD113" s="8">
        <f ca="1">RANK(PlayerGameData[[#This Row],[EligFGTieBreak]],PlayerGameData[EligFGTieBreak],1)</f>
        <v>216</v>
      </c>
      <c r="BE113" s="8" t="str">
        <f>Roster!$D$3</f>
        <v>East</v>
      </c>
      <c r="BF113" s="8" t="str">
        <f>Roster!$D$2</f>
        <v>Northeast</v>
      </c>
      <c r="BG113" s="8" t="str">
        <f>Roster!$D$4</f>
        <v>North</v>
      </c>
      <c r="BH113" s="197">
        <f ca="1">IFERROR(VLOOKUP(CONCATENATE(PlayerGameData[[#This Row],[Opponent]]," ",MONTH(PlayerGameData[[#This Row],[Date]]),"/",DAY(PlayerGameData[[#This Row],[Date]]),"/",YEAR(PlayerGameData[[#This Row],[Date]])),Table35[],2,FALSE),0)</f>
        <v>1</v>
      </c>
      <c r="BI113" s="197">
        <f ca="1">IF(PlayerGameData[[#This Row],[Visible]]=1,1,1000)</f>
        <v>1</v>
      </c>
      <c r="BJ113" s="197" t="e">
        <f ca="1">_xlfn.MAXIFS(TeamGameData[Win],TeamGameData[School, Opponent,Game'#],PlayerGameData[[#This Row],[School, Opponent,Game'#]])</f>
        <v>#NAME?</v>
      </c>
      <c r="BK113" s="197" t="e">
        <f ca="1">_xlfn.MAXIFS(TeamGameData[Loss],TeamGameData[School, Opponent,Game'#],PlayerGameData[[#This Row],[School, Opponent,Game'#]])</f>
        <v>#NAME?</v>
      </c>
    </row>
    <row r="114" spans="1:63" x14ac:dyDescent="0.25">
      <c r="A114" s="8" t="str">
        <f t="shared" ca="1" si="63"/>
        <v>Jacob McNutt, 34</v>
      </c>
      <c r="B114" s="8" t="str">
        <f>Roster!$B$1</f>
        <v>Upton</v>
      </c>
      <c r="C114" s="8" t="str">
        <f t="shared" ca="1" si="51"/>
        <v>Little Snake River</v>
      </c>
      <c r="D114" s="10">
        <f t="shared" ca="1" si="52"/>
        <v>44912</v>
      </c>
      <c r="E114" s="8">
        <f t="shared" ca="1" si="53"/>
        <v>0</v>
      </c>
      <c r="F114" s="8">
        <f t="shared" ca="1" si="54"/>
        <v>0</v>
      </c>
      <c r="G114" s="8">
        <f t="shared" ca="1" si="55"/>
        <v>0</v>
      </c>
      <c r="H114" s="8">
        <f t="shared" ca="1" si="56"/>
        <v>0</v>
      </c>
      <c r="I114" s="8">
        <f t="shared" ca="1" si="57"/>
        <v>0</v>
      </c>
      <c r="J114" s="8">
        <f t="shared" ca="1" si="58"/>
        <v>0</v>
      </c>
      <c r="K114" s="8">
        <f t="shared" ca="1" si="59"/>
        <v>0</v>
      </c>
      <c r="L114" s="8">
        <f t="shared" ca="1" si="64"/>
        <v>0</v>
      </c>
      <c r="M114" s="8">
        <f t="shared" ca="1" si="65"/>
        <v>0</v>
      </c>
      <c r="N114" s="8">
        <f t="shared" ca="1" si="66"/>
        <v>0</v>
      </c>
      <c r="O114" s="8">
        <f t="shared" ca="1" si="67"/>
        <v>0</v>
      </c>
      <c r="P114" s="8">
        <f t="shared" ca="1" si="68"/>
        <v>0</v>
      </c>
      <c r="Q114" s="8">
        <f t="shared" ca="1" si="69"/>
        <v>0</v>
      </c>
      <c r="R114" s="8">
        <f t="shared" ca="1" si="70"/>
        <v>0</v>
      </c>
      <c r="S114" s="8">
        <f t="shared" ca="1" si="71"/>
        <v>0</v>
      </c>
      <c r="T114" s="8">
        <f t="shared" ca="1" si="72"/>
        <v>0</v>
      </c>
      <c r="U114" s="8">
        <f t="shared" ca="1" si="73"/>
        <v>0</v>
      </c>
      <c r="V114" s="8">
        <f t="shared" ca="1" si="74"/>
        <v>0</v>
      </c>
      <c r="W114" s="11" t="str">
        <f t="shared" ca="1" si="75"/>
        <v/>
      </c>
      <c r="X114" s="11" t="str">
        <f t="shared" ca="1" si="76"/>
        <v/>
      </c>
      <c r="Y114" s="11" t="str">
        <f t="shared" ca="1" si="77"/>
        <v/>
      </c>
      <c r="Z114" s="11" t="str">
        <f t="shared" ca="1" si="78"/>
        <v/>
      </c>
      <c r="AA114" s="11" t="str">
        <f t="shared" ca="1" si="79"/>
        <v/>
      </c>
      <c r="AB114" s="47">
        <f ca="1">PlayerGameData[[#This Row],[3FGA]]+PlayerGameData[[#This Row],[2FGA]]</f>
        <v>0</v>
      </c>
      <c r="AC114" s="47">
        <f ca="1">PlayerGameData[[#This Row],[OFF REB]]+PlayerGameData[[#This Row],[DEF REB]]</f>
        <v>0</v>
      </c>
      <c r="AD114" s="8">
        <f t="shared" si="60"/>
        <v>5</v>
      </c>
      <c r="AE114" s="8" t="str">
        <f t="shared" ca="1" si="61"/>
        <v>Jacob McNutt, 34 - Little Snake River 12/17/2022</v>
      </c>
      <c r="AF114" s="8" t="str">
        <f t="shared" ca="1" si="80"/>
        <v/>
      </c>
      <c r="AG114" s="8" t="str">
        <f ca="1">IFERROR(IF(C114=0,"",IF(AND(VLOOKUP(PlayerGameData[[#This Row],[Opponent]],WYTeamInfo,2,FALSE)=Roster!$D$1,VLOOKUP(PlayerGameData[[#This Row],[Opponent]],WYTeamInfo,3,FALSE)=Roster!$D$2),"SR","")),"")</f>
        <v/>
      </c>
      <c r="AH114" s="8" t="str">
        <f>CONCATENATE(Roster!$D$1," ",Roster!$D$5)</f>
        <v>1A BB</v>
      </c>
      <c r="AI114" s="8" t="str">
        <f t="shared" ca="1" si="62"/>
        <v>Upton - Little Snake River 12/17/2022</v>
      </c>
      <c r="AJ114" s="8">
        <f ca="1">IFERROR(VLOOKUP(PlayerGameData[[#This Row],[School, Opponent,Game'#]],Table3[],2,FALSE),0)</f>
        <v>1</v>
      </c>
      <c r="AK114" s="8">
        <f ca="1">IF(PlayerGameData[[#This Row],[Visible]]=1,1,1000)</f>
        <v>1</v>
      </c>
      <c r="AL114" s="8">
        <f ca="1">RANK(PlayerGameData[[#This Row],[TL PTS]],PlayerGameData[TL PTS],0)+PlayerGameData[[#This Row],[VisibleOrder]]</f>
        <v>185</v>
      </c>
      <c r="AM114" s="8">
        <f ca="1">IF(COUNTIF(PlayerGameData[PointOrder],PlayerGameData[[#This Row],[PointOrder]])&gt;1,RANK(PlayerGameData[[#This Row],[FGA]],PlayerGameData[FGA],0)/100,0)+PlayerGameData[[#This Row],[PointOrder]]</f>
        <v>187.14</v>
      </c>
      <c r="AN114" s="8">
        <f ca="1">RANK(PlayerGameData[[#This Row],[PointTieBreak]],PlayerGameData[PointTieBreak],1)</f>
        <v>216</v>
      </c>
      <c r="AO114" s="8">
        <f ca="1">RANK(PlayerGameData[[#This Row],[REB]],PlayerGameData[REB],0)+PlayerGameData[[#This Row],[VisibleOrder]]</f>
        <v>192</v>
      </c>
      <c r="AP114" s="8">
        <f ca="1">IF(COUNTIF(PlayerGameData[REBOrder],PlayerGameData[[#This Row],[REBOrder]])&gt;1,PlayerGameData[[#This Row],[PointRank]]/100+PlayerGameData[[#This Row],[REBOrder]],PlayerGameData[[#This Row],[REBOrder]])</f>
        <v>194.16</v>
      </c>
      <c r="AQ114" s="8">
        <f ca="1">RANK(PlayerGameData[[#This Row],[REBTieBreak]],PlayerGameData[REBTieBreak],1)</f>
        <v>224</v>
      </c>
      <c r="AR114" s="8">
        <f ca="1">RANK(PlayerGameData[[#This Row],[AST]],PlayerGameData[AST],0)+PlayerGameData[[#This Row],[VisibleOrder]]</f>
        <v>158</v>
      </c>
      <c r="AS114" s="8">
        <f ca="1">IF(COUNTIF(PlayerGameData[ASTOrder],PlayerGameData[[#This Row],[ASTOrder]])&gt;1,PlayerGameData[[#This Row],[PointRank]]/100+PlayerGameData[[#This Row],[ASTOrder]],PlayerGameData[[#This Row],[ASTOrder]])</f>
        <v>160.16</v>
      </c>
      <c r="AT114" s="8">
        <f ca="1">RANK(PlayerGameData[[#This Row],[ASTTieBreak]],PlayerGameData[ASTTieBreak],1)</f>
        <v>221</v>
      </c>
      <c r="AU114" s="8">
        <f ca="1">RANK(PlayerGameData[[#This Row],[STL]],PlayerGameData[STL],0)+PlayerGameData[[#This Row],[VisibleOrder]]</f>
        <v>143</v>
      </c>
      <c r="AV114" s="8">
        <f ca="1">IF(COUNTIF(PlayerGameData[STLOrder],PlayerGameData[[#This Row],[STLOrder]])&gt;1,PlayerGameData[[#This Row],[PointRank]]/100+PlayerGameData[[#This Row],[STLOrder]],PlayerGameData[[#This Row],[STLOrder]])</f>
        <v>145.16</v>
      </c>
      <c r="AW114" s="8">
        <f ca="1">RANK(PlayerGameData[[#This Row],[STLTieBreak]],PlayerGameData[STLTieBreak],1)</f>
        <v>217</v>
      </c>
      <c r="AX114" s="8">
        <f ca="1">RANK(PlayerGameData[[#This Row],[BLK]],PlayerGameData[BLK],0)+PlayerGameData[[#This Row],[VisibleOrder]]</f>
        <v>32</v>
      </c>
      <c r="AY114" s="8">
        <f ca="1">IF(COUNTIF(PlayerGameData[BLKOrder],PlayerGameData[[#This Row],[BLKOrder]])&gt;1,PlayerGameData[[#This Row],[PointRank]]/100+PlayerGameData[[#This Row],[BLKOrder]],PlayerGameData[[#This Row],[BLKOrder]])</f>
        <v>34.159999999999997</v>
      </c>
      <c r="AZ114" s="8">
        <f ca="1">RANK(PlayerGameData[[#This Row],[BLKTieBreak]],PlayerGameData[BLKTieBreak],1)</f>
        <v>216</v>
      </c>
      <c r="BA114" s="11">
        <f ca="1">IFERROR(IF(PlayerGameData[[#This Row],[FGA]]&gt;$AA$5,PlayerGameData[[#This Row],[FG%*]],PlayerGameData[[#This Row],[FG%*]]*-1),-2)</f>
        <v>-2</v>
      </c>
      <c r="BB114" s="8">
        <f ca="1">RANK(PlayerGameData[[#This Row],[EligFG]],PlayerGameData[EligFG],0)+PlayerGameData[[#This Row],[VisibleOrder]]</f>
        <v>215</v>
      </c>
      <c r="BC114" s="8">
        <f ca="1">IF(COUNTIF(PlayerGameData[EligFGOrder],PlayerGameData[[#This Row],[EligFGOrder]])&gt;1,PlayerGameData[[#This Row],[PointRank]]/100+PlayerGameData[[#This Row],[EligFGOrder]],PlayerGameData[[#This Row],[EligFGOrder]])</f>
        <v>217.16</v>
      </c>
      <c r="BD114" s="8">
        <f ca="1">RANK(PlayerGameData[[#This Row],[EligFGTieBreak]],PlayerGameData[EligFGTieBreak],1)</f>
        <v>216</v>
      </c>
      <c r="BE114" s="8" t="str">
        <f>Roster!$D$3</f>
        <v>East</v>
      </c>
      <c r="BF114" s="8" t="str">
        <f>Roster!$D$2</f>
        <v>Northeast</v>
      </c>
      <c r="BG114" s="8" t="str">
        <f>Roster!$D$4</f>
        <v>North</v>
      </c>
      <c r="BH114" s="197">
        <f ca="1">IFERROR(VLOOKUP(CONCATENATE(PlayerGameData[[#This Row],[Opponent]]," ",MONTH(PlayerGameData[[#This Row],[Date]]),"/",DAY(PlayerGameData[[#This Row],[Date]]),"/",YEAR(PlayerGameData[[#This Row],[Date]])),Table35[],2,FALSE),0)</f>
        <v>1</v>
      </c>
      <c r="BI114" s="197">
        <f ca="1">IF(PlayerGameData[[#This Row],[Visible]]=1,1,1000)</f>
        <v>1</v>
      </c>
      <c r="BJ114" s="197" t="e">
        <f ca="1">_xlfn.MAXIFS(TeamGameData[Win],TeamGameData[School, Opponent,Game'#],PlayerGameData[[#This Row],[School, Opponent,Game'#]])</f>
        <v>#NAME?</v>
      </c>
      <c r="BK114" s="197" t="e">
        <f ca="1">_xlfn.MAXIFS(TeamGameData[Loss],TeamGameData[School, Opponent,Game'#],PlayerGameData[[#This Row],[School, Opponent,Game'#]])</f>
        <v>#NAME?</v>
      </c>
    </row>
    <row r="115" spans="1:63" x14ac:dyDescent="0.25">
      <c r="A115" s="8" t="str">
        <f t="shared" ca="1" si="63"/>
        <v>Ryan Baker, 35</v>
      </c>
      <c r="B115" s="8" t="str">
        <f>Roster!$B$1</f>
        <v>Upton</v>
      </c>
      <c r="C115" s="8" t="str">
        <f t="shared" ca="1" si="51"/>
        <v>Little Snake River</v>
      </c>
      <c r="D115" s="10">
        <f t="shared" ca="1" si="52"/>
        <v>44912</v>
      </c>
      <c r="E115" s="8">
        <f t="shared" ca="1" si="53"/>
        <v>1</v>
      </c>
      <c r="F115" s="8">
        <f t="shared" ca="1" si="54"/>
        <v>0</v>
      </c>
      <c r="G115" s="8">
        <f t="shared" ca="1" si="55"/>
        <v>11</v>
      </c>
      <c r="H115" s="8">
        <f t="shared" ca="1" si="56"/>
        <v>0</v>
      </c>
      <c r="I115" s="8">
        <f t="shared" ca="1" si="57"/>
        <v>0</v>
      </c>
      <c r="J115" s="8">
        <f t="shared" ca="1" si="58"/>
        <v>1</v>
      </c>
      <c r="K115" s="8">
        <f t="shared" ca="1" si="59"/>
        <v>1</v>
      </c>
      <c r="L115" s="8">
        <f t="shared" ca="1" si="64"/>
        <v>0</v>
      </c>
      <c r="M115" s="8">
        <f t="shared" ca="1" si="65"/>
        <v>0</v>
      </c>
      <c r="N115" s="8">
        <f t="shared" ca="1" si="66"/>
        <v>1</v>
      </c>
      <c r="O115" s="8">
        <f t="shared" ca="1" si="67"/>
        <v>2</v>
      </c>
      <c r="P115" s="8">
        <f t="shared" ca="1" si="68"/>
        <v>2</v>
      </c>
      <c r="Q115" s="8">
        <f t="shared" ca="1" si="69"/>
        <v>0</v>
      </c>
      <c r="R115" s="8">
        <f t="shared" ca="1" si="70"/>
        <v>0</v>
      </c>
      <c r="S115" s="8">
        <f t="shared" ca="1" si="71"/>
        <v>1</v>
      </c>
      <c r="T115" s="8">
        <f t="shared" ca="1" si="72"/>
        <v>0</v>
      </c>
      <c r="U115" s="8">
        <f t="shared" ca="1" si="73"/>
        <v>0</v>
      </c>
      <c r="V115" s="8">
        <f t="shared" ca="1" si="74"/>
        <v>2</v>
      </c>
      <c r="W115" s="11" t="str">
        <f t="shared" ca="1" si="75"/>
        <v/>
      </c>
      <c r="X115" s="11">
        <f t="shared" ca="1" si="76"/>
        <v>1</v>
      </c>
      <c r="Y115" s="11" t="str">
        <f t="shared" ca="1" si="77"/>
        <v/>
      </c>
      <c r="Z115" s="11">
        <f t="shared" ca="1" si="78"/>
        <v>1</v>
      </c>
      <c r="AA115" s="11">
        <f t="shared" ca="1" si="79"/>
        <v>1</v>
      </c>
      <c r="AB115" s="47">
        <f ca="1">PlayerGameData[[#This Row],[3FGA]]+PlayerGameData[[#This Row],[2FGA]]</f>
        <v>1</v>
      </c>
      <c r="AC115" s="47">
        <f ca="1">PlayerGameData[[#This Row],[OFF REB]]+PlayerGameData[[#This Row],[DEF REB]]</f>
        <v>3</v>
      </c>
      <c r="AD115" s="8">
        <f t="shared" si="60"/>
        <v>5</v>
      </c>
      <c r="AE115" s="8" t="str">
        <f t="shared" ca="1" si="61"/>
        <v>Ryan Baker, 35 - Little Snake River 12/17/2022</v>
      </c>
      <c r="AF115" s="8" t="str">
        <f t="shared" ca="1" si="80"/>
        <v/>
      </c>
      <c r="AG115" s="8" t="str">
        <f ca="1">IFERROR(IF(C115=0,"",IF(AND(VLOOKUP(PlayerGameData[[#This Row],[Opponent]],WYTeamInfo,2,FALSE)=Roster!$D$1,VLOOKUP(PlayerGameData[[#This Row],[Opponent]],WYTeamInfo,3,FALSE)=Roster!$D$2),"SR","")),"")</f>
        <v/>
      </c>
      <c r="AH115" s="8" t="str">
        <f>CONCATENATE(Roster!$D$1," ",Roster!$D$5)</f>
        <v>1A BB</v>
      </c>
      <c r="AI115" s="8" t="str">
        <f t="shared" ca="1" si="62"/>
        <v>Upton - Little Snake River 12/17/2022</v>
      </c>
      <c r="AJ115" s="8">
        <f ca="1">IFERROR(VLOOKUP(PlayerGameData[[#This Row],[School, Opponent,Game'#]],Table3[],2,FALSE),0)</f>
        <v>1</v>
      </c>
      <c r="AK115" s="8">
        <f ca="1">IF(PlayerGameData[[#This Row],[Visible]]=1,1,1000)</f>
        <v>1</v>
      </c>
      <c r="AL115" s="8">
        <f ca="1">RANK(PlayerGameData[[#This Row],[TL PTS]],PlayerGameData[TL PTS],0)+PlayerGameData[[#This Row],[VisibleOrder]]</f>
        <v>152</v>
      </c>
      <c r="AM115" s="8">
        <f ca="1">IF(COUNTIF(PlayerGameData[PointOrder],PlayerGameData[[#This Row],[PointOrder]])&gt;1,RANK(PlayerGameData[[#This Row],[FGA]],PlayerGameData[FGA],0)/100,0)+PlayerGameData[[#This Row],[PointOrder]]</f>
        <v>153.82</v>
      </c>
      <c r="AN115" s="8">
        <f ca="1">RANK(PlayerGameData[[#This Row],[PointTieBreak]],PlayerGameData[PointTieBreak],1)</f>
        <v>172</v>
      </c>
      <c r="AO115" s="8">
        <f ca="1">RANK(PlayerGameData[[#This Row],[REB]],PlayerGameData[REB],0)+PlayerGameData[[#This Row],[VisibleOrder]]</f>
        <v>108</v>
      </c>
      <c r="AP115" s="8">
        <f ca="1">IF(COUNTIF(PlayerGameData[REBOrder],PlayerGameData[[#This Row],[REBOrder]])&gt;1,PlayerGameData[[#This Row],[PointRank]]/100+PlayerGameData[[#This Row],[REBOrder]],PlayerGameData[[#This Row],[REBOrder]])</f>
        <v>109.72</v>
      </c>
      <c r="AQ115" s="8">
        <f ca="1">RANK(PlayerGameData[[#This Row],[REBTieBreak]],PlayerGameData[REBTieBreak],1)</f>
        <v>130</v>
      </c>
      <c r="AR115" s="8">
        <f ca="1">RANK(PlayerGameData[[#This Row],[AST]],PlayerGameData[AST],0)+PlayerGameData[[#This Row],[VisibleOrder]]</f>
        <v>69</v>
      </c>
      <c r="AS115" s="8">
        <f ca="1">IF(COUNTIF(PlayerGameData[ASTOrder],PlayerGameData[[#This Row],[ASTOrder]])&gt;1,PlayerGameData[[#This Row],[PointRank]]/100+PlayerGameData[[#This Row],[ASTOrder]],PlayerGameData[[#This Row],[ASTOrder]])</f>
        <v>70.72</v>
      </c>
      <c r="AT115" s="8">
        <f ca="1">RANK(PlayerGameData[[#This Row],[ASTTieBreak]],PlayerGameData[ASTTieBreak],1)</f>
        <v>109</v>
      </c>
      <c r="AU115" s="8">
        <f ca="1">RANK(PlayerGameData[[#This Row],[STL]],PlayerGameData[STL],0)+PlayerGameData[[#This Row],[VisibleOrder]]</f>
        <v>143</v>
      </c>
      <c r="AV115" s="8">
        <f ca="1">IF(COUNTIF(PlayerGameData[STLOrder],PlayerGameData[[#This Row],[STLOrder]])&gt;1,PlayerGameData[[#This Row],[PointRank]]/100+PlayerGameData[[#This Row],[STLOrder]],PlayerGameData[[#This Row],[STLOrder]])</f>
        <v>144.72</v>
      </c>
      <c r="AW115" s="8">
        <f ca="1">RANK(PlayerGameData[[#This Row],[STLTieBreak]],PlayerGameData[STLTieBreak],1)</f>
        <v>185</v>
      </c>
      <c r="AX115" s="8">
        <f ca="1">RANK(PlayerGameData[[#This Row],[BLK]],PlayerGameData[BLK],0)+PlayerGameData[[#This Row],[VisibleOrder]]</f>
        <v>32</v>
      </c>
      <c r="AY115" s="8">
        <f ca="1">IF(COUNTIF(PlayerGameData[BLKOrder],PlayerGameData[[#This Row],[BLKOrder]])&gt;1,PlayerGameData[[#This Row],[PointRank]]/100+PlayerGameData[[#This Row],[BLKOrder]],PlayerGameData[[#This Row],[BLKOrder]])</f>
        <v>33.72</v>
      </c>
      <c r="AZ115" s="8">
        <f ca="1">RANK(PlayerGameData[[#This Row],[BLKTieBreak]],PlayerGameData[BLKTieBreak],1)</f>
        <v>173</v>
      </c>
      <c r="BA115" s="11">
        <f ca="1">IFERROR(IF(PlayerGameData[[#This Row],[FGA]]&gt;$AA$5,PlayerGameData[[#This Row],[FG%*]],PlayerGameData[[#This Row],[FG%*]]*-1),-2)</f>
        <v>-1</v>
      </c>
      <c r="BB115" s="8">
        <f ca="1">RANK(PlayerGameData[[#This Row],[EligFG]],PlayerGameData[EligFG],0)+PlayerGameData[[#This Row],[VisibleOrder]]</f>
        <v>203</v>
      </c>
      <c r="BC115" s="8">
        <f ca="1">IF(COUNTIF(PlayerGameData[EligFGOrder],PlayerGameData[[#This Row],[EligFGOrder]])&gt;1,PlayerGameData[[#This Row],[PointRank]]/100+PlayerGameData[[#This Row],[EligFGOrder]],PlayerGameData[[#This Row],[EligFGOrder]])</f>
        <v>204.72</v>
      </c>
      <c r="BD115" s="8">
        <f ca="1">RANK(PlayerGameData[[#This Row],[EligFGTieBreak]],PlayerGameData[EligFGTieBreak],1)</f>
        <v>212</v>
      </c>
      <c r="BE115" s="8" t="str">
        <f>Roster!$D$3</f>
        <v>East</v>
      </c>
      <c r="BF115" s="8" t="str">
        <f>Roster!$D$2</f>
        <v>Northeast</v>
      </c>
      <c r="BG115" s="8" t="str">
        <f>Roster!$D$4</f>
        <v>North</v>
      </c>
      <c r="BH115" s="197">
        <f ca="1">IFERROR(VLOOKUP(CONCATENATE(PlayerGameData[[#This Row],[Opponent]]," ",MONTH(PlayerGameData[[#This Row],[Date]]),"/",DAY(PlayerGameData[[#This Row],[Date]]),"/",YEAR(PlayerGameData[[#This Row],[Date]])),Table35[],2,FALSE),0)</f>
        <v>1</v>
      </c>
      <c r="BI115" s="197">
        <f ca="1">IF(PlayerGameData[[#This Row],[Visible]]=1,1,1000)</f>
        <v>1</v>
      </c>
      <c r="BJ115" s="197" t="e">
        <f ca="1">_xlfn.MAXIFS(TeamGameData[Win],TeamGameData[School, Opponent,Game'#],PlayerGameData[[#This Row],[School, Opponent,Game'#]])</f>
        <v>#NAME?</v>
      </c>
      <c r="BK115" s="197" t="e">
        <f ca="1">_xlfn.MAXIFS(TeamGameData[Loss],TeamGameData[School, Opponent,Game'#],PlayerGameData[[#This Row],[School, Opponent,Game'#]])</f>
        <v>#NAME?</v>
      </c>
    </row>
    <row r="116" spans="1:63" x14ac:dyDescent="0.25">
      <c r="A116" s="8" t="str">
        <f t="shared" ca="1" si="63"/>
        <v xml:space="preserve">, </v>
      </c>
      <c r="B116" s="8" t="str">
        <f>Roster!$B$1</f>
        <v>Upton</v>
      </c>
      <c r="C116" s="8" t="str">
        <f t="shared" ca="1" si="51"/>
        <v>Little Snake River</v>
      </c>
      <c r="D116" s="10">
        <f t="shared" ca="1" si="52"/>
        <v>44912</v>
      </c>
      <c r="E116" s="8">
        <f t="shared" ca="1" si="53"/>
        <v>0</v>
      </c>
      <c r="F116" s="8">
        <f t="shared" ca="1" si="54"/>
        <v>0</v>
      </c>
      <c r="G116" s="8">
        <f t="shared" ca="1" si="55"/>
        <v>0</v>
      </c>
      <c r="H116" s="8">
        <f t="shared" ca="1" si="56"/>
        <v>0</v>
      </c>
      <c r="I116" s="8">
        <f t="shared" ca="1" si="57"/>
        <v>0</v>
      </c>
      <c r="J116" s="8">
        <f t="shared" ca="1" si="58"/>
        <v>0</v>
      </c>
      <c r="K116" s="8">
        <f t="shared" ca="1" si="59"/>
        <v>0</v>
      </c>
      <c r="L116" s="8">
        <f t="shared" ca="1" si="64"/>
        <v>0</v>
      </c>
      <c r="M116" s="8">
        <f t="shared" ca="1" si="65"/>
        <v>0</v>
      </c>
      <c r="N116" s="8">
        <f t="shared" ca="1" si="66"/>
        <v>0</v>
      </c>
      <c r="O116" s="8">
        <f t="shared" ca="1" si="67"/>
        <v>0</v>
      </c>
      <c r="P116" s="8">
        <f t="shared" ca="1" si="68"/>
        <v>0</v>
      </c>
      <c r="Q116" s="8">
        <f t="shared" ca="1" si="69"/>
        <v>0</v>
      </c>
      <c r="R116" s="8">
        <f t="shared" ca="1" si="70"/>
        <v>0</v>
      </c>
      <c r="S116" s="8">
        <f t="shared" ca="1" si="71"/>
        <v>0</v>
      </c>
      <c r="T116" s="8">
        <f t="shared" ca="1" si="72"/>
        <v>0</v>
      </c>
      <c r="U116" s="8">
        <f t="shared" ca="1" si="73"/>
        <v>0</v>
      </c>
      <c r="V116" s="8">
        <f t="shared" ca="1" si="74"/>
        <v>0</v>
      </c>
      <c r="W116" s="11" t="str">
        <f t="shared" ca="1" si="75"/>
        <v/>
      </c>
      <c r="X116" s="11" t="str">
        <f t="shared" ca="1" si="76"/>
        <v/>
      </c>
      <c r="Y116" s="11" t="str">
        <f t="shared" ca="1" si="77"/>
        <v/>
      </c>
      <c r="Z116" s="11" t="str">
        <f t="shared" ca="1" si="78"/>
        <v/>
      </c>
      <c r="AA116" s="11" t="str">
        <f t="shared" ca="1" si="79"/>
        <v/>
      </c>
      <c r="AB116" s="47">
        <f ca="1">PlayerGameData[[#This Row],[3FGA]]+PlayerGameData[[#This Row],[2FGA]]</f>
        <v>0</v>
      </c>
      <c r="AC116" s="47">
        <f ca="1">PlayerGameData[[#This Row],[OFF REB]]+PlayerGameData[[#This Row],[DEF REB]]</f>
        <v>0</v>
      </c>
      <c r="AD116" s="8">
        <f t="shared" si="60"/>
        <v>5</v>
      </c>
      <c r="AE116" s="8" t="str">
        <f t="shared" ca="1" si="61"/>
        <v>,  - Little Snake River 12/17/2022</v>
      </c>
      <c r="AF116" s="8" t="str">
        <f t="shared" ca="1" si="80"/>
        <v/>
      </c>
      <c r="AG116" s="8" t="str">
        <f ca="1">IFERROR(IF(C116=0,"",IF(AND(VLOOKUP(PlayerGameData[[#This Row],[Opponent]],WYTeamInfo,2,FALSE)=Roster!$D$1,VLOOKUP(PlayerGameData[[#This Row],[Opponent]],WYTeamInfo,3,FALSE)=Roster!$D$2),"SR","")),"")</f>
        <v/>
      </c>
      <c r="AH116" s="8" t="str">
        <f>CONCATENATE(Roster!$D$1," ",Roster!$D$5)</f>
        <v>1A BB</v>
      </c>
      <c r="AI116" s="8" t="str">
        <f t="shared" ca="1" si="62"/>
        <v>Upton - Little Snake River 12/17/2022</v>
      </c>
      <c r="AJ116" s="8">
        <f ca="1">IFERROR(VLOOKUP(PlayerGameData[[#This Row],[School, Opponent,Game'#]],Table3[],2,FALSE),0)</f>
        <v>1</v>
      </c>
      <c r="AK116" s="8">
        <f ca="1">IF(PlayerGameData[[#This Row],[Visible]]=1,1,1000)</f>
        <v>1</v>
      </c>
      <c r="AL116" s="8">
        <f ca="1">RANK(PlayerGameData[[#This Row],[TL PTS]],PlayerGameData[TL PTS],0)+PlayerGameData[[#This Row],[VisibleOrder]]</f>
        <v>185</v>
      </c>
      <c r="AM116" s="8">
        <f ca="1">IF(COUNTIF(PlayerGameData[PointOrder],PlayerGameData[[#This Row],[PointOrder]])&gt;1,RANK(PlayerGameData[[#This Row],[FGA]],PlayerGameData[FGA],0)/100,0)+PlayerGameData[[#This Row],[PointOrder]]</f>
        <v>187.14</v>
      </c>
      <c r="AN116" s="8">
        <f ca="1">RANK(PlayerGameData[[#This Row],[PointTieBreak]],PlayerGameData[PointTieBreak],1)</f>
        <v>216</v>
      </c>
      <c r="AO116" s="8">
        <f ca="1">RANK(PlayerGameData[[#This Row],[REB]],PlayerGameData[REB],0)+PlayerGameData[[#This Row],[VisibleOrder]]</f>
        <v>192</v>
      </c>
      <c r="AP116" s="8">
        <f ca="1">IF(COUNTIF(PlayerGameData[REBOrder],PlayerGameData[[#This Row],[REBOrder]])&gt;1,PlayerGameData[[#This Row],[PointRank]]/100+PlayerGameData[[#This Row],[REBOrder]],PlayerGameData[[#This Row],[REBOrder]])</f>
        <v>194.16</v>
      </c>
      <c r="AQ116" s="8">
        <f ca="1">RANK(PlayerGameData[[#This Row],[REBTieBreak]],PlayerGameData[REBTieBreak],1)</f>
        <v>224</v>
      </c>
      <c r="AR116" s="8">
        <f ca="1">RANK(PlayerGameData[[#This Row],[AST]],PlayerGameData[AST],0)+PlayerGameData[[#This Row],[VisibleOrder]]</f>
        <v>158</v>
      </c>
      <c r="AS116" s="8">
        <f ca="1">IF(COUNTIF(PlayerGameData[ASTOrder],PlayerGameData[[#This Row],[ASTOrder]])&gt;1,PlayerGameData[[#This Row],[PointRank]]/100+PlayerGameData[[#This Row],[ASTOrder]],PlayerGameData[[#This Row],[ASTOrder]])</f>
        <v>160.16</v>
      </c>
      <c r="AT116" s="8">
        <f ca="1">RANK(PlayerGameData[[#This Row],[ASTTieBreak]],PlayerGameData[ASTTieBreak],1)</f>
        <v>221</v>
      </c>
      <c r="AU116" s="8">
        <f ca="1">RANK(PlayerGameData[[#This Row],[STL]],PlayerGameData[STL],0)+PlayerGameData[[#This Row],[VisibleOrder]]</f>
        <v>143</v>
      </c>
      <c r="AV116" s="8">
        <f ca="1">IF(COUNTIF(PlayerGameData[STLOrder],PlayerGameData[[#This Row],[STLOrder]])&gt;1,PlayerGameData[[#This Row],[PointRank]]/100+PlayerGameData[[#This Row],[STLOrder]],PlayerGameData[[#This Row],[STLOrder]])</f>
        <v>145.16</v>
      </c>
      <c r="AW116" s="8">
        <f ca="1">RANK(PlayerGameData[[#This Row],[STLTieBreak]],PlayerGameData[STLTieBreak],1)</f>
        <v>217</v>
      </c>
      <c r="AX116" s="8">
        <f ca="1">RANK(PlayerGameData[[#This Row],[BLK]],PlayerGameData[BLK],0)+PlayerGameData[[#This Row],[VisibleOrder]]</f>
        <v>32</v>
      </c>
      <c r="AY116" s="8">
        <f ca="1">IF(COUNTIF(PlayerGameData[BLKOrder],PlayerGameData[[#This Row],[BLKOrder]])&gt;1,PlayerGameData[[#This Row],[PointRank]]/100+PlayerGameData[[#This Row],[BLKOrder]],PlayerGameData[[#This Row],[BLKOrder]])</f>
        <v>34.159999999999997</v>
      </c>
      <c r="AZ116" s="8">
        <f ca="1">RANK(PlayerGameData[[#This Row],[BLKTieBreak]],PlayerGameData[BLKTieBreak],1)</f>
        <v>216</v>
      </c>
      <c r="BA116" s="11">
        <f ca="1">IFERROR(IF(PlayerGameData[[#This Row],[FGA]]&gt;$AA$5,PlayerGameData[[#This Row],[FG%*]],PlayerGameData[[#This Row],[FG%*]]*-1),-2)</f>
        <v>-2</v>
      </c>
      <c r="BB116" s="8">
        <f ca="1">RANK(PlayerGameData[[#This Row],[EligFG]],PlayerGameData[EligFG],0)+PlayerGameData[[#This Row],[VisibleOrder]]</f>
        <v>215</v>
      </c>
      <c r="BC116" s="8">
        <f ca="1">IF(COUNTIF(PlayerGameData[EligFGOrder],PlayerGameData[[#This Row],[EligFGOrder]])&gt;1,PlayerGameData[[#This Row],[PointRank]]/100+PlayerGameData[[#This Row],[EligFGOrder]],PlayerGameData[[#This Row],[EligFGOrder]])</f>
        <v>217.16</v>
      </c>
      <c r="BD116" s="8">
        <f ca="1">RANK(PlayerGameData[[#This Row],[EligFGTieBreak]],PlayerGameData[EligFGTieBreak],1)</f>
        <v>216</v>
      </c>
      <c r="BE116" s="8" t="str">
        <f>Roster!$D$3</f>
        <v>East</v>
      </c>
      <c r="BF116" s="8" t="str">
        <f>Roster!$D$2</f>
        <v>Northeast</v>
      </c>
      <c r="BG116" s="8" t="str">
        <f>Roster!$D$4</f>
        <v>North</v>
      </c>
      <c r="BH116" s="197">
        <f ca="1">IFERROR(VLOOKUP(CONCATENATE(PlayerGameData[[#This Row],[Opponent]]," ",MONTH(PlayerGameData[[#This Row],[Date]]),"/",DAY(PlayerGameData[[#This Row],[Date]]),"/",YEAR(PlayerGameData[[#This Row],[Date]])),Table35[],2,FALSE),0)</f>
        <v>1</v>
      </c>
      <c r="BI116" s="197">
        <f ca="1">IF(PlayerGameData[[#This Row],[Visible]]=1,1,1000)</f>
        <v>1</v>
      </c>
      <c r="BJ116" s="197" t="e">
        <f ca="1">_xlfn.MAXIFS(TeamGameData[Win],TeamGameData[School, Opponent,Game'#],PlayerGameData[[#This Row],[School, Opponent,Game'#]])</f>
        <v>#NAME?</v>
      </c>
      <c r="BK116" s="197" t="e">
        <f ca="1">_xlfn.MAXIFS(TeamGameData[Loss],TeamGameData[School, Opponent,Game'#],PlayerGameData[[#This Row],[School, Opponent,Game'#]])</f>
        <v>#NAME?</v>
      </c>
    </row>
    <row r="117" spans="1:63" x14ac:dyDescent="0.25">
      <c r="A117" s="8" t="str">
        <f t="shared" ca="1" si="63"/>
        <v xml:space="preserve">, </v>
      </c>
      <c r="B117" s="8" t="str">
        <f>Roster!$B$1</f>
        <v>Upton</v>
      </c>
      <c r="C117" s="8" t="str">
        <f t="shared" ca="1" si="51"/>
        <v>Little Snake River</v>
      </c>
      <c r="D117" s="10">
        <f t="shared" ca="1" si="52"/>
        <v>44912</v>
      </c>
      <c r="E117" s="8">
        <f t="shared" ca="1" si="53"/>
        <v>0</v>
      </c>
      <c r="F117" s="8">
        <f t="shared" ca="1" si="54"/>
        <v>0</v>
      </c>
      <c r="G117" s="8">
        <f t="shared" ca="1" si="55"/>
        <v>0</v>
      </c>
      <c r="H117" s="8">
        <f t="shared" ca="1" si="56"/>
        <v>0</v>
      </c>
      <c r="I117" s="8">
        <f t="shared" ca="1" si="57"/>
        <v>0</v>
      </c>
      <c r="J117" s="8">
        <f t="shared" ca="1" si="58"/>
        <v>0</v>
      </c>
      <c r="K117" s="8">
        <f t="shared" ca="1" si="59"/>
        <v>0</v>
      </c>
      <c r="L117" s="8">
        <f t="shared" ca="1" si="64"/>
        <v>0</v>
      </c>
      <c r="M117" s="8">
        <f t="shared" ca="1" si="65"/>
        <v>0</v>
      </c>
      <c r="N117" s="8">
        <f t="shared" ca="1" si="66"/>
        <v>0</v>
      </c>
      <c r="O117" s="8">
        <f t="shared" ca="1" si="67"/>
        <v>0</v>
      </c>
      <c r="P117" s="8">
        <f t="shared" ca="1" si="68"/>
        <v>0</v>
      </c>
      <c r="Q117" s="8">
        <f t="shared" ca="1" si="69"/>
        <v>0</v>
      </c>
      <c r="R117" s="8">
        <f t="shared" ca="1" si="70"/>
        <v>0</v>
      </c>
      <c r="S117" s="8">
        <f t="shared" ca="1" si="71"/>
        <v>0</v>
      </c>
      <c r="T117" s="8">
        <f t="shared" ca="1" si="72"/>
        <v>0</v>
      </c>
      <c r="U117" s="8">
        <f t="shared" ca="1" si="73"/>
        <v>0</v>
      </c>
      <c r="V117" s="8">
        <f t="shared" ca="1" si="74"/>
        <v>0</v>
      </c>
      <c r="W117" s="11" t="str">
        <f t="shared" ca="1" si="75"/>
        <v/>
      </c>
      <c r="X117" s="11" t="str">
        <f t="shared" ca="1" si="76"/>
        <v/>
      </c>
      <c r="Y117" s="11" t="str">
        <f t="shared" ca="1" si="77"/>
        <v/>
      </c>
      <c r="Z117" s="11" t="str">
        <f t="shared" ca="1" si="78"/>
        <v/>
      </c>
      <c r="AA117" s="11" t="str">
        <f t="shared" ca="1" si="79"/>
        <v/>
      </c>
      <c r="AB117" s="47">
        <f ca="1">PlayerGameData[[#This Row],[3FGA]]+PlayerGameData[[#This Row],[2FGA]]</f>
        <v>0</v>
      </c>
      <c r="AC117" s="47">
        <f ca="1">PlayerGameData[[#This Row],[OFF REB]]+PlayerGameData[[#This Row],[DEF REB]]</f>
        <v>0</v>
      </c>
      <c r="AD117" s="8">
        <f t="shared" si="60"/>
        <v>5</v>
      </c>
      <c r="AE117" s="8" t="str">
        <f t="shared" ca="1" si="61"/>
        <v>,  - Little Snake River 12/17/2022</v>
      </c>
      <c r="AF117" s="8" t="str">
        <f t="shared" ca="1" si="80"/>
        <v/>
      </c>
      <c r="AG117" s="8" t="str">
        <f ca="1">IFERROR(IF(C117=0,"",IF(AND(VLOOKUP(PlayerGameData[[#This Row],[Opponent]],WYTeamInfo,2,FALSE)=Roster!$D$1,VLOOKUP(PlayerGameData[[#This Row],[Opponent]],WYTeamInfo,3,FALSE)=Roster!$D$2),"SR","")),"")</f>
        <v/>
      </c>
      <c r="AH117" s="8" t="str">
        <f>CONCATENATE(Roster!$D$1," ",Roster!$D$5)</f>
        <v>1A BB</v>
      </c>
      <c r="AI117" s="8" t="str">
        <f t="shared" ca="1" si="62"/>
        <v>Upton - Little Snake River 12/17/2022</v>
      </c>
      <c r="AJ117" s="8">
        <f ca="1">IFERROR(VLOOKUP(PlayerGameData[[#This Row],[School, Opponent,Game'#]],Table3[],2,FALSE),0)</f>
        <v>1</v>
      </c>
      <c r="AK117" s="8">
        <f ca="1">IF(PlayerGameData[[#This Row],[Visible]]=1,1,1000)</f>
        <v>1</v>
      </c>
      <c r="AL117" s="8">
        <f ca="1">RANK(PlayerGameData[[#This Row],[TL PTS]],PlayerGameData[TL PTS],0)+PlayerGameData[[#This Row],[VisibleOrder]]</f>
        <v>185</v>
      </c>
      <c r="AM117" s="8">
        <f ca="1">IF(COUNTIF(PlayerGameData[PointOrder],PlayerGameData[[#This Row],[PointOrder]])&gt;1,RANK(PlayerGameData[[#This Row],[FGA]],PlayerGameData[FGA],0)/100,0)+PlayerGameData[[#This Row],[PointOrder]]</f>
        <v>187.14</v>
      </c>
      <c r="AN117" s="8">
        <f ca="1">RANK(PlayerGameData[[#This Row],[PointTieBreak]],PlayerGameData[PointTieBreak],1)</f>
        <v>216</v>
      </c>
      <c r="AO117" s="8">
        <f ca="1">RANK(PlayerGameData[[#This Row],[REB]],PlayerGameData[REB],0)+PlayerGameData[[#This Row],[VisibleOrder]]</f>
        <v>192</v>
      </c>
      <c r="AP117" s="8">
        <f ca="1">IF(COUNTIF(PlayerGameData[REBOrder],PlayerGameData[[#This Row],[REBOrder]])&gt;1,PlayerGameData[[#This Row],[PointRank]]/100+PlayerGameData[[#This Row],[REBOrder]],PlayerGameData[[#This Row],[REBOrder]])</f>
        <v>194.16</v>
      </c>
      <c r="AQ117" s="8">
        <f ca="1">RANK(PlayerGameData[[#This Row],[REBTieBreak]],PlayerGameData[REBTieBreak],1)</f>
        <v>224</v>
      </c>
      <c r="AR117" s="8">
        <f ca="1">RANK(PlayerGameData[[#This Row],[AST]],PlayerGameData[AST],0)+PlayerGameData[[#This Row],[VisibleOrder]]</f>
        <v>158</v>
      </c>
      <c r="AS117" s="8">
        <f ca="1">IF(COUNTIF(PlayerGameData[ASTOrder],PlayerGameData[[#This Row],[ASTOrder]])&gt;1,PlayerGameData[[#This Row],[PointRank]]/100+PlayerGameData[[#This Row],[ASTOrder]],PlayerGameData[[#This Row],[ASTOrder]])</f>
        <v>160.16</v>
      </c>
      <c r="AT117" s="8">
        <f ca="1">RANK(PlayerGameData[[#This Row],[ASTTieBreak]],PlayerGameData[ASTTieBreak],1)</f>
        <v>221</v>
      </c>
      <c r="AU117" s="8">
        <f ca="1">RANK(PlayerGameData[[#This Row],[STL]],PlayerGameData[STL],0)+PlayerGameData[[#This Row],[VisibleOrder]]</f>
        <v>143</v>
      </c>
      <c r="AV117" s="8">
        <f ca="1">IF(COUNTIF(PlayerGameData[STLOrder],PlayerGameData[[#This Row],[STLOrder]])&gt;1,PlayerGameData[[#This Row],[PointRank]]/100+PlayerGameData[[#This Row],[STLOrder]],PlayerGameData[[#This Row],[STLOrder]])</f>
        <v>145.16</v>
      </c>
      <c r="AW117" s="8">
        <f ca="1">RANK(PlayerGameData[[#This Row],[STLTieBreak]],PlayerGameData[STLTieBreak],1)</f>
        <v>217</v>
      </c>
      <c r="AX117" s="8">
        <f ca="1">RANK(PlayerGameData[[#This Row],[BLK]],PlayerGameData[BLK],0)+PlayerGameData[[#This Row],[VisibleOrder]]</f>
        <v>32</v>
      </c>
      <c r="AY117" s="8">
        <f ca="1">IF(COUNTIF(PlayerGameData[BLKOrder],PlayerGameData[[#This Row],[BLKOrder]])&gt;1,PlayerGameData[[#This Row],[PointRank]]/100+PlayerGameData[[#This Row],[BLKOrder]],PlayerGameData[[#This Row],[BLKOrder]])</f>
        <v>34.159999999999997</v>
      </c>
      <c r="AZ117" s="8">
        <f ca="1">RANK(PlayerGameData[[#This Row],[BLKTieBreak]],PlayerGameData[BLKTieBreak],1)</f>
        <v>216</v>
      </c>
      <c r="BA117" s="11">
        <f ca="1">IFERROR(IF(PlayerGameData[[#This Row],[FGA]]&gt;$AA$5,PlayerGameData[[#This Row],[FG%*]],PlayerGameData[[#This Row],[FG%*]]*-1),-2)</f>
        <v>-2</v>
      </c>
      <c r="BB117" s="8">
        <f ca="1">RANK(PlayerGameData[[#This Row],[EligFG]],PlayerGameData[EligFG],0)+PlayerGameData[[#This Row],[VisibleOrder]]</f>
        <v>215</v>
      </c>
      <c r="BC117" s="8">
        <f ca="1">IF(COUNTIF(PlayerGameData[EligFGOrder],PlayerGameData[[#This Row],[EligFGOrder]])&gt;1,PlayerGameData[[#This Row],[PointRank]]/100+PlayerGameData[[#This Row],[EligFGOrder]],PlayerGameData[[#This Row],[EligFGOrder]])</f>
        <v>217.16</v>
      </c>
      <c r="BD117" s="8">
        <f ca="1">RANK(PlayerGameData[[#This Row],[EligFGTieBreak]],PlayerGameData[EligFGTieBreak],1)</f>
        <v>216</v>
      </c>
      <c r="BE117" s="8" t="str">
        <f>Roster!$D$3</f>
        <v>East</v>
      </c>
      <c r="BF117" s="8" t="str">
        <f>Roster!$D$2</f>
        <v>Northeast</v>
      </c>
      <c r="BG117" s="8" t="str">
        <f>Roster!$D$4</f>
        <v>North</v>
      </c>
      <c r="BH117" s="197">
        <f ca="1">IFERROR(VLOOKUP(CONCATENATE(PlayerGameData[[#This Row],[Opponent]]," ",MONTH(PlayerGameData[[#This Row],[Date]]),"/",DAY(PlayerGameData[[#This Row],[Date]]),"/",YEAR(PlayerGameData[[#This Row],[Date]])),Table35[],2,FALSE),0)</f>
        <v>1</v>
      </c>
      <c r="BI117" s="197">
        <f ca="1">IF(PlayerGameData[[#This Row],[Visible]]=1,1,1000)</f>
        <v>1</v>
      </c>
      <c r="BJ117" s="197" t="e">
        <f ca="1">_xlfn.MAXIFS(TeamGameData[Win],TeamGameData[School, Opponent,Game'#],PlayerGameData[[#This Row],[School, Opponent,Game'#]])</f>
        <v>#NAME?</v>
      </c>
      <c r="BK117" s="197" t="e">
        <f ca="1">_xlfn.MAXIFS(TeamGameData[Loss],TeamGameData[School, Opponent,Game'#],PlayerGameData[[#This Row],[School, Opponent,Game'#]])</f>
        <v>#NAME?</v>
      </c>
    </row>
    <row r="118" spans="1:63" x14ac:dyDescent="0.25">
      <c r="A118" s="8" t="str">
        <f t="shared" ca="1" si="63"/>
        <v xml:space="preserve">, </v>
      </c>
      <c r="B118" s="8" t="str">
        <f>Roster!$B$1</f>
        <v>Upton</v>
      </c>
      <c r="C118" s="8" t="str">
        <f t="shared" ca="1" si="51"/>
        <v>Little Snake River</v>
      </c>
      <c r="D118" s="10">
        <f t="shared" ca="1" si="52"/>
        <v>44912</v>
      </c>
      <c r="E118" s="8">
        <f t="shared" ca="1" si="53"/>
        <v>0</v>
      </c>
      <c r="F118" s="8">
        <f t="shared" ca="1" si="54"/>
        <v>0</v>
      </c>
      <c r="G118" s="8">
        <f t="shared" ca="1" si="55"/>
        <v>0</v>
      </c>
      <c r="H118" s="8">
        <f t="shared" ca="1" si="56"/>
        <v>0</v>
      </c>
      <c r="I118" s="8">
        <f t="shared" ca="1" si="57"/>
        <v>0</v>
      </c>
      <c r="J118" s="8">
        <f t="shared" ca="1" si="58"/>
        <v>0</v>
      </c>
      <c r="K118" s="8">
        <f t="shared" ca="1" si="59"/>
        <v>0</v>
      </c>
      <c r="L118" s="8">
        <f t="shared" ca="1" si="64"/>
        <v>0</v>
      </c>
      <c r="M118" s="8">
        <f t="shared" ca="1" si="65"/>
        <v>0</v>
      </c>
      <c r="N118" s="8">
        <f t="shared" ca="1" si="66"/>
        <v>0</v>
      </c>
      <c r="O118" s="8">
        <f t="shared" ca="1" si="67"/>
        <v>0</v>
      </c>
      <c r="P118" s="8">
        <f t="shared" ca="1" si="68"/>
        <v>0</v>
      </c>
      <c r="Q118" s="8">
        <f t="shared" ca="1" si="69"/>
        <v>0</v>
      </c>
      <c r="R118" s="8">
        <f t="shared" ca="1" si="70"/>
        <v>0</v>
      </c>
      <c r="S118" s="8">
        <f t="shared" ca="1" si="71"/>
        <v>0</v>
      </c>
      <c r="T118" s="8">
        <f t="shared" ca="1" si="72"/>
        <v>0</v>
      </c>
      <c r="U118" s="8">
        <f t="shared" ca="1" si="73"/>
        <v>0</v>
      </c>
      <c r="V118" s="8">
        <f t="shared" ca="1" si="74"/>
        <v>0</v>
      </c>
      <c r="W118" s="11" t="str">
        <f t="shared" ca="1" si="75"/>
        <v/>
      </c>
      <c r="X118" s="11" t="str">
        <f t="shared" ca="1" si="76"/>
        <v/>
      </c>
      <c r="Y118" s="11" t="str">
        <f t="shared" ca="1" si="77"/>
        <v/>
      </c>
      <c r="Z118" s="11" t="str">
        <f t="shared" ca="1" si="78"/>
        <v/>
      </c>
      <c r="AA118" s="11" t="str">
        <f t="shared" ca="1" si="79"/>
        <v/>
      </c>
      <c r="AB118" s="47">
        <f ca="1">PlayerGameData[[#This Row],[3FGA]]+PlayerGameData[[#This Row],[2FGA]]</f>
        <v>0</v>
      </c>
      <c r="AC118" s="47">
        <f ca="1">PlayerGameData[[#This Row],[OFF REB]]+PlayerGameData[[#This Row],[DEF REB]]</f>
        <v>0</v>
      </c>
      <c r="AD118" s="8">
        <f t="shared" si="60"/>
        <v>5</v>
      </c>
      <c r="AE118" s="8" t="str">
        <f t="shared" ca="1" si="61"/>
        <v>,  - Little Snake River 12/17/2022</v>
      </c>
      <c r="AF118" s="8" t="str">
        <f t="shared" ca="1" si="80"/>
        <v/>
      </c>
      <c r="AG118" s="8" t="str">
        <f ca="1">IFERROR(IF(C118=0,"",IF(AND(VLOOKUP(PlayerGameData[[#This Row],[Opponent]],WYTeamInfo,2,FALSE)=Roster!$D$1,VLOOKUP(PlayerGameData[[#This Row],[Opponent]],WYTeamInfo,3,FALSE)=Roster!$D$2),"SR","")),"")</f>
        <v/>
      </c>
      <c r="AH118" s="8" t="str">
        <f>CONCATENATE(Roster!$D$1," ",Roster!$D$5)</f>
        <v>1A BB</v>
      </c>
      <c r="AI118" s="8" t="str">
        <f t="shared" ca="1" si="62"/>
        <v>Upton - Little Snake River 12/17/2022</v>
      </c>
      <c r="AJ118" s="8">
        <f ca="1">IFERROR(VLOOKUP(PlayerGameData[[#This Row],[School, Opponent,Game'#]],Table3[],2,FALSE),0)</f>
        <v>1</v>
      </c>
      <c r="AK118" s="8">
        <f ca="1">IF(PlayerGameData[[#This Row],[Visible]]=1,1,1000)</f>
        <v>1</v>
      </c>
      <c r="AL118" s="8">
        <f ca="1">RANK(PlayerGameData[[#This Row],[TL PTS]],PlayerGameData[TL PTS],0)+PlayerGameData[[#This Row],[VisibleOrder]]</f>
        <v>185</v>
      </c>
      <c r="AM118" s="8">
        <f ca="1">IF(COUNTIF(PlayerGameData[PointOrder],PlayerGameData[[#This Row],[PointOrder]])&gt;1,RANK(PlayerGameData[[#This Row],[FGA]],PlayerGameData[FGA],0)/100,0)+PlayerGameData[[#This Row],[PointOrder]]</f>
        <v>187.14</v>
      </c>
      <c r="AN118" s="8">
        <f ca="1">RANK(PlayerGameData[[#This Row],[PointTieBreak]],PlayerGameData[PointTieBreak],1)</f>
        <v>216</v>
      </c>
      <c r="AO118" s="8">
        <f ca="1">RANK(PlayerGameData[[#This Row],[REB]],PlayerGameData[REB],0)+PlayerGameData[[#This Row],[VisibleOrder]]</f>
        <v>192</v>
      </c>
      <c r="AP118" s="8">
        <f ca="1">IF(COUNTIF(PlayerGameData[REBOrder],PlayerGameData[[#This Row],[REBOrder]])&gt;1,PlayerGameData[[#This Row],[PointRank]]/100+PlayerGameData[[#This Row],[REBOrder]],PlayerGameData[[#This Row],[REBOrder]])</f>
        <v>194.16</v>
      </c>
      <c r="AQ118" s="8">
        <f ca="1">RANK(PlayerGameData[[#This Row],[REBTieBreak]],PlayerGameData[REBTieBreak],1)</f>
        <v>224</v>
      </c>
      <c r="AR118" s="8">
        <f ca="1">RANK(PlayerGameData[[#This Row],[AST]],PlayerGameData[AST],0)+PlayerGameData[[#This Row],[VisibleOrder]]</f>
        <v>158</v>
      </c>
      <c r="AS118" s="8">
        <f ca="1">IF(COUNTIF(PlayerGameData[ASTOrder],PlayerGameData[[#This Row],[ASTOrder]])&gt;1,PlayerGameData[[#This Row],[PointRank]]/100+PlayerGameData[[#This Row],[ASTOrder]],PlayerGameData[[#This Row],[ASTOrder]])</f>
        <v>160.16</v>
      </c>
      <c r="AT118" s="8">
        <f ca="1">RANK(PlayerGameData[[#This Row],[ASTTieBreak]],PlayerGameData[ASTTieBreak],1)</f>
        <v>221</v>
      </c>
      <c r="AU118" s="8">
        <f ca="1">RANK(PlayerGameData[[#This Row],[STL]],PlayerGameData[STL],0)+PlayerGameData[[#This Row],[VisibleOrder]]</f>
        <v>143</v>
      </c>
      <c r="AV118" s="8">
        <f ca="1">IF(COUNTIF(PlayerGameData[STLOrder],PlayerGameData[[#This Row],[STLOrder]])&gt;1,PlayerGameData[[#This Row],[PointRank]]/100+PlayerGameData[[#This Row],[STLOrder]],PlayerGameData[[#This Row],[STLOrder]])</f>
        <v>145.16</v>
      </c>
      <c r="AW118" s="8">
        <f ca="1">RANK(PlayerGameData[[#This Row],[STLTieBreak]],PlayerGameData[STLTieBreak],1)</f>
        <v>217</v>
      </c>
      <c r="AX118" s="8">
        <f ca="1">RANK(PlayerGameData[[#This Row],[BLK]],PlayerGameData[BLK],0)+PlayerGameData[[#This Row],[VisibleOrder]]</f>
        <v>32</v>
      </c>
      <c r="AY118" s="8">
        <f ca="1">IF(COUNTIF(PlayerGameData[BLKOrder],PlayerGameData[[#This Row],[BLKOrder]])&gt;1,PlayerGameData[[#This Row],[PointRank]]/100+PlayerGameData[[#This Row],[BLKOrder]],PlayerGameData[[#This Row],[BLKOrder]])</f>
        <v>34.159999999999997</v>
      </c>
      <c r="AZ118" s="8">
        <f ca="1">RANK(PlayerGameData[[#This Row],[BLKTieBreak]],PlayerGameData[BLKTieBreak],1)</f>
        <v>216</v>
      </c>
      <c r="BA118" s="11">
        <f ca="1">IFERROR(IF(PlayerGameData[[#This Row],[FGA]]&gt;$AA$5,PlayerGameData[[#This Row],[FG%*]],PlayerGameData[[#This Row],[FG%*]]*-1),-2)</f>
        <v>-2</v>
      </c>
      <c r="BB118" s="8">
        <f ca="1">RANK(PlayerGameData[[#This Row],[EligFG]],PlayerGameData[EligFG],0)+PlayerGameData[[#This Row],[VisibleOrder]]</f>
        <v>215</v>
      </c>
      <c r="BC118" s="8">
        <f ca="1">IF(COUNTIF(PlayerGameData[EligFGOrder],PlayerGameData[[#This Row],[EligFGOrder]])&gt;1,PlayerGameData[[#This Row],[PointRank]]/100+PlayerGameData[[#This Row],[EligFGOrder]],PlayerGameData[[#This Row],[EligFGOrder]])</f>
        <v>217.16</v>
      </c>
      <c r="BD118" s="8">
        <f ca="1">RANK(PlayerGameData[[#This Row],[EligFGTieBreak]],PlayerGameData[EligFGTieBreak],1)</f>
        <v>216</v>
      </c>
      <c r="BE118" s="8" t="str">
        <f>Roster!$D$3</f>
        <v>East</v>
      </c>
      <c r="BF118" s="8" t="str">
        <f>Roster!$D$2</f>
        <v>Northeast</v>
      </c>
      <c r="BG118" s="8" t="str">
        <f>Roster!$D$4</f>
        <v>North</v>
      </c>
      <c r="BH118" s="197">
        <f ca="1">IFERROR(VLOOKUP(CONCATENATE(PlayerGameData[[#This Row],[Opponent]]," ",MONTH(PlayerGameData[[#This Row],[Date]]),"/",DAY(PlayerGameData[[#This Row],[Date]]),"/",YEAR(PlayerGameData[[#This Row],[Date]])),Table35[],2,FALSE),0)</f>
        <v>1</v>
      </c>
      <c r="BI118" s="197">
        <f ca="1">IF(PlayerGameData[[#This Row],[Visible]]=1,1,1000)</f>
        <v>1</v>
      </c>
      <c r="BJ118" s="197" t="e">
        <f ca="1">_xlfn.MAXIFS(TeamGameData[Win],TeamGameData[School, Opponent,Game'#],PlayerGameData[[#This Row],[School, Opponent,Game'#]])</f>
        <v>#NAME?</v>
      </c>
      <c r="BK118" s="197" t="e">
        <f ca="1">_xlfn.MAXIFS(TeamGameData[Loss],TeamGameData[School, Opponent,Game'#],PlayerGameData[[#This Row],[School, Opponent,Game'#]])</f>
        <v>#NAME?</v>
      </c>
    </row>
    <row r="119" spans="1:63" x14ac:dyDescent="0.25">
      <c r="A119" s="8" t="str">
        <f t="shared" ca="1" si="63"/>
        <v xml:space="preserve">, </v>
      </c>
      <c r="B119" s="8" t="str">
        <f>Roster!$B$1</f>
        <v>Upton</v>
      </c>
      <c r="C119" s="8" t="str">
        <f t="shared" ca="1" si="51"/>
        <v>Little Snake River</v>
      </c>
      <c r="D119" s="10">
        <f t="shared" ca="1" si="52"/>
        <v>44912</v>
      </c>
      <c r="E119" s="8">
        <f t="shared" ca="1" si="53"/>
        <v>0</v>
      </c>
      <c r="F119" s="8">
        <f t="shared" ca="1" si="54"/>
        <v>0</v>
      </c>
      <c r="G119" s="8">
        <f t="shared" ca="1" si="55"/>
        <v>0</v>
      </c>
      <c r="H119" s="8">
        <f t="shared" ca="1" si="56"/>
        <v>0</v>
      </c>
      <c r="I119" s="8">
        <f t="shared" ca="1" si="57"/>
        <v>0</v>
      </c>
      <c r="J119" s="8">
        <f t="shared" ca="1" si="58"/>
        <v>0</v>
      </c>
      <c r="K119" s="8">
        <f t="shared" ca="1" si="59"/>
        <v>0</v>
      </c>
      <c r="L119" s="8">
        <f t="shared" ca="1" si="64"/>
        <v>0</v>
      </c>
      <c r="M119" s="8">
        <f t="shared" ca="1" si="65"/>
        <v>0</v>
      </c>
      <c r="N119" s="8">
        <f t="shared" ca="1" si="66"/>
        <v>0</v>
      </c>
      <c r="O119" s="8">
        <f t="shared" ca="1" si="67"/>
        <v>0</v>
      </c>
      <c r="P119" s="8">
        <f t="shared" ca="1" si="68"/>
        <v>0</v>
      </c>
      <c r="Q119" s="8">
        <f t="shared" ca="1" si="69"/>
        <v>0</v>
      </c>
      <c r="R119" s="8">
        <f t="shared" ca="1" si="70"/>
        <v>0</v>
      </c>
      <c r="S119" s="8">
        <f t="shared" ca="1" si="71"/>
        <v>0</v>
      </c>
      <c r="T119" s="8">
        <f t="shared" ca="1" si="72"/>
        <v>0</v>
      </c>
      <c r="U119" s="8">
        <f t="shared" ca="1" si="73"/>
        <v>0</v>
      </c>
      <c r="V119" s="8">
        <f t="shared" ca="1" si="74"/>
        <v>0</v>
      </c>
      <c r="W119" s="11" t="str">
        <f t="shared" ca="1" si="75"/>
        <v/>
      </c>
      <c r="X119" s="11" t="str">
        <f t="shared" ca="1" si="76"/>
        <v/>
      </c>
      <c r="Y119" s="11" t="str">
        <f t="shared" ca="1" si="77"/>
        <v/>
      </c>
      <c r="Z119" s="11" t="str">
        <f t="shared" ca="1" si="78"/>
        <v/>
      </c>
      <c r="AA119" s="11" t="str">
        <f t="shared" ca="1" si="79"/>
        <v/>
      </c>
      <c r="AB119" s="47">
        <f ca="1">PlayerGameData[[#This Row],[3FGA]]+PlayerGameData[[#This Row],[2FGA]]</f>
        <v>0</v>
      </c>
      <c r="AC119" s="47">
        <f ca="1">PlayerGameData[[#This Row],[OFF REB]]+PlayerGameData[[#This Row],[DEF REB]]</f>
        <v>0</v>
      </c>
      <c r="AD119" s="8">
        <f t="shared" si="60"/>
        <v>5</v>
      </c>
      <c r="AE119" s="8" t="str">
        <f t="shared" ca="1" si="61"/>
        <v>,  - Little Snake River 12/17/2022</v>
      </c>
      <c r="AF119" s="8" t="str">
        <f t="shared" ca="1" si="80"/>
        <v/>
      </c>
      <c r="AG119" s="8" t="str">
        <f ca="1">IFERROR(IF(C119=0,"",IF(AND(VLOOKUP(PlayerGameData[[#This Row],[Opponent]],WYTeamInfo,2,FALSE)=Roster!$D$1,VLOOKUP(PlayerGameData[[#This Row],[Opponent]],WYTeamInfo,3,FALSE)=Roster!$D$2),"SR","")),"")</f>
        <v/>
      </c>
      <c r="AH119" s="8" t="str">
        <f>CONCATENATE(Roster!$D$1," ",Roster!$D$5)</f>
        <v>1A BB</v>
      </c>
      <c r="AI119" s="8" t="str">
        <f t="shared" ca="1" si="62"/>
        <v>Upton - Little Snake River 12/17/2022</v>
      </c>
      <c r="AJ119" s="8">
        <f ca="1">IFERROR(VLOOKUP(PlayerGameData[[#This Row],[School, Opponent,Game'#]],Table3[],2,FALSE),0)</f>
        <v>1</v>
      </c>
      <c r="AK119" s="8">
        <f ca="1">IF(PlayerGameData[[#This Row],[Visible]]=1,1,1000)</f>
        <v>1</v>
      </c>
      <c r="AL119" s="8">
        <f ca="1">RANK(PlayerGameData[[#This Row],[TL PTS]],PlayerGameData[TL PTS],0)+PlayerGameData[[#This Row],[VisibleOrder]]</f>
        <v>185</v>
      </c>
      <c r="AM119" s="8">
        <f ca="1">IF(COUNTIF(PlayerGameData[PointOrder],PlayerGameData[[#This Row],[PointOrder]])&gt;1,RANK(PlayerGameData[[#This Row],[FGA]],PlayerGameData[FGA],0)/100,0)+PlayerGameData[[#This Row],[PointOrder]]</f>
        <v>187.14</v>
      </c>
      <c r="AN119" s="8">
        <f ca="1">RANK(PlayerGameData[[#This Row],[PointTieBreak]],PlayerGameData[PointTieBreak],1)</f>
        <v>216</v>
      </c>
      <c r="AO119" s="8">
        <f ca="1">RANK(PlayerGameData[[#This Row],[REB]],PlayerGameData[REB],0)+PlayerGameData[[#This Row],[VisibleOrder]]</f>
        <v>192</v>
      </c>
      <c r="AP119" s="8">
        <f ca="1">IF(COUNTIF(PlayerGameData[REBOrder],PlayerGameData[[#This Row],[REBOrder]])&gt;1,PlayerGameData[[#This Row],[PointRank]]/100+PlayerGameData[[#This Row],[REBOrder]],PlayerGameData[[#This Row],[REBOrder]])</f>
        <v>194.16</v>
      </c>
      <c r="AQ119" s="8">
        <f ca="1">RANK(PlayerGameData[[#This Row],[REBTieBreak]],PlayerGameData[REBTieBreak],1)</f>
        <v>224</v>
      </c>
      <c r="AR119" s="8">
        <f ca="1">RANK(PlayerGameData[[#This Row],[AST]],PlayerGameData[AST],0)+PlayerGameData[[#This Row],[VisibleOrder]]</f>
        <v>158</v>
      </c>
      <c r="AS119" s="8">
        <f ca="1">IF(COUNTIF(PlayerGameData[ASTOrder],PlayerGameData[[#This Row],[ASTOrder]])&gt;1,PlayerGameData[[#This Row],[PointRank]]/100+PlayerGameData[[#This Row],[ASTOrder]],PlayerGameData[[#This Row],[ASTOrder]])</f>
        <v>160.16</v>
      </c>
      <c r="AT119" s="8">
        <f ca="1">RANK(PlayerGameData[[#This Row],[ASTTieBreak]],PlayerGameData[ASTTieBreak],1)</f>
        <v>221</v>
      </c>
      <c r="AU119" s="8">
        <f ca="1">RANK(PlayerGameData[[#This Row],[STL]],PlayerGameData[STL],0)+PlayerGameData[[#This Row],[VisibleOrder]]</f>
        <v>143</v>
      </c>
      <c r="AV119" s="8">
        <f ca="1">IF(COUNTIF(PlayerGameData[STLOrder],PlayerGameData[[#This Row],[STLOrder]])&gt;1,PlayerGameData[[#This Row],[PointRank]]/100+PlayerGameData[[#This Row],[STLOrder]],PlayerGameData[[#This Row],[STLOrder]])</f>
        <v>145.16</v>
      </c>
      <c r="AW119" s="8">
        <f ca="1">RANK(PlayerGameData[[#This Row],[STLTieBreak]],PlayerGameData[STLTieBreak],1)</f>
        <v>217</v>
      </c>
      <c r="AX119" s="8">
        <f ca="1">RANK(PlayerGameData[[#This Row],[BLK]],PlayerGameData[BLK],0)+PlayerGameData[[#This Row],[VisibleOrder]]</f>
        <v>32</v>
      </c>
      <c r="AY119" s="8">
        <f ca="1">IF(COUNTIF(PlayerGameData[BLKOrder],PlayerGameData[[#This Row],[BLKOrder]])&gt;1,PlayerGameData[[#This Row],[PointRank]]/100+PlayerGameData[[#This Row],[BLKOrder]],PlayerGameData[[#This Row],[BLKOrder]])</f>
        <v>34.159999999999997</v>
      </c>
      <c r="AZ119" s="8">
        <f ca="1">RANK(PlayerGameData[[#This Row],[BLKTieBreak]],PlayerGameData[BLKTieBreak],1)</f>
        <v>216</v>
      </c>
      <c r="BA119" s="11">
        <f ca="1">IFERROR(IF(PlayerGameData[[#This Row],[FGA]]&gt;$AA$5,PlayerGameData[[#This Row],[FG%*]],PlayerGameData[[#This Row],[FG%*]]*-1),-2)</f>
        <v>-2</v>
      </c>
      <c r="BB119" s="8">
        <f ca="1">RANK(PlayerGameData[[#This Row],[EligFG]],PlayerGameData[EligFG],0)+PlayerGameData[[#This Row],[VisibleOrder]]</f>
        <v>215</v>
      </c>
      <c r="BC119" s="8">
        <f ca="1">IF(COUNTIF(PlayerGameData[EligFGOrder],PlayerGameData[[#This Row],[EligFGOrder]])&gt;1,PlayerGameData[[#This Row],[PointRank]]/100+PlayerGameData[[#This Row],[EligFGOrder]],PlayerGameData[[#This Row],[EligFGOrder]])</f>
        <v>217.16</v>
      </c>
      <c r="BD119" s="8">
        <f ca="1">RANK(PlayerGameData[[#This Row],[EligFGTieBreak]],PlayerGameData[EligFGTieBreak],1)</f>
        <v>216</v>
      </c>
      <c r="BE119" s="8" t="str">
        <f>Roster!$D$3</f>
        <v>East</v>
      </c>
      <c r="BF119" s="8" t="str">
        <f>Roster!$D$2</f>
        <v>Northeast</v>
      </c>
      <c r="BG119" s="8" t="str">
        <f>Roster!$D$4</f>
        <v>North</v>
      </c>
      <c r="BH119" s="197">
        <f ca="1">IFERROR(VLOOKUP(CONCATENATE(PlayerGameData[[#This Row],[Opponent]]," ",MONTH(PlayerGameData[[#This Row],[Date]]),"/",DAY(PlayerGameData[[#This Row],[Date]]),"/",YEAR(PlayerGameData[[#This Row],[Date]])),Table35[],2,FALSE),0)</f>
        <v>1</v>
      </c>
      <c r="BI119" s="197">
        <f ca="1">IF(PlayerGameData[[#This Row],[Visible]]=1,1,1000)</f>
        <v>1</v>
      </c>
      <c r="BJ119" s="197" t="e">
        <f ca="1">_xlfn.MAXIFS(TeamGameData[Win],TeamGameData[School, Opponent,Game'#],PlayerGameData[[#This Row],[School, Opponent,Game'#]])</f>
        <v>#NAME?</v>
      </c>
      <c r="BK119" s="197" t="e">
        <f ca="1">_xlfn.MAXIFS(TeamGameData[Loss],TeamGameData[School, Opponent,Game'#],PlayerGameData[[#This Row],[School, Opponent,Game'#]])</f>
        <v>#NAME?</v>
      </c>
    </row>
    <row r="120" spans="1:63" x14ac:dyDescent="0.25">
      <c r="A120" s="8" t="str">
        <f t="shared" ca="1" si="63"/>
        <v xml:space="preserve">, </v>
      </c>
      <c r="B120" s="8" t="str">
        <f>Roster!$B$1</f>
        <v>Upton</v>
      </c>
      <c r="C120" s="8" t="str">
        <f t="shared" ca="1" si="51"/>
        <v>Little Snake River</v>
      </c>
      <c r="D120" s="10">
        <f t="shared" ca="1" si="52"/>
        <v>44912</v>
      </c>
      <c r="E120" s="8">
        <f t="shared" ca="1" si="53"/>
        <v>0</v>
      </c>
      <c r="F120" s="8">
        <f t="shared" ca="1" si="54"/>
        <v>0</v>
      </c>
      <c r="G120" s="8">
        <f t="shared" ca="1" si="55"/>
        <v>0</v>
      </c>
      <c r="H120" s="8">
        <f t="shared" ca="1" si="56"/>
        <v>0</v>
      </c>
      <c r="I120" s="8">
        <f t="shared" ca="1" si="57"/>
        <v>0</v>
      </c>
      <c r="J120" s="8">
        <f t="shared" ca="1" si="58"/>
        <v>0</v>
      </c>
      <c r="K120" s="8">
        <f t="shared" ca="1" si="59"/>
        <v>0</v>
      </c>
      <c r="L120" s="8">
        <f t="shared" ca="1" si="64"/>
        <v>0</v>
      </c>
      <c r="M120" s="8">
        <f t="shared" ca="1" si="65"/>
        <v>0</v>
      </c>
      <c r="N120" s="8">
        <f t="shared" ca="1" si="66"/>
        <v>0</v>
      </c>
      <c r="O120" s="8">
        <f t="shared" ca="1" si="67"/>
        <v>0</v>
      </c>
      <c r="P120" s="8">
        <f t="shared" ca="1" si="68"/>
        <v>0</v>
      </c>
      <c r="Q120" s="8">
        <f t="shared" ca="1" si="69"/>
        <v>0</v>
      </c>
      <c r="R120" s="8">
        <f t="shared" ca="1" si="70"/>
        <v>0</v>
      </c>
      <c r="S120" s="8">
        <f t="shared" ca="1" si="71"/>
        <v>0</v>
      </c>
      <c r="T120" s="8">
        <f t="shared" ca="1" si="72"/>
        <v>0</v>
      </c>
      <c r="U120" s="8">
        <f t="shared" ca="1" si="73"/>
        <v>0</v>
      </c>
      <c r="V120" s="8">
        <f t="shared" ca="1" si="74"/>
        <v>0</v>
      </c>
      <c r="W120" s="11" t="str">
        <f t="shared" ca="1" si="75"/>
        <v/>
      </c>
      <c r="X120" s="11" t="str">
        <f t="shared" ca="1" si="76"/>
        <v/>
      </c>
      <c r="Y120" s="11" t="str">
        <f t="shared" ca="1" si="77"/>
        <v/>
      </c>
      <c r="Z120" s="11" t="str">
        <f t="shared" ca="1" si="78"/>
        <v/>
      </c>
      <c r="AA120" s="11" t="str">
        <f t="shared" ca="1" si="79"/>
        <v/>
      </c>
      <c r="AB120" s="47">
        <f ca="1">PlayerGameData[[#This Row],[3FGA]]+PlayerGameData[[#This Row],[2FGA]]</f>
        <v>0</v>
      </c>
      <c r="AC120" s="47">
        <f ca="1">PlayerGameData[[#This Row],[OFF REB]]+PlayerGameData[[#This Row],[DEF REB]]</f>
        <v>0</v>
      </c>
      <c r="AD120" s="8">
        <f t="shared" si="60"/>
        <v>5</v>
      </c>
      <c r="AE120" s="8" t="str">
        <f t="shared" ca="1" si="61"/>
        <v>,  - Little Snake River 12/17/2022</v>
      </c>
      <c r="AF120" s="8" t="str">
        <f t="shared" ca="1" si="80"/>
        <v/>
      </c>
      <c r="AG120" s="8" t="str">
        <f ca="1">IFERROR(IF(C120=0,"",IF(AND(VLOOKUP(PlayerGameData[[#This Row],[Opponent]],WYTeamInfo,2,FALSE)=Roster!$D$1,VLOOKUP(PlayerGameData[[#This Row],[Opponent]],WYTeamInfo,3,FALSE)=Roster!$D$2),"SR","")),"")</f>
        <v/>
      </c>
      <c r="AH120" s="8" t="str">
        <f>CONCATENATE(Roster!$D$1," ",Roster!$D$5)</f>
        <v>1A BB</v>
      </c>
      <c r="AI120" s="8" t="str">
        <f t="shared" ca="1" si="62"/>
        <v>Upton - Little Snake River 12/17/2022</v>
      </c>
      <c r="AJ120" s="8">
        <f ca="1">IFERROR(VLOOKUP(PlayerGameData[[#This Row],[School, Opponent,Game'#]],Table3[],2,FALSE),0)</f>
        <v>1</v>
      </c>
      <c r="AK120" s="8">
        <f ca="1">IF(PlayerGameData[[#This Row],[Visible]]=1,1,1000)</f>
        <v>1</v>
      </c>
      <c r="AL120" s="8">
        <f ca="1">RANK(PlayerGameData[[#This Row],[TL PTS]],PlayerGameData[TL PTS],0)+PlayerGameData[[#This Row],[VisibleOrder]]</f>
        <v>185</v>
      </c>
      <c r="AM120" s="8">
        <f ca="1">IF(COUNTIF(PlayerGameData[PointOrder],PlayerGameData[[#This Row],[PointOrder]])&gt;1,RANK(PlayerGameData[[#This Row],[FGA]],PlayerGameData[FGA],0)/100,0)+PlayerGameData[[#This Row],[PointOrder]]</f>
        <v>187.14</v>
      </c>
      <c r="AN120" s="8">
        <f ca="1">RANK(PlayerGameData[[#This Row],[PointTieBreak]],PlayerGameData[PointTieBreak],1)</f>
        <v>216</v>
      </c>
      <c r="AO120" s="8">
        <f ca="1">RANK(PlayerGameData[[#This Row],[REB]],PlayerGameData[REB],0)+PlayerGameData[[#This Row],[VisibleOrder]]</f>
        <v>192</v>
      </c>
      <c r="AP120" s="8">
        <f ca="1">IF(COUNTIF(PlayerGameData[REBOrder],PlayerGameData[[#This Row],[REBOrder]])&gt;1,PlayerGameData[[#This Row],[PointRank]]/100+PlayerGameData[[#This Row],[REBOrder]],PlayerGameData[[#This Row],[REBOrder]])</f>
        <v>194.16</v>
      </c>
      <c r="AQ120" s="8">
        <f ca="1">RANK(PlayerGameData[[#This Row],[REBTieBreak]],PlayerGameData[REBTieBreak],1)</f>
        <v>224</v>
      </c>
      <c r="AR120" s="8">
        <f ca="1">RANK(PlayerGameData[[#This Row],[AST]],PlayerGameData[AST],0)+PlayerGameData[[#This Row],[VisibleOrder]]</f>
        <v>158</v>
      </c>
      <c r="AS120" s="8">
        <f ca="1">IF(COUNTIF(PlayerGameData[ASTOrder],PlayerGameData[[#This Row],[ASTOrder]])&gt;1,PlayerGameData[[#This Row],[PointRank]]/100+PlayerGameData[[#This Row],[ASTOrder]],PlayerGameData[[#This Row],[ASTOrder]])</f>
        <v>160.16</v>
      </c>
      <c r="AT120" s="8">
        <f ca="1">RANK(PlayerGameData[[#This Row],[ASTTieBreak]],PlayerGameData[ASTTieBreak],1)</f>
        <v>221</v>
      </c>
      <c r="AU120" s="8">
        <f ca="1">RANK(PlayerGameData[[#This Row],[STL]],PlayerGameData[STL],0)+PlayerGameData[[#This Row],[VisibleOrder]]</f>
        <v>143</v>
      </c>
      <c r="AV120" s="8">
        <f ca="1">IF(COUNTIF(PlayerGameData[STLOrder],PlayerGameData[[#This Row],[STLOrder]])&gt;1,PlayerGameData[[#This Row],[PointRank]]/100+PlayerGameData[[#This Row],[STLOrder]],PlayerGameData[[#This Row],[STLOrder]])</f>
        <v>145.16</v>
      </c>
      <c r="AW120" s="8">
        <f ca="1">RANK(PlayerGameData[[#This Row],[STLTieBreak]],PlayerGameData[STLTieBreak],1)</f>
        <v>217</v>
      </c>
      <c r="AX120" s="8">
        <f ca="1">RANK(PlayerGameData[[#This Row],[BLK]],PlayerGameData[BLK],0)+PlayerGameData[[#This Row],[VisibleOrder]]</f>
        <v>32</v>
      </c>
      <c r="AY120" s="8">
        <f ca="1">IF(COUNTIF(PlayerGameData[BLKOrder],PlayerGameData[[#This Row],[BLKOrder]])&gt;1,PlayerGameData[[#This Row],[PointRank]]/100+PlayerGameData[[#This Row],[BLKOrder]],PlayerGameData[[#This Row],[BLKOrder]])</f>
        <v>34.159999999999997</v>
      </c>
      <c r="AZ120" s="8">
        <f ca="1">RANK(PlayerGameData[[#This Row],[BLKTieBreak]],PlayerGameData[BLKTieBreak],1)</f>
        <v>216</v>
      </c>
      <c r="BA120" s="11">
        <f ca="1">IFERROR(IF(PlayerGameData[[#This Row],[FGA]]&gt;$AA$5,PlayerGameData[[#This Row],[FG%*]],PlayerGameData[[#This Row],[FG%*]]*-1),-2)</f>
        <v>-2</v>
      </c>
      <c r="BB120" s="8">
        <f ca="1">RANK(PlayerGameData[[#This Row],[EligFG]],PlayerGameData[EligFG],0)+PlayerGameData[[#This Row],[VisibleOrder]]</f>
        <v>215</v>
      </c>
      <c r="BC120" s="8">
        <f ca="1">IF(COUNTIF(PlayerGameData[EligFGOrder],PlayerGameData[[#This Row],[EligFGOrder]])&gt;1,PlayerGameData[[#This Row],[PointRank]]/100+PlayerGameData[[#This Row],[EligFGOrder]],PlayerGameData[[#This Row],[EligFGOrder]])</f>
        <v>217.16</v>
      </c>
      <c r="BD120" s="8">
        <f ca="1">RANK(PlayerGameData[[#This Row],[EligFGTieBreak]],PlayerGameData[EligFGTieBreak],1)</f>
        <v>216</v>
      </c>
      <c r="BE120" s="8" t="str">
        <f>Roster!$D$3</f>
        <v>East</v>
      </c>
      <c r="BF120" s="8" t="str">
        <f>Roster!$D$2</f>
        <v>Northeast</v>
      </c>
      <c r="BG120" s="8" t="str">
        <f>Roster!$D$4</f>
        <v>North</v>
      </c>
      <c r="BH120" s="197">
        <f ca="1">IFERROR(VLOOKUP(CONCATENATE(PlayerGameData[[#This Row],[Opponent]]," ",MONTH(PlayerGameData[[#This Row],[Date]]),"/",DAY(PlayerGameData[[#This Row],[Date]]),"/",YEAR(PlayerGameData[[#This Row],[Date]])),Table35[],2,FALSE),0)</f>
        <v>1</v>
      </c>
      <c r="BI120" s="197">
        <f ca="1">IF(PlayerGameData[[#This Row],[Visible]]=1,1,1000)</f>
        <v>1</v>
      </c>
      <c r="BJ120" s="197" t="e">
        <f ca="1">_xlfn.MAXIFS(TeamGameData[Win],TeamGameData[School, Opponent,Game'#],PlayerGameData[[#This Row],[School, Opponent,Game'#]])</f>
        <v>#NAME?</v>
      </c>
      <c r="BK120" s="197" t="e">
        <f ca="1">_xlfn.MAXIFS(TeamGameData[Loss],TeamGameData[School, Opponent,Game'#],PlayerGameData[[#This Row],[School, Opponent,Game'#]])</f>
        <v>#NAME?</v>
      </c>
    </row>
    <row r="121" spans="1:63" x14ac:dyDescent="0.25">
      <c r="A121" s="8" t="str">
        <f t="shared" ca="1" si="63"/>
        <v xml:space="preserve">, </v>
      </c>
      <c r="B121" s="8" t="str">
        <f>Roster!$B$1</f>
        <v>Upton</v>
      </c>
      <c r="C121" s="8" t="str">
        <f t="shared" ca="1" si="51"/>
        <v>Little Snake River</v>
      </c>
      <c r="D121" s="10">
        <f t="shared" ca="1" si="52"/>
        <v>44912</v>
      </c>
      <c r="E121" s="8">
        <f t="shared" ca="1" si="53"/>
        <v>0</v>
      </c>
      <c r="F121" s="8">
        <f t="shared" ca="1" si="54"/>
        <v>0</v>
      </c>
      <c r="G121" s="8">
        <f t="shared" ca="1" si="55"/>
        <v>0</v>
      </c>
      <c r="H121" s="8">
        <f t="shared" ca="1" si="56"/>
        <v>0</v>
      </c>
      <c r="I121" s="8">
        <f t="shared" ca="1" si="57"/>
        <v>0</v>
      </c>
      <c r="J121" s="8">
        <f t="shared" ca="1" si="58"/>
        <v>0</v>
      </c>
      <c r="K121" s="8">
        <f t="shared" ca="1" si="59"/>
        <v>0</v>
      </c>
      <c r="L121" s="8">
        <f t="shared" ca="1" si="64"/>
        <v>0</v>
      </c>
      <c r="M121" s="8">
        <f t="shared" ca="1" si="65"/>
        <v>0</v>
      </c>
      <c r="N121" s="8">
        <f t="shared" ca="1" si="66"/>
        <v>0</v>
      </c>
      <c r="O121" s="8">
        <f t="shared" ca="1" si="67"/>
        <v>0</v>
      </c>
      <c r="P121" s="8">
        <f t="shared" ca="1" si="68"/>
        <v>0</v>
      </c>
      <c r="Q121" s="8">
        <f t="shared" ca="1" si="69"/>
        <v>0</v>
      </c>
      <c r="R121" s="8">
        <f t="shared" ca="1" si="70"/>
        <v>0</v>
      </c>
      <c r="S121" s="8">
        <f t="shared" ca="1" si="71"/>
        <v>0</v>
      </c>
      <c r="T121" s="8">
        <f t="shared" ca="1" si="72"/>
        <v>0</v>
      </c>
      <c r="U121" s="8">
        <f t="shared" ca="1" si="73"/>
        <v>0</v>
      </c>
      <c r="V121" s="8">
        <f t="shared" ca="1" si="74"/>
        <v>0</v>
      </c>
      <c r="W121" s="11" t="str">
        <f t="shared" ca="1" si="75"/>
        <v/>
      </c>
      <c r="X121" s="11" t="str">
        <f t="shared" ca="1" si="76"/>
        <v/>
      </c>
      <c r="Y121" s="11" t="str">
        <f t="shared" ca="1" si="77"/>
        <v/>
      </c>
      <c r="Z121" s="11" t="str">
        <f t="shared" ca="1" si="78"/>
        <v/>
      </c>
      <c r="AA121" s="11" t="str">
        <f t="shared" ca="1" si="79"/>
        <v/>
      </c>
      <c r="AB121" s="47">
        <f ca="1">PlayerGameData[[#This Row],[3FGA]]+PlayerGameData[[#This Row],[2FGA]]</f>
        <v>0</v>
      </c>
      <c r="AC121" s="47">
        <f ca="1">PlayerGameData[[#This Row],[OFF REB]]+PlayerGameData[[#This Row],[DEF REB]]</f>
        <v>0</v>
      </c>
      <c r="AD121" s="8">
        <f t="shared" si="60"/>
        <v>5</v>
      </c>
      <c r="AE121" s="8" t="str">
        <f t="shared" ca="1" si="61"/>
        <v>,  - Little Snake River 12/17/2022</v>
      </c>
      <c r="AF121" s="8" t="str">
        <f t="shared" ca="1" si="80"/>
        <v/>
      </c>
      <c r="AG121" s="8" t="str">
        <f ca="1">IFERROR(IF(C121=0,"",IF(AND(VLOOKUP(PlayerGameData[[#This Row],[Opponent]],WYTeamInfo,2,FALSE)=Roster!$D$1,VLOOKUP(PlayerGameData[[#This Row],[Opponent]],WYTeamInfo,3,FALSE)=Roster!$D$2),"SR","")),"")</f>
        <v/>
      </c>
      <c r="AH121" s="8" t="str">
        <f>CONCATENATE(Roster!$D$1," ",Roster!$D$5)</f>
        <v>1A BB</v>
      </c>
      <c r="AI121" s="8" t="str">
        <f t="shared" ca="1" si="62"/>
        <v>Upton - Little Snake River 12/17/2022</v>
      </c>
      <c r="AJ121" s="8">
        <f ca="1">IFERROR(VLOOKUP(PlayerGameData[[#This Row],[School, Opponent,Game'#]],Table3[],2,FALSE),0)</f>
        <v>1</v>
      </c>
      <c r="AK121" s="8">
        <f ca="1">IF(PlayerGameData[[#This Row],[Visible]]=1,1,1000)</f>
        <v>1</v>
      </c>
      <c r="AL121" s="8">
        <f ca="1">RANK(PlayerGameData[[#This Row],[TL PTS]],PlayerGameData[TL PTS],0)+PlayerGameData[[#This Row],[VisibleOrder]]</f>
        <v>185</v>
      </c>
      <c r="AM121" s="8">
        <f ca="1">IF(COUNTIF(PlayerGameData[PointOrder],PlayerGameData[[#This Row],[PointOrder]])&gt;1,RANK(PlayerGameData[[#This Row],[FGA]],PlayerGameData[FGA],0)/100,0)+PlayerGameData[[#This Row],[PointOrder]]</f>
        <v>187.14</v>
      </c>
      <c r="AN121" s="8">
        <f ca="1">RANK(PlayerGameData[[#This Row],[PointTieBreak]],PlayerGameData[PointTieBreak],1)</f>
        <v>216</v>
      </c>
      <c r="AO121" s="8">
        <f ca="1">RANK(PlayerGameData[[#This Row],[REB]],PlayerGameData[REB],0)+PlayerGameData[[#This Row],[VisibleOrder]]</f>
        <v>192</v>
      </c>
      <c r="AP121" s="8">
        <f ca="1">IF(COUNTIF(PlayerGameData[REBOrder],PlayerGameData[[#This Row],[REBOrder]])&gt;1,PlayerGameData[[#This Row],[PointRank]]/100+PlayerGameData[[#This Row],[REBOrder]],PlayerGameData[[#This Row],[REBOrder]])</f>
        <v>194.16</v>
      </c>
      <c r="AQ121" s="8">
        <f ca="1">RANK(PlayerGameData[[#This Row],[REBTieBreak]],PlayerGameData[REBTieBreak],1)</f>
        <v>224</v>
      </c>
      <c r="AR121" s="8">
        <f ca="1">RANK(PlayerGameData[[#This Row],[AST]],PlayerGameData[AST],0)+PlayerGameData[[#This Row],[VisibleOrder]]</f>
        <v>158</v>
      </c>
      <c r="AS121" s="8">
        <f ca="1">IF(COUNTIF(PlayerGameData[ASTOrder],PlayerGameData[[#This Row],[ASTOrder]])&gt;1,PlayerGameData[[#This Row],[PointRank]]/100+PlayerGameData[[#This Row],[ASTOrder]],PlayerGameData[[#This Row],[ASTOrder]])</f>
        <v>160.16</v>
      </c>
      <c r="AT121" s="8">
        <f ca="1">RANK(PlayerGameData[[#This Row],[ASTTieBreak]],PlayerGameData[ASTTieBreak],1)</f>
        <v>221</v>
      </c>
      <c r="AU121" s="8">
        <f ca="1">RANK(PlayerGameData[[#This Row],[STL]],PlayerGameData[STL],0)+PlayerGameData[[#This Row],[VisibleOrder]]</f>
        <v>143</v>
      </c>
      <c r="AV121" s="8">
        <f ca="1">IF(COUNTIF(PlayerGameData[STLOrder],PlayerGameData[[#This Row],[STLOrder]])&gt;1,PlayerGameData[[#This Row],[PointRank]]/100+PlayerGameData[[#This Row],[STLOrder]],PlayerGameData[[#This Row],[STLOrder]])</f>
        <v>145.16</v>
      </c>
      <c r="AW121" s="8">
        <f ca="1">RANK(PlayerGameData[[#This Row],[STLTieBreak]],PlayerGameData[STLTieBreak],1)</f>
        <v>217</v>
      </c>
      <c r="AX121" s="8">
        <f ca="1">RANK(PlayerGameData[[#This Row],[BLK]],PlayerGameData[BLK],0)+PlayerGameData[[#This Row],[VisibleOrder]]</f>
        <v>32</v>
      </c>
      <c r="AY121" s="8">
        <f ca="1">IF(COUNTIF(PlayerGameData[BLKOrder],PlayerGameData[[#This Row],[BLKOrder]])&gt;1,PlayerGameData[[#This Row],[PointRank]]/100+PlayerGameData[[#This Row],[BLKOrder]],PlayerGameData[[#This Row],[BLKOrder]])</f>
        <v>34.159999999999997</v>
      </c>
      <c r="AZ121" s="8">
        <f ca="1">RANK(PlayerGameData[[#This Row],[BLKTieBreak]],PlayerGameData[BLKTieBreak],1)</f>
        <v>216</v>
      </c>
      <c r="BA121" s="11">
        <f ca="1">IFERROR(IF(PlayerGameData[[#This Row],[FGA]]&gt;$AA$5,PlayerGameData[[#This Row],[FG%*]],PlayerGameData[[#This Row],[FG%*]]*-1),-2)</f>
        <v>-2</v>
      </c>
      <c r="BB121" s="8">
        <f ca="1">RANK(PlayerGameData[[#This Row],[EligFG]],PlayerGameData[EligFG],0)+PlayerGameData[[#This Row],[VisibleOrder]]</f>
        <v>215</v>
      </c>
      <c r="BC121" s="8">
        <f ca="1">IF(COUNTIF(PlayerGameData[EligFGOrder],PlayerGameData[[#This Row],[EligFGOrder]])&gt;1,PlayerGameData[[#This Row],[PointRank]]/100+PlayerGameData[[#This Row],[EligFGOrder]],PlayerGameData[[#This Row],[EligFGOrder]])</f>
        <v>217.16</v>
      </c>
      <c r="BD121" s="8">
        <f ca="1">RANK(PlayerGameData[[#This Row],[EligFGTieBreak]],PlayerGameData[EligFGTieBreak],1)</f>
        <v>216</v>
      </c>
      <c r="BE121" s="8" t="str">
        <f>Roster!$D$3</f>
        <v>East</v>
      </c>
      <c r="BF121" s="8" t="str">
        <f>Roster!$D$2</f>
        <v>Northeast</v>
      </c>
      <c r="BG121" s="8" t="str">
        <f>Roster!$D$4</f>
        <v>North</v>
      </c>
      <c r="BH121" s="197">
        <f ca="1">IFERROR(VLOOKUP(CONCATENATE(PlayerGameData[[#This Row],[Opponent]]," ",MONTH(PlayerGameData[[#This Row],[Date]]),"/",DAY(PlayerGameData[[#This Row],[Date]]),"/",YEAR(PlayerGameData[[#This Row],[Date]])),Table35[],2,FALSE),0)</f>
        <v>1</v>
      </c>
      <c r="BI121" s="197">
        <f ca="1">IF(PlayerGameData[[#This Row],[Visible]]=1,1,1000)</f>
        <v>1</v>
      </c>
      <c r="BJ121" s="197" t="e">
        <f ca="1">_xlfn.MAXIFS(TeamGameData[Win],TeamGameData[School, Opponent,Game'#],PlayerGameData[[#This Row],[School, Opponent,Game'#]])</f>
        <v>#NAME?</v>
      </c>
      <c r="BK121" s="197" t="e">
        <f ca="1">_xlfn.MAXIFS(TeamGameData[Loss],TeamGameData[School, Opponent,Game'#],PlayerGameData[[#This Row],[School, Opponent,Game'#]])</f>
        <v>#NAME?</v>
      </c>
    </row>
    <row r="122" spans="1:63" x14ac:dyDescent="0.25">
      <c r="A122" s="8" t="str">
        <f t="shared" ca="1" si="63"/>
        <v xml:space="preserve">, </v>
      </c>
      <c r="B122" s="8" t="str">
        <f>Roster!$B$1</f>
        <v>Upton</v>
      </c>
      <c r="C122" s="8" t="str">
        <f t="shared" ca="1" si="51"/>
        <v>Little Snake River</v>
      </c>
      <c r="D122" s="10">
        <f t="shared" ca="1" si="52"/>
        <v>44912</v>
      </c>
      <c r="E122" s="8">
        <f t="shared" ca="1" si="53"/>
        <v>0</v>
      </c>
      <c r="F122" s="8">
        <f t="shared" ca="1" si="54"/>
        <v>0</v>
      </c>
      <c r="G122" s="8">
        <f t="shared" ca="1" si="55"/>
        <v>0</v>
      </c>
      <c r="H122" s="8">
        <f t="shared" ca="1" si="56"/>
        <v>0</v>
      </c>
      <c r="I122" s="8">
        <f t="shared" ca="1" si="57"/>
        <v>0</v>
      </c>
      <c r="J122" s="8">
        <f t="shared" ca="1" si="58"/>
        <v>0</v>
      </c>
      <c r="K122" s="8">
        <f t="shared" ca="1" si="59"/>
        <v>0</v>
      </c>
      <c r="L122" s="8">
        <f t="shared" ca="1" si="64"/>
        <v>0</v>
      </c>
      <c r="M122" s="8">
        <f t="shared" ca="1" si="65"/>
        <v>0</v>
      </c>
      <c r="N122" s="8">
        <f t="shared" ca="1" si="66"/>
        <v>0</v>
      </c>
      <c r="O122" s="8">
        <f t="shared" ca="1" si="67"/>
        <v>0</v>
      </c>
      <c r="P122" s="8">
        <f t="shared" ca="1" si="68"/>
        <v>0</v>
      </c>
      <c r="Q122" s="8">
        <f t="shared" ca="1" si="69"/>
        <v>0</v>
      </c>
      <c r="R122" s="8">
        <f t="shared" ca="1" si="70"/>
        <v>0</v>
      </c>
      <c r="S122" s="8">
        <f t="shared" ca="1" si="71"/>
        <v>0</v>
      </c>
      <c r="T122" s="8">
        <f t="shared" ca="1" si="72"/>
        <v>0</v>
      </c>
      <c r="U122" s="8">
        <f t="shared" ca="1" si="73"/>
        <v>0</v>
      </c>
      <c r="V122" s="8">
        <f t="shared" ca="1" si="74"/>
        <v>0</v>
      </c>
      <c r="W122" s="11" t="str">
        <f t="shared" ca="1" si="75"/>
        <v/>
      </c>
      <c r="X122" s="11" t="str">
        <f t="shared" ca="1" si="76"/>
        <v/>
      </c>
      <c r="Y122" s="11" t="str">
        <f t="shared" ca="1" si="77"/>
        <v/>
      </c>
      <c r="Z122" s="11" t="str">
        <f t="shared" ca="1" si="78"/>
        <v/>
      </c>
      <c r="AA122" s="11" t="str">
        <f t="shared" ca="1" si="79"/>
        <v/>
      </c>
      <c r="AB122" s="47">
        <f ca="1">PlayerGameData[[#This Row],[3FGA]]+PlayerGameData[[#This Row],[2FGA]]</f>
        <v>0</v>
      </c>
      <c r="AC122" s="47">
        <f ca="1">PlayerGameData[[#This Row],[OFF REB]]+PlayerGameData[[#This Row],[DEF REB]]</f>
        <v>0</v>
      </c>
      <c r="AD122" s="8">
        <f t="shared" si="60"/>
        <v>5</v>
      </c>
      <c r="AE122" s="8" t="str">
        <f t="shared" ca="1" si="61"/>
        <v>,  - Little Snake River 12/17/2022</v>
      </c>
      <c r="AF122" s="8" t="str">
        <f t="shared" ca="1" si="80"/>
        <v/>
      </c>
      <c r="AG122" s="8" t="str">
        <f ca="1">IFERROR(IF(C122=0,"",IF(AND(VLOOKUP(PlayerGameData[[#This Row],[Opponent]],WYTeamInfo,2,FALSE)=Roster!$D$1,VLOOKUP(PlayerGameData[[#This Row],[Opponent]],WYTeamInfo,3,FALSE)=Roster!$D$2),"SR","")),"")</f>
        <v/>
      </c>
      <c r="AH122" s="8" t="str">
        <f>CONCATENATE(Roster!$D$1," ",Roster!$D$5)</f>
        <v>1A BB</v>
      </c>
      <c r="AI122" s="8" t="str">
        <f t="shared" ca="1" si="62"/>
        <v>Upton - Little Snake River 12/17/2022</v>
      </c>
      <c r="AJ122" s="8">
        <f ca="1">IFERROR(VLOOKUP(PlayerGameData[[#This Row],[School, Opponent,Game'#]],Table3[],2,FALSE),0)</f>
        <v>1</v>
      </c>
      <c r="AK122" s="8">
        <f ca="1">IF(PlayerGameData[[#This Row],[Visible]]=1,1,1000)</f>
        <v>1</v>
      </c>
      <c r="AL122" s="8">
        <f ca="1">RANK(PlayerGameData[[#This Row],[TL PTS]],PlayerGameData[TL PTS],0)+PlayerGameData[[#This Row],[VisibleOrder]]</f>
        <v>185</v>
      </c>
      <c r="AM122" s="8">
        <f ca="1">IF(COUNTIF(PlayerGameData[PointOrder],PlayerGameData[[#This Row],[PointOrder]])&gt;1,RANK(PlayerGameData[[#This Row],[FGA]],PlayerGameData[FGA],0)/100,0)+PlayerGameData[[#This Row],[PointOrder]]</f>
        <v>187.14</v>
      </c>
      <c r="AN122" s="8">
        <f ca="1">RANK(PlayerGameData[[#This Row],[PointTieBreak]],PlayerGameData[PointTieBreak],1)</f>
        <v>216</v>
      </c>
      <c r="AO122" s="8">
        <f ca="1">RANK(PlayerGameData[[#This Row],[REB]],PlayerGameData[REB],0)+PlayerGameData[[#This Row],[VisibleOrder]]</f>
        <v>192</v>
      </c>
      <c r="AP122" s="8">
        <f ca="1">IF(COUNTIF(PlayerGameData[REBOrder],PlayerGameData[[#This Row],[REBOrder]])&gt;1,PlayerGameData[[#This Row],[PointRank]]/100+PlayerGameData[[#This Row],[REBOrder]],PlayerGameData[[#This Row],[REBOrder]])</f>
        <v>194.16</v>
      </c>
      <c r="AQ122" s="8">
        <f ca="1">RANK(PlayerGameData[[#This Row],[REBTieBreak]],PlayerGameData[REBTieBreak],1)</f>
        <v>224</v>
      </c>
      <c r="AR122" s="8">
        <f ca="1">RANK(PlayerGameData[[#This Row],[AST]],PlayerGameData[AST],0)+PlayerGameData[[#This Row],[VisibleOrder]]</f>
        <v>158</v>
      </c>
      <c r="AS122" s="8">
        <f ca="1">IF(COUNTIF(PlayerGameData[ASTOrder],PlayerGameData[[#This Row],[ASTOrder]])&gt;1,PlayerGameData[[#This Row],[PointRank]]/100+PlayerGameData[[#This Row],[ASTOrder]],PlayerGameData[[#This Row],[ASTOrder]])</f>
        <v>160.16</v>
      </c>
      <c r="AT122" s="8">
        <f ca="1">RANK(PlayerGameData[[#This Row],[ASTTieBreak]],PlayerGameData[ASTTieBreak],1)</f>
        <v>221</v>
      </c>
      <c r="AU122" s="8">
        <f ca="1">RANK(PlayerGameData[[#This Row],[STL]],PlayerGameData[STL],0)+PlayerGameData[[#This Row],[VisibleOrder]]</f>
        <v>143</v>
      </c>
      <c r="AV122" s="8">
        <f ca="1">IF(COUNTIF(PlayerGameData[STLOrder],PlayerGameData[[#This Row],[STLOrder]])&gt;1,PlayerGameData[[#This Row],[PointRank]]/100+PlayerGameData[[#This Row],[STLOrder]],PlayerGameData[[#This Row],[STLOrder]])</f>
        <v>145.16</v>
      </c>
      <c r="AW122" s="8">
        <f ca="1">RANK(PlayerGameData[[#This Row],[STLTieBreak]],PlayerGameData[STLTieBreak],1)</f>
        <v>217</v>
      </c>
      <c r="AX122" s="8">
        <f ca="1">RANK(PlayerGameData[[#This Row],[BLK]],PlayerGameData[BLK],0)+PlayerGameData[[#This Row],[VisibleOrder]]</f>
        <v>32</v>
      </c>
      <c r="AY122" s="8">
        <f ca="1">IF(COUNTIF(PlayerGameData[BLKOrder],PlayerGameData[[#This Row],[BLKOrder]])&gt;1,PlayerGameData[[#This Row],[PointRank]]/100+PlayerGameData[[#This Row],[BLKOrder]],PlayerGameData[[#This Row],[BLKOrder]])</f>
        <v>34.159999999999997</v>
      </c>
      <c r="AZ122" s="8">
        <f ca="1">RANK(PlayerGameData[[#This Row],[BLKTieBreak]],PlayerGameData[BLKTieBreak],1)</f>
        <v>216</v>
      </c>
      <c r="BA122" s="11">
        <f ca="1">IFERROR(IF(PlayerGameData[[#This Row],[FGA]]&gt;$AA$5,PlayerGameData[[#This Row],[FG%*]],PlayerGameData[[#This Row],[FG%*]]*-1),-2)</f>
        <v>-2</v>
      </c>
      <c r="BB122" s="8">
        <f ca="1">RANK(PlayerGameData[[#This Row],[EligFG]],PlayerGameData[EligFG],0)+PlayerGameData[[#This Row],[VisibleOrder]]</f>
        <v>215</v>
      </c>
      <c r="BC122" s="8">
        <f ca="1">IF(COUNTIF(PlayerGameData[EligFGOrder],PlayerGameData[[#This Row],[EligFGOrder]])&gt;1,PlayerGameData[[#This Row],[PointRank]]/100+PlayerGameData[[#This Row],[EligFGOrder]],PlayerGameData[[#This Row],[EligFGOrder]])</f>
        <v>217.16</v>
      </c>
      <c r="BD122" s="8">
        <f ca="1">RANK(PlayerGameData[[#This Row],[EligFGTieBreak]],PlayerGameData[EligFGTieBreak],1)</f>
        <v>216</v>
      </c>
      <c r="BE122" s="8" t="str">
        <f>Roster!$D$3</f>
        <v>East</v>
      </c>
      <c r="BF122" s="8" t="str">
        <f>Roster!$D$2</f>
        <v>Northeast</v>
      </c>
      <c r="BG122" s="8" t="str">
        <f>Roster!$D$4</f>
        <v>North</v>
      </c>
      <c r="BH122" s="197">
        <f ca="1">IFERROR(VLOOKUP(CONCATENATE(PlayerGameData[[#This Row],[Opponent]]," ",MONTH(PlayerGameData[[#This Row],[Date]]),"/",DAY(PlayerGameData[[#This Row],[Date]]),"/",YEAR(PlayerGameData[[#This Row],[Date]])),Table35[],2,FALSE),0)</f>
        <v>1</v>
      </c>
      <c r="BI122" s="197">
        <f ca="1">IF(PlayerGameData[[#This Row],[Visible]]=1,1,1000)</f>
        <v>1</v>
      </c>
      <c r="BJ122" s="197" t="e">
        <f ca="1">_xlfn.MAXIFS(TeamGameData[Win],TeamGameData[School, Opponent,Game'#],PlayerGameData[[#This Row],[School, Opponent,Game'#]])</f>
        <v>#NAME?</v>
      </c>
      <c r="BK122" s="197" t="e">
        <f ca="1">_xlfn.MAXIFS(TeamGameData[Loss],TeamGameData[School, Opponent,Game'#],PlayerGameData[[#This Row],[School, Opponent,Game'#]])</f>
        <v>#NAME?</v>
      </c>
    </row>
    <row r="123" spans="1:63" x14ac:dyDescent="0.25">
      <c r="A123" s="8" t="str">
        <f t="shared" ca="1" si="63"/>
        <v xml:space="preserve">, </v>
      </c>
      <c r="B123" s="8" t="str">
        <f>Roster!$B$1</f>
        <v>Upton</v>
      </c>
      <c r="C123" s="8" t="str">
        <f t="shared" ca="1" si="51"/>
        <v>Little Snake River</v>
      </c>
      <c r="D123" s="10">
        <f t="shared" ca="1" si="52"/>
        <v>44912</v>
      </c>
      <c r="E123" s="8">
        <f t="shared" ca="1" si="53"/>
        <v>0</v>
      </c>
      <c r="F123" s="8">
        <f t="shared" ca="1" si="54"/>
        <v>0</v>
      </c>
      <c r="G123" s="8">
        <f t="shared" ca="1" si="55"/>
        <v>0</v>
      </c>
      <c r="H123" s="8">
        <f t="shared" ca="1" si="56"/>
        <v>0</v>
      </c>
      <c r="I123" s="8">
        <f t="shared" ca="1" si="57"/>
        <v>0</v>
      </c>
      <c r="J123" s="8">
        <f t="shared" ca="1" si="58"/>
        <v>0</v>
      </c>
      <c r="K123" s="8">
        <f t="shared" ca="1" si="59"/>
        <v>0</v>
      </c>
      <c r="L123" s="8">
        <f t="shared" ca="1" si="64"/>
        <v>0</v>
      </c>
      <c r="M123" s="8">
        <f t="shared" ca="1" si="65"/>
        <v>0</v>
      </c>
      <c r="N123" s="8">
        <f t="shared" ca="1" si="66"/>
        <v>0</v>
      </c>
      <c r="O123" s="8">
        <f t="shared" ca="1" si="67"/>
        <v>0</v>
      </c>
      <c r="P123" s="8">
        <f t="shared" ca="1" si="68"/>
        <v>0</v>
      </c>
      <c r="Q123" s="8">
        <f t="shared" ca="1" si="69"/>
        <v>0</v>
      </c>
      <c r="R123" s="8">
        <f t="shared" ca="1" si="70"/>
        <v>0</v>
      </c>
      <c r="S123" s="8">
        <f t="shared" ca="1" si="71"/>
        <v>0</v>
      </c>
      <c r="T123" s="8">
        <f t="shared" ca="1" si="72"/>
        <v>0</v>
      </c>
      <c r="U123" s="8">
        <f t="shared" ca="1" si="73"/>
        <v>0</v>
      </c>
      <c r="V123" s="8">
        <f t="shared" ca="1" si="74"/>
        <v>0</v>
      </c>
      <c r="W123" s="11" t="str">
        <f t="shared" ca="1" si="75"/>
        <v/>
      </c>
      <c r="X123" s="11" t="str">
        <f t="shared" ca="1" si="76"/>
        <v/>
      </c>
      <c r="Y123" s="11" t="str">
        <f t="shared" ca="1" si="77"/>
        <v/>
      </c>
      <c r="Z123" s="11" t="str">
        <f t="shared" ca="1" si="78"/>
        <v/>
      </c>
      <c r="AA123" s="11" t="str">
        <f t="shared" ca="1" si="79"/>
        <v/>
      </c>
      <c r="AB123" s="47">
        <f ca="1">PlayerGameData[[#This Row],[3FGA]]+PlayerGameData[[#This Row],[2FGA]]</f>
        <v>0</v>
      </c>
      <c r="AC123" s="47">
        <f ca="1">PlayerGameData[[#This Row],[OFF REB]]+PlayerGameData[[#This Row],[DEF REB]]</f>
        <v>0</v>
      </c>
      <c r="AD123" s="8">
        <f t="shared" si="60"/>
        <v>5</v>
      </c>
      <c r="AE123" s="8" t="str">
        <f t="shared" ca="1" si="61"/>
        <v>,  - Little Snake River 12/17/2022</v>
      </c>
      <c r="AF123" s="8" t="str">
        <f t="shared" ca="1" si="80"/>
        <v/>
      </c>
      <c r="AG123" s="8" t="str">
        <f ca="1">IFERROR(IF(C123=0,"",IF(AND(VLOOKUP(PlayerGameData[[#This Row],[Opponent]],WYTeamInfo,2,FALSE)=Roster!$D$1,VLOOKUP(PlayerGameData[[#This Row],[Opponent]],WYTeamInfo,3,FALSE)=Roster!$D$2),"SR","")),"")</f>
        <v/>
      </c>
      <c r="AH123" s="8" t="str">
        <f>CONCATENATE(Roster!$D$1," ",Roster!$D$5)</f>
        <v>1A BB</v>
      </c>
      <c r="AI123" s="8" t="str">
        <f t="shared" ca="1" si="62"/>
        <v>Upton - Little Snake River 12/17/2022</v>
      </c>
      <c r="AJ123" s="8">
        <f ca="1">IFERROR(VLOOKUP(PlayerGameData[[#This Row],[School, Opponent,Game'#]],Table3[],2,FALSE),0)</f>
        <v>1</v>
      </c>
      <c r="AK123" s="8">
        <f ca="1">IF(PlayerGameData[[#This Row],[Visible]]=1,1,1000)</f>
        <v>1</v>
      </c>
      <c r="AL123" s="8">
        <f ca="1">RANK(PlayerGameData[[#This Row],[TL PTS]],PlayerGameData[TL PTS],0)+PlayerGameData[[#This Row],[VisibleOrder]]</f>
        <v>185</v>
      </c>
      <c r="AM123" s="8">
        <f ca="1">IF(COUNTIF(PlayerGameData[PointOrder],PlayerGameData[[#This Row],[PointOrder]])&gt;1,RANK(PlayerGameData[[#This Row],[FGA]],PlayerGameData[FGA],0)/100,0)+PlayerGameData[[#This Row],[PointOrder]]</f>
        <v>187.14</v>
      </c>
      <c r="AN123" s="8">
        <f ca="1">RANK(PlayerGameData[[#This Row],[PointTieBreak]],PlayerGameData[PointTieBreak],1)</f>
        <v>216</v>
      </c>
      <c r="AO123" s="8">
        <f ca="1">RANK(PlayerGameData[[#This Row],[REB]],PlayerGameData[REB],0)+PlayerGameData[[#This Row],[VisibleOrder]]</f>
        <v>192</v>
      </c>
      <c r="AP123" s="8">
        <f ca="1">IF(COUNTIF(PlayerGameData[REBOrder],PlayerGameData[[#This Row],[REBOrder]])&gt;1,PlayerGameData[[#This Row],[PointRank]]/100+PlayerGameData[[#This Row],[REBOrder]],PlayerGameData[[#This Row],[REBOrder]])</f>
        <v>194.16</v>
      </c>
      <c r="AQ123" s="8">
        <f ca="1">RANK(PlayerGameData[[#This Row],[REBTieBreak]],PlayerGameData[REBTieBreak],1)</f>
        <v>224</v>
      </c>
      <c r="AR123" s="8">
        <f ca="1">RANK(PlayerGameData[[#This Row],[AST]],PlayerGameData[AST],0)+PlayerGameData[[#This Row],[VisibleOrder]]</f>
        <v>158</v>
      </c>
      <c r="AS123" s="8">
        <f ca="1">IF(COUNTIF(PlayerGameData[ASTOrder],PlayerGameData[[#This Row],[ASTOrder]])&gt;1,PlayerGameData[[#This Row],[PointRank]]/100+PlayerGameData[[#This Row],[ASTOrder]],PlayerGameData[[#This Row],[ASTOrder]])</f>
        <v>160.16</v>
      </c>
      <c r="AT123" s="8">
        <f ca="1">RANK(PlayerGameData[[#This Row],[ASTTieBreak]],PlayerGameData[ASTTieBreak],1)</f>
        <v>221</v>
      </c>
      <c r="AU123" s="8">
        <f ca="1">RANK(PlayerGameData[[#This Row],[STL]],PlayerGameData[STL],0)+PlayerGameData[[#This Row],[VisibleOrder]]</f>
        <v>143</v>
      </c>
      <c r="AV123" s="8">
        <f ca="1">IF(COUNTIF(PlayerGameData[STLOrder],PlayerGameData[[#This Row],[STLOrder]])&gt;1,PlayerGameData[[#This Row],[PointRank]]/100+PlayerGameData[[#This Row],[STLOrder]],PlayerGameData[[#This Row],[STLOrder]])</f>
        <v>145.16</v>
      </c>
      <c r="AW123" s="8">
        <f ca="1">RANK(PlayerGameData[[#This Row],[STLTieBreak]],PlayerGameData[STLTieBreak],1)</f>
        <v>217</v>
      </c>
      <c r="AX123" s="8">
        <f ca="1">RANK(PlayerGameData[[#This Row],[BLK]],PlayerGameData[BLK],0)+PlayerGameData[[#This Row],[VisibleOrder]]</f>
        <v>32</v>
      </c>
      <c r="AY123" s="8">
        <f ca="1">IF(COUNTIF(PlayerGameData[BLKOrder],PlayerGameData[[#This Row],[BLKOrder]])&gt;1,PlayerGameData[[#This Row],[PointRank]]/100+PlayerGameData[[#This Row],[BLKOrder]],PlayerGameData[[#This Row],[BLKOrder]])</f>
        <v>34.159999999999997</v>
      </c>
      <c r="AZ123" s="8">
        <f ca="1">RANK(PlayerGameData[[#This Row],[BLKTieBreak]],PlayerGameData[BLKTieBreak],1)</f>
        <v>216</v>
      </c>
      <c r="BA123" s="11">
        <f ca="1">IFERROR(IF(PlayerGameData[[#This Row],[FGA]]&gt;$AA$5,PlayerGameData[[#This Row],[FG%*]],PlayerGameData[[#This Row],[FG%*]]*-1),-2)</f>
        <v>-2</v>
      </c>
      <c r="BB123" s="8">
        <f ca="1">RANK(PlayerGameData[[#This Row],[EligFG]],PlayerGameData[EligFG],0)+PlayerGameData[[#This Row],[VisibleOrder]]</f>
        <v>215</v>
      </c>
      <c r="BC123" s="8">
        <f ca="1">IF(COUNTIF(PlayerGameData[EligFGOrder],PlayerGameData[[#This Row],[EligFGOrder]])&gt;1,PlayerGameData[[#This Row],[PointRank]]/100+PlayerGameData[[#This Row],[EligFGOrder]],PlayerGameData[[#This Row],[EligFGOrder]])</f>
        <v>217.16</v>
      </c>
      <c r="BD123" s="8">
        <f ca="1">RANK(PlayerGameData[[#This Row],[EligFGTieBreak]],PlayerGameData[EligFGTieBreak],1)</f>
        <v>216</v>
      </c>
      <c r="BE123" s="8" t="str">
        <f>Roster!$D$3</f>
        <v>East</v>
      </c>
      <c r="BF123" s="8" t="str">
        <f>Roster!$D$2</f>
        <v>Northeast</v>
      </c>
      <c r="BG123" s="8" t="str">
        <f>Roster!$D$4</f>
        <v>North</v>
      </c>
      <c r="BH123" s="197">
        <f ca="1">IFERROR(VLOOKUP(CONCATENATE(PlayerGameData[[#This Row],[Opponent]]," ",MONTH(PlayerGameData[[#This Row],[Date]]),"/",DAY(PlayerGameData[[#This Row],[Date]]),"/",YEAR(PlayerGameData[[#This Row],[Date]])),Table35[],2,FALSE),0)</f>
        <v>1</v>
      </c>
      <c r="BI123" s="197">
        <f ca="1">IF(PlayerGameData[[#This Row],[Visible]]=1,1,1000)</f>
        <v>1</v>
      </c>
      <c r="BJ123" s="197" t="e">
        <f ca="1">_xlfn.MAXIFS(TeamGameData[Win],TeamGameData[School, Opponent,Game'#],PlayerGameData[[#This Row],[School, Opponent,Game'#]])</f>
        <v>#NAME?</v>
      </c>
      <c r="BK123" s="197" t="e">
        <f ca="1">_xlfn.MAXIFS(TeamGameData[Loss],TeamGameData[School, Opponent,Game'#],PlayerGameData[[#This Row],[School, Opponent,Game'#]])</f>
        <v>#NAME?</v>
      </c>
    </row>
    <row r="124" spans="1:63" x14ac:dyDescent="0.25">
      <c r="A124" s="8" t="str">
        <f t="shared" ca="1" si="63"/>
        <v xml:space="preserve">, </v>
      </c>
      <c r="B124" s="8" t="str">
        <f>Roster!$B$1</f>
        <v>Upton</v>
      </c>
      <c r="C124" s="8" t="str">
        <f t="shared" ca="1" si="51"/>
        <v>Little Snake River</v>
      </c>
      <c r="D124" s="10">
        <f t="shared" ca="1" si="52"/>
        <v>44912</v>
      </c>
      <c r="E124" s="8">
        <f t="shared" ca="1" si="53"/>
        <v>0</v>
      </c>
      <c r="F124" s="8">
        <f t="shared" ca="1" si="54"/>
        <v>0</v>
      </c>
      <c r="G124" s="8">
        <f t="shared" ca="1" si="55"/>
        <v>0</v>
      </c>
      <c r="H124" s="8">
        <f t="shared" ca="1" si="56"/>
        <v>0</v>
      </c>
      <c r="I124" s="8">
        <f t="shared" ca="1" si="57"/>
        <v>0</v>
      </c>
      <c r="J124" s="8">
        <f t="shared" ca="1" si="58"/>
        <v>0</v>
      </c>
      <c r="K124" s="8">
        <f t="shared" ca="1" si="59"/>
        <v>0</v>
      </c>
      <c r="L124" s="8">
        <f t="shared" ca="1" si="64"/>
        <v>0</v>
      </c>
      <c r="M124" s="8">
        <f t="shared" ca="1" si="65"/>
        <v>0</v>
      </c>
      <c r="N124" s="8">
        <f t="shared" ca="1" si="66"/>
        <v>0</v>
      </c>
      <c r="O124" s="8">
        <f t="shared" ca="1" si="67"/>
        <v>0</v>
      </c>
      <c r="P124" s="8">
        <f t="shared" ca="1" si="68"/>
        <v>0</v>
      </c>
      <c r="Q124" s="8">
        <f t="shared" ca="1" si="69"/>
        <v>0</v>
      </c>
      <c r="R124" s="8">
        <f t="shared" ca="1" si="70"/>
        <v>0</v>
      </c>
      <c r="S124" s="8">
        <f t="shared" ca="1" si="71"/>
        <v>0</v>
      </c>
      <c r="T124" s="8">
        <f t="shared" ca="1" si="72"/>
        <v>0</v>
      </c>
      <c r="U124" s="8">
        <f t="shared" ca="1" si="73"/>
        <v>0</v>
      </c>
      <c r="V124" s="8">
        <f t="shared" ca="1" si="74"/>
        <v>0</v>
      </c>
      <c r="W124" s="11" t="str">
        <f t="shared" ca="1" si="75"/>
        <v/>
      </c>
      <c r="X124" s="11" t="str">
        <f t="shared" ca="1" si="76"/>
        <v/>
      </c>
      <c r="Y124" s="11" t="str">
        <f t="shared" ca="1" si="77"/>
        <v/>
      </c>
      <c r="Z124" s="11" t="str">
        <f t="shared" ca="1" si="78"/>
        <v/>
      </c>
      <c r="AA124" s="11" t="str">
        <f t="shared" ca="1" si="79"/>
        <v/>
      </c>
      <c r="AB124" s="47">
        <f ca="1">PlayerGameData[[#This Row],[3FGA]]+PlayerGameData[[#This Row],[2FGA]]</f>
        <v>0</v>
      </c>
      <c r="AC124" s="47">
        <f ca="1">PlayerGameData[[#This Row],[OFF REB]]+PlayerGameData[[#This Row],[DEF REB]]</f>
        <v>0</v>
      </c>
      <c r="AD124" s="8">
        <f t="shared" si="60"/>
        <v>5</v>
      </c>
      <c r="AE124" s="8" t="str">
        <f t="shared" ca="1" si="61"/>
        <v>,  - Little Snake River 12/17/2022</v>
      </c>
      <c r="AF124" s="8" t="str">
        <f t="shared" ca="1" si="80"/>
        <v/>
      </c>
      <c r="AG124" s="8" t="str">
        <f ca="1">IFERROR(IF(C124=0,"",IF(AND(VLOOKUP(PlayerGameData[[#This Row],[Opponent]],WYTeamInfo,2,FALSE)=Roster!$D$1,VLOOKUP(PlayerGameData[[#This Row],[Opponent]],WYTeamInfo,3,FALSE)=Roster!$D$2),"SR","")),"")</f>
        <v/>
      </c>
      <c r="AH124" s="8" t="str">
        <f>CONCATENATE(Roster!$D$1," ",Roster!$D$5)</f>
        <v>1A BB</v>
      </c>
      <c r="AI124" s="8" t="str">
        <f t="shared" ca="1" si="62"/>
        <v>Upton - Little Snake River 12/17/2022</v>
      </c>
      <c r="AJ124" s="8">
        <f ca="1">IFERROR(VLOOKUP(PlayerGameData[[#This Row],[School, Opponent,Game'#]],Table3[],2,FALSE),0)</f>
        <v>1</v>
      </c>
      <c r="AK124" s="8">
        <f ca="1">IF(PlayerGameData[[#This Row],[Visible]]=1,1,1000)</f>
        <v>1</v>
      </c>
      <c r="AL124" s="8">
        <f ca="1">RANK(PlayerGameData[[#This Row],[TL PTS]],PlayerGameData[TL PTS],0)+PlayerGameData[[#This Row],[VisibleOrder]]</f>
        <v>185</v>
      </c>
      <c r="AM124" s="8">
        <f ca="1">IF(COUNTIF(PlayerGameData[PointOrder],PlayerGameData[[#This Row],[PointOrder]])&gt;1,RANK(PlayerGameData[[#This Row],[FGA]],PlayerGameData[FGA],0)/100,0)+PlayerGameData[[#This Row],[PointOrder]]</f>
        <v>187.14</v>
      </c>
      <c r="AN124" s="8">
        <f ca="1">RANK(PlayerGameData[[#This Row],[PointTieBreak]],PlayerGameData[PointTieBreak],1)</f>
        <v>216</v>
      </c>
      <c r="AO124" s="8">
        <f ca="1">RANK(PlayerGameData[[#This Row],[REB]],PlayerGameData[REB],0)+PlayerGameData[[#This Row],[VisibleOrder]]</f>
        <v>192</v>
      </c>
      <c r="AP124" s="8">
        <f ca="1">IF(COUNTIF(PlayerGameData[REBOrder],PlayerGameData[[#This Row],[REBOrder]])&gt;1,PlayerGameData[[#This Row],[PointRank]]/100+PlayerGameData[[#This Row],[REBOrder]],PlayerGameData[[#This Row],[REBOrder]])</f>
        <v>194.16</v>
      </c>
      <c r="AQ124" s="8">
        <f ca="1">RANK(PlayerGameData[[#This Row],[REBTieBreak]],PlayerGameData[REBTieBreak],1)</f>
        <v>224</v>
      </c>
      <c r="AR124" s="8">
        <f ca="1">RANK(PlayerGameData[[#This Row],[AST]],PlayerGameData[AST],0)+PlayerGameData[[#This Row],[VisibleOrder]]</f>
        <v>158</v>
      </c>
      <c r="AS124" s="8">
        <f ca="1">IF(COUNTIF(PlayerGameData[ASTOrder],PlayerGameData[[#This Row],[ASTOrder]])&gt;1,PlayerGameData[[#This Row],[PointRank]]/100+PlayerGameData[[#This Row],[ASTOrder]],PlayerGameData[[#This Row],[ASTOrder]])</f>
        <v>160.16</v>
      </c>
      <c r="AT124" s="8">
        <f ca="1">RANK(PlayerGameData[[#This Row],[ASTTieBreak]],PlayerGameData[ASTTieBreak],1)</f>
        <v>221</v>
      </c>
      <c r="AU124" s="8">
        <f ca="1">RANK(PlayerGameData[[#This Row],[STL]],PlayerGameData[STL],0)+PlayerGameData[[#This Row],[VisibleOrder]]</f>
        <v>143</v>
      </c>
      <c r="AV124" s="8">
        <f ca="1">IF(COUNTIF(PlayerGameData[STLOrder],PlayerGameData[[#This Row],[STLOrder]])&gt;1,PlayerGameData[[#This Row],[PointRank]]/100+PlayerGameData[[#This Row],[STLOrder]],PlayerGameData[[#This Row],[STLOrder]])</f>
        <v>145.16</v>
      </c>
      <c r="AW124" s="8">
        <f ca="1">RANK(PlayerGameData[[#This Row],[STLTieBreak]],PlayerGameData[STLTieBreak],1)</f>
        <v>217</v>
      </c>
      <c r="AX124" s="8">
        <f ca="1">RANK(PlayerGameData[[#This Row],[BLK]],PlayerGameData[BLK],0)+PlayerGameData[[#This Row],[VisibleOrder]]</f>
        <v>32</v>
      </c>
      <c r="AY124" s="8">
        <f ca="1">IF(COUNTIF(PlayerGameData[BLKOrder],PlayerGameData[[#This Row],[BLKOrder]])&gt;1,PlayerGameData[[#This Row],[PointRank]]/100+PlayerGameData[[#This Row],[BLKOrder]],PlayerGameData[[#This Row],[BLKOrder]])</f>
        <v>34.159999999999997</v>
      </c>
      <c r="AZ124" s="8">
        <f ca="1">RANK(PlayerGameData[[#This Row],[BLKTieBreak]],PlayerGameData[BLKTieBreak],1)</f>
        <v>216</v>
      </c>
      <c r="BA124" s="11">
        <f ca="1">IFERROR(IF(PlayerGameData[[#This Row],[FGA]]&gt;$AA$5,PlayerGameData[[#This Row],[FG%*]],PlayerGameData[[#This Row],[FG%*]]*-1),-2)</f>
        <v>-2</v>
      </c>
      <c r="BB124" s="8">
        <f ca="1">RANK(PlayerGameData[[#This Row],[EligFG]],PlayerGameData[EligFG],0)+PlayerGameData[[#This Row],[VisibleOrder]]</f>
        <v>215</v>
      </c>
      <c r="BC124" s="8">
        <f ca="1">IF(COUNTIF(PlayerGameData[EligFGOrder],PlayerGameData[[#This Row],[EligFGOrder]])&gt;1,PlayerGameData[[#This Row],[PointRank]]/100+PlayerGameData[[#This Row],[EligFGOrder]],PlayerGameData[[#This Row],[EligFGOrder]])</f>
        <v>217.16</v>
      </c>
      <c r="BD124" s="8">
        <f ca="1">RANK(PlayerGameData[[#This Row],[EligFGTieBreak]],PlayerGameData[EligFGTieBreak],1)</f>
        <v>216</v>
      </c>
      <c r="BE124" s="8" t="str">
        <f>Roster!$D$3</f>
        <v>East</v>
      </c>
      <c r="BF124" s="8" t="str">
        <f>Roster!$D$2</f>
        <v>Northeast</v>
      </c>
      <c r="BG124" s="8" t="str">
        <f>Roster!$D$4</f>
        <v>North</v>
      </c>
      <c r="BH124" s="197">
        <f ca="1">IFERROR(VLOOKUP(CONCATENATE(PlayerGameData[[#This Row],[Opponent]]," ",MONTH(PlayerGameData[[#This Row],[Date]]),"/",DAY(PlayerGameData[[#This Row],[Date]]),"/",YEAR(PlayerGameData[[#This Row],[Date]])),Table35[],2,FALSE),0)</f>
        <v>1</v>
      </c>
      <c r="BI124" s="197">
        <f ca="1">IF(PlayerGameData[[#This Row],[Visible]]=1,1,1000)</f>
        <v>1</v>
      </c>
      <c r="BJ124" s="197" t="e">
        <f ca="1">_xlfn.MAXIFS(TeamGameData[Win],TeamGameData[School, Opponent,Game'#],PlayerGameData[[#This Row],[School, Opponent,Game'#]])</f>
        <v>#NAME?</v>
      </c>
      <c r="BK124" s="197" t="e">
        <f ca="1">_xlfn.MAXIFS(TeamGameData[Loss],TeamGameData[School, Opponent,Game'#],PlayerGameData[[#This Row],[School, Opponent,Game'#]])</f>
        <v>#NAME?</v>
      </c>
    </row>
    <row r="125" spans="1:63" x14ac:dyDescent="0.25">
      <c r="A125" s="8" t="str">
        <f t="shared" ca="1" si="63"/>
        <v xml:space="preserve">, </v>
      </c>
      <c r="B125" s="8" t="str">
        <f>Roster!$B$1</f>
        <v>Upton</v>
      </c>
      <c r="C125" s="8" t="str">
        <f t="shared" ca="1" si="51"/>
        <v>Little Snake River</v>
      </c>
      <c r="D125" s="10">
        <f t="shared" ca="1" si="52"/>
        <v>44912</v>
      </c>
      <c r="E125" s="8">
        <f t="shared" ca="1" si="53"/>
        <v>0</v>
      </c>
      <c r="F125" s="8">
        <f t="shared" ca="1" si="54"/>
        <v>0</v>
      </c>
      <c r="G125" s="8">
        <f t="shared" ca="1" si="55"/>
        <v>0</v>
      </c>
      <c r="H125" s="8">
        <f t="shared" ca="1" si="56"/>
        <v>0</v>
      </c>
      <c r="I125" s="8">
        <f t="shared" ca="1" si="57"/>
        <v>0</v>
      </c>
      <c r="J125" s="8">
        <f t="shared" ca="1" si="58"/>
        <v>0</v>
      </c>
      <c r="K125" s="8">
        <f t="shared" ca="1" si="59"/>
        <v>0</v>
      </c>
      <c r="L125" s="8">
        <f t="shared" ca="1" si="64"/>
        <v>0</v>
      </c>
      <c r="M125" s="8">
        <f t="shared" ca="1" si="65"/>
        <v>0</v>
      </c>
      <c r="N125" s="8">
        <f t="shared" ca="1" si="66"/>
        <v>0</v>
      </c>
      <c r="O125" s="8">
        <f t="shared" ca="1" si="67"/>
        <v>0</v>
      </c>
      <c r="P125" s="8">
        <f t="shared" ca="1" si="68"/>
        <v>0</v>
      </c>
      <c r="Q125" s="8">
        <f t="shared" ca="1" si="69"/>
        <v>0</v>
      </c>
      <c r="R125" s="8">
        <f t="shared" ca="1" si="70"/>
        <v>0</v>
      </c>
      <c r="S125" s="8">
        <f t="shared" ca="1" si="71"/>
        <v>0</v>
      </c>
      <c r="T125" s="8">
        <f t="shared" ca="1" si="72"/>
        <v>0</v>
      </c>
      <c r="U125" s="8">
        <f t="shared" ca="1" si="73"/>
        <v>0</v>
      </c>
      <c r="V125" s="8">
        <f t="shared" ca="1" si="74"/>
        <v>0</v>
      </c>
      <c r="W125" s="11" t="str">
        <f t="shared" ca="1" si="75"/>
        <v/>
      </c>
      <c r="X125" s="11" t="str">
        <f t="shared" ca="1" si="76"/>
        <v/>
      </c>
      <c r="Y125" s="11" t="str">
        <f t="shared" ca="1" si="77"/>
        <v/>
      </c>
      <c r="Z125" s="11" t="str">
        <f t="shared" ca="1" si="78"/>
        <v/>
      </c>
      <c r="AA125" s="11" t="str">
        <f t="shared" ca="1" si="79"/>
        <v/>
      </c>
      <c r="AB125" s="47">
        <f ca="1">PlayerGameData[[#This Row],[3FGA]]+PlayerGameData[[#This Row],[2FGA]]</f>
        <v>0</v>
      </c>
      <c r="AC125" s="47">
        <f ca="1">PlayerGameData[[#This Row],[OFF REB]]+PlayerGameData[[#This Row],[DEF REB]]</f>
        <v>0</v>
      </c>
      <c r="AD125" s="8">
        <f t="shared" si="60"/>
        <v>5</v>
      </c>
      <c r="AE125" s="8" t="str">
        <f t="shared" ca="1" si="61"/>
        <v>,  - Little Snake River 12/17/2022</v>
      </c>
      <c r="AF125" s="8" t="str">
        <f t="shared" ca="1" si="80"/>
        <v/>
      </c>
      <c r="AG125" s="8" t="str">
        <f ca="1">IFERROR(IF(C125=0,"",IF(AND(VLOOKUP(PlayerGameData[[#This Row],[Opponent]],WYTeamInfo,2,FALSE)=Roster!$D$1,VLOOKUP(PlayerGameData[[#This Row],[Opponent]],WYTeamInfo,3,FALSE)=Roster!$D$2),"SR","")),"")</f>
        <v/>
      </c>
      <c r="AH125" s="8" t="str">
        <f>CONCATENATE(Roster!$D$1," ",Roster!$D$5)</f>
        <v>1A BB</v>
      </c>
      <c r="AI125" s="8" t="str">
        <f t="shared" ca="1" si="62"/>
        <v>Upton - Little Snake River 12/17/2022</v>
      </c>
      <c r="AJ125" s="8">
        <f ca="1">IFERROR(VLOOKUP(PlayerGameData[[#This Row],[School, Opponent,Game'#]],Table3[],2,FALSE),0)</f>
        <v>1</v>
      </c>
      <c r="AK125" s="8">
        <f ca="1">IF(PlayerGameData[[#This Row],[Visible]]=1,1,1000)</f>
        <v>1</v>
      </c>
      <c r="AL125" s="8">
        <f ca="1">RANK(PlayerGameData[[#This Row],[TL PTS]],PlayerGameData[TL PTS],0)+PlayerGameData[[#This Row],[VisibleOrder]]</f>
        <v>185</v>
      </c>
      <c r="AM125" s="8">
        <f ca="1">IF(COUNTIF(PlayerGameData[PointOrder],PlayerGameData[[#This Row],[PointOrder]])&gt;1,RANK(PlayerGameData[[#This Row],[FGA]],PlayerGameData[FGA],0)/100,0)+PlayerGameData[[#This Row],[PointOrder]]</f>
        <v>187.14</v>
      </c>
      <c r="AN125" s="8">
        <f ca="1">RANK(PlayerGameData[[#This Row],[PointTieBreak]],PlayerGameData[PointTieBreak],1)</f>
        <v>216</v>
      </c>
      <c r="AO125" s="8">
        <f ca="1">RANK(PlayerGameData[[#This Row],[REB]],PlayerGameData[REB],0)+PlayerGameData[[#This Row],[VisibleOrder]]</f>
        <v>192</v>
      </c>
      <c r="AP125" s="8">
        <f ca="1">IF(COUNTIF(PlayerGameData[REBOrder],PlayerGameData[[#This Row],[REBOrder]])&gt;1,PlayerGameData[[#This Row],[PointRank]]/100+PlayerGameData[[#This Row],[REBOrder]],PlayerGameData[[#This Row],[REBOrder]])</f>
        <v>194.16</v>
      </c>
      <c r="AQ125" s="8">
        <f ca="1">RANK(PlayerGameData[[#This Row],[REBTieBreak]],PlayerGameData[REBTieBreak],1)</f>
        <v>224</v>
      </c>
      <c r="AR125" s="8">
        <f ca="1">RANK(PlayerGameData[[#This Row],[AST]],PlayerGameData[AST],0)+PlayerGameData[[#This Row],[VisibleOrder]]</f>
        <v>158</v>
      </c>
      <c r="AS125" s="8">
        <f ca="1">IF(COUNTIF(PlayerGameData[ASTOrder],PlayerGameData[[#This Row],[ASTOrder]])&gt;1,PlayerGameData[[#This Row],[PointRank]]/100+PlayerGameData[[#This Row],[ASTOrder]],PlayerGameData[[#This Row],[ASTOrder]])</f>
        <v>160.16</v>
      </c>
      <c r="AT125" s="8">
        <f ca="1">RANK(PlayerGameData[[#This Row],[ASTTieBreak]],PlayerGameData[ASTTieBreak],1)</f>
        <v>221</v>
      </c>
      <c r="AU125" s="8">
        <f ca="1">RANK(PlayerGameData[[#This Row],[STL]],PlayerGameData[STL],0)+PlayerGameData[[#This Row],[VisibleOrder]]</f>
        <v>143</v>
      </c>
      <c r="AV125" s="8">
        <f ca="1">IF(COUNTIF(PlayerGameData[STLOrder],PlayerGameData[[#This Row],[STLOrder]])&gt;1,PlayerGameData[[#This Row],[PointRank]]/100+PlayerGameData[[#This Row],[STLOrder]],PlayerGameData[[#This Row],[STLOrder]])</f>
        <v>145.16</v>
      </c>
      <c r="AW125" s="8">
        <f ca="1">RANK(PlayerGameData[[#This Row],[STLTieBreak]],PlayerGameData[STLTieBreak],1)</f>
        <v>217</v>
      </c>
      <c r="AX125" s="8">
        <f ca="1">RANK(PlayerGameData[[#This Row],[BLK]],PlayerGameData[BLK],0)+PlayerGameData[[#This Row],[VisibleOrder]]</f>
        <v>32</v>
      </c>
      <c r="AY125" s="8">
        <f ca="1">IF(COUNTIF(PlayerGameData[BLKOrder],PlayerGameData[[#This Row],[BLKOrder]])&gt;1,PlayerGameData[[#This Row],[PointRank]]/100+PlayerGameData[[#This Row],[BLKOrder]],PlayerGameData[[#This Row],[BLKOrder]])</f>
        <v>34.159999999999997</v>
      </c>
      <c r="AZ125" s="8">
        <f ca="1">RANK(PlayerGameData[[#This Row],[BLKTieBreak]],PlayerGameData[BLKTieBreak],1)</f>
        <v>216</v>
      </c>
      <c r="BA125" s="11">
        <f ca="1">IFERROR(IF(PlayerGameData[[#This Row],[FGA]]&gt;$AA$5,PlayerGameData[[#This Row],[FG%*]],PlayerGameData[[#This Row],[FG%*]]*-1),-2)</f>
        <v>-2</v>
      </c>
      <c r="BB125" s="8">
        <f ca="1">RANK(PlayerGameData[[#This Row],[EligFG]],PlayerGameData[EligFG],0)+PlayerGameData[[#This Row],[VisibleOrder]]</f>
        <v>215</v>
      </c>
      <c r="BC125" s="8">
        <f ca="1">IF(COUNTIF(PlayerGameData[EligFGOrder],PlayerGameData[[#This Row],[EligFGOrder]])&gt;1,PlayerGameData[[#This Row],[PointRank]]/100+PlayerGameData[[#This Row],[EligFGOrder]],PlayerGameData[[#This Row],[EligFGOrder]])</f>
        <v>217.16</v>
      </c>
      <c r="BD125" s="8">
        <f ca="1">RANK(PlayerGameData[[#This Row],[EligFGTieBreak]],PlayerGameData[EligFGTieBreak],1)</f>
        <v>216</v>
      </c>
      <c r="BE125" s="8" t="str">
        <f>Roster!$D$3</f>
        <v>East</v>
      </c>
      <c r="BF125" s="8" t="str">
        <f>Roster!$D$2</f>
        <v>Northeast</v>
      </c>
      <c r="BG125" s="8" t="str">
        <f>Roster!$D$4</f>
        <v>North</v>
      </c>
      <c r="BH125" s="197">
        <f ca="1">IFERROR(VLOOKUP(CONCATENATE(PlayerGameData[[#This Row],[Opponent]]," ",MONTH(PlayerGameData[[#This Row],[Date]]),"/",DAY(PlayerGameData[[#This Row],[Date]]),"/",YEAR(PlayerGameData[[#This Row],[Date]])),Table35[],2,FALSE),0)</f>
        <v>1</v>
      </c>
      <c r="BI125" s="197">
        <f ca="1">IF(PlayerGameData[[#This Row],[Visible]]=1,1,1000)</f>
        <v>1</v>
      </c>
      <c r="BJ125" s="197" t="e">
        <f ca="1">_xlfn.MAXIFS(TeamGameData[Win],TeamGameData[School, Opponent,Game'#],PlayerGameData[[#This Row],[School, Opponent,Game'#]])</f>
        <v>#NAME?</v>
      </c>
      <c r="BK125" s="197" t="e">
        <f ca="1">_xlfn.MAXIFS(TeamGameData[Loss],TeamGameData[School, Opponent,Game'#],PlayerGameData[[#This Row],[School, Opponent,Game'#]])</f>
        <v>#NAME?</v>
      </c>
    </row>
    <row r="126" spans="1:63" x14ac:dyDescent="0.25">
      <c r="A126" s="8" t="str">
        <f t="shared" ca="1" si="63"/>
        <v xml:space="preserve">Team, </v>
      </c>
      <c r="B126" s="8" t="str">
        <f>Roster!$B$1</f>
        <v>Upton</v>
      </c>
      <c r="C126" s="8" t="str">
        <f t="shared" ca="1" si="51"/>
        <v>Little Snake River</v>
      </c>
      <c r="D126" s="10">
        <f t="shared" ca="1" si="52"/>
        <v>44912</v>
      </c>
      <c r="E126" s="8">
        <f t="shared" ca="1" si="53"/>
        <v>0</v>
      </c>
      <c r="F126" s="8">
        <f t="shared" ca="1" si="54"/>
        <v>0</v>
      </c>
      <c r="G126" s="8">
        <f t="shared" ca="1" si="55"/>
        <v>0</v>
      </c>
      <c r="H126" s="8">
        <f t="shared" ca="1" si="56"/>
        <v>0</v>
      </c>
      <c r="I126" s="8">
        <f t="shared" ca="1" si="57"/>
        <v>0</v>
      </c>
      <c r="J126" s="8">
        <f t="shared" ca="1" si="58"/>
        <v>0</v>
      </c>
      <c r="K126" s="8">
        <f t="shared" ca="1" si="59"/>
        <v>0</v>
      </c>
      <c r="L126" s="8">
        <f t="shared" ca="1" si="64"/>
        <v>0</v>
      </c>
      <c r="M126" s="8">
        <f t="shared" ca="1" si="65"/>
        <v>0</v>
      </c>
      <c r="N126" s="8">
        <f t="shared" ca="1" si="66"/>
        <v>0</v>
      </c>
      <c r="O126" s="8">
        <f t="shared" ca="1" si="67"/>
        <v>0</v>
      </c>
      <c r="P126" s="8">
        <f t="shared" ca="1" si="68"/>
        <v>0</v>
      </c>
      <c r="Q126" s="8">
        <f t="shared" ca="1" si="69"/>
        <v>0</v>
      </c>
      <c r="R126" s="8">
        <f t="shared" ca="1" si="70"/>
        <v>0</v>
      </c>
      <c r="S126" s="8">
        <f t="shared" ca="1" si="71"/>
        <v>0</v>
      </c>
      <c r="T126" s="8">
        <f t="shared" ca="1" si="72"/>
        <v>0</v>
      </c>
      <c r="U126" s="8">
        <f t="shared" ca="1" si="73"/>
        <v>0</v>
      </c>
      <c r="V126" s="8">
        <f t="shared" ca="1" si="74"/>
        <v>0</v>
      </c>
      <c r="W126" s="11" t="str">
        <f t="shared" ca="1" si="75"/>
        <v/>
      </c>
      <c r="X126" s="11" t="str">
        <f t="shared" ca="1" si="76"/>
        <v/>
      </c>
      <c r="Y126" s="11" t="str">
        <f t="shared" ca="1" si="77"/>
        <v/>
      </c>
      <c r="Z126" s="11" t="str">
        <f t="shared" ca="1" si="78"/>
        <v/>
      </c>
      <c r="AA126" s="11" t="str">
        <f t="shared" ca="1" si="79"/>
        <v/>
      </c>
      <c r="AB126" s="47">
        <f ca="1">PlayerGameData[[#This Row],[3FGA]]+PlayerGameData[[#This Row],[2FGA]]</f>
        <v>0</v>
      </c>
      <c r="AC126" s="47">
        <f ca="1">PlayerGameData[[#This Row],[OFF REB]]+PlayerGameData[[#This Row],[DEF REB]]</f>
        <v>0</v>
      </c>
      <c r="AD126" s="8">
        <f t="shared" si="60"/>
        <v>5</v>
      </c>
      <c r="AE126" s="8" t="str">
        <f t="shared" ca="1" si="61"/>
        <v>Team,  - Little Snake River 12/17/2022</v>
      </c>
      <c r="AF126" s="8" t="str">
        <f t="shared" ca="1" si="80"/>
        <v/>
      </c>
      <c r="AG126" s="8" t="str">
        <f ca="1">IFERROR(IF(C126=0,"",IF(AND(VLOOKUP(PlayerGameData[[#This Row],[Opponent]],WYTeamInfo,2,FALSE)=Roster!$D$1,VLOOKUP(PlayerGameData[[#This Row],[Opponent]],WYTeamInfo,3,FALSE)=Roster!$D$2),"SR","")),"")</f>
        <v/>
      </c>
      <c r="AH126" s="8" t="str">
        <f>CONCATENATE(Roster!$D$1," ",Roster!$D$5)</f>
        <v>1A BB</v>
      </c>
      <c r="AI126" s="8" t="str">
        <f t="shared" ca="1" si="62"/>
        <v>Upton - Little Snake River 12/17/2022</v>
      </c>
      <c r="AJ126" s="8">
        <f ca="1">IFERROR(VLOOKUP(PlayerGameData[[#This Row],[School, Opponent,Game'#]],Table3[],2,FALSE),0)</f>
        <v>1</v>
      </c>
      <c r="AK126" s="8">
        <f ca="1">IF(PlayerGameData[[#This Row],[Visible]]=1,1,1000)</f>
        <v>1</v>
      </c>
      <c r="AL126" s="8">
        <f ca="1">RANK(PlayerGameData[[#This Row],[TL PTS]],PlayerGameData[TL PTS],0)+PlayerGameData[[#This Row],[VisibleOrder]]</f>
        <v>185</v>
      </c>
      <c r="AM126" s="8">
        <f ca="1">IF(COUNTIF(PlayerGameData[PointOrder],PlayerGameData[[#This Row],[PointOrder]])&gt;1,RANK(PlayerGameData[[#This Row],[FGA]],PlayerGameData[FGA],0)/100,0)+PlayerGameData[[#This Row],[PointOrder]]</f>
        <v>187.14</v>
      </c>
      <c r="AN126" s="8">
        <f ca="1">RANK(PlayerGameData[[#This Row],[PointTieBreak]],PlayerGameData[PointTieBreak],1)</f>
        <v>216</v>
      </c>
      <c r="AO126" s="8">
        <f ca="1">RANK(PlayerGameData[[#This Row],[REB]],PlayerGameData[REB],0)+PlayerGameData[[#This Row],[VisibleOrder]]</f>
        <v>192</v>
      </c>
      <c r="AP126" s="8">
        <f ca="1">IF(COUNTIF(PlayerGameData[REBOrder],PlayerGameData[[#This Row],[REBOrder]])&gt;1,PlayerGameData[[#This Row],[PointRank]]/100+PlayerGameData[[#This Row],[REBOrder]],PlayerGameData[[#This Row],[REBOrder]])</f>
        <v>194.16</v>
      </c>
      <c r="AQ126" s="8">
        <f ca="1">RANK(PlayerGameData[[#This Row],[REBTieBreak]],PlayerGameData[REBTieBreak],1)</f>
        <v>224</v>
      </c>
      <c r="AR126" s="8">
        <f ca="1">RANK(PlayerGameData[[#This Row],[AST]],PlayerGameData[AST],0)+PlayerGameData[[#This Row],[VisibleOrder]]</f>
        <v>158</v>
      </c>
      <c r="AS126" s="8">
        <f ca="1">IF(COUNTIF(PlayerGameData[ASTOrder],PlayerGameData[[#This Row],[ASTOrder]])&gt;1,PlayerGameData[[#This Row],[PointRank]]/100+PlayerGameData[[#This Row],[ASTOrder]],PlayerGameData[[#This Row],[ASTOrder]])</f>
        <v>160.16</v>
      </c>
      <c r="AT126" s="8">
        <f ca="1">RANK(PlayerGameData[[#This Row],[ASTTieBreak]],PlayerGameData[ASTTieBreak],1)</f>
        <v>221</v>
      </c>
      <c r="AU126" s="8">
        <f ca="1">RANK(PlayerGameData[[#This Row],[STL]],PlayerGameData[STL],0)+PlayerGameData[[#This Row],[VisibleOrder]]</f>
        <v>143</v>
      </c>
      <c r="AV126" s="8">
        <f ca="1">IF(COUNTIF(PlayerGameData[STLOrder],PlayerGameData[[#This Row],[STLOrder]])&gt;1,PlayerGameData[[#This Row],[PointRank]]/100+PlayerGameData[[#This Row],[STLOrder]],PlayerGameData[[#This Row],[STLOrder]])</f>
        <v>145.16</v>
      </c>
      <c r="AW126" s="8">
        <f ca="1">RANK(PlayerGameData[[#This Row],[STLTieBreak]],PlayerGameData[STLTieBreak],1)</f>
        <v>217</v>
      </c>
      <c r="AX126" s="8">
        <f ca="1">RANK(PlayerGameData[[#This Row],[BLK]],PlayerGameData[BLK],0)+PlayerGameData[[#This Row],[VisibleOrder]]</f>
        <v>32</v>
      </c>
      <c r="AY126" s="8">
        <f ca="1">IF(COUNTIF(PlayerGameData[BLKOrder],PlayerGameData[[#This Row],[BLKOrder]])&gt;1,PlayerGameData[[#This Row],[PointRank]]/100+PlayerGameData[[#This Row],[BLKOrder]],PlayerGameData[[#This Row],[BLKOrder]])</f>
        <v>34.159999999999997</v>
      </c>
      <c r="AZ126" s="8">
        <f ca="1">RANK(PlayerGameData[[#This Row],[BLKTieBreak]],PlayerGameData[BLKTieBreak],1)</f>
        <v>216</v>
      </c>
      <c r="BA126" s="11">
        <f ca="1">IFERROR(IF(PlayerGameData[[#This Row],[FGA]]&gt;$AA$5,PlayerGameData[[#This Row],[FG%*]],PlayerGameData[[#This Row],[FG%*]]*-1),-2)</f>
        <v>-2</v>
      </c>
      <c r="BB126" s="8">
        <f ca="1">RANK(PlayerGameData[[#This Row],[EligFG]],PlayerGameData[EligFG],0)+PlayerGameData[[#This Row],[VisibleOrder]]</f>
        <v>215</v>
      </c>
      <c r="BC126" s="8">
        <f ca="1">IF(COUNTIF(PlayerGameData[EligFGOrder],PlayerGameData[[#This Row],[EligFGOrder]])&gt;1,PlayerGameData[[#This Row],[PointRank]]/100+PlayerGameData[[#This Row],[EligFGOrder]],PlayerGameData[[#This Row],[EligFGOrder]])</f>
        <v>217.16</v>
      </c>
      <c r="BD126" s="8">
        <f ca="1">RANK(PlayerGameData[[#This Row],[EligFGTieBreak]],PlayerGameData[EligFGTieBreak],1)</f>
        <v>216</v>
      </c>
      <c r="BE126" s="8" t="str">
        <f>Roster!$D$3</f>
        <v>East</v>
      </c>
      <c r="BF126" s="8" t="str">
        <f>Roster!$D$2</f>
        <v>Northeast</v>
      </c>
      <c r="BG126" s="8" t="str">
        <f>Roster!$D$4</f>
        <v>North</v>
      </c>
      <c r="BH126" s="197">
        <f ca="1">IFERROR(VLOOKUP(CONCATENATE(PlayerGameData[[#This Row],[Opponent]]," ",MONTH(PlayerGameData[[#This Row],[Date]]),"/",DAY(PlayerGameData[[#This Row],[Date]]),"/",YEAR(PlayerGameData[[#This Row],[Date]])),Table35[],2,FALSE),0)</f>
        <v>1</v>
      </c>
      <c r="BI126" s="197">
        <f ca="1">IF(PlayerGameData[[#This Row],[Visible]]=1,1,1000)</f>
        <v>1</v>
      </c>
      <c r="BJ126" s="197" t="e">
        <f ca="1">_xlfn.MAXIFS(TeamGameData[Win],TeamGameData[School, Opponent,Game'#],PlayerGameData[[#This Row],[School, Opponent,Game'#]])</f>
        <v>#NAME?</v>
      </c>
      <c r="BK126" s="197" t="e">
        <f ca="1">_xlfn.MAXIFS(TeamGameData[Loss],TeamGameData[School, Opponent,Game'#],PlayerGameData[[#This Row],[School, Opponent,Game'#]])</f>
        <v>#NAME?</v>
      </c>
    </row>
    <row r="127" spans="1:63" x14ac:dyDescent="0.25">
      <c r="A127" s="8" t="str">
        <f t="shared" ca="1" si="63"/>
        <v>Landon Butler, 1</v>
      </c>
      <c r="B127" s="8" t="str">
        <f>Roster!$B$1</f>
        <v>Upton</v>
      </c>
      <c r="C127" s="8" t="str">
        <f t="shared" ca="1" si="51"/>
        <v>Meeteetse</v>
      </c>
      <c r="D127" s="10">
        <f t="shared" ca="1" si="52"/>
        <v>44912</v>
      </c>
      <c r="E127" s="8">
        <f t="shared" ca="1" si="53"/>
        <v>1</v>
      </c>
      <c r="F127" s="8">
        <f t="shared" ca="1" si="54"/>
        <v>0</v>
      </c>
      <c r="G127" s="8">
        <f t="shared" ca="1" si="55"/>
        <v>5</v>
      </c>
      <c r="H127" s="8">
        <f t="shared" ca="1" si="56"/>
        <v>0</v>
      </c>
      <c r="I127" s="8">
        <f t="shared" ca="1" si="57"/>
        <v>2</v>
      </c>
      <c r="J127" s="8">
        <f t="shared" ca="1" si="58"/>
        <v>0</v>
      </c>
      <c r="K127" s="8">
        <f t="shared" ca="1" si="59"/>
        <v>0</v>
      </c>
      <c r="L127" s="8">
        <f t="shared" ca="1" si="64"/>
        <v>0</v>
      </c>
      <c r="M127" s="8">
        <f t="shared" ca="1" si="65"/>
        <v>0</v>
      </c>
      <c r="N127" s="8">
        <f t="shared" ca="1" si="66"/>
        <v>0</v>
      </c>
      <c r="O127" s="8">
        <f t="shared" ca="1" si="67"/>
        <v>0</v>
      </c>
      <c r="P127" s="8">
        <f t="shared" ca="1" si="68"/>
        <v>0</v>
      </c>
      <c r="Q127" s="8">
        <f t="shared" ca="1" si="69"/>
        <v>1</v>
      </c>
      <c r="R127" s="8">
        <f t="shared" ca="1" si="70"/>
        <v>0</v>
      </c>
      <c r="S127" s="8">
        <f t="shared" ca="1" si="71"/>
        <v>1</v>
      </c>
      <c r="T127" s="8">
        <f t="shared" ca="1" si="72"/>
        <v>0</v>
      </c>
      <c r="U127" s="8">
        <f t="shared" ca="1" si="73"/>
        <v>1</v>
      </c>
      <c r="V127" s="8">
        <f t="shared" ca="1" si="74"/>
        <v>0</v>
      </c>
      <c r="W127" s="11">
        <f t="shared" ca="1" si="75"/>
        <v>0</v>
      </c>
      <c r="X127" s="11" t="str">
        <f t="shared" ca="1" si="76"/>
        <v/>
      </c>
      <c r="Y127" s="11" t="str">
        <f t="shared" ca="1" si="77"/>
        <v/>
      </c>
      <c r="Z127" s="11">
        <f t="shared" ca="1" si="78"/>
        <v>0</v>
      </c>
      <c r="AA127" s="11">
        <f t="shared" ca="1" si="79"/>
        <v>0</v>
      </c>
      <c r="AB127" s="47">
        <f ca="1">PlayerGameData[[#This Row],[3FGA]]+PlayerGameData[[#This Row],[2FGA]]</f>
        <v>2</v>
      </c>
      <c r="AC127" s="47">
        <f ca="1">PlayerGameData[[#This Row],[OFF REB]]+PlayerGameData[[#This Row],[DEF REB]]</f>
        <v>0</v>
      </c>
      <c r="AD127" s="8">
        <f t="shared" si="60"/>
        <v>6</v>
      </c>
      <c r="AE127" s="8" t="str">
        <f t="shared" ca="1" si="61"/>
        <v>Landon Butler, 1 - Meeteetse 12/17/2022</v>
      </c>
      <c r="AF127" s="8" t="str">
        <f t="shared" ca="1" si="80"/>
        <v/>
      </c>
      <c r="AG127" s="8" t="str">
        <f ca="1">IFERROR(IF(C127=0,"",IF(AND(VLOOKUP(PlayerGameData[[#This Row],[Opponent]],WYTeamInfo,2,FALSE)=Roster!$D$1,VLOOKUP(PlayerGameData[[#This Row],[Opponent]],WYTeamInfo,3,FALSE)=Roster!$D$2),"SR","")),"")</f>
        <v/>
      </c>
      <c r="AH127" s="8" t="str">
        <f>CONCATENATE(Roster!$D$1," ",Roster!$D$5)</f>
        <v>1A BB</v>
      </c>
      <c r="AI127" s="8" t="str">
        <f t="shared" ca="1" si="62"/>
        <v>Upton - Meeteetse 12/17/2022</v>
      </c>
      <c r="AJ127" s="8">
        <f ca="1">IFERROR(VLOOKUP(PlayerGameData[[#This Row],[School, Opponent,Game'#]],Table3[],2,FALSE),0)</f>
        <v>1</v>
      </c>
      <c r="AK127" s="8">
        <f ca="1">IF(PlayerGameData[[#This Row],[Visible]]=1,1,1000)</f>
        <v>1</v>
      </c>
      <c r="AL127" s="8">
        <f ca="1">RANK(PlayerGameData[[#This Row],[TL PTS]],PlayerGameData[TL PTS],0)+PlayerGameData[[#This Row],[VisibleOrder]]</f>
        <v>185</v>
      </c>
      <c r="AM127" s="8">
        <f ca="1">IF(COUNTIF(PlayerGameData[PointOrder],PlayerGameData[[#This Row],[PointOrder]])&gt;1,RANK(PlayerGameData[[#This Row],[FGA]],PlayerGameData[FGA],0)/100,0)+PlayerGameData[[#This Row],[PointOrder]]</f>
        <v>186.61</v>
      </c>
      <c r="AN127" s="8">
        <f ca="1">RANK(PlayerGameData[[#This Row],[PointTieBreak]],PlayerGameData[PointTieBreak],1)</f>
        <v>191</v>
      </c>
      <c r="AO127" s="8">
        <f ca="1">RANK(PlayerGameData[[#This Row],[REB]],PlayerGameData[REB],0)+PlayerGameData[[#This Row],[VisibleOrder]]</f>
        <v>192</v>
      </c>
      <c r="AP127" s="8">
        <f ca="1">IF(COUNTIF(PlayerGameData[REBOrder],PlayerGameData[[#This Row],[REBOrder]])&gt;1,PlayerGameData[[#This Row],[PointRank]]/100+PlayerGameData[[#This Row],[REBOrder]],PlayerGameData[[#This Row],[REBOrder]])</f>
        <v>193.91</v>
      </c>
      <c r="AQ127" s="8">
        <f ca="1">RANK(PlayerGameData[[#This Row],[REBTieBreak]],PlayerGameData[REBTieBreak],1)</f>
        <v>210</v>
      </c>
      <c r="AR127" s="8">
        <f ca="1">RANK(PlayerGameData[[#This Row],[AST]],PlayerGameData[AST],0)+PlayerGameData[[#This Row],[VisibleOrder]]</f>
        <v>158</v>
      </c>
      <c r="AS127" s="8">
        <f ca="1">IF(COUNTIF(PlayerGameData[ASTOrder],PlayerGameData[[#This Row],[ASTOrder]])&gt;1,PlayerGameData[[#This Row],[PointRank]]/100+PlayerGameData[[#This Row],[ASTOrder]],PlayerGameData[[#This Row],[ASTOrder]])</f>
        <v>159.91</v>
      </c>
      <c r="AT127" s="8">
        <f ca="1">RANK(PlayerGameData[[#This Row],[ASTTieBreak]],PlayerGameData[ASTTieBreak],1)</f>
        <v>205</v>
      </c>
      <c r="AU127" s="8">
        <f ca="1">RANK(PlayerGameData[[#This Row],[STL]],PlayerGameData[STL],0)+PlayerGameData[[#This Row],[VisibleOrder]]</f>
        <v>84</v>
      </c>
      <c r="AV127" s="8">
        <f ca="1">IF(COUNTIF(PlayerGameData[STLOrder],PlayerGameData[[#This Row],[STLOrder]])&gt;1,PlayerGameData[[#This Row],[PointRank]]/100+PlayerGameData[[#This Row],[STLOrder]],PlayerGameData[[#This Row],[STLOrder]])</f>
        <v>85.91</v>
      </c>
      <c r="AW127" s="8">
        <f ca="1">RANK(PlayerGameData[[#This Row],[STLTieBreak]],PlayerGameData[STLTieBreak],1)</f>
        <v>137</v>
      </c>
      <c r="AX127" s="8">
        <f ca="1">RANK(PlayerGameData[[#This Row],[BLK]],PlayerGameData[BLK],0)+PlayerGameData[[#This Row],[VisibleOrder]]</f>
        <v>32</v>
      </c>
      <c r="AY127" s="8">
        <f ca="1">IF(COUNTIF(PlayerGameData[BLKOrder],PlayerGameData[[#This Row],[BLKOrder]])&gt;1,PlayerGameData[[#This Row],[PointRank]]/100+PlayerGameData[[#This Row],[BLKOrder]],PlayerGameData[[#This Row],[BLKOrder]])</f>
        <v>33.909999999999997</v>
      </c>
      <c r="AZ127" s="8">
        <f ca="1">RANK(PlayerGameData[[#This Row],[BLKTieBreak]],PlayerGameData[BLKTieBreak],1)</f>
        <v>192</v>
      </c>
      <c r="BA127" s="11">
        <f ca="1">IFERROR(IF(PlayerGameData[[#This Row],[FGA]]&gt;$AA$5,PlayerGameData[[#This Row],[FG%*]],PlayerGameData[[#This Row],[FG%*]]*-1),-2)</f>
        <v>0</v>
      </c>
      <c r="BB127" s="8">
        <f ca="1">RANK(PlayerGameData[[#This Row],[EligFG]],PlayerGameData[EligFG],0)+PlayerGameData[[#This Row],[VisibleOrder]]</f>
        <v>117</v>
      </c>
      <c r="BC127" s="8">
        <f ca="1">IF(COUNTIF(PlayerGameData[EligFGOrder],PlayerGameData[[#This Row],[EligFGOrder]])&gt;1,PlayerGameData[[#This Row],[PointRank]]/100+PlayerGameData[[#This Row],[EligFGOrder]],PlayerGameData[[#This Row],[EligFGOrder]])</f>
        <v>118.91</v>
      </c>
      <c r="BD127" s="8">
        <f ca="1">RANK(PlayerGameData[[#This Row],[EligFGTieBreak]],PlayerGameData[EligFGTieBreak],1)</f>
        <v>133</v>
      </c>
      <c r="BE127" s="8" t="str">
        <f>Roster!$D$3</f>
        <v>East</v>
      </c>
      <c r="BF127" s="8" t="str">
        <f>Roster!$D$2</f>
        <v>Northeast</v>
      </c>
      <c r="BG127" s="8" t="str">
        <f>Roster!$D$4</f>
        <v>North</v>
      </c>
      <c r="BH127" s="197">
        <f ca="1">IFERROR(VLOOKUP(CONCATENATE(PlayerGameData[[#This Row],[Opponent]]," ",MONTH(PlayerGameData[[#This Row],[Date]]),"/",DAY(PlayerGameData[[#This Row],[Date]]),"/",YEAR(PlayerGameData[[#This Row],[Date]])),Table35[],2,FALSE),0)</f>
        <v>1</v>
      </c>
      <c r="BI127" s="197">
        <f ca="1">IF(PlayerGameData[[#This Row],[Visible]]=1,1,1000)</f>
        <v>1</v>
      </c>
      <c r="BJ127" s="197" t="e">
        <f ca="1">_xlfn.MAXIFS(TeamGameData[Win],TeamGameData[School, Opponent,Game'#],PlayerGameData[[#This Row],[School, Opponent,Game'#]])</f>
        <v>#NAME?</v>
      </c>
      <c r="BK127" s="197" t="e">
        <f ca="1">_xlfn.MAXIFS(TeamGameData[Loss],TeamGameData[School, Opponent,Game'#],PlayerGameData[[#This Row],[School, Opponent,Game'#]])</f>
        <v>#NAME?</v>
      </c>
    </row>
    <row r="128" spans="1:63" x14ac:dyDescent="0.25">
      <c r="A128" s="8" t="str">
        <f t="shared" ca="1" si="63"/>
        <v>Logan Timberman, 3</v>
      </c>
      <c r="B128" s="8" t="str">
        <f>Roster!$B$1</f>
        <v>Upton</v>
      </c>
      <c r="C128" s="8" t="str">
        <f t="shared" ca="1" si="51"/>
        <v>Meeteetse</v>
      </c>
      <c r="D128" s="10">
        <f t="shared" ca="1" si="52"/>
        <v>44912</v>
      </c>
      <c r="E128" s="8">
        <f t="shared" ca="1" si="53"/>
        <v>1</v>
      </c>
      <c r="F128" s="8">
        <f t="shared" ca="1" si="54"/>
        <v>1</v>
      </c>
      <c r="G128" s="8">
        <f t="shared" ca="1" si="55"/>
        <v>23</v>
      </c>
      <c r="H128" s="8">
        <f t="shared" ca="1" si="56"/>
        <v>0</v>
      </c>
      <c r="I128" s="8">
        <f t="shared" ca="1" si="57"/>
        <v>1</v>
      </c>
      <c r="J128" s="8">
        <f t="shared" ca="1" si="58"/>
        <v>2</v>
      </c>
      <c r="K128" s="8">
        <f t="shared" ca="1" si="59"/>
        <v>5</v>
      </c>
      <c r="L128" s="8">
        <f t="shared" ca="1" si="64"/>
        <v>0</v>
      </c>
      <c r="M128" s="8">
        <f t="shared" ca="1" si="65"/>
        <v>0</v>
      </c>
      <c r="N128" s="8">
        <f t="shared" ca="1" si="66"/>
        <v>3</v>
      </c>
      <c r="O128" s="8">
        <f t="shared" ca="1" si="67"/>
        <v>1</v>
      </c>
      <c r="P128" s="8">
        <f t="shared" ca="1" si="68"/>
        <v>1</v>
      </c>
      <c r="Q128" s="8">
        <f t="shared" ca="1" si="69"/>
        <v>1</v>
      </c>
      <c r="R128" s="8">
        <f t="shared" ca="1" si="70"/>
        <v>0</v>
      </c>
      <c r="S128" s="8">
        <f t="shared" ca="1" si="71"/>
        <v>1</v>
      </c>
      <c r="T128" s="8">
        <f t="shared" ca="1" si="72"/>
        <v>1</v>
      </c>
      <c r="U128" s="8">
        <f t="shared" ca="1" si="73"/>
        <v>0</v>
      </c>
      <c r="V128" s="8">
        <f t="shared" ca="1" si="74"/>
        <v>4</v>
      </c>
      <c r="W128" s="11">
        <f t="shared" ca="1" si="75"/>
        <v>0</v>
      </c>
      <c r="X128" s="11">
        <f t="shared" ca="1" si="76"/>
        <v>0.4</v>
      </c>
      <c r="Y128" s="11" t="str">
        <f t="shared" ca="1" si="77"/>
        <v/>
      </c>
      <c r="Z128" s="11">
        <f t="shared" ca="1" si="78"/>
        <v>0.33333333333333331</v>
      </c>
      <c r="AA128" s="11">
        <f t="shared" ca="1" si="79"/>
        <v>0.33333333333333331</v>
      </c>
      <c r="AB128" s="47">
        <f ca="1">PlayerGameData[[#This Row],[3FGA]]+PlayerGameData[[#This Row],[2FGA]]</f>
        <v>6</v>
      </c>
      <c r="AC128" s="47">
        <f ca="1">PlayerGameData[[#This Row],[OFF REB]]+PlayerGameData[[#This Row],[DEF REB]]</f>
        <v>4</v>
      </c>
      <c r="AD128" s="8">
        <f t="shared" si="60"/>
        <v>6</v>
      </c>
      <c r="AE128" s="8" t="str">
        <f t="shared" ca="1" si="61"/>
        <v>Logan Timberman, 3 - Meeteetse 12/17/2022</v>
      </c>
      <c r="AF128" s="8" t="str">
        <f t="shared" ca="1" si="80"/>
        <v/>
      </c>
      <c r="AG128" s="8" t="str">
        <f ca="1">IFERROR(IF(C128=0,"",IF(AND(VLOOKUP(PlayerGameData[[#This Row],[Opponent]],WYTeamInfo,2,FALSE)=Roster!$D$1,VLOOKUP(PlayerGameData[[#This Row],[Opponent]],WYTeamInfo,3,FALSE)=Roster!$D$2),"SR","")),"")</f>
        <v/>
      </c>
      <c r="AH128" s="8" t="str">
        <f>CONCATENATE(Roster!$D$1," ",Roster!$D$5)</f>
        <v>1A BB</v>
      </c>
      <c r="AI128" s="8" t="str">
        <f t="shared" ca="1" si="62"/>
        <v>Upton - Meeteetse 12/17/2022</v>
      </c>
      <c r="AJ128" s="8">
        <f ca="1">IFERROR(VLOOKUP(PlayerGameData[[#This Row],[School, Opponent,Game'#]],Table3[],2,FALSE),0)</f>
        <v>1</v>
      </c>
      <c r="AK128" s="8">
        <f ca="1">IF(PlayerGameData[[#This Row],[Visible]]=1,1,1000)</f>
        <v>1</v>
      </c>
      <c r="AL128" s="8">
        <f ca="1">RANK(PlayerGameData[[#This Row],[TL PTS]],PlayerGameData[TL PTS],0)+PlayerGameData[[#This Row],[VisibleOrder]]</f>
        <v>118</v>
      </c>
      <c r="AM128" s="8">
        <f ca="1">IF(COUNTIF(PlayerGameData[PointOrder],PlayerGameData[[#This Row],[PointOrder]])&gt;1,RANK(PlayerGameData[[#This Row],[FGA]],PlayerGameData[FGA],0)/100,0)+PlayerGameData[[#This Row],[PointOrder]]</f>
        <v>119.08</v>
      </c>
      <c r="AN128" s="8">
        <f ca="1">RANK(PlayerGameData[[#This Row],[PointTieBreak]],PlayerGameData[PointTieBreak],1)</f>
        <v>122</v>
      </c>
      <c r="AO128" s="8">
        <f ca="1">RANK(PlayerGameData[[#This Row],[REB]],PlayerGameData[REB],0)+PlayerGameData[[#This Row],[VisibleOrder]]</f>
        <v>79</v>
      </c>
      <c r="AP128" s="8">
        <f ca="1">IF(COUNTIF(PlayerGameData[REBOrder],PlayerGameData[[#This Row],[REBOrder]])&gt;1,PlayerGameData[[#This Row],[PointRank]]/100+PlayerGameData[[#This Row],[REBOrder]],PlayerGameData[[#This Row],[REBOrder]])</f>
        <v>80.22</v>
      </c>
      <c r="AQ128" s="8">
        <f ca="1">RANK(PlayerGameData[[#This Row],[REBTieBreak]],PlayerGameData[REBTieBreak],1)</f>
        <v>102</v>
      </c>
      <c r="AR128" s="8">
        <f ca="1">RANK(PlayerGameData[[#This Row],[AST]],PlayerGameData[AST],0)+PlayerGameData[[#This Row],[VisibleOrder]]</f>
        <v>115</v>
      </c>
      <c r="AS128" s="8">
        <f ca="1">IF(COUNTIF(PlayerGameData[ASTOrder],PlayerGameData[[#This Row],[ASTOrder]])&gt;1,PlayerGameData[[#This Row],[PointRank]]/100+PlayerGameData[[#This Row],[ASTOrder]],PlayerGameData[[#This Row],[ASTOrder]])</f>
        <v>116.22</v>
      </c>
      <c r="AT128" s="8">
        <f ca="1">RANK(PlayerGameData[[#This Row],[ASTTieBreak]],PlayerGameData[ASTTieBreak],1)</f>
        <v>135</v>
      </c>
      <c r="AU128" s="8">
        <f ca="1">RANK(PlayerGameData[[#This Row],[STL]],PlayerGameData[STL],0)+PlayerGameData[[#This Row],[VisibleOrder]]</f>
        <v>84</v>
      </c>
      <c r="AV128" s="8">
        <f ca="1">IF(COUNTIF(PlayerGameData[STLOrder],PlayerGameData[[#This Row],[STLOrder]])&gt;1,PlayerGameData[[#This Row],[PointRank]]/100+PlayerGameData[[#This Row],[STLOrder]],PlayerGameData[[#This Row],[STLOrder]])</f>
        <v>85.22</v>
      </c>
      <c r="AW128" s="8">
        <f ca="1">RANK(PlayerGameData[[#This Row],[STLTieBreak]],PlayerGameData[STLTieBreak],1)</f>
        <v>116</v>
      </c>
      <c r="AX128" s="8">
        <f ca="1">RANK(PlayerGameData[[#This Row],[BLK]],PlayerGameData[BLK],0)+PlayerGameData[[#This Row],[VisibleOrder]]</f>
        <v>32</v>
      </c>
      <c r="AY128" s="8">
        <f ca="1">IF(COUNTIF(PlayerGameData[BLKOrder],PlayerGameData[[#This Row],[BLKOrder]])&gt;1,PlayerGameData[[#This Row],[PointRank]]/100+PlayerGameData[[#This Row],[BLKOrder]],PlayerGameData[[#This Row],[BLKOrder]])</f>
        <v>33.22</v>
      </c>
      <c r="AZ128" s="8">
        <f ca="1">RANK(PlayerGameData[[#This Row],[BLKTieBreak]],PlayerGameData[BLKTieBreak],1)</f>
        <v>126</v>
      </c>
      <c r="BA128" s="11">
        <f ca="1">IFERROR(IF(PlayerGameData[[#This Row],[FGA]]&gt;$AA$5,PlayerGameData[[#This Row],[FG%*]],PlayerGameData[[#This Row],[FG%*]]*-1),-2)</f>
        <v>0.33333333333333331</v>
      </c>
      <c r="BB128" s="8">
        <f ca="1">RANK(PlayerGameData[[#This Row],[EligFG]],PlayerGameData[EligFG],0)+PlayerGameData[[#This Row],[VisibleOrder]]</f>
        <v>80</v>
      </c>
      <c r="BC128" s="8">
        <f ca="1">IF(COUNTIF(PlayerGameData[EligFGOrder],PlayerGameData[[#This Row],[EligFGOrder]])&gt;1,PlayerGameData[[#This Row],[PointRank]]/100+PlayerGameData[[#This Row],[EligFGOrder]],PlayerGameData[[#This Row],[EligFGOrder]])</f>
        <v>81.22</v>
      </c>
      <c r="BD128" s="8">
        <f ca="1">RANK(PlayerGameData[[#This Row],[EligFGTieBreak]],PlayerGameData[EligFGTieBreak],1)</f>
        <v>86</v>
      </c>
      <c r="BE128" s="8" t="str">
        <f>Roster!$D$3</f>
        <v>East</v>
      </c>
      <c r="BF128" s="8" t="str">
        <f>Roster!$D$2</f>
        <v>Northeast</v>
      </c>
      <c r="BG128" s="8" t="str">
        <f>Roster!$D$4</f>
        <v>North</v>
      </c>
      <c r="BH128" s="197">
        <f ca="1">IFERROR(VLOOKUP(CONCATENATE(PlayerGameData[[#This Row],[Opponent]]," ",MONTH(PlayerGameData[[#This Row],[Date]]),"/",DAY(PlayerGameData[[#This Row],[Date]]),"/",YEAR(PlayerGameData[[#This Row],[Date]])),Table35[],2,FALSE),0)</f>
        <v>1</v>
      </c>
      <c r="BI128" s="197">
        <f ca="1">IF(PlayerGameData[[#This Row],[Visible]]=1,1,1000)</f>
        <v>1</v>
      </c>
      <c r="BJ128" s="197" t="e">
        <f ca="1">_xlfn.MAXIFS(TeamGameData[Win],TeamGameData[School, Opponent,Game'#],PlayerGameData[[#This Row],[School, Opponent,Game'#]])</f>
        <v>#NAME?</v>
      </c>
      <c r="BK128" s="197" t="e">
        <f ca="1">_xlfn.MAXIFS(TeamGameData[Loss],TeamGameData[School, Opponent,Game'#],PlayerGameData[[#This Row],[School, Opponent,Game'#]])</f>
        <v>#NAME?</v>
      </c>
    </row>
    <row r="129" spans="1:63" x14ac:dyDescent="0.25">
      <c r="A129" s="8" t="str">
        <f t="shared" ca="1" si="63"/>
        <v>Chase Mills, 5</v>
      </c>
      <c r="B129" s="8" t="str">
        <f>Roster!$B$1</f>
        <v>Upton</v>
      </c>
      <c r="C129" s="8" t="str">
        <f t="shared" ca="1" si="51"/>
        <v>Meeteetse</v>
      </c>
      <c r="D129" s="10">
        <f t="shared" ca="1" si="52"/>
        <v>44912</v>
      </c>
      <c r="E129" s="8">
        <f t="shared" ca="1" si="53"/>
        <v>1</v>
      </c>
      <c r="F129" s="8">
        <f t="shared" ca="1" si="54"/>
        <v>1</v>
      </c>
      <c r="G129" s="8">
        <f t="shared" ca="1" si="55"/>
        <v>23</v>
      </c>
      <c r="H129" s="8">
        <f t="shared" ca="1" si="56"/>
        <v>0</v>
      </c>
      <c r="I129" s="8">
        <f t="shared" ca="1" si="57"/>
        <v>2</v>
      </c>
      <c r="J129" s="8">
        <f t="shared" ca="1" si="58"/>
        <v>5</v>
      </c>
      <c r="K129" s="8">
        <f t="shared" ca="1" si="59"/>
        <v>8</v>
      </c>
      <c r="L129" s="8">
        <f t="shared" ca="1" si="64"/>
        <v>1</v>
      </c>
      <c r="M129" s="8">
        <f t="shared" ca="1" si="65"/>
        <v>2</v>
      </c>
      <c r="N129" s="8">
        <f t="shared" ca="1" si="66"/>
        <v>0</v>
      </c>
      <c r="O129" s="8">
        <f t="shared" ca="1" si="67"/>
        <v>1</v>
      </c>
      <c r="P129" s="8">
        <f t="shared" ca="1" si="68"/>
        <v>2</v>
      </c>
      <c r="Q129" s="8">
        <f t="shared" ca="1" si="69"/>
        <v>2</v>
      </c>
      <c r="R129" s="8">
        <f t="shared" ca="1" si="70"/>
        <v>0</v>
      </c>
      <c r="S129" s="8">
        <f t="shared" ca="1" si="71"/>
        <v>2</v>
      </c>
      <c r="T129" s="8">
        <f t="shared" ca="1" si="72"/>
        <v>1</v>
      </c>
      <c r="U129" s="8">
        <f t="shared" ca="1" si="73"/>
        <v>0</v>
      </c>
      <c r="V129" s="8">
        <f t="shared" ca="1" si="74"/>
        <v>11</v>
      </c>
      <c r="W129" s="11">
        <f t="shared" ca="1" si="75"/>
        <v>0</v>
      </c>
      <c r="X129" s="11">
        <f t="shared" ca="1" si="76"/>
        <v>0.625</v>
      </c>
      <c r="Y129" s="11">
        <f t="shared" ca="1" si="77"/>
        <v>0.5</v>
      </c>
      <c r="Z129" s="11">
        <f t="shared" ca="1" si="78"/>
        <v>0.5</v>
      </c>
      <c r="AA129" s="11">
        <f t="shared" ca="1" si="79"/>
        <v>0.5</v>
      </c>
      <c r="AB129" s="47">
        <f ca="1">PlayerGameData[[#This Row],[3FGA]]+PlayerGameData[[#This Row],[2FGA]]</f>
        <v>10</v>
      </c>
      <c r="AC129" s="47">
        <f ca="1">PlayerGameData[[#This Row],[OFF REB]]+PlayerGameData[[#This Row],[DEF REB]]</f>
        <v>1</v>
      </c>
      <c r="AD129" s="8">
        <f t="shared" si="60"/>
        <v>6</v>
      </c>
      <c r="AE129" s="8" t="str">
        <f t="shared" ca="1" si="61"/>
        <v>Chase Mills, 5 - Meeteetse 12/17/2022</v>
      </c>
      <c r="AF129" s="8" t="str">
        <f t="shared" ca="1" si="80"/>
        <v/>
      </c>
      <c r="AG129" s="8" t="str">
        <f ca="1">IFERROR(IF(C129=0,"",IF(AND(VLOOKUP(PlayerGameData[[#This Row],[Opponent]],WYTeamInfo,2,FALSE)=Roster!$D$1,VLOOKUP(PlayerGameData[[#This Row],[Opponent]],WYTeamInfo,3,FALSE)=Roster!$D$2),"SR","")),"")</f>
        <v/>
      </c>
      <c r="AH129" s="8" t="str">
        <f>CONCATENATE(Roster!$D$1," ",Roster!$D$5)</f>
        <v>1A BB</v>
      </c>
      <c r="AI129" s="8" t="str">
        <f t="shared" ca="1" si="62"/>
        <v>Upton - Meeteetse 12/17/2022</v>
      </c>
      <c r="AJ129" s="8">
        <f ca="1">IFERROR(VLOOKUP(PlayerGameData[[#This Row],[School, Opponent,Game'#]],Table3[],2,FALSE),0)</f>
        <v>1</v>
      </c>
      <c r="AK129" s="8">
        <f ca="1">IF(PlayerGameData[[#This Row],[Visible]]=1,1,1000)</f>
        <v>1</v>
      </c>
      <c r="AL129" s="8">
        <f ca="1">RANK(PlayerGameData[[#This Row],[TL PTS]],PlayerGameData[TL PTS],0)+PlayerGameData[[#This Row],[VisibleOrder]]</f>
        <v>58</v>
      </c>
      <c r="AM129" s="8">
        <f ca="1">IF(COUNTIF(PlayerGameData[PointOrder],PlayerGameData[[#This Row],[PointOrder]])&gt;1,RANK(PlayerGameData[[#This Row],[FGA]],PlayerGameData[FGA],0)/100,0)+PlayerGameData[[#This Row],[PointOrder]]</f>
        <v>58.43</v>
      </c>
      <c r="AN129" s="8">
        <f ca="1">RANK(PlayerGameData[[#This Row],[PointTieBreak]],PlayerGameData[PointTieBreak],1)</f>
        <v>58</v>
      </c>
      <c r="AO129" s="8">
        <f ca="1">RANK(PlayerGameData[[#This Row],[REB]],PlayerGameData[REB],0)+PlayerGameData[[#This Row],[VisibleOrder]]</f>
        <v>163</v>
      </c>
      <c r="AP129" s="8">
        <f ca="1">IF(COUNTIF(PlayerGameData[REBOrder],PlayerGameData[[#This Row],[REBOrder]])&gt;1,PlayerGameData[[#This Row],[PointRank]]/100+PlayerGameData[[#This Row],[REBOrder]],PlayerGameData[[#This Row],[REBOrder]])</f>
        <v>163.58000000000001</v>
      </c>
      <c r="AQ129" s="8">
        <f ca="1">RANK(PlayerGameData[[#This Row],[REBTieBreak]],PlayerGameData[REBTieBreak],1)</f>
        <v>163</v>
      </c>
      <c r="AR129" s="8">
        <f ca="1">RANK(PlayerGameData[[#This Row],[AST]],PlayerGameData[AST],0)+PlayerGameData[[#This Row],[VisibleOrder]]</f>
        <v>69</v>
      </c>
      <c r="AS129" s="8">
        <f ca="1">IF(COUNTIF(PlayerGameData[ASTOrder],PlayerGameData[[#This Row],[ASTOrder]])&gt;1,PlayerGameData[[#This Row],[PointRank]]/100+PlayerGameData[[#This Row],[ASTOrder]],PlayerGameData[[#This Row],[ASTOrder]])</f>
        <v>69.58</v>
      </c>
      <c r="AT129" s="8">
        <f ca="1">RANK(PlayerGameData[[#This Row],[ASTTieBreak]],PlayerGameData[ASTTieBreak],1)</f>
        <v>82</v>
      </c>
      <c r="AU129" s="8">
        <f ca="1">RANK(PlayerGameData[[#This Row],[STL]],PlayerGameData[STL],0)+PlayerGameData[[#This Row],[VisibleOrder]]</f>
        <v>48</v>
      </c>
      <c r="AV129" s="8">
        <f ca="1">IF(COUNTIF(PlayerGameData[STLOrder],PlayerGameData[[#This Row],[STLOrder]])&gt;1,PlayerGameData[[#This Row],[PointRank]]/100+PlayerGameData[[#This Row],[STLOrder]],PlayerGameData[[#This Row],[STLOrder]])</f>
        <v>48.58</v>
      </c>
      <c r="AW129" s="8">
        <f ca="1">RANK(PlayerGameData[[#This Row],[STLTieBreak]],PlayerGameData[STLTieBreak],1)</f>
        <v>56</v>
      </c>
      <c r="AX129" s="8">
        <f ca="1">RANK(PlayerGameData[[#This Row],[BLK]],PlayerGameData[BLK],0)+PlayerGameData[[#This Row],[VisibleOrder]]</f>
        <v>32</v>
      </c>
      <c r="AY129" s="8">
        <f ca="1">IF(COUNTIF(PlayerGameData[BLKOrder],PlayerGameData[[#This Row],[BLKOrder]])&gt;1,PlayerGameData[[#This Row],[PointRank]]/100+PlayerGameData[[#This Row],[BLKOrder]],PlayerGameData[[#This Row],[BLKOrder]])</f>
        <v>32.58</v>
      </c>
      <c r="AZ129" s="8">
        <f ca="1">RANK(PlayerGameData[[#This Row],[BLKTieBreak]],PlayerGameData[BLKTieBreak],1)</f>
        <v>76</v>
      </c>
      <c r="BA129" s="11">
        <f ca="1">IFERROR(IF(PlayerGameData[[#This Row],[FGA]]&gt;$AA$5,PlayerGameData[[#This Row],[FG%*]],PlayerGameData[[#This Row],[FG%*]]*-1),-2)</f>
        <v>0.5</v>
      </c>
      <c r="BB129" s="8">
        <f ca="1">RANK(PlayerGameData[[#This Row],[EligFG]],PlayerGameData[EligFG],0)+PlayerGameData[[#This Row],[VisibleOrder]]</f>
        <v>39</v>
      </c>
      <c r="BC129" s="8">
        <f ca="1">IF(COUNTIF(PlayerGameData[EligFGOrder],PlayerGameData[[#This Row],[EligFGOrder]])&gt;1,PlayerGameData[[#This Row],[PointRank]]/100+PlayerGameData[[#This Row],[EligFGOrder]],PlayerGameData[[#This Row],[EligFGOrder]])</f>
        <v>39.58</v>
      </c>
      <c r="BD129" s="8">
        <f ca="1">RANK(PlayerGameData[[#This Row],[EligFGTieBreak]],PlayerGameData[EligFGTieBreak],1)</f>
        <v>46</v>
      </c>
      <c r="BE129" s="8" t="str">
        <f>Roster!$D$3</f>
        <v>East</v>
      </c>
      <c r="BF129" s="8" t="str">
        <f>Roster!$D$2</f>
        <v>Northeast</v>
      </c>
      <c r="BG129" s="8" t="str">
        <f>Roster!$D$4</f>
        <v>North</v>
      </c>
      <c r="BH129" s="197">
        <f ca="1">IFERROR(VLOOKUP(CONCATENATE(PlayerGameData[[#This Row],[Opponent]]," ",MONTH(PlayerGameData[[#This Row],[Date]]),"/",DAY(PlayerGameData[[#This Row],[Date]]),"/",YEAR(PlayerGameData[[#This Row],[Date]])),Table35[],2,FALSE),0)</f>
        <v>1</v>
      </c>
      <c r="BI129" s="197">
        <f ca="1">IF(PlayerGameData[[#This Row],[Visible]]=1,1,1000)</f>
        <v>1</v>
      </c>
      <c r="BJ129" s="197" t="e">
        <f ca="1">_xlfn.MAXIFS(TeamGameData[Win],TeamGameData[School, Opponent,Game'#],PlayerGameData[[#This Row],[School, Opponent,Game'#]])</f>
        <v>#NAME?</v>
      </c>
      <c r="BK129" s="197" t="e">
        <f ca="1">_xlfn.MAXIFS(TeamGameData[Loss],TeamGameData[School, Opponent,Game'#],PlayerGameData[[#This Row],[School, Opponent,Game'#]])</f>
        <v>#NAME?</v>
      </c>
    </row>
    <row r="130" spans="1:63" x14ac:dyDescent="0.25">
      <c r="A130" s="8" t="str">
        <f t="shared" ca="1" si="63"/>
        <v>Rhett Watt, 10</v>
      </c>
      <c r="B130" s="8" t="str">
        <f>Roster!$B$1</f>
        <v>Upton</v>
      </c>
      <c r="C130" s="8" t="str">
        <f t="shared" ca="1" si="51"/>
        <v>Meeteetse</v>
      </c>
      <c r="D130" s="10">
        <f t="shared" ca="1" si="52"/>
        <v>44912</v>
      </c>
      <c r="E130" s="8">
        <f t="shared" ca="1" si="53"/>
        <v>1</v>
      </c>
      <c r="F130" s="8">
        <f t="shared" ca="1" si="54"/>
        <v>1</v>
      </c>
      <c r="G130" s="8">
        <f t="shared" ca="1" si="55"/>
        <v>23</v>
      </c>
      <c r="H130" s="8">
        <f t="shared" ca="1" si="56"/>
        <v>1</v>
      </c>
      <c r="I130" s="8">
        <f t="shared" ca="1" si="57"/>
        <v>6</v>
      </c>
      <c r="J130" s="8">
        <f t="shared" ca="1" si="58"/>
        <v>2</v>
      </c>
      <c r="K130" s="8">
        <f t="shared" ca="1" si="59"/>
        <v>4</v>
      </c>
      <c r="L130" s="8">
        <f t="shared" ca="1" si="64"/>
        <v>0</v>
      </c>
      <c r="M130" s="8">
        <f t="shared" ca="1" si="65"/>
        <v>0</v>
      </c>
      <c r="N130" s="8">
        <f t="shared" ca="1" si="66"/>
        <v>0</v>
      </c>
      <c r="O130" s="8">
        <f t="shared" ca="1" si="67"/>
        <v>2</v>
      </c>
      <c r="P130" s="8">
        <f t="shared" ca="1" si="68"/>
        <v>2</v>
      </c>
      <c r="Q130" s="8">
        <f t="shared" ca="1" si="69"/>
        <v>3</v>
      </c>
      <c r="R130" s="8">
        <f t="shared" ca="1" si="70"/>
        <v>0</v>
      </c>
      <c r="S130" s="8">
        <f t="shared" ca="1" si="71"/>
        <v>1</v>
      </c>
      <c r="T130" s="8">
        <f t="shared" ca="1" si="72"/>
        <v>1</v>
      </c>
      <c r="U130" s="8">
        <f t="shared" ca="1" si="73"/>
        <v>0</v>
      </c>
      <c r="V130" s="8">
        <f t="shared" ca="1" si="74"/>
        <v>7</v>
      </c>
      <c r="W130" s="11">
        <f t="shared" ca="1" si="75"/>
        <v>0.16666666666666666</v>
      </c>
      <c r="X130" s="11">
        <f t="shared" ca="1" si="76"/>
        <v>0.5</v>
      </c>
      <c r="Y130" s="11" t="str">
        <f t="shared" ca="1" si="77"/>
        <v/>
      </c>
      <c r="Z130" s="11">
        <f t="shared" ca="1" si="78"/>
        <v>0.3</v>
      </c>
      <c r="AA130" s="11">
        <f t="shared" ca="1" si="79"/>
        <v>0.35</v>
      </c>
      <c r="AB130" s="47">
        <f ca="1">PlayerGameData[[#This Row],[3FGA]]+PlayerGameData[[#This Row],[2FGA]]</f>
        <v>10</v>
      </c>
      <c r="AC130" s="47">
        <f ca="1">PlayerGameData[[#This Row],[OFF REB]]+PlayerGameData[[#This Row],[DEF REB]]</f>
        <v>2</v>
      </c>
      <c r="AD130" s="8">
        <f t="shared" si="60"/>
        <v>6</v>
      </c>
      <c r="AE130" s="8" t="str">
        <f t="shared" ca="1" si="61"/>
        <v>Rhett Watt, 10 - Meeteetse 12/17/2022</v>
      </c>
      <c r="AF130" s="8" t="str">
        <f t="shared" ca="1" si="80"/>
        <v/>
      </c>
      <c r="AG130" s="8" t="str">
        <f ca="1">IFERROR(IF(C130=0,"",IF(AND(VLOOKUP(PlayerGameData[[#This Row],[Opponent]],WYTeamInfo,2,FALSE)=Roster!$D$1,VLOOKUP(PlayerGameData[[#This Row],[Opponent]],WYTeamInfo,3,FALSE)=Roster!$D$2),"SR","")),"")</f>
        <v/>
      </c>
      <c r="AH130" s="8" t="str">
        <f>CONCATENATE(Roster!$D$1," ",Roster!$D$5)</f>
        <v>1A BB</v>
      </c>
      <c r="AI130" s="8" t="str">
        <f t="shared" ca="1" si="62"/>
        <v>Upton - Meeteetse 12/17/2022</v>
      </c>
      <c r="AJ130" s="8">
        <f ca="1">IFERROR(VLOOKUP(PlayerGameData[[#This Row],[School, Opponent,Game'#]],Table3[],2,FALSE),0)</f>
        <v>1</v>
      </c>
      <c r="AK130" s="8">
        <f ca="1">IF(PlayerGameData[[#This Row],[Visible]]=1,1,1000)</f>
        <v>1</v>
      </c>
      <c r="AL130" s="8">
        <f ca="1">RANK(PlayerGameData[[#This Row],[TL PTS]],PlayerGameData[TL PTS],0)+PlayerGameData[[#This Row],[VisibleOrder]]</f>
        <v>94</v>
      </c>
      <c r="AM130" s="8">
        <f ca="1">IF(COUNTIF(PlayerGameData[PointOrder],PlayerGameData[[#This Row],[PointOrder]])&gt;1,RANK(PlayerGameData[[#This Row],[FGA]],PlayerGameData[FGA],0)/100,0)+PlayerGameData[[#This Row],[PointOrder]]</f>
        <v>94.43</v>
      </c>
      <c r="AN130" s="8">
        <f ca="1">RANK(PlayerGameData[[#This Row],[PointTieBreak]],PlayerGameData[PointTieBreak],1)</f>
        <v>94</v>
      </c>
      <c r="AO130" s="8">
        <f ca="1">RANK(PlayerGameData[[#This Row],[REB]],PlayerGameData[REB],0)+PlayerGameData[[#This Row],[VisibleOrder]]</f>
        <v>137</v>
      </c>
      <c r="AP130" s="8">
        <f ca="1">IF(COUNTIF(PlayerGameData[REBOrder],PlayerGameData[[#This Row],[REBOrder]])&gt;1,PlayerGameData[[#This Row],[PointRank]]/100+PlayerGameData[[#This Row],[REBOrder]],PlayerGameData[[#This Row],[REBOrder]])</f>
        <v>137.94</v>
      </c>
      <c r="AQ130" s="8">
        <f ca="1">RANK(PlayerGameData[[#This Row],[REBTieBreak]],PlayerGameData[REBTieBreak],1)</f>
        <v>144</v>
      </c>
      <c r="AR130" s="8">
        <f ca="1">RANK(PlayerGameData[[#This Row],[AST]],PlayerGameData[AST],0)+PlayerGameData[[#This Row],[VisibleOrder]]</f>
        <v>69</v>
      </c>
      <c r="AS130" s="8">
        <f ca="1">IF(COUNTIF(PlayerGameData[ASTOrder],PlayerGameData[[#This Row],[ASTOrder]])&gt;1,PlayerGameData[[#This Row],[PointRank]]/100+PlayerGameData[[#This Row],[ASTOrder]],PlayerGameData[[#This Row],[ASTOrder]])</f>
        <v>69.94</v>
      </c>
      <c r="AT130" s="8">
        <f ca="1">RANK(PlayerGameData[[#This Row],[ASTTieBreak]],PlayerGameData[ASTTieBreak],1)</f>
        <v>92</v>
      </c>
      <c r="AU130" s="8">
        <f ca="1">RANK(PlayerGameData[[#This Row],[STL]],PlayerGameData[STL],0)+PlayerGameData[[#This Row],[VisibleOrder]]</f>
        <v>26</v>
      </c>
      <c r="AV130" s="8">
        <f ca="1">IF(COUNTIF(PlayerGameData[STLOrder],PlayerGameData[[#This Row],[STLOrder]])&gt;1,PlayerGameData[[#This Row],[PointRank]]/100+PlayerGameData[[#This Row],[STLOrder]],PlayerGameData[[#This Row],[STLOrder]])</f>
        <v>26.94</v>
      </c>
      <c r="AW130" s="8">
        <f ca="1">RANK(PlayerGameData[[#This Row],[STLTieBreak]],PlayerGameData[STLTieBreak],1)</f>
        <v>41</v>
      </c>
      <c r="AX130" s="8">
        <f ca="1">RANK(PlayerGameData[[#This Row],[BLK]],PlayerGameData[BLK],0)+PlayerGameData[[#This Row],[VisibleOrder]]</f>
        <v>32</v>
      </c>
      <c r="AY130" s="8">
        <f ca="1">IF(COUNTIF(PlayerGameData[BLKOrder],PlayerGameData[[#This Row],[BLKOrder]])&gt;1,PlayerGameData[[#This Row],[PointRank]]/100+PlayerGameData[[#This Row],[BLKOrder]],PlayerGameData[[#This Row],[BLKOrder]])</f>
        <v>32.94</v>
      </c>
      <c r="AZ130" s="8">
        <f ca="1">RANK(PlayerGameData[[#This Row],[BLKTieBreak]],PlayerGameData[BLKTieBreak],1)</f>
        <v>102</v>
      </c>
      <c r="BA130" s="11">
        <f ca="1">IFERROR(IF(PlayerGameData[[#This Row],[FGA]]&gt;$AA$5,PlayerGameData[[#This Row],[FG%*]],PlayerGameData[[#This Row],[FG%*]]*-1),-2)</f>
        <v>0.3</v>
      </c>
      <c r="BB130" s="8">
        <f ca="1">RANK(PlayerGameData[[#This Row],[EligFG]],PlayerGameData[EligFG],0)+PlayerGameData[[#This Row],[VisibleOrder]]</f>
        <v>89</v>
      </c>
      <c r="BC130" s="8">
        <f ca="1">IF(COUNTIF(PlayerGameData[EligFGOrder],PlayerGameData[[#This Row],[EligFGOrder]])&gt;1,PlayerGameData[[#This Row],[PointRank]]/100+PlayerGameData[[#This Row],[EligFGOrder]],PlayerGameData[[#This Row],[EligFGOrder]])</f>
        <v>89</v>
      </c>
      <c r="BD130" s="8">
        <f ca="1">RANK(PlayerGameData[[#This Row],[EligFGTieBreak]],PlayerGameData[EligFGTieBreak],1)</f>
        <v>88</v>
      </c>
      <c r="BE130" s="8" t="str">
        <f>Roster!$D$3</f>
        <v>East</v>
      </c>
      <c r="BF130" s="8" t="str">
        <f>Roster!$D$2</f>
        <v>Northeast</v>
      </c>
      <c r="BG130" s="8" t="str">
        <f>Roster!$D$4</f>
        <v>North</v>
      </c>
      <c r="BH130" s="197">
        <f ca="1">IFERROR(VLOOKUP(CONCATENATE(PlayerGameData[[#This Row],[Opponent]]," ",MONTH(PlayerGameData[[#This Row],[Date]]),"/",DAY(PlayerGameData[[#This Row],[Date]]),"/",YEAR(PlayerGameData[[#This Row],[Date]])),Table35[],2,FALSE),0)</f>
        <v>1</v>
      </c>
      <c r="BI130" s="197">
        <f ca="1">IF(PlayerGameData[[#This Row],[Visible]]=1,1,1000)</f>
        <v>1</v>
      </c>
      <c r="BJ130" s="197" t="e">
        <f ca="1">_xlfn.MAXIFS(TeamGameData[Win],TeamGameData[School, Opponent,Game'#],PlayerGameData[[#This Row],[School, Opponent,Game'#]])</f>
        <v>#NAME?</v>
      </c>
      <c r="BK130" s="197" t="e">
        <f ca="1">_xlfn.MAXIFS(TeamGameData[Loss],TeamGameData[School, Opponent,Game'#],PlayerGameData[[#This Row],[School, Opponent,Game'#]])</f>
        <v>#NAME?</v>
      </c>
    </row>
    <row r="131" spans="1:63" x14ac:dyDescent="0.25">
      <c r="A131" s="8" t="str">
        <f t="shared" ca="1" si="63"/>
        <v>Keith Coburn, 11</v>
      </c>
      <c r="B131" s="8" t="str">
        <f>Roster!$B$1</f>
        <v>Upton</v>
      </c>
      <c r="C131" s="8" t="str">
        <f t="shared" ca="1" si="51"/>
        <v>Meeteetse</v>
      </c>
      <c r="D131" s="10">
        <f t="shared" ca="1" si="52"/>
        <v>44912</v>
      </c>
      <c r="E131" s="8">
        <f t="shared" ca="1" si="53"/>
        <v>0</v>
      </c>
      <c r="F131" s="8">
        <f t="shared" ca="1" si="54"/>
        <v>0</v>
      </c>
      <c r="G131" s="8">
        <f t="shared" ca="1" si="55"/>
        <v>0</v>
      </c>
      <c r="H131" s="8">
        <f t="shared" ca="1" si="56"/>
        <v>0</v>
      </c>
      <c r="I131" s="8">
        <f t="shared" ca="1" si="57"/>
        <v>0</v>
      </c>
      <c r="J131" s="8">
        <f t="shared" ca="1" si="58"/>
        <v>0</v>
      </c>
      <c r="K131" s="8">
        <f t="shared" ca="1" si="59"/>
        <v>0</v>
      </c>
      <c r="L131" s="8">
        <f t="shared" ca="1" si="64"/>
        <v>0</v>
      </c>
      <c r="M131" s="8">
        <f t="shared" ca="1" si="65"/>
        <v>0</v>
      </c>
      <c r="N131" s="8">
        <f t="shared" ca="1" si="66"/>
        <v>0</v>
      </c>
      <c r="O131" s="8">
        <f t="shared" ca="1" si="67"/>
        <v>0</v>
      </c>
      <c r="P131" s="8">
        <f t="shared" ca="1" si="68"/>
        <v>0</v>
      </c>
      <c r="Q131" s="8">
        <f t="shared" ca="1" si="69"/>
        <v>0</v>
      </c>
      <c r="R131" s="8">
        <f t="shared" ca="1" si="70"/>
        <v>0</v>
      </c>
      <c r="S131" s="8">
        <f t="shared" ca="1" si="71"/>
        <v>0</v>
      </c>
      <c r="T131" s="8">
        <f t="shared" ca="1" si="72"/>
        <v>0</v>
      </c>
      <c r="U131" s="8">
        <f t="shared" ca="1" si="73"/>
        <v>0</v>
      </c>
      <c r="V131" s="8">
        <f t="shared" ca="1" si="74"/>
        <v>0</v>
      </c>
      <c r="W131" s="11" t="str">
        <f t="shared" ca="1" si="75"/>
        <v/>
      </c>
      <c r="X131" s="11" t="str">
        <f t="shared" ca="1" si="76"/>
        <v/>
      </c>
      <c r="Y131" s="11" t="str">
        <f t="shared" ca="1" si="77"/>
        <v/>
      </c>
      <c r="Z131" s="11" t="str">
        <f t="shared" ca="1" si="78"/>
        <v/>
      </c>
      <c r="AA131" s="11" t="str">
        <f t="shared" ca="1" si="79"/>
        <v/>
      </c>
      <c r="AB131" s="47">
        <f ca="1">PlayerGameData[[#This Row],[3FGA]]+PlayerGameData[[#This Row],[2FGA]]</f>
        <v>0</v>
      </c>
      <c r="AC131" s="47">
        <f ca="1">PlayerGameData[[#This Row],[OFF REB]]+PlayerGameData[[#This Row],[DEF REB]]</f>
        <v>0</v>
      </c>
      <c r="AD131" s="8">
        <f t="shared" si="60"/>
        <v>6</v>
      </c>
      <c r="AE131" s="8" t="str">
        <f t="shared" ca="1" si="61"/>
        <v>Keith Coburn, 11 - Meeteetse 12/17/2022</v>
      </c>
      <c r="AF131" s="8" t="str">
        <f t="shared" ca="1" si="80"/>
        <v/>
      </c>
      <c r="AG131" s="8" t="str">
        <f ca="1">IFERROR(IF(C131=0,"",IF(AND(VLOOKUP(PlayerGameData[[#This Row],[Opponent]],WYTeamInfo,2,FALSE)=Roster!$D$1,VLOOKUP(PlayerGameData[[#This Row],[Opponent]],WYTeamInfo,3,FALSE)=Roster!$D$2),"SR","")),"")</f>
        <v/>
      </c>
      <c r="AH131" s="8" t="str">
        <f>CONCATENATE(Roster!$D$1," ",Roster!$D$5)</f>
        <v>1A BB</v>
      </c>
      <c r="AI131" s="8" t="str">
        <f t="shared" ca="1" si="62"/>
        <v>Upton - Meeteetse 12/17/2022</v>
      </c>
      <c r="AJ131" s="8">
        <f ca="1">IFERROR(VLOOKUP(PlayerGameData[[#This Row],[School, Opponent,Game'#]],Table3[],2,FALSE),0)</f>
        <v>1</v>
      </c>
      <c r="AK131" s="8">
        <f ca="1">IF(PlayerGameData[[#This Row],[Visible]]=1,1,1000)</f>
        <v>1</v>
      </c>
      <c r="AL131" s="8">
        <f ca="1">RANK(PlayerGameData[[#This Row],[TL PTS]],PlayerGameData[TL PTS],0)+PlayerGameData[[#This Row],[VisibleOrder]]</f>
        <v>185</v>
      </c>
      <c r="AM131" s="8">
        <f ca="1">IF(COUNTIF(PlayerGameData[PointOrder],PlayerGameData[[#This Row],[PointOrder]])&gt;1,RANK(PlayerGameData[[#This Row],[FGA]],PlayerGameData[FGA],0)/100,0)+PlayerGameData[[#This Row],[PointOrder]]</f>
        <v>187.14</v>
      </c>
      <c r="AN131" s="8">
        <f ca="1">RANK(PlayerGameData[[#This Row],[PointTieBreak]],PlayerGameData[PointTieBreak],1)</f>
        <v>216</v>
      </c>
      <c r="AO131" s="8">
        <f ca="1">RANK(PlayerGameData[[#This Row],[REB]],PlayerGameData[REB],0)+PlayerGameData[[#This Row],[VisibleOrder]]</f>
        <v>192</v>
      </c>
      <c r="AP131" s="8">
        <f ca="1">IF(COUNTIF(PlayerGameData[REBOrder],PlayerGameData[[#This Row],[REBOrder]])&gt;1,PlayerGameData[[#This Row],[PointRank]]/100+PlayerGameData[[#This Row],[REBOrder]],PlayerGameData[[#This Row],[REBOrder]])</f>
        <v>194.16</v>
      </c>
      <c r="AQ131" s="8">
        <f ca="1">RANK(PlayerGameData[[#This Row],[REBTieBreak]],PlayerGameData[REBTieBreak],1)</f>
        <v>224</v>
      </c>
      <c r="AR131" s="8">
        <f ca="1">RANK(PlayerGameData[[#This Row],[AST]],PlayerGameData[AST],0)+PlayerGameData[[#This Row],[VisibleOrder]]</f>
        <v>158</v>
      </c>
      <c r="AS131" s="8">
        <f ca="1">IF(COUNTIF(PlayerGameData[ASTOrder],PlayerGameData[[#This Row],[ASTOrder]])&gt;1,PlayerGameData[[#This Row],[PointRank]]/100+PlayerGameData[[#This Row],[ASTOrder]],PlayerGameData[[#This Row],[ASTOrder]])</f>
        <v>160.16</v>
      </c>
      <c r="AT131" s="8">
        <f ca="1">RANK(PlayerGameData[[#This Row],[ASTTieBreak]],PlayerGameData[ASTTieBreak],1)</f>
        <v>221</v>
      </c>
      <c r="AU131" s="8">
        <f ca="1">RANK(PlayerGameData[[#This Row],[STL]],PlayerGameData[STL],0)+PlayerGameData[[#This Row],[VisibleOrder]]</f>
        <v>143</v>
      </c>
      <c r="AV131" s="8">
        <f ca="1">IF(COUNTIF(PlayerGameData[STLOrder],PlayerGameData[[#This Row],[STLOrder]])&gt;1,PlayerGameData[[#This Row],[PointRank]]/100+PlayerGameData[[#This Row],[STLOrder]],PlayerGameData[[#This Row],[STLOrder]])</f>
        <v>145.16</v>
      </c>
      <c r="AW131" s="8">
        <f ca="1">RANK(PlayerGameData[[#This Row],[STLTieBreak]],PlayerGameData[STLTieBreak],1)</f>
        <v>217</v>
      </c>
      <c r="AX131" s="8">
        <f ca="1">RANK(PlayerGameData[[#This Row],[BLK]],PlayerGameData[BLK],0)+PlayerGameData[[#This Row],[VisibleOrder]]</f>
        <v>32</v>
      </c>
      <c r="AY131" s="8">
        <f ca="1">IF(COUNTIF(PlayerGameData[BLKOrder],PlayerGameData[[#This Row],[BLKOrder]])&gt;1,PlayerGameData[[#This Row],[PointRank]]/100+PlayerGameData[[#This Row],[BLKOrder]],PlayerGameData[[#This Row],[BLKOrder]])</f>
        <v>34.159999999999997</v>
      </c>
      <c r="AZ131" s="8">
        <f ca="1">RANK(PlayerGameData[[#This Row],[BLKTieBreak]],PlayerGameData[BLKTieBreak],1)</f>
        <v>216</v>
      </c>
      <c r="BA131" s="11">
        <f ca="1">IFERROR(IF(PlayerGameData[[#This Row],[FGA]]&gt;$AA$5,PlayerGameData[[#This Row],[FG%*]],PlayerGameData[[#This Row],[FG%*]]*-1),-2)</f>
        <v>-2</v>
      </c>
      <c r="BB131" s="8">
        <f ca="1">RANK(PlayerGameData[[#This Row],[EligFG]],PlayerGameData[EligFG],0)+PlayerGameData[[#This Row],[VisibleOrder]]</f>
        <v>215</v>
      </c>
      <c r="BC131" s="8">
        <f ca="1">IF(COUNTIF(PlayerGameData[EligFGOrder],PlayerGameData[[#This Row],[EligFGOrder]])&gt;1,PlayerGameData[[#This Row],[PointRank]]/100+PlayerGameData[[#This Row],[EligFGOrder]],PlayerGameData[[#This Row],[EligFGOrder]])</f>
        <v>217.16</v>
      </c>
      <c r="BD131" s="8">
        <f ca="1">RANK(PlayerGameData[[#This Row],[EligFGTieBreak]],PlayerGameData[EligFGTieBreak],1)</f>
        <v>216</v>
      </c>
      <c r="BE131" s="8" t="str">
        <f>Roster!$D$3</f>
        <v>East</v>
      </c>
      <c r="BF131" s="8" t="str">
        <f>Roster!$D$2</f>
        <v>Northeast</v>
      </c>
      <c r="BG131" s="8" t="str">
        <f>Roster!$D$4</f>
        <v>North</v>
      </c>
      <c r="BH131" s="197">
        <f ca="1">IFERROR(VLOOKUP(CONCATENATE(PlayerGameData[[#This Row],[Opponent]]," ",MONTH(PlayerGameData[[#This Row],[Date]]),"/",DAY(PlayerGameData[[#This Row],[Date]]),"/",YEAR(PlayerGameData[[#This Row],[Date]])),Table35[],2,FALSE),0)</f>
        <v>1</v>
      </c>
      <c r="BI131" s="197">
        <f ca="1">IF(PlayerGameData[[#This Row],[Visible]]=1,1,1000)</f>
        <v>1</v>
      </c>
      <c r="BJ131" s="197" t="e">
        <f ca="1">_xlfn.MAXIFS(TeamGameData[Win],TeamGameData[School, Opponent,Game'#],PlayerGameData[[#This Row],[School, Opponent,Game'#]])</f>
        <v>#NAME?</v>
      </c>
      <c r="BK131" s="197" t="e">
        <f ca="1">_xlfn.MAXIFS(TeamGameData[Loss],TeamGameData[School, Opponent,Game'#],PlayerGameData[[#This Row],[School, Opponent,Game'#]])</f>
        <v>#NAME?</v>
      </c>
    </row>
    <row r="132" spans="1:63" x14ac:dyDescent="0.25">
      <c r="A132" s="8" t="str">
        <f t="shared" ca="1" si="63"/>
        <v>Carson Barritt, 14</v>
      </c>
      <c r="B132" s="8" t="str">
        <f>Roster!$B$1</f>
        <v>Upton</v>
      </c>
      <c r="C132" s="8" t="str">
        <f t="shared" ca="1" si="51"/>
        <v>Meeteetse</v>
      </c>
      <c r="D132" s="10">
        <f t="shared" ca="1" si="52"/>
        <v>44912</v>
      </c>
      <c r="E132" s="8">
        <f t="shared" ca="1" si="53"/>
        <v>1</v>
      </c>
      <c r="F132" s="8">
        <f t="shared" ca="1" si="54"/>
        <v>0</v>
      </c>
      <c r="G132" s="8">
        <f t="shared" ca="1" si="55"/>
        <v>2</v>
      </c>
      <c r="H132" s="8">
        <f t="shared" ca="1" si="56"/>
        <v>0</v>
      </c>
      <c r="I132" s="8">
        <f t="shared" ca="1" si="57"/>
        <v>0</v>
      </c>
      <c r="J132" s="8">
        <f t="shared" ca="1" si="58"/>
        <v>0</v>
      </c>
      <c r="K132" s="8">
        <f t="shared" ca="1" si="59"/>
        <v>0</v>
      </c>
      <c r="L132" s="8">
        <f t="shared" ca="1" si="64"/>
        <v>0</v>
      </c>
      <c r="M132" s="8">
        <f t="shared" ca="1" si="65"/>
        <v>0</v>
      </c>
      <c r="N132" s="8">
        <f t="shared" ca="1" si="66"/>
        <v>0</v>
      </c>
      <c r="O132" s="8">
        <f t="shared" ca="1" si="67"/>
        <v>0</v>
      </c>
      <c r="P132" s="8">
        <f t="shared" ca="1" si="68"/>
        <v>0</v>
      </c>
      <c r="Q132" s="8">
        <f t="shared" ca="1" si="69"/>
        <v>0</v>
      </c>
      <c r="R132" s="8">
        <f t="shared" ca="1" si="70"/>
        <v>0</v>
      </c>
      <c r="S132" s="8">
        <f t="shared" ca="1" si="71"/>
        <v>0</v>
      </c>
      <c r="T132" s="8">
        <f t="shared" ca="1" si="72"/>
        <v>0</v>
      </c>
      <c r="U132" s="8">
        <f t="shared" ca="1" si="73"/>
        <v>0</v>
      </c>
      <c r="V132" s="8">
        <f t="shared" ca="1" si="74"/>
        <v>0</v>
      </c>
      <c r="W132" s="11" t="str">
        <f t="shared" ca="1" si="75"/>
        <v/>
      </c>
      <c r="X132" s="11" t="str">
        <f t="shared" ca="1" si="76"/>
        <v/>
      </c>
      <c r="Y132" s="11" t="str">
        <f t="shared" ca="1" si="77"/>
        <v/>
      </c>
      <c r="Z132" s="11" t="str">
        <f t="shared" ca="1" si="78"/>
        <v/>
      </c>
      <c r="AA132" s="11" t="str">
        <f t="shared" ca="1" si="79"/>
        <v/>
      </c>
      <c r="AB132" s="47">
        <f ca="1">PlayerGameData[[#This Row],[3FGA]]+PlayerGameData[[#This Row],[2FGA]]</f>
        <v>0</v>
      </c>
      <c r="AC132" s="47">
        <f ca="1">PlayerGameData[[#This Row],[OFF REB]]+PlayerGameData[[#This Row],[DEF REB]]</f>
        <v>0</v>
      </c>
      <c r="AD132" s="8">
        <f t="shared" si="60"/>
        <v>6</v>
      </c>
      <c r="AE132" s="8" t="str">
        <f t="shared" ca="1" si="61"/>
        <v>Carson Barritt, 14 - Meeteetse 12/17/2022</v>
      </c>
      <c r="AF132" s="8" t="str">
        <f t="shared" ca="1" si="80"/>
        <v/>
      </c>
      <c r="AG132" s="8" t="str">
        <f ca="1">IFERROR(IF(C132=0,"",IF(AND(VLOOKUP(PlayerGameData[[#This Row],[Opponent]],WYTeamInfo,2,FALSE)=Roster!$D$1,VLOOKUP(PlayerGameData[[#This Row],[Opponent]],WYTeamInfo,3,FALSE)=Roster!$D$2),"SR","")),"")</f>
        <v/>
      </c>
      <c r="AH132" s="8" t="str">
        <f>CONCATENATE(Roster!$D$1," ",Roster!$D$5)</f>
        <v>1A BB</v>
      </c>
      <c r="AI132" s="8" t="str">
        <f t="shared" ca="1" si="62"/>
        <v>Upton - Meeteetse 12/17/2022</v>
      </c>
      <c r="AJ132" s="8">
        <f ca="1">IFERROR(VLOOKUP(PlayerGameData[[#This Row],[School, Opponent,Game'#]],Table3[],2,FALSE),0)</f>
        <v>1</v>
      </c>
      <c r="AK132" s="8">
        <f ca="1">IF(PlayerGameData[[#This Row],[Visible]]=1,1,1000)</f>
        <v>1</v>
      </c>
      <c r="AL132" s="8">
        <f ca="1">RANK(PlayerGameData[[#This Row],[TL PTS]],PlayerGameData[TL PTS],0)+PlayerGameData[[#This Row],[VisibleOrder]]</f>
        <v>185</v>
      </c>
      <c r="AM132" s="8">
        <f ca="1">IF(COUNTIF(PlayerGameData[PointOrder],PlayerGameData[[#This Row],[PointOrder]])&gt;1,RANK(PlayerGameData[[#This Row],[FGA]],PlayerGameData[FGA],0)/100,0)+PlayerGameData[[#This Row],[PointOrder]]</f>
        <v>187.14</v>
      </c>
      <c r="AN132" s="8">
        <f ca="1">RANK(PlayerGameData[[#This Row],[PointTieBreak]],PlayerGameData[PointTieBreak],1)</f>
        <v>216</v>
      </c>
      <c r="AO132" s="8">
        <f ca="1">RANK(PlayerGameData[[#This Row],[REB]],PlayerGameData[REB],0)+PlayerGameData[[#This Row],[VisibleOrder]]</f>
        <v>192</v>
      </c>
      <c r="AP132" s="8">
        <f ca="1">IF(COUNTIF(PlayerGameData[REBOrder],PlayerGameData[[#This Row],[REBOrder]])&gt;1,PlayerGameData[[#This Row],[PointRank]]/100+PlayerGameData[[#This Row],[REBOrder]],PlayerGameData[[#This Row],[REBOrder]])</f>
        <v>194.16</v>
      </c>
      <c r="AQ132" s="8">
        <f ca="1">RANK(PlayerGameData[[#This Row],[REBTieBreak]],PlayerGameData[REBTieBreak],1)</f>
        <v>224</v>
      </c>
      <c r="AR132" s="8">
        <f ca="1">RANK(PlayerGameData[[#This Row],[AST]],PlayerGameData[AST],0)+PlayerGameData[[#This Row],[VisibleOrder]]</f>
        <v>158</v>
      </c>
      <c r="AS132" s="8">
        <f ca="1">IF(COUNTIF(PlayerGameData[ASTOrder],PlayerGameData[[#This Row],[ASTOrder]])&gt;1,PlayerGameData[[#This Row],[PointRank]]/100+PlayerGameData[[#This Row],[ASTOrder]],PlayerGameData[[#This Row],[ASTOrder]])</f>
        <v>160.16</v>
      </c>
      <c r="AT132" s="8">
        <f ca="1">RANK(PlayerGameData[[#This Row],[ASTTieBreak]],PlayerGameData[ASTTieBreak],1)</f>
        <v>221</v>
      </c>
      <c r="AU132" s="8">
        <f ca="1">RANK(PlayerGameData[[#This Row],[STL]],PlayerGameData[STL],0)+PlayerGameData[[#This Row],[VisibleOrder]]</f>
        <v>143</v>
      </c>
      <c r="AV132" s="8">
        <f ca="1">IF(COUNTIF(PlayerGameData[STLOrder],PlayerGameData[[#This Row],[STLOrder]])&gt;1,PlayerGameData[[#This Row],[PointRank]]/100+PlayerGameData[[#This Row],[STLOrder]],PlayerGameData[[#This Row],[STLOrder]])</f>
        <v>145.16</v>
      </c>
      <c r="AW132" s="8">
        <f ca="1">RANK(PlayerGameData[[#This Row],[STLTieBreak]],PlayerGameData[STLTieBreak],1)</f>
        <v>217</v>
      </c>
      <c r="AX132" s="8">
        <f ca="1">RANK(PlayerGameData[[#This Row],[BLK]],PlayerGameData[BLK],0)+PlayerGameData[[#This Row],[VisibleOrder]]</f>
        <v>32</v>
      </c>
      <c r="AY132" s="8">
        <f ca="1">IF(COUNTIF(PlayerGameData[BLKOrder],PlayerGameData[[#This Row],[BLKOrder]])&gt;1,PlayerGameData[[#This Row],[PointRank]]/100+PlayerGameData[[#This Row],[BLKOrder]],PlayerGameData[[#This Row],[BLKOrder]])</f>
        <v>34.159999999999997</v>
      </c>
      <c r="AZ132" s="8">
        <f ca="1">RANK(PlayerGameData[[#This Row],[BLKTieBreak]],PlayerGameData[BLKTieBreak],1)</f>
        <v>216</v>
      </c>
      <c r="BA132" s="11">
        <f ca="1">IFERROR(IF(PlayerGameData[[#This Row],[FGA]]&gt;$AA$5,PlayerGameData[[#This Row],[FG%*]],PlayerGameData[[#This Row],[FG%*]]*-1),-2)</f>
        <v>-2</v>
      </c>
      <c r="BB132" s="8">
        <f ca="1">RANK(PlayerGameData[[#This Row],[EligFG]],PlayerGameData[EligFG],0)+PlayerGameData[[#This Row],[VisibleOrder]]</f>
        <v>215</v>
      </c>
      <c r="BC132" s="8">
        <f ca="1">IF(COUNTIF(PlayerGameData[EligFGOrder],PlayerGameData[[#This Row],[EligFGOrder]])&gt;1,PlayerGameData[[#This Row],[PointRank]]/100+PlayerGameData[[#This Row],[EligFGOrder]],PlayerGameData[[#This Row],[EligFGOrder]])</f>
        <v>217.16</v>
      </c>
      <c r="BD132" s="8">
        <f ca="1">RANK(PlayerGameData[[#This Row],[EligFGTieBreak]],PlayerGameData[EligFGTieBreak],1)</f>
        <v>216</v>
      </c>
      <c r="BE132" s="8" t="str">
        <f>Roster!$D$3</f>
        <v>East</v>
      </c>
      <c r="BF132" s="8" t="str">
        <f>Roster!$D$2</f>
        <v>Northeast</v>
      </c>
      <c r="BG132" s="8" t="str">
        <f>Roster!$D$4</f>
        <v>North</v>
      </c>
      <c r="BH132" s="197">
        <f ca="1">IFERROR(VLOOKUP(CONCATENATE(PlayerGameData[[#This Row],[Opponent]]," ",MONTH(PlayerGameData[[#This Row],[Date]]),"/",DAY(PlayerGameData[[#This Row],[Date]]),"/",YEAR(PlayerGameData[[#This Row],[Date]])),Table35[],2,FALSE),0)</f>
        <v>1</v>
      </c>
      <c r="BI132" s="197">
        <f ca="1">IF(PlayerGameData[[#This Row],[Visible]]=1,1,1000)</f>
        <v>1</v>
      </c>
      <c r="BJ132" s="197" t="e">
        <f ca="1">_xlfn.MAXIFS(TeamGameData[Win],TeamGameData[School, Opponent,Game'#],PlayerGameData[[#This Row],[School, Opponent,Game'#]])</f>
        <v>#NAME?</v>
      </c>
      <c r="BK132" s="197" t="e">
        <f ca="1">_xlfn.MAXIFS(TeamGameData[Loss],TeamGameData[School, Opponent,Game'#],PlayerGameData[[#This Row],[School, Opponent,Game'#]])</f>
        <v>#NAME?</v>
      </c>
    </row>
    <row r="133" spans="1:63" x14ac:dyDescent="0.25">
      <c r="A133" s="8" t="str">
        <f t="shared" ca="1" si="63"/>
        <v>Ben Carpenter, 21</v>
      </c>
      <c r="B133" s="8" t="str">
        <f>Roster!$B$1</f>
        <v>Upton</v>
      </c>
      <c r="C133" s="8" t="str">
        <f t="shared" ca="1" si="51"/>
        <v>Meeteetse</v>
      </c>
      <c r="D133" s="10">
        <f t="shared" ca="1" si="52"/>
        <v>44912</v>
      </c>
      <c r="E133" s="8">
        <f t="shared" ca="1" si="53"/>
        <v>0</v>
      </c>
      <c r="F133" s="8">
        <f t="shared" ca="1" si="54"/>
        <v>0</v>
      </c>
      <c r="G133" s="8">
        <f t="shared" ca="1" si="55"/>
        <v>0</v>
      </c>
      <c r="H133" s="8">
        <f t="shared" ca="1" si="56"/>
        <v>0</v>
      </c>
      <c r="I133" s="8">
        <f t="shared" ca="1" si="57"/>
        <v>0</v>
      </c>
      <c r="J133" s="8">
        <f t="shared" ca="1" si="58"/>
        <v>0</v>
      </c>
      <c r="K133" s="8">
        <f t="shared" ca="1" si="59"/>
        <v>0</v>
      </c>
      <c r="L133" s="8">
        <f t="shared" ca="1" si="64"/>
        <v>0</v>
      </c>
      <c r="M133" s="8">
        <f t="shared" ca="1" si="65"/>
        <v>0</v>
      </c>
      <c r="N133" s="8">
        <f t="shared" ca="1" si="66"/>
        <v>0</v>
      </c>
      <c r="O133" s="8">
        <f t="shared" ca="1" si="67"/>
        <v>0</v>
      </c>
      <c r="P133" s="8">
        <f t="shared" ca="1" si="68"/>
        <v>0</v>
      </c>
      <c r="Q133" s="8">
        <f t="shared" ca="1" si="69"/>
        <v>0</v>
      </c>
      <c r="R133" s="8">
        <f t="shared" ca="1" si="70"/>
        <v>0</v>
      </c>
      <c r="S133" s="8">
        <f t="shared" ca="1" si="71"/>
        <v>0</v>
      </c>
      <c r="T133" s="8">
        <f t="shared" ca="1" si="72"/>
        <v>0</v>
      </c>
      <c r="U133" s="8">
        <f t="shared" ca="1" si="73"/>
        <v>0</v>
      </c>
      <c r="V133" s="8">
        <f t="shared" ca="1" si="74"/>
        <v>0</v>
      </c>
      <c r="W133" s="11" t="str">
        <f t="shared" ca="1" si="75"/>
        <v/>
      </c>
      <c r="X133" s="11" t="str">
        <f t="shared" ca="1" si="76"/>
        <v/>
      </c>
      <c r="Y133" s="11" t="str">
        <f t="shared" ca="1" si="77"/>
        <v/>
      </c>
      <c r="Z133" s="11" t="str">
        <f t="shared" ca="1" si="78"/>
        <v/>
      </c>
      <c r="AA133" s="11" t="str">
        <f t="shared" ca="1" si="79"/>
        <v/>
      </c>
      <c r="AB133" s="47">
        <f ca="1">PlayerGameData[[#This Row],[3FGA]]+PlayerGameData[[#This Row],[2FGA]]</f>
        <v>0</v>
      </c>
      <c r="AC133" s="47">
        <f ca="1">PlayerGameData[[#This Row],[OFF REB]]+PlayerGameData[[#This Row],[DEF REB]]</f>
        <v>0</v>
      </c>
      <c r="AD133" s="8">
        <f t="shared" si="60"/>
        <v>6</v>
      </c>
      <c r="AE133" s="8" t="str">
        <f t="shared" ca="1" si="61"/>
        <v>Ben Carpenter, 21 - Meeteetse 12/17/2022</v>
      </c>
      <c r="AF133" s="8" t="str">
        <f t="shared" ca="1" si="80"/>
        <v/>
      </c>
      <c r="AG133" s="8" t="str">
        <f ca="1">IFERROR(IF(C133=0,"",IF(AND(VLOOKUP(PlayerGameData[[#This Row],[Opponent]],WYTeamInfo,2,FALSE)=Roster!$D$1,VLOOKUP(PlayerGameData[[#This Row],[Opponent]],WYTeamInfo,3,FALSE)=Roster!$D$2),"SR","")),"")</f>
        <v/>
      </c>
      <c r="AH133" s="8" t="str">
        <f>CONCATENATE(Roster!$D$1," ",Roster!$D$5)</f>
        <v>1A BB</v>
      </c>
      <c r="AI133" s="8" t="str">
        <f t="shared" ca="1" si="62"/>
        <v>Upton - Meeteetse 12/17/2022</v>
      </c>
      <c r="AJ133" s="8">
        <f ca="1">IFERROR(VLOOKUP(PlayerGameData[[#This Row],[School, Opponent,Game'#]],Table3[],2,FALSE),0)</f>
        <v>1</v>
      </c>
      <c r="AK133" s="8">
        <f ca="1">IF(PlayerGameData[[#This Row],[Visible]]=1,1,1000)</f>
        <v>1</v>
      </c>
      <c r="AL133" s="8">
        <f ca="1">RANK(PlayerGameData[[#This Row],[TL PTS]],PlayerGameData[TL PTS],0)+PlayerGameData[[#This Row],[VisibleOrder]]</f>
        <v>185</v>
      </c>
      <c r="AM133" s="8">
        <f ca="1">IF(COUNTIF(PlayerGameData[PointOrder],PlayerGameData[[#This Row],[PointOrder]])&gt;1,RANK(PlayerGameData[[#This Row],[FGA]],PlayerGameData[FGA],0)/100,0)+PlayerGameData[[#This Row],[PointOrder]]</f>
        <v>187.14</v>
      </c>
      <c r="AN133" s="8">
        <f ca="1">RANK(PlayerGameData[[#This Row],[PointTieBreak]],PlayerGameData[PointTieBreak],1)</f>
        <v>216</v>
      </c>
      <c r="AO133" s="8">
        <f ca="1">RANK(PlayerGameData[[#This Row],[REB]],PlayerGameData[REB],0)+PlayerGameData[[#This Row],[VisibleOrder]]</f>
        <v>192</v>
      </c>
      <c r="AP133" s="8">
        <f ca="1">IF(COUNTIF(PlayerGameData[REBOrder],PlayerGameData[[#This Row],[REBOrder]])&gt;1,PlayerGameData[[#This Row],[PointRank]]/100+PlayerGameData[[#This Row],[REBOrder]],PlayerGameData[[#This Row],[REBOrder]])</f>
        <v>194.16</v>
      </c>
      <c r="AQ133" s="8">
        <f ca="1">RANK(PlayerGameData[[#This Row],[REBTieBreak]],PlayerGameData[REBTieBreak],1)</f>
        <v>224</v>
      </c>
      <c r="AR133" s="8">
        <f ca="1">RANK(PlayerGameData[[#This Row],[AST]],PlayerGameData[AST],0)+PlayerGameData[[#This Row],[VisibleOrder]]</f>
        <v>158</v>
      </c>
      <c r="AS133" s="8">
        <f ca="1">IF(COUNTIF(PlayerGameData[ASTOrder],PlayerGameData[[#This Row],[ASTOrder]])&gt;1,PlayerGameData[[#This Row],[PointRank]]/100+PlayerGameData[[#This Row],[ASTOrder]],PlayerGameData[[#This Row],[ASTOrder]])</f>
        <v>160.16</v>
      </c>
      <c r="AT133" s="8">
        <f ca="1">RANK(PlayerGameData[[#This Row],[ASTTieBreak]],PlayerGameData[ASTTieBreak],1)</f>
        <v>221</v>
      </c>
      <c r="AU133" s="8">
        <f ca="1">RANK(PlayerGameData[[#This Row],[STL]],PlayerGameData[STL],0)+PlayerGameData[[#This Row],[VisibleOrder]]</f>
        <v>143</v>
      </c>
      <c r="AV133" s="8">
        <f ca="1">IF(COUNTIF(PlayerGameData[STLOrder],PlayerGameData[[#This Row],[STLOrder]])&gt;1,PlayerGameData[[#This Row],[PointRank]]/100+PlayerGameData[[#This Row],[STLOrder]],PlayerGameData[[#This Row],[STLOrder]])</f>
        <v>145.16</v>
      </c>
      <c r="AW133" s="8">
        <f ca="1">RANK(PlayerGameData[[#This Row],[STLTieBreak]],PlayerGameData[STLTieBreak],1)</f>
        <v>217</v>
      </c>
      <c r="AX133" s="8">
        <f ca="1">RANK(PlayerGameData[[#This Row],[BLK]],PlayerGameData[BLK],0)+PlayerGameData[[#This Row],[VisibleOrder]]</f>
        <v>32</v>
      </c>
      <c r="AY133" s="8">
        <f ca="1">IF(COUNTIF(PlayerGameData[BLKOrder],PlayerGameData[[#This Row],[BLKOrder]])&gt;1,PlayerGameData[[#This Row],[PointRank]]/100+PlayerGameData[[#This Row],[BLKOrder]],PlayerGameData[[#This Row],[BLKOrder]])</f>
        <v>34.159999999999997</v>
      </c>
      <c r="AZ133" s="8">
        <f ca="1">RANK(PlayerGameData[[#This Row],[BLKTieBreak]],PlayerGameData[BLKTieBreak],1)</f>
        <v>216</v>
      </c>
      <c r="BA133" s="11">
        <f ca="1">IFERROR(IF(PlayerGameData[[#This Row],[FGA]]&gt;$AA$5,PlayerGameData[[#This Row],[FG%*]],PlayerGameData[[#This Row],[FG%*]]*-1),-2)</f>
        <v>-2</v>
      </c>
      <c r="BB133" s="8">
        <f ca="1">RANK(PlayerGameData[[#This Row],[EligFG]],PlayerGameData[EligFG],0)+PlayerGameData[[#This Row],[VisibleOrder]]</f>
        <v>215</v>
      </c>
      <c r="BC133" s="8">
        <f ca="1">IF(COUNTIF(PlayerGameData[EligFGOrder],PlayerGameData[[#This Row],[EligFGOrder]])&gt;1,PlayerGameData[[#This Row],[PointRank]]/100+PlayerGameData[[#This Row],[EligFGOrder]],PlayerGameData[[#This Row],[EligFGOrder]])</f>
        <v>217.16</v>
      </c>
      <c r="BD133" s="8">
        <f ca="1">RANK(PlayerGameData[[#This Row],[EligFGTieBreak]],PlayerGameData[EligFGTieBreak],1)</f>
        <v>216</v>
      </c>
      <c r="BE133" s="8" t="str">
        <f>Roster!$D$3</f>
        <v>East</v>
      </c>
      <c r="BF133" s="8" t="str">
        <f>Roster!$D$2</f>
        <v>Northeast</v>
      </c>
      <c r="BG133" s="8" t="str">
        <f>Roster!$D$4</f>
        <v>North</v>
      </c>
      <c r="BH133" s="197">
        <f ca="1">IFERROR(VLOOKUP(CONCATENATE(PlayerGameData[[#This Row],[Opponent]]," ",MONTH(PlayerGameData[[#This Row],[Date]]),"/",DAY(PlayerGameData[[#This Row],[Date]]),"/",YEAR(PlayerGameData[[#This Row],[Date]])),Table35[],2,FALSE),0)</f>
        <v>1</v>
      </c>
      <c r="BI133" s="197">
        <f ca="1">IF(PlayerGameData[[#This Row],[Visible]]=1,1,1000)</f>
        <v>1</v>
      </c>
      <c r="BJ133" s="197" t="e">
        <f ca="1">_xlfn.MAXIFS(TeamGameData[Win],TeamGameData[School, Opponent,Game'#],PlayerGameData[[#This Row],[School, Opponent,Game'#]])</f>
        <v>#NAME?</v>
      </c>
      <c r="BK133" s="197" t="e">
        <f ca="1">_xlfn.MAXIFS(TeamGameData[Loss],TeamGameData[School, Opponent,Game'#],PlayerGameData[[#This Row],[School, Opponent,Game'#]])</f>
        <v>#NAME?</v>
      </c>
    </row>
    <row r="134" spans="1:63" x14ac:dyDescent="0.25">
      <c r="A134" s="8" t="str">
        <f t="shared" ca="1" si="63"/>
        <v>Ethan Schiller, 23</v>
      </c>
      <c r="B134" s="8" t="str">
        <f>Roster!$B$1</f>
        <v>Upton</v>
      </c>
      <c r="C134" s="8" t="str">
        <f t="shared" ca="1" si="51"/>
        <v>Meeteetse</v>
      </c>
      <c r="D134" s="10">
        <f t="shared" ca="1" si="52"/>
        <v>44912</v>
      </c>
      <c r="E134" s="8">
        <f t="shared" ca="1" si="53"/>
        <v>1</v>
      </c>
      <c r="F134" s="8">
        <f t="shared" ca="1" si="54"/>
        <v>1</v>
      </c>
      <c r="G134" s="8">
        <f t="shared" ca="1" si="55"/>
        <v>21</v>
      </c>
      <c r="H134" s="8">
        <f t="shared" ca="1" si="56"/>
        <v>2</v>
      </c>
      <c r="I134" s="8">
        <f t="shared" ca="1" si="57"/>
        <v>4</v>
      </c>
      <c r="J134" s="8">
        <f t="shared" ca="1" si="58"/>
        <v>4</v>
      </c>
      <c r="K134" s="8">
        <f t="shared" ca="1" si="59"/>
        <v>12</v>
      </c>
      <c r="L134" s="8">
        <f t="shared" ca="1" si="64"/>
        <v>1</v>
      </c>
      <c r="M134" s="8">
        <f t="shared" ca="1" si="65"/>
        <v>3</v>
      </c>
      <c r="N134" s="8">
        <f t="shared" ca="1" si="66"/>
        <v>6</v>
      </c>
      <c r="O134" s="8">
        <f t="shared" ca="1" si="67"/>
        <v>9</v>
      </c>
      <c r="P134" s="8">
        <f t="shared" ca="1" si="68"/>
        <v>2</v>
      </c>
      <c r="Q134" s="8">
        <f t="shared" ca="1" si="69"/>
        <v>3</v>
      </c>
      <c r="R134" s="8">
        <f t="shared" ca="1" si="70"/>
        <v>2</v>
      </c>
      <c r="S134" s="8">
        <f t="shared" ca="1" si="71"/>
        <v>3</v>
      </c>
      <c r="T134" s="8">
        <f t="shared" ca="1" si="72"/>
        <v>1</v>
      </c>
      <c r="U134" s="8">
        <f t="shared" ca="1" si="73"/>
        <v>0</v>
      </c>
      <c r="V134" s="8">
        <f t="shared" ca="1" si="74"/>
        <v>15</v>
      </c>
      <c r="W134" s="11">
        <f t="shared" ca="1" si="75"/>
        <v>0.5</v>
      </c>
      <c r="X134" s="11">
        <f t="shared" ca="1" si="76"/>
        <v>0.33333333333333331</v>
      </c>
      <c r="Y134" s="11">
        <f t="shared" ca="1" si="77"/>
        <v>0.33333333333333331</v>
      </c>
      <c r="Z134" s="11">
        <f t="shared" ca="1" si="78"/>
        <v>0.375</v>
      </c>
      <c r="AA134" s="11">
        <f t="shared" ca="1" si="79"/>
        <v>0.4375</v>
      </c>
      <c r="AB134" s="47">
        <f ca="1">PlayerGameData[[#This Row],[3FGA]]+PlayerGameData[[#This Row],[2FGA]]</f>
        <v>16</v>
      </c>
      <c r="AC134" s="47">
        <f ca="1">PlayerGameData[[#This Row],[OFF REB]]+PlayerGameData[[#This Row],[DEF REB]]</f>
        <v>15</v>
      </c>
      <c r="AD134" s="8">
        <f t="shared" si="60"/>
        <v>6</v>
      </c>
      <c r="AE134" s="8" t="str">
        <f t="shared" ca="1" si="61"/>
        <v>Ethan Schiller, 23 - Meeteetse 12/17/2022</v>
      </c>
      <c r="AF134" s="8" t="str">
        <f t="shared" ca="1" si="80"/>
        <v/>
      </c>
      <c r="AG134" s="8" t="str">
        <f ca="1">IFERROR(IF(C134=0,"",IF(AND(VLOOKUP(PlayerGameData[[#This Row],[Opponent]],WYTeamInfo,2,FALSE)=Roster!$D$1,VLOOKUP(PlayerGameData[[#This Row],[Opponent]],WYTeamInfo,3,FALSE)=Roster!$D$2),"SR","")),"")</f>
        <v/>
      </c>
      <c r="AH134" s="8" t="str">
        <f>CONCATENATE(Roster!$D$1," ",Roster!$D$5)</f>
        <v>1A BB</v>
      </c>
      <c r="AI134" s="8" t="str">
        <f t="shared" ca="1" si="62"/>
        <v>Upton - Meeteetse 12/17/2022</v>
      </c>
      <c r="AJ134" s="8">
        <f ca="1">IFERROR(VLOOKUP(PlayerGameData[[#This Row],[School, Opponent,Game'#]],Table3[],2,FALSE),0)</f>
        <v>1</v>
      </c>
      <c r="AK134" s="8">
        <f ca="1">IF(PlayerGameData[[#This Row],[Visible]]=1,1,1000)</f>
        <v>1</v>
      </c>
      <c r="AL134" s="8">
        <f ca="1">RANK(PlayerGameData[[#This Row],[TL PTS]],PlayerGameData[TL PTS],0)+PlayerGameData[[#This Row],[VisibleOrder]]</f>
        <v>30</v>
      </c>
      <c r="AM134" s="8">
        <f ca="1">IF(COUNTIF(PlayerGameData[PointOrder],PlayerGameData[[#This Row],[PointOrder]])&gt;1,RANK(PlayerGameData[[#This Row],[FGA]],PlayerGameData[FGA],0)/100,0)+PlayerGameData[[#This Row],[PointOrder]]</f>
        <v>30.05</v>
      </c>
      <c r="AN134" s="8">
        <f ca="1">RANK(PlayerGameData[[#This Row],[PointTieBreak]],PlayerGameData[PointTieBreak],1)</f>
        <v>29</v>
      </c>
      <c r="AO134" s="8">
        <f ca="1">RANK(PlayerGameData[[#This Row],[REB]],PlayerGameData[REB],0)+PlayerGameData[[#This Row],[VisibleOrder]]</f>
        <v>2</v>
      </c>
      <c r="AP134" s="8">
        <f ca="1">IF(COUNTIF(PlayerGameData[REBOrder],PlayerGameData[[#This Row],[REBOrder]])&gt;1,PlayerGameData[[#This Row],[PointRank]]/100+PlayerGameData[[#This Row],[REBOrder]],PlayerGameData[[#This Row],[REBOrder]])</f>
        <v>2</v>
      </c>
      <c r="AQ134" s="8">
        <f ca="1">RANK(PlayerGameData[[#This Row],[REBTieBreak]],PlayerGameData[REBTieBreak],1)</f>
        <v>1</v>
      </c>
      <c r="AR134" s="8">
        <f ca="1">RANK(PlayerGameData[[#This Row],[AST]],PlayerGameData[AST],0)+PlayerGameData[[#This Row],[VisibleOrder]]</f>
        <v>69</v>
      </c>
      <c r="AS134" s="8">
        <f ca="1">IF(COUNTIF(PlayerGameData[ASTOrder],PlayerGameData[[#This Row],[ASTOrder]])&gt;1,PlayerGameData[[#This Row],[PointRank]]/100+PlayerGameData[[#This Row],[ASTOrder]],PlayerGameData[[#This Row],[ASTOrder]])</f>
        <v>69.290000000000006</v>
      </c>
      <c r="AT134" s="8">
        <f ca="1">RANK(PlayerGameData[[#This Row],[ASTTieBreak]],PlayerGameData[ASTTieBreak],1)</f>
        <v>76</v>
      </c>
      <c r="AU134" s="8">
        <f ca="1">RANK(PlayerGameData[[#This Row],[STL]],PlayerGameData[STL],0)+PlayerGameData[[#This Row],[VisibleOrder]]</f>
        <v>26</v>
      </c>
      <c r="AV134" s="8">
        <f ca="1">IF(COUNTIF(PlayerGameData[STLOrder],PlayerGameData[[#This Row],[STLOrder]])&gt;1,PlayerGameData[[#This Row],[PointRank]]/100+PlayerGameData[[#This Row],[STLOrder]],PlayerGameData[[#This Row],[STLOrder]])</f>
        <v>26.29</v>
      </c>
      <c r="AW134" s="8">
        <f ca="1">RANK(PlayerGameData[[#This Row],[STLTieBreak]],PlayerGameData[STLTieBreak],1)</f>
        <v>29</v>
      </c>
      <c r="AX134" s="8">
        <f ca="1">RANK(PlayerGameData[[#This Row],[BLK]],PlayerGameData[BLK],0)+PlayerGameData[[#This Row],[VisibleOrder]]</f>
        <v>5</v>
      </c>
      <c r="AY134" s="8">
        <f ca="1">IF(COUNTIF(PlayerGameData[BLKOrder],PlayerGameData[[#This Row],[BLKOrder]])&gt;1,PlayerGameData[[#This Row],[PointRank]]/100+PlayerGameData[[#This Row],[BLKOrder]],PlayerGameData[[#This Row],[BLKOrder]])</f>
        <v>5.29</v>
      </c>
      <c r="AZ134" s="8">
        <f ca="1">RANK(PlayerGameData[[#This Row],[BLKTieBreak]],PlayerGameData[BLKTieBreak],1)</f>
        <v>5</v>
      </c>
      <c r="BA134" s="11">
        <f ca="1">IFERROR(IF(PlayerGameData[[#This Row],[FGA]]&gt;$AA$5,PlayerGameData[[#This Row],[FG%*]],PlayerGameData[[#This Row],[FG%*]]*-1),-2)</f>
        <v>0.375</v>
      </c>
      <c r="BB134" s="8">
        <f ca="1">RANK(PlayerGameData[[#This Row],[EligFG]],PlayerGameData[EligFG],0)+PlayerGameData[[#This Row],[VisibleOrder]]</f>
        <v>73</v>
      </c>
      <c r="BC134" s="8">
        <f ca="1">IF(COUNTIF(PlayerGameData[EligFGOrder],PlayerGameData[[#This Row],[EligFGOrder]])&gt;1,PlayerGameData[[#This Row],[PointRank]]/100+PlayerGameData[[#This Row],[EligFGOrder]],PlayerGameData[[#This Row],[EligFGOrder]])</f>
        <v>73.290000000000006</v>
      </c>
      <c r="BD134" s="8">
        <f ca="1">RANK(PlayerGameData[[#This Row],[EligFGTieBreak]],PlayerGameData[EligFGTieBreak],1)</f>
        <v>73</v>
      </c>
      <c r="BE134" s="8" t="str">
        <f>Roster!$D$3</f>
        <v>East</v>
      </c>
      <c r="BF134" s="8" t="str">
        <f>Roster!$D$2</f>
        <v>Northeast</v>
      </c>
      <c r="BG134" s="8" t="str">
        <f>Roster!$D$4</f>
        <v>North</v>
      </c>
      <c r="BH134" s="197">
        <f ca="1">IFERROR(VLOOKUP(CONCATENATE(PlayerGameData[[#This Row],[Opponent]]," ",MONTH(PlayerGameData[[#This Row],[Date]]),"/",DAY(PlayerGameData[[#This Row],[Date]]),"/",YEAR(PlayerGameData[[#This Row],[Date]])),Table35[],2,FALSE),0)</f>
        <v>1</v>
      </c>
      <c r="BI134" s="197">
        <f ca="1">IF(PlayerGameData[[#This Row],[Visible]]=1,1,1000)</f>
        <v>1</v>
      </c>
      <c r="BJ134" s="197" t="e">
        <f ca="1">_xlfn.MAXIFS(TeamGameData[Win],TeamGameData[School, Opponent,Game'#],PlayerGameData[[#This Row],[School, Opponent,Game'#]])</f>
        <v>#NAME?</v>
      </c>
      <c r="BK134" s="197" t="e">
        <f ca="1">_xlfn.MAXIFS(TeamGameData[Loss],TeamGameData[School, Opponent,Game'#],PlayerGameData[[#This Row],[School, Opponent,Game'#]])</f>
        <v>#NAME?</v>
      </c>
    </row>
    <row r="135" spans="1:63" x14ac:dyDescent="0.25">
      <c r="A135" s="8" t="str">
        <f t="shared" ca="1" si="63"/>
        <v>Bridger Bruce, 25</v>
      </c>
      <c r="B135" s="8" t="str">
        <f>Roster!$B$1</f>
        <v>Upton</v>
      </c>
      <c r="C135" s="8" t="str">
        <f t="shared" ref="C135:C198" ca="1" si="81">INDIRECT("'game1 ("&amp;$AD135&amp;")'!$b$3")</f>
        <v>Meeteetse</v>
      </c>
      <c r="D135" s="10">
        <f t="shared" ref="D135:D198" ca="1" si="82">INDIRECT("'game1 ("&amp;$AD135&amp;")'!$m$4")</f>
        <v>44912</v>
      </c>
      <c r="E135" s="8">
        <f t="shared" ref="E135:E198" ca="1" si="83">INDIRECT("'game1 ("&amp;$AD135&amp;")'!"&amp;ADDRESS(ROW(A$7)+MOD(ROW(A135)-7,24),COLUMN(D135)))</f>
        <v>1</v>
      </c>
      <c r="F135" s="8">
        <f t="shared" ref="F135:F198" ca="1" si="84">IF(INDIRECT("'game1 ("&amp;$AD135&amp;")'!"&amp;ADDRESS(ROW(B$7)+MOD(ROW(B135)-7,24),COLUMN(C135)))="s",1,0)</f>
        <v>1</v>
      </c>
      <c r="G135" s="8">
        <f t="shared" ref="G135:G198" ca="1" si="85">INDIRECT("'game1 ("&amp;$AD135&amp;")'!"&amp;ADDRESS(ROW(B$7)+MOD(ROW(B135)-7,24),COLUMN(E135)))</f>
        <v>15</v>
      </c>
      <c r="H135" s="8">
        <f t="shared" ref="H135:H198" ca="1" si="86">INDIRECT("'game1 ("&amp;$AD135&amp;")'!"&amp;ADDRESS(ROW(B$7)+MOD(ROW(B135)-7,24),COLUMN(F135)))</f>
        <v>0</v>
      </c>
      <c r="I135" s="8">
        <f t="shared" ref="I135:I198" ca="1" si="87">INDIRECT("'game1 ("&amp;$AD135&amp;")'!"&amp;ADDRESS(ROW(C$7)+MOD(ROW(C135)-7,24),COLUMN(G135)))</f>
        <v>1</v>
      </c>
      <c r="J135" s="8">
        <f t="shared" ref="J135:J198" ca="1" si="88">INDIRECT("'game1 ("&amp;$AD135&amp;")'!"&amp;ADDRESS(ROW(D$7)+MOD(ROW(D135)-7,24),COLUMN(H135)))</f>
        <v>2</v>
      </c>
      <c r="K135" s="8">
        <f t="shared" ref="K135:K198" ca="1" si="89">INDIRECT("'game1 ("&amp;$AD135&amp;")'!"&amp;ADDRESS(ROW(E$7)+MOD(ROW(E135)-7,24),COLUMN(I135)))</f>
        <v>2</v>
      </c>
      <c r="L135" s="8">
        <f t="shared" ca="1" si="64"/>
        <v>1</v>
      </c>
      <c r="M135" s="8">
        <f t="shared" ca="1" si="65"/>
        <v>2</v>
      </c>
      <c r="N135" s="8">
        <f t="shared" ca="1" si="66"/>
        <v>2</v>
      </c>
      <c r="O135" s="8">
        <f t="shared" ca="1" si="67"/>
        <v>3</v>
      </c>
      <c r="P135" s="8">
        <f t="shared" ca="1" si="68"/>
        <v>2</v>
      </c>
      <c r="Q135" s="8">
        <f t="shared" ca="1" si="69"/>
        <v>2</v>
      </c>
      <c r="R135" s="8">
        <f t="shared" ca="1" si="70"/>
        <v>0</v>
      </c>
      <c r="S135" s="8">
        <f t="shared" ca="1" si="71"/>
        <v>3</v>
      </c>
      <c r="T135" s="8">
        <f t="shared" ca="1" si="72"/>
        <v>4</v>
      </c>
      <c r="U135" s="8">
        <f t="shared" ca="1" si="73"/>
        <v>1</v>
      </c>
      <c r="V135" s="8">
        <f t="shared" ca="1" si="74"/>
        <v>5</v>
      </c>
      <c r="W135" s="11">
        <f t="shared" ca="1" si="75"/>
        <v>0</v>
      </c>
      <c r="X135" s="11">
        <f t="shared" ca="1" si="76"/>
        <v>1</v>
      </c>
      <c r="Y135" s="11">
        <f t="shared" ca="1" si="77"/>
        <v>0.5</v>
      </c>
      <c r="Z135" s="11">
        <f t="shared" ca="1" si="78"/>
        <v>0.66666666666666663</v>
      </c>
      <c r="AA135" s="11">
        <f t="shared" ca="1" si="79"/>
        <v>0.66666666666666663</v>
      </c>
      <c r="AB135" s="47">
        <f ca="1">PlayerGameData[[#This Row],[3FGA]]+PlayerGameData[[#This Row],[2FGA]]</f>
        <v>3</v>
      </c>
      <c r="AC135" s="47">
        <f ca="1">PlayerGameData[[#This Row],[OFF REB]]+PlayerGameData[[#This Row],[DEF REB]]</f>
        <v>5</v>
      </c>
      <c r="AD135" s="8">
        <f t="shared" ref="AD135:AD198" si="90">INT((ROW(A135)-7)/24)+1</f>
        <v>6</v>
      </c>
      <c r="AE135" s="8" t="str">
        <f t="shared" ref="AE135:AE198" ca="1" si="91">CONCATENATE(A135," - ",C135," ",MONTH(D135),"/",DAY(D135),"/",YEAR(D135))</f>
        <v>Bridger Bruce, 25 - Meeteetse 12/17/2022</v>
      </c>
      <c r="AF135" s="8" t="str">
        <f t="shared" ca="1" si="80"/>
        <v/>
      </c>
      <c r="AG135" s="8" t="str">
        <f ca="1">IFERROR(IF(C135=0,"",IF(AND(VLOOKUP(PlayerGameData[[#This Row],[Opponent]],WYTeamInfo,2,FALSE)=Roster!$D$1,VLOOKUP(PlayerGameData[[#This Row],[Opponent]],WYTeamInfo,3,FALSE)=Roster!$D$2),"SR","")),"")</f>
        <v/>
      </c>
      <c r="AH135" s="8" t="str">
        <f>CONCATENATE(Roster!$D$1," ",Roster!$D$5)</f>
        <v>1A BB</v>
      </c>
      <c r="AI135" s="8" t="str">
        <f t="shared" ref="AI135:AI198" ca="1" si="92">IF($C135&lt;&gt;0,CONCATENATE($B135," - ",$C135," ",MONTH($D135),"/",DAY($D135),"/",YEAR($D135)),"Blank")</f>
        <v>Upton - Meeteetse 12/17/2022</v>
      </c>
      <c r="AJ135" s="8">
        <f ca="1">IFERROR(VLOOKUP(PlayerGameData[[#This Row],[School, Opponent,Game'#]],Table3[],2,FALSE),0)</f>
        <v>1</v>
      </c>
      <c r="AK135" s="8">
        <f ca="1">IF(PlayerGameData[[#This Row],[Visible]]=1,1,1000)</f>
        <v>1</v>
      </c>
      <c r="AL135" s="8">
        <f ca="1">RANK(PlayerGameData[[#This Row],[TL PTS]],PlayerGameData[TL PTS],0)+PlayerGameData[[#This Row],[VisibleOrder]]</f>
        <v>110</v>
      </c>
      <c r="AM135" s="8">
        <f ca="1">IF(COUNTIF(PlayerGameData[PointOrder],PlayerGameData[[#This Row],[PointOrder]])&gt;1,RANK(PlayerGameData[[#This Row],[FGA]],PlayerGameData[FGA],0)/100,0)+PlayerGameData[[#This Row],[PointOrder]]</f>
        <v>111.4</v>
      </c>
      <c r="AN135" s="8">
        <f ca="1">RANK(PlayerGameData[[#This Row],[PointTieBreak]],PlayerGameData[PointTieBreak],1)</f>
        <v>114</v>
      </c>
      <c r="AO135" s="8">
        <f ca="1">RANK(PlayerGameData[[#This Row],[REB]],PlayerGameData[REB],0)+PlayerGameData[[#This Row],[VisibleOrder]]</f>
        <v>52</v>
      </c>
      <c r="AP135" s="8">
        <f ca="1">IF(COUNTIF(PlayerGameData[REBOrder],PlayerGameData[[#This Row],[REBOrder]])&gt;1,PlayerGameData[[#This Row],[PointRank]]/100+PlayerGameData[[#This Row],[REBOrder]],PlayerGameData[[#This Row],[REBOrder]])</f>
        <v>53.14</v>
      </c>
      <c r="AQ135" s="8">
        <f ca="1">RANK(PlayerGameData[[#This Row],[REBTieBreak]],PlayerGameData[REBTieBreak],1)</f>
        <v>68</v>
      </c>
      <c r="AR135" s="8">
        <f ca="1">RANK(PlayerGameData[[#This Row],[AST]],PlayerGameData[AST],0)+PlayerGameData[[#This Row],[VisibleOrder]]</f>
        <v>69</v>
      </c>
      <c r="AS135" s="8">
        <f ca="1">IF(COUNTIF(PlayerGameData[ASTOrder],PlayerGameData[[#This Row],[ASTOrder]])&gt;1,PlayerGameData[[#This Row],[PointRank]]/100+PlayerGameData[[#This Row],[ASTOrder]],PlayerGameData[[#This Row],[ASTOrder]])</f>
        <v>70.14</v>
      </c>
      <c r="AT135" s="8">
        <f ca="1">RANK(PlayerGameData[[#This Row],[ASTTieBreak]],PlayerGameData[ASTTieBreak],1)</f>
        <v>97</v>
      </c>
      <c r="AU135" s="8">
        <f ca="1">RANK(PlayerGameData[[#This Row],[STL]],PlayerGameData[STL],0)+PlayerGameData[[#This Row],[VisibleOrder]]</f>
        <v>48</v>
      </c>
      <c r="AV135" s="8">
        <f ca="1">IF(COUNTIF(PlayerGameData[STLOrder],PlayerGameData[[#This Row],[STLOrder]])&gt;1,PlayerGameData[[#This Row],[PointRank]]/100+PlayerGameData[[#This Row],[STLOrder]],PlayerGameData[[#This Row],[STLOrder]])</f>
        <v>49.14</v>
      </c>
      <c r="AW135" s="8">
        <f ca="1">RANK(PlayerGameData[[#This Row],[STLTieBreak]],PlayerGameData[STLTieBreak],1)</f>
        <v>72</v>
      </c>
      <c r="AX135" s="8">
        <f ca="1">RANK(PlayerGameData[[#This Row],[BLK]],PlayerGameData[BLK],0)+PlayerGameData[[#This Row],[VisibleOrder]]</f>
        <v>32</v>
      </c>
      <c r="AY135" s="8">
        <f ca="1">IF(COUNTIF(PlayerGameData[BLKOrder],PlayerGameData[[#This Row],[BLKOrder]])&gt;1,PlayerGameData[[#This Row],[PointRank]]/100+PlayerGameData[[#This Row],[BLKOrder]],PlayerGameData[[#This Row],[BLKOrder]])</f>
        <v>33.14</v>
      </c>
      <c r="AZ135" s="8">
        <f ca="1">RANK(PlayerGameData[[#This Row],[BLKTieBreak]],PlayerGameData[BLKTieBreak],1)</f>
        <v>119</v>
      </c>
      <c r="BA135" s="11">
        <f ca="1">IFERROR(IF(PlayerGameData[[#This Row],[FGA]]&gt;$AA$5,PlayerGameData[[#This Row],[FG%*]],PlayerGameData[[#This Row],[FG%*]]*-1),-2)</f>
        <v>-0.66666666666666663</v>
      </c>
      <c r="BB135" s="8">
        <f ca="1">RANK(PlayerGameData[[#This Row],[EligFG]],PlayerGameData[EligFG],0)+PlayerGameData[[#This Row],[VisibleOrder]]</f>
        <v>197</v>
      </c>
      <c r="BC135" s="8">
        <f ca="1">IF(COUNTIF(PlayerGameData[EligFGOrder],PlayerGameData[[#This Row],[EligFGOrder]])&gt;1,PlayerGameData[[#This Row],[PointRank]]/100+PlayerGameData[[#This Row],[EligFGOrder]],PlayerGameData[[#This Row],[EligFGOrder]])</f>
        <v>198.14</v>
      </c>
      <c r="BD135" s="8">
        <f ca="1">RANK(PlayerGameData[[#This Row],[EligFGTieBreak]],PlayerGameData[EligFGTieBreak],1)</f>
        <v>198</v>
      </c>
      <c r="BE135" s="8" t="str">
        <f>Roster!$D$3</f>
        <v>East</v>
      </c>
      <c r="BF135" s="8" t="str">
        <f>Roster!$D$2</f>
        <v>Northeast</v>
      </c>
      <c r="BG135" s="8" t="str">
        <f>Roster!$D$4</f>
        <v>North</v>
      </c>
      <c r="BH135" s="197">
        <f ca="1">IFERROR(VLOOKUP(CONCATENATE(PlayerGameData[[#This Row],[Opponent]]," ",MONTH(PlayerGameData[[#This Row],[Date]]),"/",DAY(PlayerGameData[[#This Row],[Date]]),"/",YEAR(PlayerGameData[[#This Row],[Date]])),Table35[],2,FALSE),0)</f>
        <v>1</v>
      </c>
      <c r="BI135" s="197">
        <f ca="1">IF(PlayerGameData[[#This Row],[Visible]]=1,1,1000)</f>
        <v>1</v>
      </c>
      <c r="BJ135" s="197" t="e">
        <f ca="1">_xlfn.MAXIFS(TeamGameData[Win],TeamGameData[School, Opponent,Game'#],PlayerGameData[[#This Row],[School, Opponent,Game'#]])</f>
        <v>#NAME?</v>
      </c>
      <c r="BK135" s="197" t="e">
        <f ca="1">_xlfn.MAXIFS(TeamGameData[Loss],TeamGameData[School, Opponent,Game'#],PlayerGameData[[#This Row],[School, Opponent,Game'#]])</f>
        <v>#NAME?</v>
      </c>
    </row>
    <row r="136" spans="1:63" x14ac:dyDescent="0.25">
      <c r="A136" s="8" t="str">
        <f t="shared" ref="A136:A199" ca="1" si="93">CONCATENATE(INDIRECT("Roster!B"&amp;ROW(A$7)+MOD(ROW(A136)-7,24)),", ",INDIRECT("Roster!a"&amp;ROW(A$7)+MOD(ROW(A136)-7,24)))</f>
        <v>Kailer Duarte, 31</v>
      </c>
      <c r="B136" s="8" t="str">
        <f>Roster!$B$1</f>
        <v>Upton</v>
      </c>
      <c r="C136" s="8" t="str">
        <f t="shared" ca="1" si="81"/>
        <v>Meeteetse</v>
      </c>
      <c r="D136" s="10">
        <f t="shared" ca="1" si="82"/>
        <v>44912</v>
      </c>
      <c r="E136" s="8">
        <f t="shared" ca="1" si="83"/>
        <v>1</v>
      </c>
      <c r="F136" s="8">
        <f t="shared" ca="1" si="84"/>
        <v>0</v>
      </c>
      <c r="G136" s="8">
        <f t="shared" ca="1" si="85"/>
        <v>22</v>
      </c>
      <c r="H136" s="8">
        <f t="shared" ca="1" si="86"/>
        <v>1</v>
      </c>
      <c r="I136" s="8">
        <f t="shared" ca="1" si="87"/>
        <v>3</v>
      </c>
      <c r="J136" s="8">
        <f t="shared" ca="1" si="88"/>
        <v>5</v>
      </c>
      <c r="K136" s="8">
        <f t="shared" ca="1" si="89"/>
        <v>12</v>
      </c>
      <c r="L136" s="8">
        <f t="shared" ref="L136:L199" ca="1" si="94">INDIRECT("'game1 ("&amp;$AD136&amp;")'!"&amp;ADDRESS(ROW(G$7)+MOD(ROW(G136)-7,24),COLUMN(J136)))</f>
        <v>1</v>
      </c>
      <c r="M136" s="8">
        <f t="shared" ref="M136:M199" ca="1" si="95">INDIRECT("'game1 ("&amp;$AD136&amp;")'!"&amp;ADDRESS(ROW(H$7)+MOD(ROW(H136)-7,24),COLUMN(K136)))</f>
        <v>2</v>
      </c>
      <c r="N136" s="8">
        <f t="shared" ref="N136:N199" ca="1" si="96">INDIRECT("'game1 ("&amp;$AD136&amp;")'!"&amp;ADDRESS(ROW(I$7)+MOD(ROW(I136)-7,24),COLUMN(L136)))</f>
        <v>6</v>
      </c>
      <c r="O136" s="8">
        <f t="shared" ref="O136:O199" ca="1" si="97">INDIRECT("'game1 ("&amp;$AD136&amp;")'!"&amp;ADDRESS(ROW(J$7)+MOD(ROW(J136)-7,24),COLUMN(M136)))</f>
        <v>6</v>
      </c>
      <c r="P136" s="8">
        <f t="shared" ref="P136:P199" ca="1" si="98">INDIRECT("'game1 ("&amp;$AD136&amp;")'!"&amp;ADDRESS(ROW(K$7)+MOD(ROW(K136)-7,24),COLUMN(N136)))</f>
        <v>0</v>
      </c>
      <c r="Q136" s="8">
        <f t="shared" ref="Q136:Q199" ca="1" si="99">INDIRECT("'game1 ("&amp;$AD136&amp;")'!"&amp;ADDRESS(ROW(L$7)+MOD(ROW(L136)-7,24),COLUMN(O136)))</f>
        <v>1</v>
      </c>
      <c r="R136" s="8">
        <f t="shared" ref="R136:R199" ca="1" si="100">INDIRECT("'game1 ("&amp;$AD136&amp;")'!"&amp;ADDRESS(ROW(M$7)+MOD(ROW(M136)-7,24),COLUMN(P136)))</f>
        <v>0</v>
      </c>
      <c r="S136" s="8">
        <f t="shared" ref="S136:S199" ca="1" si="101">INDIRECT("'game1 ("&amp;$AD136&amp;")'!"&amp;ADDRESS(ROW(N$7)+MOD(ROW(N136)-7,24),COLUMN(Q136)))</f>
        <v>1</v>
      </c>
      <c r="T136" s="8">
        <f t="shared" ref="T136:T199" ca="1" si="102">INDIRECT("'game1 ("&amp;$AD136&amp;")'!"&amp;ADDRESS(ROW(O$7)+MOD(ROW(O136)-7,24),COLUMN(R136)))</f>
        <v>1</v>
      </c>
      <c r="U136" s="8">
        <f t="shared" ref="U136:U199" ca="1" si="103">INDIRECT("'game1 ("&amp;$AD136&amp;")'!"&amp;ADDRESS(ROW(P$7)+MOD(ROW(P136)-7,24),COLUMN(S136)))</f>
        <v>0</v>
      </c>
      <c r="V136" s="8">
        <f t="shared" ref="V136:V199" ca="1" si="104">INDIRECT("'game1 ("&amp;$AD136&amp;")'!"&amp;ADDRESS(ROW(Q$7)+MOD(ROW(Q136)-7,24),COLUMN(T136)))</f>
        <v>14</v>
      </c>
      <c r="W136" s="11">
        <f t="shared" ref="W136:W199" ca="1" si="105">INDIRECT("'game1 ("&amp;$AD136&amp;")'!"&amp;ADDRESS(ROW(R$7)+MOD(ROW(R136)-7,24),COLUMN(U136)))</f>
        <v>0.33333333333333331</v>
      </c>
      <c r="X136" s="11">
        <f t="shared" ref="X136:X199" ca="1" si="106">INDIRECT("'game1 ("&amp;$AD136&amp;")'!"&amp;ADDRESS(ROW(S$7)+MOD(ROW(S136)-7,24),COLUMN(V136)))</f>
        <v>0.41666666666666669</v>
      </c>
      <c r="Y136" s="11">
        <f t="shared" ref="Y136:Y199" ca="1" si="107">INDIRECT("'game1 ("&amp;$AD136&amp;")'!"&amp;ADDRESS(ROW(T$7)+MOD(ROW(T136)-7,24),COLUMN(W136)))</f>
        <v>0.5</v>
      </c>
      <c r="Z136" s="11">
        <f t="shared" ref="Z136:Z199" ca="1" si="108">INDIRECT("'game1 ("&amp;$AD136&amp;")'!"&amp;ADDRESS(ROW(U$7)+MOD(ROW(U136)-7,24),COLUMN(X136)))</f>
        <v>0.4</v>
      </c>
      <c r="AA136" s="11">
        <f t="shared" ref="AA136:AA199" ca="1" si="109">INDIRECT("'game1 ("&amp;$AD136&amp;")'!"&amp;ADDRESS(ROW(V$7)+MOD(ROW(V136)-7,24),COLUMN(Y136)))</f>
        <v>0.43333333333333335</v>
      </c>
      <c r="AB136" s="47">
        <f ca="1">PlayerGameData[[#This Row],[3FGA]]+PlayerGameData[[#This Row],[2FGA]]</f>
        <v>15</v>
      </c>
      <c r="AC136" s="47">
        <f ca="1">PlayerGameData[[#This Row],[OFF REB]]+PlayerGameData[[#This Row],[DEF REB]]</f>
        <v>12</v>
      </c>
      <c r="AD136" s="8">
        <f t="shared" si="90"/>
        <v>6</v>
      </c>
      <c r="AE136" s="8" t="str">
        <f t="shared" ca="1" si="91"/>
        <v>Kailer Duarte, 31 - Meeteetse 12/17/2022</v>
      </c>
      <c r="AF136" s="8" t="str">
        <f t="shared" ref="AF136:AF199" ca="1" si="110">IFERROR(INDIRECT("'game1 ("&amp;$AD136&amp;")'!$a$2"),"")</f>
        <v/>
      </c>
      <c r="AG136" s="8" t="str">
        <f ca="1">IFERROR(IF(C136=0,"",IF(AND(VLOOKUP(PlayerGameData[[#This Row],[Opponent]],WYTeamInfo,2,FALSE)=Roster!$D$1,VLOOKUP(PlayerGameData[[#This Row],[Opponent]],WYTeamInfo,3,FALSE)=Roster!$D$2),"SR","")),"")</f>
        <v/>
      </c>
      <c r="AH136" s="8" t="str">
        <f>CONCATENATE(Roster!$D$1," ",Roster!$D$5)</f>
        <v>1A BB</v>
      </c>
      <c r="AI136" s="8" t="str">
        <f t="shared" ca="1" si="92"/>
        <v>Upton - Meeteetse 12/17/2022</v>
      </c>
      <c r="AJ136" s="8">
        <f ca="1">IFERROR(VLOOKUP(PlayerGameData[[#This Row],[School, Opponent,Game'#]],Table3[],2,FALSE),0)</f>
        <v>1</v>
      </c>
      <c r="AK136" s="8">
        <f ca="1">IF(PlayerGameData[[#This Row],[Visible]]=1,1,1000)</f>
        <v>1</v>
      </c>
      <c r="AL136" s="8">
        <f ca="1">RANK(PlayerGameData[[#This Row],[TL PTS]],PlayerGameData[TL PTS],0)+PlayerGameData[[#This Row],[VisibleOrder]]</f>
        <v>36</v>
      </c>
      <c r="AM136" s="8">
        <f ca="1">IF(COUNTIF(PlayerGameData[PointOrder],PlayerGameData[[#This Row],[PointOrder]])&gt;1,RANK(PlayerGameData[[#This Row],[FGA]],PlayerGameData[FGA],0)/100,0)+PlayerGameData[[#This Row],[PointOrder]]</f>
        <v>36.130000000000003</v>
      </c>
      <c r="AN136" s="8">
        <f ca="1">RANK(PlayerGameData[[#This Row],[PointTieBreak]],PlayerGameData[PointTieBreak],1)</f>
        <v>37</v>
      </c>
      <c r="AO136" s="8">
        <f ca="1">RANK(PlayerGameData[[#This Row],[REB]],PlayerGameData[REB],0)+PlayerGameData[[#This Row],[VisibleOrder]]</f>
        <v>3</v>
      </c>
      <c r="AP136" s="8">
        <f ca="1">IF(COUNTIF(PlayerGameData[REBOrder],PlayerGameData[[#This Row],[REBOrder]])&gt;1,PlayerGameData[[#This Row],[PointRank]]/100+PlayerGameData[[#This Row],[REBOrder]],PlayerGameData[[#This Row],[REBOrder]])</f>
        <v>3.37</v>
      </c>
      <c r="AQ136" s="8">
        <f ca="1">RANK(PlayerGameData[[#This Row],[REBTieBreak]],PlayerGameData[REBTieBreak],1)</f>
        <v>2</v>
      </c>
      <c r="AR136" s="8">
        <f ca="1">RANK(PlayerGameData[[#This Row],[AST]],PlayerGameData[AST],0)+PlayerGameData[[#This Row],[VisibleOrder]]</f>
        <v>158</v>
      </c>
      <c r="AS136" s="8">
        <f ca="1">IF(COUNTIF(PlayerGameData[ASTOrder],PlayerGameData[[#This Row],[ASTOrder]])&gt;1,PlayerGameData[[#This Row],[PointRank]]/100+PlayerGameData[[#This Row],[ASTOrder]],PlayerGameData[[#This Row],[ASTOrder]])</f>
        <v>158.37</v>
      </c>
      <c r="AT136" s="8">
        <f ca="1">RANK(PlayerGameData[[#This Row],[ASTTieBreak]],PlayerGameData[ASTTieBreak],1)</f>
        <v>160</v>
      </c>
      <c r="AU136" s="8">
        <f ca="1">RANK(PlayerGameData[[#This Row],[STL]],PlayerGameData[STL],0)+PlayerGameData[[#This Row],[VisibleOrder]]</f>
        <v>84</v>
      </c>
      <c r="AV136" s="8">
        <f ca="1">IF(COUNTIF(PlayerGameData[STLOrder],PlayerGameData[[#This Row],[STLOrder]])&gt;1,PlayerGameData[[#This Row],[PointRank]]/100+PlayerGameData[[#This Row],[STLOrder]],PlayerGameData[[#This Row],[STLOrder]])</f>
        <v>84.37</v>
      </c>
      <c r="AW136" s="8">
        <f ca="1">RANK(PlayerGameData[[#This Row],[STLTieBreak]],PlayerGameData[STLTieBreak],1)</f>
        <v>90</v>
      </c>
      <c r="AX136" s="8">
        <f ca="1">RANK(PlayerGameData[[#This Row],[BLK]],PlayerGameData[BLK],0)+PlayerGameData[[#This Row],[VisibleOrder]]</f>
        <v>32</v>
      </c>
      <c r="AY136" s="8">
        <f ca="1">IF(COUNTIF(PlayerGameData[BLKOrder],PlayerGameData[[#This Row],[BLKOrder]])&gt;1,PlayerGameData[[#This Row],[PointRank]]/100+PlayerGameData[[#This Row],[BLKOrder]],PlayerGameData[[#This Row],[BLKOrder]])</f>
        <v>32.369999999999997</v>
      </c>
      <c r="AZ136" s="8">
        <f ca="1">RANK(PlayerGameData[[#This Row],[BLKTieBreak]],PlayerGameData[BLKTieBreak],1)</f>
        <v>60</v>
      </c>
      <c r="BA136" s="11">
        <f ca="1">IFERROR(IF(PlayerGameData[[#This Row],[FGA]]&gt;$AA$5,PlayerGameData[[#This Row],[FG%*]],PlayerGameData[[#This Row],[FG%*]]*-1),-2)</f>
        <v>0.4</v>
      </c>
      <c r="BB136" s="8">
        <f ca="1">RANK(PlayerGameData[[#This Row],[EligFG]],PlayerGameData[EligFG],0)+PlayerGameData[[#This Row],[VisibleOrder]]</f>
        <v>68</v>
      </c>
      <c r="BC136" s="8">
        <f ca="1">IF(COUNTIF(PlayerGameData[EligFGOrder],PlayerGameData[[#This Row],[EligFGOrder]])&gt;1,PlayerGameData[[#This Row],[PointRank]]/100+PlayerGameData[[#This Row],[EligFGOrder]],PlayerGameData[[#This Row],[EligFGOrder]])</f>
        <v>68.37</v>
      </c>
      <c r="BD136" s="8">
        <f ca="1">RANK(PlayerGameData[[#This Row],[EligFGTieBreak]],PlayerGameData[EligFGTieBreak],1)</f>
        <v>67</v>
      </c>
      <c r="BE136" s="8" t="str">
        <f>Roster!$D$3</f>
        <v>East</v>
      </c>
      <c r="BF136" s="8" t="str">
        <f>Roster!$D$2</f>
        <v>Northeast</v>
      </c>
      <c r="BG136" s="8" t="str">
        <f>Roster!$D$4</f>
        <v>North</v>
      </c>
      <c r="BH136" s="197">
        <f ca="1">IFERROR(VLOOKUP(CONCATENATE(PlayerGameData[[#This Row],[Opponent]]," ",MONTH(PlayerGameData[[#This Row],[Date]]),"/",DAY(PlayerGameData[[#This Row],[Date]]),"/",YEAR(PlayerGameData[[#This Row],[Date]])),Table35[],2,FALSE),0)</f>
        <v>1</v>
      </c>
      <c r="BI136" s="197">
        <f ca="1">IF(PlayerGameData[[#This Row],[Visible]]=1,1,1000)</f>
        <v>1</v>
      </c>
      <c r="BJ136" s="197" t="e">
        <f ca="1">_xlfn.MAXIFS(TeamGameData[Win],TeamGameData[School, Opponent,Game'#],PlayerGameData[[#This Row],[School, Opponent,Game'#]])</f>
        <v>#NAME?</v>
      </c>
      <c r="BK136" s="197" t="e">
        <f ca="1">_xlfn.MAXIFS(TeamGameData[Loss],TeamGameData[School, Opponent,Game'#],PlayerGameData[[#This Row],[School, Opponent,Game'#]])</f>
        <v>#NAME?</v>
      </c>
    </row>
    <row r="137" spans="1:63" x14ac:dyDescent="0.25">
      <c r="A137" s="8" t="str">
        <f t="shared" ca="1" si="93"/>
        <v>Matt Stirmel, 33</v>
      </c>
      <c r="B137" s="8" t="str">
        <f>Roster!$B$1</f>
        <v>Upton</v>
      </c>
      <c r="C137" s="8" t="str">
        <f t="shared" ca="1" si="81"/>
        <v>Meeteetse</v>
      </c>
      <c r="D137" s="10">
        <f t="shared" ca="1" si="82"/>
        <v>44912</v>
      </c>
      <c r="E137" s="8">
        <f t="shared" ca="1" si="83"/>
        <v>1</v>
      </c>
      <c r="F137" s="8">
        <f t="shared" ca="1" si="84"/>
        <v>0</v>
      </c>
      <c r="G137" s="8">
        <f t="shared" ca="1" si="85"/>
        <v>2</v>
      </c>
      <c r="H137" s="8">
        <f t="shared" ca="1" si="86"/>
        <v>0</v>
      </c>
      <c r="I137" s="8">
        <f t="shared" ca="1" si="87"/>
        <v>0</v>
      </c>
      <c r="J137" s="8">
        <f t="shared" ca="1" si="88"/>
        <v>0</v>
      </c>
      <c r="K137" s="8">
        <f t="shared" ca="1" si="89"/>
        <v>0</v>
      </c>
      <c r="L137" s="8">
        <f t="shared" ca="1" si="94"/>
        <v>0</v>
      </c>
      <c r="M137" s="8">
        <f t="shared" ca="1" si="95"/>
        <v>0</v>
      </c>
      <c r="N137" s="8">
        <f t="shared" ca="1" si="96"/>
        <v>0</v>
      </c>
      <c r="O137" s="8">
        <f t="shared" ca="1" si="97"/>
        <v>0</v>
      </c>
      <c r="P137" s="8">
        <f t="shared" ca="1" si="98"/>
        <v>1</v>
      </c>
      <c r="Q137" s="8">
        <f t="shared" ca="1" si="99"/>
        <v>0</v>
      </c>
      <c r="R137" s="8">
        <f t="shared" ca="1" si="100"/>
        <v>0</v>
      </c>
      <c r="S137" s="8">
        <f t="shared" ca="1" si="101"/>
        <v>0</v>
      </c>
      <c r="T137" s="8">
        <f t="shared" ca="1" si="102"/>
        <v>0</v>
      </c>
      <c r="U137" s="8">
        <f t="shared" ca="1" si="103"/>
        <v>0</v>
      </c>
      <c r="V137" s="8">
        <f t="shared" ca="1" si="104"/>
        <v>0</v>
      </c>
      <c r="W137" s="11" t="str">
        <f t="shared" ca="1" si="105"/>
        <v/>
      </c>
      <c r="X137" s="11" t="str">
        <f t="shared" ca="1" si="106"/>
        <v/>
      </c>
      <c r="Y137" s="11" t="str">
        <f t="shared" ca="1" si="107"/>
        <v/>
      </c>
      <c r="Z137" s="11" t="str">
        <f t="shared" ca="1" si="108"/>
        <v/>
      </c>
      <c r="AA137" s="11" t="str">
        <f t="shared" ca="1" si="109"/>
        <v/>
      </c>
      <c r="AB137" s="47">
        <f ca="1">PlayerGameData[[#This Row],[3FGA]]+PlayerGameData[[#This Row],[2FGA]]</f>
        <v>0</v>
      </c>
      <c r="AC137" s="47">
        <f ca="1">PlayerGameData[[#This Row],[OFF REB]]+PlayerGameData[[#This Row],[DEF REB]]</f>
        <v>0</v>
      </c>
      <c r="AD137" s="8">
        <f t="shared" si="90"/>
        <v>6</v>
      </c>
      <c r="AE137" s="8" t="str">
        <f t="shared" ca="1" si="91"/>
        <v>Matt Stirmel, 33 - Meeteetse 12/17/2022</v>
      </c>
      <c r="AF137" s="8" t="str">
        <f t="shared" ca="1" si="110"/>
        <v/>
      </c>
      <c r="AG137" s="8" t="str">
        <f ca="1">IFERROR(IF(C137=0,"",IF(AND(VLOOKUP(PlayerGameData[[#This Row],[Opponent]],WYTeamInfo,2,FALSE)=Roster!$D$1,VLOOKUP(PlayerGameData[[#This Row],[Opponent]],WYTeamInfo,3,FALSE)=Roster!$D$2),"SR","")),"")</f>
        <v/>
      </c>
      <c r="AH137" s="8" t="str">
        <f>CONCATENATE(Roster!$D$1," ",Roster!$D$5)</f>
        <v>1A BB</v>
      </c>
      <c r="AI137" s="8" t="str">
        <f t="shared" ca="1" si="92"/>
        <v>Upton - Meeteetse 12/17/2022</v>
      </c>
      <c r="AJ137" s="8">
        <f ca="1">IFERROR(VLOOKUP(PlayerGameData[[#This Row],[School, Opponent,Game'#]],Table3[],2,FALSE),0)</f>
        <v>1</v>
      </c>
      <c r="AK137" s="8">
        <f ca="1">IF(PlayerGameData[[#This Row],[Visible]]=1,1,1000)</f>
        <v>1</v>
      </c>
      <c r="AL137" s="8">
        <f ca="1">RANK(PlayerGameData[[#This Row],[TL PTS]],PlayerGameData[TL PTS],0)+PlayerGameData[[#This Row],[VisibleOrder]]</f>
        <v>185</v>
      </c>
      <c r="AM137" s="8">
        <f ca="1">IF(COUNTIF(PlayerGameData[PointOrder],PlayerGameData[[#This Row],[PointOrder]])&gt;1,RANK(PlayerGameData[[#This Row],[FGA]],PlayerGameData[FGA],0)/100,0)+PlayerGameData[[#This Row],[PointOrder]]</f>
        <v>187.14</v>
      </c>
      <c r="AN137" s="8">
        <f ca="1">RANK(PlayerGameData[[#This Row],[PointTieBreak]],PlayerGameData[PointTieBreak],1)</f>
        <v>216</v>
      </c>
      <c r="AO137" s="8">
        <f ca="1">RANK(PlayerGameData[[#This Row],[REB]],PlayerGameData[REB],0)+PlayerGameData[[#This Row],[VisibleOrder]]</f>
        <v>192</v>
      </c>
      <c r="AP137" s="8">
        <f ca="1">IF(COUNTIF(PlayerGameData[REBOrder],PlayerGameData[[#This Row],[REBOrder]])&gt;1,PlayerGameData[[#This Row],[PointRank]]/100+PlayerGameData[[#This Row],[REBOrder]],PlayerGameData[[#This Row],[REBOrder]])</f>
        <v>194.16</v>
      </c>
      <c r="AQ137" s="8">
        <f ca="1">RANK(PlayerGameData[[#This Row],[REBTieBreak]],PlayerGameData[REBTieBreak],1)</f>
        <v>224</v>
      </c>
      <c r="AR137" s="8">
        <f ca="1">RANK(PlayerGameData[[#This Row],[AST]],PlayerGameData[AST],0)+PlayerGameData[[#This Row],[VisibleOrder]]</f>
        <v>115</v>
      </c>
      <c r="AS137" s="8">
        <f ca="1">IF(COUNTIF(PlayerGameData[ASTOrder],PlayerGameData[[#This Row],[ASTOrder]])&gt;1,PlayerGameData[[#This Row],[PointRank]]/100+PlayerGameData[[#This Row],[ASTOrder]],PlayerGameData[[#This Row],[ASTOrder]])</f>
        <v>117.16</v>
      </c>
      <c r="AT137" s="8">
        <f ca="1">RANK(PlayerGameData[[#This Row],[ASTTieBreak]],PlayerGameData[ASTTieBreak],1)</f>
        <v>152</v>
      </c>
      <c r="AU137" s="8">
        <f ca="1">RANK(PlayerGameData[[#This Row],[STL]],PlayerGameData[STL],0)+PlayerGameData[[#This Row],[VisibleOrder]]</f>
        <v>143</v>
      </c>
      <c r="AV137" s="8">
        <f ca="1">IF(COUNTIF(PlayerGameData[STLOrder],PlayerGameData[[#This Row],[STLOrder]])&gt;1,PlayerGameData[[#This Row],[PointRank]]/100+PlayerGameData[[#This Row],[STLOrder]],PlayerGameData[[#This Row],[STLOrder]])</f>
        <v>145.16</v>
      </c>
      <c r="AW137" s="8">
        <f ca="1">RANK(PlayerGameData[[#This Row],[STLTieBreak]],PlayerGameData[STLTieBreak],1)</f>
        <v>217</v>
      </c>
      <c r="AX137" s="8">
        <f ca="1">RANK(PlayerGameData[[#This Row],[BLK]],PlayerGameData[BLK],0)+PlayerGameData[[#This Row],[VisibleOrder]]</f>
        <v>32</v>
      </c>
      <c r="AY137" s="8">
        <f ca="1">IF(COUNTIF(PlayerGameData[BLKOrder],PlayerGameData[[#This Row],[BLKOrder]])&gt;1,PlayerGameData[[#This Row],[PointRank]]/100+PlayerGameData[[#This Row],[BLKOrder]],PlayerGameData[[#This Row],[BLKOrder]])</f>
        <v>34.159999999999997</v>
      </c>
      <c r="AZ137" s="8">
        <f ca="1">RANK(PlayerGameData[[#This Row],[BLKTieBreak]],PlayerGameData[BLKTieBreak],1)</f>
        <v>216</v>
      </c>
      <c r="BA137" s="11">
        <f ca="1">IFERROR(IF(PlayerGameData[[#This Row],[FGA]]&gt;$AA$5,PlayerGameData[[#This Row],[FG%*]],PlayerGameData[[#This Row],[FG%*]]*-1),-2)</f>
        <v>-2</v>
      </c>
      <c r="BB137" s="8">
        <f ca="1">RANK(PlayerGameData[[#This Row],[EligFG]],PlayerGameData[EligFG],0)+PlayerGameData[[#This Row],[VisibleOrder]]</f>
        <v>215</v>
      </c>
      <c r="BC137" s="8">
        <f ca="1">IF(COUNTIF(PlayerGameData[EligFGOrder],PlayerGameData[[#This Row],[EligFGOrder]])&gt;1,PlayerGameData[[#This Row],[PointRank]]/100+PlayerGameData[[#This Row],[EligFGOrder]],PlayerGameData[[#This Row],[EligFGOrder]])</f>
        <v>217.16</v>
      </c>
      <c r="BD137" s="8">
        <f ca="1">RANK(PlayerGameData[[#This Row],[EligFGTieBreak]],PlayerGameData[EligFGTieBreak],1)</f>
        <v>216</v>
      </c>
      <c r="BE137" s="8" t="str">
        <f>Roster!$D$3</f>
        <v>East</v>
      </c>
      <c r="BF137" s="8" t="str">
        <f>Roster!$D$2</f>
        <v>Northeast</v>
      </c>
      <c r="BG137" s="8" t="str">
        <f>Roster!$D$4</f>
        <v>North</v>
      </c>
      <c r="BH137" s="197">
        <f ca="1">IFERROR(VLOOKUP(CONCATENATE(PlayerGameData[[#This Row],[Opponent]]," ",MONTH(PlayerGameData[[#This Row],[Date]]),"/",DAY(PlayerGameData[[#This Row],[Date]]),"/",YEAR(PlayerGameData[[#This Row],[Date]])),Table35[],2,FALSE),0)</f>
        <v>1</v>
      </c>
      <c r="BI137" s="197">
        <f ca="1">IF(PlayerGameData[[#This Row],[Visible]]=1,1,1000)</f>
        <v>1</v>
      </c>
      <c r="BJ137" s="197" t="e">
        <f ca="1">_xlfn.MAXIFS(TeamGameData[Win],TeamGameData[School, Opponent,Game'#],PlayerGameData[[#This Row],[School, Opponent,Game'#]])</f>
        <v>#NAME?</v>
      </c>
      <c r="BK137" s="197" t="e">
        <f ca="1">_xlfn.MAXIFS(TeamGameData[Loss],TeamGameData[School, Opponent,Game'#],PlayerGameData[[#This Row],[School, Opponent,Game'#]])</f>
        <v>#NAME?</v>
      </c>
    </row>
    <row r="138" spans="1:63" x14ac:dyDescent="0.25">
      <c r="A138" s="8" t="str">
        <f t="shared" ca="1" si="93"/>
        <v>Jacob McNutt, 34</v>
      </c>
      <c r="B138" s="8" t="str">
        <f>Roster!$B$1</f>
        <v>Upton</v>
      </c>
      <c r="C138" s="8" t="str">
        <f t="shared" ca="1" si="81"/>
        <v>Meeteetse</v>
      </c>
      <c r="D138" s="10">
        <f t="shared" ca="1" si="82"/>
        <v>44912</v>
      </c>
      <c r="E138" s="8">
        <f t="shared" ca="1" si="83"/>
        <v>1</v>
      </c>
      <c r="F138" s="8">
        <f t="shared" ca="1" si="84"/>
        <v>0</v>
      </c>
      <c r="G138" s="8">
        <f t="shared" ca="1" si="85"/>
        <v>1</v>
      </c>
      <c r="H138" s="8">
        <f t="shared" ca="1" si="86"/>
        <v>0</v>
      </c>
      <c r="I138" s="8">
        <f t="shared" ca="1" si="87"/>
        <v>2</v>
      </c>
      <c r="J138" s="8">
        <f t="shared" ca="1" si="88"/>
        <v>0</v>
      </c>
      <c r="K138" s="8">
        <f t="shared" ca="1" si="89"/>
        <v>0</v>
      </c>
      <c r="L138" s="8">
        <f t="shared" ca="1" si="94"/>
        <v>0</v>
      </c>
      <c r="M138" s="8">
        <f t="shared" ca="1" si="95"/>
        <v>0</v>
      </c>
      <c r="N138" s="8">
        <f t="shared" ca="1" si="96"/>
        <v>0</v>
      </c>
      <c r="O138" s="8">
        <f t="shared" ca="1" si="97"/>
        <v>0</v>
      </c>
      <c r="P138" s="8">
        <f t="shared" ca="1" si="98"/>
        <v>0</v>
      </c>
      <c r="Q138" s="8">
        <f t="shared" ca="1" si="99"/>
        <v>0</v>
      </c>
      <c r="R138" s="8">
        <f t="shared" ca="1" si="100"/>
        <v>0</v>
      </c>
      <c r="S138" s="8">
        <f t="shared" ca="1" si="101"/>
        <v>0</v>
      </c>
      <c r="T138" s="8">
        <f t="shared" ca="1" si="102"/>
        <v>0</v>
      </c>
      <c r="U138" s="8">
        <f t="shared" ca="1" si="103"/>
        <v>0</v>
      </c>
      <c r="V138" s="8">
        <f t="shared" ca="1" si="104"/>
        <v>0</v>
      </c>
      <c r="W138" s="11">
        <f t="shared" ca="1" si="105"/>
        <v>0</v>
      </c>
      <c r="X138" s="11" t="str">
        <f t="shared" ca="1" si="106"/>
        <v/>
      </c>
      <c r="Y138" s="11" t="str">
        <f t="shared" ca="1" si="107"/>
        <v/>
      </c>
      <c r="Z138" s="11">
        <f t="shared" ca="1" si="108"/>
        <v>0</v>
      </c>
      <c r="AA138" s="11">
        <f t="shared" ca="1" si="109"/>
        <v>0</v>
      </c>
      <c r="AB138" s="47">
        <f ca="1">PlayerGameData[[#This Row],[3FGA]]+PlayerGameData[[#This Row],[2FGA]]</f>
        <v>2</v>
      </c>
      <c r="AC138" s="47">
        <f ca="1">PlayerGameData[[#This Row],[OFF REB]]+PlayerGameData[[#This Row],[DEF REB]]</f>
        <v>0</v>
      </c>
      <c r="AD138" s="8">
        <f t="shared" si="90"/>
        <v>6</v>
      </c>
      <c r="AE138" s="8" t="str">
        <f t="shared" ca="1" si="91"/>
        <v>Jacob McNutt, 34 - Meeteetse 12/17/2022</v>
      </c>
      <c r="AF138" s="8" t="str">
        <f t="shared" ca="1" si="110"/>
        <v/>
      </c>
      <c r="AG138" s="8" t="str">
        <f ca="1">IFERROR(IF(C138=0,"",IF(AND(VLOOKUP(PlayerGameData[[#This Row],[Opponent]],WYTeamInfo,2,FALSE)=Roster!$D$1,VLOOKUP(PlayerGameData[[#This Row],[Opponent]],WYTeamInfo,3,FALSE)=Roster!$D$2),"SR","")),"")</f>
        <v/>
      </c>
      <c r="AH138" s="8" t="str">
        <f>CONCATENATE(Roster!$D$1," ",Roster!$D$5)</f>
        <v>1A BB</v>
      </c>
      <c r="AI138" s="8" t="str">
        <f t="shared" ca="1" si="92"/>
        <v>Upton - Meeteetse 12/17/2022</v>
      </c>
      <c r="AJ138" s="8">
        <f ca="1">IFERROR(VLOOKUP(PlayerGameData[[#This Row],[School, Opponent,Game'#]],Table3[],2,FALSE),0)</f>
        <v>1</v>
      </c>
      <c r="AK138" s="8">
        <f ca="1">IF(PlayerGameData[[#This Row],[Visible]]=1,1,1000)</f>
        <v>1</v>
      </c>
      <c r="AL138" s="8">
        <f ca="1">RANK(PlayerGameData[[#This Row],[TL PTS]],PlayerGameData[TL PTS],0)+PlayerGameData[[#This Row],[VisibleOrder]]</f>
        <v>185</v>
      </c>
      <c r="AM138" s="8">
        <f ca="1">IF(COUNTIF(PlayerGameData[PointOrder],PlayerGameData[[#This Row],[PointOrder]])&gt;1,RANK(PlayerGameData[[#This Row],[FGA]],PlayerGameData[FGA],0)/100,0)+PlayerGameData[[#This Row],[PointOrder]]</f>
        <v>186.61</v>
      </c>
      <c r="AN138" s="8">
        <f ca="1">RANK(PlayerGameData[[#This Row],[PointTieBreak]],PlayerGameData[PointTieBreak],1)</f>
        <v>191</v>
      </c>
      <c r="AO138" s="8">
        <f ca="1">RANK(PlayerGameData[[#This Row],[REB]],PlayerGameData[REB],0)+PlayerGameData[[#This Row],[VisibleOrder]]</f>
        <v>192</v>
      </c>
      <c r="AP138" s="8">
        <f ca="1">IF(COUNTIF(PlayerGameData[REBOrder],PlayerGameData[[#This Row],[REBOrder]])&gt;1,PlayerGameData[[#This Row],[PointRank]]/100+PlayerGameData[[#This Row],[REBOrder]],PlayerGameData[[#This Row],[REBOrder]])</f>
        <v>193.91</v>
      </c>
      <c r="AQ138" s="8">
        <f ca="1">RANK(PlayerGameData[[#This Row],[REBTieBreak]],PlayerGameData[REBTieBreak],1)</f>
        <v>210</v>
      </c>
      <c r="AR138" s="8">
        <f ca="1">RANK(PlayerGameData[[#This Row],[AST]],PlayerGameData[AST],0)+PlayerGameData[[#This Row],[VisibleOrder]]</f>
        <v>158</v>
      </c>
      <c r="AS138" s="8">
        <f ca="1">IF(COUNTIF(PlayerGameData[ASTOrder],PlayerGameData[[#This Row],[ASTOrder]])&gt;1,PlayerGameData[[#This Row],[PointRank]]/100+PlayerGameData[[#This Row],[ASTOrder]],PlayerGameData[[#This Row],[ASTOrder]])</f>
        <v>159.91</v>
      </c>
      <c r="AT138" s="8">
        <f ca="1">RANK(PlayerGameData[[#This Row],[ASTTieBreak]],PlayerGameData[ASTTieBreak],1)</f>
        <v>205</v>
      </c>
      <c r="AU138" s="8">
        <f ca="1">RANK(PlayerGameData[[#This Row],[STL]],PlayerGameData[STL],0)+PlayerGameData[[#This Row],[VisibleOrder]]</f>
        <v>143</v>
      </c>
      <c r="AV138" s="8">
        <f ca="1">IF(COUNTIF(PlayerGameData[STLOrder],PlayerGameData[[#This Row],[STLOrder]])&gt;1,PlayerGameData[[#This Row],[PointRank]]/100+PlayerGameData[[#This Row],[STLOrder]],PlayerGameData[[#This Row],[STLOrder]])</f>
        <v>144.91</v>
      </c>
      <c r="AW138" s="8">
        <f ca="1">RANK(PlayerGameData[[#This Row],[STLTieBreak]],PlayerGameData[STLTieBreak],1)</f>
        <v>197</v>
      </c>
      <c r="AX138" s="8">
        <f ca="1">RANK(PlayerGameData[[#This Row],[BLK]],PlayerGameData[BLK],0)+PlayerGameData[[#This Row],[VisibleOrder]]</f>
        <v>32</v>
      </c>
      <c r="AY138" s="8">
        <f ca="1">IF(COUNTIF(PlayerGameData[BLKOrder],PlayerGameData[[#This Row],[BLKOrder]])&gt;1,PlayerGameData[[#This Row],[PointRank]]/100+PlayerGameData[[#This Row],[BLKOrder]],PlayerGameData[[#This Row],[BLKOrder]])</f>
        <v>33.909999999999997</v>
      </c>
      <c r="AZ138" s="8">
        <f ca="1">RANK(PlayerGameData[[#This Row],[BLKTieBreak]],PlayerGameData[BLKTieBreak],1)</f>
        <v>192</v>
      </c>
      <c r="BA138" s="11">
        <f ca="1">IFERROR(IF(PlayerGameData[[#This Row],[FGA]]&gt;$AA$5,PlayerGameData[[#This Row],[FG%*]],PlayerGameData[[#This Row],[FG%*]]*-1),-2)</f>
        <v>0</v>
      </c>
      <c r="BB138" s="8">
        <f ca="1">RANK(PlayerGameData[[#This Row],[EligFG]],PlayerGameData[EligFG],0)+PlayerGameData[[#This Row],[VisibleOrder]]</f>
        <v>117</v>
      </c>
      <c r="BC138" s="8">
        <f ca="1">IF(COUNTIF(PlayerGameData[EligFGOrder],PlayerGameData[[#This Row],[EligFGOrder]])&gt;1,PlayerGameData[[#This Row],[PointRank]]/100+PlayerGameData[[#This Row],[EligFGOrder]],PlayerGameData[[#This Row],[EligFGOrder]])</f>
        <v>118.91</v>
      </c>
      <c r="BD138" s="8">
        <f ca="1">RANK(PlayerGameData[[#This Row],[EligFGTieBreak]],PlayerGameData[EligFGTieBreak],1)</f>
        <v>133</v>
      </c>
      <c r="BE138" s="8" t="str">
        <f>Roster!$D$3</f>
        <v>East</v>
      </c>
      <c r="BF138" s="8" t="str">
        <f>Roster!$D$2</f>
        <v>Northeast</v>
      </c>
      <c r="BG138" s="8" t="str">
        <f>Roster!$D$4</f>
        <v>North</v>
      </c>
      <c r="BH138" s="197">
        <f ca="1">IFERROR(VLOOKUP(CONCATENATE(PlayerGameData[[#This Row],[Opponent]]," ",MONTH(PlayerGameData[[#This Row],[Date]]),"/",DAY(PlayerGameData[[#This Row],[Date]]),"/",YEAR(PlayerGameData[[#This Row],[Date]])),Table35[],2,FALSE),0)</f>
        <v>1</v>
      </c>
      <c r="BI138" s="197">
        <f ca="1">IF(PlayerGameData[[#This Row],[Visible]]=1,1,1000)</f>
        <v>1</v>
      </c>
      <c r="BJ138" s="197" t="e">
        <f ca="1">_xlfn.MAXIFS(TeamGameData[Win],TeamGameData[School, Opponent,Game'#],PlayerGameData[[#This Row],[School, Opponent,Game'#]])</f>
        <v>#NAME?</v>
      </c>
      <c r="BK138" s="197" t="e">
        <f ca="1">_xlfn.MAXIFS(TeamGameData[Loss],TeamGameData[School, Opponent,Game'#],PlayerGameData[[#This Row],[School, Opponent,Game'#]])</f>
        <v>#NAME?</v>
      </c>
    </row>
    <row r="139" spans="1:63" x14ac:dyDescent="0.25">
      <c r="A139" s="8" t="str">
        <f t="shared" ca="1" si="93"/>
        <v>Ryan Baker, 35</v>
      </c>
      <c r="B139" s="8" t="str">
        <f>Roster!$B$1</f>
        <v>Upton</v>
      </c>
      <c r="C139" s="8" t="str">
        <f t="shared" ca="1" si="81"/>
        <v>Meeteetse</v>
      </c>
      <c r="D139" s="10">
        <f t="shared" ca="1" si="82"/>
        <v>44912</v>
      </c>
      <c r="E139" s="8">
        <f t="shared" ca="1" si="83"/>
        <v>1</v>
      </c>
      <c r="F139" s="8">
        <f t="shared" ca="1" si="84"/>
        <v>0</v>
      </c>
      <c r="G139" s="8">
        <f t="shared" ca="1" si="85"/>
        <v>15</v>
      </c>
      <c r="H139" s="8">
        <f t="shared" ca="1" si="86"/>
        <v>0</v>
      </c>
      <c r="I139" s="8">
        <f t="shared" ca="1" si="87"/>
        <v>0</v>
      </c>
      <c r="J139" s="8">
        <f t="shared" ca="1" si="88"/>
        <v>0</v>
      </c>
      <c r="K139" s="8">
        <f t="shared" ca="1" si="89"/>
        <v>3</v>
      </c>
      <c r="L139" s="8">
        <f t="shared" ca="1" si="94"/>
        <v>0</v>
      </c>
      <c r="M139" s="8">
        <f t="shared" ca="1" si="95"/>
        <v>0</v>
      </c>
      <c r="N139" s="8">
        <f t="shared" ca="1" si="96"/>
        <v>2</v>
      </c>
      <c r="O139" s="8">
        <f t="shared" ca="1" si="97"/>
        <v>4</v>
      </c>
      <c r="P139" s="8">
        <f t="shared" ca="1" si="98"/>
        <v>1</v>
      </c>
      <c r="Q139" s="8">
        <f t="shared" ca="1" si="99"/>
        <v>2</v>
      </c>
      <c r="R139" s="8">
        <f t="shared" ca="1" si="100"/>
        <v>0</v>
      </c>
      <c r="S139" s="8">
        <f t="shared" ca="1" si="101"/>
        <v>0</v>
      </c>
      <c r="T139" s="8">
        <f t="shared" ca="1" si="102"/>
        <v>1</v>
      </c>
      <c r="U139" s="8">
        <f t="shared" ca="1" si="103"/>
        <v>0</v>
      </c>
      <c r="V139" s="8">
        <f t="shared" ca="1" si="104"/>
        <v>0</v>
      </c>
      <c r="W139" s="11" t="str">
        <f t="shared" ca="1" si="105"/>
        <v/>
      </c>
      <c r="X139" s="11">
        <f t="shared" ca="1" si="106"/>
        <v>0</v>
      </c>
      <c r="Y139" s="11" t="str">
        <f t="shared" ca="1" si="107"/>
        <v/>
      </c>
      <c r="Z139" s="11">
        <f t="shared" ca="1" si="108"/>
        <v>0</v>
      </c>
      <c r="AA139" s="11">
        <f t="shared" ca="1" si="109"/>
        <v>0</v>
      </c>
      <c r="AB139" s="47">
        <f ca="1">PlayerGameData[[#This Row],[3FGA]]+PlayerGameData[[#This Row],[2FGA]]</f>
        <v>3</v>
      </c>
      <c r="AC139" s="47">
        <f ca="1">PlayerGameData[[#This Row],[OFF REB]]+PlayerGameData[[#This Row],[DEF REB]]</f>
        <v>6</v>
      </c>
      <c r="AD139" s="8">
        <f t="shared" si="90"/>
        <v>6</v>
      </c>
      <c r="AE139" s="8" t="str">
        <f t="shared" ca="1" si="91"/>
        <v>Ryan Baker, 35 - Meeteetse 12/17/2022</v>
      </c>
      <c r="AF139" s="8" t="str">
        <f t="shared" ca="1" si="110"/>
        <v/>
      </c>
      <c r="AG139" s="8" t="str">
        <f ca="1">IFERROR(IF(C139=0,"",IF(AND(VLOOKUP(PlayerGameData[[#This Row],[Opponent]],WYTeamInfo,2,FALSE)=Roster!$D$1,VLOOKUP(PlayerGameData[[#This Row],[Opponent]],WYTeamInfo,3,FALSE)=Roster!$D$2),"SR","")),"")</f>
        <v/>
      </c>
      <c r="AH139" s="8" t="str">
        <f>CONCATENATE(Roster!$D$1," ",Roster!$D$5)</f>
        <v>1A BB</v>
      </c>
      <c r="AI139" s="8" t="str">
        <f t="shared" ca="1" si="92"/>
        <v>Upton - Meeteetse 12/17/2022</v>
      </c>
      <c r="AJ139" s="8">
        <f ca="1">IFERROR(VLOOKUP(PlayerGameData[[#This Row],[School, Opponent,Game'#]],Table3[],2,FALSE),0)</f>
        <v>1</v>
      </c>
      <c r="AK139" s="8">
        <f ca="1">IF(PlayerGameData[[#This Row],[Visible]]=1,1,1000)</f>
        <v>1</v>
      </c>
      <c r="AL139" s="8">
        <f ca="1">RANK(PlayerGameData[[#This Row],[TL PTS]],PlayerGameData[TL PTS],0)+PlayerGameData[[#This Row],[VisibleOrder]]</f>
        <v>185</v>
      </c>
      <c r="AM139" s="8">
        <f ca="1">IF(COUNTIF(PlayerGameData[PointOrder],PlayerGameData[[#This Row],[PointOrder]])&gt;1,RANK(PlayerGameData[[#This Row],[FGA]],PlayerGameData[FGA],0)/100,0)+PlayerGameData[[#This Row],[PointOrder]]</f>
        <v>186.4</v>
      </c>
      <c r="AN139" s="8">
        <f ca="1">RANK(PlayerGameData[[#This Row],[PointTieBreak]],PlayerGameData[PointTieBreak],1)</f>
        <v>187</v>
      </c>
      <c r="AO139" s="8">
        <f ca="1">RANK(PlayerGameData[[#This Row],[REB]],PlayerGameData[REB],0)+PlayerGameData[[#This Row],[VisibleOrder]]</f>
        <v>38</v>
      </c>
      <c r="AP139" s="8">
        <f ca="1">IF(COUNTIF(PlayerGameData[REBOrder],PlayerGameData[[#This Row],[REBOrder]])&gt;1,PlayerGameData[[#This Row],[PointRank]]/100+PlayerGameData[[#This Row],[REBOrder]],PlayerGameData[[#This Row],[REBOrder]])</f>
        <v>39.869999999999997</v>
      </c>
      <c r="AQ139" s="8">
        <f ca="1">RANK(PlayerGameData[[#This Row],[REBTieBreak]],PlayerGameData[REBTieBreak],1)</f>
        <v>49</v>
      </c>
      <c r="AR139" s="8">
        <f ca="1">RANK(PlayerGameData[[#This Row],[AST]],PlayerGameData[AST],0)+PlayerGameData[[#This Row],[VisibleOrder]]</f>
        <v>115</v>
      </c>
      <c r="AS139" s="8">
        <f ca="1">IF(COUNTIF(PlayerGameData[ASTOrder],PlayerGameData[[#This Row],[ASTOrder]])&gt;1,PlayerGameData[[#This Row],[PointRank]]/100+PlayerGameData[[#This Row],[ASTOrder]],PlayerGameData[[#This Row],[ASTOrder]])</f>
        <v>116.87</v>
      </c>
      <c r="AT139" s="8">
        <f ca="1">RANK(PlayerGameData[[#This Row],[ASTTieBreak]],PlayerGameData[ASTTieBreak],1)</f>
        <v>145</v>
      </c>
      <c r="AU139" s="8">
        <f ca="1">RANK(PlayerGameData[[#This Row],[STL]],PlayerGameData[STL],0)+PlayerGameData[[#This Row],[VisibleOrder]]</f>
        <v>48</v>
      </c>
      <c r="AV139" s="8">
        <f ca="1">IF(COUNTIF(PlayerGameData[STLOrder],PlayerGameData[[#This Row],[STLOrder]])&gt;1,PlayerGameData[[#This Row],[PointRank]]/100+PlayerGameData[[#This Row],[STLOrder]],PlayerGameData[[#This Row],[STLOrder]])</f>
        <v>49.87</v>
      </c>
      <c r="AW139" s="8">
        <f ca="1">RANK(PlayerGameData[[#This Row],[STLTieBreak]],PlayerGameData[STLTieBreak],1)</f>
        <v>82</v>
      </c>
      <c r="AX139" s="8">
        <f ca="1">RANK(PlayerGameData[[#This Row],[BLK]],PlayerGameData[BLK],0)+PlayerGameData[[#This Row],[VisibleOrder]]</f>
        <v>32</v>
      </c>
      <c r="AY139" s="8">
        <f ca="1">IF(COUNTIF(PlayerGameData[BLKOrder],PlayerGameData[[#This Row],[BLKOrder]])&gt;1,PlayerGameData[[#This Row],[PointRank]]/100+PlayerGameData[[#This Row],[BLKOrder]],PlayerGameData[[#This Row],[BLKOrder]])</f>
        <v>33.869999999999997</v>
      </c>
      <c r="AZ139" s="8">
        <f ca="1">RANK(PlayerGameData[[#This Row],[BLKTieBreak]],PlayerGameData[BLKTieBreak],1)</f>
        <v>188</v>
      </c>
      <c r="BA139" s="11">
        <f ca="1">IFERROR(IF(PlayerGameData[[#This Row],[FGA]]&gt;$AA$5,PlayerGameData[[#This Row],[FG%*]],PlayerGameData[[#This Row],[FG%*]]*-1),-2)</f>
        <v>0</v>
      </c>
      <c r="BB139" s="8">
        <f ca="1">RANK(PlayerGameData[[#This Row],[EligFG]],PlayerGameData[EligFG],0)+PlayerGameData[[#This Row],[VisibleOrder]]</f>
        <v>117</v>
      </c>
      <c r="BC139" s="8">
        <f ca="1">IF(COUNTIF(PlayerGameData[EligFGOrder],PlayerGameData[[#This Row],[EligFGOrder]])&gt;1,PlayerGameData[[#This Row],[PointRank]]/100+PlayerGameData[[#This Row],[EligFGOrder]],PlayerGameData[[#This Row],[EligFGOrder]])</f>
        <v>118.87</v>
      </c>
      <c r="BD139" s="8">
        <f ca="1">RANK(PlayerGameData[[#This Row],[EligFGTieBreak]],PlayerGameData[EligFGTieBreak],1)</f>
        <v>129</v>
      </c>
      <c r="BE139" s="8" t="str">
        <f>Roster!$D$3</f>
        <v>East</v>
      </c>
      <c r="BF139" s="8" t="str">
        <f>Roster!$D$2</f>
        <v>Northeast</v>
      </c>
      <c r="BG139" s="8" t="str">
        <f>Roster!$D$4</f>
        <v>North</v>
      </c>
      <c r="BH139" s="197">
        <f ca="1">IFERROR(VLOOKUP(CONCATENATE(PlayerGameData[[#This Row],[Opponent]]," ",MONTH(PlayerGameData[[#This Row],[Date]]),"/",DAY(PlayerGameData[[#This Row],[Date]]),"/",YEAR(PlayerGameData[[#This Row],[Date]])),Table35[],2,FALSE),0)</f>
        <v>1</v>
      </c>
      <c r="BI139" s="197">
        <f ca="1">IF(PlayerGameData[[#This Row],[Visible]]=1,1,1000)</f>
        <v>1</v>
      </c>
      <c r="BJ139" s="197" t="e">
        <f ca="1">_xlfn.MAXIFS(TeamGameData[Win],TeamGameData[School, Opponent,Game'#],PlayerGameData[[#This Row],[School, Opponent,Game'#]])</f>
        <v>#NAME?</v>
      </c>
      <c r="BK139" s="197" t="e">
        <f ca="1">_xlfn.MAXIFS(TeamGameData[Loss],TeamGameData[School, Opponent,Game'#],PlayerGameData[[#This Row],[School, Opponent,Game'#]])</f>
        <v>#NAME?</v>
      </c>
    </row>
    <row r="140" spans="1:63" x14ac:dyDescent="0.25">
      <c r="A140" s="8" t="str">
        <f t="shared" ca="1" si="93"/>
        <v xml:space="preserve">, </v>
      </c>
      <c r="B140" s="8" t="str">
        <f>Roster!$B$1</f>
        <v>Upton</v>
      </c>
      <c r="C140" s="8" t="str">
        <f t="shared" ca="1" si="81"/>
        <v>Meeteetse</v>
      </c>
      <c r="D140" s="10">
        <f t="shared" ca="1" si="82"/>
        <v>44912</v>
      </c>
      <c r="E140" s="8">
        <f t="shared" ca="1" si="83"/>
        <v>0</v>
      </c>
      <c r="F140" s="8">
        <f t="shared" ca="1" si="84"/>
        <v>0</v>
      </c>
      <c r="G140" s="8">
        <f t="shared" ca="1" si="85"/>
        <v>0</v>
      </c>
      <c r="H140" s="8">
        <f t="shared" ca="1" si="86"/>
        <v>0</v>
      </c>
      <c r="I140" s="8">
        <f t="shared" ca="1" si="87"/>
        <v>0</v>
      </c>
      <c r="J140" s="8">
        <f t="shared" ca="1" si="88"/>
        <v>0</v>
      </c>
      <c r="K140" s="8">
        <f t="shared" ca="1" si="89"/>
        <v>0</v>
      </c>
      <c r="L140" s="8">
        <f t="shared" ca="1" si="94"/>
        <v>0</v>
      </c>
      <c r="M140" s="8">
        <f t="shared" ca="1" si="95"/>
        <v>0</v>
      </c>
      <c r="N140" s="8">
        <f t="shared" ca="1" si="96"/>
        <v>0</v>
      </c>
      <c r="O140" s="8">
        <f t="shared" ca="1" si="97"/>
        <v>0</v>
      </c>
      <c r="P140" s="8">
        <f t="shared" ca="1" si="98"/>
        <v>0</v>
      </c>
      <c r="Q140" s="8">
        <f t="shared" ca="1" si="99"/>
        <v>0</v>
      </c>
      <c r="R140" s="8">
        <f t="shared" ca="1" si="100"/>
        <v>0</v>
      </c>
      <c r="S140" s="8">
        <f t="shared" ca="1" si="101"/>
        <v>0</v>
      </c>
      <c r="T140" s="8">
        <f t="shared" ca="1" si="102"/>
        <v>0</v>
      </c>
      <c r="U140" s="8">
        <f t="shared" ca="1" si="103"/>
        <v>0</v>
      </c>
      <c r="V140" s="8">
        <f t="shared" ca="1" si="104"/>
        <v>0</v>
      </c>
      <c r="W140" s="11" t="str">
        <f t="shared" ca="1" si="105"/>
        <v/>
      </c>
      <c r="X140" s="11" t="str">
        <f t="shared" ca="1" si="106"/>
        <v/>
      </c>
      <c r="Y140" s="11" t="str">
        <f t="shared" ca="1" si="107"/>
        <v/>
      </c>
      <c r="Z140" s="11" t="str">
        <f t="shared" ca="1" si="108"/>
        <v/>
      </c>
      <c r="AA140" s="11" t="str">
        <f t="shared" ca="1" si="109"/>
        <v/>
      </c>
      <c r="AB140" s="47">
        <f ca="1">PlayerGameData[[#This Row],[3FGA]]+PlayerGameData[[#This Row],[2FGA]]</f>
        <v>0</v>
      </c>
      <c r="AC140" s="47">
        <f ca="1">PlayerGameData[[#This Row],[OFF REB]]+PlayerGameData[[#This Row],[DEF REB]]</f>
        <v>0</v>
      </c>
      <c r="AD140" s="8">
        <f t="shared" si="90"/>
        <v>6</v>
      </c>
      <c r="AE140" s="8" t="str">
        <f t="shared" ca="1" si="91"/>
        <v>,  - Meeteetse 12/17/2022</v>
      </c>
      <c r="AF140" s="8" t="str">
        <f t="shared" ca="1" si="110"/>
        <v/>
      </c>
      <c r="AG140" s="8" t="str">
        <f ca="1">IFERROR(IF(C140=0,"",IF(AND(VLOOKUP(PlayerGameData[[#This Row],[Opponent]],WYTeamInfo,2,FALSE)=Roster!$D$1,VLOOKUP(PlayerGameData[[#This Row],[Opponent]],WYTeamInfo,3,FALSE)=Roster!$D$2),"SR","")),"")</f>
        <v/>
      </c>
      <c r="AH140" s="8" t="str">
        <f>CONCATENATE(Roster!$D$1," ",Roster!$D$5)</f>
        <v>1A BB</v>
      </c>
      <c r="AI140" s="8" t="str">
        <f t="shared" ca="1" si="92"/>
        <v>Upton - Meeteetse 12/17/2022</v>
      </c>
      <c r="AJ140" s="8">
        <f ca="1">IFERROR(VLOOKUP(PlayerGameData[[#This Row],[School, Opponent,Game'#]],Table3[],2,FALSE),0)</f>
        <v>1</v>
      </c>
      <c r="AK140" s="8">
        <f ca="1">IF(PlayerGameData[[#This Row],[Visible]]=1,1,1000)</f>
        <v>1</v>
      </c>
      <c r="AL140" s="8">
        <f ca="1">RANK(PlayerGameData[[#This Row],[TL PTS]],PlayerGameData[TL PTS],0)+PlayerGameData[[#This Row],[VisibleOrder]]</f>
        <v>185</v>
      </c>
      <c r="AM140" s="8">
        <f ca="1">IF(COUNTIF(PlayerGameData[PointOrder],PlayerGameData[[#This Row],[PointOrder]])&gt;1,RANK(PlayerGameData[[#This Row],[FGA]],PlayerGameData[FGA],0)/100,0)+PlayerGameData[[#This Row],[PointOrder]]</f>
        <v>187.14</v>
      </c>
      <c r="AN140" s="8">
        <f ca="1">RANK(PlayerGameData[[#This Row],[PointTieBreak]],PlayerGameData[PointTieBreak],1)</f>
        <v>216</v>
      </c>
      <c r="AO140" s="8">
        <f ca="1">RANK(PlayerGameData[[#This Row],[REB]],PlayerGameData[REB],0)+PlayerGameData[[#This Row],[VisibleOrder]]</f>
        <v>192</v>
      </c>
      <c r="AP140" s="8">
        <f ca="1">IF(COUNTIF(PlayerGameData[REBOrder],PlayerGameData[[#This Row],[REBOrder]])&gt;1,PlayerGameData[[#This Row],[PointRank]]/100+PlayerGameData[[#This Row],[REBOrder]],PlayerGameData[[#This Row],[REBOrder]])</f>
        <v>194.16</v>
      </c>
      <c r="AQ140" s="8">
        <f ca="1">RANK(PlayerGameData[[#This Row],[REBTieBreak]],PlayerGameData[REBTieBreak],1)</f>
        <v>224</v>
      </c>
      <c r="AR140" s="8">
        <f ca="1">RANK(PlayerGameData[[#This Row],[AST]],PlayerGameData[AST],0)+PlayerGameData[[#This Row],[VisibleOrder]]</f>
        <v>158</v>
      </c>
      <c r="AS140" s="8">
        <f ca="1">IF(COUNTIF(PlayerGameData[ASTOrder],PlayerGameData[[#This Row],[ASTOrder]])&gt;1,PlayerGameData[[#This Row],[PointRank]]/100+PlayerGameData[[#This Row],[ASTOrder]],PlayerGameData[[#This Row],[ASTOrder]])</f>
        <v>160.16</v>
      </c>
      <c r="AT140" s="8">
        <f ca="1">RANK(PlayerGameData[[#This Row],[ASTTieBreak]],PlayerGameData[ASTTieBreak],1)</f>
        <v>221</v>
      </c>
      <c r="AU140" s="8">
        <f ca="1">RANK(PlayerGameData[[#This Row],[STL]],PlayerGameData[STL],0)+PlayerGameData[[#This Row],[VisibleOrder]]</f>
        <v>143</v>
      </c>
      <c r="AV140" s="8">
        <f ca="1">IF(COUNTIF(PlayerGameData[STLOrder],PlayerGameData[[#This Row],[STLOrder]])&gt;1,PlayerGameData[[#This Row],[PointRank]]/100+PlayerGameData[[#This Row],[STLOrder]],PlayerGameData[[#This Row],[STLOrder]])</f>
        <v>145.16</v>
      </c>
      <c r="AW140" s="8">
        <f ca="1">RANK(PlayerGameData[[#This Row],[STLTieBreak]],PlayerGameData[STLTieBreak],1)</f>
        <v>217</v>
      </c>
      <c r="AX140" s="8">
        <f ca="1">RANK(PlayerGameData[[#This Row],[BLK]],PlayerGameData[BLK],0)+PlayerGameData[[#This Row],[VisibleOrder]]</f>
        <v>32</v>
      </c>
      <c r="AY140" s="8">
        <f ca="1">IF(COUNTIF(PlayerGameData[BLKOrder],PlayerGameData[[#This Row],[BLKOrder]])&gt;1,PlayerGameData[[#This Row],[PointRank]]/100+PlayerGameData[[#This Row],[BLKOrder]],PlayerGameData[[#This Row],[BLKOrder]])</f>
        <v>34.159999999999997</v>
      </c>
      <c r="AZ140" s="8">
        <f ca="1">RANK(PlayerGameData[[#This Row],[BLKTieBreak]],PlayerGameData[BLKTieBreak],1)</f>
        <v>216</v>
      </c>
      <c r="BA140" s="11">
        <f ca="1">IFERROR(IF(PlayerGameData[[#This Row],[FGA]]&gt;$AA$5,PlayerGameData[[#This Row],[FG%*]],PlayerGameData[[#This Row],[FG%*]]*-1),-2)</f>
        <v>-2</v>
      </c>
      <c r="BB140" s="8">
        <f ca="1">RANK(PlayerGameData[[#This Row],[EligFG]],PlayerGameData[EligFG],0)+PlayerGameData[[#This Row],[VisibleOrder]]</f>
        <v>215</v>
      </c>
      <c r="BC140" s="8">
        <f ca="1">IF(COUNTIF(PlayerGameData[EligFGOrder],PlayerGameData[[#This Row],[EligFGOrder]])&gt;1,PlayerGameData[[#This Row],[PointRank]]/100+PlayerGameData[[#This Row],[EligFGOrder]],PlayerGameData[[#This Row],[EligFGOrder]])</f>
        <v>217.16</v>
      </c>
      <c r="BD140" s="8">
        <f ca="1">RANK(PlayerGameData[[#This Row],[EligFGTieBreak]],PlayerGameData[EligFGTieBreak],1)</f>
        <v>216</v>
      </c>
      <c r="BE140" s="8" t="str">
        <f>Roster!$D$3</f>
        <v>East</v>
      </c>
      <c r="BF140" s="8" t="str">
        <f>Roster!$D$2</f>
        <v>Northeast</v>
      </c>
      <c r="BG140" s="8" t="str">
        <f>Roster!$D$4</f>
        <v>North</v>
      </c>
      <c r="BH140" s="197">
        <f ca="1">IFERROR(VLOOKUP(CONCATENATE(PlayerGameData[[#This Row],[Opponent]]," ",MONTH(PlayerGameData[[#This Row],[Date]]),"/",DAY(PlayerGameData[[#This Row],[Date]]),"/",YEAR(PlayerGameData[[#This Row],[Date]])),Table35[],2,FALSE),0)</f>
        <v>1</v>
      </c>
      <c r="BI140" s="197">
        <f ca="1">IF(PlayerGameData[[#This Row],[Visible]]=1,1,1000)</f>
        <v>1</v>
      </c>
      <c r="BJ140" s="197" t="e">
        <f ca="1">_xlfn.MAXIFS(TeamGameData[Win],TeamGameData[School, Opponent,Game'#],PlayerGameData[[#This Row],[School, Opponent,Game'#]])</f>
        <v>#NAME?</v>
      </c>
      <c r="BK140" s="197" t="e">
        <f ca="1">_xlfn.MAXIFS(TeamGameData[Loss],TeamGameData[School, Opponent,Game'#],PlayerGameData[[#This Row],[School, Opponent,Game'#]])</f>
        <v>#NAME?</v>
      </c>
    </row>
    <row r="141" spans="1:63" x14ac:dyDescent="0.25">
      <c r="A141" s="8" t="str">
        <f t="shared" ca="1" si="93"/>
        <v xml:space="preserve">, </v>
      </c>
      <c r="B141" s="8" t="str">
        <f>Roster!$B$1</f>
        <v>Upton</v>
      </c>
      <c r="C141" s="8" t="str">
        <f t="shared" ca="1" si="81"/>
        <v>Meeteetse</v>
      </c>
      <c r="D141" s="10">
        <f t="shared" ca="1" si="82"/>
        <v>44912</v>
      </c>
      <c r="E141" s="8">
        <f t="shared" ca="1" si="83"/>
        <v>0</v>
      </c>
      <c r="F141" s="8">
        <f t="shared" ca="1" si="84"/>
        <v>0</v>
      </c>
      <c r="G141" s="8">
        <f t="shared" ca="1" si="85"/>
        <v>0</v>
      </c>
      <c r="H141" s="8">
        <f t="shared" ca="1" si="86"/>
        <v>0</v>
      </c>
      <c r="I141" s="8">
        <f t="shared" ca="1" si="87"/>
        <v>0</v>
      </c>
      <c r="J141" s="8">
        <f t="shared" ca="1" si="88"/>
        <v>0</v>
      </c>
      <c r="K141" s="8">
        <f t="shared" ca="1" si="89"/>
        <v>0</v>
      </c>
      <c r="L141" s="8">
        <f t="shared" ca="1" si="94"/>
        <v>0</v>
      </c>
      <c r="M141" s="8">
        <f t="shared" ca="1" si="95"/>
        <v>0</v>
      </c>
      <c r="N141" s="8">
        <f t="shared" ca="1" si="96"/>
        <v>0</v>
      </c>
      <c r="O141" s="8">
        <f t="shared" ca="1" si="97"/>
        <v>0</v>
      </c>
      <c r="P141" s="8">
        <f t="shared" ca="1" si="98"/>
        <v>0</v>
      </c>
      <c r="Q141" s="8">
        <f t="shared" ca="1" si="99"/>
        <v>0</v>
      </c>
      <c r="R141" s="8">
        <f t="shared" ca="1" si="100"/>
        <v>0</v>
      </c>
      <c r="S141" s="8">
        <f t="shared" ca="1" si="101"/>
        <v>0</v>
      </c>
      <c r="T141" s="8">
        <f t="shared" ca="1" si="102"/>
        <v>0</v>
      </c>
      <c r="U141" s="8">
        <f t="shared" ca="1" si="103"/>
        <v>0</v>
      </c>
      <c r="V141" s="8">
        <f t="shared" ca="1" si="104"/>
        <v>0</v>
      </c>
      <c r="W141" s="11" t="str">
        <f t="shared" ca="1" si="105"/>
        <v/>
      </c>
      <c r="X141" s="11" t="str">
        <f t="shared" ca="1" si="106"/>
        <v/>
      </c>
      <c r="Y141" s="11" t="str">
        <f t="shared" ca="1" si="107"/>
        <v/>
      </c>
      <c r="Z141" s="11" t="str">
        <f t="shared" ca="1" si="108"/>
        <v/>
      </c>
      <c r="AA141" s="11" t="str">
        <f t="shared" ca="1" si="109"/>
        <v/>
      </c>
      <c r="AB141" s="47">
        <f ca="1">PlayerGameData[[#This Row],[3FGA]]+PlayerGameData[[#This Row],[2FGA]]</f>
        <v>0</v>
      </c>
      <c r="AC141" s="47">
        <f ca="1">PlayerGameData[[#This Row],[OFF REB]]+PlayerGameData[[#This Row],[DEF REB]]</f>
        <v>0</v>
      </c>
      <c r="AD141" s="8">
        <f t="shared" si="90"/>
        <v>6</v>
      </c>
      <c r="AE141" s="8" t="str">
        <f t="shared" ca="1" si="91"/>
        <v>,  - Meeteetse 12/17/2022</v>
      </c>
      <c r="AF141" s="8" t="str">
        <f t="shared" ca="1" si="110"/>
        <v/>
      </c>
      <c r="AG141" s="8" t="str">
        <f ca="1">IFERROR(IF(C141=0,"",IF(AND(VLOOKUP(PlayerGameData[[#This Row],[Opponent]],WYTeamInfo,2,FALSE)=Roster!$D$1,VLOOKUP(PlayerGameData[[#This Row],[Opponent]],WYTeamInfo,3,FALSE)=Roster!$D$2),"SR","")),"")</f>
        <v/>
      </c>
      <c r="AH141" s="8" t="str">
        <f>CONCATENATE(Roster!$D$1," ",Roster!$D$5)</f>
        <v>1A BB</v>
      </c>
      <c r="AI141" s="8" t="str">
        <f t="shared" ca="1" si="92"/>
        <v>Upton - Meeteetse 12/17/2022</v>
      </c>
      <c r="AJ141" s="8">
        <f ca="1">IFERROR(VLOOKUP(PlayerGameData[[#This Row],[School, Opponent,Game'#]],Table3[],2,FALSE),0)</f>
        <v>1</v>
      </c>
      <c r="AK141" s="8">
        <f ca="1">IF(PlayerGameData[[#This Row],[Visible]]=1,1,1000)</f>
        <v>1</v>
      </c>
      <c r="AL141" s="8">
        <f ca="1">RANK(PlayerGameData[[#This Row],[TL PTS]],PlayerGameData[TL PTS],0)+PlayerGameData[[#This Row],[VisibleOrder]]</f>
        <v>185</v>
      </c>
      <c r="AM141" s="8">
        <f ca="1">IF(COUNTIF(PlayerGameData[PointOrder],PlayerGameData[[#This Row],[PointOrder]])&gt;1,RANK(PlayerGameData[[#This Row],[FGA]],PlayerGameData[FGA],0)/100,0)+PlayerGameData[[#This Row],[PointOrder]]</f>
        <v>187.14</v>
      </c>
      <c r="AN141" s="8">
        <f ca="1">RANK(PlayerGameData[[#This Row],[PointTieBreak]],PlayerGameData[PointTieBreak],1)</f>
        <v>216</v>
      </c>
      <c r="AO141" s="8">
        <f ca="1">RANK(PlayerGameData[[#This Row],[REB]],PlayerGameData[REB],0)+PlayerGameData[[#This Row],[VisibleOrder]]</f>
        <v>192</v>
      </c>
      <c r="AP141" s="8">
        <f ca="1">IF(COUNTIF(PlayerGameData[REBOrder],PlayerGameData[[#This Row],[REBOrder]])&gt;1,PlayerGameData[[#This Row],[PointRank]]/100+PlayerGameData[[#This Row],[REBOrder]],PlayerGameData[[#This Row],[REBOrder]])</f>
        <v>194.16</v>
      </c>
      <c r="AQ141" s="8">
        <f ca="1">RANK(PlayerGameData[[#This Row],[REBTieBreak]],PlayerGameData[REBTieBreak],1)</f>
        <v>224</v>
      </c>
      <c r="AR141" s="8">
        <f ca="1">RANK(PlayerGameData[[#This Row],[AST]],PlayerGameData[AST],0)+PlayerGameData[[#This Row],[VisibleOrder]]</f>
        <v>158</v>
      </c>
      <c r="AS141" s="8">
        <f ca="1">IF(COUNTIF(PlayerGameData[ASTOrder],PlayerGameData[[#This Row],[ASTOrder]])&gt;1,PlayerGameData[[#This Row],[PointRank]]/100+PlayerGameData[[#This Row],[ASTOrder]],PlayerGameData[[#This Row],[ASTOrder]])</f>
        <v>160.16</v>
      </c>
      <c r="AT141" s="8">
        <f ca="1">RANK(PlayerGameData[[#This Row],[ASTTieBreak]],PlayerGameData[ASTTieBreak],1)</f>
        <v>221</v>
      </c>
      <c r="AU141" s="8">
        <f ca="1">RANK(PlayerGameData[[#This Row],[STL]],PlayerGameData[STL],0)+PlayerGameData[[#This Row],[VisibleOrder]]</f>
        <v>143</v>
      </c>
      <c r="AV141" s="8">
        <f ca="1">IF(COUNTIF(PlayerGameData[STLOrder],PlayerGameData[[#This Row],[STLOrder]])&gt;1,PlayerGameData[[#This Row],[PointRank]]/100+PlayerGameData[[#This Row],[STLOrder]],PlayerGameData[[#This Row],[STLOrder]])</f>
        <v>145.16</v>
      </c>
      <c r="AW141" s="8">
        <f ca="1">RANK(PlayerGameData[[#This Row],[STLTieBreak]],PlayerGameData[STLTieBreak],1)</f>
        <v>217</v>
      </c>
      <c r="AX141" s="8">
        <f ca="1">RANK(PlayerGameData[[#This Row],[BLK]],PlayerGameData[BLK],0)+PlayerGameData[[#This Row],[VisibleOrder]]</f>
        <v>32</v>
      </c>
      <c r="AY141" s="8">
        <f ca="1">IF(COUNTIF(PlayerGameData[BLKOrder],PlayerGameData[[#This Row],[BLKOrder]])&gt;1,PlayerGameData[[#This Row],[PointRank]]/100+PlayerGameData[[#This Row],[BLKOrder]],PlayerGameData[[#This Row],[BLKOrder]])</f>
        <v>34.159999999999997</v>
      </c>
      <c r="AZ141" s="8">
        <f ca="1">RANK(PlayerGameData[[#This Row],[BLKTieBreak]],PlayerGameData[BLKTieBreak],1)</f>
        <v>216</v>
      </c>
      <c r="BA141" s="11">
        <f ca="1">IFERROR(IF(PlayerGameData[[#This Row],[FGA]]&gt;$AA$5,PlayerGameData[[#This Row],[FG%*]],PlayerGameData[[#This Row],[FG%*]]*-1),-2)</f>
        <v>-2</v>
      </c>
      <c r="BB141" s="8">
        <f ca="1">RANK(PlayerGameData[[#This Row],[EligFG]],PlayerGameData[EligFG],0)+PlayerGameData[[#This Row],[VisibleOrder]]</f>
        <v>215</v>
      </c>
      <c r="BC141" s="8">
        <f ca="1">IF(COUNTIF(PlayerGameData[EligFGOrder],PlayerGameData[[#This Row],[EligFGOrder]])&gt;1,PlayerGameData[[#This Row],[PointRank]]/100+PlayerGameData[[#This Row],[EligFGOrder]],PlayerGameData[[#This Row],[EligFGOrder]])</f>
        <v>217.16</v>
      </c>
      <c r="BD141" s="8">
        <f ca="1">RANK(PlayerGameData[[#This Row],[EligFGTieBreak]],PlayerGameData[EligFGTieBreak],1)</f>
        <v>216</v>
      </c>
      <c r="BE141" s="8" t="str">
        <f>Roster!$D$3</f>
        <v>East</v>
      </c>
      <c r="BF141" s="8" t="str">
        <f>Roster!$D$2</f>
        <v>Northeast</v>
      </c>
      <c r="BG141" s="8" t="str">
        <f>Roster!$D$4</f>
        <v>North</v>
      </c>
      <c r="BH141" s="197">
        <f ca="1">IFERROR(VLOOKUP(CONCATENATE(PlayerGameData[[#This Row],[Opponent]]," ",MONTH(PlayerGameData[[#This Row],[Date]]),"/",DAY(PlayerGameData[[#This Row],[Date]]),"/",YEAR(PlayerGameData[[#This Row],[Date]])),Table35[],2,FALSE),0)</f>
        <v>1</v>
      </c>
      <c r="BI141" s="197">
        <f ca="1">IF(PlayerGameData[[#This Row],[Visible]]=1,1,1000)</f>
        <v>1</v>
      </c>
      <c r="BJ141" s="197" t="e">
        <f ca="1">_xlfn.MAXIFS(TeamGameData[Win],TeamGameData[School, Opponent,Game'#],PlayerGameData[[#This Row],[School, Opponent,Game'#]])</f>
        <v>#NAME?</v>
      </c>
      <c r="BK141" s="197" t="e">
        <f ca="1">_xlfn.MAXIFS(TeamGameData[Loss],TeamGameData[School, Opponent,Game'#],PlayerGameData[[#This Row],[School, Opponent,Game'#]])</f>
        <v>#NAME?</v>
      </c>
    </row>
    <row r="142" spans="1:63" x14ac:dyDescent="0.25">
      <c r="A142" s="8" t="str">
        <f t="shared" ca="1" si="93"/>
        <v xml:space="preserve">, </v>
      </c>
      <c r="B142" s="8" t="str">
        <f>Roster!$B$1</f>
        <v>Upton</v>
      </c>
      <c r="C142" s="8" t="str">
        <f t="shared" ca="1" si="81"/>
        <v>Meeteetse</v>
      </c>
      <c r="D142" s="10">
        <f t="shared" ca="1" si="82"/>
        <v>44912</v>
      </c>
      <c r="E142" s="8">
        <f t="shared" ca="1" si="83"/>
        <v>0</v>
      </c>
      <c r="F142" s="8">
        <f t="shared" ca="1" si="84"/>
        <v>0</v>
      </c>
      <c r="G142" s="8">
        <f t="shared" ca="1" si="85"/>
        <v>0</v>
      </c>
      <c r="H142" s="8">
        <f t="shared" ca="1" si="86"/>
        <v>0</v>
      </c>
      <c r="I142" s="8">
        <f t="shared" ca="1" si="87"/>
        <v>0</v>
      </c>
      <c r="J142" s="8">
        <f t="shared" ca="1" si="88"/>
        <v>0</v>
      </c>
      <c r="K142" s="8">
        <f t="shared" ca="1" si="89"/>
        <v>0</v>
      </c>
      <c r="L142" s="8">
        <f t="shared" ca="1" si="94"/>
        <v>0</v>
      </c>
      <c r="M142" s="8">
        <f t="shared" ca="1" si="95"/>
        <v>0</v>
      </c>
      <c r="N142" s="8">
        <f t="shared" ca="1" si="96"/>
        <v>0</v>
      </c>
      <c r="O142" s="8">
        <f t="shared" ca="1" si="97"/>
        <v>0</v>
      </c>
      <c r="P142" s="8">
        <f t="shared" ca="1" si="98"/>
        <v>0</v>
      </c>
      <c r="Q142" s="8">
        <f t="shared" ca="1" si="99"/>
        <v>0</v>
      </c>
      <c r="R142" s="8">
        <f t="shared" ca="1" si="100"/>
        <v>0</v>
      </c>
      <c r="S142" s="8">
        <f t="shared" ca="1" si="101"/>
        <v>0</v>
      </c>
      <c r="T142" s="8">
        <f t="shared" ca="1" si="102"/>
        <v>0</v>
      </c>
      <c r="U142" s="8">
        <f t="shared" ca="1" si="103"/>
        <v>0</v>
      </c>
      <c r="V142" s="8">
        <f t="shared" ca="1" si="104"/>
        <v>0</v>
      </c>
      <c r="W142" s="11" t="str">
        <f t="shared" ca="1" si="105"/>
        <v/>
      </c>
      <c r="X142" s="11" t="str">
        <f t="shared" ca="1" si="106"/>
        <v/>
      </c>
      <c r="Y142" s="11" t="str">
        <f t="shared" ca="1" si="107"/>
        <v/>
      </c>
      <c r="Z142" s="11" t="str">
        <f t="shared" ca="1" si="108"/>
        <v/>
      </c>
      <c r="AA142" s="11" t="str">
        <f t="shared" ca="1" si="109"/>
        <v/>
      </c>
      <c r="AB142" s="47">
        <f ca="1">PlayerGameData[[#This Row],[3FGA]]+PlayerGameData[[#This Row],[2FGA]]</f>
        <v>0</v>
      </c>
      <c r="AC142" s="47">
        <f ca="1">PlayerGameData[[#This Row],[OFF REB]]+PlayerGameData[[#This Row],[DEF REB]]</f>
        <v>0</v>
      </c>
      <c r="AD142" s="8">
        <f t="shared" si="90"/>
        <v>6</v>
      </c>
      <c r="AE142" s="8" t="str">
        <f t="shared" ca="1" si="91"/>
        <v>,  - Meeteetse 12/17/2022</v>
      </c>
      <c r="AF142" s="8" t="str">
        <f t="shared" ca="1" si="110"/>
        <v/>
      </c>
      <c r="AG142" s="8" t="str">
        <f ca="1">IFERROR(IF(C142=0,"",IF(AND(VLOOKUP(PlayerGameData[[#This Row],[Opponent]],WYTeamInfo,2,FALSE)=Roster!$D$1,VLOOKUP(PlayerGameData[[#This Row],[Opponent]],WYTeamInfo,3,FALSE)=Roster!$D$2),"SR","")),"")</f>
        <v/>
      </c>
      <c r="AH142" s="8" t="str">
        <f>CONCATENATE(Roster!$D$1," ",Roster!$D$5)</f>
        <v>1A BB</v>
      </c>
      <c r="AI142" s="8" t="str">
        <f t="shared" ca="1" si="92"/>
        <v>Upton - Meeteetse 12/17/2022</v>
      </c>
      <c r="AJ142" s="8">
        <f ca="1">IFERROR(VLOOKUP(PlayerGameData[[#This Row],[School, Opponent,Game'#]],Table3[],2,FALSE),0)</f>
        <v>1</v>
      </c>
      <c r="AK142" s="8">
        <f ca="1">IF(PlayerGameData[[#This Row],[Visible]]=1,1,1000)</f>
        <v>1</v>
      </c>
      <c r="AL142" s="8">
        <f ca="1">RANK(PlayerGameData[[#This Row],[TL PTS]],PlayerGameData[TL PTS],0)+PlayerGameData[[#This Row],[VisibleOrder]]</f>
        <v>185</v>
      </c>
      <c r="AM142" s="8">
        <f ca="1">IF(COUNTIF(PlayerGameData[PointOrder],PlayerGameData[[#This Row],[PointOrder]])&gt;1,RANK(PlayerGameData[[#This Row],[FGA]],PlayerGameData[FGA],0)/100,0)+PlayerGameData[[#This Row],[PointOrder]]</f>
        <v>187.14</v>
      </c>
      <c r="AN142" s="8">
        <f ca="1">RANK(PlayerGameData[[#This Row],[PointTieBreak]],PlayerGameData[PointTieBreak],1)</f>
        <v>216</v>
      </c>
      <c r="AO142" s="8">
        <f ca="1">RANK(PlayerGameData[[#This Row],[REB]],PlayerGameData[REB],0)+PlayerGameData[[#This Row],[VisibleOrder]]</f>
        <v>192</v>
      </c>
      <c r="AP142" s="8">
        <f ca="1">IF(COUNTIF(PlayerGameData[REBOrder],PlayerGameData[[#This Row],[REBOrder]])&gt;1,PlayerGameData[[#This Row],[PointRank]]/100+PlayerGameData[[#This Row],[REBOrder]],PlayerGameData[[#This Row],[REBOrder]])</f>
        <v>194.16</v>
      </c>
      <c r="AQ142" s="8">
        <f ca="1">RANK(PlayerGameData[[#This Row],[REBTieBreak]],PlayerGameData[REBTieBreak],1)</f>
        <v>224</v>
      </c>
      <c r="AR142" s="8">
        <f ca="1">RANK(PlayerGameData[[#This Row],[AST]],PlayerGameData[AST],0)+PlayerGameData[[#This Row],[VisibleOrder]]</f>
        <v>158</v>
      </c>
      <c r="AS142" s="8">
        <f ca="1">IF(COUNTIF(PlayerGameData[ASTOrder],PlayerGameData[[#This Row],[ASTOrder]])&gt;1,PlayerGameData[[#This Row],[PointRank]]/100+PlayerGameData[[#This Row],[ASTOrder]],PlayerGameData[[#This Row],[ASTOrder]])</f>
        <v>160.16</v>
      </c>
      <c r="AT142" s="8">
        <f ca="1">RANK(PlayerGameData[[#This Row],[ASTTieBreak]],PlayerGameData[ASTTieBreak],1)</f>
        <v>221</v>
      </c>
      <c r="AU142" s="8">
        <f ca="1">RANK(PlayerGameData[[#This Row],[STL]],PlayerGameData[STL],0)+PlayerGameData[[#This Row],[VisibleOrder]]</f>
        <v>143</v>
      </c>
      <c r="AV142" s="8">
        <f ca="1">IF(COUNTIF(PlayerGameData[STLOrder],PlayerGameData[[#This Row],[STLOrder]])&gt;1,PlayerGameData[[#This Row],[PointRank]]/100+PlayerGameData[[#This Row],[STLOrder]],PlayerGameData[[#This Row],[STLOrder]])</f>
        <v>145.16</v>
      </c>
      <c r="AW142" s="8">
        <f ca="1">RANK(PlayerGameData[[#This Row],[STLTieBreak]],PlayerGameData[STLTieBreak],1)</f>
        <v>217</v>
      </c>
      <c r="AX142" s="8">
        <f ca="1">RANK(PlayerGameData[[#This Row],[BLK]],PlayerGameData[BLK],0)+PlayerGameData[[#This Row],[VisibleOrder]]</f>
        <v>32</v>
      </c>
      <c r="AY142" s="8">
        <f ca="1">IF(COUNTIF(PlayerGameData[BLKOrder],PlayerGameData[[#This Row],[BLKOrder]])&gt;1,PlayerGameData[[#This Row],[PointRank]]/100+PlayerGameData[[#This Row],[BLKOrder]],PlayerGameData[[#This Row],[BLKOrder]])</f>
        <v>34.159999999999997</v>
      </c>
      <c r="AZ142" s="8">
        <f ca="1">RANK(PlayerGameData[[#This Row],[BLKTieBreak]],PlayerGameData[BLKTieBreak],1)</f>
        <v>216</v>
      </c>
      <c r="BA142" s="11">
        <f ca="1">IFERROR(IF(PlayerGameData[[#This Row],[FGA]]&gt;$AA$5,PlayerGameData[[#This Row],[FG%*]],PlayerGameData[[#This Row],[FG%*]]*-1),-2)</f>
        <v>-2</v>
      </c>
      <c r="BB142" s="8">
        <f ca="1">RANK(PlayerGameData[[#This Row],[EligFG]],PlayerGameData[EligFG],0)+PlayerGameData[[#This Row],[VisibleOrder]]</f>
        <v>215</v>
      </c>
      <c r="BC142" s="8">
        <f ca="1">IF(COUNTIF(PlayerGameData[EligFGOrder],PlayerGameData[[#This Row],[EligFGOrder]])&gt;1,PlayerGameData[[#This Row],[PointRank]]/100+PlayerGameData[[#This Row],[EligFGOrder]],PlayerGameData[[#This Row],[EligFGOrder]])</f>
        <v>217.16</v>
      </c>
      <c r="BD142" s="8">
        <f ca="1">RANK(PlayerGameData[[#This Row],[EligFGTieBreak]],PlayerGameData[EligFGTieBreak],1)</f>
        <v>216</v>
      </c>
      <c r="BE142" s="8" t="str">
        <f>Roster!$D$3</f>
        <v>East</v>
      </c>
      <c r="BF142" s="8" t="str">
        <f>Roster!$D$2</f>
        <v>Northeast</v>
      </c>
      <c r="BG142" s="8" t="str">
        <f>Roster!$D$4</f>
        <v>North</v>
      </c>
      <c r="BH142" s="197">
        <f ca="1">IFERROR(VLOOKUP(CONCATENATE(PlayerGameData[[#This Row],[Opponent]]," ",MONTH(PlayerGameData[[#This Row],[Date]]),"/",DAY(PlayerGameData[[#This Row],[Date]]),"/",YEAR(PlayerGameData[[#This Row],[Date]])),Table35[],2,FALSE),0)</f>
        <v>1</v>
      </c>
      <c r="BI142" s="197">
        <f ca="1">IF(PlayerGameData[[#This Row],[Visible]]=1,1,1000)</f>
        <v>1</v>
      </c>
      <c r="BJ142" s="197" t="e">
        <f ca="1">_xlfn.MAXIFS(TeamGameData[Win],TeamGameData[School, Opponent,Game'#],PlayerGameData[[#This Row],[School, Opponent,Game'#]])</f>
        <v>#NAME?</v>
      </c>
      <c r="BK142" s="197" t="e">
        <f ca="1">_xlfn.MAXIFS(TeamGameData[Loss],TeamGameData[School, Opponent,Game'#],PlayerGameData[[#This Row],[School, Opponent,Game'#]])</f>
        <v>#NAME?</v>
      </c>
    </row>
    <row r="143" spans="1:63" x14ac:dyDescent="0.25">
      <c r="A143" s="8" t="str">
        <f t="shared" ca="1" si="93"/>
        <v xml:space="preserve">, </v>
      </c>
      <c r="B143" s="8" t="str">
        <f>Roster!$B$1</f>
        <v>Upton</v>
      </c>
      <c r="C143" s="8" t="str">
        <f t="shared" ca="1" si="81"/>
        <v>Meeteetse</v>
      </c>
      <c r="D143" s="10">
        <f t="shared" ca="1" si="82"/>
        <v>44912</v>
      </c>
      <c r="E143" s="8">
        <f t="shared" ca="1" si="83"/>
        <v>0</v>
      </c>
      <c r="F143" s="8">
        <f t="shared" ca="1" si="84"/>
        <v>0</v>
      </c>
      <c r="G143" s="8">
        <f t="shared" ca="1" si="85"/>
        <v>0</v>
      </c>
      <c r="H143" s="8">
        <f t="shared" ca="1" si="86"/>
        <v>0</v>
      </c>
      <c r="I143" s="8">
        <f t="shared" ca="1" si="87"/>
        <v>0</v>
      </c>
      <c r="J143" s="8">
        <f t="shared" ca="1" si="88"/>
        <v>0</v>
      </c>
      <c r="K143" s="8">
        <f t="shared" ca="1" si="89"/>
        <v>0</v>
      </c>
      <c r="L143" s="8">
        <f t="shared" ca="1" si="94"/>
        <v>0</v>
      </c>
      <c r="M143" s="8">
        <f t="shared" ca="1" si="95"/>
        <v>0</v>
      </c>
      <c r="N143" s="8">
        <f t="shared" ca="1" si="96"/>
        <v>0</v>
      </c>
      <c r="O143" s="8">
        <f t="shared" ca="1" si="97"/>
        <v>0</v>
      </c>
      <c r="P143" s="8">
        <f t="shared" ca="1" si="98"/>
        <v>0</v>
      </c>
      <c r="Q143" s="8">
        <f t="shared" ca="1" si="99"/>
        <v>0</v>
      </c>
      <c r="R143" s="8">
        <f t="shared" ca="1" si="100"/>
        <v>0</v>
      </c>
      <c r="S143" s="8">
        <f t="shared" ca="1" si="101"/>
        <v>0</v>
      </c>
      <c r="T143" s="8">
        <f t="shared" ca="1" si="102"/>
        <v>0</v>
      </c>
      <c r="U143" s="8">
        <f t="shared" ca="1" si="103"/>
        <v>0</v>
      </c>
      <c r="V143" s="8">
        <f t="shared" ca="1" si="104"/>
        <v>0</v>
      </c>
      <c r="W143" s="11" t="str">
        <f t="shared" ca="1" si="105"/>
        <v/>
      </c>
      <c r="X143" s="11" t="str">
        <f t="shared" ca="1" si="106"/>
        <v/>
      </c>
      <c r="Y143" s="11" t="str">
        <f t="shared" ca="1" si="107"/>
        <v/>
      </c>
      <c r="Z143" s="11" t="str">
        <f t="shared" ca="1" si="108"/>
        <v/>
      </c>
      <c r="AA143" s="11" t="str">
        <f t="shared" ca="1" si="109"/>
        <v/>
      </c>
      <c r="AB143" s="47">
        <f ca="1">PlayerGameData[[#This Row],[3FGA]]+PlayerGameData[[#This Row],[2FGA]]</f>
        <v>0</v>
      </c>
      <c r="AC143" s="47">
        <f ca="1">PlayerGameData[[#This Row],[OFF REB]]+PlayerGameData[[#This Row],[DEF REB]]</f>
        <v>0</v>
      </c>
      <c r="AD143" s="8">
        <f t="shared" si="90"/>
        <v>6</v>
      </c>
      <c r="AE143" s="8" t="str">
        <f t="shared" ca="1" si="91"/>
        <v>,  - Meeteetse 12/17/2022</v>
      </c>
      <c r="AF143" s="8" t="str">
        <f t="shared" ca="1" si="110"/>
        <v/>
      </c>
      <c r="AG143" s="8" t="str">
        <f ca="1">IFERROR(IF(C143=0,"",IF(AND(VLOOKUP(PlayerGameData[[#This Row],[Opponent]],WYTeamInfo,2,FALSE)=Roster!$D$1,VLOOKUP(PlayerGameData[[#This Row],[Opponent]],WYTeamInfo,3,FALSE)=Roster!$D$2),"SR","")),"")</f>
        <v/>
      </c>
      <c r="AH143" s="8" t="str">
        <f>CONCATENATE(Roster!$D$1," ",Roster!$D$5)</f>
        <v>1A BB</v>
      </c>
      <c r="AI143" s="8" t="str">
        <f t="shared" ca="1" si="92"/>
        <v>Upton - Meeteetse 12/17/2022</v>
      </c>
      <c r="AJ143" s="8">
        <f ca="1">IFERROR(VLOOKUP(PlayerGameData[[#This Row],[School, Opponent,Game'#]],Table3[],2,FALSE),0)</f>
        <v>1</v>
      </c>
      <c r="AK143" s="8">
        <f ca="1">IF(PlayerGameData[[#This Row],[Visible]]=1,1,1000)</f>
        <v>1</v>
      </c>
      <c r="AL143" s="8">
        <f ca="1">RANK(PlayerGameData[[#This Row],[TL PTS]],PlayerGameData[TL PTS],0)+PlayerGameData[[#This Row],[VisibleOrder]]</f>
        <v>185</v>
      </c>
      <c r="AM143" s="8">
        <f ca="1">IF(COUNTIF(PlayerGameData[PointOrder],PlayerGameData[[#This Row],[PointOrder]])&gt;1,RANK(PlayerGameData[[#This Row],[FGA]],PlayerGameData[FGA],0)/100,0)+PlayerGameData[[#This Row],[PointOrder]]</f>
        <v>187.14</v>
      </c>
      <c r="AN143" s="8">
        <f ca="1">RANK(PlayerGameData[[#This Row],[PointTieBreak]],PlayerGameData[PointTieBreak],1)</f>
        <v>216</v>
      </c>
      <c r="AO143" s="8">
        <f ca="1">RANK(PlayerGameData[[#This Row],[REB]],PlayerGameData[REB],0)+PlayerGameData[[#This Row],[VisibleOrder]]</f>
        <v>192</v>
      </c>
      <c r="AP143" s="8">
        <f ca="1">IF(COUNTIF(PlayerGameData[REBOrder],PlayerGameData[[#This Row],[REBOrder]])&gt;1,PlayerGameData[[#This Row],[PointRank]]/100+PlayerGameData[[#This Row],[REBOrder]],PlayerGameData[[#This Row],[REBOrder]])</f>
        <v>194.16</v>
      </c>
      <c r="AQ143" s="8">
        <f ca="1">RANK(PlayerGameData[[#This Row],[REBTieBreak]],PlayerGameData[REBTieBreak],1)</f>
        <v>224</v>
      </c>
      <c r="AR143" s="8">
        <f ca="1">RANK(PlayerGameData[[#This Row],[AST]],PlayerGameData[AST],0)+PlayerGameData[[#This Row],[VisibleOrder]]</f>
        <v>158</v>
      </c>
      <c r="AS143" s="8">
        <f ca="1">IF(COUNTIF(PlayerGameData[ASTOrder],PlayerGameData[[#This Row],[ASTOrder]])&gt;1,PlayerGameData[[#This Row],[PointRank]]/100+PlayerGameData[[#This Row],[ASTOrder]],PlayerGameData[[#This Row],[ASTOrder]])</f>
        <v>160.16</v>
      </c>
      <c r="AT143" s="8">
        <f ca="1">RANK(PlayerGameData[[#This Row],[ASTTieBreak]],PlayerGameData[ASTTieBreak],1)</f>
        <v>221</v>
      </c>
      <c r="AU143" s="8">
        <f ca="1">RANK(PlayerGameData[[#This Row],[STL]],PlayerGameData[STL],0)+PlayerGameData[[#This Row],[VisibleOrder]]</f>
        <v>143</v>
      </c>
      <c r="AV143" s="8">
        <f ca="1">IF(COUNTIF(PlayerGameData[STLOrder],PlayerGameData[[#This Row],[STLOrder]])&gt;1,PlayerGameData[[#This Row],[PointRank]]/100+PlayerGameData[[#This Row],[STLOrder]],PlayerGameData[[#This Row],[STLOrder]])</f>
        <v>145.16</v>
      </c>
      <c r="AW143" s="8">
        <f ca="1">RANK(PlayerGameData[[#This Row],[STLTieBreak]],PlayerGameData[STLTieBreak],1)</f>
        <v>217</v>
      </c>
      <c r="AX143" s="8">
        <f ca="1">RANK(PlayerGameData[[#This Row],[BLK]],PlayerGameData[BLK],0)+PlayerGameData[[#This Row],[VisibleOrder]]</f>
        <v>32</v>
      </c>
      <c r="AY143" s="8">
        <f ca="1">IF(COUNTIF(PlayerGameData[BLKOrder],PlayerGameData[[#This Row],[BLKOrder]])&gt;1,PlayerGameData[[#This Row],[PointRank]]/100+PlayerGameData[[#This Row],[BLKOrder]],PlayerGameData[[#This Row],[BLKOrder]])</f>
        <v>34.159999999999997</v>
      </c>
      <c r="AZ143" s="8">
        <f ca="1">RANK(PlayerGameData[[#This Row],[BLKTieBreak]],PlayerGameData[BLKTieBreak],1)</f>
        <v>216</v>
      </c>
      <c r="BA143" s="11">
        <f ca="1">IFERROR(IF(PlayerGameData[[#This Row],[FGA]]&gt;$AA$5,PlayerGameData[[#This Row],[FG%*]],PlayerGameData[[#This Row],[FG%*]]*-1),-2)</f>
        <v>-2</v>
      </c>
      <c r="BB143" s="8">
        <f ca="1">RANK(PlayerGameData[[#This Row],[EligFG]],PlayerGameData[EligFG],0)+PlayerGameData[[#This Row],[VisibleOrder]]</f>
        <v>215</v>
      </c>
      <c r="BC143" s="8">
        <f ca="1">IF(COUNTIF(PlayerGameData[EligFGOrder],PlayerGameData[[#This Row],[EligFGOrder]])&gt;1,PlayerGameData[[#This Row],[PointRank]]/100+PlayerGameData[[#This Row],[EligFGOrder]],PlayerGameData[[#This Row],[EligFGOrder]])</f>
        <v>217.16</v>
      </c>
      <c r="BD143" s="8">
        <f ca="1">RANK(PlayerGameData[[#This Row],[EligFGTieBreak]],PlayerGameData[EligFGTieBreak],1)</f>
        <v>216</v>
      </c>
      <c r="BE143" s="8" t="str">
        <f>Roster!$D$3</f>
        <v>East</v>
      </c>
      <c r="BF143" s="8" t="str">
        <f>Roster!$D$2</f>
        <v>Northeast</v>
      </c>
      <c r="BG143" s="8" t="str">
        <f>Roster!$D$4</f>
        <v>North</v>
      </c>
      <c r="BH143" s="197">
        <f ca="1">IFERROR(VLOOKUP(CONCATENATE(PlayerGameData[[#This Row],[Opponent]]," ",MONTH(PlayerGameData[[#This Row],[Date]]),"/",DAY(PlayerGameData[[#This Row],[Date]]),"/",YEAR(PlayerGameData[[#This Row],[Date]])),Table35[],2,FALSE),0)</f>
        <v>1</v>
      </c>
      <c r="BI143" s="197">
        <f ca="1">IF(PlayerGameData[[#This Row],[Visible]]=1,1,1000)</f>
        <v>1</v>
      </c>
      <c r="BJ143" s="197" t="e">
        <f ca="1">_xlfn.MAXIFS(TeamGameData[Win],TeamGameData[School, Opponent,Game'#],PlayerGameData[[#This Row],[School, Opponent,Game'#]])</f>
        <v>#NAME?</v>
      </c>
      <c r="BK143" s="197" t="e">
        <f ca="1">_xlfn.MAXIFS(TeamGameData[Loss],TeamGameData[School, Opponent,Game'#],PlayerGameData[[#This Row],[School, Opponent,Game'#]])</f>
        <v>#NAME?</v>
      </c>
    </row>
    <row r="144" spans="1:63" x14ac:dyDescent="0.25">
      <c r="A144" s="8" t="str">
        <f t="shared" ca="1" si="93"/>
        <v xml:space="preserve">, </v>
      </c>
      <c r="B144" s="8" t="str">
        <f>Roster!$B$1</f>
        <v>Upton</v>
      </c>
      <c r="C144" s="8" t="str">
        <f t="shared" ca="1" si="81"/>
        <v>Meeteetse</v>
      </c>
      <c r="D144" s="10">
        <f t="shared" ca="1" si="82"/>
        <v>44912</v>
      </c>
      <c r="E144" s="8">
        <f t="shared" ca="1" si="83"/>
        <v>0</v>
      </c>
      <c r="F144" s="8">
        <f t="shared" ca="1" si="84"/>
        <v>0</v>
      </c>
      <c r="G144" s="8">
        <f t="shared" ca="1" si="85"/>
        <v>0</v>
      </c>
      <c r="H144" s="8">
        <f t="shared" ca="1" si="86"/>
        <v>0</v>
      </c>
      <c r="I144" s="8">
        <f t="shared" ca="1" si="87"/>
        <v>0</v>
      </c>
      <c r="J144" s="8">
        <f t="shared" ca="1" si="88"/>
        <v>0</v>
      </c>
      <c r="K144" s="8">
        <f t="shared" ca="1" si="89"/>
        <v>0</v>
      </c>
      <c r="L144" s="8">
        <f t="shared" ca="1" si="94"/>
        <v>0</v>
      </c>
      <c r="M144" s="8">
        <f t="shared" ca="1" si="95"/>
        <v>0</v>
      </c>
      <c r="N144" s="8">
        <f t="shared" ca="1" si="96"/>
        <v>0</v>
      </c>
      <c r="O144" s="8">
        <f t="shared" ca="1" si="97"/>
        <v>0</v>
      </c>
      <c r="P144" s="8">
        <f t="shared" ca="1" si="98"/>
        <v>0</v>
      </c>
      <c r="Q144" s="8">
        <f t="shared" ca="1" si="99"/>
        <v>0</v>
      </c>
      <c r="R144" s="8">
        <f t="shared" ca="1" si="100"/>
        <v>0</v>
      </c>
      <c r="S144" s="8">
        <f t="shared" ca="1" si="101"/>
        <v>0</v>
      </c>
      <c r="T144" s="8">
        <f t="shared" ca="1" si="102"/>
        <v>0</v>
      </c>
      <c r="U144" s="8">
        <f t="shared" ca="1" si="103"/>
        <v>0</v>
      </c>
      <c r="V144" s="8">
        <f t="shared" ca="1" si="104"/>
        <v>0</v>
      </c>
      <c r="W144" s="11" t="str">
        <f t="shared" ca="1" si="105"/>
        <v/>
      </c>
      <c r="X144" s="11" t="str">
        <f t="shared" ca="1" si="106"/>
        <v/>
      </c>
      <c r="Y144" s="11" t="str">
        <f t="shared" ca="1" si="107"/>
        <v/>
      </c>
      <c r="Z144" s="11" t="str">
        <f t="shared" ca="1" si="108"/>
        <v/>
      </c>
      <c r="AA144" s="11" t="str">
        <f t="shared" ca="1" si="109"/>
        <v/>
      </c>
      <c r="AB144" s="47">
        <f ca="1">PlayerGameData[[#This Row],[3FGA]]+PlayerGameData[[#This Row],[2FGA]]</f>
        <v>0</v>
      </c>
      <c r="AC144" s="47">
        <f ca="1">PlayerGameData[[#This Row],[OFF REB]]+PlayerGameData[[#This Row],[DEF REB]]</f>
        <v>0</v>
      </c>
      <c r="AD144" s="8">
        <f t="shared" si="90"/>
        <v>6</v>
      </c>
      <c r="AE144" s="8" t="str">
        <f t="shared" ca="1" si="91"/>
        <v>,  - Meeteetse 12/17/2022</v>
      </c>
      <c r="AF144" s="8" t="str">
        <f t="shared" ca="1" si="110"/>
        <v/>
      </c>
      <c r="AG144" s="8" t="str">
        <f ca="1">IFERROR(IF(C144=0,"",IF(AND(VLOOKUP(PlayerGameData[[#This Row],[Opponent]],WYTeamInfo,2,FALSE)=Roster!$D$1,VLOOKUP(PlayerGameData[[#This Row],[Opponent]],WYTeamInfo,3,FALSE)=Roster!$D$2),"SR","")),"")</f>
        <v/>
      </c>
      <c r="AH144" s="8" t="str">
        <f>CONCATENATE(Roster!$D$1," ",Roster!$D$5)</f>
        <v>1A BB</v>
      </c>
      <c r="AI144" s="8" t="str">
        <f t="shared" ca="1" si="92"/>
        <v>Upton - Meeteetse 12/17/2022</v>
      </c>
      <c r="AJ144" s="8">
        <f ca="1">IFERROR(VLOOKUP(PlayerGameData[[#This Row],[School, Opponent,Game'#]],Table3[],2,FALSE),0)</f>
        <v>1</v>
      </c>
      <c r="AK144" s="8">
        <f ca="1">IF(PlayerGameData[[#This Row],[Visible]]=1,1,1000)</f>
        <v>1</v>
      </c>
      <c r="AL144" s="8">
        <f ca="1">RANK(PlayerGameData[[#This Row],[TL PTS]],PlayerGameData[TL PTS],0)+PlayerGameData[[#This Row],[VisibleOrder]]</f>
        <v>185</v>
      </c>
      <c r="AM144" s="8">
        <f ca="1">IF(COUNTIF(PlayerGameData[PointOrder],PlayerGameData[[#This Row],[PointOrder]])&gt;1,RANK(PlayerGameData[[#This Row],[FGA]],PlayerGameData[FGA],0)/100,0)+PlayerGameData[[#This Row],[PointOrder]]</f>
        <v>187.14</v>
      </c>
      <c r="AN144" s="8">
        <f ca="1">RANK(PlayerGameData[[#This Row],[PointTieBreak]],PlayerGameData[PointTieBreak],1)</f>
        <v>216</v>
      </c>
      <c r="AO144" s="8">
        <f ca="1">RANK(PlayerGameData[[#This Row],[REB]],PlayerGameData[REB],0)+PlayerGameData[[#This Row],[VisibleOrder]]</f>
        <v>192</v>
      </c>
      <c r="AP144" s="8">
        <f ca="1">IF(COUNTIF(PlayerGameData[REBOrder],PlayerGameData[[#This Row],[REBOrder]])&gt;1,PlayerGameData[[#This Row],[PointRank]]/100+PlayerGameData[[#This Row],[REBOrder]],PlayerGameData[[#This Row],[REBOrder]])</f>
        <v>194.16</v>
      </c>
      <c r="AQ144" s="8">
        <f ca="1">RANK(PlayerGameData[[#This Row],[REBTieBreak]],PlayerGameData[REBTieBreak],1)</f>
        <v>224</v>
      </c>
      <c r="AR144" s="8">
        <f ca="1">RANK(PlayerGameData[[#This Row],[AST]],PlayerGameData[AST],0)+PlayerGameData[[#This Row],[VisibleOrder]]</f>
        <v>158</v>
      </c>
      <c r="AS144" s="8">
        <f ca="1">IF(COUNTIF(PlayerGameData[ASTOrder],PlayerGameData[[#This Row],[ASTOrder]])&gt;1,PlayerGameData[[#This Row],[PointRank]]/100+PlayerGameData[[#This Row],[ASTOrder]],PlayerGameData[[#This Row],[ASTOrder]])</f>
        <v>160.16</v>
      </c>
      <c r="AT144" s="8">
        <f ca="1">RANK(PlayerGameData[[#This Row],[ASTTieBreak]],PlayerGameData[ASTTieBreak],1)</f>
        <v>221</v>
      </c>
      <c r="AU144" s="8">
        <f ca="1">RANK(PlayerGameData[[#This Row],[STL]],PlayerGameData[STL],0)+PlayerGameData[[#This Row],[VisibleOrder]]</f>
        <v>143</v>
      </c>
      <c r="AV144" s="8">
        <f ca="1">IF(COUNTIF(PlayerGameData[STLOrder],PlayerGameData[[#This Row],[STLOrder]])&gt;1,PlayerGameData[[#This Row],[PointRank]]/100+PlayerGameData[[#This Row],[STLOrder]],PlayerGameData[[#This Row],[STLOrder]])</f>
        <v>145.16</v>
      </c>
      <c r="AW144" s="8">
        <f ca="1">RANK(PlayerGameData[[#This Row],[STLTieBreak]],PlayerGameData[STLTieBreak],1)</f>
        <v>217</v>
      </c>
      <c r="AX144" s="8">
        <f ca="1">RANK(PlayerGameData[[#This Row],[BLK]],PlayerGameData[BLK],0)+PlayerGameData[[#This Row],[VisibleOrder]]</f>
        <v>32</v>
      </c>
      <c r="AY144" s="8">
        <f ca="1">IF(COUNTIF(PlayerGameData[BLKOrder],PlayerGameData[[#This Row],[BLKOrder]])&gt;1,PlayerGameData[[#This Row],[PointRank]]/100+PlayerGameData[[#This Row],[BLKOrder]],PlayerGameData[[#This Row],[BLKOrder]])</f>
        <v>34.159999999999997</v>
      </c>
      <c r="AZ144" s="8">
        <f ca="1">RANK(PlayerGameData[[#This Row],[BLKTieBreak]],PlayerGameData[BLKTieBreak],1)</f>
        <v>216</v>
      </c>
      <c r="BA144" s="11">
        <f ca="1">IFERROR(IF(PlayerGameData[[#This Row],[FGA]]&gt;$AA$5,PlayerGameData[[#This Row],[FG%*]],PlayerGameData[[#This Row],[FG%*]]*-1),-2)</f>
        <v>-2</v>
      </c>
      <c r="BB144" s="8">
        <f ca="1">RANK(PlayerGameData[[#This Row],[EligFG]],PlayerGameData[EligFG],0)+PlayerGameData[[#This Row],[VisibleOrder]]</f>
        <v>215</v>
      </c>
      <c r="BC144" s="8">
        <f ca="1">IF(COUNTIF(PlayerGameData[EligFGOrder],PlayerGameData[[#This Row],[EligFGOrder]])&gt;1,PlayerGameData[[#This Row],[PointRank]]/100+PlayerGameData[[#This Row],[EligFGOrder]],PlayerGameData[[#This Row],[EligFGOrder]])</f>
        <v>217.16</v>
      </c>
      <c r="BD144" s="8">
        <f ca="1">RANK(PlayerGameData[[#This Row],[EligFGTieBreak]],PlayerGameData[EligFGTieBreak],1)</f>
        <v>216</v>
      </c>
      <c r="BE144" s="8" t="str">
        <f>Roster!$D$3</f>
        <v>East</v>
      </c>
      <c r="BF144" s="8" t="str">
        <f>Roster!$D$2</f>
        <v>Northeast</v>
      </c>
      <c r="BG144" s="8" t="str">
        <f>Roster!$D$4</f>
        <v>North</v>
      </c>
      <c r="BH144" s="197">
        <f ca="1">IFERROR(VLOOKUP(CONCATENATE(PlayerGameData[[#This Row],[Opponent]]," ",MONTH(PlayerGameData[[#This Row],[Date]]),"/",DAY(PlayerGameData[[#This Row],[Date]]),"/",YEAR(PlayerGameData[[#This Row],[Date]])),Table35[],2,FALSE),0)</f>
        <v>1</v>
      </c>
      <c r="BI144" s="197">
        <f ca="1">IF(PlayerGameData[[#This Row],[Visible]]=1,1,1000)</f>
        <v>1</v>
      </c>
      <c r="BJ144" s="197" t="e">
        <f ca="1">_xlfn.MAXIFS(TeamGameData[Win],TeamGameData[School, Opponent,Game'#],PlayerGameData[[#This Row],[School, Opponent,Game'#]])</f>
        <v>#NAME?</v>
      </c>
      <c r="BK144" s="197" t="e">
        <f ca="1">_xlfn.MAXIFS(TeamGameData[Loss],TeamGameData[School, Opponent,Game'#],PlayerGameData[[#This Row],[School, Opponent,Game'#]])</f>
        <v>#NAME?</v>
      </c>
    </row>
    <row r="145" spans="1:63" x14ac:dyDescent="0.25">
      <c r="A145" s="8" t="str">
        <f t="shared" ca="1" si="93"/>
        <v xml:space="preserve">, </v>
      </c>
      <c r="B145" s="8" t="str">
        <f>Roster!$B$1</f>
        <v>Upton</v>
      </c>
      <c r="C145" s="8" t="str">
        <f t="shared" ca="1" si="81"/>
        <v>Meeteetse</v>
      </c>
      <c r="D145" s="10">
        <f t="shared" ca="1" si="82"/>
        <v>44912</v>
      </c>
      <c r="E145" s="8">
        <f t="shared" ca="1" si="83"/>
        <v>0</v>
      </c>
      <c r="F145" s="8">
        <f t="shared" ca="1" si="84"/>
        <v>0</v>
      </c>
      <c r="G145" s="8">
        <f t="shared" ca="1" si="85"/>
        <v>0</v>
      </c>
      <c r="H145" s="8">
        <f t="shared" ca="1" si="86"/>
        <v>0</v>
      </c>
      <c r="I145" s="8">
        <f t="shared" ca="1" si="87"/>
        <v>0</v>
      </c>
      <c r="J145" s="8">
        <f t="shared" ca="1" si="88"/>
        <v>0</v>
      </c>
      <c r="K145" s="8">
        <f t="shared" ca="1" si="89"/>
        <v>0</v>
      </c>
      <c r="L145" s="8">
        <f t="shared" ca="1" si="94"/>
        <v>0</v>
      </c>
      <c r="M145" s="8">
        <f t="shared" ca="1" si="95"/>
        <v>0</v>
      </c>
      <c r="N145" s="8">
        <f t="shared" ca="1" si="96"/>
        <v>0</v>
      </c>
      <c r="O145" s="8">
        <f t="shared" ca="1" si="97"/>
        <v>0</v>
      </c>
      <c r="P145" s="8">
        <f t="shared" ca="1" si="98"/>
        <v>0</v>
      </c>
      <c r="Q145" s="8">
        <f t="shared" ca="1" si="99"/>
        <v>0</v>
      </c>
      <c r="R145" s="8">
        <f t="shared" ca="1" si="100"/>
        <v>0</v>
      </c>
      <c r="S145" s="8">
        <f t="shared" ca="1" si="101"/>
        <v>0</v>
      </c>
      <c r="T145" s="8">
        <f t="shared" ca="1" si="102"/>
        <v>0</v>
      </c>
      <c r="U145" s="8">
        <f t="shared" ca="1" si="103"/>
        <v>0</v>
      </c>
      <c r="V145" s="8">
        <f t="shared" ca="1" si="104"/>
        <v>0</v>
      </c>
      <c r="W145" s="11" t="str">
        <f t="shared" ca="1" si="105"/>
        <v/>
      </c>
      <c r="X145" s="11" t="str">
        <f t="shared" ca="1" si="106"/>
        <v/>
      </c>
      <c r="Y145" s="11" t="str">
        <f t="shared" ca="1" si="107"/>
        <v/>
      </c>
      <c r="Z145" s="11" t="str">
        <f t="shared" ca="1" si="108"/>
        <v/>
      </c>
      <c r="AA145" s="11" t="str">
        <f t="shared" ca="1" si="109"/>
        <v/>
      </c>
      <c r="AB145" s="47">
        <f ca="1">PlayerGameData[[#This Row],[3FGA]]+PlayerGameData[[#This Row],[2FGA]]</f>
        <v>0</v>
      </c>
      <c r="AC145" s="47">
        <f ca="1">PlayerGameData[[#This Row],[OFF REB]]+PlayerGameData[[#This Row],[DEF REB]]</f>
        <v>0</v>
      </c>
      <c r="AD145" s="8">
        <f t="shared" si="90"/>
        <v>6</v>
      </c>
      <c r="AE145" s="8" t="str">
        <f t="shared" ca="1" si="91"/>
        <v>,  - Meeteetse 12/17/2022</v>
      </c>
      <c r="AF145" s="8" t="str">
        <f t="shared" ca="1" si="110"/>
        <v/>
      </c>
      <c r="AG145" s="8" t="str">
        <f ca="1">IFERROR(IF(C145=0,"",IF(AND(VLOOKUP(PlayerGameData[[#This Row],[Opponent]],WYTeamInfo,2,FALSE)=Roster!$D$1,VLOOKUP(PlayerGameData[[#This Row],[Opponent]],WYTeamInfo,3,FALSE)=Roster!$D$2),"SR","")),"")</f>
        <v/>
      </c>
      <c r="AH145" s="8" t="str">
        <f>CONCATENATE(Roster!$D$1," ",Roster!$D$5)</f>
        <v>1A BB</v>
      </c>
      <c r="AI145" s="8" t="str">
        <f t="shared" ca="1" si="92"/>
        <v>Upton - Meeteetse 12/17/2022</v>
      </c>
      <c r="AJ145" s="8">
        <f ca="1">IFERROR(VLOOKUP(PlayerGameData[[#This Row],[School, Opponent,Game'#]],Table3[],2,FALSE),0)</f>
        <v>1</v>
      </c>
      <c r="AK145" s="8">
        <f ca="1">IF(PlayerGameData[[#This Row],[Visible]]=1,1,1000)</f>
        <v>1</v>
      </c>
      <c r="AL145" s="8">
        <f ca="1">RANK(PlayerGameData[[#This Row],[TL PTS]],PlayerGameData[TL PTS],0)+PlayerGameData[[#This Row],[VisibleOrder]]</f>
        <v>185</v>
      </c>
      <c r="AM145" s="8">
        <f ca="1">IF(COUNTIF(PlayerGameData[PointOrder],PlayerGameData[[#This Row],[PointOrder]])&gt;1,RANK(PlayerGameData[[#This Row],[FGA]],PlayerGameData[FGA],0)/100,0)+PlayerGameData[[#This Row],[PointOrder]]</f>
        <v>187.14</v>
      </c>
      <c r="AN145" s="8">
        <f ca="1">RANK(PlayerGameData[[#This Row],[PointTieBreak]],PlayerGameData[PointTieBreak],1)</f>
        <v>216</v>
      </c>
      <c r="AO145" s="8">
        <f ca="1">RANK(PlayerGameData[[#This Row],[REB]],PlayerGameData[REB],0)+PlayerGameData[[#This Row],[VisibleOrder]]</f>
        <v>192</v>
      </c>
      <c r="AP145" s="8">
        <f ca="1">IF(COUNTIF(PlayerGameData[REBOrder],PlayerGameData[[#This Row],[REBOrder]])&gt;1,PlayerGameData[[#This Row],[PointRank]]/100+PlayerGameData[[#This Row],[REBOrder]],PlayerGameData[[#This Row],[REBOrder]])</f>
        <v>194.16</v>
      </c>
      <c r="AQ145" s="8">
        <f ca="1">RANK(PlayerGameData[[#This Row],[REBTieBreak]],PlayerGameData[REBTieBreak],1)</f>
        <v>224</v>
      </c>
      <c r="AR145" s="8">
        <f ca="1">RANK(PlayerGameData[[#This Row],[AST]],PlayerGameData[AST],0)+PlayerGameData[[#This Row],[VisibleOrder]]</f>
        <v>158</v>
      </c>
      <c r="AS145" s="8">
        <f ca="1">IF(COUNTIF(PlayerGameData[ASTOrder],PlayerGameData[[#This Row],[ASTOrder]])&gt;1,PlayerGameData[[#This Row],[PointRank]]/100+PlayerGameData[[#This Row],[ASTOrder]],PlayerGameData[[#This Row],[ASTOrder]])</f>
        <v>160.16</v>
      </c>
      <c r="AT145" s="8">
        <f ca="1">RANK(PlayerGameData[[#This Row],[ASTTieBreak]],PlayerGameData[ASTTieBreak],1)</f>
        <v>221</v>
      </c>
      <c r="AU145" s="8">
        <f ca="1">RANK(PlayerGameData[[#This Row],[STL]],PlayerGameData[STL],0)+PlayerGameData[[#This Row],[VisibleOrder]]</f>
        <v>143</v>
      </c>
      <c r="AV145" s="8">
        <f ca="1">IF(COUNTIF(PlayerGameData[STLOrder],PlayerGameData[[#This Row],[STLOrder]])&gt;1,PlayerGameData[[#This Row],[PointRank]]/100+PlayerGameData[[#This Row],[STLOrder]],PlayerGameData[[#This Row],[STLOrder]])</f>
        <v>145.16</v>
      </c>
      <c r="AW145" s="8">
        <f ca="1">RANK(PlayerGameData[[#This Row],[STLTieBreak]],PlayerGameData[STLTieBreak],1)</f>
        <v>217</v>
      </c>
      <c r="AX145" s="8">
        <f ca="1">RANK(PlayerGameData[[#This Row],[BLK]],PlayerGameData[BLK],0)+PlayerGameData[[#This Row],[VisibleOrder]]</f>
        <v>32</v>
      </c>
      <c r="AY145" s="8">
        <f ca="1">IF(COUNTIF(PlayerGameData[BLKOrder],PlayerGameData[[#This Row],[BLKOrder]])&gt;1,PlayerGameData[[#This Row],[PointRank]]/100+PlayerGameData[[#This Row],[BLKOrder]],PlayerGameData[[#This Row],[BLKOrder]])</f>
        <v>34.159999999999997</v>
      </c>
      <c r="AZ145" s="8">
        <f ca="1">RANK(PlayerGameData[[#This Row],[BLKTieBreak]],PlayerGameData[BLKTieBreak],1)</f>
        <v>216</v>
      </c>
      <c r="BA145" s="11">
        <f ca="1">IFERROR(IF(PlayerGameData[[#This Row],[FGA]]&gt;$AA$5,PlayerGameData[[#This Row],[FG%*]],PlayerGameData[[#This Row],[FG%*]]*-1),-2)</f>
        <v>-2</v>
      </c>
      <c r="BB145" s="8">
        <f ca="1">RANK(PlayerGameData[[#This Row],[EligFG]],PlayerGameData[EligFG],0)+PlayerGameData[[#This Row],[VisibleOrder]]</f>
        <v>215</v>
      </c>
      <c r="BC145" s="8">
        <f ca="1">IF(COUNTIF(PlayerGameData[EligFGOrder],PlayerGameData[[#This Row],[EligFGOrder]])&gt;1,PlayerGameData[[#This Row],[PointRank]]/100+PlayerGameData[[#This Row],[EligFGOrder]],PlayerGameData[[#This Row],[EligFGOrder]])</f>
        <v>217.16</v>
      </c>
      <c r="BD145" s="8">
        <f ca="1">RANK(PlayerGameData[[#This Row],[EligFGTieBreak]],PlayerGameData[EligFGTieBreak],1)</f>
        <v>216</v>
      </c>
      <c r="BE145" s="8" t="str">
        <f>Roster!$D$3</f>
        <v>East</v>
      </c>
      <c r="BF145" s="8" t="str">
        <f>Roster!$D$2</f>
        <v>Northeast</v>
      </c>
      <c r="BG145" s="8" t="str">
        <f>Roster!$D$4</f>
        <v>North</v>
      </c>
      <c r="BH145" s="197">
        <f ca="1">IFERROR(VLOOKUP(CONCATENATE(PlayerGameData[[#This Row],[Opponent]]," ",MONTH(PlayerGameData[[#This Row],[Date]]),"/",DAY(PlayerGameData[[#This Row],[Date]]),"/",YEAR(PlayerGameData[[#This Row],[Date]])),Table35[],2,FALSE),0)</f>
        <v>1</v>
      </c>
      <c r="BI145" s="197">
        <f ca="1">IF(PlayerGameData[[#This Row],[Visible]]=1,1,1000)</f>
        <v>1</v>
      </c>
      <c r="BJ145" s="197" t="e">
        <f ca="1">_xlfn.MAXIFS(TeamGameData[Win],TeamGameData[School, Opponent,Game'#],PlayerGameData[[#This Row],[School, Opponent,Game'#]])</f>
        <v>#NAME?</v>
      </c>
      <c r="BK145" s="197" t="e">
        <f ca="1">_xlfn.MAXIFS(TeamGameData[Loss],TeamGameData[School, Opponent,Game'#],PlayerGameData[[#This Row],[School, Opponent,Game'#]])</f>
        <v>#NAME?</v>
      </c>
    </row>
    <row r="146" spans="1:63" x14ac:dyDescent="0.25">
      <c r="A146" s="8" t="str">
        <f t="shared" ca="1" si="93"/>
        <v xml:space="preserve">, </v>
      </c>
      <c r="B146" s="8" t="str">
        <f>Roster!$B$1</f>
        <v>Upton</v>
      </c>
      <c r="C146" s="8" t="str">
        <f t="shared" ca="1" si="81"/>
        <v>Meeteetse</v>
      </c>
      <c r="D146" s="10">
        <f t="shared" ca="1" si="82"/>
        <v>44912</v>
      </c>
      <c r="E146" s="8">
        <f t="shared" ca="1" si="83"/>
        <v>0</v>
      </c>
      <c r="F146" s="8">
        <f t="shared" ca="1" si="84"/>
        <v>0</v>
      </c>
      <c r="G146" s="8">
        <f t="shared" ca="1" si="85"/>
        <v>0</v>
      </c>
      <c r="H146" s="8">
        <f t="shared" ca="1" si="86"/>
        <v>0</v>
      </c>
      <c r="I146" s="8">
        <f t="shared" ca="1" si="87"/>
        <v>0</v>
      </c>
      <c r="J146" s="8">
        <f t="shared" ca="1" si="88"/>
        <v>0</v>
      </c>
      <c r="K146" s="8">
        <f t="shared" ca="1" si="89"/>
        <v>0</v>
      </c>
      <c r="L146" s="8">
        <f t="shared" ca="1" si="94"/>
        <v>0</v>
      </c>
      <c r="M146" s="8">
        <f t="shared" ca="1" si="95"/>
        <v>0</v>
      </c>
      <c r="N146" s="8">
        <f t="shared" ca="1" si="96"/>
        <v>0</v>
      </c>
      <c r="O146" s="8">
        <f t="shared" ca="1" si="97"/>
        <v>0</v>
      </c>
      <c r="P146" s="8">
        <f t="shared" ca="1" si="98"/>
        <v>0</v>
      </c>
      <c r="Q146" s="8">
        <f t="shared" ca="1" si="99"/>
        <v>0</v>
      </c>
      <c r="R146" s="8">
        <f t="shared" ca="1" si="100"/>
        <v>0</v>
      </c>
      <c r="S146" s="8">
        <f t="shared" ca="1" si="101"/>
        <v>0</v>
      </c>
      <c r="T146" s="8">
        <f t="shared" ca="1" si="102"/>
        <v>0</v>
      </c>
      <c r="U146" s="8">
        <f t="shared" ca="1" si="103"/>
        <v>0</v>
      </c>
      <c r="V146" s="8">
        <f t="shared" ca="1" si="104"/>
        <v>0</v>
      </c>
      <c r="W146" s="11" t="str">
        <f t="shared" ca="1" si="105"/>
        <v/>
      </c>
      <c r="X146" s="11" t="str">
        <f t="shared" ca="1" si="106"/>
        <v/>
      </c>
      <c r="Y146" s="11" t="str">
        <f t="shared" ca="1" si="107"/>
        <v/>
      </c>
      <c r="Z146" s="11" t="str">
        <f t="shared" ca="1" si="108"/>
        <v/>
      </c>
      <c r="AA146" s="11" t="str">
        <f t="shared" ca="1" si="109"/>
        <v/>
      </c>
      <c r="AB146" s="47">
        <f ca="1">PlayerGameData[[#This Row],[3FGA]]+PlayerGameData[[#This Row],[2FGA]]</f>
        <v>0</v>
      </c>
      <c r="AC146" s="47">
        <f ca="1">PlayerGameData[[#This Row],[OFF REB]]+PlayerGameData[[#This Row],[DEF REB]]</f>
        <v>0</v>
      </c>
      <c r="AD146" s="8">
        <f t="shared" si="90"/>
        <v>6</v>
      </c>
      <c r="AE146" s="8" t="str">
        <f t="shared" ca="1" si="91"/>
        <v>,  - Meeteetse 12/17/2022</v>
      </c>
      <c r="AF146" s="8" t="str">
        <f t="shared" ca="1" si="110"/>
        <v/>
      </c>
      <c r="AG146" s="8" t="str">
        <f ca="1">IFERROR(IF(C146=0,"",IF(AND(VLOOKUP(PlayerGameData[[#This Row],[Opponent]],WYTeamInfo,2,FALSE)=Roster!$D$1,VLOOKUP(PlayerGameData[[#This Row],[Opponent]],WYTeamInfo,3,FALSE)=Roster!$D$2),"SR","")),"")</f>
        <v/>
      </c>
      <c r="AH146" s="8" t="str">
        <f>CONCATENATE(Roster!$D$1," ",Roster!$D$5)</f>
        <v>1A BB</v>
      </c>
      <c r="AI146" s="8" t="str">
        <f t="shared" ca="1" si="92"/>
        <v>Upton - Meeteetse 12/17/2022</v>
      </c>
      <c r="AJ146" s="8">
        <f ca="1">IFERROR(VLOOKUP(PlayerGameData[[#This Row],[School, Opponent,Game'#]],Table3[],2,FALSE),0)</f>
        <v>1</v>
      </c>
      <c r="AK146" s="8">
        <f ca="1">IF(PlayerGameData[[#This Row],[Visible]]=1,1,1000)</f>
        <v>1</v>
      </c>
      <c r="AL146" s="8">
        <f ca="1">RANK(PlayerGameData[[#This Row],[TL PTS]],PlayerGameData[TL PTS],0)+PlayerGameData[[#This Row],[VisibleOrder]]</f>
        <v>185</v>
      </c>
      <c r="AM146" s="8">
        <f ca="1">IF(COUNTIF(PlayerGameData[PointOrder],PlayerGameData[[#This Row],[PointOrder]])&gt;1,RANK(PlayerGameData[[#This Row],[FGA]],PlayerGameData[FGA],0)/100,0)+PlayerGameData[[#This Row],[PointOrder]]</f>
        <v>187.14</v>
      </c>
      <c r="AN146" s="8">
        <f ca="1">RANK(PlayerGameData[[#This Row],[PointTieBreak]],PlayerGameData[PointTieBreak],1)</f>
        <v>216</v>
      </c>
      <c r="AO146" s="8">
        <f ca="1">RANK(PlayerGameData[[#This Row],[REB]],PlayerGameData[REB],0)+PlayerGameData[[#This Row],[VisibleOrder]]</f>
        <v>192</v>
      </c>
      <c r="AP146" s="8">
        <f ca="1">IF(COUNTIF(PlayerGameData[REBOrder],PlayerGameData[[#This Row],[REBOrder]])&gt;1,PlayerGameData[[#This Row],[PointRank]]/100+PlayerGameData[[#This Row],[REBOrder]],PlayerGameData[[#This Row],[REBOrder]])</f>
        <v>194.16</v>
      </c>
      <c r="AQ146" s="8">
        <f ca="1">RANK(PlayerGameData[[#This Row],[REBTieBreak]],PlayerGameData[REBTieBreak],1)</f>
        <v>224</v>
      </c>
      <c r="AR146" s="8">
        <f ca="1">RANK(PlayerGameData[[#This Row],[AST]],PlayerGameData[AST],0)+PlayerGameData[[#This Row],[VisibleOrder]]</f>
        <v>158</v>
      </c>
      <c r="AS146" s="8">
        <f ca="1">IF(COUNTIF(PlayerGameData[ASTOrder],PlayerGameData[[#This Row],[ASTOrder]])&gt;1,PlayerGameData[[#This Row],[PointRank]]/100+PlayerGameData[[#This Row],[ASTOrder]],PlayerGameData[[#This Row],[ASTOrder]])</f>
        <v>160.16</v>
      </c>
      <c r="AT146" s="8">
        <f ca="1">RANK(PlayerGameData[[#This Row],[ASTTieBreak]],PlayerGameData[ASTTieBreak],1)</f>
        <v>221</v>
      </c>
      <c r="AU146" s="8">
        <f ca="1">RANK(PlayerGameData[[#This Row],[STL]],PlayerGameData[STL],0)+PlayerGameData[[#This Row],[VisibleOrder]]</f>
        <v>143</v>
      </c>
      <c r="AV146" s="8">
        <f ca="1">IF(COUNTIF(PlayerGameData[STLOrder],PlayerGameData[[#This Row],[STLOrder]])&gt;1,PlayerGameData[[#This Row],[PointRank]]/100+PlayerGameData[[#This Row],[STLOrder]],PlayerGameData[[#This Row],[STLOrder]])</f>
        <v>145.16</v>
      </c>
      <c r="AW146" s="8">
        <f ca="1">RANK(PlayerGameData[[#This Row],[STLTieBreak]],PlayerGameData[STLTieBreak],1)</f>
        <v>217</v>
      </c>
      <c r="AX146" s="8">
        <f ca="1">RANK(PlayerGameData[[#This Row],[BLK]],PlayerGameData[BLK],0)+PlayerGameData[[#This Row],[VisibleOrder]]</f>
        <v>32</v>
      </c>
      <c r="AY146" s="8">
        <f ca="1">IF(COUNTIF(PlayerGameData[BLKOrder],PlayerGameData[[#This Row],[BLKOrder]])&gt;1,PlayerGameData[[#This Row],[PointRank]]/100+PlayerGameData[[#This Row],[BLKOrder]],PlayerGameData[[#This Row],[BLKOrder]])</f>
        <v>34.159999999999997</v>
      </c>
      <c r="AZ146" s="8">
        <f ca="1">RANK(PlayerGameData[[#This Row],[BLKTieBreak]],PlayerGameData[BLKTieBreak],1)</f>
        <v>216</v>
      </c>
      <c r="BA146" s="11">
        <f ca="1">IFERROR(IF(PlayerGameData[[#This Row],[FGA]]&gt;$AA$5,PlayerGameData[[#This Row],[FG%*]],PlayerGameData[[#This Row],[FG%*]]*-1),-2)</f>
        <v>-2</v>
      </c>
      <c r="BB146" s="8">
        <f ca="1">RANK(PlayerGameData[[#This Row],[EligFG]],PlayerGameData[EligFG],0)+PlayerGameData[[#This Row],[VisibleOrder]]</f>
        <v>215</v>
      </c>
      <c r="BC146" s="8">
        <f ca="1">IF(COUNTIF(PlayerGameData[EligFGOrder],PlayerGameData[[#This Row],[EligFGOrder]])&gt;1,PlayerGameData[[#This Row],[PointRank]]/100+PlayerGameData[[#This Row],[EligFGOrder]],PlayerGameData[[#This Row],[EligFGOrder]])</f>
        <v>217.16</v>
      </c>
      <c r="BD146" s="8">
        <f ca="1">RANK(PlayerGameData[[#This Row],[EligFGTieBreak]],PlayerGameData[EligFGTieBreak],1)</f>
        <v>216</v>
      </c>
      <c r="BE146" s="8" t="str">
        <f>Roster!$D$3</f>
        <v>East</v>
      </c>
      <c r="BF146" s="8" t="str">
        <f>Roster!$D$2</f>
        <v>Northeast</v>
      </c>
      <c r="BG146" s="8" t="str">
        <f>Roster!$D$4</f>
        <v>North</v>
      </c>
      <c r="BH146" s="197">
        <f ca="1">IFERROR(VLOOKUP(CONCATENATE(PlayerGameData[[#This Row],[Opponent]]," ",MONTH(PlayerGameData[[#This Row],[Date]]),"/",DAY(PlayerGameData[[#This Row],[Date]]),"/",YEAR(PlayerGameData[[#This Row],[Date]])),Table35[],2,FALSE),0)</f>
        <v>1</v>
      </c>
      <c r="BI146" s="197">
        <f ca="1">IF(PlayerGameData[[#This Row],[Visible]]=1,1,1000)</f>
        <v>1</v>
      </c>
      <c r="BJ146" s="197" t="e">
        <f ca="1">_xlfn.MAXIFS(TeamGameData[Win],TeamGameData[School, Opponent,Game'#],PlayerGameData[[#This Row],[School, Opponent,Game'#]])</f>
        <v>#NAME?</v>
      </c>
      <c r="BK146" s="197" t="e">
        <f ca="1">_xlfn.MAXIFS(TeamGameData[Loss],TeamGameData[School, Opponent,Game'#],PlayerGameData[[#This Row],[School, Opponent,Game'#]])</f>
        <v>#NAME?</v>
      </c>
    </row>
    <row r="147" spans="1:63" x14ac:dyDescent="0.25">
      <c r="A147" s="8" t="str">
        <f t="shared" ca="1" si="93"/>
        <v xml:space="preserve">, </v>
      </c>
      <c r="B147" s="8" t="str">
        <f>Roster!$B$1</f>
        <v>Upton</v>
      </c>
      <c r="C147" s="8" t="str">
        <f t="shared" ca="1" si="81"/>
        <v>Meeteetse</v>
      </c>
      <c r="D147" s="10">
        <f t="shared" ca="1" si="82"/>
        <v>44912</v>
      </c>
      <c r="E147" s="8">
        <f t="shared" ca="1" si="83"/>
        <v>0</v>
      </c>
      <c r="F147" s="8">
        <f t="shared" ca="1" si="84"/>
        <v>0</v>
      </c>
      <c r="G147" s="8">
        <f t="shared" ca="1" si="85"/>
        <v>0</v>
      </c>
      <c r="H147" s="8">
        <f t="shared" ca="1" si="86"/>
        <v>0</v>
      </c>
      <c r="I147" s="8">
        <f t="shared" ca="1" si="87"/>
        <v>0</v>
      </c>
      <c r="J147" s="8">
        <f t="shared" ca="1" si="88"/>
        <v>0</v>
      </c>
      <c r="K147" s="8">
        <f t="shared" ca="1" si="89"/>
        <v>0</v>
      </c>
      <c r="L147" s="8">
        <f t="shared" ca="1" si="94"/>
        <v>0</v>
      </c>
      <c r="M147" s="8">
        <f t="shared" ca="1" si="95"/>
        <v>0</v>
      </c>
      <c r="N147" s="8">
        <f t="shared" ca="1" si="96"/>
        <v>0</v>
      </c>
      <c r="O147" s="8">
        <f t="shared" ca="1" si="97"/>
        <v>0</v>
      </c>
      <c r="P147" s="8">
        <f t="shared" ca="1" si="98"/>
        <v>0</v>
      </c>
      <c r="Q147" s="8">
        <f t="shared" ca="1" si="99"/>
        <v>0</v>
      </c>
      <c r="R147" s="8">
        <f t="shared" ca="1" si="100"/>
        <v>0</v>
      </c>
      <c r="S147" s="8">
        <f t="shared" ca="1" si="101"/>
        <v>0</v>
      </c>
      <c r="T147" s="8">
        <f t="shared" ca="1" si="102"/>
        <v>0</v>
      </c>
      <c r="U147" s="8">
        <f t="shared" ca="1" si="103"/>
        <v>0</v>
      </c>
      <c r="V147" s="8">
        <f t="shared" ca="1" si="104"/>
        <v>0</v>
      </c>
      <c r="W147" s="11" t="str">
        <f t="shared" ca="1" si="105"/>
        <v/>
      </c>
      <c r="X147" s="11" t="str">
        <f t="shared" ca="1" si="106"/>
        <v/>
      </c>
      <c r="Y147" s="11" t="str">
        <f t="shared" ca="1" si="107"/>
        <v/>
      </c>
      <c r="Z147" s="11" t="str">
        <f t="shared" ca="1" si="108"/>
        <v/>
      </c>
      <c r="AA147" s="11" t="str">
        <f t="shared" ca="1" si="109"/>
        <v/>
      </c>
      <c r="AB147" s="47">
        <f ca="1">PlayerGameData[[#This Row],[3FGA]]+PlayerGameData[[#This Row],[2FGA]]</f>
        <v>0</v>
      </c>
      <c r="AC147" s="47">
        <f ca="1">PlayerGameData[[#This Row],[OFF REB]]+PlayerGameData[[#This Row],[DEF REB]]</f>
        <v>0</v>
      </c>
      <c r="AD147" s="8">
        <f t="shared" si="90"/>
        <v>6</v>
      </c>
      <c r="AE147" s="8" t="str">
        <f t="shared" ca="1" si="91"/>
        <v>,  - Meeteetse 12/17/2022</v>
      </c>
      <c r="AF147" s="8" t="str">
        <f t="shared" ca="1" si="110"/>
        <v/>
      </c>
      <c r="AG147" s="8" t="str">
        <f ca="1">IFERROR(IF(C147=0,"",IF(AND(VLOOKUP(PlayerGameData[[#This Row],[Opponent]],WYTeamInfo,2,FALSE)=Roster!$D$1,VLOOKUP(PlayerGameData[[#This Row],[Opponent]],WYTeamInfo,3,FALSE)=Roster!$D$2),"SR","")),"")</f>
        <v/>
      </c>
      <c r="AH147" s="8" t="str">
        <f>CONCATENATE(Roster!$D$1," ",Roster!$D$5)</f>
        <v>1A BB</v>
      </c>
      <c r="AI147" s="8" t="str">
        <f t="shared" ca="1" si="92"/>
        <v>Upton - Meeteetse 12/17/2022</v>
      </c>
      <c r="AJ147" s="8">
        <f ca="1">IFERROR(VLOOKUP(PlayerGameData[[#This Row],[School, Opponent,Game'#]],Table3[],2,FALSE),0)</f>
        <v>1</v>
      </c>
      <c r="AK147" s="8">
        <f ca="1">IF(PlayerGameData[[#This Row],[Visible]]=1,1,1000)</f>
        <v>1</v>
      </c>
      <c r="AL147" s="8">
        <f ca="1">RANK(PlayerGameData[[#This Row],[TL PTS]],PlayerGameData[TL PTS],0)+PlayerGameData[[#This Row],[VisibleOrder]]</f>
        <v>185</v>
      </c>
      <c r="AM147" s="8">
        <f ca="1">IF(COUNTIF(PlayerGameData[PointOrder],PlayerGameData[[#This Row],[PointOrder]])&gt;1,RANK(PlayerGameData[[#This Row],[FGA]],PlayerGameData[FGA],0)/100,0)+PlayerGameData[[#This Row],[PointOrder]]</f>
        <v>187.14</v>
      </c>
      <c r="AN147" s="8">
        <f ca="1">RANK(PlayerGameData[[#This Row],[PointTieBreak]],PlayerGameData[PointTieBreak],1)</f>
        <v>216</v>
      </c>
      <c r="AO147" s="8">
        <f ca="1">RANK(PlayerGameData[[#This Row],[REB]],PlayerGameData[REB],0)+PlayerGameData[[#This Row],[VisibleOrder]]</f>
        <v>192</v>
      </c>
      <c r="AP147" s="8">
        <f ca="1">IF(COUNTIF(PlayerGameData[REBOrder],PlayerGameData[[#This Row],[REBOrder]])&gt;1,PlayerGameData[[#This Row],[PointRank]]/100+PlayerGameData[[#This Row],[REBOrder]],PlayerGameData[[#This Row],[REBOrder]])</f>
        <v>194.16</v>
      </c>
      <c r="AQ147" s="8">
        <f ca="1">RANK(PlayerGameData[[#This Row],[REBTieBreak]],PlayerGameData[REBTieBreak],1)</f>
        <v>224</v>
      </c>
      <c r="AR147" s="8">
        <f ca="1">RANK(PlayerGameData[[#This Row],[AST]],PlayerGameData[AST],0)+PlayerGameData[[#This Row],[VisibleOrder]]</f>
        <v>158</v>
      </c>
      <c r="AS147" s="8">
        <f ca="1">IF(COUNTIF(PlayerGameData[ASTOrder],PlayerGameData[[#This Row],[ASTOrder]])&gt;1,PlayerGameData[[#This Row],[PointRank]]/100+PlayerGameData[[#This Row],[ASTOrder]],PlayerGameData[[#This Row],[ASTOrder]])</f>
        <v>160.16</v>
      </c>
      <c r="AT147" s="8">
        <f ca="1">RANK(PlayerGameData[[#This Row],[ASTTieBreak]],PlayerGameData[ASTTieBreak],1)</f>
        <v>221</v>
      </c>
      <c r="AU147" s="8">
        <f ca="1">RANK(PlayerGameData[[#This Row],[STL]],PlayerGameData[STL],0)+PlayerGameData[[#This Row],[VisibleOrder]]</f>
        <v>143</v>
      </c>
      <c r="AV147" s="8">
        <f ca="1">IF(COUNTIF(PlayerGameData[STLOrder],PlayerGameData[[#This Row],[STLOrder]])&gt;1,PlayerGameData[[#This Row],[PointRank]]/100+PlayerGameData[[#This Row],[STLOrder]],PlayerGameData[[#This Row],[STLOrder]])</f>
        <v>145.16</v>
      </c>
      <c r="AW147" s="8">
        <f ca="1">RANK(PlayerGameData[[#This Row],[STLTieBreak]],PlayerGameData[STLTieBreak],1)</f>
        <v>217</v>
      </c>
      <c r="AX147" s="8">
        <f ca="1">RANK(PlayerGameData[[#This Row],[BLK]],PlayerGameData[BLK],0)+PlayerGameData[[#This Row],[VisibleOrder]]</f>
        <v>32</v>
      </c>
      <c r="AY147" s="8">
        <f ca="1">IF(COUNTIF(PlayerGameData[BLKOrder],PlayerGameData[[#This Row],[BLKOrder]])&gt;1,PlayerGameData[[#This Row],[PointRank]]/100+PlayerGameData[[#This Row],[BLKOrder]],PlayerGameData[[#This Row],[BLKOrder]])</f>
        <v>34.159999999999997</v>
      </c>
      <c r="AZ147" s="8">
        <f ca="1">RANK(PlayerGameData[[#This Row],[BLKTieBreak]],PlayerGameData[BLKTieBreak],1)</f>
        <v>216</v>
      </c>
      <c r="BA147" s="11">
        <f ca="1">IFERROR(IF(PlayerGameData[[#This Row],[FGA]]&gt;$AA$5,PlayerGameData[[#This Row],[FG%*]],PlayerGameData[[#This Row],[FG%*]]*-1),-2)</f>
        <v>-2</v>
      </c>
      <c r="BB147" s="8">
        <f ca="1">RANK(PlayerGameData[[#This Row],[EligFG]],PlayerGameData[EligFG],0)+PlayerGameData[[#This Row],[VisibleOrder]]</f>
        <v>215</v>
      </c>
      <c r="BC147" s="8">
        <f ca="1">IF(COUNTIF(PlayerGameData[EligFGOrder],PlayerGameData[[#This Row],[EligFGOrder]])&gt;1,PlayerGameData[[#This Row],[PointRank]]/100+PlayerGameData[[#This Row],[EligFGOrder]],PlayerGameData[[#This Row],[EligFGOrder]])</f>
        <v>217.16</v>
      </c>
      <c r="BD147" s="8">
        <f ca="1">RANK(PlayerGameData[[#This Row],[EligFGTieBreak]],PlayerGameData[EligFGTieBreak],1)</f>
        <v>216</v>
      </c>
      <c r="BE147" s="8" t="str">
        <f>Roster!$D$3</f>
        <v>East</v>
      </c>
      <c r="BF147" s="8" t="str">
        <f>Roster!$D$2</f>
        <v>Northeast</v>
      </c>
      <c r="BG147" s="8" t="str">
        <f>Roster!$D$4</f>
        <v>North</v>
      </c>
      <c r="BH147" s="197">
        <f ca="1">IFERROR(VLOOKUP(CONCATENATE(PlayerGameData[[#This Row],[Opponent]]," ",MONTH(PlayerGameData[[#This Row],[Date]]),"/",DAY(PlayerGameData[[#This Row],[Date]]),"/",YEAR(PlayerGameData[[#This Row],[Date]])),Table35[],2,FALSE),0)</f>
        <v>1</v>
      </c>
      <c r="BI147" s="197">
        <f ca="1">IF(PlayerGameData[[#This Row],[Visible]]=1,1,1000)</f>
        <v>1</v>
      </c>
      <c r="BJ147" s="197" t="e">
        <f ca="1">_xlfn.MAXIFS(TeamGameData[Win],TeamGameData[School, Opponent,Game'#],PlayerGameData[[#This Row],[School, Opponent,Game'#]])</f>
        <v>#NAME?</v>
      </c>
      <c r="BK147" s="197" t="e">
        <f ca="1">_xlfn.MAXIFS(TeamGameData[Loss],TeamGameData[School, Opponent,Game'#],PlayerGameData[[#This Row],[School, Opponent,Game'#]])</f>
        <v>#NAME?</v>
      </c>
    </row>
    <row r="148" spans="1:63" x14ac:dyDescent="0.25">
      <c r="A148" s="8" t="str">
        <f t="shared" ca="1" si="93"/>
        <v xml:space="preserve">, </v>
      </c>
      <c r="B148" s="8" t="str">
        <f>Roster!$B$1</f>
        <v>Upton</v>
      </c>
      <c r="C148" s="8" t="str">
        <f t="shared" ca="1" si="81"/>
        <v>Meeteetse</v>
      </c>
      <c r="D148" s="10">
        <f t="shared" ca="1" si="82"/>
        <v>44912</v>
      </c>
      <c r="E148" s="8">
        <f t="shared" ca="1" si="83"/>
        <v>0</v>
      </c>
      <c r="F148" s="8">
        <f t="shared" ca="1" si="84"/>
        <v>0</v>
      </c>
      <c r="G148" s="8">
        <f t="shared" ca="1" si="85"/>
        <v>0</v>
      </c>
      <c r="H148" s="8">
        <f t="shared" ca="1" si="86"/>
        <v>0</v>
      </c>
      <c r="I148" s="8">
        <f t="shared" ca="1" si="87"/>
        <v>0</v>
      </c>
      <c r="J148" s="8">
        <f t="shared" ca="1" si="88"/>
        <v>0</v>
      </c>
      <c r="K148" s="8">
        <f t="shared" ca="1" si="89"/>
        <v>0</v>
      </c>
      <c r="L148" s="8">
        <f t="shared" ca="1" si="94"/>
        <v>0</v>
      </c>
      <c r="M148" s="8">
        <f t="shared" ca="1" si="95"/>
        <v>0</v>
      </c>
      <c r="N148" s="8">
        <f t="shared" ca="1" si="96"/>
        <v>0</v>
      </c>
      <c r="O148" s="8">
        <f t="shared" ca="1" si="97"/>
        <v>0</v>
      </c>
      <c r="P148" s="8">
        <f t="shared" ca="1" si="98"/>
        <v>0</v>
      </c>
      <c r="Q148" s="8">
        <f t="shared" ca="1" si="99"/>
        <v>0</v>
      </c>
      <c r="R148" s="8">
        <f t="shared" ca="1" si="100"/>
        <v>0</v>
      </c>
      <c r="S148" s="8">
        <f t="shared" ca="1" si="101"/>
        <v>0</v>
      </c>
      <c r="T148" s="8">
        <f t="shared" ca="1" si="102"/>
        <v>0</v>
      </c>
      <c r="U148" s="8">
        <f t="shared" ca="1" si="103"/>
        <v>0</v>
      </c>
      <c r="V148" s="8">
        <f t="shared" ca="1" si="104"/>
        <v>0</v>
      </c>
      <c r="W148" s="11" t="str">
        <f t="shared" ca="1" si="105"/>
        <v/>
      </c>
      <c r="X148" s="11" t="str">
        <f t="shared" ca="1" si="106"/>
        <v/>
      </c>
      <c r="Y148" s="11" t="str">
        <f t="shared" ca="1" si="107"/>
        <v/>
      </c>
      <c r="Z148" s="11" t="str">
        <f t="shared" ca="1" si="108"/>
        <v/>
      </c>
      <c r="AA148" s="11" t="str">
        <f t="shared" ca="1" si="109"/>
        <v/>
      </c>
      <c r="AB148" s="47">
        <f ca="1">PlayerGameData[[#This Row],[3FGA]]+PlayerGameData[[#This Row],[2FGA]]</f>
        <v>0</v>
      </c>
      <c r="AC148" s="47">
        <f ca="1">PlayerGameData[[#This Row],[OFF REB]]+PlayerGameData[[#This Row],[DEF REB]]</f>
        <v>0</v>
      </c>
      <c r="AD148" s="8">
        <f t="shared" si="90"/>
        <v>6</v>
      </c>
      <c r="AE148" s="8" t="str">
        <f t="shared" ca="1" si="91"/>
        <v>,  - Meeteetse 12/17/2022</v>
      </c>
      <c r="AF148" s="8" t="str">
        <f t="shared" ca="1" si="110"/>
        <v/>
      </c>
      <c r="AG148" s="8" t="str">
        <f ca="1">IFERROR(IF(C148=0,"",IF(AND(VLOOKUP(PlayerGameData[[#This Row],[Opponent]],WYTeamInfo,2,FALSE)=Roster!$D$1,VLOOKUP(PlayerGameData[[#This Row],[Opponent]],WYTeamInfo,3,FALSE)=Roster!$D$2),"SR","")),"")</f>
        <v/>
      </c>
      <c r="AH148" s="8" t="str">
        <f>CONCATENATE(Roster!$D$1," ",Roster!$D$5)</f>
        <v>1A BB</v>
      </c>
      <c r="AI148" s="8" t="str">
        <f t="shared" ca="1" si="92"/>
        <v>Upton - Meeteetse 12/17/2022</v>
      </c>
      <c r="AJ148" s="8">
        <f ca="1">IFERROR(VLOOKUP(PlayerGameData[[#This Row],[School, Opponent,Game'#]],Table3[],2,FALSE),0)</f>
        <v>1</v>
      </c>
      <c r="AK148" s="8">
        <f ca="1">IF(PlayerGameData[[#This Row],[Visible]]=1,1,1000)</f>
        <v>1</v>
      </c>
      <c r="AL148" s="8">
        <f ca="1">RANK(PlayerGameData[[#This Row],[TL PTS]],PlayerGameData[TL PTS],0)+PlayerGameData[[#This Row],[VisibleOrder]]</f>
        <v>185</v>
      </c>
      <c r="AM148" s="8">
        <f ca="1">IF(COUNTIF(PlayerGameData[PointOrder],PlayerGameData[[#This Row],[PointOrder]])&gt;1,RANK(PlayerGameData[[#This Row],[FGA]],PlayerGameData[FGA],0)/100,0)+PlayerGameData[[#This Row],[PointOrder]]</f>
        <v>187.14</v>
      </c>
      <c r="AN148" s="8">
        <f ca="1">RANK(PlayerGameData[[#This Row],[PointTieBreak]],PlayerGameData[PointTieBreak],1)</f>
        <v>216</v>
      </c>
      <c r="AO148" s="8">
        <f ca="1">RANK(PlayerGameData[[#This Row],[REB]],PlayerGameData[REB],0)+PlayerGameData[[#This Row],[VisibleOrder]]</f>
        <v>192</v>
      </c>
      <c r="AP148" s="8">
        <f ca="1">IF(COUNTIF(PlayerGameData[REBOrder],PlayerGameData[[#This Row],[REBOrder]])&gt;1,PlayerGameData[[#This Row],[PointRank]]/100+PlayerGameData[[#This Row],[REBOrder]],PlayerGameData[[#This Row],[REBOrder]])</f>
        <v>194.16</v>
      </c>
      <c r="AQ148" s="8">
        <f ca="1">RANK(PlayerGameData[[#This Row],[REBTieBreak]],PlayerGameData[REBTieBreak],1)</f>
        <v>224</v>
      </c>
      <c r="AR148" s="8">
        <f ca="1">RANK(PlayerGameData[[#This Row],[AST]],PlayerGameData[AST],0)+PlayerGameData[[#This Row],[VisibleOrder]]</f>
        <v>158</v>
      </c>
      <c r="AS148" s="8">
        <f ca="1">IF(COUNTIF(PlayerGameData[ASTOrder],PlayerGameData[[#This Row],[ASTOrder]])&gt;1,PlayerGameData[[#This Row],[PointRank]]/100+PlayerGameData[[#This Row],[ASTOrder]],PlayerGameData[[#This Row],[ASTOrder]])</f>
        <v>160.16</v>
      </c>
      <c r="AT148" s="8">
        <f ca="1">RANK(PlayerGameData[[#This Row],[ASTTieBreak]],PlayerGameData[ASTTieBreak],1)</f>
        <v>221</v>
      </c>
      <c r="AU148" s="8">
        <f ca="1">RANK(PlayerGameData[[#This Row],[STL]],PlayerGameData[STL],0)+PlayerGameData[[#This Row],[VisibleOrder]]</f>
        <v>143</v>
      </c>
      <c r="AV148" s="8">
        <f ca="1">IF(COUNTIF(PlayerGameData[STLOrder],PlayerGameData[[#This Row],[STLOrder]])&gt;1,PlayerGameData[[#This Row],[PointRank]]/100+PlayerGameData[[#This Row],[STLOrder]],PlayerGameData[[#This Row],[STLOrder]])</f>
        <v>145.16</v>
      </c>
      <c r="AW148" s="8">
        <f ca="1">RANK(PlayerGameData[[#This Row],[STLTieBreak]],PlayerGameData[STLTieBreak],1)</f>
        <v>217</v>
      </c>
      <c r="AX148" s="8">
        <f ca="1">RANK(PlayerGameData[[#This Row],[BLK]],PlayerGameData[BLK],0)+PlayerGameData[[#This Row],[VisibleOrder]]</f>
        <v>32</v>
      </c>
      <c r="AY148" s="8">
        <f ca="1">IF(COUNTIF(PlayerGameData[BLKOrder],PlayerGameData[[#This Row],[BLKOrder]])&gt;1,PlayerGameData[[#This Row],[PointRank]]/100+PlayerGameData[[#This Row],[BLKOrder]],PlayerGameData[[#This Row],[BLKOrder]])</f>
        <v>34.159999999999997</v>
      </c>
      <c r="AZ148" s="8">
        <f ca="1">RANK(PlayerGameData[[#This Row],[BLKTieBreak]],PlayerGameData[BLKTieBreak],1)</f>
        <v>216</v>
      </c>
      <c r="BA148" s="11">
        <f ca="1">IFERROR(IF(PlayerGameData[[#This Row],[FGA]]&gt;$AA$5,PlayerGameData[[#This Row],[FG%*]],PlayerGameData[[#This Row],[FG%*]]*-1),-2)</f>
        <v>-2</v>
      </c>
      <c r="BB148" s="8">
        <f ca="1">RANK(PlayerGameData[[#This Row],[EligFG]],PlayerGameData[EligFG],0)+PlayerGameData[[#This Row],[VisibleOrder]]</f>
        <v>215</v>
      </c>
      <c r="BC148" s="8">
        <f ca="1">IF(COUNTIF(PlayerGameData[EligFGOrder],PlayerGameData[[#This Row],[EligFGOrder]])&gt;1,PlayerGameData[[#This Row],[PointRank]]/100+PlayerGameData[[#This Row],[EligFGOrder]],PlayerGameData[[#This Row],[EligFGOrder]])</f>
        <v>217.16</v>
      </c>
      <c r="BD148" s="8">
        <f ca="1">RANK(PlayerGameData[[#This Row],[EligFGTieBreak]],PlayerGameData[EligFGTieBreak],1)</f>
        <v>216</v>
      </c>
      <c r="BE148" s="8" t="str">
        <f>Roster!$D$3</f>
        <v>East</v>
      </c>
      <c r="BF148" s="8" t="str">
        <f>Roster!$D$2</f>
        <v>Northeast</v>
      </c>
      <c r="BG148" s="8" t="str">
        <f>Roster!$D$4</f>
        <v>North</v>
      </c>
      <c r="BH148" s="197">
        <f ca="1">IFERROR(VLOOKUP(CONCATENATE(PlayerGameData[[#This Row],[Opponent]]," ",MONTH(PlayerGameData[[#This Row],[Date]]),"/",DAY(PlayerGameData[[#This Row],[Date]]),"/",YEAR(PlayerGameData[[#This Row],[Date]])),Table35[],2,FALSE),0)</f>
        <v>1</v>
      </c>
      <c r="BI148" s="197">
        <f ca="1">IF(PlayerGameData[[#This Row],[Visible]]=1,1,1000)</f>
        <v>1</v>
      </c>
      <c r="BJ148" s="197" t="e">
        <f ca="1">_xlfn.MAXIFS(TeamGameData[Win],TeamGameData[School, Opponent,Game'#],PlayerGameData[[#This Row],[School, Opponent,Game'#]])</f>
        <v>#NAME?</v>
      </c>
      <c r="BK148" s="197" t="e">
        <f ca="1">_xlfn.MAXIFS(TeamGameData[Loss],TeamGameData[School, Opponent,Game'#],PlayerGameData[[#This Row],[School, Opponent,Game'#]])</f>
        <v>#NAME?</v>
      </c>
    </row>
    <row r="149" spans="1:63" x14ac:dyDescent="0.25">
      <c r="A149" s="8" t="str">
        <f t="shared" ca="1" si="93"/>
        <v xml:space="preserve">, </v>
      </c>
      <c r="B149" s="8" t="str">
        <f>Roster!$B$1</f>
        <v>Upton</v>
      </c>
      <c r="C149" s="8" t="str">
        <f t="shared" ca="1" si="81"/>
        <v>Meeteetse</v>
      </c>
      <c r="D149" s="10">
        <f t="shared" ca="1" si="82"/>
        <v>44912</v>
      </c>
      <c r="E149" s="8">
        <f t="shared" ca="1" si="83"/>
        <v>0</v>
      </c>
      <c r="F149" s="8">
        <f t="shared" ca="1" si="84"/>
        <v>0</v>
      </c>
      <c r="G149" s="8">
        <f t="shared" ca="1" si="85"/>
        <v>0</v>
      </c>
      <c r="H149" s="8">
        <f t="shared" ca="1" si="86"/>
        <v>0</v>
      </c>
      <c r="I149" s="8">
        <f t="shared" ca="1" si="87"/>
        <v>0</v>
      </c>
      <c r="J149" s="8">
        <f t="shared" ca="1" si="88"/>
        <v>0</v>
      </c>
      <c r="K149" s="8">
        <f t="shared" ca="1" si="89"/>
        <v>0</v>
      </c>
      <c r="L149" s="8">
        <f t="shared" ca="1" si="94"/>
        <v>0</v>
      </c>
      <c r="M149" s="8">
        <f t="shared" ca="1" si="95"/>
        <v>0</v>
      </c>
      <c r="N149" s="8">
        <f t="shared" ca="1" si="96"/>
        <v>0</v>
      </c>
      <c r="O149" s="8">
        <f t="shared" ca="1" si="97"/>
        <v>0</v>
      </c>
      <c r="P149" s="8">
        <f t="shared" ca="1" si="98"/>
        <v>0</v>
      </c>
      <c r="Q149" s="8">
        <f t="shared" ca="1" si="99"/>
        <v>0</v>
      </c>
      <c r="R149" s="8">
        <f t="shared" ca="1" si="100"/>
        <v>0</v>
      </c>
      <c r="S149" s="8">
        <f t="shared" ca="1" si="101"/>
        <v>0</v>
      </c>
      <c r="T149" s="8">
        <f t="shared" ca="1" si="102"/>
        <v>0</v>
      </c>
      <c r="U149" s="8">
        <f t="shared" ca="1" si="103"/>
        <v>0</v>
      </c>
      <c r="V149" s="8">
        <f t="shared" ca="1" si="104"/>
        <v>0</v>
      </c>
      <c r="W149" s="11" t="str">
        <f t="shared" ca="1" si="105"/>
        <v/>
      </c>
      <c r="X149" s="11" t="str">
        <f t="shared" ca="1" si="106"/>
        <v/>
      </c>
      <c r="Y149" s="11" t="str">
        <f t="shared" ca="1" si="107"/>
        <v/>
      </c>
      <c r="Z149" s="11" t="str">
        <f t="shared" ca="1" si="108"/>
        <v/>
      </c>
      <c r="AA149" s="11" t="str">
        <f t="shared" ca="1" si="109"/>
        <v/>
      </c>
      <c r="AB149" s="47">
        <f ca="1">PlayerGameData[[#This Row],[3FGA]]+PlayerGameData[[#This Row],[2FGA]]</f>
        <v>0</v>
      </c>
      <c r="AC149" s="47">
        <f ca="1">PlayerGameData[[#This Row],[OFF REB]]+PlayerGameData[[#This Row],[DEF REB]]</f>
        <v>0</v>
      </c>
      <c r="AD149" s="8">
        <f t="shared" si="90"/>
        <v>6</v>
      </c>
      <c r="AE149" s="8" t="str">
        <f t="shared" ca="1" si="91"/>
        <v>,  - Meeteetse 12/17/2022</v>
      </c>
      <c r="AF149" s="8" t="str">
        <f t="shared" ca="1" si="110"/>
        <v/>
      </c>
      <c r="AG149" s="8" t="str">
        <f ca="1">IFERROR(IF(C149=0,"",IF(AND(VLOOKUP(PlayerGameData[[#This Row],[Opponent]],WYTeamInfo,2,FALSE)=Roster!$D$1,VLOOKUP(PlayerGameData[[#This Row],[Opponent]],WYTeamInfo,3,FALSE)=Roster!$D$2),"SR","")),"")</f>
        <v/>
      </c>
      <c r="AH149" s="8" t="str">
        <f>CONCATENATE(Roster!$D$1," ",Roster!$D$5)</f>
        <v>1A BB</v>
      </c>
      <c r="AI149" s="8" t="str">
        <f t="shared" ca="1" si="92"/>
        <v>Upton - Meeteetse 12/17/2022</v>
      </c>
      <c r="AJ149" s="8">
        <f ca="1">IFERROR(VLOOKUP(PlayerGameData[[#This Row],[School, Opponent,Game'#]],Table3[],2,FALSE),0)</f>
        <v>1</v>
      </c>
      <c r="AK149" s="8">
        <f ca="1">IF(PlayerGameData[[#This Row],[Visible]]=1,1,1000)</f>
        <v>1</v>
      </c>
      <c r="AL149" s="8">
        <f ca="1">RANK(PlayerGameData[[#This Row],[TL PTS]],PlayerGameData[TL PTS],0)+PlayerGameData[[#This Row],[VisibleOrder]]</f>
        <v>185</v>
      </c>
      <c r="AM149" s="8">
        <f ca="1">IF(COUNTIF(PlayerGameData[PointOrder],PlayerGameData[[#This Row],[PointOrder]])&gt;1,RANK(PlayerGameData[[#This Row],[FGA]],PlayerGameData[FGA],0)/100,0)+PlayerGameData[[#This Row],[PointOrder]]</f>
        <v>187.14</v>
      </c>
      <c r="AN149" s="8">
        <f ca="1">RANK(PlayerGameData[[#This Row],[PointTieBreak]],PlayerGameData[PointTieBreak],1)</f>
        <v>216</v>
      </c>
      <c r="AO149" s="8">
        <f ca="1">RANK(PlayerGameData[[#This Row],[REB]],PlayerGameData[REB],0)+PlayerGameData[[#This Row],[VisibleOrder]]</f>
        <v>192</v>
      </c>
      <c r="AP149" s="8">
        <f ca="1">IF(COUNTIF(PlayerGameData[REBOrder],PlayerGameData[[#This Row],[REBOrder]])&gt;1,PlayerGameData[[#This Row],[PointRank]]/100+PlayerGameData[[#This Row],[REBOrder]],PlayerGameData[[#This Row],[REBOrder]])</f>
        <v>194.16</v>
      </c>
      <c r="AQ149" s="8">
        <f ca="1">RANK(PlayerGameData[[#This Row],[REBTieBreak]],PlayerGameData[REBTieBreak],1)</f>
        <v>224</v>
      </c>
      <c r="AR149" s="8">
        <f ca="1">RANK(PlayerGameData[[#This Row],[AST]],PlayerGameData[AST],0)+PlayerGameData[[#This Row],[VisibleOrder]]</f>
        <v>158</v>
      </c>
      <c r="AS149" s="8">
        <f ca="1">IF(COUNTIF(PlayerGameData[ASTOrder],PlayerGameData[[#This Row],[ASTOrder]])&gt;1,PlayerGameData[[#This Row],[PointRank]]/100+PlayerGameData[[#This Row],[ASTOrder]],PlayerGameData[[#This Row],[ASTOrder]])</f>
        <v>160.16</v>
      </c>
      <c r="AT149" s="8">
        <f ca="1">RANK(PlayerGameData[[#This Row],[ASTTieBreak]],PlayerGameData[ASTTieBreak],1)</f>
        <v>221</v>
      </c>
      <c r="AU149" s="8">
        <f ca="1">RANK(PlayerGameData[[#This Row],[STL]],PlayerGameData[STL],0)+PlayerGameData[[#This Row],[VisibleOrder]]</f>
        <v>143</v>
      </c>
      <c r="AV149" s="8">
        <f ca="1">IF(COUNTIF(PlayerGameData[STLOrder],PlayerGameData[[#This Row],[STLOrder]])&gt;1,PlayerGameData[[#This Row],[PointRank]]/100+PlayerGameData[[#This Row],[STLOrder]],PlayerGameData[[#This Row],[STLOrder]])</f>
        <v>145.16</v>
      </c>
      <c r="AW149" s="8">
        <f ca="1">RANK(PlayerGameData[[#This Row],[STLTieBreak]],PlayerGameData[STLTieBreak],1)</f>
        <v>217</v>
      </c>
      <c r="AX149" s="8">
        <f ca="1">RANK(PlayerGameData[[#This Row],[BLK]],PlayerGameData[BLK],0)+PlayerGameData[[#This Row],[VisibleOrder]]</f>
        <v>32</v>
      </c>
      <c r="AY149" s="8">
        <f ca="1">IF(COUNTIF(PlayerGameData[BLKOrder],PlayerGameData[[#This Row],[BLKOrder]])&gt;1,PlayerGameData[[#This Row],[PointRank]]/100+PlayerGameData[[#This Row],[BLKOrder]],PlayerGameData[[#This Row],[BLKOrder]])</f>
        <v>34.159999999999997</v>
      </c>
      <c r="AZ149" s="8">
        <f ca="1">RANK(PlayerGameData[[#This Row],[BLKTieBreak]],PlayerGameData[BLKTieBreak],1)</f>
        <v>216</v>
      </c>
      <c r="BA149" s="11">
        <f ca="1">IFERROR(IF(PlayerGameData[[#This Row],[FGA]]&gt;$AA$5,PlayerGameData[[#This Row],[FG%*]],PlayerGameData[[#This Row],[FG%*]]*-1),-2)</f>
        <v>-2</v>
      </c>
      <c r="BB149" s="8">
        <f ca="1">RANK(PlayerGameData[[#This Row],[EligFG]],PlayerGameData[EligFG],0)+PlayerGameData[[#This Row],[VisibleOrder]]</f>
        <v>215</v>
      </c>
      <c r="BC149" s="8">
        <f ca="1">IF(COUNTIF(PlayerGameData[EligFGOrder],PlayerGameData[[#This Row],[EligFGOrder]])&gt;1,PlayerGameData[[#This Row],[PointRank]]/100+PlayerGameData[[#This Row],[EligFGOrder]],PlayerGameData[[#This Row],[EligFGOrder]])</f>
        <v>217.16</v>
      </c>
      <c r="BD149" s="8">
        <f ca="1">RANK(PlayerGameData[[#This Row],[EligFGTieBreak]],PlayerGameData[EligFGTieBreak],1)</f>
        <v>216</v>
      </c>
      <c r="BE149" s="8" t="str">
        <f>Roster!$D$3</f>
        <v>East</v>
      </c>
      <c r="BF149" s="8" t="str">
        <f>Roster!$D$2</f>
        <v>Northeast</v>
      </c>
      <c r="BG149" s="8" t="str">
        <f>Roster!$D$4</f>
        <v>North</v>
      </c>
      <c r="BH149" s="197">
        <f ca="1">IFERROR(VLOOKUP(CONCATENATE(PlayerGameData[[#This Row],[Opponent]]," ",MONTH(PlayerGameData[[#This Row],[Date]]),"/",DAY(PlayerGameData[[#This Row],[Date]]),"/",YEAR(PlayerGameData[[#This Row],[Date]])),Table35[],2,FALSE),0)</f>
        <v>1</v>
      </c>
      <c r="BI149" s="197">
        <f ca="1">IF(PlayerGameData[[#This Row],[Visible]]=1,1,1000)</f>
        <v>1</v>
      </c>
      <c r="BJ149" s="197" t="e">
        <f ca="1">_xlfn.MAXIFS(TeamGameData[Win],TeamGameData[School, Opponent,Game'#],PlayerGameData[[#This Row],[School, Opponent,Game'#]])</f>
        <v>#NAME?</v>
      </c>
      <c r="BK149" s="197" t="e">
        <f ca="1">_xlfn.MAXIFS(TeamGameData[Loss],TeamGameData[School, Opponent,Game'#],PlayerGameData[[#This Row],[School, Opponent,Game'#]])</f>
        <v>#NAME?</v>
      </c>
    </row>
    <row r="150" spans="1:63" x14ac:dyDescent="0.25">
      <c r="A150" s="8" t="str">
        <f t="shared" ca="1" si="93"/>
        <v xml:space="preserve">Team, </v>
      </c>
      <c r="B150" s="8" t="str">
        <f>Roster!$B$1</f>
        <v>Upton</v>
      </c>
      <c r="C150" s="8" t="str">
        <f t="shared" ca="1" si="81"/>
        <v>Meeteetse</v>
      </c>
      <c r="D150" s="10">
        <f t="shared" ca="1" si="82"/>
        <v>44912</v>
      </c>
      <c r="E150" s="8">
        <f t="shared" ca="1" si="83"/>
        <v>0</v>
      </c>
      <c r="F150" s="8">
        <f t="shared" ca="1" si="84"/>
        <v>0</v>
      </c>
      <c r="G150" s="8">
        <f t="shared" ca="1" si="85"/>
        <v>0</v>
      </c>
      <c r="H150" s="8">
        <f t="shared" ca="1" si="86"/>
        <v>0</v>
      </c>
      <c r="I150" s="8">
        <f t="shared" ca="1" si="87"/>
        <v>0</v>
      </c>
      <c r="J150" s="8">
        <f t="shared" ca="1" si="88"/>
        <v>0</v>
      </c>
      <c r="K150" s="8">
        <f t="shared" ca="1" si="89"/>
        <v>0</v>
      </c>
      <c r="L150" s="8">
        <f t="shared" ca="1" si="94"/>
        <v>0</v>
      </c>
      <c r="M150" s="8">
        <f t="shared" ca="1" si="95"/>
        <v>0</v>
      </c>
      <c r="N150" s="8">
        <f t="shared" ca="1" si="96"/>
        <v>0</v>
      </c>
      <c r="O150" s="8">
        <f t="shared" ca="1" si="97"/>
        <v>0</v>
      </c>
      <c r="P150" s="8">
        <f t="shared" ca="1" si="98"/>
        <v>0</v>
      </c>
      <c r="Q150" s="8">
        <f t="shared" ca="1" si="99"/>
        <v>0</v>
      </c>
      <c r="R150" s="8">
        <f t="shared" ca="1" si="100"/>
        <v>0</v>
      </c>
      <c r="S150" s="8">
        <f t="shared" ca="1" si="101"/>
        <v>0</v>
      </c>
      <c r="T150" s="8">
        <f t="shared" ca="1" si="102"/>
        <v>0</v>
      </c>
      <c r="U150" s="8">
        <f t="shared" ca="1" si="103"/>
        <v>0</v>
      </c>
      <c r="V150" s="8">
        <f t="shared" ca="1" si="104"/>
        <v>0</v>
      </c>
      <c r="W150" s="11" t="str">
        <f t="shared" ca="1" si="105"/>
        <v/>
      </c>
      <c r="X150" s="11" t="str">
        <f t="shared" ca="1" si="106"/>
        <v/>
      </c>
      <c r="Y150" s="11" t="str">
        <f t="shared" ca="1" si="107"/>
        <v/>
      </c>
      <c r="Z150" s="11" t="str">
        <f t="shared" ca="1" si="108"/>
        <v/>
      </c>
      <c r="AA150" s="11" t="str">
        <f t="shared" ca="1" si="109"/>
        <v/>
      </c>
      <c r="AB150" s="47">
        <f ca="1">PlayerGameData[[#This Row],[3FGA]]+PlayerGameData[[#This Row],[2FGA]]</f>
        <v>0</v>
      </c>
      <c r="AC150" s="47">
        <f ca="1">PlayerGameData[[#This Row],[OFF REB]]+PlayerGameData[[#This Row],[DEF REB]]</f>
        <v>0</v>
      </c>
      <c r="AD150" s="8">
        <f t="shared" si="90"/>
        <v>6</v>
      </c>
      <c r="AE150" s="8" t="str">
        <f t="shared" ca="1" si="91"/>
        <v>Team,  - Meeteetse 12/17/2022</v>
      </c>
      <c r="AF150" s="8" t="str">
        <f t="shared" ca="1" si="110"/>
        <v/>
      </c>
      <c r="AG150" s="8" t="str">
        <f ca="1">IFERROR(IF(C150=0,"",IF(AND(VLOOKUP(PlayerGameData[[#This Row],[Opponent]],WYTeamInfo,2,FALSE)=Roster!$D$1,VLOOKUP(PlayerGameData[[#This Row],[Opponent]],WYTeamInfo,3,FALSE)=Roster!$D$2),"SR","")),"")</f>
        <v/>
      </c>
      <c r="AH150" s="8" t="str">
        <f>CONCATENATE(Roster!$D$1," ",Roster!$D$5)</f>
        <v>1A BB</v>
      </c>
      <c r="AI150" s="8" t="str">
        <f t="shared" ca="1" si="92"/>
        <v>Upton - Meeteetse 12/17/2022</v>
      </c>
      <c r="AJ150" s="8">
        <f ca="1">IFERROR(VLOOKUP(PlayerGameData[[#This Row],[School, Opponent,Game'#]],Table3[],2,FALSE),0)</f>
        <v>1</v>
      </c>
      <c r="AK150" s="8">
        <f ca="1">IF(PlayerGameData[[#This Row],[Visible]]=1,1,1000)</f>
        <v>1</v>
      </c>
      <c r="AL150" s="8">
        <f ca="1">RANK(PlayerGameData[[#This Row],[TL PTS]],PlayerGameData[TL PTS],0)+PlayerGameData[[#This Row],[VisibleOrder]]</f>
        <v>185</v>
      </c>
      <c r="AM150" s="8">
        <f ca="1">IF(COUNTIF(PlayerGameData[PointOrder],PlayerGameData[[#This Row],[PointOrder]])&gt;1,RANK(PlayerGameData[[#This Row],[FGA]],PlayerGameData[FGA],0)/100,0)+PlayerGameData[[#This Row],[PointOrder]]</f>
        <v>187.14</v>
      </c>
      <c r="AN150" s="8">
        <f ca="1">RANK(PlayerGameData[[#This Row],[PointTieBreak]],PlayerGameData[PointTieBreak],1)</f>
        <v>216</v>
      </c>
      <c r="AO150" s="8">
        <f ca="1">RANK(PlayerGameData[[#This Row],[REB]],PlayerGameData[REB],0)+PlayerGameData[[#This Row],[VisibleOrder]]</f>
        <v>192</v>
      </c>
      <c r="AP150" s="8">
        <f ca="1">IF(COUNTIF(PlayerGameData[REBOrder],PlayerGameData[[#This Row],[REBOrder]])&gt;1,PlayerGameData[[#This Row],[PointRank]]/100+PlayerGameData[[#This Row],[REBOrder]],PlayerGameData[[#This Row],[REBOrder]])</f>
        <v>194.16</v>
      </c>
      <c r="AQ150" s="8">
        <f ca="1">RANK(PlayerGameData[[#This Row],[REBTieBreak]],PlayerGameData[REBTieBreak],1)</f>
        <v>224</v>
      </c>
      <c r="AR150" s="8">
        <f ca="1">RANK(PlayerGameData[[#This Row],[AST]],PlayerGameData[AST],0)+PlayerGameData[[#This Row],[VisibleOrder]]</f>
        <v>158</v>
      </c>
      <c r="AS150" s="8">
        <f ca="1">IF(COUNTIF(PlayerGameData[ASTOrder],PlayerGameData[[#This Row],[ASTOrder]])&gt;1,PlayerGameData[[#This Row],[PointRank]]/100+PlayerGameData[[#This Row],[ASTOrder]],PlayerGameData[[#This Row],[ASTOrder]])</f>
        <v>160.16</v>
      </c>
      <c r="AT150" s="8">
        <f ca="1">RANK(PlayerGameData[[#This Row],[ASTTieBreak]],PlayerGameData[ASTTieBreak],1)</f>
        <v>221</v>
      </c>
      <c r="AU150" s="8">
        <f ca="1">RANK(PlayerGameData[[#This Row],[STL]],PlayerGameData[STL],0)+PlayerGameData[[#This Row],[VisibleOrder]]</f>
        <v>143</v>
      </c>
      <c r="AV150" s="8">
        <f ca="1">IF(COUNTIF(PlayerGameData[STLOrder],PlayerGameData[[#This Row],[STLOrder]])&gt;1,PlayerGameData[[#This Row],[PointRank]]/100+PlayerGameData[[#This Row],[STLOrder]],PlayerGameData[[#This Row],[STLOrder]])</f>
        <v>145.16</v>
      </c>
      <c r="AW150" s="8">
        <f ca="1">RANK(PlayerGameData[[#This Row],[STLTieBreak]],PlayerGameData[STLTieBreak],1)</f>
        <v>217</v>
      </c>
      <c r="AX150" s="8">
        <f ca="1">RANK(PlayerGameData[[#This Row],[BLK]],PlayerGameData[BLK],0)+PlayerGameData[[#This Row],[VisibleOrder]]</f>
        <v>32</v>
      </c>
      <c r="AY150" s="8">
        <f ca="1">IF(COUNTIF(PlayerGameData[BLKOrder],PlayerGameData[[#This Row],[BLKOrder]])&gt;1,PlayerGameData[[#This Row],[PointRank]]/100+PlayerGameData[[#This Row],[BLKOrder]],PlayerGameData[[#This Row],[BLKOrder]])</f>
        <v>34.159999999999997</v>
      </c>
      <c r="AZ150" s="8">
        <f ca="1">RANK(PlayerGameData[[#This Row],[BLKTieBreak]],PlayerGameData[BLKTieBreak],1)</f>
        <v>216</v>
      </c>
      <c r="BA150" s="11">
        <f ca="1">IFERROR(IF(PlayerGameData[[#This Row],[FGA]]&gt;$AA$5,PlayerGameData[[#This Row],[FG%*]],PlayerGameData[[#This Row],[FG%*]]*-1),-2)</f>
        <v>-2</v>
      </c>
      <c r="BB150" s="8">
        <f ca="1">RANK(PlayerGameData[[#This Row],[EligFG]],PlayerGameData[EligFG],0)+PlayerGameData[[#This Row],[VisibleOrder]]</f>
        <v>215</v>
      </c>
      <c r="BC150" s="8">
        <f ca="1">IF(COUNTIF(PlayerGameData[EligFGOrder],PlayerGameData[[#This Row],[EligFGOrder]])&gt;1,PlayerGameData[[#This Row],[PointRank]]/100+PlayerGameData[[#This Row],[EligFGOrder]],PlayerGameData[[#This Row],[EligFGOrder]])</f>
        <v>217.16</v>
      </c>
      <c r="BD150" s="8">
        <f ca="1">RANK(PlayerGameData[[#This Row],[EligFGTieBreak]],PlayerGameData[EligFGTieBreak],1)</f>
        <v>216</v>
      </c>
      <c r="BE150" s="8" t="str">
        <f>Roster!$D$3</f>
        <v>East</v>
      </c>
      <c r="BF150" s="8" t="str">
        <f>Roster!$D$2</f>
        <v>Northeast</v>
      </c>
      <c r="BG150" s="8" t="str">
        <f>Roster!$D$4</f>
        <v>North</v>
      </c>
      <c r="BH150" s="197">
        <f ca="1">IFERROR(VLOOKUP(CONCATENATE(PlayerGameData[[#This Row],[Opponent]]," ",MONTH(PlayerGameData[[#This Row],[Date]]),"/",DAY(PlayerGameData[[#This Row],[Date]]),"/",YEAR(PlayerGameData[[#This Row],[Date]])),Table35[],2,FALSE),0)</f>
        <v>1</v>
      </c>
      <c r="BI150" s="197">
        <f ca="1">IF(PlayerGameData[[#This Row],[Visible]]=1,1,1000)</f>
        <v>1</v>
      </c>
      <c r="BJ150" s="197" t="e">
        <f ca="1">_xlfn.MAXIFS(TeamGameData[Win],TeamGameData[School, Opponent,Game'#],PlayerGameData[[#This Row],[School, Opponent,Game'#]])</f>
        <v>#NAME?</v>
      </c>
      <c r="BK150" s="197" t="e">
        <f ca="1">_xlfn.MAXIFS(TeamGameData[Loss],TeamGameData[School, Opponent,Game'#],PlayerGameData[[#This Row],[School, Opponent,Game'#]])</f>
        <v>#NAME?</v>
      </c>
    </row>
    <row r="151" spans="1:63" x14ac:dyDescent="0.25">
      <c r="A151" s="8" t="str">
        <f t="shared" ca="1" si="93"/>
        <v>Landon Butler, 1</v>
      </c>
      <c r="B151" s="8" t="str">
        <f>Roster!$B$1</f>
        <v>Upton</v>
      </c>
      <c r="C151" s="8" t="str">
        <f t="shared" ca="1" si="81"/>
        <v>Moorcroft</v>
      </c>
      <c r="D151" s="10">
        <f t="shared" ca="1" si="82"/>
        <v>44935</v>
      </c>
      <c r="E151" s="8">
        <f t="shared" ca="1" si="83"/>
        <v>1</v>
      </c>
      <c r="F151" s="8">
        <f t="shared" ca="1" si="84"/>
        <v>0</v>
      </c>
      <c r="G151" s="8">
        <f t="shared" ca="1" si="85"/>
        <v>1</v>
      </c>
      <c r="H151" s="8">
        <f t="shared" ca="1" si="86"/>
        <v>0</v>
      </c>
      <c r="I151" s="8">
        <f t="shared" ca="1" si="87"/>
        <v>0</v>
      </c>
      <c r="J151" s="8">
        <f t="shared" ca="1" si="88"/>
        <v>0</v>
      </c>
      <c r="K151" s="8">
        <f t="shared" ca="1" si="89"/>
        <v>0</v>
      </c>
      <c r="L151" s="8">
        <f t="shared" ca="1" si="94"/>
        <v>0</v>
      </c>
      <c r="M151" s="8">
        <f t="shared" ca="1" si="95"/>
        <v>0</v>
      </c>
      <c r="N151" s="8">
        <f t="shared" ca="1" si="96"/>
        <v>0</v>
      </c>
      <c r="O151" s="8">
        <f t="shared" ca="1" si="97"/>
        <v>0</v>
      </c>
      <c r="P151" s="8">
        <f t="shared" ca="1" si="98"/>
        <v>0</v>
      </c>
      <c r="Q151" s="8">
        <f t="shared" ca="1" si="99"/>
        <v>0</v>
      </c>
      <c r="R151" s="8">
        <f t="shared" ca="1" si="100"/>
        <v>0</v>
      </c>
      <c r="S151" s="8">
        <f t="shared" ca="1" si="101"/>
        <v>0</v>
      </c>
      <c r="T151" s="8">
        <f t="shared" ca="1" si="102"/>
        <v>0</v>
      </c>
      <c r="U151" s="8">
        <f t="shared" ca="1" si="103"/>
        <v>0</v>
      </c>
      <c r="V151" s="8">
        <f t="shared" ca="1" si="104"/>
        <v>0</v>
      </c>
      <c r="W151" s="11" t="str">
        <f t="shared" ca="1" si="105"/>
        <v/>
      </c>
      <c r="X151" s="11" t="str">
        <f t="shared" ca="1" si="106"/>
        <v/>
      </c>
      <c r="Y151" s="11" t="str">
        <f t="shared" ca="1" si="107"/>
        <v/>
      </c>
      <c r="Z151" s="11" t="str">
        <f t="shared" ca="1" si="108"/>
        <v/>
      </c>
      <c r="AA151" s="11" t="str">
        <f t="shared" ca="1" si="109"/>
        <v/>
      </c>
      <c r="AB151" s="47">
        <f ca="1">PlayerGameData[[#This Row],[3FGA]]+PlayerGameData[[#This Row],[2FGA]]</f>
        <v>0</v>
      </c>
      <c r="AC151" s="47">
        <f ca="1">PlayerGameData[[#This Row],[OFF REB]]+PlayerGameData[[#This Row],[DEF REB]]</f>
        <v>0</v>
      </c>
      <c r="AD151" s="8">
        <f t="shared" si="90"/>
        <v>7</v>
      </c>
      <c r="AE151" s="8" t="str">
        <f t="shared" ca="1" si="91"/>
        <v>Landon Butler, 1 - Moorcroft 1/9/2023</v>
      </c>
      <c r="AF151" s="8" t="str">
        <f t="shared" ca="1" si="110"/>
        <v/>
      </c>
      <c r="AG151" s="8" t="str">
        <f ca="1">IFERROR(IF(C151=0,"",IF(AND(VLOOKUP(PlayerGameData[[#This Row],[Opponent]],WYTeamInfo,2,FALSE)=Roster!$D$1,VLOOKUP(PlayerGameData[[#This Row],[Opponent]],WYTeamInfo,3,FALSE)=Roster!$D$2),"SR","")),"")</f>
        <v/>
      </c>
      <c r="AH151" s="8" t="str">
        <f>CONCATENATE(Roster!$D$1," ",Roster!$D$5)</f>
        <v>1A BB</v>
      </c>
      <c r="AI151" s="8" t="str">
        <f t="shared" ca="1" si="92"/>
        <v>Upton - Moorcroft 1/9/2023</v>
      </c>
      <c r="AJ151" s="8">
        <f ca="1">IFERROR(VLOOKUP(PlayerGameData[[#This Row],[School, Opponent,Game'#]],Table3[],2,FALSE),0)</f>
        <v>1</v>
      </c>
      <c r="AK151" s="8">
        <f ca="1">IF(PlayerGameData[[#This Row],[Visible]]=1,1,1000)</f>
        <v>1</v>
      </c>
      <c r="AL151" s="8">
        <f ca="1">RANK(PlayerGameData[[#This Row],[TL PTS]],PlayerGameData[TL PTS],0)+PlayerGameData[[#This Row],[VisibleOrder]]</f>
        <v>185</v>
      </c>
      <c r="AM151" s="8">
        <f ca="1">IF(COUNTIF(PlayerGameData[PointOrder],PlayerGameData[[#This Row],[PointOrder]])&gt;1,RANK(PlayerGameData[[#This Row],[FGA]],PlayerGameData[FGA],0)/100,0)+PlayerGameData[[#This Row],[PointOrder]]</f>
        <v>187.14</v>
      </c>
      <c r="AN151" s="8">
        <f ca="1">RANK(PlayerGameData[[#This Row],[PointTieBreak]],PlayerGameData[PointTieBreak],1)</f>
        <v>216</v>
      </c>
      <c r="AO151" s="8">
        <f ca="1">RANK(PlayerGameData[[#This Row],[REB]],PlayerGameData[REB],0)+PlayerGameData[[#This Row],[VisibleOrder]]</f>
        <v>192</v>
      </c>
      <c r="AP151" s="8">
        <f ca="1">IF(COUNTIF(PlayerGameData[REBOrder],PlayerGameData[[#This Row],[REBOrder]])&gt;1,PlayerGameData[[#This Row],[PointRank]]/100+PlayerGameData[[#This Row],[REBOrder]],PlayerGameData[[#This Row],[REBOrder]])</f>
        <v>194.16</v>
      </c>
      <c r="AQ151" s="8">
        <f ca="1">RANK(PlayerGameData[[#This Row],[REBTieBreak]],PlayerGameData[REBTieBreak],1)</f>
        <v>224</v>
      </c>
      <c r="AR151" s="8">
        <f ca="1">RANK(PlayerGameData[[#This Row],[AST]],PlayerGameData[AST],0)+PlayerGameData[[#This Row],[VisibleOrder]]</f>
        <v>158</v>
      </c>
      <c r="AS151" s="8">
        <f ca="1">IF(COUNTIF(PlayerGameData[ASTOrder],PlayerGameData[[#This Row],[ASTOrder]])&gt;1,PlayerGameData[[#This Row],[PointRank]]/100+PlayerGameData[[#This Row],[ASTOrder]],PlayerGameData[[#This Row],[ASTOrder]])</f>
        <v>160.16</v>
      </c>
      <c r="AT151" s="8">
        <f ca="1">RANK(PlayerGameData[[#This Row],[ASTTieBreak]],PlayerGameData[ASTTieBreak],1)</f>
        <v>221</v>
      </c>
      <c r="AU151" s="8">
        <f ca="1">RANK(PlayerGameData[[#This Row],[STL]],PlayerGameData[STL],0)+PlayerGameData[[#This Row],[VisibleOrder]]</f>
        <v>143</v>
      </c>
      <c r="AV151" s="8">
        <f ca="1">IF(COUNTIF(PlayerGameData[STLOrder],PlayerGameData[[#This Row],[STLOrder]])&gt;1,PlayerGameData[[#This Row],[PointRank]]/100+PlayerGameData[[#This Row],[STLOrder]],PlayerGameData[[#This Row],[STLOrder]])</f>
        <v>145.16</v>
      </c>
      <c r="AW151" s="8">
        <f ca="1">RANK(PlayerGameData[[#This Row],[STLTieBreak]],PlayerGameData[STLTieBreak],1)</f>
        <v>217</v>
      </c>
      <c r="AX151" s="8">
        <f ca="1">RANK(PlayerGameData[[#This Row],[BLK]],PlayerGameData[BLK],0)+PlayerGameData[[#This Row],[VisibleOrder]]</f>
        <v>32</v>
      </c>
      <c r="AY151" s="8">
        <f ca="1">IF(COUNTIF(PlayerGameData[BLKOrder],PlayerGameData[[#This Row],[BLKOrder]])&gt;1,PlayerGameData[[#This Row],[PointRank]]/100+PlayerGameData[[#This Row],[BLKOrder]],PlayerGameData[[#This Row],[BLKOrder]])</f>
        <v>34.159999999999997</v>
      </c>
      <c r="AZ151" s="8">
        <f ca="1">RANK(PlayerGameData[[#This Row],[BLKTieBreak]],PlayerGameData[BLKTieBreak],1)</f>
        <v>216</v>
      </c>
      <c r="BA151" s="11">
        <f ca="1">IFERROR(IF(PlayerGameData[[#This Row],[FGA]]&gt;$AA$5,PlayerGameData[[#This Row],[FG%*]],PlayerGameData[[#This Row],[FG%*]]*-1),-2)</f>
        <v>-2</v>
      </c>
      <c r="BB151" s="8">
        <f ca="1">RANK(PlayerGameData[[#This Row],[EligFG]],PlayerGameData[EligFG],0)+PlayerGameData[[#This Row],[VisibleOrder]]</f>
        <v>215</v>
      </c>
      <c r="BC151" s="8">
        <f ca="1">IF(COUNTIF(PlayerGameData[EligFGOrder],PlayerGameData[[#This Row],[EligFGOrder]])&gt;1,PlayerGameData[[#This Row],[PointRank]]/100+PlayerGameData[[#This Row],[EligFGOrder]],PlayerGameData[[#This Row],[EligFGOrder]])</f>
        <v>217.16</v>
      </c>
      <c r="BD151" s="8">
        <f ca="1">RANK(PlayerGameData[[#This Row],[EligFGTieBreak]],PlayerGameData[EligFGTieBreak],1)</f>
        <v>216</v>
      </c>
      <c r="BE151" s="8" t="str">
        <f>Roster!$D$3</f>
        <v>East</v>
      </c>
      <c r="BF151" s="8" t="str">
        <f>Roster!$D$2</f>
        <v>Northeast</v>
      </c>
      <c r="BG151" s="8" t="str">
        <f>Roster!$D$4</f>
        <v>North</v>
      </c>
      <c r="BH151" s="197">
        <f ca="1">IFERROR(VLOOKUP(CONCATENATE(PlayerGameData[[#This Row],[Opponent]]," ",MONTH(PlayerGameData[[#This Row],[Date]]),"/",DAY(PlayerGameData[[#This Row],[Date]]),"/",YEAR(PlayerGameData[[#This Row],[Date]])),Table35[],2,FALSE),0)</f>
        <v>1</v>
      </c>
      <c r="BI151" s="197">
        <f ca="1">IF(PlayerGameData[[#This Row],[Visible]]=1,1,1000)</f>
        <v>1</v>
      </c>
      <c r="BJ151" s="197" t="e">
        <f ca="1">_xlfn.MAXIFS(TeamGameData[Win],TeamGameData[School, Opponent,Game'#],PlayerGameData[[#This Row],[School, Opponent,Game'#]])</f>
        <v>#NAME?</v>
      </c>
      <c r="BK151" s="197" t="e">
        <f ca="1">_xlfn.MAXIFS(TeamGameData[Loss],TeamGameData[School, Opponent,Game'#],PlayerGameData[[#This Row],[School, Opponent,Game'#]])</f>
        <v>#NAME?</v>
      </c>
    </row>
    <row r="152" spans="1:63" x14ac:dyDescent="0.25">
      <c r="A152" s="8" t="str">
        <f t="shared" ca="1" si="93"/>
        <v>Logan Timberman, 3</v>
      </c>
      <c r="B152" s="8" t="str">
        <f>Roster!$B$1</f>
        <v>Upton</v>
      </c>
      <c r="C152" s="8" t="str">
        <f t="shared" ca="1" si="81"/>
        <v>Moorcroft</v>
      </c>
      <c r="D152" s="10">
        <f t="shared" ca="1" si="82"/>
        <v>44935</v>
      </c>
      <c r="E152" s="8">
        <f t="shared" ca="1" si="83"/>
        <v>1</v>
      </c>
      <c r="F152" s="8">
        <f t="shared" ca="1" si="84"/>
        <v>1</v>
      </c>
      <c r="G152" s="8">
        <f t="shared" ca="1" si="85"/>
        <v>26</v>
      </c>
      <c r="H152" s="8">
        <f t="shared" ca="1" si="86"/>
        <v>2</v>
      </c>
      <c r="I152" s="8">
        <f t="shared" ca="1" si="87"/>
        <v>4</v>
      </c>
      <c r="J152" s="8">
        <f t="shared" ca="1" si="88"/>
        <v>3</v>
      </c>
      <c r="K152" s="8">
        <f t="shared" ca="1" si="89"/>
        <v>4</v>
      </c>
      <c r="L152" s="8">
        <f t="shared" ca="1" si="94"/>
        <v>0</v>
      </c>
      <c r="M152" s="8">
        <f t="shared" ca="1" si="95"/>
        <v>0</v>
      </c>
      <c r="N152" s="8">
        <f t="shared" ca="1" si="96"/>
        <v>2</v>
      </c>
      <c r="O152" s="8">
        <f t="shared" ca="1" si="97"/>
        <v>5</v>
      </c>
      <c r="P152" s="8">
        <f t="shared" ca="1" si="98"/>
        <v>2</v>
      </c>
      <c r="Q152" s="8">
        <f t="shared" ca="1" si="99"/>
        <v>2</v>
      </c>
      <c r="R152" s="8">
        <f t="shared" ca="1" si="100"/>
        <v>0</v>
      </c>
      <c r="S152" s="8">
        <f t="shared" ca="1" si="101"/>
        <v>1</v>
      </c>
      <c r="T152" s="8">
        <f t="shared" ca="1" si="102"/>
        <v>1</v>
      </c>
      <c r="U152" s="8">
        <f t="shared" ca="1" si="103"/>
        <v>0</v>
      </c>
      <c r="V152" s="8">
        <f t="shared" ca="1" si="104"/>
        <v>12</v>
      </c>
      <c r="W152" s="11">
        <f t="shared" ca="1" si="105"/>
        <v>0.5</v>
      </c>
      <c r="X152" s="11">
        <f t="shared" ca="1" si="106"/>
        <v>0.75</v>
      </c>
      <c r="Y152" s="11" t="str">
        <f t="shared" ca="1" si="107"/>
        <v/>
      </c>
      <c r="Z152" s="11">
        <f t="shared" ca="1" si="108"/>
        <v>0.625</v>
      </c>
      <c r="AA152" s="11">
        <f t="shared" ca="1" si="109"/>
        <v>0.75</v>
      </c>
      <c r="AB152" s="47">
        <f ca="1">PlayerGameData[[#This Row],[3FGA]]+PlayerGameData[[#This Row],[2FGA]]</f>
        <v>8</v>
      </c>
      <c r="AC152" s="47">
        <f ca="1">PlayerGameData[[#This Row],[OFF REB]]+PlayerGameData[[#This Row],[DEF REB]]</f>
        <v>7</v>
      </c>
      <c r="AD152" s="8">
        <f t="shared" si="90"/>
        <v>7</v>
      </c>
      <c r="AE152" s="8" t="str">
        <f t="shared" ca="1" si="91"/>
        <v>Logan Timberman, 3 - Moorcroft 1/9/2023</v>
      </c>
      <c r="AF152" s="8" t="str">
        <f t="shared" ca="1" si="110"/>
        <v/>
      </c>
      <c r="AG152" s="8" t="str">
        <f ca="1">IFERROR(IF(C152=0,"",IF(AND(VLOOKUP(PlayerGameData[[#This Row],[Opponent]],WYTeamInfo,2,FALSE)=Roster!$D$1,VLOOKUP(PlayerGameData[[#This Row],[Opponent]],WYTeamInfo,3,FALSE)=Roster!$D$2),"SR","")),"")</f>
        <v/>
      </c>
      <c r="AH152" s="8" t="str">
        <f>CONCATENATE(Roster!$D$1," ",Roster!$D$5)</f>
        <v>1A BB</v>
      </c>
      <c r="AI152" s="8" t="str">
        <f t="shared" ca="1" si="92"/>
        <v>Upton - Moorcroft 1/9/2023</v>
      </c>
      <c r="AJ152" s="8">
        <f ca="1">IFERROR(VLOOKUP(PlayerGameData[[#This Row],[School, Opponent,Game'#]],Table3[],2,FALSE),0)</f>
        <v>1</v>
      </c>
      <c r="AK152" s="8">
        <f ca="1">IF(PlayerGameData[[#This Row],[Visible]]=1,1,1000)</f>
        <v>1</v>
      </c>
      <c r="AL152" s="8">
        <f ca="1">RANK(PlayerGameData[[#This Row],[TL PTS]],PlayerGameData[TL PTS],0)+PlayerGameData[[#This Row],[VisibleOrder]]</f>
        <v>51</v>
      </c>
      <c r="AM152" s="8">
        <f ca="1">IF(COUNTIF(PlayerGameData[PointOrder],PlayerGameData[[#This Row],[PointOrder]])&gt;1,RANK(PlayerGameData[[#This Row],[FGA]],PlayerGameData[FGA],0)/100,0)+PlayerGameData[[#This Row],[PointOrder]]</f>
        <v>51.76</v>
      </c>
      <c r="AN152" s="8">
        <f ca="1">RANK(PlayerGameData[[#This Row],[PointTieBreak]],PlayerGameData[PointTieBreak],1)</f>
        <v>54</v>
      </c>
      <c r="AO152" s="8">
        <f ca="1">RANK(PlayerGameData[[#This Row],[REB]],PlayerGameData[REB],0)+PlayerGameData[[#This Row],[VisibleOrder]]</f>
        <v>29</v>
      </c>
      <c r="AP152" s="8">
        <f ca="1">IF(COUNTIF(PlayerGameData[REBOrder],PlayerGameData[[#This Row],[REBOrder]])&gt;1,PlayerGameData[[#This Row],[PointRank]]/100+PlayerGameData[[#This Row],[REBOrder]],PlayerGameData[[#This Row],[REBOrder]])</f>
        <v>29.54</v>
      </c>
      <c r="AQ152" s="8">
        <f ca="1">RANK(PlayerGameData[[#This Row],[REBTieBreak]],PlayerGameData[REBTieBreak],1)</f>
        <v>30</v>
      </c>
      <c r="AR152" s="8">
        <f ca="1">RANK(PlayerGameData[[#This Row],[AST]],PlayerGameData[AST],0)+PlayerGameData[[#This Row],[VisibleOrder]]</f>
        <v>69</v>
      </c>
      <c r="AS152" s="8">
        <f ca="1">IF(COUNTIF(PlayerGameData[ASTOrder],PlayerGameData[[#This Row],[ASTOrder]])&gt;1,PlayerGameData[[#This Row],[PointRank]]/100+PlayerGameData[[#This Row],[ASTOrder]],PlayerGameData[[#This Row],[ASTOrder]])</f>
        <v>69.540000000000006</v>
      </c>
      <c r="AT152" s="8">
        <f ca="1">RANK(PlayerGameData[[#This Row],[ASTTieBreak]],PlayerGameData[ASTTieBreak],1)</f>
        <v>81</v>
      </c>
      <c r="AU152" s="8">
        <f ca="1">RANK(PlayerGameData[[#This Row],[STL]],PlayerGameData[STL],0)+PlayerGameData[[#This Row],[VisibleOrder]]</f>
        <v>48</v>
      </c>
      <c r="AV152" s="8">
        <f ca="1">IF(COUNTIF(PlayerGameData[STLOrder],PlayerGameData[[#This Row],[STLOrder]])&gt;1,PlayerGameData[[#This Row],[PointRank]]/100+PlayerGameData[[#This Row],[STLOrder]],PlayerGameData[[#This Row],[STLOrder]])</f>
        <v>48.54</v>
      </c>
      <c r="AW152" s="8">
        <f ca="1">RANK(PlayerGameData[[#This Row],[STLTieBreak]],PlayerGameData[STLTieBreak],1)</f>
        <v>54</v>
      </c>
      <c r="AX152" s="8">
        <f ca="1">RANK(PlayerGameData[[#This Row],[BLK]],PlayerGameData[BLK],0)+PlayerGameData[[#This Row],[VisibleOrder]]</f>
        <v>32</v>
      </c>
      <c r="AY152" s="8">
        <f ca="1">IF(COUNTIF(PlayerGameData[BLKOrder],PlayerGameData[[#This Row],[BLKOrder]])&gt;1,PlayerGameData[[#This Row],[PointRank]]/100+PlayerGameData[[#This Row],[BLKOrder]],PlayerGameData[[#This Row],[BLKOrder]])</f>
        <v>32.54</v>
      </c>
      <c r="AZ152" s="8">
        <f ca="1">RANK(PlayerGameData[[#This Row],[BLKTieBreak]],PlayerGameData[BLKTieBreak],1)</f>
        <v>73</v>
      </c>
      <c r="BA152" s="11">
        <f ca="1">IFERROR(IF(PlayerGameData[[#This Row],[FGA]]&gt;$AA$5,PlayerGameData[[#This Row],[FG%*]],PlayerGameData[[#This Row],[FG%*]]*-1),-2)</f>
        <v>0.625</v>
      </c>
      <c r="BB152" s="8">
        <f ca="1">RANK(PlayerGameData[[#This Row],[EligFG]],PlayerGameData[EligFG],0)+PlayerGameData[[#This Row],[VisibleOrder]]</f>
        <v>17</v>
      </c>
      <c r="BC152" s="8">
        <f ca="1">IF(COUNTIF(PlayerGameData[EligFGOrder],PlayerGameData[[#This Row],[EligFGOrder]])&gt;1,PlayerGameData[[#This Row],[PointRank]]/100+PlayerGameData[[#This Row],[EligFGOrder]],PlayerGameData[[#This Row],[EligFGOrder]])</f>
        <v>17.54</v>
      </c>
      <c r="BD152" s="8">
        <f ca="1">RANK(PlayerGameData[[#This Row],[EligFGTieBreak]],PlayerGameData[EligFGTieBreak],1)</f>
        <v>18</v>
      </c>
      <c r="BE152" s="8" t="str">
        <f>Roster!$D$3</f>
        <v>East</v>
      </c>
      <c r="BF152" s="8" t="str">
        <f>Roster!$D$2</f>
        <v>Northeast</v>
      </c>
      <c r="BG152" s="8" t="str">
        <f>Roster!$D$4</f>
        <v>North</v>
      </c>
      <c r="BH152" s="197">
        <f ca="1">IFERROR(VLOOKUP(CONCATENATE(PlayerGameData[[#This Row],[Opponent]]," ",MONTH(PlayerGameData[[#This Row],[Date]]),"/",DAY(PlayerGameData[[#This Row],[Date]]),"/",YEAR(PlayerGameData[[#This Row],[Date]])),Table35[],2,FALSE),0)</f>
        <v>1</v>
      </c>
      <c r="BI152" s="197">
        <f ca="1">IF(PlayerGameData[[#This Row],[Visible]]=1,1,1000)</f>
        <v>1</v>
      </c>
      <c r="BJ152" s="197" t="e">
        <f ca="1">_xlfn.MAXIFS(TeamGameData[Win],TeamGameData[School, Opponent,Game'#],PlayerGameData[[#This Row],[School, Opponent,Game'#]])</f>
        <v>#NAME?</v>
      </c>
      <c r="BK152" s="197" t="e">
        <f ca="1">_xlfn.MAXIFS(TeamGameData[Loss],TeamGameData[School, Opponent,Game'#],PlayerGameData[[#This Row],[School, Opponent,Game'#]])</f>
        <v>#NAME?</v>
      </c>
    </row>
    <row r="153" spans="1:63" x14ac:dyDescent="0.25">
      <c r="A153" s="8" t="str">
        <f t="shared" ca="1" si="93"/>
        <v>Chase Mills, 5</v>
      </c>
      <c r="B153" s="8" t="str">
        <f>Roster!$B$1</f>
        <v>Upton</v>
      </c>
      <c r="C153" s="8" t="str">
        <f t="shared" ca="1" si="81"/>
        <v>Moorcroft</v>
      </c>
      <c r="D153" s="10">
        <f t="shared" ca="1" si="82"/>
        <v>44935</v>
      </c>
      <c r="E153" s="8">
        <f t="shared" ca="1" si="83"/>
        <v>1</v>
      </c>
      <c r="F153" s="8">
        <f t="shared" ca="1" si="84"/>
        <v>1</v>
      </c>
      <c r="G153" s="8">
        <f t="shared" ca="1" si="85"/>
        <v>29</v>
      </c>
      <c r="H153" s="8">
        <f t="shared" ca="1" si="86"/>
        <v>1</v>
      </c>
      <c r="I153" s="8">
        <f t="shared" ca="1" si="87"/>
        <v>5</v>
      </c>
      <c r="J153" s="8">
        <f t="shared" ca="1" si="88"/>
        <v>6</v>
      </c>
      <c r="K153" s="8">
        <f t="shared" ca="1" si="89"/>
        <v>13</v>
      </c>
      <c r="L153" s="8">
        <f t="shared" ca="1" si="94"/>
        <v>1</v>
      </c>
      <c r="M153" s="8">
        <f t="shared" ca="1" si="95"/>
        <v>1</v>
      </c>
      <c r="N153" s="8">
        <f t="shared" ca="1" si="96"/>
        <v>4</v>
      </c>
      <c r="O153" s="8">
        <f t="shared" ca="1" si="97"/>
        <v>2</v>
      </c>
      <c r="P153" s="8">
        <f t="shared" ca="1" si="98"/>
        <v>7</v>
      </c>
      <c r="Q153" s="8">
        <f t="shared" ca="1" si="99"/>
        <v>5</v>
      </c>
      <c r="R153" s="8">
        <f t="shared" ca="1" si="100"/>
        <v>1</v>
      </c>
      <c r="S153" s="8">
        <f t="shared" ca="1" si="101"/>
        <v>7</v>
      </c>
      <c r="T153" s="8">
        <f t="shared" ca="1" si="102"/>
        <v>1</v>
      </c>
      <c r="U153" s="8">
        <f t="shared" ca="1" si="103"/>
        <v>0</v>
      </c>
      <c r="V153" s="8">
        <f t="shared" ca="1" si="104"/>
        <v>16</v>
      </c>
      <c r="W153" s="11">
        <f t="shared" ca="1" si="105"/>
        <v>0.2</v>
      </c>
      <c r="X153" s="11">
        <f t="shared" ca="1" si="106"/>
        <v>0.46153846153846156</v>
      </c>
      <c r="Y153" s="11">
        <f t="shared" ca="1" si="107"/>
        <v>1</v>
      </c>
      <c r="Z153" s="11">
        <f t="shared" ca="1" si="108"/>
        <v>0.3888888888888889</v>
      </c>
      <c r="AA153" s="11">
        <f t="shared" ca="1" si="109"/>
        <v>0.41666666666666669</v>
      </c>
      <c r="AB153" s="47">
        <f ca="1">PlayerGameData[[#This Row],[3FGA]]+PlayerGameData[[#This Row],[2FGA]]</f>
        <v>18</v>
      </c>
      <c r="AC153" s="47">
        <f ca="1">PlayerGameData[[#This Row],[OFF REB]]+PlayerGameData[[#This Row],[DEF REB]]</f>
        <v>6</v>
      </c>
      <c r="AD153" s="8">
        <f t="shared" si="90"/>
        <v>7</v>
      </c>
      <c r="AE153" s="8" t="str">
        <f t="shared" ca="1" si="91"/>
        <v>Chase Mills, 5 - Moorcroft 1/9/2023</v>
      </c>
      <c r="AF153" s="8" t="str">
        <f t="shared" ca="1" si="110"/>
        <v/>
      </c>
      <c r="AG153" s="8" t="str">
        <f ca="1">IFERROR(IF(C153=0,"",IF(AND(VLOOKUP(PlayerGameData[[#This Row],[Opponent]],WYTeamInfo,2,FALSE)=Roster!$D$1,VLOOKUP(PlayerGameData[[#This Row],[Opponent]],WYTeamInfo,3,FALSE)=Roster!$D$2),"SR","")),"")</f>
        <v/>
      </c>
      <c r="AH153" s="8" t="str">
        <f>CONCATENATE(Roster!$D$1," ",Roster!$D$5)</f>
        <v>1A BB</v>
      </c>
      <c r="AI153" s="8" t="str">
        <f t="shared" ca="1" si="92"/>
        <v>Upton - Moorcroft 1/9/2023</v>
      </c>
      <c r="AJ153" s="8">
        <f ca="1">IFERROR(VLOOKUP(PlayerGameData[[#This Row],[School, Opponent,Game'#]],Table3[],2,FALSE),0)</f>
        <v>1</v>
      </c>
      <c r="AK153" s="8">
        <f ca="1">IF(PlayerGameData[[#This Row],[Visible]]=1,1,1000)</f>
        <v>1</v>
      </c>
      <c r="AL153" s="8">
        <f ca="1">RANK(PlayerGameData[[#This Row],[TL PTS]],PlayerGameData[TL PTS],0)+PlayerGameData[[#This Row],[VisibleOrder]]</f>
        <v>26</v>
      </c>
      <c r="AM153" s="8">
        <f ca="1">IF(COUNTIF(PlayerGameData[PointOrder],PlayerGameData[[#This Row],[PointOrder]])&gt;1,RANK(PlayerGameData[[#This Row],[FGA]],PlayerGameData[FGA],0)/100,0)+PlayerGameData[[#This Row],[PointOrder]]</f>
        <v>26.02</v>
      </c>
      <c r="AN153" s="8">
        <f ca="1">RANK(PlayerGameData[[#This Row],[PointTieBreak]],PlayerGameData[PointTieBreak],1)</f>
        <v>25</v>
      </c>
      <c r="AO153" s="8">
        <f ca="1">RANK(PlayerGameData[[#This Row],[REB]],PlayerGameData[REB],0)+PlayerGameData[[#This Row],[VisibleOrder]]</f>
        <v>38</v>
      </c>
      <c r="AP153" s="8">
        <f ca="1">IF(COUNTIF(PlayerGameData[REBOrder],PlayerGameData[[#This Row],[REBOrder]])&gt;1,PlayerGameData[[#This Row],[PointRank]]/100+PlayerGameData[[#This Row],[REBOrder]],PlayerGameData[[#This Row],[REBOrder]])</f>
        <v>38.25</v>
      </c>
      <c r="AQ153" s="8">
        <f ca="1">RANK(PlayerGameData[[#This Row],[REBTieBreak]],PlayerGameData[REBTieBreak],1)</f>
        <v>39</v>
      </c>
      <c r="AR153" s="8">
        <f ca="1">RANK(PlayerGameData[[#This Row],[AST]],PlayerGameData[AST],0)+PlayerGameData[[#This Row],[VisibleOrder]]</f>
        <v>4</v>
      </c>
      <c r="AS153" s="8">
        <f ca="1">IF(COUNTIF(PlayerGameData[ASTOrder],PlayerGameData[[#This Row],[ASTOrder]])&gt;1,PlayerGameData[[#This Row],[PointRank]]/100+PlayerGameData[[#This Row],[ASTOrder]],PlayerGameData[[#This Row],[ASTOrder]])</f>
        <v>4.25</v>
      </c>
      <c r="AT153" s="8">
        <f ca="1">RANK(PlayerGameData[[#This Row],[ASTTieBreak]],PlayerGameData[ASTTieBreak],1)</f>
        <v>3</v>
      </c>
      <c r="AU153" s="8">
        <f ca="1">RANK(PlayerGameData[[#This Row],[STL]],PlayerGameData[STL],0)+PlayerGameData[[#This Row],[VisibleOrder]]</f>
        <v>4</v>
      </c>
      <c r="AV153" s="8">
        <f ca="1">IF(COUNTIF(PlayerGameData[STLOrder],PlayerGameData[[#This Row],[STLOrder]])&gt;1,PlayerGameData[[#This Row],[PointRank]]/100+PlayerGameData[[#This Row],[STLOrder]],PlayerGameData[[#This Row],[STLOrder]])</f>
        <v>4.25</v>
      </c>
      <c r="AW153" s="8">
        <f ca="1">RANK(PlayerGameData[[#This Row],[STLTieBreak]],PlayerGameData[STLTieBreak],1)</f>
        <v>4</v>
      </c>
      <c r="AX153" s="8">
        <f ca="1">RANK(PlayerGameData[[#This Row],[BLK]],PlayerGameData[BLK],0)+PlayerGameData[[#This Row],[VisibleOrder]]</f>
        <v>11</v>
      </c>
      <c r="AY153" s="8">
        <f ca="1">IF(COUNTIF(PlayerGameData[BLKOrder],PlayerGameData[[#This Row],[BLKOrder]])&gt;1,PlayerGameData[[#This Row],[PointRank]]/100+PlayerGameData[[#This Row],[BLKOrder]],PlayerGameData[[#This Row],[BLKOrder]])</f>
        <v>11.25</v>
      </c>
      <c r="AZ153" s="8">
        <f ca="1">RANK(PlayerGameData[[#This Row],[BLKTieBreak]],PlayerGameData[BLKTieBreak],1)</f>
        <v>11</v>
      </c>
      <c r="BA153" s="11">
        <f ca="1">IFERROR(IF(PlayerGameData[[#This Row],[FGA]]&gt;$AA$5,PlayerGameData[[#This Row],[FG%*]],PlayerGameData[[#This Row],[FG%*]]*-1),-2)</f>
        <v>0.3888888888888889</v>
      </c>
      <c r="BB153" s="8">
        <f ca="1">RANK(PlayerGameData[[#This Row],[EligFG]],PlayerGameData[EligFG],0)+PlayerGameData[[#This Row],[VisibleOrder]]</f>
        <v>72</v>
      </c>
      <c r="BC153" s="8">
        <f ca="1">IF(COUNTIF(PlayerGameData[EligFGOrder],PlayerGameData[[#This Row],[EligFGOrder]])&gt;1,PlayerGameData[[#This Row],[PointRank]]/100+PlayerGameData[[#This Row],[EligFGOrder]],PlayerGameData[[#This Row],[EligFGOrder]])</f>
        <v>72</v>
      </c>
      <c r="BD153" s="8">
        <f ca="1">RANK(PlayerGameData[[#This Row],[EligFGTieBreak]],PlayerGameData[EligFGTieBreak],1)</f>
        <v>71</v>
      </c>
      <c r="BE153" s="8" t="str">
        <f>Roster!$D$3</f>
        <v>East</v>
      </c>
      <c r="BF153" s="8" t="str">
        <f>Roster!$D$2</f>
        <v>Northeast</v>
      </c>
      <c r="BG153" s="8" t="str">
        <f>Roster!$D$4</f>
        <v>North</v>
      </c>
      <c r="BH153" s="197">
        <f ca="1">IFERROR(VLOOKUP(CONCATENATE(PlayerGameData[[#This Row],[Opponent]]," ",MONTH(PlayerGameData[[#This Row],[Date]]),"/",DAY(PlayerGameData[[#This Row],[Date]]),"/",YEAR(PlayerGameData[[#This Row],[Date]])),Table35[],2,FALSE),0)</f>
        <v>1</v>
      </c>
      <c r="BI153" s="197">
        <f ca="1">IF(PlayerGameData[[#This Row],[Visible]]=1,1,1000)</f>
        <v>1</v>
      </c>
      <c r="BJ153" s="197" t="e">
        <f ca="1">_xlfn.MAXIFS(TeamGameData[Win],TeamGameData[School, Opponent,Game'#],PlayerGameData[[#This Row],[School, Opponent,Game'#]])</f>
        <v>#NAME?</v>
      </c>
      <c r="BK153" s="197" t="e">
        <f ca="1">_xlfn.MAXIFS(TeamGameData[Loss],TeamGameData[School, Opponent,Game'#],PlayerGameData[[#This Row],[School, Opponent,Game'#]])</f>
        <v>#NAME?</v>
      </c>
    </row>
    <row r="154" spans="1:63" x14ac:dyDescent="0.25">
      <c r="A154" s="8" t="str">
        <f t="shared" ca="1" si="93"/>
        <v>Rhett Watt, 10</v>
      </c>
      <c r="B154" s="8" t="str">
        <f>Roster!$B$1</f>
        <v>Upton</v>
      </c>
      <c r="C154" s="8" t="str">
        <f t="shared" ca="1" si="81"/>
        <v>Moorcroft</v>
      </c>
      <c r="D154" s="10">
        <f t="shared" ca="1" si="82"/>
        <v>44935</v>
      </c>
      <c r="E154" s="8">
        <f t="shared" ca="1" si="83"/>
        <v>1</v>
      </c>
      <c r="F154" s="8">
        <f t="shared" ca="1" si="84"/>
        <v>1</v>
      </c>
      <c r="G154" s="8">
        <f t="shared" ca="1" si="85"/>
        <v>26</v>
      </c>
      <c r="H154" s="8">
        <f t="shared" ca="1" si="86"/>
        <v>2</v>
      </c>
      <c r="I154" s="8">
        <f t="shared" ca="1" si="87"/>
        <v>6</v>
      </c>
      <c r="J154" s="8">
        <f t="shared" ca="1" si="88"/>
        <v>2</v>
      </c>
      <c r="K154" s="8">
        <f t="shared" ca="1" si="89"/>
        <v>7</v>
      </c>
      <c r="L154" s="8">
        <f t="shared" ca="1" si="94"/>
        <v>0</v>
      </c>
      <c r="M154" s="8">
        <f t="shared" ca="1" si="95"/>
        <v>0</v>
      </c>
      <c r="N154" s="8">
        <f t="shared" ca="1" si="96"/>
        <v>1</v>
      </c>
      <c r="O154" s="8">
        <f t="shared" ca="1" si="97"/>
        <v>3</v>
      </c>
      <c r="P154" s="8">
        <f t="shared" ca="1" si="98"/>
        <v>4</v>
      </c>
      <c r="Q154" s="8">
        <f t="shared" ca="1" si="99"/>
        <v>0</v>
      </c>
      <c r="R154" s="8">
        <f t="shared" ca="1" si="100"/>
        <v>0</v>
      </c>
      <c r="S154" s="8">
        <f t="shared" ca="1" si="101"/>
        <v>1</v>
      </c>
      <c r="T154" s="8">
        <f t="shared" ca="1" si="102"/>
        <v>0</v>
      </c>
      <c r="U154" s="8">
        <f t="shared" ca="1" si="103"/>
        <v>1</v>
      </c>
      <c r="V154" s="8">
        <f t="shared" ca="1" si="104"/>
        <v>10</v>
      </c>
      <c r="W154" s="11">
        <f t="shared" ca="1" si="105"/>
        <v>0.33333333333333331</v>
      </c>
      <c r="X154" s="11">
        <f t="shared" ca="1" si="106"/>
        <v>0.2857142857142857</v>
      </c>
      <c r="Y154" s="11" t="str">
        <f t="shared" ca="1" si="107"/>
        <v/>
      </c>
      <c r="Z154" s="11">
        <f t="shared" ca="1" si="108"/>
        <v>0.30769230769230771</v>
      </c>
      <c r="AA154" s="11">
        <f t="shared" ca="1" si="109"/>
        <v>0.38461538461538464</v>
      </c>
      <c r="AB154" s="47">
        <f ca="1">PlayerGameData[[#This Row],[3FGA]]+PlayerGameData[[#This Row],[2FGA]]</f>
        <v>13</v>
      </c>
      <c r="AC154" s="47">
        <f ca="1">PlayerGameData[[#This Row],[OFF REB]]+PlayerGameData[[#This Row],[DEF REB]]</f>
        <v>4</v>
      </c>
      <c r="AD154" s="8">
        <f t="shared" si="90"/>
        <v>7</v>
      </c>
      <c r="AE154" s="8" t="str">
        <f t="shared" ca="1" si="91"/>
        <v>Rhett Watt, 10 - Moorcroft 1/9/2023</v>
      </c>
      <c r="AF154" s="8" t="str">
        <f t="shared" ca="1" si="110"/>
        <v/>
      </c>
      <c r="AG154" s="8" t="str">
        <f ca="1">IFERROR(IF(C154=0,"",IF(AND(VLOOKUP(PlayerGameData[[#This Row],[Opponent]],WYTeamInfo,2,FALSE)=Roster!$D$1,VLOOKUP(PlayerGameData[[#This Row],[Opponent]],WYTeamInfo,3,FALSE)=Roster!$D$2),"SR","")),"")</f>
        <v/>
      </c>
      <c r="AH154" s="8" t="str">
        <f>CONCATENATE(Roster!$D$1," ",Roster!$D$5)</f>
        <v>1A BB</v>
      </c>
      <c r="AI154" s="8" t="str">
        <f t="shared" ca="1" si="92"/>
        <v>Upton - Moorcroft 1/9/2023</v>
      </c>
      <c r="AJ154" s="8">
        <f ca="1">IFERROR(VLOOKUP(PlayerGameData[[#This Row],[School, Opponent,Game'#]],Table3[],2,FALSE),0)</f>
        <v>1</v>
      </c>
      <c r="AK154" s="8">
        <f ca="1">IF(PlayerGameData[[#This Row],[Visible]]=1,1,1000)</f>
        <v>1</v>
      </c>
      <c r="AL154" s="8">
        <f ca="1">RANK(PlayerGameData[[#This Row],[TL PTS]],PlayerGameData[TL PTS],0)+PlayerGameData[[#This Row],[VisibleOrder]]</f>
        <v>66</v>
      </c>
      <c r="AM154" s="8">
        <f ca="1">IF(COUNTIF(PlayerGameData[PointOrder],PlayerGameData[[#This Row],[PointOrder]])&gt;1,RANK(PlayerGameData[[#This Row],[FGA]],PlayerGameData[FGA],0)/100,0)+PlayerGameData[[#This Row],[PointOrder]]</f>
        <v>66.17</v>
      </c>
      <c r="AN154" s="8">
        <f ca="1">RANK(PlayerGameData[[#This Row],[PointTieBreak]],PlayerGameData[PointTieBreak],1)</f>
        <v>65</v>
      </c>
      <c r="AO154" s="8">
        <f ca="1">RANK(PlayerGameData[[#This Row],[REB]],PlayerGameData[REB],0)+PlayerGameData[[#This Row],[VisibleOrder]]</f>
        <v>79</v>
      </c>
      <c r="AP154" s="8">
        <f ca="1">IF(COUNTIF(PlayerGameData[REBOrder],PlayerGameData[[#This Row],[REBOrder]])&gt;1,PlayerGameData[[#This Row],[PointRank]]/100+PlayerGameData[[#This Row],[REBOrder]],PlayerGameData[[#This Row],[REBOrder]])</f>
        <v>79.650000000000006</v>
      </c>
      <c r="AQ154" s="8">
        <f ca="1">RANK(PlayerGameData[[#This Row],[REBTieBreak]],PlayerGameData[REBTieBreak],1)</f>
        <v>91</v>
      </c>
      <c r="AR154" s="8">
        <f ca="1">RANK(PlayerGameData[[#This Row],[AST]],PlayerGameData[AST],0)+PlayerGameData[[#This Row],[VisibleOrder]]</f>
        <v>24</v>
      </c>
      <c r="AS154" s="8">
        <f ca="1">IF(COUNTIF(PlayerGameData[ASTOrder],PlayerGameData[[#This Row],[ASTOrder]])&gt;1,PlayerGameData[[#This Row],[PointRank]]/100+PlayerGameData[[#This Row],[ASTOrder]],PlayerGameData[[#This Row],[ASTOrder]])</f>
        <v>24.65</v>
      </c>
      <c r="AT154" s="8">
        <f ca="1">RANK(PlayerGameData[[#This Row],[ASTTieBreak]],PlayerGameData[ASTTieBreak],1)</f>
        <v>32</v>
      </c>
      <c r="AU154" s="8">
        <f ca="1">RANK(PlayerGameData[[#This Row],[STL]],PlayerGameData[STL],0)+PlayerGameData[[#This Row],[VisibleOrder]]</f>
        <v>143</v>
      </c>
      <c r="AV154" s="8">
        <f ca="1">IF(COUNTIF(PlayerGameData[STLOrder],PlayerGameData[[#This Row],[STLOrder]])&gt;1,PlayerGameData[[#This Row],[PointRank]]/100+PlayerGameData[[#This Row],[STLOrder]],PlayerGameData[[#This Row],[STLOrder]])</f>
        <v>143.65</v>
      </c>
      <c r="AW154" s="8">
        <f ca="1">RANK(PlayerGameData[[#This Row],[STLTieBreak]],PlayerGameData[STLTieBreak],1)</f>
        <v>153</v>
      </c>
      <c r="AX154" s="8">
        <f ca="1">RANK(PlayerGameData[[#This Row],[BLK]],PlayerGameData[BLK],0)+PlayerGameData[[#This Row],[VisibleOrder]]</f>
        <v>32</v>
      </c>
      <c r="AY154" s="8">
        <f ca="1">IF(COUNTIF(PlayerGameData[BLKOrder],PlayerGameData[[#This Row],[BLKOrder]])&gt;1,PlayerGameData[[#This Row],[PointRank]]/100+PlayerGameData[[#This Row],[BLKOrder]],PlayerGameData[[#This Row],[BLKOrder]])</f>
        <v>32.65</v>
      </c>
      <c r="AZ154" s="8">
        <f ca="1">RANK(PlayerGameData[[#This Row],[BLKTieBreak]],PlayerGameData[BLKTieBreak],1)</f>
        <v>82</v>
      </c>
      <c r="BA154" s="11">
        <f ca="1">IFERROR(IF(PlayerGameData[[#This Row],[FGA]]&gt;$AA$5,PlayerGameData[[#This Row],[FG%*]],PlayerGameData[[#This Row],[FG%*]]*-1),-2)</f>
        <v>0.30769230769230771</v>
      </c>
      <c r="BB154" s="8">
        <f ca="1">RANK(PlayerGameData[[#This Row],[EligFG]],PlayerGameData[EligFG],0)+PlayerGameData[[#This Row],[VisibleOrder]]</f>
        <v>88</v>
      </c>
      <c r="BC154" s="8">
        <f ca="1">IF(COUNTIF(PlayerGameData[EligFGOrder],PlayerGameData[[#This Row],[EligFGOrder]])&gt;1,PlayerGameData[[#This Row],[PointRank]]/100+PlayerGameData[[#This Row],[EligFGOrder]],PlayerGameData[[#This Row],[EligFGOrder]])</f>
        <v>88</v>
      </c>
      <c r="BD154" s="8">
        <f ca="1">RANK(PlayerGameData[[#This Row],[EligFGTieBreak]],PlayerGameData[EligFGTieBreak],1)</f>
        <v>87</v>
      </c>
      <c r="BE154" s="8" t="str">
        <f>Roster!$D$3</f>
        <v>East</v>
      </c>
      <c r="BF154" s="8" t="str">
        <f>Roster!$D$2</f>
        <v>Northeast</v>
      </c>
      <c r="BG154" s="8" t="str">
        <f>Roster!$D$4</f>
        <v>North</v>
      </c>
      <c r="BH154" s="197">
        <f ca="1">IFERROR(VLOOKUP(CONCATENATE(PlayerGameData[[#This Row],[Opponent]]," ",MONTH(PlayerGameData[[#This Row],[Date]]),"/",DAY(PlayerGameData[[#This Row],[Date]]),"/",YEAR(PlayerGameData[[#This Row],[Date]])),Table35[],2,FALSE),0)</f>
        <v>1</v>
      </c>
      <c r="BI154" s="197">
        <f ca="1">IF(PlayerGameData[[#This Row],[Visible]]=1,1,1000)</f>
        <v>1</v>
      </c>
      <c r="BJ154" s="197" t="e">
        <f ca="1">_xlfn.MAXIFS(TeamGameData[Win],TeamGameData[School, Opponent,Game'#],PlayerGameData[[#This Row],[School, Opponent,Game'#]])</f>
        <v>#NAME?</v>
      </c>
      <c r="BK154" s="197" t="e">
        <f ca="1">_xlfn.MAXIFS(TeamGameData[Loss],TeamGameData[School, Opponent,Game'#],PlayerGameData[[#This Row],[School, Opponent,Game'#]])</f>
        <v>#NAME?</v>
      </c>
    </row>
    <row r="155" spans="1:63" x14ac:dyDescent="0.25">
      <c r="A155" s="8" t="str">
        <f t="shared" ca="1" si="93"/>
        <v>Keith Coburn, 11</v>
      </c>
      <c r="B155" s="8" t="str">
        <f>Roster!$B$1</f>
        <v>Upton</v>
      </c>
      <c r="C155" s="8" t="str">
        <f t="shared" ca="1" si="81"/>
        <v>Moorcroft</v>
      </c>
      <c r="D155" s="10">
        <f t="shared" ca="1" si="82"/>
        <v>44935</v>
      </c>
      <c r="E155" s="8">
        <f t="shared" ca="1" si="83"/>
        <v>0</v>
      </c>
      <c r="F155" s="8">
        <f t="shared" ca="1" si="84"/>
        <v>0</v>
      </c>
      <c r="G155" s="8">
        <f t="shared" ca="1" si="85"/>
        <v>0</v>
      </c>
      <c r="H155" s="8">
        <f t="shared" ca="1" si="86"/>
        <v>0</v>
      </c>
      <c r="I155" s="8">
        <f t="shared" ca="1" si="87"/>
        <v>0</v>
      </c>
      <c r="J155" s="8">
        <f t="shared" ca="1" si="88"/>
        <v>0</v>
      </c>
      <c r="K155" s="8">
        <f t="shared" ca="1" si="89"/>
        <v>0</v>
      </c>
      <c r="L155" s="8">
        <f t="shared" ca="1" si="94"/>
        <v>0</v>
      </c>
      <c r="M155" s="8">
        <f t="shared" ca="1" si="95"/>
        <v>0</v>
      </c>
      <c r="N155" s="8">
        <f t="shared" ca="1" si="96"/>
        <v>0</v>
      </c>
      <c r="O155" s="8">
        <f t="shared" ca="1" si="97"/>
        <v>0</v>
      </c>
      <c r="P155" s="8">
        <f t="shared" ca="1" si="98"/>
        <v>0</v>
      </c>
      <c r="Q155" s="8">
        <f t="shared" ca="1" si="99"/>
        <v>0</v>
      </c>
      <c r="R155" s="8">
        <f t="shared" ca="1" si="100"/>
        <v>0</v>
      </c>
      <c r="S155" s="8">
        <f t="shared" ca="1" si="101"/>
        <v>0</v>
      </c>
      <c r="T155" s="8">
        <f t="shared" ca="1" si="102"/>
        <v>0</v>
      </c>
      <c r="U155" s="8">
        <f t="shared" ca="1" si="103"/>
        <v>0</v>
      </c>
      <c r="V155" s="8">
        <f t="shared" ca="1" si="104"/>
        <v>0</v>
      </c>
      <c r="W155" s="11" t="str">
        <f t="shared" ca="1" si="105"/>
        <v/>
      </c>
      <c r="X155" s="11" t="str">
        <f t="shared" ca="1" si="106"/>
        <v/>
      </c>
      <c r="Y155" s="11" t="str">
        <f t="shared" ca="1" si="107"/>
        <v/>
      </c>
      <c r="Z155" s="11" t="str">
        <f t="shared" ca="1" si="108"/>
        <v/>
      </c>
      <c r="AA155" s="11" t="str">
        <f t="shared" ca="1" si="109"/>
        <v/>
      </c>
      <c r="AB155" s="47">
        <f ca="1">PlayerGameData[[#This Row],[3FGA]]+PlayerGameData[[#This Row],[2FGA]]</f>
        <v>0</v>
      </c>
      <c r="AC155" s="47">
        <f ca="1">PlayerGameData[[#This Row],[OFF REB]]+PlayerGameData[[#This Row],[DEF REB]]</f>
        <v>0</v>
      </c>
      <c r="AD155" s="8">
        <f t="shared" si="90"/>
        <v>7</v>
      </c>
      <c r="AE155" s="8" t="str">
        <f t="shared" ca="1" si="91"/>
        <v>Keith Coburn, 11 - Moorcroft 1/9/2023</v>
      </c>
      <c r="AF155" s="8" t="str">
        <f t="shared" ca="1" si="110"/>
        <v/>
      </c>
      <c r="AG155" s="8" t="str">
        <f ca="1">IFERROR(IF(C155=0,"",IF(AND(VLOOKUP(PlayerGameData[[#This Row],[Opponent]],WYTeamInfo,2,FALSE)=Roster!$D$1,VLOOKUP(PlayerGameData[[#This Row],[Opponent]],WYTeamInfo,3,FALSE)=Roster!$D$2),"SR","")),"")</f>
        <v/>
      </c>
      <c r="AH155" s="8" t="str">
        <f>CONCATENATE(Roster!$D$1," ",Roster!$D$5)</f>
        <v>1A BB</v>
      </c>
      <c r="AI155" s="8" t="str">
        <f t="shared" ca="1" si="92"/>
        <v>Upton - Moorcroft 1/9/2023</v>
      </c>
      <c r="AJ155" s="8">
        <f ca="1">IFERROR(VLOOKUP(PlayerGameData[[#This Row],[School, Opponent,Game'#]],Table3[],2,FALSE),0)</f>
        <v>1</v>
      </c>
      <c r="AK155" s="8">
        <f ca="1">IF(PlayerGameData[[#This Row],[Visible]]=1,1,1000)</f>
        <v>1</v>
      </c>
      <c r="AL155" s="8">
        <f ca="1">RANK(PlayerGameData[[#This Row],[TL PTS]],PlayerGameData[TL PTS],0)+PlayerGameData[[#This Row],[VisibleOrder]]</f>
        <v>185</v>
      </c>
      <c r="AM155" s="8">
        <f ca="1">IF(COUNTIF(PlayerGameData[PointOrder],PlayerGameData[[#This Row],[PointOrder]])&gt;1,RANK(PlayerGameData[[#This Row],[FGA]],PlayerGameData[FGA],0)/100,0)+PlayerGameData[[#This Row],[PointOrder]]</f>
        <v>187.14</v>
      </c>
      <c r="AN155" s="8">
        <f ca="1">RANK(PlayerGameData[[#This Row],[PointTieBreak]],PlayerGameData[PointTieBreak],1)</f>
        <v>216</v>
      </c>
      <c r="AO155" s="8">
        <f ca="1">RANK(PlayerGameData[[#This Row],[REB]],PlayerGameData[REB],0)+PlayerGameData[[#This Row],[VisibleOrder]]</f>
        <v>192</v>
      </c>
      <c r="AP155" s="8">
        <f ca="1">IF(COUNTIF(PlayerGameData[REBOrder],PlayerGameData[[#This Row],[REBOrder]])&gt;1,PlayerGameData[[#This Row],[PointRank]]/100+PlayerGameData[[#This Row],[REBOrder]],PlayerGameData[[#This Row],[REBOrder]])</f>
        <v>194.16</v>
      </c>
      <c r="AQ155" s="8">
        <f ca="1">RANK(PlayerGameData[[#This Row],[REBTieBreak]],PlayerGameData[REBTieBreak],1)</f>
        <v>224</v>
      </c>
      <c r="AR155" s="8">
        <f ca="1">RANK(PlayerGameData[[#This Row],[AST]],PlayerGameData[AST],0)+PlayerGameData[[#This Row],[VisibleOrder]]</f>
        <v>158</v>
      </c>
      <c r="AS155" s="8">
        <f ca="1">IF(COUNTIF(PlayerGameData[ASTOrder],PlayerGameData[[#This Row],[ASTOrder]])&gt;1,PlayerGameData[[#This Row],[PointRank]]/100+PlayerGameData[[#This Row],[ASTOrder]],PlayerGameData[[#This Row],[ASTOrder]])</f>
        <v>160.16</v>
      </c>
      <c r="AT155" s="8">
        <f ca="1">RANK(PlayerGameData[[#This Row],[ASTTieBreak]],PlayerGameData[ASTTieBreak],1)</f>
        <v>221</v>
      </c>
      <c r="AU155" s="8">
        <f ca="1">RANK(PlayerGameData[[#This Row],[STL]],PlayerGameData[STL],0)+PlayerGameData[[#This Row],[VisibleOrder]]</f>
        <v>143</v>
      </c>
      <c r="AV155" s="8">
        <f ca="1">IF(COUNTIF(PlayerGameData[STLOrder],PlayerGameData[[#This Row],[STLOrder]])&gt;1,PlayerGameData[[#This Row],[PointRank]]/100+PlayerGameData[[#This Row],[STLOrder]],PlayerGameData[[#This Row],[STLOrder]])</f>
        <v>145.16</v>
      </c>
      <c r="AW155" s="8">
        <f ca="1">RANK(PlayerGameData[[#This Row],[STLTieBreak]],PlayerGameData[STLTieBreak],1)</f>
        <v>217</v>
      </c>
      <c r="AX155" s="8">
        <f ca="1">RANK(PlayerGameData[[#This Row],[BLK]],PlayerGameData[BLK],0)+PlayerGameData[[#This Row],[VisibleOrder]]</f>
        <v>32</v>
      </c>
      <c r="AY155" s="8">
        <f ca="1">IF(COUNTIF(PlayerGameData[BLKOrder],PlayerGameData[[#This Row],[BLKOrder]])&gt;1,PlayerGameData[[#This Row],[PointRank]]/100+PlayerGameData[[#This Row],[BLKOrder]],PlayerGameData[[#This Row],[BLKOrder]])</f>
        <v>34.159999999999997</v>
      </c>
      <c r="AZ155" s="8">
        <f ca="1">RANK(PlayerGameData[[#This Row],[BLKTieBreak]],PlayerGameData[BLKTieBreak],1)</f>
        <v>216</v>
      </c>
      <c r="BA155" s="11">
        <f ca="1">IFERROR(IF(PlayerGameData[[#This Row],[FGA]]&gt;$AA$5,PlayerGameData[[#This Row],[FG%*]],PlayerGameData[[#This Row],[FG%*]]*-1),-2)</f>
        <v>-2</v>
      </c>
      <c r="BB155" s="8">
        <f ca="1">RANK(PlayerGameData[[#This Row],[EligFG]],PlayerGameData[EligFG],0)+PlayerGameData[[#This Row],[VisibleOrder]]</f>
        <v>215</v>
      </c>
      <c r="BC155" s="8">
        <f ca="1">IF(COUNTIF(PlayerGameData[EligFGOrder],PlayerGameData[[#This Row],[EligFGOrder]])&gt;1,PlayerGameData[[#This Row],[PointRank]]/100+PlayerGameData[[#This Row],[EligFGOrder]],PlayerGameData[[#This Row],[EligFGOrder]])</f>
        <v>217.16</v>
      </c>
      <c r="BD155" s="8">
        <f ca="1">RANK(PlayerGameData[[#This Row],[EligFGTieBreak]],PlayerGameData[EligFGTieBreak],1)</f>
        <v>216</v>
      </c>
      <c r="BE155" s="8" t="str">
        <f>Roster!$D$3</f>
        <v>East</v>
      </c>
      <c r="BF155" s="8" t="str">
        <f>Roster!$D$2</f>
        <v>Northeast</v>
      </c>
      <c r="BG155" s="8" t="str">
        <f>Roster!$D$4</f>
        <v>North</v>
      </c>
      <c r="BH155" s="197">
        <f ca="1">IFERROR(VLOOKUP(CONCATENATE(PlayerGameData[[#This Row],[Opponent]]," ",MONTH(PlayerGameData[[#This Row],[Date]]),"/",DAY(PlayerGameData[[#This Row],[Date]]),"/",YEAR(PlayerGameData[[#This Row],[Date]])),Table35[],2,FALSE),0)</f>
        <v>1</v>
      </c>
      <c r="BI155" s="197">
        <f ca="1">IF(PlayerGameData[[#This Row],[Visible]]=1,1,1000)</f>
        <v>1</v>
      </c>
      <c r="BJ155" s="197" t="e">
        <f ca="1">_xlfn.MAXIFS(TeamGameData[Win],TeamGameData[School, Opponent,Game'#],PlayerGameData[[#This Row],[School, Opponent,Game'#]])</f>
        <v>#NAME?</v>
      </c>
      <c r="BK155" s="197" t="e">
        <f ca="1">_xlfn.MAXIFS(TeamGameData[Loss],TeamGameData[School, Opponent,Game'#],PlayerGameData[[#This Row],[School, Opponent,Game'#]])</f>
        <v>#NAME?</v>
      </c>
    </row>
    <row r="156" spans="1:63" x14ac:dyDescent="0.25">
      <c r="A156" s="8" t="str">
        <f t="shared" ca="1" si="93"/>
        <v>Carson Barritt, 14</v>
      </c>
      <c r="B156" s="8" t="str">
        <f>Roster!$B$1</f>
        <v>Upton</v>
      </c>
      <c r="C156" s="8" t="str">
        <f t="shared" ca="1" si="81"/>
        <v>Moorcroft</v>
      </c>
      <c r="D156" s="10">
        <f t="shared" ca="1" si="82"/>
        <v>44935</v>
      </c>
      <c r="E156" s="8">
        <f t="shared" ca="1" si="83"/>
        <v>0</v>
      </c>
      <c r="F156" s="8">
        <f t="shared" ca="1" si="84"/>
        <v>0</v>
      </c>
      <c r="G156" s="8">
        <f t="shared" ca="1" si="85"/>
        <v>0</v>
      </c>
      <c r="H156" s="8">
        <f t="shared" ca="1" si="86"/>
        <v>0</v>
      </c>
      <c r="I156" s="8">
        <f t="shared" ca="1" si="87"/>
        <v>0</v>
      </c>
      <c r="J156" s="8">
        <f t="shared" ca="1" si="88"/>
        <v>0</v>
      </c>
      <c r="K156" s="8">
        <f t="shared" ca="1" si="89"/>
        <v>0</v>
      </c>
      <c r="L156" s="8">
        <f t="shared" ca="1" si="94"/>
        <v>0</v>
      </c>
      <c r="M156" s="8">
        <f t="shared" ca="1" si="95"/>
        <v>0</v>
      </c>
      <c r="N156" s="8">
        <f t="shared" ca="1" si="96"/>
        <v>0</v>
      </c>
      <c r="O156" s="8">
        <f t="shared" ca="1" si="97"/>
        <v>0</v>
      </c>
      <c r="P156" s="8">
        <f t="shared" ca="1" si="98"/>
        <v>0</v>
      </c>
      <c r="Q156" s="8">
        <f t="shared" ca="1" si="99"/>
        <v>0</v>
      </c>
      <c r="R156" s="8">
        <f t="shared" ca="1" si="100"/>
        <v>0</v>
      </c>
      <c r="S156" s="8">
        <f t="shared" ca="1" si="101"/>
        <v>0</v>
      </c>
      <c r="T156" s="8">
        <f t="shared" ca="1" si="102"/>
        <v>0</v>
      </c>
      <c r="U156" s="8">
        <f t="shared" ca="1" si="103"/>
        <v>0</v>
      </c>
      <c r="V156" s="8">
        <f t="shared" ca="1" si="104"/>
        <v>0</v>
      </c>
      <c r="W156" s="11" t="str">
        <f t="shared" ca="1" si="105"/>
        <v/>
      </c>
      <c r="X156" s="11" t="str">
        <f t="shared" ca="1" si="106"/>
        <v/>
      </c>
      <c r="Y156" s="11" t="str">
        <f t="shared" ca="1" si="107"/>
        <v/>
      </c>
      <c r="Z156" s="11" t="str">
        <f t="shared" ca="1" si="108"/>
        <v/>
      </c>
      <c r="AA156" s="11" t="str">
        <f t="shared" ca="1" si="109"/>
        <v/>
      </c>
      <c r="AB156" s="47">
        <f ca="1">PlayerGameData[[#This Row],[3FGA]]+PlayerGameData[[#This Row],[2FGA]]</f>
        <v>0</v>
      </c>
      <c r="AC156" s="47">
        <f ca="1">PlayerGameData[[#This Row],[OFF REB]]+PlayerGameData[[#This Row],[DEF REB]]</f>
        <v>0</v>
      </c>
      <c r="AD156" s="8">
        <f t="shared" si="90"/>
        <v>7</v>
      </c>
      <c r="AE156" s="8" t="str">
        <f t="shared" ca="1" si="91"/>
        <v>Carson Barritt, 14 - Moorcroft 1/9/2023</v>
      </c>
      <c r="AF156" s="8" t="str">
        <f t="shared" ca="1" si="110"/>
        <v/>
      </c>
      <c r="AG156" s="8" t="str">
        <f ca="1">IFERROR(IF(C156=0,"",IF(AND(VLOOKUP(PlayerGameData[[#This Row],[Opponent]],WYTeamInfo,2,FALSE)=Roster!$D$1,VLOOKUP(PlayerGameData[[#This Row],[Opponent]],WYTeamInfo,3,FALSE)=Roster!$D$2),"SR","")),"")</f>
        <v/>
      </c>
      <c r="AH156" s="8" t="str">
        <f>CONCATENATE(Roster!$D$1," ",Roster!$D$5)</f>
        <v>1A BB</v>
      </c>
      <c r="AI156" s="8" t="str">
        <f t="shared" ca="1" si="92"/>
        <v>Upton - Moorcroft 1/9/2023</v>
      </c>
      <c r="AJ156" s="8">
        <f ca="1">IFERROR(VLOOKUP(PlayerGameData[[#This Row],[School, Opponent,Game'#]],Table3[],2,FALSE),0)</f>
        <v>1</v>
      </c>
      <c r="AK156" s="8">
        <f ca="1">IF(PlayerGameData[[#This Row],[Visible]]=1,1,1000)</f>
        <v>1</v>
      </c>
      <c r="AL156" s="8">
        <f ca="1">RANK(PlayerGameData[[#This Row],[TL PTS]],PlayerGameData[TL PTS],0)+PlayerGameData[[#This Row],[VisibleOrder]]</f>
        <v>185</v>
      </c>
      <c r="AM156" s="8">
        <f ca="1">IF(COUNTIF(PlayerGameData[PointOrder],PlayerGameData[[#This Row],[PointOrder]])&gt;1,RANK(PlayerGameData[[#This Row],[FGA]],PlayerGameData[FGA],0)/100,0)+PlayerGameData[[#This Row],[PointOrder]]</f>
        <v>187.14</v>
      </c>
      <c r="AN156" s="8">
        <f ca="1">RANK(PlayerGameData[[#This Row],[PointTieBreak]],PlayerGameData[PointTieBreak],1)</f>
        <v>216</v>
      </c>
      <c r="AO156" s="8">
        <f ca="1">RANK(PlayerGameData[[#This Row],[REB]],PlayerGameData[REB],0)+PlayerGameData[[#This Row],[VisibleOrder]]</f>
        <v>192</v>
      </c>
      <c r="AP156" s="8">
        <f ca="1">IF(COUNTIF(PlayerGameData[REBOrder],PlayerGameData[[#This Row],[REBOrder]])&gt;1,PlayerGameData[[#This Row],[PointRank]]/100+PlayerGameData[[#This Row],[REBOrder]],PlayerGameData[[#This Row],[REBOrder]])</f>
        <v>194.16</v>
      </c>
      <c r="AQ156" s="8">
        <f ca="1">RANK(PlayerGameData[[#This Row],[REBTieBreak]],PlayerGameData[REBTieBreak],1)</f>
        <v>224</v>
      </c>
      <c r="AR156" s="8">
        <f ca="1">RANK(PlayerGameData[[#This Row],[AST]],PlayerGameData[AST],0)+PlayerGameData[[#This Row],[VisibleOrder]]</f>
        <v>158</v>
      </c>
      <c r="AS156" s="8">
        <f ca="1">IF(COUNTIF(PlayerGameData[ASTOrder],PlayerGameData[[#This Row],[ASTOrder]])&gt;1,PlayerGameData[[#This Row],[PointRank]]/100+PlayerGameData[[#This Row],[ASTOrder]],PlayerGameData[[#This Row],[ASTOrder]])</f>
        <v>160.16</v>
      </c>
      <c r="AT156" s="8">
        <f ca="1">RANK(PlayerGameData[[#This Row],[ASTTieBreak]],PlayerGameData[ASTTieBreak],1)</f>
        <v>221</v>
      </c>
      <c r="AU156" s="8">
        <f ca="1">RANK(PlayerGameData[[#This Row],[STL]],PlayerGameData[STL],0)+PlayerGameData[[#This Row],[VisibleOrder]]</f>
        <v>143</v>
      </c>
      <c r="AV156" s="8">
        <f ca="1">IF(COUNTIF(PlayerGameData[STLOrder],PlayerGameData[[#This Row],[STLOrder]])&gt;1,PlayerGameData[[#This Row],[PointRank]]/100+PlayerGameData[[#This Row],[STLOrder]],PlayerGameData[[#This Row],[STLOrder]])</f>
        <v>145.16</v>
      </c>
      <c r="AW156" s="8">
        <f ca="1">RANK(PlayerGameData[[#This Row],[STLTieBreak]],PlayerGameData[STLTieBreak],1)</f>
        <v>217</v>
      </c>
      <c r="AX156" s="8">
        <f ca="1">RANK(PlayerGameData[[#This Row],[BLK]],PlayerGameData[BLK],0)+PlayerGameData[[#This Row],[VisibleOrder]]</f>
        <v>32</v>
      </c>
      <c r="AY156" s="8">
        <f ca="1">IF(COUNTIF(PlayerGameData[BLKOrder],PlayerGameData[[#This Row],[BLKOrder]])&gt;1,PlayerGameData[[#This Row],[PointRank]]/100+PlayerGameData[[#This Row],[BLKOrder]],PlayerGameData[[#This Row],[BLKOrder]])</f>
        <v>34.159999999999997</v>
      </c>
      <c r="AZ156" s="8">
        <f ca="1">RANK(PlayerGameData[[#This Row],[BLKTieBreak]],PlayerGameData[BLKTieBreak],1)</f>
        <v>216</v>
      </c>
      <c r="BA156" s="11">
        <f ca="1">IFERROR(IF(PlayerGameData[[#This Row],[FGA]]&gt;$AA$5,PlayerGameData[[#This Row],[FG%*]],PlayerGameData[[#This Row],[FG%*]]*-1),-2)</f>
        <v>-2</v>
      </c>
      <c r="BB156" s="8">
        <f ca="1">RANK(PlayerGameData[[#This Row],[EligFG]],PlayerGameData[EligFG],0)+PlayerGameData[[#This Row],[VisibleOrder]]</f>
        <v>215</v>
      </c>
      <c r="BC156" s="8">
        <f ca="1">IF(COUNTIF(PlayerGameData[EligFGOrder],PlayerGameData[[#This Row],[EligFGOrder]])&gt;1,PlayerGameData[[#This Row],[PointRank]]/100+PlayerGameData[[#This Row],[EligFGOrder]],PlayerGameData[[#This Row],[EligFGOrder]])</f>
        <v>217.16</v>
      </c>
      <c r="BD156" s="8">
        <f ca="1">RANK(PlayerGameData[[#This Row],[EligFGTieBreak]],PlayerGameData[EligFGTieBreak],1)</f>
        <v>216</v>
      </c>
      <c r="BE156" s="8" t="str">
        <f>Roster!$D$3</f>
        <v>East</v>
      </c>
      <c r="BF156" s="8" t="str">
        <f>Roster!$D$2</f>
        <v>Northeast</v>
      </c>
      <c r="BG156" s="8" t="str">
        <f>Roster!$D$4</f>
        <v>North</v>
      </c>
      <c r="BH156" s="197">
        <f ca="1">IFERROR(VLOOKUP(CONCATENATE(PlayerGameData[[#This Row],[Opponent]]," ",MONTH(PlayerGameData[[#This Row],[Date]]),"/",DAY(PlayerGameData[[#This Row],[Date]]),"/",YEAR(PlayerGameData[[#This Row],[Date]])),Table35[],2,FALSE),0)</f>
        <v>1</v>
      </c>
      <c r="BI156" s="197">
        <f ca="1">IF(PlayerGameData[[#This Row],[Visible]]=1,1,1000)</f>
        <v>1</v>
      </c>
      <c r="BJ156" s="197" t="e">
        <f ca="1">_xlfn.MAXIFS(TeamGameData[Win],TeamGameData[School, Opponent,Game'#],PlayerGameData[[#This Row],[School, Opponent,Game'#]])</f>
        <v>#NAME?</v>
      </c>
      <c r="BK156" s="197" t="e">
        <f ca="1">_xlfn.MAXIFS(TeamGameData[Loss],TeamGameData[School, Opponent,Game'#],PlayerGameData[[#This Row],[School, Opponent,Game'#]])</f>
        <v>#NAME?</v>
      </c>
    </row>
    <row r="157" spans="1:63" x14ac:dyDescent="0.25">
      <c r="A157" s="8" t="str">
        <f t="shared" ca="1" si="93"/>
        <v>Ben Carpenter, 21</v>
      </c>
      <c r="B157" s="8" t="str">
        <f>Roster!$B$1</f>
        <v>Upton</v>
      </c>
      <c r="C157" s="8" t="str">
        <f t="shared" ca="1" si="81"/>
        <v>Moorcroft</v>
      </c>
      <c r="D157" s="10">
        <f t="shared" ca="1" si="82"/>
        <v>44935</v>
      </c>
      <c r="E157" s="8">
        <f t="shared" ca="1" si="83"/>
        <v>1</v>
      </c>
      <c r="F157" s="8">
        <f t="shared" ca="1" si="84"/>
        <v>0</v>
      </c>
      <c r="G157" s="8">
        <f t="shared" ca="1" si="85"/>
        <v>1</v>
      </c>
      <c r="H157" s="8">
        <f t="shared" ca="1" si="86"/>
        <v>0</v>
      </c>
      <c r="I157" s="8">
        <f t="shared" ca="1" si="87"/>
        <v>0</v>
      </c>
      <c r="J157" s="8">
        <f t="shared" ca="1" si="88"/>
        <v>0</v>
      </c>
      <c r="K157" s="8">
        <f t="shared" ca="1" si="89"/>
        <v>1</v>
      </c>
      <c r="L157" s="8">
        <f t="shared" ca="1" si="94"/>
        <v>0</v>
      </c>
      <c r="M157" s="8">
        <f t="shared" ca="1" si="95"/>
        <v>0</v>
      </c>
      <c r="N157" s="8">
        <f t="shared" ca="1" si="96"/>
        <v>0</v>
      </c>
      <c r="O157" s="8">
        <f t="shared" ca="1" si="97"/>
        <v>0</v>
      </c>
      <c r="P157" s="8">
        <f t="shared" ca="1" si="98"/>
        <v>0</v>
      </c>
      <c r="Q157" s="8">
        <f t="shared" ca="1" si="99"/>
        <v>0</v>
      </c>
      <c r="R157" s="8">
        <f t="shared" ca="1" si="100"/>
        <v>0</v>
      </c>
      <c r="S157" s="8">
        <f t="shared" ca="1" si="101"/>
        <v>0</v>
      </c>
      <c r="T157" s="8">
        <f t="shared" ca="1" si="102"/>
        <v>0</v>
      </c>
      <c r="U157" s="8">
        <f t="shared" ca="1" si="103"/>
        <v>0</v>
      </c>
      <c r="V157" s="8">
        <f t="shared" ca="1" si="104"/>
        <v>0</v>
      </c>
      <c r="W157" s="11" t="str">
        <f t="shared" ca="1" si="105"/>
        <v/>
      </c>
      <c r="X157" s="11">
        <f t="shared" ca="1" si="106"/>
        <v>0</v>
      </c>
      <c r="Y157" s="11" t="str">
        <f t="shared" ca="1" si="107"/>
        <v/>
      </c>
      <c r="Z157" s="11">
        <f t="shared" ca="1" si="108"/>
        <v>0</v>
      </c>
      <c r="AA157" s="11">
        <f t="shared" ca="1" si="109"/>
        <v>0</v>
      </c>
      <c r="AB157" s="47">
        <f ca="1">PlayerGameData[[#This Row],[3FGA]]+PlayerGameData[[#This Row],[2FGA]]</f>
        <v>1</v>
      </c>
      <c r="AC157" s="47">
        <f ca="1">PlayerGameData[[#This Row],[OFF REB]]+PlayerGameData[[#This Row],[DEF REB]]</f>
        <v>0</v>
      </c>
      <c r="AD157" s="8">
        <f t="shared" si="90"/>
        <v>7</v>
      </c>
      <c r="AE157" s="8" t="str">
        <f t="shared" ca="1" si="91"/>
        <v>Ben Carpenter, 21 - Moorcroft 1/9/2023</v>
      </c>
      <c r="AF157" s="8" t="str">
        <f t="shared" ca="1" si="110"/>
        <v/>
      </c>
      <c r="AG157" s="8" t="str">
        <f ca="1">IFERROR(IF(C157=0,"",IF(AND(VLOOKUP(PlayerGameData[[#This Row],[Opponent]],WYTeamInfo,2,FALSE)=Roster!$D$1,VLOOKUP(PlayerGameData[[#This Row],[Opponent]],WYTeamInfo,3,FALSE)=Roster!$D$2),"SR","")),"")</f>
        <v/>
      </c>
      <c r="AH157" s="8" t="str">
        <f>CONCATENATE(Roster!$D$1," ",Roster!$D$5)</f>
        <v>1A BB</v>
      </c>
      <c r="AI157" s="8" t="str">
        <f t="shared" ca="1" si="92"/>
        <v>Upton - Moorcroft 1/9/2023</v>
      </c>
      <c r="AJ157" s="8">
        <f ca="1">IFERROR(VLOOKUP(PlayerGameData[[#This Row],[School, Opponent,Game'#]],Table3[],2,FALSE),0)</f>
        <v>1</v>
      </c>
      <c r="AK157" s="8">
        <f ca="1">IF(PlayerGameData[[#This Row],[Visible]]=1,1,1000)</f>
        <v>1</v>
      </c>
      <c r="AL157" s="8">
        <f ca="1">RANK(PlayerGameData[[#This Row],[TL PTS]],PlayerGameData[TL PTS],0)+PlayerGameData[[#This Row],[VisibleOrder]]</f>
        <v>185</v>
      </c>
      <c r="AM157" s="8">
        <f ca="1">IF(COUNTIF(PlayerGameData[PointOrder],PlayerGameData[[#This Row],[PointOrder]])&gt;1,RANK(PlayerGameData[[#This Row],[FGA]],PlayerGameData[FGA],0)/100,0)+PlayerGameData[[#This Row],[PointOrder]]</f>
        <v>186.82</v>
      </c>
      <c r="AN157" s="8">
        <f ca="1">RANK(PlayerGameData[[#This Row],[PointTieBreak]],PlayerGameData[PointTieBreak],1)</f>
        <v>196</v>
      </c>
      <c r="AO157" s="8">
        <f ca="1">RANK(PlayerGameData[[#This Row],[REB]],PlayerGameData[REB],0)+PlayerGameData[[#This Row],[VisibleOrder]]</f>
        <v>192</v>
      </c>
      <c r="AP157" s="8">
        <f ca="1">IF(COUNTIF(PlayerGameData[REBOrder],PlayerGameData[[#This Row],[REBOrder]])&gt;1,PlayerGameData[[#This Row],[PointRank]]/100+PlayerGameData[[#This Row],[REBOrder]],PlayerGameData[[#This Row],[REBOrder]])</f>
        <v>193.96</v>
      </c>
      <c r="AQ157" s="8">
        <f ca="1">RANK(PlayerGameData[[#This Row],[REBTieBreak]],PlayerGameData[REBTieBreak],1)</f>
        <v>213</v>
      </c>
      <c r="AR157" s="8">
        <f ca="1">RANK(PlayerGameData[[#This Row],[AST]],PlayerGameData[AST],0)+PlayerGameData[[#This Row],[VisibleOrder]]</f>
        <v>158</v>
      </c>
      <c r="AS157" s="8">
        <f ca="1">IF(COUNTIF(PlayerGameData[ASTOrder],PlayerGameData[[#This Row],[ASTOrder]])&gt;1,PlayerGameData[[#This Row],[PointRank]]/100+PlayerGameData[[#This Row],[ASTOrder]],PlayerGameData[[#This Row],[ASTOrder]])</f>
        <v>159.96</v>
      </c>
      <c r="AT157" s="8">
        <f ca="1">RANK(PlayerGameData[[#This Row],[ASTTieBreak]],PlayerGameData[ASTTieBreak],1)</f>
        <v>208</v>
      </c>
      <c r="AU157" s="8">
        <f ca="1">RANK(PlayerGameData[[#This Row],[STL]],PlayerGameData[STL],0)+PlayerGameData[[#This Row],[VisibleOrder]]</f>
        <v>143</v>
      </c>
      <c r="AV157" s="8">
        <f ca="1">IF(COUNTIF(PlayerGameData[STLOrder],PlayerGameData[[#This Row],[STLOrder]])&gt;1,PlayerGameData[[#This Row],[PointRank]]/100+PlayerGameData[[#This Row],[STLOrder]],PlayerGameData[[#This Row],[STLOrder]])</f>
        <v>144.96</v>
      </c>
      <c r="AW157" s="8">
        <f ca="1">RANK(PlayerGameData[[#This Row],[STLTieBreak]],PlayerGameData[STLTieBreak],1)</f>
        <v>200</v>
      </c>
      <c r="AX157" s="8">
        <f ca="1">RANK(PlayerGameData[[#This Row],[BLK]],PlayerGameData[BLK],0)+PlayerGameData[[#This Row],[VisibleOrder]]</f>
        <v>32</v>
      </c>
      <c r="AY157" s="8">
        <f ca="1">IF(COUNTIF(PlayerGameData[BLKOrder],PlayerGameData[[#This Row],[BLKOrder]])&gt;1,PlayerGameData[[#This Row],[PointRank]]/100+PlayerGameData[[#This Row],[BLKOrder]],PlayerGameData[[#This Row],[BLKOrder]])</f>
        <v>33.96</v>
      </c>
      <c r="AZ157" s="8">
        <f ca="1">RANK(PlayerGameData[[#This Row],[BLKTieBreak]],PlayerGameData[BLKTieBreak],1)</f>
        <v>196</v>
      </c>
      <c r="BA157" s="11">
        <f ca="1">IFERROR(IF(PlayerGameData[[#This Row],[FGA]]&gt;$AA$5,PlayerGameData[[#This Row],[FG%*]],PlayerGameData[[#This Row],[FG%*]]*-1),-2)</f>
        <v>0</v>
      </c>
      <c r="BB157" s="8">
        <f ca="1">RANK(PlayerGameData[[#This Row],[EligFG]],PlayerGameData[EligFG],0)+PlayerGameData[[#This Row],[VisibleOrder]]</f>
        <v>117</v>
      </c>
      <c r="BC157" s="8">
        <f ca="1">IF(COUNTIF(PlayerGameData[EligFGOrder],PlayerGameData[[#This Row],[EligFGOrder]])&gt;1,PlayerGameData[[#This Row],[PointRank]]/100+PlayerGameData[[#This Row],[EligFGOrder]],PlayerGameData[[#This Row],[EligFGOrder]])</f>
        <v>118.96</v>
      </c>
      <c r="BD157" s="8">
        <f ca="1">RANK(PlayerGameData[[#This Row],[EligFGTieBreak]],PlayerGameData[EligFGTieBreak],1)</f>
        <v>138</v>
      </c>
      <c r="BE157" s="8" t="str">
        <f>Roster!$D$3</f>
        <v>East</v>
      </c>
      <c r="BF157" s="8" t="str">
        <f>Roster!$D$2</f>
        <v>Northeast</v>
      </c>
      <c r="BG157" s="8" t="str">
        <f>Roster!$D$4</f>
        <v>North</v>
      </c>
      <c r="BH157" s="197">
        <f ca="1">IFERROR(VLOOKUP(CONCATENATE(PlayerGameData[[#This Row],[Opponent]]," ",MONTH(PlayerGameData[[#This Row],[Date]]),"/",DAY(PlayerGameData[[#This Row],[Date]]),"/",YEAR(PlayerGameData[[#This Row],[Date]])),Table35[],2,FALSE),0)</f>
        <v>1</v>
      </c>
      <c r="BI157" s="197">
        <f ca="1">IF(PlayerGameData[[#This Row],[Visible]]=1,1,1000)</f>
        <v>1</v>
      </c>
      <c r="BJ157" s="197" t="e">
        <f ca="1">_xlfn.MAXIFS(TeamGameData[Win],TeamGameData[School, Opponent,Game'#],PlayerGameData[[#This Row],[School, Opponent,Game'#]])</f>
        <v>#NAME?</v>
      </c>
      <c r="BK157" s="197" t="e">
        <f ca="1">_xlfn.MAXIFS(TeamGameData[Loss],TeamGameData[School, Opponent,Game'#],PlayerGameData[[#This Row],[School, Opponent,Game'#]])</f>
        <v>#NAME?</v>
      </c>
    </row>
    <row r="158" spans="1:63" x14ac:dyDescent="0.25">
      <c r="A158" s="8" t="str">
        <f t="shared" ca="1" si="93"/>
        <v>Ethan Schiller, 23</v>
      </c>
      <c r="B158" s="8" t="str">
        <f>Roster!$B$1</f>
        <v>Upton</v>
      </c>
      <c r="C158" s="8" t="str">
        <f t="shared" ca="1" si="81"/>
        <v>Moorcroft</v>
      </c>
      <c r="D158" s="10">
        <f t="shared" ca="1" si="82"/>
        <v>44935</v>
      </c>
      <c r="E158" s="8">
        <f t="shared" ca="1" si="83"/>
        <v>1</v>
      </c>
      <c r="F158" s="8">
        <f t="shared" ca="1" si="84"/>
        <v>1</v>
      </c>
      <c r="G158" s="8">
        <f t="shared" ca="1" si="85"/>
        <v>26</v>
      </c>
      <c r="H158" s="8">
        <f t="shared" ca="1" si="86"/>
        <v>1</v>
      </c>
      <c r="I158" s="8">
        <f t="shared" ca="1" si="87"/>
        <v>5</v>
      </c>
      <c r="J158" s="8">
        <f t="shared" ca="1" si="88"/>
        <v>1</v>
      </c>
      <c r="K158" s="8">
        <f t="shared" ca="1" si="89"/>
        <v>1</v>
      </c>
      <c r="L158" s="8">
        <f t="shared" ca="1" si="94"/>
        <v>4</v>
      </c>
      <c r="M158" s="8">
        <f t="shared" ca="1" si="95"/>
        <v>4</v>
      </c>
      <c r="N158" s="8">
        <f t="shared" ca="1" si="96"/>
        <v>2</v>
      </c>
      <c r="O158" s="8">
        <f t="shared" ca="1" si="97"/>
        <v>7</v>
      </c>
      <c r="P158" s="8">
        <f t="shared" ca="1" si="98"/>
        <v>3</v>
      </c>
      <c r="Q158" s="8">
        <f t="shared" ca="1" si="99"/>
        <v>3</v>
      </c>
      <c r="R158" s="8">
        <f t="shared" ca="1" si="100"/>
        <v>1</v>
      </c>
      <c r="S158" s="8">
        <f t="shared" ca="1" si="101"/>
        <v>3</v>
      </c>
      <c r="T158" s="8">
        <f t="shared" ca="1" si="102"/>
        <v>3</v>
      </c>
      <c r="U158" s="8">
        <f t="shared" ca="1" si="103"/>
        <v>0</v>
      </c>
      <c r="V158" s="8">
        <f t="shared" ca="1" si="104"/>
        <v>9</v>
      </c>
      <c r="W158" s="11">
        <f t="shared" ca="1" si="105"/>
        <v>0.2</v>
      </c>
      <c r="X158" s="11">
        <f t="shared" ca="1" si="106"/>
        <v>1</v>
      </c>
      <c r="Y158" s="11">
        <f t="shared" ca="1" si="107"/>
        <v>1</v>
      </c>
      <c r="Z158" s="11">
        <f t="shared" ca="1" si="108"/>
        <v>0.33333333333333331</v>
      </c>
      <c r="AA158" s="11">
        <f t="shared" ca="1" si="109"/>
        <v>0.41666666666666669</v>
      </c>
      <c r="AB158" s="47">
        <f ca="1">PlayerGameData[[#This Row],[3FGA]]+PlayerGameData[[#This Row],[2FGA]]</f>
        <v>6</v>
      </c>
      <c r="AC158" s="47">
        <f ca="1">PlayerGameData[[#This Row],[OFF REB]]+PlayerGameData[[#This Row],[DEF REB]]</f>
        <v>9</v>
      </c>
      <c r="AD158" s="8">
        <f t="shared" si="90"/>
        <v>7</v>
      </c>
      <c r="AE158" s="8" t="str">
        <f t="shared" ca="1" si="91"/>
        <v>Ethan Schiller, 23 - Moorcroft 1/9/2023</v>
      </c>
      <c r="AF158" s="8" t="str">
        <f t="shared" ca="1" si="110"/>
        <v/>
      </c>
      <c r="AG158" s="8" t="str">
        <f ca="1">IFERROR(IF(C158=0,"",IF(AND(VLOOKUP(PlayerGameData[[#This Row],[Opponent]],WYTeamInfo,2,FALSE)=Roster!$D$1,VLOOKUP(PlayerGameData[[#This Row],[Opponent]],WYTeamInfo,3,FALSE)=Roster!$D$2),"SR","")),"")</f>
        <v/>
      </c>
      <c r="AH158" s="8" t="str">
        <f>CONCATENATE(Roster!$D$1," ",Roster!$D$5)</f>
        <v>1A BB</v>
      </c>
      <c r="AI158" s="8" t="str">
        <f t="shared" ca="1" si="92"/>
        <v>Upton - Moorcroft 1/9/2023</v>
      </c>
      <c r="AJ158" s="8">
        <f ca="1">IFERROR(VLOOKUP(PlayerGameData[[#This Row],[School, Opponent,Game'#]],Table3[],2,FALSE),0)</f>
        <v>1</v>
      </c>
      <c r="AK158" s="8">
        <f ca="1">IF(PlayerGameData[[#This Row],[Visible]]=1,1,1000)</f>
        <v>1</v>
      </c>
      <c r="AL158" s="8">
        <f ca="1">RANK(PlayerGameData[[#This Row],[TL PTS]],PlayerGameData[TL PTS],0)+PlayerGameData[[#This Row],[VisibleOrder]]</f>
        <v>75</v>
      </c>
      <c r="AM158" s="8">
        <f ca="1">IF(COUNTIF(PlayerGameData[PointOrder],PlayerGameData[[#This Row],[PointOrder]])&gt;1,RANK(PlayerGameData[[#This Row],[FGA]],PlayerGameData[FGA],0)/100,0)+PlayerGameData[[#This Row],[PointOrder]]</f>
        <v>76.08</v>
      </c>
      <c r="AN158" s="8">
        <f ca="1">RANK(PlayerGameData[[#This Row],[PointTieBreak]],PlayerGameData[PointTieBreak],1)</f>
        <v>79</v>
      </c>
      <c r="AO158" s="8">
        <f ca="1">RANK(PlayerGameData[[#This Row],[REB]],PlayerGameData[REB],0)+PlayerGameData[[#This Row],[VisibleOrder]]</f>
        <v>13</v>
      </c>
      <c r="AP158" s="8">
        <f ca="1">IF(COUNTIF(PlayerGameData[REBOrder],PlayerGameData[[#This Row],[REBOrder]])&gt;1,PlayerGameData[[#This Row],[PointRank]]/100+PlayerGameData[[#This Row],[REBOrder]],PlayerGameData[[#This Row],[REBOrder]])</f>
        <v>13.79</v>
      </c>
      <c r="AQ158" s="8">
        <f ca="1">RANK(PlayerGameData[[#This Row],[REBTieBreak]],PlayerGameData[REBTieBreak],1)</f>
        <v>18</v>
      </c>
      <c r="AR158" s="8">
        <f ca="1">RANK(PlayerGameData[[#This Row],[AST]],PlayerGameData[AST],0)+PlayerGameData[[#This Row],[VisibleOrder]]</f>
        <v>39</v>
      </c>
      <c r="AS158" s="8">
        <f ca="1">IF(COUNTIF(PlayerGameData[ASTOrder],PlayerGameData[[#This Row],[ASTOrder]])&gt;1,PlayerGameData[[#This Row],[PointRank]]/100+PlayerGameData[[#This Row],[ASTOrder]],PlayerGameData[[#This Row],[ASTOrder]])</f>
        <v>39.79</v>
      </c>
      <c r="AT158" s="8">
        <f ca="1">RANK(PlayerGameData[[#This Row],[ASTTieBreak]],PlayerGameData[ASTTieBreak],1)</f>
        <v>52</v>
      </c>
      <c r="AU158" s="8">
        <f ca="1">RANK(PlayerGameData[[#This Row],[STL]],PlayerGameData[STL],0)+PlayerGameData[[#This Row],[VisibleOrder]]</f>
        <v>26</v>
      </c>
      <c r="AV158" s="8">
        <f ca="1">IF(COUNTIF(PlayerGameData[STLOrder],PlayerGameData[[#This Row],[STLOrder]])&gt;1,PlayerGameData[[#This Row],[PointRank]]/100+PlayerGameData[[#This Row],[STLOrder]],PlayerGameData[[#This Row],[STLOrder]])</f>
        <v>26.79</v>
      </c>
      <c r="AW158" s="8">
        <f ca="1">RANK(PlayerGameData[[#This Row],[STLTieBreak]],PlayerGameData[STLTieBreak],1)</f>
        <v>39</v>
      </c>
      <c r="AX158" s="8">
        <f ca="1">RANK(PlayerGameData[[#This Row],[BLK]],PlayerGameData[BLK],0)+PlayerGameData[[#This Row],[VisibleOrder]]</f>
        <v>11</v>
      </c>
      <c r="AY158" s="8">
        <f ca="1">IF(COUNTIF(PlayerGameData[BLKOrder],PlayerGameData[[#This Row],[BLKOrder]])&gt;1,PlayerGameData[[#This Row],[PointRank]]/100+PlayerGameData[[#This Row],[BLKOrder]],PlayerGameData[[#This Row],[BLKOrder]])</f>
        <v>11.79</v>
      </c>
      <c r="AZ158" s="8">
        <f ca="1">RANK(PlayerGameData[[#This Row],[BLKTieBreak]],PlayerGameData[BLKTieBreak],1)</f>
        <v>19</v>
      </c>
      <c r="BA158" s="11">
        <f ca="1">IFERROR(IF(PlayerGameData[[#This Row],[FGA]]&gt;$AA$5,PlayerGameData[[#This Row],[FG%*]],PlayerGameData[[#This Row],[FG%*]]*-1),-2)</f>
        <v>0.33333333333333331</v>
      </c>
      <c r="BB158" s="8">
        <f ca="1">RANK(PlayerGameData[[#This Row],[EligFG]],PlayerGameData[EligFG],0)+PlayerGameData[[#This Row],[VisibleOrder]]</f>
        <v>80</v>
      </c>
      <c r="BC158" s="8">
        <f ca="1">IF(COUNTIF(PlayerGameData[EligFGOrder],PlayerGameData[[#This Row],[EligFGOrder]])&gt;1,PlayerGameData[[#This Row],[PointRank]]/100+PlayerGameData[[#This Row],[EligFGOrder]],PlayerGameData[[#This Row],[EligFGOrder]])</f>
        <v>80.790000000000006</v>
      </c>
      <c r="BD158" s="8">
        <f ca="1">RANK(PlayerGameData[[#This Row],[EligFGTieBreak]],PlayerGameData[EligFGTieBreak],1)</f>
        <v>83</v>
      </c>
      <c r="BE158" s="8" t="str">
        <f>Roster!$D$3</f>
        <v>East</v>
      </c>
      <c r="BF158" s="8" t="str">
        <f>Roster!$D$2</f>
        <v>Northeast</v>
      </c>
      <c r="BG158" s="8" t="str">
        <f>Roster!$D$4</f>
        <v>North</v>
      </c>
      <c r="BH158" s="197">
        <f ca="1">IFERROR(VLOOKUP(CONCATENATE(PlayerGameData[[#This Row],[Opponent]]," ",MONTH(PlayerGameData[[#This Row],[Date]]),"/",DAY(PlayerGameData[[#This Row],[Date]]),"/",YEAR(PlayerGameData[[#This Row],[Date]])),Table35[],2,FALSE),0)</f>
        <v>1</v>
      </c>
      <c r="BI158" s="197">
        <f ca="1">IF(PlayerGameData[[#This Row],[Visible]]=1,1,1000)</f>
        <v>1</v>
      </c>
      <c r="BJ158" s="197" t="e">
        <f ca="1">_xlfn.MAXIFS(TeamGameData[Win],TeamGameData[School, Opponent,Game'#],PlayerGameData[[#This Row],[School, Opponent,Game'#]])</f>
        <v>#NAME?</v>
      </c>
      <c r="BK158" s="197" t="e">
        <f ca="1">_xlfn.MAXIFS(TeamGameData[Loss],TeamGameData[School, Opponent,Game'#],PlayerGameData[[#This Row],[School, Opponent,Game'#]])</f>
        <v>#NAME?</v>
      </c>
    </row>
    <row r="159" spans="1:63" x14ac:dyDescent="0.25">
      <c r="A159" s="8" t="str">
        <f t="shared" ca="1" si="93"/>
        <v>Bridger Bruce, 25</v>
      </c>
      <c r="B159" s="8" t="str">
        <f>Roster!$B$1</f>
        <v>Upton</v>
      </c>
      <c r="C159" s="8" t="str">
        <f t="shared" ca="1" si="81"/>
        <v>Moorcroft</v>
      </c>
      <c r="D159" s="10">
        <f t="shared" ca="1" si="82"/>
        <v>44935</v>
      </c>
      <c r="E159" s="8">
        <f t="shared" ca="1" si="83"/>
        <v>1</v>
      </c>
      <c r="F159" s="8">
        <f t="shared" ca="1" si="84"/>
        <v>0</v>
      </c>
      <c r="G159" s="8">
        <f t="shared" ca="1" si="85"/>
        <v>15</v>
      </c>
      <c r="H159" s="8">
        <f t="shared" ca="1" si="86"/>
        <v>0</v>
      </c>
      <c r="I159" s="8">
        <f t="shared" ca="1" si="87"/>
        <v>0</v>
      </c>
      <c r="J159" s="8">
        <f t="shared" ca="1" si="88"/>
        <v>2</v>
      </c>
      <c r="K159" s="8">
        <f t="shared" ca="1" si="89"/>
        <v>3</v>
      </c>
      <c r="L159" s="8">
        <f t="shared" ca="1" si="94"/>
        <v>0</v>
      </c>
      <c r="M159" s="8">
        <f t="shared" ca="1" si="95"/>
        <v>0</v>
      </c>
      <c r="N159" s="8">
        <f t="shared" ca="1" si="96"/>
        <v>1</v>
      </c>
      <c r="O159" s="8">
        <f t="shared" ca="1" si="97"/>
        <v>4</v>
      </c>
      <c r="P159" s="8">
        <f t="shared" ca="1" si="98"/>
        <v>1</v>
      </c>
      <c r="Q159" s="8">
        <f t="shared" ca="1" si="99"/>
        <v>0</v>
      </c>
      <c r="R159" s="8">
        <f t="shared" ca="1" si="100"/>
        <v>0</v>
      </c>
      <c r="S159" s="8">
        <f t="shared" ca="1" si="101"/>
        <v>2</v>
      </c>
      <c r="T159" s="8">
        <f t="shared" ca="1" si="102"/>
        <v>1</v>
      </c>
      <c r="U159" s="8">
        <f t="shared" ca="1" si="103"/>
        <v>0</v>
      </c>
      <c r="V159" s="8">
        <f t="shared" ca="1" si="104"/>
        <v>4</v>
      </c>
      <c r="W159" s="11" t="str">
        <f t="shared" ca="1" si="105"/>
        <v/>
      </c>
      <c r="X159" s="11">
        <f t="shared" ca="1" si="106"/>
        <v>0.66666666666666663</v>
      </c>
      <c r="Y159" s="11" t="str">
        <f t="shared" ca="1" si="107"/>
        <v/>
      </c>
      <c r="Z159" s="11">
        <f t="shared" ca="1" si="108"/>
        <v>0.66666666666666663</v>
      </c>
      <c r="AA159" s="11">
        <f t="shared" ca="1" si="109"/>
        <v>0.66666666666666663</v>
      </c>
      <c r="AB159" s="47">
        <f ca="1">PlayerGameData[[#This Row],[3FGA]]+PlayerGameData[[#This Row],[2FGA]]</f>
        <v>3</v>
      </c>
      <c r="AC159" s="47">
        <f ca="1">PlayerGameData[[#This Row],[OFF REB]]+PlayerGameData[[#This Row],[DEF REB]]</f>
        <v>5</v>
      </c>
      <c r="AD159" s="8">
        <f t="shared" si="90"/>
        <v>7</v>
      </c>
      <c r="AE159" s="8" t="str">
        <f t="shared" ca="1" si="91"/>
        <v>Bridger Bruce, 25 - Moorcroft 1/9/2023</v>
      </c>
      <c r="AF159" s="8" t="str">
        <f t="shared" ca="1" si="110"/>
        <v/>
      </c>
      <c r="AG159" s="8" t="str">
        <f ca="1">IFERROR(IF(C159=0,"",IF(AND(VLOOKUP(PlayerGameData[[#This Row],[Opponent]],WYTeamInfo,2,FALSE)=Roster!$D$1,VLOOKUP(PlayerGameData[[#This Row],[Opponent]],WYTeamInfo,3,FALSE)=Roster!$D$2),"SR","")),"")</f>
        <v/>
      </c>
      <c r="AH159" s="8" t="str">
        <f>CONCATENATE(Roster!$D$1," ",Roster!$D$5)</f>
        <v>1A BB</v>
      </c>
      <c r="AI159" s="8" t="str">
        <f t="shared" ca="1" si="92"/>
        <v>Upton - Moorcroft 1/9/2023</v>
      </c>
      <c r="AJ159" s="8">
        <f ca="1">IFERROR(VLOOKUP(PlayerGameData[[#This Row],[School, Opponent,Game'#]],Table3[],2,FALSE),0)</f>
        <v>1</v>
      </c>
      <c r="AK159" s="8">
        <f ca="1">IF(PlayerGameData[[#This Row],[Visible]]=1,1,1000)</f>
        <v>1</v>
      </c>
      <c r="AL159" s="8">
        <f ca="1">RANK(PlayerGameData[[#This Row],[TL PTS]],PlayerGameData[TL PTS],0)+PlayerGameData[[#This Row],[VisibleOrder]]</f>
        <v>118</v>
      </c>
      <c r="AM159" s="8">
        <f ca="1">IF(COUNTIF(PlayerGameData[PointOrder],PlayerGameData[[#This Row],[PointOrder]])&gt;1,RANK(PlayerGameData[[#This Row],[FGA]],PlayerGameData[FGA],0)/100,0)+PlayerGameData[[#This Row],[PointOrder]]</f>
        <v>119.4</v>
      </c>
      <c r="AN159" s="8">
        <f ca="1">RANK(PlayerGameData[[#This Row],[PointTieBreak]],PlayerGameData[PointTieBreak],1)</f>
        <v>130</v>
      </c>
      <c r="AO159" s="8">
        <f ca="1">RANK(PlayerGameData[[#This Row],[REB]],PlayerGameData[REB],0)+PlayerGameData[[#This Row],[VisibleOrder]]</f>
        <v>52</v>
      </c>
      <c r="AP159" s="8">
        <f ca="1">IF(COUNTIF(PlayerGameData[REBOrder],PlayerGameData[[#This Row],[REBOrder]])&gt;1,PlayerGameData[[#This Row],[PointRank]]/100+PlayerGameData[[#This Row],[REBOrder]],PlayerGameData[[#This Row],[REBOrder]])</f>
        <v>53.3</v>
      </c>
      <c r="AQ159" s="8">
        <f ca="1">RANK(PlayerGameData[[#This Row],[REBTieBreak]],PlayerGameData[REBTieBreak],1)</f>
        <v>70</v>
      </c>
      <c r="AR159" s="8">
        <f ca="1">RANK(PlayerGameData[[#This Row],[AST]],PlayerGameData[AST],0)+PlayerGameData[[#This Row],[VisibleOrder]]</f>
        <v>115</v>
      </c>
      <c r="AS159" s="8">
        <f ca="1">IF(COUNTIF(PlayerGameData[ASTOrder],PlayerGameData[[#This Row],[ASTOrder]])&gt;1,PlayerGameData[[#This Row],[PointRank]]/100+PlayerGameData[[#This Row],[ASTOrder]],PlayerGameData[[#This Row],[ASTOrder]])</f>
        <v>116.3</v>
      </c>
      <c r="AT159" s="8">
        <f ca="1">RANK(PlayerGameData[[#This Row],[ASTTieBreak]],PlayerGameData[ASTTieBreak],1)</f>
        <v>138</v>
      </c>
      <c r="AU159" s="8">
        <f ca="1">RANK(PlayerGameData[[#This Row],[STL]],PlayerGameData[STL],0)+PlayerGameData[[#This Row],[VisibleOrder]]</f>
        <v>143</v>
      </c>
      <c r="AV159" s="8">
        <f ca="1">IF(COUNTIF(PlayerGameData[STLOrder],PlayerGameData[[#This Row],[STLOrder]])&gt;1,PlayerGameData[[#This Row],[PointRank]]/100+PlayerGameData[[#This Row],[STLOrder]],PlayerGameData[[#This Row],[STLOrder]])</f>
        <v>144.30000000000001</v>
      </c>
      <c r="AW159" s="8">
        <f ca="1">RANK(PlayerGameData[[#This Row],[STLTieBreak]],PlayerGameData[STLTieBreak],1)</f>
        <v>162</v>
      </c>
      <c r="AX159" s="8">
        <f ca="1">RANK(PlayerGameData[[#This Row],[BLK]],PlayerGameData[BLK],0)+PlayerGameData[[#This Row],[VisibleOrder]]</f>
        <v>32</v>
      </c>
      <c r="AY159" s="8">
        <f ca="1">IF(COUNTIF(PlayerGameData[BLKOrder],PlayerGameData[[#This Row],[BLKOrder]])&gt;1,PlayerGameData[[#This Row],[PointRank]]/100+PlayerGameData[[#This Row],[BLKOrder]],PlayerGameData[[#This Row],[BLKOrder]])</f>
        <v>33.299999999999997</v>
      </c>
      <c r="AZ159" s="8">
        <f ca="1">RANK(PlayerGameData[[#This Row],[BLKTieBreak]],PlayerGameData[BLKTieBreak],1)</f>
        <v>134</v>
      </c>
      <c r="BA159" s="11">
        <f ca="1">IFERROR(IF(PlayerGameData[[#This Row],[FGA]]&gt;$AA$5,PlayerGameData[[#This Row],[FG%*]],PlayerGameData[[#This Row],[FG%*]]*-1),-2)</f>
        <v>-0.66666666666666663</v>
      </c>
      <c r="BB159" s="8">
        <f ca="1">RANK(PlayerGameData[[#This Row],[EligFG]],PlayerGameData[EligFG],0)+PlayerGameData[[#This Row],[VisibleOrder]]</f>
        <v>197</v>
      </c>
      <c r="BC159" s="8">
        <f ca="1">IF(COUNTIF(PlayerGameData[EligFGOrder],PlayerGameData[[#This Row],[EligFGOrder]])&gt;1,PlayerGameData[[#This Row],[PointRank]]/100+PlayerGameData[[#This Row],[EligFGOrder]],PlayerGameData[[#This Row],[EligFGOrder]])</f>
        <v>198.3</v>
      </c>
      <c r="BD159" s="8">
        <f ca="1">RANK(PlayerGameData[[#This Row],[EligFGTieBreak]],PlayerGameData[EligFGTieBreak],1)</f>
        <v>199</v>
      </c>
      <c r="BE159" s="8" t="str">
        <f>Roster!$D$3</f>
        <v>East</v>
      </c>
      <c r="BF159" s="8" t="str">
        <f>Roster!$D$2</f>
        <v>Northeast</v>
      </c>
      <c r="BG159" s="8" t="str">
        <f>Roster!$D$4</f>
        <v>North</v>
      </c>
      <c r="BH159" s="197">
        <f ca="1">IFERROR(VLOOKUP(CONCATENATE(PlayerGameData[[#This Row],[Opponent]]," ",MONTH(PlayerGameData[[#This Row],[Date]]),"/",DAY(PlayerGameData[[#This Row],[Date]]),"/",YEAR(PlayerGameData[[#This Row],[Date]])),Table35[],2,FALSE),0)</f>
        <v>1</v>
      </c>
      <c r="BI159" s="197">
        <f ca="1">IF(PlayerGameData[[#This Row],[Visible]]=1,1,1000)</f>
        <v>1</v>
      </c>
      <c r="BJ159" s="197" t="e">
        <f ca="1">_xlfn.MAXIFS(TeamGameData[Win],TeamGameData[School, Opponent,Game'#],PlayerGameData[[#This Row],[School, Opponent,Game'#]])</f>
        <v>#NAME?</v>
      </c>
      <c r="BK159" s="197" t="e">
        <f ca="1">_xlfn.MAXIFS(TeamGameData[Loss],TeamGameData[School, Opponent,Game'#],PlayerGameData[[#This Row],[School, Opponent,Game'#]])</f>
        <v>#NAME?</v>
      </c>
    </row>
    <row r="160" spans="1:63" x14ac:dyDescent="0.25">
      <c r="A160" s="8" t="str">
        <f t="shared" ca="1" si="93"/>
        <v>Kailer Duarte, 31</v>
      </c>
      <c r="B160" s="8" t="str">
        <f>Roster!$B$1</f>
        <v>Upton</v>
      </c>
      <c r="C160" s="8" t="str">
        <f t="shared" ca="1" si="81"/>
        <v>Moorcroft</v>
      </c>
      <c r="D160" s="10">
        <f t="shared" ca="1" si="82"/>
        <v>44935</v>
      </c>
      <c r="E160" s="8">
        <f t="shared" ca="1" si="83"/>
        <v>1</v>
      </c>
      <c r="F160" s="8">
        <f t="shared" ca="1" si="84"/>
        <v>1</v>
      </c>
      <c r="G160" s="8">
        <f t="shared" ca="1" si="85"/>
        <v>21</v>
      </c>
      <c r="H160" s="8">
        <f t="shared" ca="1" si="86"/>
        <v>1</v>
      </c>
      <c r="I160" s="8">
        <f t="shared" ca="1" si="87"/>
        <v>5</v>
      </c>
      <c r="J160" s="8">
        <f t="shared" ca="1" si="88"/>
        <v>1</v>
      </c>
      <c r="K160" s="8">
        <f t="shared" ca="1" si="89"/>
        <v>1</v>
      </c>
      <c r="L160" s="8">
        <f t="shared" ca="1" si="94"/>
        <v>0</v>
      </c>
      <c r="M160" s="8">
        <f t="shared" ca="1" si="95"/>
        <v>0</v>
      </c>
      <c r="N160" s="8">
        <f t="shared" ca="1" si="96"/>
        <v>1</v>
      </c>
      <c r="O160" s="8">
        <f t="shared" ca="1" si="97"/>
        <v>3</v>
      </c>
      <c r="P160" s="8">
        <f t="shared" ca="1" si="98"/>
        <v>0</v>
      </c>
      <c r="Q160" s="8">
        <f t="shared" ca="1" si="99"/>
        <v>0</v>
      </c>
      <c r="R160" s="8">
        <f t="shared" ca="1" si="100"/>
        <v>2</v>
      </c>
      <c r="S160" s="8">
        <f t="shared" ca="1" si="101"/>
        <v>4</v>
      </c>
      <c r="T160" s="8">
        <f t="shared" ca="1" si="102"/>
        <v>3</v>
      </c>
      <c r="U160" s="8">
        <f t="shared" ca="1" si="103"/>
        <v>0</v>
      </c>
      <c r="V160" s="8">
        <f t="shared" ca="1" si="104"/>
        <v>5</v>
      </c>
      <c r="W160" s="11">
        <f t="shared" ca="1" si="105"/>
        <v>0.2</v>
      </c>
      <c r="X160" s="11">
        <f t="shared" ca="1" si="106"/>
        <v>1</v>
      </c>
      <c r="Y160" s="11" t="str">
        <f t="shared" ca="1" si="107"/>
        <v/>
      </c>
      <c r="Z160" s="11">
        <f t="shared" ca="1" si="108"/>
        <v>0.33333333333333331</v>
      </c>
      <c r="AA160" s="11">
        <f t="shared" ca="1" si="109"/>
        <v>0.41666666666666669</v>
      </c>
      <c r="AB160" s="47">
        <f ca="1">PlayerGameData[[#This Row],[3FGA]]+PlayerGameData[[#This Row],[2FGA]]</f>
        <v>6</v>
      </c>
      <c r="AC160" s="47">
        <f ca="1">PlayerGameData[[#This Row],[OFF REB]]+PlayerGameData[[#This Row],[DEF REB]]</f>
        <v>4</v>
      </c>
      <c r="AD160" s="8">
        <f t="shared" si="90"/>
        <v>7</v>
      </c>
      <c r="AE160" s="8" t="str">
        <f t="shared" ca="1" si="91"/>
        <v>Kailer Duarte, 31 - Moorcroft 1/9/2023</v>
      </c>
      <c r="AF160" s="8" t="str">
        <f t="shared" ca="1" si="110"/>
        <v/>
      </c>
      <c r="AG160" s="8" t="str">
        <f ca="1">IFERROR(IF(C160=0,"",IF(AND(VLOOKUP(PlayerGameData[[#This Row],[Opponent]],WYTeamInfo,2,FALSE)=Roster!$D$1,VLOOKUP(PlayerGameData[[#This Row],[Opponent]],WYTeamInfo,3,FALSE)=Roster!$D$2),"SR","")),"")</f>
        <v/>
      </c>
      <c r="AH160" s="8" t="str">
        <f>CONCATENATE(Roster!$D$1," ",Roster!$D$5)</f>
        <v>1A BB</v>
      </c>
      <c r="AI160" s="8" t="str">
        <f t="shared" ca="1" si="92"/>
        <v>Upton - Moorcroft 1/9/2023</v>
      </c>
      <c r="AJ160" s="8">
        <f ca="1">IFERROR(VLOOKUP(PlayerGameData[[#This Row],[School, Opponent,Game'#]],Table3[],2,FALSE),0)</f>
        <v>1</v>
      </c>
      <c r="AK160" s="8">
        <f ca="1">IF(PlayerGameData[[#This Row],[Visible]]=1,1,1000)</f>
        <v>1</v>
      </c>
      <c r="AL160" s="8">
        <f ca="1">RANK(PlayerGameData[[#This Row],[TL PTS]],PlayerGameData[TL PTS],0)+PlayerGameData[[#This Row],[VisibleOrder]]</f>
        <v>110</v>
      </c>
      <c r="AM160" s="8">
        <f ca="1">IF(COUNTIF(PlayerGameData[PointOrder],PlayerGameData[[#This Row],[PointOrder]])&gt;1,RANK(PlayerGameData[[#This Row],[FGA]],PlayerGameData[FGA],0)/100,0)+PlayerGameData[[#This Row],[PointOrder]]</f>
        <v>111.08</v>
      </c>
      <c r="AN160" s="8">
        <f ca="1">RANK(PlayerGameData[[#This Row],[PointTieBreak]],PlayerGameData[PointTieBreak],1)</f>
        <v>112</v>
      </c>
      <c r="AO160" s="8">
        <f ca="1">RANK(PlayerGameData[[#This Row],[REB]],PlayerGameData[REB],0)+PlayerGameData[[#This Row],[VisibleOrder]]</f>
        <v>79</v>
      </c>
      <c r="AP160" s="8">
        <f ca="1">IF(COUNTIF(PlayerGameData[REBOrder],PlayerGameData[[#This Row],[REBOrder]])&gt;1,PlayerGameData[[#This Row],[PointRank]]/100+PlayerGameData[[#This Row],[REBOrder]],PlayerGameData[[#This Row],[REBOrder]])</f>
        <v>80.12</v>
      </c>
      <c r="AQ160" s="8">
        <f ca="1">RANK(PlayerGameData[[#This Row],[REBTieBreak]],PlayerGameData[REBTieBreak],1)</f>
        <v>97</v>
      </c>
      <c r="AR160" s="8">
        <f ca="1">RANK(PlayerGameData[[#This Row],[AST]],PlayerGameData[AST],0)+PlayerGameData[[#This Row],[VisibleOrder]]</f>
        <v>158</v>
      </c>
      <c r="AS160" s="8">
        <f ca="1">IF(COUNTIF(PlayerGameData[ASTOrder],PlayerGameData[[#This Row],[ASTOrder]])&gt;1,PlayerGameData[[#This Row],[PointRank]]/100+PlayerGameData[[#This Row],[ASTOrder]],PlayerGameData[[#This Row],[ASTOrder]])</f>
        <v>159.12</v>
      </c>
      <c r="AT160" s="8">
        <f ca="1">RANK(PlayerGameData[[#This Row],[ASTTieBreak]],PlayerGameData[ASTTieBreak],1)</f>
        <v>167</v>
      </c>
      <c r="AU160" s="8">
        <f ca="1">RANK(PlayerGameData[[#This Row],[STL]],PlayerGameData[STL],0)+PlayerGameData[[#This Row],[VisibleOrder]]</f>
        <v>143</v>
      </c>
      <c r="AV160" s="8">
        <f ca="1">IF(COUNTIF(PlayerGameData[STLOrder],PlayerGameData[[#This Row],[STLOrder]])&gt;1,PlayerGameData[[#This Row],[PointRank]]/100+PlayerGameData[[#This Row],[STLOrder]],PlayerGameData[[#This Row],[STLOrder]])</f>
        <v>144.12</v>
      </c>
      <c r="AW160" s="8">
        <f ca="1">RANK(PlayerGameData[[#This Row],[STLTieBreak]],PlayerGameData[STLTieBreak],1)</f>
        <v>158</v>
      </c>
      <c r="AX160" s="8">
        <f ca="1">RANK(PlayerGameData[[#This Row],[BLK]],PlayerGameData[BLK],0)+PlayerGameData[[#This Row],[VisibleOrder]]</f>
        <v>5</v>
      </c>
      <c r="AY160" s="8">
        <f ca="1">IF(COUNTIF(PlayerGameData[BLKOrder],PlayerGameData[[#This Row],[BLKOrder]])&gt;1,PlayerGameData[[#This Row],[PointRank]]/100+PlayerGameData[[#This Row],[BLKOrder]],PlayerGameData[[#This Row],[BLKOrder]])</f>
        <v>6.12</v>
      </c>
      <c r="AZ160" s="8">
        <f ca="1">RANK(PlayerGameData[[#This Row],[BLKTieBreak]],PlayerGameData[BLKTieBreak],1)</f>
        <v>9</v>
      </c>
      <c r="BA160" s="11">
        <f ca="1">IFERROR(IF(PlayerGameData[[#This Row],[FGA]]&gt;$AA$5,PlayerGameData[[#This Row],[FG%*]],PlayerGameData[[#This Row],[FG%*]]*-1),-2)</f>
        <v>0.33333333333333331</v>
      </c>
      <c r="BB160" s="8">
        <f ca="1">RANK(PlayerGameData[[#This Row],[EligFG]],PlayerGameData[EligFG],0)+PlayerGameData[[#This Row],[VisibleOrder]]</f>
        <v>80</v>
      </c>
      <c r="BC160" s="8">
        <f ca="1">IF(COUNTIF(PlayerGameData[EligFGOrder],PlayerGameData[[#This Row],[EligFGOrder]])&gt;1,PlayerGameData[[#This Row],[PointRank]]/100+PlayerGameData[[#This Row],[EligFGOrder]],PlayerGameData[[#This Row],[EligFGOrder]])</f>
        <v>81.12</v>
      </c>
      <c r="BD160" s="8">
        <f ca="1">RANK(PlayerGameData[[#This Row],[EligFGTieBreak]],PlayerGameData[EligFGTieBreak],1)</f>
        <v>85</v>
      </c>
      <c r="BE160" s="8" t="str">
        <f>Roster!$D$3</f>
        <v>East</v>
      </c>
      <c r="BF160" s="8" t="str">
        <f>Roster!$D$2</f>
        <v>Northeast</v>
      </c>
      <c r="BG160" s="8" t="str">
        <f>Roster!$D$4</f>
        <v>North</v>
      </c>
      <c r="BH160" s="197">
        <f ca="1">IFERROR(VLOOKUP(CONCATENATE(PlayerGameData[[#This Row],[Opponent]]," ",MONTH(PlayerGameData[[#This Row],[Date]]),"/",DAY(PlayerGameData[[#This Row],[Date]]),"/",YEAR(PlayerGameData[[#This Row],[Date]])),Table35[],2,FALSE),0)</f>
        <v>1</v>
      </c>
      <c r="BI160" s="197">
        <f ca="1">IF(PlayerGameData[[#This Row],[Visible]]=1,1,1000)</f>
        <v>1</v>
      </c>
      <c r="BJ160" s="197" t="e">
        <f ca="1">_xlfn.MAXIFS(TeamGameData[Win],TeamGameData[School, Opponent,Game'#],PlayerGameData[[#This Row],[School, Opponent,Game'#]])</f>
        <v>#NAME?</v>
      </c>
      <c r="BK160" s="197" t="e">
        <f ca="1">_xlfn.MAXIFS(TeamGameData[Loss],TeamGameData[School, Opponent,Game'#],PlayerGameData[[#This Row],[School, Opponent,Game'#]])</f>
        <v>#NAME?</v>
      </c>
    </row>
    <row r="161" spans="1:63" x14ac:dyDescent="0.25">
      <c r="A161" s="8" t="str">
        <f t="shared" ca="1" si="93"/>
        <v>Matt Stirmel, 33</v>
      </c>
      <c r="B161" s="8" t="str">
        <f>Roster!$B$1</f>
        <v>Upton</v>
      </c>
      <c r="C161" s="8" t="str">
        <f t="shared" ca="1" si="81"/>
        <v>Moorcroft</v>
      </c>
      <c r="D161" s="10">
        <f t="shared" ca="1" si="82"/>
        <v>44935</v>
      </c>
      <c r="E161" s="8">
        <f t="shared" ca="1" si="83"/>
        <v>1</v>
      </c>
      <c r="F161" s="8">
        <f t="shared" ca="1" si="84"/>
        <v>0</v>
      </c>
      <c r="G161" s="8">
        <f t="shared" ca="1" si="85"/>
        <v>0</v>
      </c>
      <c r="H161" s="8">
        <f t="shared" ca="1" si="86"/>
        <v>0</v>
      </c>
      <c r="I161" s="8">
        <f t="shared" ca="1" si="87"/>
        <v>0</v>
      </c>
      <c r="J161" s="8">
        <f t="shared" ca="1" si="88"/>
        <v>0</v>
      </c>
      <c r="K161" s="8">
        <f t="shared" ca="1" si="89"/>
        <v>0</v>
      </c>
      <c r="L161" s="8">
        <f t="shared" ca="1" si="94"/>
        <v>0</v>
      </c>
      <c r="M161" s="8">
        <f t="shared" ca="1" si="95"/>
        <v>0</v>
      </c>
      <c r="N161" s="8">
        <f t="shared" ca="1" si="96"/>
        <v>0</v>
      </c>
      <c r="O161" s="8">
        <f t="shared" ca="1" si="97"/>
        <v>0</v>
      </c>
      <c r="P161" s="8">
        <f t="shared" ca="1" si="98"/>
        <v>0</v>
      </c>
      <c r="Q161" s="8">
        <f t="shared" ca="1" si="99"/>
        <v>0</v>
      </c>
      <c r="R161" s="8">
        <f t="shared" ca="1" si="100"/>
        <v>0</v>
      </c>
      <c r="S161" s="8">
        <f t="shared" ca="1" si="101"/>
        <v>0</v>
      </c>
      <c r="T161" s="8">
        <f t="shared" ca="1" si="102"/>
        <v>0</v>
      </c>
      <c r="U161" s="8">
        <f t="shared" ca="1" si="103"/>
        <v>0</v>
      </c>
      <c r="V161" s="8">
        <f t="shared" ca="1" si="104"/>
        <v>0</v>
      </c>
      <c r="W161" s="11" t="str">
        <f t="shared" ca="1" si="105"/>
        <v/>
      </c>
      <c r="X161" s="11" t="str">
        <f t="shared" ca="1" si="106"/>
        <v/>
      </c>
      <c r="Y161" s="11" t="str">
        <f t="shared" ca="1" si="107"/>
        <v/>
      </c>
      <c r="Z161" s="11" t="str">
        <f t="shared" ca="1" si="108"/>
        <v/>
      </c>
      <c r="AA161" s="11" t="str">
        <f t="shared" ca="1" si="109"/>
        <v/>
      </c>
      <c r="AB161" s="47">
        <f ca="1">PlayerGameData[[#This Row],[3FGA]]+PlayerGameData[[#This Row],[2FGA]]</f>
        <v>0</v>
      </c>
      <c r="AC161" s="47">
        <f ca="1">PlayerGameData[[#This Row],[OFF REB]]+PlayerGameData[[#This Row],[DEF REB]]</f>
        <v>0</v>
      </c>
      <c r="AD161" s="8">
        <f t="shared" si="90"/>
        <v>7</v>
      </c>
      <c r="AE161" s="8" t="str">
        <f t="shared" ca="1" si="91"/>
        <v>Matt Stirmel, 33 - Moorcroft 1/9/2023</v>
      </c>
      <c r="AF161" s="8" t="str">
        <f t="shared" ca="1" si="110"/>
        <v/>
      </c>
      <c r="AG161" s="8" t="str">
        <f ca="1">IFERROR(IF(C161=0,"",IF(AND(VLOOKUP(PlayerGameData[[#This Row],[Opponent]],WYTeamInfo,2,FALSE)=Roster!$D$1,VLOOKUP(PlayerGameData[[#This Row],[Opponent]],WYTeamInfo,3,FALSE)=Roster!$D$2),"SR","")),"")</f>
        <v/>
      </c>
      <c r="AH161" s="8" t="str">
        <f>CONCATENATE(Roster!$D$1," ",Roster!$D$5)</f>
        <v>1A BB</v>
      </c>
      <c r="AI161" s="8" t="str">
        <f t="shared" ca="1" si="92"/>
        <v>Upton - Moorcroft 1/9/2023</v>
      </c>
      <c r="AJ161" s="8">
        <f ca="1">IFERROR(VLOOKUP(PlayerGameData[[#This Row],[School, Opponent,Game'#]],Table3[],2,FALSE),0)</f>
        <v>1</v>
      </c>
      <c r="AK161" s="8">
        <f ca="1">IF(PlayerGameData[[#This Row],[Visible]]=1,1,1000)</f>
        <v>1</v>
      </c>
      <c r="AL161" s="8">
        <f ca="1">RANK(PlayerGameData[[#This Row],[TL PTS]],PlayerGameData[TL PTS],0)+PlayerGameData[[#This Row],[VisibleOrder]]</f>
        <v>185</v>
      </c>
      <c r="AM161" s="8">
        <f ca="1">IF(COUNTIF(PlayerGameData[PointOrder],PlayerGameData[[#This Row],[PointOrder]])&gt;1,RANK(PlayerGameData[[#This Row],[FGA]],PlayerGameData[FGA],0)/100,0)+PlayerGameData[[#This Row],[PointOrder]]</f>
        <v>187.14</v>
      </c>
      <c r="AN161" s="8">
        <f ca="1">RANK(PlayerGameData[[#This Row],[PointTieBreak]],PlayerGameData[PointTieBreak],1)</f>
        <v>216</v>
      </c>
      <c r="AO161" s="8">
        <f ca="1">RANK(PlayerGameData[[#This Row],[REB]],PlayerGameData[REB],0)+PlayerGameData[[#This Row],[VisibleOrder]]</f>
        <v>192</v>
      </c>
      <c r="AP161" s="8">
        <f ca="1">IF(COUNTIF(PlayerGameData[REBOrder],PlayerGameData[[#This Row],[REBOrder]])&gt;1,PlayerGameData[[#This Row],[PointRank]]/100+PlayerGameData[[#This Row],[REBOrder]],PlayerGameData[[#This Row],[REBOrder]])</f>
        <v>194.16</v>
      </c>
      <c r="AQ161" s="8">
        <f ca="1">RANK(PlayerGameData[[#This Row],[REBTieBreak]],PlayerGameData[REBTieBreak],1)</f>
        <v>224</v>
      </c>
      <c r="AR161" s="8">
        <f ca="1">RANK(PlayerGameData[[#This Row],[AST]],PlayerGameData[AST],0)+PlayerGameData[[#This Row],[VisibleOrder]]</f>
        <v>158</v>
      </c>
      <c r="AS161" s="8">
        <f ca="1">IF(COUNTIF(PlayerGameData[ASTOrder],PlayerGameData[[#This Row],[ASTOrder]])&gt;1,PlayerGameData[[#This Row],[PointRank]]/100+PlayerGameData[[#This Row],[ASTOrder]],PlayerGameData[[#This Row],[ASTOrder]])</f>
        <v>160.16</v>
      </c>
      <c r="AT161" s="8">
        <f ca="1">RANK(PlayerGameData[[#This Row],[ASTTieBreak]],PlayerGameData[ASTTieBreak],1)</f>
        <v>221</v>
      </c>
      <c r="AU161" s="8">
        <f ca="1">RANK(PlayerGameData[[#This Row],[STL]],PlayerGameData[STL],0)+PlayerGameData[[#This Row],[VisibleOrder]]</f>
        <v>143</v>
      </c>
      <c r="AV161" s="8">
        <f ca="1">IF(COUNTIF(PlayerGameData[STLOrder],PlayerGameData[[#This Row],[STLOrder]])&gt;1,PlayerGameData[[#This Row],[PointRank]]/100+PlayerGameData[[#This Row],[STLOrder]],PlayerGameData[[#This Row],[STLOrder]])</f>
        <v>145.16</v>
      </c>
      <c r="AW161" s="8">
        <f ca="1">RANK(PlayerGameData[[#This Row],[STLTieBreak]],PlayerGameData[STLTieBreak],1)</f>
        <v>217</v>
      </c>
      <c r="AX161" s="8">
        <f ca="1">RANK(PlayerGameData[[#This Row],[BLK]],PlayerGameData[BLK],0)+PlayerGameData[[#This Row],[VisibleOrder]]</f>
        <v>32</v>
      </c>
      <c r="AY161" s="8">
        <f ca="1">IF(COUNTIF(PlayerGameData[BLKOrder],PlayerGameData[[#This Row],[BLKOrder]])&gt;1,PlayerGameData[[#This Row],[PointRank]]/100+PlayerGameData[[#This Row],[BLKOrder]],PlayerGameData[[#This Row],[BLKOrder]])</f>
        <v>34.159999999999997</v>
      </c>
      <c r="AZ161" s="8">
        <f ca="1">RANK(PlayerGameData[[#This Row],[BLKTieBreak]],PlayerGameData[BLKTieBreak],1)</f>
        <v>216</v>
      </c>
      <c r="BA161" s="11">
        <f ca="1">IFERROR(IF(PlayerGameData[[#This Row],[FGA]]&gt;$AA$5,PlayerGameData[[#This Row],[FG%*]],PlayerGameData[[#This Row],[FG%*]]*-1),-2)</f>
        <v>-2</v>
      </c>
      <c r="BB161" s="8">
        <f ca="1">RANK(PlayerGameData[[#This Row],[EligFG]],PlayerGameData[EligFG],0)+PlayerGameData[[#This Row],[VisibleOrder]]</f>
        <v>215</v>
      </c>
      <c r="BC161" s="8">
        <f ca="1">IF(COUNTIF(PlayerGameData[EligFGOrder],PlayerGameData[[#This Row],[EligFGOrder]])&gt;1,PlayerGameData[[#This Row],[PointRank]]/100+PlayerGameData[[#This Row],[EligFGOrder]],PlayerGameData[[#This Row],[EligFGOrder]])</f>
        <v>217.16</v>
      </c>
      <c r="BD161" s="8">
        <f ca="1">RANK(PlayerGameData[[#This Row],[EligFGTieBreak]],PlayerGameData[EligFGTieBreak],1)</f>
        <v>216</v>
      </c>
      <c r="BE161" s="8" t="str">
        <f>Roster!$D$3</f>
        <v>East</v>
      </c>
      <c r="BF161" s="8" t="str">
        <f>Roster!$D$2</f>
        <v>Northeast</v>
      </c>
      <c r="BG161" s="8" t="str">
        <f>Roster!$D$4</f>
        <v>North</v>
      </c>
      <c r="BH161" s="197">
        <f ca="1">IFERROR(VLOOKUP(CONCATENATE(PlayerGameData[[#This Row],[Opponent]]," ",MONTH(PlayerGameData[[#This Row],[Date]]),"/",DAY(PlayerGameData[[#This Row],[Date]]),"/",YEAR(PlayerGameData[[#This Row],[Date]])),Table35[],2,FALSE),0)</f>
        <v>1</v>
      </c>
      <c r="BI161" s="197">
        <f ca="1">IF(PlayerGameData[[#This Row],[Visible]]=1,1,1000)</f>
        <v>1</v>
      </c>
      <c r="BJ161" s="197" t="e">
        <f ca="1">_xlfn.MAXIFS(TeamGameData[Win],TeamGameData[School, Opponent,Game'#],PlayerGameData[[#This Row],[School, Opponent,Game'#]])</f>
        <v>#NAME?</v>
      </c>
      <c r="BK161" s="197" t="e">
        <f ca="1">_xlfn.MAXIFS(TeamGameData[Loss],TeamGameData[School, Opponent,Game'#],PlayerGameData[[#This Row],[School, Opponent,Game'#]])</f>
        <v>#NAME?</v>
      </c>
    </row>
    <row r="162" spans="1:63" x14ac:dyDescent="0.25">
      <c r="A162" s="8" t="str">
        <f t="shared" ca="1" si="93"/>
        <v>Jacob McNutt, 34</v>
      </c>
      <c r="B162" s="8" t="str">
        <f>Roster!$B$1</f>
        <v>Upton</v>
      </c>
      <c r="C162" s="8" t="str">
        <f t="shared" ca="1" si="81"/>
        <v>Moorcroft</v>
      </c>
      <c r="D162" s="10">
        <f t="shared" ca="1" si="82"/>
        <v>44935</v>
      </c>
      <c r="E162" s="8">
        <f t="shared" ca="1" si="83"/>
        <v>1</v>
      </c>
      <c r="F162" s="8">
        <f t="shared" ca="1" si="84"/>
        <v>0</v>
      </c>
      <c r="G162" s="8">
        <f t="shared" ca="1" si="85"/>
        <v>0</v>
      </c>
      <c r="H162" s="8">
        <f t="shared" ca="1" si="86"/>
        <v>0</v>
      </c>
      <c r="I162" s="8">
        <f t="shared" ca="1" si="87"/>
        <v>0</v>
      </c>
      <c r="J162" s="8">
        <f t="shared" ca="1" si="88"/>
        <v>0</v>
      </c>
      <c r="K162" s="8">
        <f t="shared" ca="1" si="89"/>
        <v>0</v>
      </c>
      <c r="L162" s="8">
        <f t="shared" ca="1" si="94"/>
        <v>0</v>
      </c>
      <c r="M162" s="8">
        <f t="shared" ca="1" si="95"/>
        <v>0</v>
      </c>
      <c r="N162" s="8">
        <f t="shared" ca="1" si="96"/>
        <v>0</v>
      </c>
      <c r="O162" s="8">
        <f t="shared" ca="1" si="97"/>
        <v>0</v>
      </c>
      <c r="P162" s="8">
        <f t="shared" ca="1" si="98"/>
        <v>0</v>
      </c>
      <c r="Q162" s="8">
        <f t="shared" ca="1" si="99"/>
        <v>0</v>
      </c>
      <c r="R162" s="8">
        <f t="shared" ca="1" si="100"/>
        <v>0</v>
      </c>
      <c r="S162" s="8">
        <f t="shared" ca="1" si="101"/>
        <v>0</v>
      </c>
      <c r="T162" s="8">
        <f t="shared" ca="1" si="102"/>
        <v>0</v>
      </c>
      <c r="U162" s="8">
        <f t="shared" ca="1" si="103"/>
        <v>0</v>
      </c>
      <c r="V162" s="8">
        <f t="shared" ca="1" si="104"/>
        <v>0</v>
      </c>
      <c r="W162" s="11" t="str">
        <f t="shared" ca="1" si="105"/>
        <v/>
      </c>
      <c r="X162" s="11" t="str">
        <f t="shared" ca="1" si="106"/>
        <v/>
      </c>
      <c r="Y162" s="11" t="str">
        <f t="shared" ca="1" si="107"/>
        <v/>
      </c>
      <c r="Z162" s="11" t="str">
        <f t="shared" ca="1" si="108"/>
        <v/>
      </c>
      <c r="AA162" s="11" t="str">
        <f t="shared" ca="1" si="109"/>
        <v/>
      </c>
      <c r="AB162" s="47">
        <f ca="1">PlayerGameData[[#This Row],[3FGA]]+PlayerGameData[[#This Row],[2FGA]]</f>
        <v>0</v>
      </c>
      <c r="AC162" s="47">
        <f ca="1">PlayerGameData[[#This Row],[OFF REB]]+PlayerGameData[[#This Row],[DEF REB]]</f>
        <v>0</v>
      </c>
      <c r="AD162" s="8">
        <f t="shared" si="90"/>
        <v>7</v>
      </c>
      <c r="AE162" s="8" t="str">
        <f t="shared" ca="1" si="91"/>
        <v>Jacob McNutt, 34 - Moorcroft 1/9/2023</v>
      </c>
      <c r="AF162" s="8" t="str">
        <f t="shared" ca="1" si="110"/>
        <v/>
      </c>
      <c r="AG162" s="8" t="str">
        <f ca="1">IFERROR(IF(C162=0,"",IF(AND(VLOOKUP(PlayerGameData[[#This Row],[Opponent]],WYTeamInfo,2,FALSE)=Roster!$D$1,VLOOKUP(PlayerGameData[[#This Row],[Opponent]],WYTeamInfo,3,FALSE)=Roster!$D$2),"SR","")),"")</f>
        <v/>
      </c>
      <c r="AH162" s="8" t="str">
        <f>CONCATENATE(Roster!$D$1," ",Roster!$D$5)</f>
        <v>1A BB</v>
      </c>
      <c r="AI162" s="8" t="str">
        <f t="shared" ca="1" si="92"/>
        <v>Upton - Moorcroft 1/9/2023</v>
      </c>
      <c r="AJ162" s="8">
        <f ca="1">IFERROR(VLOOKUP(PlayerGameData[[#This Row],[School, Opponent,Game'#]],Table3[],2,FALSE),0)</f>
        <v>1</v>
      </c>
      <c r="AK162" s="8">
        <f ca="1">IF(PlayerGameData[[#This Row],[Visible]]=1,1,1000)</f>
        <v>1</v>
      </c>
      <c r="AL162" s="8">
        <f ca="1">RANK(PlayerGameData[[#This Row],[TL PTS]],PlayerGameData[TL PTS],0)+PlayerGameData[[#This Row],[VisibleOrder]]</f>
        <v>185</v>
      </c>
      <c r="AM162" s="8">
        <f ca="1">IF(COUNTIF(PlayerGameData[PointOrder],PlayerGameData[[#This Row],[PointOrder]])&gt;1,RANK(PlayerGameData[[#This Row],[FGA]],PlayerGameData[FGA],0)/100,0)+PlayerGameData[[#This Row],[PointOrder]]</f>
        <v>187.14</v>
      </c>
      <c r="AN162" s="8">
        <f ca="1">RANK(PlayerGameData[[#This Row],[PointTieBreak]],PlayerGameData[PointTieBreak],1)</f>
        <v>216</v>
      </c>
      <c r="AO162" s="8">
        <f ca="1">RANK(PlayerGameData[[#This Row],[REB]],PlayerGameData[REB],0)+PlayerGameData[[#This Row],[VisibleOrder]]</f>
        <v>192</v>
      </c>
      <c r="AP162" s="8">
        <f ca="1">IF(COUNTIF(PlayerGameData[REBOrder],PlayerGameData[[#This Row],[REBOrder]])&gt;1,PlayerGameData[[#This Row],[PointRank]]/100+PlayerGameData[[#This Row],[REBOrder]],PlayerGameData[[#This Row],[REBOrder]])</f>
        <v>194.16</v>
      </c>
      <c r="AQ162" s="8">
        <f ca="1">RANK(PlayerGameData[[#This Row],[REBTieBreak]],PlayerGameData[REBTieBreak],1)</f>
        <v>224</v>
      </c>
      <c r="AR162" s="8">
        <f ca="1">RANK(PlayerGameData[[#This Row],[AST]],PlayerGameData[AST],0)+PlayerGameData[[#This Row],[VisibleOrder]]</f>
        <v>158</v>
      </c>
      <c r="AS162" s="8">
        <f ca="1">IF(COUNTIF(PlayerGameData[ASTOrder],PlayerGameData[[#This Row],[ASTOrder]])&gt;1,PlayerGameData[[#This Row],[PointRank]]/100+PlayerGameData[[#This Row],[ASTOrder]],PlayerGameData[[#This Row],[ASTOrder]])</f>
        <v>160.16</v>
      </c>
      <c r="AT162" s="8">
        <f ca="1">RANK(PlayerGameData[[#This Row],[ASTTieBreak]],PlayerGameData[ASTTieBreak],1)</f>
        <v>221</v>
      </c>
      <c r="AU162" s="8">
        <f ca="1">RANK(PlayerGameData[[#This Row],[STL]],PlayerGameData[STL],0)+PlayerGameData[[#This Row],[VisibleOrder]]</f>
        <v>143</v>
      </c>
      <c r="AV162" s="8">
        <f ca="1">IF(COUNTIF(PlayerGameData[STLOrder],PlayerGameData[[#This Row],[STLOrder]])&gt;1,PlayerGameData[[#This Row],[PointRank]]/100+PlayerGameData[[#This Row],[STLOrder]],PlayerGameData[[#This Row],[STLOrder]])</f>
        <v>145.16</v>
      </c>
      <c r="AW162" s="8">
        <f ca="1">RANK(PlayerGameData[[#This Row],[STLTieBreak]],PlayerGameData[STLTieBreak],1)</f>
        <v>217</v>
      </c>
      <c r="AX162" s="8">
        <f ca="1">RANK(PlayerGameData[[#This Row],[BLK]],PlayerGameData[BLK],0)+PlayerGameData[[#This Row],[VisibleOrder]]</f>
        <v>32</v>
      </c>
      <c r="AY162" s="8">
        <f ca="1">IF(COUNTIF(PlayerGameData[BLKOrder],PlayerGameData[[#This Row],[BLKOrder]])&gt;1,PlayerGameData[[#This Row],[PointRank]]/100+PlayerGameData[[#This Row],[BLKOrder]],PlayerGameData[[#This Row],[BLKOrder]])</f>
        <v>34.159999999999997</v>
      </c>
      <c r="AZ162" s="8">
        <f ca="1">RANK(PlayerGameData[[#This Row],[BLKTieBreak]],PlayerGameData[BLKTieBreak],1)</f>
        <v>216</v>
      </c>
      <c r="BA162" s="11">
        <f ca="1">IFERROR(IF(PlayerGameData[[#This Row],[FGA]]&gt;$AA$5,PlayerGameData[[#This Row],[FG%*]],PlayerGameData[[#This Row],[FG%*]]*-1),-2)</f>
        <v>-2</v>
      </c>
      <c r="BB162" s="8">
        <f ca="1">RANK(PlayerGameData[[#This Row],[EligFG]],PlayerGameData[EligFG],0)+PlayerGameData[[#This Row],[VisibleOrder]]</f>
        <v>215</v>
      </c>
      <c r="BC162" s="8">
        <f ca="1">IF(COUNTIF(PlayerGameData[EligFGOrder],PlayerGameData[[#This Row],[EligFGOrder]])&gt;1,PlayerGameData[[#This Row],[PointRank]]/100+PlayerGameData[[#This Row],[EligFGOrder]],PlayerGameData[[#This Row],[EligFGOrder]])</f>
        <v>217.16</v>
      </c>
      <c r="BD162" s="8">
        <f ca="1">RANK(PlayerGameData[[#This Row],[EligFGTieBreak]],PlayerGameData[EligFGTieBreak],1)</f>
        <v>216</v>
      </c>
      <c r="BE162" s="8" t="str">
        <f>Roster!$D$3</f>
        <v>East</v>
      </c>
      <c r="BF162" s="8" t="str">
        <f>Roster!$D$2</f>
        <v>Northeast</v>
      </c>
      <c r="BG162" s="8" t="str">
        <f>Roster!$D$4</f>
        <v>North</v>
      </c>
      <c r="BH162" s="197">
        <f ca="1">IFERROR(VLOOKUP(CONCATENATE(PlayerGameData[[#This Row],[Opponent]]," ",MONTH(PlayerGameData[[#This Row],[Date]]),"/",DAY(PlayerGameData[[#This Row],[Date]]),"/",YEAR(PlayerGameData[[#This Row],[Date]])),Table35[],2,FALSE),0)</f>
        <v>1</v>
      </c>
      <c r="BI162" s="197">
        <f ca="1">IF(PlayerGameData[[#This Row],[Visible]]=1,1,1000)</f>
        <v>1</v>
      </c>
      <c r="BJ162" s="197" t="e">
        <f ca="1">_xlfn.MAXIFS(TeamGameData[Win],TeamGameData[School, Opponent,Game'#],PlayerGameData[[#This Row],[School, Opponent,Game'#]])</f>
        <v>#NAME?</v>
      </c>
      <c r="BK162" s="197" t="e">
        <f ca="1">_xlfn.MAXIFS(TeamGameData[Loss],TeamGameData[School, Opponent,Game'#],PlayerGameData[[#This Row],[School, Opponent,Game'#]])</f>
        <v>#NAME?</v>
      </c>
    </row>
    <row r="163" spans="1:63" x14ac:dyDescent="0.25">
      <c r="A163" s="8" t="str">
        <f t="shared" ca="1" si="93"/>
        <v>Ryan Baker, 35</v>
      </c>
      <c r="B163" s="8" t="str">
        <f>Roster!$B$1</f>
        <v>Upton</v>
      </c>
      <c r="C163" s="8" t="str">
        <f t="shared" ca="1" si="81"/>
        <v>Moorcroft</v>
      </c>
      <c r="D163" s="10">
        <f t="shared" ca="1" si="82"/>
        <v>44935</v>
      </c>
      <c r="E163" s="8">
        <f t="shared" ca="1" si="83"/>
        <v>1</v>
      </c>
      <c r="F163" s="8">
        <f t="shared" ca="1" si="84"/>
        <v>0</v>
      </c>
      <c r="G163" s="8">
        <f t="shared" ca="1" si="85"/>
        <v>12</v>
      </c>
      <c r="H163" s="8">
        <f t="shared" ca="1" si="86"/>
        <v>1</v>
      </c>
      <c r="I163" s="8">
        <f t="shared" ca="1" si="87"/>
        <v>1</v>
      </c>
      <c r="J163" s="8">
        <f t="shared" ca="1" si="88"/>
        <v>1</v>
      </c>
      <c r="K163" s="8">
        <f t="shared" ca="1" si="89"/>
        <v>2</v>
      </c>
      <c r="L163" s="8">
        <f t="shared" ca="1" si="94"/>
        <v>1</v>
      </c>
      <c r="M163" s="8">
        <f t="shared" ca="1" si="95"/>
        <v>2</v>
      </c>
      <c r="N163" s="8">
        <f t="shared" ca="1" si="96"/>
        <v>1</v>
      </c>
      <c r="O163" s="8">
        <f t="shared" ca="1" si="97"/>
        <v>0</v>
      </c>
      <c r="P163" s="8">
        <f t="shared" ca="1" si="98"/>
        <v>1</v>
      </c>
      <c r="Q163" s="8">
        <f t="shared" ca="1" si="99"/>
        <v>1</v>
      </c>
      <c r="R163" s="8">
        <f t="shared" ca="1" si="100"/>
        <v>0</v>
      </c>
      <c r="S163" s="8">
        <f t="shared" ca="1" si="101"/>
        <v>0</v>
      </c>
      <c r="T163" s="8">
        <f t="shared" ca="1" si="102"/>
        <v>0</v>
      </c>
      <c r="U163" s="8">
        <f t="shared" ca="1" si="103"/>
        <v>0</v>
      </c>
      <c r="V163" s="8">
        <f t="shared" ca="1" si="104"/>
        <v>6</v>
      </c>
      <c r="W163" s="11">
        <f t="shared" ca="1" si="105"/>
        <v>1</v>
      </c>
      <c r="X163" s="11">
        <f t="shared" ca="1" si="106"/>
        <v>0.5</v>
      </c>
      <c r="Y163" s="11">
        <f t="shared" ca="1" si="107"/>
        <v>0.5</v>
      </c>
      <c r="Z163" s="11">
        <f t="shared" ca="1" si="108"/>
        <v>0.66666666666666663</v>
      </c>
      <c r="AA163" s="11">
        <f t="shared" ca="1" si="109"/>
        <v>0.83333333333333337</v>
      </c>
      <c r="AB163" s="47">
        <f ca="1">PlayerGameData[[#This Row],[3FGA]]+PlayerGameData[[#This Row],[2FGA]]</f>
        <v>3</v>
      </c>
      <c r="AC163" s="47">
        <f ca="1">PlayerGameData[[#This Row],[OFF REB]]+PlayerGameData[[#This Row],[DEF REB]]</f>
        <v>1</v>
      </c>
      <c r="AD163" s="8">
        <f t="shared" si="90"/>
        <v>7</v>
      </c>
      <c r="AE163" s="8" t="str">
        <f t="shared" ca="1" si="91"/>
        <v>Ryan Baker, 35 - Moorcroft 1/9/2023</v>
      </c>
      <c r="AF163" s="8" t="str">
        <f t="shared" ca="1" si="110"/>
        <v/>
      </c>
      <c r="AG163" s="8" t="str">
        <f ca="1">IFERROR(IF(C163=0,"",IF(AND(VLOOKUP(PlayerGameData[[#This Row],[Opponent]],WYTeamInfo,2,FALSE)=Roster!$D$1,VLOOKUP(PlayerGameData[[#This Row],[Opponent]],WYTeamInfo,3,FALSE)=Roster!$D$2),"SR","")),"")</f>
        <v/>
      </c>
      <c r="AH163" s="8" t="str">
        <f>CONCATENATE(Roster!$D$1," ",Roster!$D$5)</f>
        <v>1A BB</v>
      </c>
      <c r="AI163" s="8" t="str">
        <f t="shared" ca="1" si="92"/>
        <v>Upton - Moorcroft 1/9/2023</v>
      </c>
      <c r="AJ163" s="8">
        <f ca="1">IFERROR(VLOOKUP(PlayerGameData[[#This Row],[School, Opponent,Game'#]],Table3[],2,FALSE),0)</f>
        <v>1</v>
      </c>
      <c r="AK163" s="8">
        <f ca="1">IF(PlayerGameData[[#This Row],[Visible]]=1,1,1000)</f>
        <v>1</v>
      </c>
      <c r="AL163" s="8">
        <f ca="1">RANK(PlayerGameData[[#This Row],[TL PTS]],PlayerGameData[TL PTS],0)+PlayerGameData[[#This Row],[VisibleOrder]]</f>
        <v>102</v>
      </c>
      <c r="AM163" s="8">
        <f ca="1">IF(COUNTIF(PlayerGameData[PointOrder],PlayerGameData[[#This Row],[PointOrder]])&gt;1,RANK(PlayerGameData[[#This Row],[FGA]],PlayerGameData[FGA],0)/100,0)+PlayerGameData[[#This Row],[PointOrder]]</f>
        <v>103.4</v>
      </c>
      <c r="AN163" s="8">
        <f ca="1">RANK(PlayerGameData[[#This Row],[PointTieBreak]],PlayerGameData[PointTieBreak],1)</f>
        <v>106</v>
      </c>
      <c r="AO163" s="8">
        <f ca="1">RANK(PlayerGameData[[#This Row],[REB]],PlayerGameData[REB],0)+PlayerGameData[[#This Row],[VisibleOrder]]</f>
        <v>163</v>
      </c>
      <c r="AP163" s="8">
        <f ca="1">IF(COUNTIF(PlayerGameData[REBOrder],PlayerGameData[[#This Row],[REBOrder]])&gt;1,PlayerGameData[[#This Row],[PointRank]]/100+PlayerGameData[[#This Row],[REBOrder]],PlayerGameData[[#This Row],[REBOrder]])</f>
        <v>164.06</v>
      </c>
      <c r="AQ163" s="8">
        <f ca="1">RANK(PlayerGameData[[#This Row],[REBTieBreak]],PlayerGameData[REBTieBreak],1)</f>
        <v>167</v>
      </c>
      <c r="AR163" s="8">
        <f ca="1">RANK(PlayerGameData[[#This Row],[AST]],PlayerGameData[AST],0)+PlayerGameData[[#This Row],[VisibleOrder]]</f>
        <v>115</v>
      </c>
      <c r="AS163" s="8">
        <f ca="1">IF(COUNTIF(PlayerGameData[ASTOrder],PlayerGameData[[#This Row],[ASTOrder]])&gt;1,PlayerGameData[[#This Row],[PointRank]]/100+PlayerGameData[[#This Row],[ASTOrder]],PlayerGameData[[#This Row],[ASTOrder]])</f>
        <v>116.06</v>
      </c>
      <c r="AT163" s="8">
        <f ca="1">RANK(PlayerGameData[[#This Row],[ASTTieBreak]],PlayerGameData[ASTTieBreak],1)</f>
        <v>131</v>
      </c>
      <c r="AU163" s="8">
        <f ca="1">RANK(PlayerGameData[[#This Row],[STL]],PlayerGameData[STL],0)+PlayerGameData[[#This Row],[VisibleOrder]]</f>
        <v>84</v>
      </c>
      <c r="AV163" s="8">
        <f ca="1">IF(COUNTIF(PlayerGameData[STLOrder],PlayerGameData[[#This Row],[STLOrder]])&gt;1,PlayerGameData[[#This Row],[PointRank]]/100+PlayerGameData[[#This Row],[STLOrder]],PlayerGameData[[#This Row],[STLOrder]])</f>
        <v>85.06</v>
      </c>
      <c r="AW163" s="8">
        <f ca="1">RANK(PlayerGameData[[#This Row],[STLTieBreak]],PlayerGameData[STLTieBreak],1)</f>
        <v>108</v>
      </c>
      <c r="AX163" s="8">
        <f ca="1">RANK(PlayerGameData[[#This Row],[BLK]],PlayerGameData[BLK],0)+PlayerGameData[[#This Row],[VisibleOrder]]</f>
        <v>32</v>
      </c>
      <c r="AY163" s="8">
        <f ca="1">IF(COUNTIF(PlayerGameData[BLKOrder],PlayerGameData[[#This Row],[BLKOrder]])&gt;1,PlayerGameData[[#This Row],[PointRank]]/100+PlayerGameData[[#This Row],[BLKOrder]],PlayerGameData[[#This Row],[BLKOrder]])</f>
        <v>33.06</v>
      </c>
      <c r="AZ163" s="8">
        <f ca="1">RANK(PlayerGameData[[#This Row],[BLKTieBreak]],PlayerGameData[BLKTieBreak],1)</f>
        <v>113</v>
      </c>
      <c r="BA163" s="11">
        <f ca="1">IFERROR(IF(PlayerGameData[[#This Row],[FGA]]&gt;$AA$5,PlayerGameData[[#This Row],[FG%*]],PlayerGameData[[#This Row],[FG%*]]*-1),-2)</f>
        <v>-0.66666666666666663</v>
      </c>
      <c r="BB163" s="8">
        <f ca="1">RANK(PlayerGameData[[#This Row],[EligFG]],PlayerGameData[EligFG],0)+PlayerGameData[[#This Row],[VisibleOrder]]</f>
        <v>197</v>
      </c>
      <c r="BC163" s="8">
        <f ca="1">IF(COUNTIF(PlayerGameData[EligFGOrder],PlayerGameData[[#This Row],[EligFGOrder]])&gt;1,PlayerGameData[[#This Row],[PointRank]]/100+PlayerGameData[[#This Row],[EligFGOrder]],PlayerGameData[[#This Row],[EligFGOrder]])</f>
        <v>198.06</v>
      </c>
      <c r="BD163" s="8">
        <f ca="1">RANK(PlayerGameData[[#This Row],[EligFGTieBreak]],PlayerGameData[EligFGTieBreak],1)</f>
        <v>196</v>
      </c>
      <c r="BE163" s="8" t="str">
        <f>Roster!$D$3</f>
        <v>East</v>
      </c>
      <c r="BF163" s="8" t="str">
        <f>Roster!$D$2</f>
        <v>Northeast</v>
      </c>
      <c r="BG163" s="8" t="str">
        <f>Roster!$D$4</f>
        <v>North</v>
      </c>
      <c r="BH163" s="197">
        <f ca="1">IFERROR(VLOOKUP(CONCATENATE(PlayerGameData[[#This Row],[Opponent]]," ",MONTH(PlayerGameData[[#This Row],[Date]]),"/",DAY(PlayerGameData[[#This Row],[Date]]),"/",YEAR(PlayerGameData[[#This Row],[Date]])),Table35[],2,FALSE),0)</f>
        <v>1</v>
      </c>
      <c r="BI163" s="197">
        <f ca="1">IF(PlayerGameData[[#This Row],[Visible]]=1,1,1000)</f>
        <v>1</v>
      </c>
      <c r="BJ163" s="197" t="e">
        <f ca="1">_xlfn.MAXIFS(TeamGameData[Win],TeamGameData[School, Opponent,Game'#],PlayerGameData[[#This Row],[School, Opponent,Game'#]])</f>
        <v>#NAME?</v>
      </c>
      <c r="BK163" s="197" t="e">
        <f ca="1">_xlfn.MAXIFS(TeamGameData[Loss],TeamGameData[School, Opponent,Game'#],PlayerGameData[[#This Row],[School, Opponent,Game'#]])</f>
        <v>#NAME?</v>
      </c>
    </row>
    <row r="164" spans="1:63" x14ac:dyDescent="0.25">
      <c r="A164" s="8" t="str">
        <f t="shared" ca="1" si="93"/>
        <v xml:space="preserve">, </v>
      </c>
      <c r="B164" s="8" t="str">
        <f>Roster!$B$1</f>
        <v>Upton</v>
      </c>
      <c r="C164" s="8" t="str">
        <f t="shared" ca="1" si="81"/>
        <v>Moorcroft</v>
      </c>
      <c r="D164" s="10">
        <f t="shared" ca="1" si="82"/>
        <v>44935</v>
      </c>
      <c r="E164" s="8">
        <f t="shared" ca="1" si="83"/>
        <v>0</v>
      </c>
      <c r="F164" s="8">
        <f t="shared" ca="1" si="84"/>
        <v>0</v>
      </c>
      <c r="G164" s="8">
        <f t="shared" ca="1" si="85"/>
        <v>0</v>
      </c>
      <c r="H164" s="8">
        <f t="shared" ca="1" si="86"/>
        <v>0</v>
      </c>
      <c r="I164" s="8">
        <f t="shared" ca="1" si="87"/>
        <v>0</v>
      </c>
      <c r="J164" s="8">
        <f t="shared" ca="1" si="88"/>
        <v>0</v>
      </c>
      <c r="K164" s="8">
        <f t="shared" ca="1" si="89"/>
        <v>0</v>
      </c>
      <c r="L164" s="8">
        <f t="shared" ca="1" si="94"/>
        <v>0</v>
      </c>
      <c r="M164" s="8">
        <f t="shared" ca="1" si="95"/>
        <v>0</v>
      </c>
      <c r="N164" s="8">
        <f t="shared" ca="1" si="96"/>
        <v>0</v>
      </c>
      <c r="O164" s="8">
        <f t="shared" ca="1" si="97"/>
        <v>0</v>
      </c>
      <c r="P164" s="8">
        <f t="shared" ca="1" si="98"/>
        <v>0</v>
      </c>
      <c r="Q164" s="8">
        <f t="shared" ca="1" si="99"/>
        <v>0</v>
      </c>
      <c r="R164" s="8">
        <f t="shared" ca="1" si="100"/>
        <v>0</v>
      </c>
      <c r="S164" s="8">
        <f t="shared" ca="1" si="101"/>
        <v>0</v>
      </c>
      <c r="T164" s="8">
        <f t="shared" ca="1" si="102"/>
        <v>0</v>
      </c>
      <c r="U164" s="8">
        <f t="shared" ca="1" si="103"/>
        <v>0</v>
      </c>
      <c r="V164" s="8">
        <f t="shared" ca="1" si="104"/>
        <v>0</v>
      </c>
      <c r="W164" s="11" t="str">
        <f t="shared" ca="1" si="105"/>
        <v/>
      </c>
      <c r="X164" s="11" t="str">
        <f t="shared" ca="1" si="106"/>
        <v/>
      </c>
      <c r="Y164" s="11" t="str">
        <f t="shared" ca="1" si="107"/>
        <v/>
      </c>
      <c r="Z164" s="11" t="str">
        <f t="shared" ca="1" si="108"/>
        <v/>
      </c>
      <c r="AA164" s="11" t="str">
        <f t="shared" ca="1" si="109"/>
        <v/>
      </c>
      <c r="AB164" s="47">
        <f ca="1">PlayerGameData[[#This Row],[3FGA]]+PlayerGameData[[#This Row],[2FGA]]</f>
        <v>0</v>
      </c>
      <c r="AC164" s="47">
        <f ca="1">PlayerGameData[[#This Row],[OFF REB]]+PlayerGameData[[#This Row],[DEF REB]]</f>
        <v>0</v>
      </c>
      <c r="AD164" s="8">
        <f t="shared" si="90"/>
        <v>7</v>
      </c>
      <c r="AE164" s="8" t="str">
        <f t="shared" ca="1" si="91"/>
        <v>,  - Moorcroft 1/9/2023</v>
      </c>
      <c r="AF164" s="8" t="str">
        <f t="shared" ca="1" si="110"/>
        <v/>
      </c>
      <c r="AG164" s="8" t="str">
        <f ca="1">IFERROR(IF(C164=0,"",IF(AND(VLOOKUP(PlayerGameData[[#This Row],[Opponent]],WYTeamInfo,2,FALSE)=Roster!$D$1,VLOOKUP(PlayerGameData[[#This Row],[Opponent]],WYTeamInfo,3,FALSE)=Roster!$D$2),"SR","")),"")</f>
        <v/>
      </c>
      <c r="AH164" s="8" t="str">
        <f>CONCATENATE(Roster!$D$1," ",Roster!$D$5)</f>
        <v>1A BB</v>
      </c>
      <c r="AI164" s="8" t="str">
        <f t="shared" ca="1" si="92"/>
        <v>Upton - Moorcroft 1/9/2023</v>
      </c>
      <c r="AJ164" s="8">
        <f ca="1">IFERROR(VLOOKUP(PlayerGameData[[#This Row],[School, Opponent,Game'#]],Table3[],2,FALSE),0)</f>
        <v>1</v>
      </c>
      <c r="AK164" s="8">
        <f ca="1">IF(PlayerGameData[[#This Row],[Visible]]=1,1,1000)</f>
        <v>1</v>
      </c>
      <c r="AL164" s="8">
        <f ca="1">RANK(PlayerGameData[[#This Row],[TL PTS]],PlayerGameData[TL PTS],0)+PlayerGameData[[#This Row],[VisibleOrder]]</f>
        <v>185</v>
      </c>
      <c r="AM164" s="8">
        <f ca="1">IF(COUNTIF(PlayerGameData[PointOrder],PlayerGameData[[#This Row],[PointOrder]])&gt;1,RANK(PlayerGameData[[#This Row],[FGA]],PlayerGameData[FGA],0)/100,0)+PlayerGameData[[#This Row],[PointOrder]]</f>
        <v>187.14</v>
      </c>
      <c r="AN164" s="8">
        <f ca="1">RANK(PlayerGameData[[#This Row],[PointTieBreak]],PlayerGameData[PointTieBreak],1)</f>
        <v>216</v>
      </c>
      <c r="AO164" s="8">
        <f ca="1">RANK(PlayerGameData[[#This Row],[REB]],PlayerGameData[REB],0)+PlayerGameData[[#This Row],[VisibleOrder]]</f>
        <v>192</v>
      </c>
      <c r="AP164" s="8">
        <f ca="1">IF(COUNTIF(PlayerGameData[REBOrder],PlayerGameData[[#This Row],[REBOrder]])&gt;1,PlayerGameData[[#This Row],[PointRank]]/100+PlayerGameData[[#This Row],[REBOrder]],PlayerGameData[[#This Row],[REBOrder]])</f>
        <v>194.16</v>
      </c>
      <c r="AQ164" s="8">
        <f ca="1">RANK(PlayerGameData[[#This Row],[REBTieBreak]],PlayerGameData[REBTieBreak],1)</f>
        <v>224</v>
      </c>
      <c r="AR164" s="8">
        <f ca="1">RANK(PlayerGameData[[#This Row],[AST]],PlayerGameData[AST],0)+PlayerGameData[[#This Row],[VisibleOrder]]</f>
        <v>158</v>
      </c>
      <c r="AS164" s="8">
        <f ca="1">IF(COUNTIF(PlayerGameData[ASTOrder],PlayerGameData[[#This Row],[ASTOrder]])&gt;1,PlayerGameData[[#This Row],[PointRank]]/100+PlayerGameData[[#This Row],[ASTOrder]],PlayerGameData[[#This Row],[ASTOrder]])</f>
        <v>160.16</v>
      </c>
      <c r="AT164" s="8">
        <f ca="1">RANK(PlayerGameData[[#This Row],[ASTTieBreak]],PlayerGameData[ASTTieBreak],1)</f>
        <v>221</v>
      </c>
      <c r="AU164" s="8">
        <f ca="1">RANK(PlayerGameData[[#This Row],[STL]],PlayerGameData[STL],0)+PlayerGameData[[#This Row],[VisibleOrder]]</f>
        <v>143</v>
      </c>
      <c r="AV164" s="8">
        <f ca="1">IF(COUNTIF(PlayerGameData[STLOrder],PlayerGameData[[#This Row],[STLOrder]])&gt;1,PlayerGameData[[#This Row],[PointRank]]/100+PlayerGameData[[#This Row],[STLOrder]],PlayerGameData[[#This Row],[STLOrder]])</f>
        <v>145.16</v>
      </c>
      <c r="AW164" s="8">
        <f ca="1">RANK(PlayerGameData[[#This Row],[STLTieBreak]],PlayerGameData[STLTieBreak],1)</f>
        <v>217</v>
      </c>
      <c r="AX164" s="8">
        <f ca="1">RANK(PlayerGameData[[#This Row],[BLK]],PlayerGameData[BLK],0)+PlayerGameData[[#This Row],[VisibleOrder]]</f>
        <v>32</v>
      </c>
      <c r="AY164" s="8">
        <f ca="1">IF(COUNTIF(PlayerGameData[BLKOrder],PlayerGameData[[#This Row],[BLKOrder]])&gt;1,PlayerGameData[[#This Row],[PointRank]]/100+PlayerGameData[[#This Row],[BLKOrder]],PlayerGameData[[#This Row],[BLKOrder]])</f>
        <v>34.159999999999997</v>
      </c>
      <c r="AZ164" s="8">
        <f ca="1">RANK(PlayerGameData[[#This Row],[BLKTieBreak]],PlayerGameData[BLKTieBreak],1)</f>
        <v>216</v>
      </c>
      <c r="BA164" s="11">
        <f ca="1">IFERROR(IF(PlayerGameData[[#This Row],[FGA]]&gt;$AA$5,PlayerGameData[[#This Row],[FG%*]],PlayerGameData[[#This Row],[FG%*]]*-1),-2)</f>
        <v>-2</v>
      </c>
      <c r="BB164" s="8">
        <f ca="1">RANK(PlayerGameData[[#This Row],[EligFG]],PlayerGameData[EligFG],0)+PlayerGameData[[#This Row],[VisibleOrder]]</f>
        <v>215</v>
      </c>
      <c r="BC164" s="8">
        <f ca="1">IF(COUNTIF(PlayerGameData[EligFGOrder],PlayerGameData[[#This Row],[EligFGOrder]])&gt;1,PlayerGameData[[#This Row],[PointRank]]/100+PlayerGameData[[#This Row],[EligFGOrder]],PlayerGameData[[#This Row],[EligFGOrder]])</f>
        <v>217.16</v>
      </c>
      <c r="BD164" s="8">
        <f ca="1">RANK(PlayerGameData[[#This Row],[EligFGTieBreak]],PlayerGameData[EligFGTieBreak],1)</f>
        <v>216</v>
      </c>
      <c r="BE164" s="8" t="str">
        <f>Roster!$D$3</f>
        <v>East</v>
      </c>
      <c r="BF164" s="8" t="str">
        <f>Roster!$D$2</f>
        <v>Northeast</v>
      </c>
      <c r="BG164" s="8" t="str">
        <f>Roster!$D$4</f>
        <v>North</v>
      </c>
      <c r="BH164" s="197">
        <f ca="1">IFERROR(VLOOKUP(CONCATENATE(PlayerGameData[[#This Row],[Opponent]]," ",MONTH(PlayerGameData[[#This Row],[Date]]),"/",DAY(PlayerGameData[[#This Row],[Date]]),"/",YEAR(PlayerGameData[[#This Row],[Date]])),Table35[],2,FALSE),0)</f>
        <v>1</v>
      </c>
      <c r="BI164" s="197">
        <f ca="1">IF(PlayerGameData[[#This Row],[Visible]]=1,1,1000)</f>
        <v>1</v>
      </c>
      <c r="BJ164" s="197" t="e">
        <f ca="1">_xlfn.MAXIFS(TeamGameData[Win],TeamGameData[School, Opponent,Game'#],PlayerGameData[[#This Row],[School, Opponent,Game'#]])</f>
        <v>#NAME?</v>
      </c>
      <c r="BK164" s="197" t="e">
        <f ca="1">_xlfn.MAXIFS(TeamGameData[Loss],TeamGameData[School, Opponent,Game'#],PlayerGameData[[#This Row],[School, Opponent,Game'#]])</f>
        <v>#NAME?</v>
      </c>
    </row>
    <row r="165" spans="1:63" x14ac:dyDescent="0.25">
      <c r="A165" s="8" t="str">
        <f t="shared" ca="1" si="93"/>
        <v xml:space="preserve">, </v>
      </c>
      <c r="B165" s="8" t="str">
        <f>Roster!$B$1</f>
        <v>Upton</v>
      </c>
      <c r="C165" s="8" t="str">
        <f t="shared" ca="1" si="81"/>
        <v>Moorcroft</v>
      </c>
      <c r="D165" s="10">
        <f t="shared" ca="1" si="82"/>
        <v>44935</v>
      </c>
      <c r="E165" s="8">
        <f t="shared" ca="1" si="83"/>
        <v>0</v>
      </c>
      <c r="F165" s="8">
        <f t="shared" ca="1" si="84"/>
        <v>0</v>
      </c>
      <c r="G165" s="8">
        <f t="shared" ca="1" si="85"/>
        <v>0</v>
      </c>
      <c r="H165" s="8">
        <f t="shared" ca="1" si="86"/>
        <v>0</v>
      </c>
      <c r="I165" s="8">
        <f t="shared" ca="1" si="87"/>
        <v>0</v>
      </c>
      <c r="J165" s="8">
        <f t="shared" ca="1" si="88"/>
        <v>0</v>
      </c>
      <c r="K165" s="8">
        <f t="shared" ca="1" si="89"/>
        <v>0</v>
      </c>
      <c r="L165" s="8">
        <f t="shared" ca="1" si="94"/>
        <v>0</v>
      </c>
      <c r="M165" s="8">
        <f t="shared" ca="1" si="95"/>
        <v>0</v>
      </c>
      <c r="N165" s="8">
        <f t="shared" ca="1" si="96"/>
        <v>0</v>
      </c>
      <c r="O165" s="8">
        <f t="shared" ca="1" si="97"/>
        <v>0</v>
      </c>
      <c r="P165" s="8">
        <f t="shared" ca="1" si="98"/>
        <v>0</v>
      </c>
      <c r="Q165" s="8">
        <f t="shared" ca="1" si="99"/>
        <v>0</v>
      </c>
      <c r="R165" s="8">
        <f t="shared" ca="1" si="100"/>
        <v>0</v>
      </c>
      <c r="S165" s="8">
        <f t="shared" ca="1" si="101"/>
        <v>0</v>
      </c>
      <c r="T165" s="8">
        <f t="shared" ca="1" si="102"/>
        <v>0</v>
      </c>
      <c r="U165" s="8">
        <f t="shared" ca="1" si="103"/>
        <v>0</v>
      </c>
      <c r="V165" s="8">
        <f t="shared" ca="1" si="104"/>
        <v>0</v>
      </c>
      <c r="W165" s="11" t="str">
        <f t="shared" ca="1" si="105"/>
        <v/>
      </c>
      <c r="X165" s="11" t="str">
        <f t="shared" ca="1" si="106"/>
        <v/>
      </c>
      <c r="Y165" s="11" t="str">
        <f t="shared" ca="1" si="107"/>
        <v/>
      </c>
      <c r="Z165" s="11" t="str">
        <f t="shared" ca="1" si="108"/>
        <v/>
      </c>
      <c r="AA165" s="11" t="str">
        <f t="shared" ca="1" si="109"/>
        <v/>
      </c>
      <c r="AB165" s="47">
        <f ca="1">PlayerGameData[[#This Row],[3FGA]]+PlayerGameData[[#This Row],[2FGA]]</f>
        <v>0</v>
      </c>
      <c r="AC165" s="47">
        <f ca="1">PlayerGameData[[#This Row],[OFF REB]]+PlayerGameData[[#This Row],[DEF REB]]</f>
        <v>0</v>
      </c>
      <c r="AD165" s="8">
        <f t="shared" si="90"/>
        <v>7</v>
      </c>
      <c r="AE165" s="8" t="str">
        <f t="shared" ca="1" si="91"/>
        <v>,  - Moorcroft 1/9/2023</v>
      </c>
      <c r="AF165" s="8" t="str">
        <f t="shared" ca="1" si="110"/>
        <v/>
      </c>
      <c r="AG165" s="8" t="str">
        <f ca="1">IFERROR(IF(C165=0,"",IF(AND(VLOOKUP(PlayerGameData[[#This Row],[Opponent]],WYTeamInfo,2,FALSE)=Roster!$D$1,VLOOKUP(PlayerGameData[[#This Row],[Opponent]],WYTeamInfo,3,FALSE)=Roster!$D$2),"SR","")),"")</f>
        <v/>
      </c>
      <c r="AH165" s="8" t="str">
        <f>CONCATENATE(Roster!$D$1," ",Roster!$D$5)</f>
        <v>1A BB</v>
      </c>
      <c r="AI165" s="8" t="str">
        <f t="shared" ca="1" si="92"/>
        <v>Upton - Moorcroft 1/9/2023</v>
      </c>
      <c r="AJ165" s="8">
        <f ca="1">IFERROR(VLOOKUP(PlayerGameData[[#This Row],[School, Opponent,Game'#]],Table3[],2,FALSE),0)</f>
        <v>1</v>
      </c>
      <c r="AK165" s="8">
        <f ca="1">IF(PlayerGameData[[#This Row],[Visible]]=1,1,1000)</f>
        <v>1</v>
      </c>
      <c r="AL165" s="8">
        <f ca="1">RANK(PlayerGameData[[#This Row],[TL PTS]],PlayerGameData[TL PTS],0)+PlayerGameData[[#This Row],[VisibleOrder]]</f>
        <v>185</v>
      </c>
      <c r="AM165" s="8">
        <f ca="1">IF(COUNTIF(PlayerGameData[PointOrder],PlayerGameData[[#This Row],[PointOrder]])&gt;1,RANK(PlayerGameData[[#This Row],[FGA]],PlayerGameData[FGA],0)/100,0)+PlayerGameData[[#This Row],[PointOrder]]</f>
        <v>187.14</v>
      </c>
      <c r="AN165" s="8">
        <f ca="1">RANK(PlayerGameData[[#This Row],[PointTieBreak]],PlayerGameData[PointTieBreak],1)</f>
        <v>216</v>
      </c>
      <c r="AO165" s="8">
        <f ca="1">RANK(PlayerGameData[[#This Row],[REB]],PlayerGameData[REB],0)+PlayerGameData[[#This Row],[VisibleOrder]]</f>
        <v>192</v>
      </c>
      <c r="AP165" s="8">
        <f ca="1">IF(COUNTIF(PlayerGameData[REBOrder],PlayerGameData[[#This Row],[REBOrder]])&gt;1,PlayerGameData[[#This Row],[PointRank]]/100+PlayerGameData[[#This Row],[REBOrder]],PlayerGameData[[#This Row],[REBOrder]])</f>
        <v>194.16</v>
      </c>
      <c r="AQ165" s="8">
        <f ca="1">RANK(PlayerGameData[[#This Row],[REBTieBreak]],PlayerGameData[REBTieBreak],1)</f>
        <v>224</v>
      </c>
      <c r="AR165" s="8">
        <f ca="1">RANK(PlayerGameData[[#This Row],[AST]],PlayerGameData[AST],0)+PlayerGameData[[#This Row],[VisibleOrder]]</f>
        <v>158</v>
      </c>
      <c r="AS165" s="8">
        <f ca="1">IF(COUNTIF(PlayerGameData[ASTOrder],PlayerGameData[[#This Row],[ASTOrder]])&gt;1,PlayerGameData[[#This Row],[PointRank]]/100+PlayerGameData[[#This Row],[ASTOrder]],PlayerGameData[[#This Row],[ASTOrder]])</f>
        <v>160.16</v>
      </c>
      <c r="AT165" s="8">
        <f ca="1">RANK(PlayerGameData[[#This Row],[ASTTieBreak]],PlayerGameData[ASTTieBreak],1)</f>
        <v>221</v>
      </c>
      <c r="AU165" s="8">
        <f ca="1">RANK(PlayerGameData[[#This Row],[STL]],PlayerGameData[STL],0)+PlayerGameData[[#This Row],[VisibleOrder]]</f>
        <v>143</v>
      </c>
      <c r="AV165" s="8">
        <f ca="1">IF(COUNTIF(PlayerGameData[STLOrder],PlayerGameData[[#This Row],[STLOrder]])&gt;1,PlayerGameData[[#This Row],[PointRank]]/100+PlayerGameData[[#This Row],[STLOrder]],PlayerGameData[[#This Row],[STLOrder]])</f>
        <v>145.16</v>
      </c>
      <c r="AW165" s="8">
        <f ca="1">RANK(PlayerGameData[[#This Row],[STLTieBreak]],PlayerGameData[STLTieBreak],1)</f>
        <v>217</v>
      </c>
      <c r="AX165" s="8">
        <f ca="1">RANK(PlayerGameData[[#This Row],[BLK]],PlayerGameData[BLK],0)+PlayerGameData[[#This Row],[VisibleOrder]]</f>
        <v>32</v>
      </c>
      <c r="AY165" s="8">
        <f ca="1">IF(COUNTIF(PlayerGameData[BLKOrder],PlayerGameData[[#This Row],[BLKOrder]])&gt;1,PlayerGameData[[#This Row],[PointRank]]/100+PlayerGameData[[#This Row],[BLKOrder]],PlayerGameData[[#This Row],[BLKOrder]])</f>
        <v>34.159999999999997</v>
      </c>
      <c r="AZ165" s="8">
        <f ca="1">RANK(PlayerGameData[[#This Row],[BLKTieBreak]],PlayerGameData[BLKTieBreak],1)</f>
        <v>216</v>
      </c>
      <c r="BA165" s="11">
        <f ca="1">IFERROR(IF(PlayerGameData[[#This Row],[FGA]]&gt;$AA$5,PlayerGameData[[#This Row],[FG%*]],PlayerGameData[[#This Row],[FG%*]]*-1),-2)</f>
        <v>-2</v>
      </c>
      <c r="BB165" s="8">
        <f ca="1">RANK(PlayerGameData[[#This Row],[EligFG]],PlayerGameData[EligFG],0)+PlayerGameData[[#This Row],[VisibleOrder]]</f>
        <v>215</v>
      </c>
      <c r="BC165" s="8">
        <f ca="1">IF(COUNTIF(PlayerGameData[EligFGOrder],PlayerGameData[[#This Row],[EligFGOrder]])&gt;1,PlayerGameData[[#This Row],[PointRank]]/100+PlayerGameData[[#This Row],[EligFGOrder]],PlayerGameData[[#This Row],[EligFGOrder]])</f>
        <v>217.16</v>
      </c>
      <c r="BD165" s="8">
        <f ca="1">RANK(PlayerGameData[[#This Row],[EligFGTieBreak]],PlayerGameData[EligFGTieBreak],1)</f>
        <v>216</v>
      </c>
      <c r="BE165" s="8" t="str">
        <f>Roster!$D$3</f>
        <v>East</v>
      </c>
      <c r="BF165" s="8" t="str">
        <f>Roster!$D$2</f>
        <v>Northeast</v>
      </c>
      <c r="BG165" s="8" t="str">
        <f>Roster!$D$4</f>
        <v>North</v>
      </c>
      <c r="BH165" s="197">
        <f ca="1">IFERROR(VLOOKUP(CONCATENATE(PlayerGameData[[#This Row],[Opponent]]," ",MONTH(PlayerGameData[[#This Row],[Date]]),"/",DAY(PlayerGameData[[#This Row],[Date]]),"/",YEAR(PlayerGameData[[#This Row],[Date]])),Table35[],2,FALSE),0)</f>
        <v>1</v>
      </c>
      <c r="BI165" s="197">
        <f ca="1">IF(PlayerGameData[[#This Row],[Visible]]=1,1,1000)</f>
        <v>1</v>
      </c>
      <c r="BJ165" s="197" t="e">
        <f ca="1">_xlfn.MAXIFS(TeamGameData[Win],TeamGameData[School, Opponent,Game'#],PlayerGameData[[#This Row],[School, Opponent,Game'#]])</f>
        <v>#NAME?</v>
      </c>
      <c r="BK165" s="197" t="e">
        <f ca="1">_xlfn.MAXIFS(TeamGameData[Loss],TeamGameData[School, Opponent,Game'#],PlayerGameData[[#This Row],[School, Opponent,Game'#]])</f>
        <v>#NAME?</v>
      </c>
    </row>
    <row r="166" spans="1:63" x14ac:dyDescent="0.25">
      <c r="A166" s="8" t="str">
        <f t="shared" ca="1" si="93"/>
        <v xml:space="preserve">, </v>
      </c>
      <c r="B166" s="8" t="str">
        <f>Roster!$B$1</f>
        <v>Upton</v>
      </c>
      <c r="C166" s="8" t="str">
        <f t="shared" ca="1" si="81"/>
        <v>Moorcroft</v>
      </c>
      <c r="D166" s="10">
        <f t="shared" ca="1" si="82"/>
        <v>44935</v>
      </c>
      <c r="E166" s="8">
        <f t="shared" ca="1" si="83"/>
        <v>0</v>
      </c>
      <c r="F166" s="8">
        <f t="shared" ca="1" si="84"/>
        <v>0</v>
      </c>
      <c r="G166" s="8">
        <f t="shared" ca="1" si="85"/>
        <v>0</v>
      </c>
      <c r="H166" s="8">
        <f t="shared" ca="1" si="86"/>
        <v>0</v>
      </c>
      <c r="I166" s="8">
        <f t="shared" ca="1" si="87"/>
        <v>0</v>
      </c>
      <c r="J166" s="8">
        <f t="shared" ca="1" si="88"/>
        <v>0</v>
      </c>
      <c r="K166" s="8">
        <f t="shared" ca="1" si="89"/>
        <v>0</v>
      </c>
      <c r="L166" s="8">
        <f t="shared" ca="1" si="94"/>
        <v>0</v>
      </c>
      <c r="M166" s="8">
        <f t="shared" ca="1" si="95"/>
        <v>0</v>
      </c>
      <c r="N166" s="8">
        <f t="shared" ca="1" si="96"/>
        <v>0</v>
      </c>
      <c r="O166" s="8">
        <f t="shared" ca="1" si="97"/>
        <v>0</v>
      </c>
      <c r="P166" s="8">
        <f t="shared" ca="1" si="98"/>
        <v>0</v>
      </c>
      <c r="Q166" s="8">
        <f t="shared" ca="1" si="99"/>
        <v>0</v>
      </c>
      <c r="R166" s="8">
        <f t="shared" ca="1" si="100"/>
        <v>0</v>
      </c>
      <c r="S166" s="8">
        <f t="shared" ca="1" si="101"/>
        <v>0</v>
      </c>
      <c r="T166" s="8">
        <f t="shared" ca="1" si="102"/>
        <v>0</v>
      </c>
      <c r="U166" s="8">
        <f t="shared" ca="1" si="103"/>
        <v>0</v>
      </c>
      <c r="V166" s="8">
        <f t="shared" ca="1" si="104"/>
        <v>0</v>
      </c>
      <c r="W166" s="11" t="str">
        <f t="shared" ca="1" si="105"/>
        <v/>
      </c>
      <c r="X166" s="11" t="str">
        <f t="shared" ca="1" si="106"/>
        <v/>
      </c>
      <c r="Y166" s="11" t="str">
        <f t="shared" ca="1" si="107"/>
        <v/>
      </c>
      <c r="Z166" s="11" t="str">
        <f t="shared" ca="1" si="108"/>
        <v/>
      </c>
      <c r="AA166" s="11" t="str">
        <f t="shared" ca="1" si="109"/>
        <v/>
      </c>
      <c r="AB166" s="47">
        <f ca="1">PlayerGameData[[#This Row],[3FGA]]+PlayerGameData[[#This Row],[2FGA]]</f>
        <v>0</v>
      </c>
      <c r="AC166" s="47">
        <f ca="1">PlayerGameData[[#This Row],[OFF REB]]+PlayerGameData[[#This Row],[DEF REB]]</f>
        <v>0</v>
      </c>
      <c r="AD166" s="8">
        <f t="shared" si="90"/>
        <v>7</v>
      </c>
      <c r="AE166" s="8" t="str">
        <f t="shared" ca="1" si="91"/>
        <v>,  - Moorcroft 1/9/2023</v>
      </c>
      <c r="AF166" s="8" t="str">
        <f t="shared" ca="1" si="110"/>
        <v/>
      </c>
      <c r="AG166" s="8" t="str">
        <f ca="1">IFERROR(IF(C166=0,"",IF(AND(VLOOKUP(PlayerGameData[[#This Row],[Opponent]],WYTeamInfo,2,FALSE)=Roster!$D$1,VLOOKUP(PlayerGameData[[#This Row],[Opponent]],WYTeamInfo,3,FALSE)=Roster!$D$2),"SR","")),"")</f>
        <v/>
      </c>
      <c r="AH166" s="8" t="str">
        <f>CONCATENATE(Roster!$D$1," ",Roster!$D$5)</f>
        <v>1A BB</v>
      </c>
      <c r="AI166" s="8" t="str">
        <f t="shared" ca="1" si="92"/>
        <v>Upton - Moorcroft 1/9/2023</v>
      </c>
      <c r="AJ166" s="8">
        <f ca="1">IFERROR(VLOOKUP(PlayerGameData[[#This Row],[School, Opponent,Game'#]],Table3[],2,FALSE),0)</f>
        <v>1</v>
      </c>
      <c r="AK166" s="8">
        <f ca="1">IF(PlayerGameData[[#This Row],[Visible]]=1,1,1000)</f>
        <v>1</v>
      </c>
      <c r="AL166" s="8">
        <f ca="1">RANK(PlayerGameData[[#This Row],[TL PTS]],PlayerGameData[TL PTS],0)+PlayerGameData[[#This Row],[VisibleOrder]]</f>
        <v>185</v>
      </c>
      <c r="AM166" s="8">
        <f ca="1">IF(COUNTIF(PlayerGameData[PointOrder],PlayerGameData[[#This Row],[PointOrder]])&gt;1,RANK(PlayerGameData[[#This Row],[FGA]],PlayerGameData[FGA],0)/100,0)+PlayerGameData[[#This Row],[PointOrder]]</f>
        <v>187.14</v>
      </c>
      <c r="AN166" s="8">
        <f ca="1">RANK(PlayerGameData[[#This Row],[PointTieBreak]],PlayerGameData[PointTieBreak],1)</f>
        <v>216</v>
      </c>
      <c r="AO166" s="8">
        <f ca="1">RANK(PlayerGameData[[#This Row],[REB]],PlayerGameData[REB],0)+PlayerGameData[[#This Row],[VisibleOrder]]</f>
        <v>192</v>
      </c>
      <c r="AP166" s="8">
        <f ca="1">IF(COUNTIF(PlayerGameData[REBOrder],PlayerGameData[[#This Row],[REBOrder]])&gt;1,PlayerGameData[[#This Row],[PointRank]]/100+PlayerGameData[[#This Row],[REBOrder]],PlayerGameData[[#This Row],[REBOrder]])</f>
        <v>194.16</v>
      </c>
      <c r="AQ166" s="8">
        <f ca="1">RANK(PlayerGameData[[#This Row],[REBTieBreak]],PlayerGameData[REBTieBreak],1)</f>
        <v>224</v>
      </c>
      <c r="AR166" s="8">
        <f ca="1">RANK(PlayerGameData[[#This Row],[AST]],PlayerGameData[AST],0)+PlayerGameData[[#This Row],[VisibleOrder]]</f>
        <v>158</v>
      </c>
      <c r="AS166" s="8">
        <f ca="1">IF(COUNTIF(PlayerGameData[ASTOrder],PlayerGameData[[#This Row],[ASTOrder]])&gt;1,PlayerGameData[[#This Row],[PointRank]]/100+PlayerGameData[[#This Row],[ASTOrder]],PlayerGameData[[#This Row],[ASTOrder]])</f>
        <v>160.16</v>
      </c>
      <c r="AT166" s="8">
        <f ca="1">RANK(PlayerGameData[[#This Row],[ASTTieBreak]],PlayerGameData[ASTTieBreak],1)</f>
        <v>221</v>
      </c>
      <c r="AU166" s="8">
        <f ca="1">RANK(PlayerGameData[[#This Row],[STL]],PlayerGameData[STL],0)+PlayerGameData[[#This Row],[VisibleOrder]]</f>
        <v>143</v>
      </c>
      <c r="AV166" s="8">
        <f ca="1">IF(COUNTIF(PlayerGameData[STLOrder],PlayerGameData[[#This Row],[STLOrder]])&gt;1,PlayerGameData[[#This Row],[PointRank]]/100+PlayerGameData[[#This Row],[STLOrder]],PlayerGameData[[#This Row],[STLOrder]])</f>
        <v>145.16</v>
      </c>
      <c r="AW166" s="8">
        <f ca="1">RANK(PlayerGameData[[#This Row],[STLTieBreak]],PlayerGameData[STLTieBreak],1)</f>
        <v>217</v>
      </c>
      <c r="AX166" s="8">
        <f ca="1">RANK(PlayerGameData[[#This Row],[BLK]],PlayerGameData[BLK],0)+PlayerGameData[[#This Row],[VisibleOrder]]</f>
        <v>32</v>
      </c>
      <c r="AY166" s="8">
        <f ca="1">IF(COUNTIF(PlayerGameData[BLKOrder],PlayerGameData[[#This Row],[BLKOrder]])&gt;1,PlayerGameData[[#This Row],[PointRank]]/100+PlayerGameData[[#This Row],[BLKOrder]],PlayerGameData[[#This Row],[BLKOrder]])</f>
        <v>34.159999999999997</v>
      </c>
      <c r="AZ166" s="8">
        <f ca="1">RANK(PlayerGameData[[#This Row],[BLKTieBreak]],PlayerGameData[BLKTieBreak],1)</f>
        <v>216</v>
      </c>
      <c r="BA166" s="11">
        <f ca="1">IFERROR(IF(PlayerGameData[[#This Row],[FGA]]&gt;$AA$5,PlayerGameData[[#This Row],[FG%*]],PlayerGameData[[#This Row],[FG%*]]*-1),-2)</f>
        <v>-2</v>
      </c>
      <c r="BB166" s="8">
        <f ca="1">RANK(PlayerGameData[[#This Row],[EligFG]],PlayerGameData[EligFG],0)+PlayerGameData[[#This Row],[VisibleOrder]]</f>
        <v>215</v>
      </c>
      <c r="BC166" s="8">
        <f ca="1">IF(COUNTIF(PlayerGameData[EligFGOrder],PlayerGameData[[#This Row],[EligFGOrder]])&gt;1,PlayerGameData[[#This Row],[PointRank]]/100+PlayerGameData[[#This Row],[EligFGOrder]],PlayerGameData[[#This Row],[EligFGOrder]])</f>
        <v>217.16</v>
      </c>
      <c r="BD166" s="8">
        <f ca="1">RANK(PlayerGameData[[#This Row],[EligFGTieBreak]],PlayerGameData[EligFGTieBreak],1)</f>
        <v>216</v>
      </c>
      <c r="BE166" s="8" t="str">
        <f>Roster!$D$3</f>
        <v>East</v>
      </c>
      <c r="BF166" s="8" t="str">
        <f>Roster!$D$2</f>
        <v>Northeast</v>
      </c>
      <c r="BG166" s="8" t="str">
        <f>Roster!$D$4</f>
        <v>North</v>
      </c>
      <c r="BH166" s="197">
        <f ca="1">IFERROR(VLOOKUP(CONCATENATE(PlayerGameData[[#This Row],[Opponent]]," ",MONTH(PlayerGameData[[#This Row],[Date]]),"/",DAY(PlayerGameData[[#This Row],[Date]]),"/",YEAR(PlayerGameData[[#This Row],[Date]])),Table35[],2,FALSE),0)</f>
        <v>1</v>
      </c>
      <c r="BI166" s="197">
        <f ca="1">IF(PlayerGameData[[#This Row],[Visible]]=1,1,1000)</f>
        <v>1</v>
      </c>
      <c r="BJ166" s="197" t="e">
        <f ca="1">_xlfn.MAXIFS(TeamGameData[Win],TeamGameData[School, Opponent,Game'#],PlayerGameData[[#This Row],[School, Opponent,Game'#]])</f>
        <v>#NAME?</v>
      </c>
      <c r="BK166" s="197" t="e">
        <f ca="1">_xlfn.MAXIFS(TeamGameData[Loss],TeamGameData[School, Opponent,Game'#],PlayerGameData[[#This Row],[School, Opponent,Game'#]])</f>
        <v>#NAME?</v>
      </c>
    </row>
    <row r="167" spans="1:63" x14ac:dyDescent="0.25">
      <c r="A167" s="8" t="str">
        <f t="shared" ca="1" si="93"/>
        <v xml:space="preserve">, </v>
      </c>
      <c r="B167" s="8" t="str">
        <f>Roster!$B$1</f>
        <v>Upton</v>
      </c>
      <c r="C167" s="8" t="str">
        <f t="shared" ca="1" si="81"/>
        <v>Moorcroft</v>
      </c>
      <c r="D167" s="10">
        <f t="shared" ca="1" si="82"/>
        <v>44935</v>
      </c>
      <c r="E167" s="8">
        <f t="shared" ca="1" si="83"/>
        <v>0</v>
      </c>
      <c r="F167" s="8">
        <f t="shared" ca="1" si="84"/>
        <v>0</v>
      </c>
      <c r="G167" s="8">
        <f t="shared" ca="1" si="85"/>
        <v>0</v>
      </c>
      <c r="H167" s="8">
        <f t="shared" ca="1" si="86"/>
        <v>0</v>
      </c>
      <c r="I167" s="8">
        <f t="shared" ca="1" si="87"/>
        <v>0</v>
      </c>
      <c r="J167" s="8">
        <f t="shared" ca="1" si="88"/>
        <v>0</v>
      </c>
      <c r="K167" s="8">
        <f t="shared" ca="1" si="89"/>
        <v>0</v>
      </c>
      <c r="L167" s="8">
        <f t="shared" ca="1" si="94"/>
        <v>0</v>
      </c>
      <c r="M167" s="8">
        <f t="shared" ca="1" si="95"/>
        <v>0</v>
      </c>
      <c r="N167" s="8">
        <f t="shared" ca="1" si="96"/>
        <v>0</v>
      </c>
      <c r="O167" s="8">
        <f t="shared" ca="1" si="97"/>
        <v>0</v>
      </c>
      <c r="P167" s="8">
        <f t="shared" ca="1" si="98"/>
        <v>0</v>
      </c>
      <c r="Q167" s="8">
        <f t="shared" ca="1" si="99"/>
        <v>0</v>
      </c>
      <c r="R167" s="8">
        <f t="shared" ca="1" si="100"/>
        <v>0</v>
      </c>
      <c r="S167" s="8">
        <f t="shared" ca="1" si="101"/>
        <v>0</v>
      </c>
      <c r="T167" s="8">
        <f t="shared" ca="1" si="102"/>
        <v>0</v>
      </c>
      <c r="U167" s="8">
        <f t="shared" ca="1" si="103"/>
        <v>0</v>
      </c>
      <c r="V167" s="8">
        <f t="shared" ca="1" si="104"/>
        <v>0</v>
      </c>
      <c r="W167" s="11" t="str">
        <f t="shared" ca="1" si="105"/>
        <v/>
      </c>
      <c r="X167" s="11" t="str">
        <f t="shared" ca="1" si="106"/>
        <v/>
      </c>
      <c r="Y167" s="11" t="str">
        <f t="shared" ca="1" si="107"/>
        <v/>
      </c>
      <c r="Z167" s="11" t="str">
        <f t="shared" ca="1" si="108"/>
        <v/>
      </c>
      <c r="AA167" s="11" t="str">
        <f t="shared" ca="1" si="109"/>
        <v/>
      </c>
      <c r="AB167" s="47">
        <f ca="1">PlayerGameData[[#This Row],[3FGA]]+PlayerGameData[[#This Row],[2FGA]]</f>
        <v>0</v>
      </c>
      <c r="AC167" s="47">
        <f ca="1">PlayerGameData[[#This Row],[OFF REB]]+PlayerGameData[[#This Row],[DEF REB]]</f>
        <v>0</v>
      </c>
      <c r="AD167" s="8">
        <f t="shared" si="90"/>
        <v>7</v>
      </c>
      <c r="AE167" s="8" t="str">
        <f t="shared" ca="1" si="91"/>
        <v>,  - Moorcroft 1/9/2023</v>
      </c>
      <c r="AF167" s="8" t="str">
        <f t="shared" ca="1" si="110"/>
        <v/>
      </c>
      <c r="AG167" s="8" t="str">
        <f ca="1">IFERROR(IF(C167=0,"",IF(AND(VLOOKUP(PlayerGameData[[#This Row],[Opponent]],WYTeamInfo,2,FALSE)=Roster!$D$1,VLOOKUP(PlayerGameData[[#This Row],[Opponent]],WYTeamInfo,3,FALSE)=Roster!$D$2),"SR","")),"")</f>
        <v/>
      </c>
      <c r="AH167" s="8" t="str">
        <f>CONCATENATE(Roster!$D$1," ",Roster!$D$5)</f>
        <v>1A BB</v>
      </c>
      <c r="AI167" s="8" t="str">
        <f t="shared" ca="1" si="92"/>
        <v>Upton - Moorcroft 1/9/2023</v>
      </c>
      <c r="AJ167" s="8">
        <f ca="1">IFERROR(VLOOKUP(PlayerGameData[[#This Row],[School, Opponent,Game'#]],Table3[],2,FALSE),0)</f>
        <v>1</v>
      </c>
      <c r="AK167" s="8">
        <f ca="1">IF(PlayerGameData[[#This Row],[Visible]]=1,1,1000)</f>
        <v>1</v>
      </c>
      <c r="AL167" s="8">
        <f ca="1">RANK(PlayerGameData[[#This Row],[TL PTS]],PlayerGameData[TL PTS],0)+PlayerGameData[[#This Row],[VisibleOrder]]</f>
        <v>185</v>
      </c>
      <c r="AM167" s="8">
        <f ca="1">IF(COUNTIF(PlayerGameData[PointOrder],PlayerGameData[[#This Row],[PointOrder]])&gt;1,RANK(PlayerGameData[[#This Row],[FGA]],PlayerGameData[FGA],0)/100,0)+PlayerGameData[[#This Row],[PointOrder]]</f>
        <v>187.14</v>
      </c>
      <c r="AN167" s="8">
        <f ca="1">RANK(PlayerGameData[[#This Row],[PointTieBreak]],PlayerGameData[PointTieBreak],1)</f>
        <v>216</v>
      </c>
      <c r="AO167" s="8">
        <f ca="1">RANK(PlayerGameData[[#This Row],[REB]],PlayerGameData[REB],0)+PlayerGameData[[#This Row],[VisibleOrder]]</f>
        <v>192</v>
      </c>
      <c r="AP167" s="8">
        <f ca="1">IF(COUNTIF(PlayerGameData[REBOrder],PlayerGameData[[#This Row],[REBOrder]])&gt;1,PlayerGameData[[#This Row],[PointRank]]/100+PlayerGameData[[#This Row],[REBOrder]],PlayerGameData[[#This Row],[REBOrder]])</f>
        <v>194.16</v>
      </c>
      <c r="AQ167" s="8">
        <f ca="1">RANK(PlayerGameData[[#This Row],[REBTieBreak]],PlayerGameData[REBTieBreak],1)</f>
        <v>224</v>
      </c>
      <c r="AR167" s="8">
        <f ca="1">RANK(PlayerGameData[[#This Row],[AST]],PlayerGameData[AST],0)+PlayerGameData[[#This Row],[VisibleOrder]]</f>
        <v>158</v>
      </c>
      <c r="AS167" s="8">
        <f ca="1">IF(COUNTIF(PlayerGameData[ASTOrder],PlayerGameData[[#This Row],[ASTOrder]])&gt;1,PlayerGameData[[#This Row],[PointRank]]/100+PlayerGameData[[#This Row],[ASTOrder]],PlayerGameData[[#This Row],[ASTOrder]])</f>
        <v>160.16</v>
      </c>
      <c r="AT167" s="8">
        <f ca="1">RANK(PlayerGameData[[#This Row],[ASTTieBreak]],PlayerGameData[ASTTieBreak],1)</f>
        <v>221</v>
      </c>
      <c r="AU167" s="8">
        <f ca="1">RANK(PlayerGameData[[#This Row],[STL]],PlayerGameData[STL],0)+PlayerGameData[[#This Row],[VisibleOrder]]</f>
        <v>143</v>
      </c>
      <c r="AV167" s="8">
        <f ca="1">IF(COUNTIF(PlayerGameData[STLOrder],PlayerGameData[[#This Row],[STLOrder]])&gt;1,PlayerGameData[[#This Row],[PointRank]]/100+PlayerGameData[[#This Row],[STLOrder]],PlayerGameData[[#This Row],[STLOrder]])</f>
        <v>145.16</v>
      </c>
      <c r="AW167" s="8">
        <f ca="1">RANK(PlayerGameData[[#This Row],[STLTieBreak]],PlayerGameData[STLTieBreak],1)</f>
        <v>217</v>
      </c>
      <c r="AX167" s="8">
        <f ca="1">RANK(PlayerGameData[[#This Row],[BLK]],PlayerGameData[BLK],0)+PlayerGameData[[#This Row],[VisibleOrder]]</f>
        <v>32</v>
      </c>
      <c r="AY167" s="8">
        <f ca="1">IF(COUNTIF(PlayerGameData[BLKOrder],PlayerGameData[[#This Row],[BLKOrder]])&gt;1,PlayerGameData[[#This Row],[PointRank]]/100+PlayerGameData[[#This Row],[BLKOrder]],PlayerGameData[[#This Row],[BLKOrder]])</f>
        <v>34.159999999999997</v>
      </c>
      <c r="AZ167" s="8">
        <f ca="1">RANK(PlayerGameData[[#This Row],[BLKTieBreak]],PlayerGameData[BLKTieBreak],1)</f>
        <v>216</v>
      </c>
      <c r="BA167" s="11">
        <f ca="1">IFERROR(IF(PlayerGameData[[#This Row],[FGA]]&gt;$AA$5,PlayerGameData[[#This Row],[FG%*]],PlayerGameData[[#This Row],[FG%*]]*-1),-2)</f>
        <v>-2</v>
      </c>
      <c r="BB167" s="8">
        <f ca="1">RANK(PlayerGameData[[#This Row],[EligFG]],PlayerGameData[EligFG],0)+PlayerGameData[[#This Row],[VisibleOrder]]</f>
        <v>215</v>
      </c>
      <c r="BC167" s="8">
        <f ca="1">IF(COUNTIF(PlayerGameData[EligFGOrder],PlayerGameData[[#This Row],[EligFGOrder]])&gt;1,PlayerGameData[[#This Row],[PointRank]]/100+PlayerGameData[[#This Row],[EligFGOrder]],PlayerGameData[[#This Row],[EligFGOrder]])</f>
        <v>217.16</v>
      </c>
      <c r="BD167" s="8">
        <f ca="1">RANK(PlayerGameData[[#This Row],[EligFGTieBreak]],PlayerGameData[EligFGTieBreak],1)</f>
        <v>216</v>
      </c>
      <c r="BE167" s="8" t="str">
        <f>Roster!$D$3</f>
        <v>East</v>
      </c>
      <c r="BF167" s="8" t="str">
        <f>Roster!$D$2</f>
        <v>Northeast</v>
      </c>
      <c r="BG167" s="8" t="str">
        <f>Roster!$D$4</f>
        <v>North</v>
      </c>
      <c r="BH167" s="197">
        <f ca="1">IFERROR(VLOOKUP(CONCATENATE(PlayerGameData[[#This Row],[Opponent]]," ",MONTH(PlayerGameData[[#This Row],[Date]]),"/",DAY(PlayerGameData[[#This Row],[Date]]),"/",YEAR(PlayerGameData[[#This Row],[Date]])),Table35[],2,FALSE),0)</f>
        <v>1</v>
      </c>
      <c r="BI167" s="197">
        <f ca="1">IF(PlayerGameData[[#This Row],[Visible]]=1,1,1000)</f>
        <v>1</v>
      </c>
      <c r="BJ167" s="197" t="e">
        <f ca="1">_xlfn.MAXIFS(TeamGameData[Win],TeamGameData[School, Opponent,Game'#],PlayerGameData[[#This Row],[School, Opponent,Game'#]])</f>
        <v>#NAME?</v>
      </c>
      <c r="BK167" s="197" t="e">
        <f ca="1">_xlfn.MAXIFS(TeamGameData[Loss],TeamGameData[School, Opponent,Game'#],PlayerGameData[[#This Row],[School, Opponent,Game'#]])</f>
        <v>#NAME?</v>
      </c>
    </row>
    <row r="168" spans="1:63" x14ac:dyDescent="0.25">
      <c r="A168" s="8" t="str">
        <f t="shared" ca="1" si="93"/>
        <v xml:space="preserve">, </v>
      </c>
      <c r="B168" s="8" t="str">
        <f>Roster!$B$1</f>
        <v>Upton</v>
      </c>
      <c r="C168" s="8" t="str">
        <f t="shared" ca="1" si="81"/>
        <v>Moorcroft</v>
      </c>
      <c r="D168" s="10">
        <f t="shared" ca="1" si="82"/>
        <v>44935</v>
      </c>
      <c r="E168" s="8">
        <f t="shared" ca="1" si="83"/>
        <v>0</v>
      </c>
      <c r="F168" s="8">
        <f t="shared" ca="1" si="84"/>
        <v>0</v>
      </c>
      <c r="G168" s="8">
        <f t="shared" ca="1" si="85"/>
        <v>0</v>
      </c>
      <c r="H168" s="8">
        <f t="shared" ca="1" si="86"/>
        <v>0</v>
      </c>
      <c r="I168" s="8">
        <f t="shared" ca="1" si="87"/>
        <v>0</v>
      </c>
      <c r="J168" s="8">
        <f t="shared" ca="1" si="88"/>
        <v>0</v>
      </c>
      <c r="K168" s="8">
        <f t="shared" ca="1" si="89"/>
        <v>0</v>
      </c>
      <c r="L168" s="8">
        <f t="shared" ca="1" si="94"/>
        <v>0</v>
      </c>
      <c r="M168" s="8">
        <f t="shared" ca="1" si="95"/>
        <v>0</v>
      </c>
      <c r="N168" s="8">
        <f t="shared" ca="1" si="96"/>
        <v>0</v>
      </c>
      <c r="O168" s="8">
        <f t="shared" ca="1" si="97"/>
        <v>0</v>
      </c>
      <c r="P168" s="8">
        <f t="shared" ca="1" si="98"/>
        <v>0</v>
      </c>
      <c r="Q168" s="8">
        <f t="shared" ca="1" si="99"/>
        <v>0</v>
      </c>
      <c r="R168" s="8">
        <f t="shared" ca="1" si="100"/>
        <v>0</v>
      </c>
      <c r="S168" s="8">
        <f t="shared" ca="1" si="101"/>
        <v>0</v>
      </c>
      <c r="T168" s="8">
        <f t="shared" ca="1" si="102"/>
        <v>0</v>
      </c>
      <c r="U168" s="8">
        <f t="shared" ca="1" si="103"/>
        <v>0</v>
      </c>
      <c r="V168" s="8">
        <f t="shared" ca="1" si="104"/>
        <v>0</v>
      </c>
      <c r="W168" s="11" t="str">
        <f t="shared" ca="1" si="105"/>
        <v/>
      </c>
      <c r="X168" s="11" t="str">
        <f t="shared" ca="1" si="106"/>
        <v/>
      </c>
      <c r="Y168" s="11" t="str">
        <f t="shared" ca="1" si="107"/>
        <v/>
      </c>
      <c r="Z168" s="11" t="str">
        <f t="shared" ca="1" si="108"/>
        <v/>
      </c>
      <c r="AA168" s="11" t="str">
        <f t="shared" ca="1" si="109"/>
        <v/>
      </c>
      <c r="AB168" s="47">
        <f ca="1">PlayerGameData[[#This Row],[3FGA]]+PlayerGameData[[#This Row],[2FGA]]</f>
        <v>0</v>
      </c>
      <c r="AC168" s="47">
        <f ca="1">PlayerGameData[[#This Row],[OFF REB]]+PlayerGameData[[#This Row],[DEF REB]]</f>
        <v>0</v>
      </c>
      <c r="AD168" s="8">
        <f t="shared" si="90"/>
        <v>7</v>
      </c>
      <c r="AE168" s="8" t="str">
        <f t="shared" ca="1" si="91"/>
        <v>,  - Moorcroft 1/9/2023</v>
      </c>
      <c r="AF168" s="8" t="str">
        <f t="shared" ca="1" si="110"/>
        <v/>
      </c>
      <c r="AG168" s="8" t="str">
        <f ca="1">IFERROR(IF(C168=0,"",IF(AND(VLOOKUP(PlayerGameData[[#This Row],[Opponent]],WYTeamInfo,2,FALSE)=Roster!$D$1,VLOOKUP(PlayerGameData[[#This Row],[Opponent]],WYTeamInfo,3,FALSE)=Roster!$D$2),"SR","")),"")</f>
        <v/>
      </c>
      <c r="AH168" s="8" t="str">
        <f>CONCATENATE(Roster!$D$1," ",Roster!$D$5)</f>
        <v>1A BB</v>
      </c>
      <c r="AI168" s="8" t="str">
        <f t="shared" ca="1" si="92"/>
        <v>Upton - Moorcroft 1/9/2023</v>
      </c>
      <c r="AJ168" s="8">
        <f ca="1">IFERROR(VLOOKUP(PlayerGameData[[#This Row],[School, Opponent,Game'#]],Table3[],2,FALSE),0)</f>
        <v>1</v>
      </c>
      <c r="AK168" s="8">
        <f ca="1">IF(PlayerGameData[[#This Row],[Visible]]=1,1,1000)</f>
        <v>1</v>
      </c>
      <c r="AL168" s="8">
        <f ca="1">RANK(PlayerGameData[[#This Row],[TL PTS]],PlayerGameData[TL PTS],0)+PlayerGameData[[#This Row],[VisibleOrder]]</f>
        <v>185</v>
      </c>
      <c r="AM168" s="8">
        <f ca="1">IF(COUNTIF(PlayerGameData[PointOrder],PlayerGameData[[#This Row],[PointOrder]])&gt;1,RANK(PlayerGameData[[#This Row],[FGA]],PlayerGameData[FGA],0)/100,0)+PlayerGameData[[#This Row],[PointOrder]]</f>
        <v>187.14</v>
      </c>
      <c r="AN168" s="8">
        <f ca="1">RANK(PlayerGameData[[#This Row],[PointTieBreak]],PlayerGameData[PointTieBreak],1)</f>
        <v>216</v>
      </c>
      <c r="AO168" s="8">
        <f ca="1">RANK(PlayerGameData[[#This Row],[REB]],PlayerGameData[REB],0)+PlayerGameData[[#This Row],[VisibleOrder]]</f>
        <v>192</v>
      </c>
      <c r="AP168" s="8">
        <f ca="1">IF(COUNTIF(PlayerGameData[REBOrder],PlayerGameData[[#This Row],[REBOrder]])&gt;1,PlayerGameData[[#This Row],[PointRank]]/100+PlayerGameData[[#This Row],[REBOrder]],PlayerGameData[[#This Row],[REBOrder]])</f>
        <v>194.16</v>
      </c>
      <c r="AQ168" s="8">
        <f ca="1">RANK(PlayerGameData[[#This Row],[REBTieBreak]],PlayerGameData[REBTieBreak],1)</f>
        <v>224</v>
      </c>
      <c r="AR168" s="8">
        <f ca="1">RANK(PlayerGameData[[#This Row],[AST]],PlayerGameData[AST],0)+PlayerGameData[[#This Row],[VisibleOrder]]</f>
        <v>158</v>
      </c>
      <c r="AS168" s="8">
        <f ca="1">IF(COUNTIF(PlayerGameData[ASTOrder],PlayerGameData[[#This Row],[ASTOrder]])&gt;1,PlayerGameData[[#This Row],[PointRank]]/100+PlayerGameData[[#This Row],[ASTOrder]],PlayerGameData[[#This Row],[ASTOrder]])</f>
        <v>160.16</v>
      </c>
      <c r="AT168" s="8">
        <f ca="1">RANK(PlayerGameData[[#This Row],[ASTTieBreak]],PlayerGameData[ASTTieBreak],1)</f>
        <v>221</v>
      </c>
      <c r="AU168" s="8">
        <f ca="1">RANK(PlayerGameData[[#This Row],[STL]],PlayerGameData[STL],0)+PlayerGameData[[#This Row],[VisibleOrder]]</f>
        <v>143</v>
      </c>
      <c r="AV168" s="8">
        <f ca="1">IF(COUNTIF(PlayerGameData[STLOrder],PlayerGameData[[#This Row],[STLOrder]])&gt;1,PlayerGameData[[#This Row],[PointRank]]/100+PlayerGameData[[#This Row],[STLOrder]],PlayerGameData[[#This Row],[STLOrder]])</f>
        <v>145.16</v>
      </c>
      <c r="AW168" s="8">
        <f ca="1">RANK(PlayerGameData[[#This Row],[STLTieBreak]],PlayerGameData[STLTieBreak],1)</f>
        <v>217</v>
      </c>
      <c r="AX168" s="8">
        <f ca="1">RANK(PlayerGameData[[#This Row],[BLK]],PlayerGameData[BLK],0)+PlayerGameData[[#This Row],[VisibleOrder]]</f>
        <v>32</v>
      </c>
      <c r="AY168" s="8">
        <f ca="1">IF(COUNTIF(PlayerGameData[BLKOrder],PlayerGameData[[#This Row],[BLKOrder]])&gt;1,PlayerGameData[[#This Row],[PointRank]]/100+PlayerGameData[[#This Row],[BLKOrder]],PlayerGameData[[#This Row],[BLKOrder]])</f>
        <v>34.159999999999997</v>
      </c>
      <c r="AZ168" s="8">
        <f ca="1">RANK(PlayerGameData[[#This Row],[BLKTieBreak]],PlayerGameData[BLKTieBreak],1)</f>
        <v>216</v>
      </c>
      <c r="BA168" s="11">
        <f ca="1">IFERROR(IF(PlayerGameData[[#This Row],[FGA]]&gt;$AA$5,PlayerGameData[[#This Row],[FG%*]],PlayerGameData[[#This Row],[FG%*]]*-1),-2)</f>
        <v>-2</v>
      </c>
      <c r="BB168" s="8">
        <f ca="1">RANK(PlayerGameData[[#This Row],[EligFG]],PlayerGameData[EligFG],0)+PlayerGameData[[#This Row],[VisibleOrder]]</f>
        <v>215</v>
      </c>
      <c r="BC168" s="8">
        <f ca="1">IF(COUNTIF(PlayerGameData[EligFGOrder],PlayerGameData[[#This Row],[EligFGOrder]])&gt;1,PlayerGameData[[#This Row],[PointRank]]/100+PlayerGameData[[#This Row],[EligFGOrder]],PlayerGameData[[#This Row],[EligFGOrder]])</f>
        <v>217.16</v>
      </c>
      <c r="BD168" s="8">
        <f ca="1">RANK(PlayerGameData[[#This Row],[EligFGTieBreak]],PlayerGameData[EligFGTieBreak],1)</f>
        <v>216</v>
      </c>
      <c r="BE168" s="8" t="str">
        <f>Roster!$D$3</f>
        <v>East</v>
      </c>
      <c r="BF168" s="8" t="str">
        <f>Roster!$D$2</f>
        <v>Northeast</v>
      </c>
      <c r="BG168" s="8" t="str">
        <f>Roster!$D$4</f>
        <v>North</v>
      </c>
      <c r="BH168" s="197">
        <f ca="1">IFERROR(VLOOKUP(CONCATENATE(PlayerGameData[[#This Row],[Opponent]]," ",MONTH(PlayerGameData[[#This Row],[Date]]),"/",DAY(PlayerGameData[[#This Row],[Date]]),"/",YEAR(PlayerGameData[[#This Row],[Date]])),Table35[],2,FALSE),0)</f>
        <v>1</v>
      </c>
      <c r="BI168" s="197">
        <f ca="1">IF(PlayerGameData[[#This Row],[Visible]]=1,1,1000)</f>
        <v>1</v>
      </c>
      <c r="BJ168" s="197" t="e">
        <f ca="1">_xlfn.MAXIFS(TeamGameData[Win],TeamGameData[School, Opponent,Game'#],PlayerGameData[[#This Row],[School, Opponent,Game'#]])</f>
        <v>#NAME?</v>
      </c>
      <c r="BK168" s="197" t="e">
        <f ca="1">_xlfn.MAXIFS(TeamGameData[Loss],TeamGameData[School, Opponent,Game'#],PlayerGameData[[#This Row],[School, Opponent,Game'#]])</f>
        <v>#NAME?</v>
      </c>
    </row>
    <row r="169" spans="1:63" x14ac:dyDescent="0.25">
      <c r="A169" s="8" t="str">
        <f t="shared" ca="1" si="93"/>
        <v xml:space="preserve">, </v>
      </c>
      <c r="B169" s="8" t="str">
        <f>Roster!$B$1</f>
        <v>Upton</v>
      </c>
      <c r="C169" s="8" t="str">
        <f t="shared" ca="1" si="81"/>
        <v>Moorcroft</v>
      </c>
      <c r="D169" s="10">
        <f t="shared" ca="1" si="82"/>
        <v>44935</v>
      </c>
      <c r="E169" s="8">
        <f t="shared" ca="1" si="83"/>
        <v>0</v>
      </c>
      <c r="F169" s="8">
        <f t="shared" ca="1" si="84"/>
        <v>0</v>
      </c>
      <c r="G169" s="8">
        <f t="shared" ca="1" si="85"/>
        <v>0</v>
      </c>
      <c r="H169" s="8">
        <f t="shared" ca="1" si="86"/>
        <v>0</v>
      </c>
      <c r="I169" s="8">
        <f t="shared" ca="1" si="87"/>
        <v>0</v>
      </c>
      <c r="J169" s="8">
        <f t="shared" ca="1" si="88"/>
        <v>0</v>
      </c>
      <c r="K169" s="8">
        <f t="shared" ca="1" si="89"/>
        <v>0</v>
      </c>
      <c r="L169" s="8">
        <f t="shared" ca="1" si="94"/>
        <v>0</v>
      </c>
      <c r="M169" s="8">
        <f t="shared" ca="1" si="95"/>
        <v>0</v>
      </c>
      <c r="N169" s="8">
        <f t="shared" ca="1" si="96"/>
        <v>0</v>
      </c>
      <c r="O169" s="8">
        <f t="shared" ca="1" si="97"/>
        <v>0</v>
      </c>
      <c r="P169" s="8">
        <f t="shared" ca="1" si="98"/>
        <v>0</v>
      </c>
      <c r="Q169" s="8">
        <f t="shared" ca="1" si="99"/>
        <v>0</v>
      </c>
      <c r="R169" s="8">
        <f t="shared" ca="1" si="100"/>
        <v>0</v>
      </c>
      <c r="S169" s="8">
        <f t="shared" ca="1" si="101"/>
        <v>0</v>
      </c>
      <c r="T169" s="8">
        <f t="shared" ca="1" si="102"/>
        <v>0</v>
      </c>
      <c r="U169" s="8">
        <f t="shared" ca="1" si="103"/>
        <v>0</v>
      </c>
      <c r="V169" s="8">
        <f t="shared" ca="1" si="104"/>
        <v>0</v>
      </c>
      <c r="W169" s="11" t="str">
        <f t="shared" ca="1" si="105"/>
        <v/>
      </c>
      <c r="X169" s="11" t="str">
        <f t="shared" ca="1" si="106"/>
        <v/>
      </c>
      <c r="Y169" s="11" t="str">
        <f t="shared" ca="1" si="107"/>
        <v/>
      </c>
      <c r="Z169" s="11" t="str">
        <f t="shared" ca="1" si="108"/>
        <v/>
      </c>
      <c r="AA169" s="11" t="str">
        <f t="shared" ca="1" si="109"/>
        <v/>
      </c>
      <c r="AB169" s="47">
        <f ca="1">PlayerGameData[[#This Row],[3FGA]]+PlayerGameData[[#This Row],[2FGA]]</f>
        <v>0</v>
      </c>
      <c r="AC169" s="47">
        <f ca="1">PlayerGameData[[#This Row],[OFF REB]]+PlayerGameData[[#This Row],[DEF REB]]</f>
        <v>0</v>
      </c>
      <c r="AD169" s="8">
        <f t="shared" si="90"/>
        <v>7</v>
      </c>
      <c r="AE169" s="8" t="str">
        <f t="shared" ca="1" si="91"/>
        <v>,  - Moorcroft 1/9/2023</v>
      </c>
      <c r="AF169" s="8" t="str">
        <f t="shared" ca="1" si="110"/>
        <v/>
      </c>
      <c r="AG169" s="8" t="str">
        <f ca="1">IFERROR(IF(C169=0,"",IF(AND(VLOOKUP(PlayerGameData[[#This Row],[Opponent]],WYTeamInfo,2,FALSE)=Roster!$D$1,VLOOKUP(PlayerGameData[[#This Row],[Opponent]],WYTeamInfo,3,FALSE)=Roster!$D$2),"SR","")),"")</f>
        <v/>
      </c>
      <c r="AH169" s="8" t="str">
        <f>CONCATENATE(Roster!$D$1," ",Roster!$D$5)</f>
        <v>1A BB</v>
      </c>
      <c r="AI169" s="8" t="str">
        <f t="shared" ca="1" si="92"/>
        <v>Upton - Moorcroft 1/9/2023</v>
      </c>
      <c r="AJ169" s="8">
        <f ca="1">IFERROR(VLOOKUP(PlayerGameData[[#This Row],[School, Opponent,Game'#]],Table3[],2,FALSE),0)</f>
        <v>1</v>
      </c>
      <c r="AK169" s="8">
        <f ca="1">IF(PlayerGameData[[#This Row],[Visible]]=1,1,1000)</f>
        <v>1</v>
      </c>
      <c r="AL169" s="8">
        <f ca="1">RANK(PlayerGameData[[#This Row],[TL PTS]],PlayerGameData[TL PTS],0)+PlayerGameData[[#This Row],[VisibleOrder]]</f>
        <v>185</v>
      </c>
      <c r="AM169" s="8">
        <f ca="1">IF(COUNTIF(PlayerGameData[PointOrder],PlayerGameData[[#This Row],[PointOrder]])&gt;1,RANK(PlayerGameData[[#This Row],[FGA]],PlayerGameData[FGA],0)/100,0)+PlayerGameData[[#This Row],[PointOrder]]</f>
        <v>187.14</v>
      </c>
      <c r="AN169" s="8">
        <f ca="1">RANK(PlayerGameData[[#This Row],[PointTieBreak]],PlayerGameData[PointTieBreak],1)</f>
        <v>216</v>
      </c>
      <c r="AO169" s="8">
        <f ca="1">RANK(PlayerGameData[[#This Row],[REB]],PlayerGameData[REB],0)+PlayerGameData[[#This Row],[VisibleOrder]]</f>
        <v>192</v>
      </c>
      <c r="AP169" s="8">
        <f ca="1">IF(COUNTIF(PlayerGameData[REBOrder],PlayerGameData[[#This Row],[REBOrder]])&gt;1,PlayerGameData[[#This Row],[PointRank]]/100+PlayerGameData[[#This Row],[REBOrder]],PlayerGameData[[#This Row],[REBOrder]])</f>
        <v>194.16</v>
      </c>
      <c r="AQ169" s="8">
        <f ca="1">RANK(PlayerGameData[[#This Row],[REBTieBreak]],PlayerGameData[REBTieBreak],1)</f>
        <v>224</v>
      </c>
      <c r="AR169" s="8">
        <f ca="1">RANK(PlayerGameData[[#This Row],[AST]],PlayerGameData[AST],0)+PlayerGameData[[#This Row],[VisibleOrder]]</f>
        <v>158</v>
      </c>
      <c r="AS169" s="8">
        <f ca="1">IF(COUNTIF(PlayerGameData[ASTOrder],PlayerGameData[[#This Row],[ASTOrder]])&gt;1,PlayerGameData[[#This Row],[PointRank]]/100+PlayerGameData[[#This Row],[ASTOrder]],PlayerGameData[[#This Row],[ASTOrder]])</f>
        <v>160.16</v>
      </c>
      <c r="AT169" s="8">
        <f ca="1">RANK(PlayerGameData[[#This Row],[ASTTieBreak]],PlayerGameData[ASTTieBreak],1)</f>
        <v>221</v>
      </c>
      <c r="AU169" s="8">
        <f ca="1">RANK(PlayerGameData[[#This Row],[STL]],PlayerGameData[STL],0)+PlayerGameData[[#This Row],[VisibleOrder]]</f>
        <v>143</v>
      </c>
      <c r="AV169" s="8">
        <f ca="1">IF(COUNTIF(PlayerGameData[STLOrder],PlayerGameData[[#This Row],[STLOrder]])&gt;1,PlayerGameData[[#This Row],[PointRank]]/100+PlayerGameData[[#This Row],[STLOrder]],PlayerGameData[[#This Row],[STLOrder]])</f>
        <v>145.16</v>
      </c>
      <c r="AW169" s="8">
        <f ca="1">RANK(PlayerGameData[[#This Row],[STLTieBreak]],PlayerGameData[STLTieBreak],1)</f>
        <v>217</v>
      </c>
      <c r="AX169" s="8">
        <f ca="1">RANK(PlayerGameData[[#This Row],[BLK]],PlayerGameData[BLK],0)+PlayerGameData[[#This Row],[VisibleOrder]]</f>
        <v>32</v>
      </c>
      <c r="AY169" s="8">
        <f ca="1">IF(COUNTIF(PlayerGameData[BLKOrder],PlayerGameData[[#This Row],[BLKOrder]])&gt;1,PlayerGameData[[#This Row],[PointRank]]/100+PlayerGameData[[#This Row],[BLKOrder]],PlayerGameData[[#This Row],[BLKOrder]])</f>
        <v>34.159999999999997</v>
      </c>
      <c r="AZ169" s="8">
        <f ca="1">RANK(PlayerGameData[[#This Row],[BLKTieBreak]],PlayerGameData[BLKTieBreak],1)</f>
        <v>216</v>
      </c>
      <c r="BA169" s="11">
        <f ca="1">IFERROR(IF(PlayerGameData[[#This Row],[FGA]]&gt;$AA$5,PlayerGameData[[#This Row],[FG%*]],PlayerGameData[[#This Row],[FG%*]]*-1),-2)</f>
        <v>-2</v>
      </c>
      <c r="BB169" s="8">
        <f ca="1">RANK(PlayerGameData[[#This Row],[EligFG]],PlayerGameData[EligFG],0)+PlayerGameData[[#This Row],[VisibleOrder]]</f>
        <v>215</v>
      </c>
      <c r="BC169" s="8">
        <f ca="1">IF(COUNTIF(PlayerGameData[EligFGOrder],PlayerGameData[[#This Row],[EligFGOrder]])&gt;1,PlayerGameData[[#This Row],[PointRank]]/100+PlayerGameData[[#This Row],[EligFGOrder]],PlayerGameData[[#This Row],[EligFGOrder]])</f>
        <v>217.16</v>
      </c>
      <c r="BD169" s="8">
        <f ca="1">RANK(PlayerGameData[[#This Row],[EligFGTieBreak]],PlayerGameData[EligFGTieBreak],1)</f>
        <v>216</v>
      </c>
      <c r="BE169" s="8" t="str">
        <f>Roster!$D$3</f>
        <v>East</v>
      </c>
      <c r="BF169" s="8" t="str">
        <f>Roster!$D$2</f>
        <v>Northeast</v>
      </c>
      <c r="BG169" s="8" t="str">
        <f>Roster!$D$4</f>
        <v>North</v>
      </c>
      <c r="BH169" s="197">
        <f ca="1">IFERROR(VLOOKUP(CONCATENATE(PlayerGameData[[#This Row],[Opponent]]," ",MONTH(PlayerGameData[[#This Row],[Date]]),"/",DAY(PlayerGameData[[#This Row],[Date]]),"/",YEAR(PlayerGameData[[#This Row],[Date]])),Table35[],2,FALSE),0)</f>
        <v>1</v>
      </c>
      <c r="BI169" s="197">
        <f ca="1">IF(PlayerGameData[[#This Row],[Visible]]=1,1,1000)</f>
        <v>1</v>
      </c>
      <c r="BJ169" s="197" t="e">
        <f ca="1">_xlfn.MAXIFS(TeamGameData[Win],TeamGameData[School, Opponent,Game'#],PlayerGameData[[#This Row],[School, Opponent,Game'#]])</f>
        <v>#NAME?</v>
      </c>
      <c r="BK169" s="197" t="e">
        <f ca="1">_xlfn.MAXIFS(TeamGameData[Loss],TeamGameData[School, Opponent,Game'#],PlayerGameData[[#This Row],[School, Opponent,Game'#]])</f>
        <v>#NAME?</v>
      </c>
    </row>
    <row r="170" spans="1:63" x14ac:dyDescent="0.25">
      <c r="A170" s="8" t="str">
        <f t="shared" ca="1" si="93"/>
        <v xml:space="preserve">, </v>
      </c>
      <c r="B170" s="8" t="str">
        <f>Roster!$B$1</f>
        <v>Upton</v>
      </c>
      <c r="C170" s="8" t="str">
        <f t="shared" ca="1" si="81"/>
        <v>Moorcroft</v>
      </c>
      <c r="D170" s="10">
        <f t="shared" ca="1" si="82"/>
        <v>44935</v>
      </c>
      <c r="E170" s="8">
        <f t="shared" ca="1" si="83"/>
        <v>0</v>
      </c>
      <c r="F170" s="8">
        <f t="shared" ca="1" si="84"/>
        <v>0</v>
      </c>
      <c r="G170" s="8">
        <f t="shared" ca="1" si="85"/>
        <v>0</v>
      </c>
      <c r="H170" s="8">
        <f t="shared" ca="1" si="86"/>
        <v>0</v>
      </c>
      <c r="I170" s="8">
        <f t="shared" ca="1" si="87"/>
        <v>0</v>
      </c>
      <c r="J170" s="8">
        <f t="shared" ca="1" si="88"/>
        <v>0</v>
      </c>
      <c r="K170" s="8">
        <f t="shared" ca="1" si="89"/>
        <v>0</v>
      </c>
      <c r="L170" s="8">
        <f t="shared" ca="1" si="94"/>
        <v>0</v>
      </c>
      <c r="M170" s="8">
        <f t="shared" ca="1" si="95"/>
        <v>0</v>
      </c>
      <c r="N170" s="8">
        <f t="shared" ca="1" si="96"/>
        <v>0</v>
      </c>
      <c r="O170" s="8">
        <f t="shared" ca="1" si="97"/>
        <v>0</v>
      </c>
      <c r="P170" s="8">
        <f t="shared" ca="1" si="98"/>
        <v>0</v>
      </c>
      <c r="Q170" s="8">
        <f t="shared" ca="1" si="99"/>
        <v>0</v>
      </c>
      <c r="R170" s="8">
        <f t="shared" ca="1" si="100"/>
        <v>0</v>
      </c>
      <c r="S170" s="8">
        <f t="shared" ca="1" si="101"/>
        <v>0</v>
      </c>
      <c r="T170" s="8">
        <f t="shared" ca="1" si="102"/>
        <v>0</v>
      </c>
      <c r="U170" s="8">
        <f t="shared" ca="1" si="103"/>
        <v>0</v>
      </c>
      <c r="V170" s="8">
        <f t="shared" ca="1" si="104"/>
        <v>0</v>
      </c>
      <c r="W170" s="11" t="str">
        <f t="shared" ca="1" si="105"/>
        <v/>
      </c>
      <c r="X170" s="11" t="str">
        <f t="shared" ca="1" si="106"/>
        <v/>
      </c>
      <c r="Y170" s="11" t="str">
        <f t="shared" ca="1" si="107"/>
        <v/>
      </c>
      <c r="Z170" s="11" t="str">
        <f t="shared" ca="1" si="108"/>
        <v/>
      </c>
      <c r="AA170" s="11" t="str">
        <f t="shared" ca="1" si="109"/>
        <v/>
      </c>
      <c r="AB170" s="47">
        <f ca="1">PlayerGameData[[#This Row],[3FGA]]+PlayerGameData[[#This Row],[2FGA]]</f>
        <v>0</v>
      </c>
      <c r="AC170" s="47">
        <f ca="1">PlayerGameData[[#This Row],[OFF REB]]+PlayerGameData[[#This Row],[DEF REB]]</f>
        <v>0</v>
      </c>
      <c r="AD170" s="8">
        <f t="shared" si="90"/>
        <v>7</v>
      </c>
      <c r="AE170" s="8" t="str">
        <f t="shared" ca="1" si="91"/>
        <v>,  - Moorcroft 1/9/2023</v>
      </c>
      <c r="AF170" s="8" t="str">
        <f t="shared" ca="1" si="110"/>
        <v/>
      </c>
      <c r="AG170" s="8" t="str">
        <f ca="1">IFERROR(IF(C170=0,"",IF(AND(VLOOKUP(PlayerGameData[[#This Row],[Opponent]],WYTeamInfo,2,FALSE)=Roster!$D$1,VLOOKUP(PlayerGameData[[#This Row],[Opponent]],WYTeamInfo,3,FALSE)=Roster!$D$2),"SR","")),"")</f>
        <v/>
      </c>
      <c r="AH170" s="8" t="str">
        <f>CONCATENATE(Roster!$D$1," ",Roster!$D$5)</f>
        <v>1A BB</v>
      </c>
      <c r="AI170" s="8" t="str">
        <f t="shared" ca="1" si="92"/>
        <v>Upton - Moorcroft 1/9/2023</v>
      </c>
      <c r="AJ170" s="8">
        <f ca="1">IFERROR(VLOOKUP(PlayerGameData[[#This Row],[School, Opponent,Game'#]],Table3[],2,FALSE),0)</f>
        <v>1</v>
      </c>
      <c r="AK170" s="8">
        <f ca="1">IF(PlayerGameData[[#This Row],[Visible]]=1,1,1000)</f>
        <v>1</v>
      </c>
      <c r="AL170" s="8">
        <f ca="1">RANK(PlayerGameData[[#This Row],[TL PTS]],PlayerGameData[TL PTS],0)+PlayerGameData[[#This Row],[VisibleOrder]]</f>
        <v>185</v>
      </c>
      <c r="AM170" s="8">
        <f ca="1">IF(COUNTIF(PlayerGameData[PointOrder],PlayerGameData[[#This Row],[PointOrder]])&gt;1,RANK(PlayerGameData[[#This Row],[FGA]],PlayerGameData[FGA],0)/100,0)+PlayerGameData[[#This Row],[PointOrder]]</f>
        <v>187.14</v>
      </c>
      <c r="AN170" s="8">
        <f ca="1">RANK(PlayerGameData[[#This Row],[PointTieBreak]],PlayerGameData[PointTieBreak],1)</f>
        <v>216</v>
      </c>
      <c r="AO170" s="8">
        <f ca="1">RANK(PlayerGameData[[#This Row],[REB]],PlayerGameData[REB],0)+PlayerGameData[[#This Row],[VisibleOrder]]</f>
        <v>192</v>
      </c>
      <c r="AP170" s="8">
        <f ca="1">IF(COUNTIF(PlayerGameData[REBOrder],PlayerGameData[[#This Row],[REBOrder]])&gt;1,PlayerGameData[[#This Row],[PointRank]]/100+PlayerGameData[[#This Row],[REBOrder]],PlayerGameData[[#This Row],[REBOrder]])</f>
        <v>194.16</v>
      </c>
      <c r="AQ170" s="8">
        <f ca="1">RANK(PlayerGameData[[#This Row],[REBTieBreak]],PlayerGameData[REBTieBreak],1)</f>
        <v>224</v>
      </c>
      <c r="AR170" s="8">
        <f ca="1">RANK(PlayerGameData[[#This Row],[AST]],PlayerGameData[AST],0)+PlayerGameData[[#This Row],[VisibleOrder]]</f>
        <v>158</v>
      </c>
      <c r="AS170" s="8">
        <f ca="1">IF(COUNTIF(PlayerGameData[ASTOrder],PlayerGameData[[#This Row],[ASTOrder]])&gt;1,PlayerGameData[[#This Row],[PointRank]]/100+PlayerGameData[[#This Row],[ASTOrder]],PlayerGameData[[#This Row],[ASTOrder]])</f>
        <v>160.16</v>
      </c>
      <c r="AT170" s="8">
        <f ca="1">RANK(PlayerGameData[[#This Row],[ASTTieBreak]],PlayerGameData[ASTTieBreak],1)</f>
        <v>221</v>
      </c>
      <c r="AU170" s="8">
        <f ca="1">RANK(PlayerGameData[[#This Row],[STL]],PlayerGameData[STL],0)+PlayerGameData[[#This Row],[VisibleOrder]]</f>
        <v>143</v>
      </c>
      <c r="AV170" s="8">
        <f ca="1">IF(COUNTIF(PlayerGameData[STLOrder],PlayerGameData[[#This Row],[STLOrder]])&gt;1,PlayerGameData[[#This Row],[PointRank]]/100+PlayerGameData[[#This Row],[STLOrder]],PlayerGameData[[#This Row],[STLOrder]])</f>
        <v>145.16</v>
      </c>
      <c r="AW170" s="8">
        <f ca="1">RANK(PlayerGameData[[#This Row],[STLTieBreak]],PlayerGameData[STLTieBreak],1)</f>
        <v>217</v>
      </c>
      <c r="AX170" s="8">
        <f ca="1">RANK(PlayerGameData[[#This Row],[BLK]],PlayerGameData[BLK],0)+PlayerGameData[[#This Row],[VisibleOrder]]</f>
        <v>32</v>
      </c>
      <c r="AY170" s="8">
        <f ca="1">IF(COUNTIF(PlayerGameData[BLKOrder],PlayerGameData[[#This Row],[BLKOrder]])&gt;1,PlayerGameData[[#This Row],[PointRank]]/100+PlayerGameData[[#This Row],[BLKOrder]],PlayerGameData[[#This Row],[BLKOrder]])</f>
        <v>34.159999999999997</v>
      </c>
      <c r="AZ170" s="8">
        <f ca="1">RANK(PlayerGameData[[#This Row],[BLKTieBreak]],PlayerGameData[BLKTieBreak],1)</f>
        <v>216</v>
      </c>
      <c r="BA170" s="11">
        <f ca="1">IFERROR(IF(PlayerGameData[[#This Row],[FGA]]&gt;$AA$5,PlayerGameData[[#This Row],[FG%*]],PlayerGameData[[#This Row],[FG%*]]*-1),-2)</f>
        <v>-2</v>
      </c>
      <c r="BB170" s="8">
        <f ca="1">RANK(PlayerGameData[[#This Row],[EligFG]],PlayerGameData[EligFG],0)+PlayerGameData[[#This Row],[VisibleOrder]]</f>
        <v>215</v>
      </c>
      <c r="BC170" s="8">
        <f ca="1">IF(COUNTIF(PlayerGameData[EligFGOrder],PlayerGameData[[#This Row],[EligFGOrder]])&gt;1,PlayerGameData[[#This Row],[PointRank]]/100+PlayerGameData[[#This Row],[EligFGOrder]],PlayerGameData[[#This Row],[EligFGOrder]])</f>
        <v>217.16</v>
      </c>
      <c r="BD170" s="8">
        <f ca="1">RANK(PlayerGameData[[#This Row],[EligFGTieBreak]],PlayerGameData[EligFGTieBreak],1)</f>
        <v>216</v>
      </c>
      <c r="BE170" s="8" t="str">
        <f>Roster!$D$3</f>
        <v>East</v>
      </c>
      <c r="BF170" s="8" t="str">
        <f>Roster!$D$2</f>
        <v>Northeast</v>
      </c>
      <c r="BG170" s="8" t="str">
        <f>Roster!$D$4</f>
        <v>North</v>
      </c>
      <c r="BH170" s="197">
        <f ca="1">IFERROR(VLOOKUP(CONCATENATE(PlayerGameData[[#This Row],[Opponent]]," ",MONTH(PlayerGameData[[#This Row],[Date]]),"/",DAY(PlayerGameData[[#This Row],[Date]]),"/",YEAR(PlayerGameData[[#This Row],[Date]])),Table35[],2,FALSE),0)</f>
        <v>1</v>
      </c>
      <c r="BI170" s="197">
        <f ca="1">IF(PlayerGameData[[#This Row],[Visible]]=1,1,1000)</f>
        <v>1</v>
      </c>
      <c r="BJ170" s="197" t="e">
        <f ca="1">_xlfn.MAXIFS(TeamGameData[Win],TeamGameData[School, Opponent,Game'#],PlayerGameData[[#This Row],[School, Opponent,Game'#]])</f>
        <v>#NAME?</v>
      </c>
      <c r="BK170" s="197" t="e">
        <f ca="1">_xlfn.MAXIFS(TeamGameData[Loss],TeamGameData[School, Opponent,Game'#],PlayerGameData[[#This Row],[School, Opponent,Game'#]])</f>
        <v>#NAME?</v>
      </c>
    </row>
    <row r="171" spans="1:63" x14ac:dyDescent="0.25">
      <c r="A171" s="8" t="str">
        <f t="shared" ca="1" si="93"/>
        <v xml:space="preserve">, </v>
      </c>
      <c r="B171" s="8" t="str">
        <f>Roster!$B$1</f>
        <v>Upton</v>
      </c>
      <c r="C171" s="8" t="str">
        <f t="shared" ca="1" si="81"/>
        <v>Moorcroft</v>
      </c>
      <c r="D171" s="10">
        <f t="shared" ca="1" si="82"/>
        <v>44935</v>
      </c>
      <c r="E171" s="8">
        <f t="shared" ca="1" si="83"/>
        <v>0</v>
      </c>
      <c r="F171" s="8">
        <f t="shared" ca="1" si="84"/>
        <v>0</v>
      </c>
      <c r="G171" s="8">
        <f t="shared" ca="1" si="85"/>
        <v>0</v>
      </c>
      <c r="H171" s="8">
        <f t="shared" ca="1" si="86"/>
        <v>0</v>
      </c>
      <c r="I171" s="8">
        <f t="shared" ca="1" si="87"/>
        <v>0</v>
      </c>
      <c r="J171" s="8">
        <f t="shared" ca="1" si="88"/>
        <v>0</v>
      </c>
      <c r="K171" s="8">
        <f t="shared" ca="1" si="89"/>
        <v>0</v>
      </c>
      <c r="L171" s="8">
        <f t="shared" ca="1" si="94"/>
        <v>0</v>
      </c>
      <c r="M171" s="8">
        <f t="shared" ca="1" si="95"/>
        <v>0</v>
      </c>
      <c r="N171" s="8">
        <f t="shared" ca="1" si="96"/>
        <v>0</v>
      </c>
      <c r="O171" s="8">
        <f t="shared" ca="1" si="97"/>
        <v>0</v>
      </c>
      <c r="P171" s="8">
        <f t="shared" ca="1" si="98"/>
        <v>0</v>
      </c>
      <c r="Q171" s="8">
        <f t="shared" ca="1" si="99"/>
        <v>0</v>
      </c>
      <c r="R171" s="8">
        <f t="shared" ca="1" si="100"/>
        <v>0</v>
      </c>
      <c r="S171" s="8">
        <f t="shared" ca="1" si="101"/>
        <v>0</v>
      </c>
      <c r="T171" s="8">
        <f t="shared" ca="1" si="102"/>
        <v>0</v>
      </c>
      <c r="U171" s="8">
        <f t="shared" ca="1" si="103"/>
        <v>0</v>
      </c>
      <c r="V171" s="8">
        <f t="shared" ca="1" si="104"/>
        <v>0</v>
      </c>
      <c r="W171" s="11" t="str">
        <f t="shared" ca="1" si="105"/>
        <v/>
      </c>
      <c r="X171" s="11" t="str">
        <f t="shared" ca="1" si="106"/>
        <v/>
      </c>
      <c r="Y171" s="11" t="str">
        <f t="shared" ca="1" si="107"/>
        <v/>
      </c>
      <c r="Z171" s="11" t="str">
        <f t="shared" ca="1" si="108"/>
        <v/>
      </c>
      <c r="AA171" s="11" t="str">
        <f t="shared" ca="1" si="109"/>
        <v/>
      </c>
      <c r="AB171" s="47">
        <f ca="1">PlayerGameData[[#This Row],[3FGA]]+PlayerGameData[[#This Row],[2FGA]]</f>
        <v>0</v>
      </c>
      <c r="AC171" s="47">
        <f ca="1">PlayerGameData[[#This Row],[OFF REB]]+PlayerGameData[[#This Row],[DEF REB]]</f>
        <v>0</v>
      </c>
      <c r="AD171" s="8">
        <f t="shared" si="90"/>
        <v>7</v>
      </c>
      <c r="AE171" s="8" t="str">
        <f t="shared" ca="1" si="91"/>
        <v>,  - Moorcroft 1/9/2023</v>
      </c>
      <c r="AF171" s="8" t="str">
        <f t="shared" ca="1" si="110"/>
        <v/>
      </c>
      <c r="AG171" s="8" t="str">
        <f ca="1">IFERROR(IF(C171=0,"",IF(AND(VLOOKUP(PlayerGameData[[#This Row],[Opponent]],WYTeamInfo,2,FALSE)=Roster!$D$1,VLOOKUP(PlayerGameData[[#This Row],[Opponent]],WYTeamInfo,3,FALSE)=Roster!$D$2),"SR","")),"")</f>
        <v/>
      </c>
      <c r="AH171" s="8" t="str">
        <f>CONCATENATE(Roster!$D$1," ",Roster!$D$5)</f>
        <v>1A BB</v>
      </c>
      <c r="AI171" s="8" t="str">
        <f t="shared" ca="1" si="92"/>
        <v>Upton - Moorcroft 1/9/2023</v>
      </c>
      <c r="AJ171" s="8">
        <f ca="1">IFERROR(VLOOKUP(PlayerGameData[[#This Row],[School, Opponent,Game'#]],Table3[],2,FALSE),0)</f>
        <v>1</v>
      </c>
      <c r="AK171" s="8">
        <f ca="1">IF(PlayerGameData[[#This Row],[Visible]]=1,1,1000)</f>
        <v>1</v>
      </c>
      <c r="AL171" s="8">
        <f ca="1">RANK(PlayerGameData[[#This Row],[TL PTS]],PlayerGameData[TL PTS],0)+PlayerGameData[[#This Row],[VisibleOrder]]</f>
        <v>185</v>
      </c>
      <c r="AM171" s="8">
        <f ca="1">IF(COUNTIF(PlayerGameData[PointOrder],PlayerGameData[[#This Row],[PointOrder]])&gt;1,RANK(PlayerGameData[[#This Row],[FGA]],PlayerGameData[FGA],0)/100,0)+PlayerGameData[[#This Row],[PointOrder]]</f>
        <v>187.14</v>
      </c>
      <c r="AN171" s="8">
        <f ca="1">RANK(PlayerGameData[[#This Row],[PointTieBreak]],PlayerGameData[PointTieBreak],1)</f>
        <v>216</v>
      </c>
      <c r="AO171" s="8">
        <f ca="1">RANK(PlayerGameData[[#This Row],[REB]],PlayerGameData[REB],0)+PlayerGameData[[#This Row],[VisibleOrder]]</f>
        <v>192</v>
      </c>
      <c r="AP171" s="8">
        <f ca="1">IF(COUNTIF(PlayerGameData[REBOrder],PlayerGameData[[#This Row],[REBOrder]])&gt;1,PlayerGameData[[#This Row],[PointRank]]/100+PlayerGameData[[#This Row],[REBOrder]],PlayerGameData[[#This Row],[REBOrder]])</f>
        <v>194.16</v>
      </c>
      <c r="AQ171" s="8">
        <f ca="1">RANK(PlayerGameData[[#This Row],[REBTieBreak]],PlayerGameData[REBTieBreak],1)</f>
        <v>224</v>
      </c>
      <c r="AR171" s="8">
        <f ca="1">RANK(PlayerGameData[[#This Row],[AST]],PlayerGameData[AST],0)+PlayerGameData[[#This Row],[VisibleOrder]]</f>
        <v>158</v>
      </c>
      <c r="AS171" s="8">
        <f ca="1">IF(COUNTIF(PlayerGameData[ASTOrder],PlayerGameData[[#This Row],[ASTOrder]])&gt;1,PlayerGameData[[#This Row],[PointRank]]/100+PlayerGameData[[#This Row],[ASTOrder]],PlayerGameData[[#This Row],[ASTOrder]])</f>
        <v>160.16</v>
      </c>
      <c r="AT171" s="8">
        <f ca="1">RANK(PlayerGameData[[#This Row],[ASTTieBreak]],PlayerGameData[ASTTieBreak],1)</f>
        <v>221</v>
      </c>
      <c r="AU171" s="8">
        <f ca="1">RANK(PlayerGameData[[#This Row],[STL]],PlayerGameData[STL],0)+PlayerGameData[[#This Row],[VisibleOrder]]</f>
        <v>143</v>
      </c>
      <c r="AV171" s="8">
        <f ca="1">IF(COUNTIF(PlayerGameData[STLOrder],PlayerGameData[[#This Row],[STLOrder]])&gt;1,PlayerGameData[[#This Row],[PointRank]]/100+PlayerGameData[[#This Row],[STLOrder]],PlayerGameData[[#This Row],[STLOrder]])</f>
        <v>145.16</v>
      </c>
      <c r="AW171" s="8">
        <f ca="1">RANK(PlayerGameData[[#This Row],[STLTieBreak]],PlayerGameData[STLTieBreak],1)</f>
        <v>217</v>
      </c>
      <c r="AX171" s="8">
        <f ca="1">RANK(PlayerGameData[[#This Row],[BLK]],PlayerGameData[BLK],0)+PlayerGameData[[#This Row],[VisibleOrder]]</f>
        <v>32</v>
      </c>
      <c r="AY171" s="8">
        <f ca="1">IF(COUNTIF(PlayerGameData[BLKOrder],PlayerGameData[[#This Row],[BLKOrder]])&gt;1,PlayerGameData[[#This Row],[PointRank]]/100+PlayerGameData[[#This Row],[BLKOrder]],PlayerGameData[[#This Row],[BLKOrder]])</f>
        <v>34.159999999999997</v>
      </c>
      <c r="AZ171" s="8">
        <f ca="1">RANK(PlayerGameData[[#This Row],[BLKTieBreak]],PlayerGameData[BLKTieBreak],1)</f>
        <v>216</v>
      </c>
      <c r="BA171" s="11">
        <f ca="1">IFERROR(IF(PlayerGameData[[#This Row],[FGA]]&gt;$AA$5,PlayerGameData[[#This Row],[FG%*]],PlayerGameData[[#This Row],[FG%*]]*-1),-2)</f>
        <v>-2</v>
      </c>
      <c r="BB171" s="8">
        <f ca="1">RANK(PlayerGameData[[#This Row],[EligFG]],PlayerGameData[EligFG],0)+PlayerGameData[[#This Row],[VisibleOrder]]</f>
        <v>215</v>
      </c>
      <c r="BC171" s="8">
        <f ca="1">IF(COUNTIF(PlayerGameData[EligFGOrder],PlayerGameData[[#This Row],[EligFGOrder]])&gt;1,PlayerGameData[[#This Row],[PointRank]]/100+PlayerGameData[[#This Row],[EligFGOrder]],PlayerGameData[[#This Row],[EligFGOrder]])</f>
        <v>217.16</v>
      </c>
      <c r="BD171" s="8">
        <f ca="1">RANK(PlayerGameData[[#This Row],[EligFGTieBreak]],PlayerGameData[EligFGTieBreak],1)</f>
        <v>216</v>
      </c>
      <c r="BE171" s="8" t="str">
        <f>Roster!$D$3</f>
        <v>East</v>
      </c>
      <c r="BF171" s="8" t="str">
        <f>Roster!$D$2</f>
        <v>Northeast</v>
      </c>
      <c r="BG171" s="8" t="str">
        <f>Roster!$D$4</f>
        <v>North</v>
      </c>
      <c r="BH171" s="197">
        <f ca="1">IFERROR(VLOOKUP(CONCATENATE(PlayerGameData[[#This Row],[Opponent]]," ",MONTH(PlayerGameData[[#This Row],[Date]]),"/",DAY(PlayerGameData[[#This Row],[Date]]),"/",YEAR(PlayerGameData[[#This Row],[Date]])),Table35[],2,FALSE),0)</f>
        <v>1</v>
      </c>
      <c r="BI171" s="197">
        <f ca="1">IF(PlayerGameData[[#This Row],[Visible]]=1,1,1000)</f>
        <v>1</v>
      </c>
      <c r="BJ171" s="197" t="e">
        <f ca="1">_xlfn.MAXIFS(TeamGameData[Win],TeamGameData[School, Opponent,Game'#],PlayerGameData[[#This Row],[School, Opponent,Game'#]])</f>
        <v>#NAME?</v>
      </c>
      <c r="BK171" s="197" t="e">
        <f ca="1">_xlfn.MAXIFS(TeamGameData[Loss],TeamGameData[School, Opponent,Game'#],PlayerGameData[[#This Row],[School, Opponent,Game'#]])</f>
        <v>#NAME?</v>
      </c>
    </row>
    <row r="172" spans="1:63" x14ac:dyDescent="0.25">
      <c r="A172" s="8" t="str">
        <f t="shared" ca="1" si="93"/>
        <v xml:space="preserve">, </v>
      </c>
      <c r="B172" s="8" t="str">
        <f>Roster!$B$1</f>
        <v>Upton</v>
      </c>
      <c r="C172" s="8" t="str">
        <f t="shared" ca="1" si="81"/>
        <v>Moorcroft</v>
      </c>
      <c r="D172" s="10">
        <f t="shared" ca="1" si="82"/>
        <v>44935</v>
      </c>
      <c r="E172" s="8">
        <f t="shared" ca="1" si="83"/>
        <v>0</v>
      </c>
      <c r="F172" s="8">
        <f t="shared" ca="1" si="84"/>
        <v>0</v>
      </c>
      <c r="G172" s="8">
        <f t="shared" ca="1" si="85"/>
        <v>0</v>
      </c>
      <c r="H172" s="8">
        <f t="shared" ca="1" si="86"/>
        <v>0</v>
      </c>
      <c r="I172" s="8">
        <f t="shared" ca="1" si="87"/>
        <v>0</v>
      </c>
      <c r="J172" s="8">
        <f t="shared" ca="1" si="88"/>
        <v>0</v>
      </c>
      <c r="K172" s="8">
        <f t="shared" ca="1" si="89"/>
        <v>0</v>
      </c>
      <c r="L172" s="8">
        <f t="shared" ca="1" si="94"/>
        <v>0</v>
      </c>
      <c r="M172" s="8">
        <f t="shared" ca="1" si="95"/>
        <v>0</v>
      </c>
      <c r="N172" s="8">
        <f t="shared" ca="1" si="96"/>
        <v>0</v>
      </c>
      <c r="O172" s="8">
        <f t="shared" ca="1" si="97"/>
        <v>0</v>
      </c>
      <c r="P172" s="8">
        <f t="shared" ca="1" si="98"/>
        <v>0</v>
      </c>
      <c r="Q172" s="8">
        <f t="shared" ca="1" si="99"/>
        <v>0</v>
      </c>
      <c r="R172" s="8">
        <f t="shared" ca="1" si="100"/>
        <v>0</v>
      </c>
      <c r="S172" s="8">
        <f t="shared" ca="1" si="101"/>
        <v>0</v>
      </c>
      <c r="T172" s="8">
        <f t="shared" ca="1" si="102"/>
        <v>0</v>
      </c>
      <c r="U172" s="8">
        <f t="shared" ca="1" si="103"/>
        <v>0</v>
      </c>
      <c r="V172" s="8">
        <f t="shared" ca="1" si="104"/>
        <v>0</v>
      </c>
      <c r="W172" s="11" t="str">
        <f t="shared" ca="1" si="105"/>
        <v/>
      </c>
      <c r="X172" s="11" t="str">
        <f t="shared" ca="1" si="106"/>
        <v/>
      </c>
      <c r="Y172" s="11" t="str">
        <f t="shared" ca="1" si="107"/>
        <v/>
      </c>
      <c r="Z172" s="11" t="str">
        <f t="shared" ca="1" si="108"/>
        <v/>
      </c>
      <c r="AA172" s="11" t="str">
        <f t="shared" ca="1" si="109"/>
        <v/>
      </c>
      <c r="AB172" s="47">
        <f ca="1">PlayerGameData[[#This Row],[3FGA]]+PlayerGameData[[#This Row],[2FGA]]</f>
        <v>0</v>
      </c>
      <c r="AC172" s="47">
        <f ca="1">PlayerGameData[[#This Row],[OFF REB]]+PlayerGameData[[#This Row],[DEF REB]]</f>
        <v>0</v>
      </c>
      <c r="AD172" s="8">
        <f t="shared" si="90"/>
        <v>7</v>
      </c>
      <c r="AE172" s="8" t="str">
        <f t="shared" ca="1" si="91"/>
        <v>,  - Moorcroft 1/9/2023</v>
      </c>
      <c r="AF172" s="8" t="str">
        <f t="shared" ca="1" si="110"/>
        <v/>
      </c>
      <c r="AG172" s="8" t="str">
        <f ca="1">IFERROR(IF(C172=0,"",IF(AND(VLOOKUP(PlayerGameData[[#This Row],[Opponent]],WYTeamInfo,2,FALSE)=Roster!$D$1,VLOOKUP(PlayerGameData[[#This Row],[Opponent]],WYTeamInfo,3,FALSE)=Roster!$D$2),"SR","")),"")</f>
        <v/>
      </c>
      <c r="AH172" s="8" t="str">
        <f>CONCATENATE(Roster!$D$1," ",Roster!$D$5)</f>
        <v>1A BB</v>
      </c>
      <c r="AI172" s="8" t="str">
        <f t="shared" ca="1" si="92"/>
        <v>Upton - Moorcroft 1/9/2023</v>
      </c>
      <c r="AJ172" s="8">
        <f ca="1">IFERROR(VLOOKUP(PlayerGameData[[#This Row],[School, Opponent,Game'#]],Table3[],2,FALSE),0)</f>
        <v>1</v>
      </c>
      <c r="AK172" s="8">
        <f ca="1">IF(PlayerGameData[[#This Row],[Visible]]=1,1,1000)</f>
        <v>1</v>
      </c>
      <c r="AL172" s="8">
        <f ca="1">RANK(PlayerGameData[[#This Row],[TL PTS]],PlayerGameData[TL PTS],0)+PlayerGameData[[#This Row],[VisibleOrder]]</f>
        <v>185</v>
      </c>
      <c r="AM172" s="8">
        <f ca="1">IF(COUNTIF(PlayerGameData[PointOrder],PlayerGameData[[#This Row],[PointOrder]])&gt;1,RANK(PlayerGameData[[#This Row],[FGA]],PlayerGameData[FGA],0)/100,0)+PlayerGameData[[#This Row],[PointOrder]]</f>
        <v>187.14</v>
      </c>
      <c r="AN172" s="8">
        <f ca="1">RANK(PlayerGameData[[#This Row],[PointTieBreak]],PlayerGameData[PointTieBreak],1)</f>
        <v>216</v>
      </c>
      <c r="AO172" s="8">
        <f ca="1">RANK(PlayerGameData[[#This Row],[REB]],PlayerGameData[REB],0)+PlayerGameData[[#This Row],[VisibleOrder]]</f>
        <v>192</v>
      </c>
      <c r="AP172" s="8">
        <f ca="1">IF(COUNTIF(PlayerGameData[REBOrder],PlayerGameData[[#This Row],[REBOrder]])&gt;1,PlayerGameData[[#This Row],[PointRank]]/100+PlayerGameData[[#This Row],[REBOrder]],PlayerGameData[[#This Row],[REBOrder]])</f>
        <v>194.16</v>
      </c>
      <c r="AQ172" s="8">
        <f ca="1">RANK(PlayerGameData[[#This Row],[REBTieBreak]],PlayerGameData[REBTieBreak],1)</f>
        <v>224</v>
      </c>
      <c r="AR172" s="8">
        <f ca="1">RANK(PlayerGameData[[#This Row],[AST]],PlayerGameData[AST],0)+PlayerGameData[[#This Row],[VisibleOrder]]</f>
        <v>158</v>
      </c>
      <c r="AS172" s="8">
        <f ca="1">IF(COUNTIF(PlayerGameData[ASTOrder],PlayerGameData[[#This Row],[ASTOrder]])&gt;1,PlayerGameData[[#This Row],[PointRank]]/100+PlayerGameData[[#This Row],[ASTOrder]],PlayerGameData[[#This Row],[ASTOrder]])</f>
        <v>160.16</v>
      </c>
      <c r="AT172" s="8">
        <f ca="1">RANK(PlayerGameData[[#This Row],[ASTTieBreak]],PlayerGameData[ASTTieBreak],1)</f>
        <v>221</v>
      </c>
      <c r="AU172" s="8">
        <f ca="1">RANK(PlayerGameData[[#This Row],[STL]],PlayerGameData[STL],0)+PlayerGameData[[#This Row],[VisibleOrder]]</f>
        <v>143</v>
      </c>
      <c r="AV172" s="8">
        <f ca="1">IF(COUNTIF(PlayerGameData[STLOrder],PlayerGameData[[#This Row],[STLOrder]])&gt;1,PlayerGameData[[#This Row],[PointRank]]/100+PlayerGameData[[#This Row],[STLOrder]],PlayerGameData[[#This Row],[STLOrder]])</f>
        <v>145.16</v>
      </c>
      <c r="AW172" s="8">
        <f ca="1">RANK(PlayerGameData[[#This Row],[STLTieBreak]],PlayerGameData[STLTieBreak],1)</f>
        <v>217</v>
      </c>
      <c r="AX172" s="8">
        <f ca="1">RANK(PlayerGameData[[#This Row],[BLK]],PlayerGameData[BLK],0)+PlayerGameData[[#This Row],[VisibleOrder]]</f>
        <v>32</v>
      </c>
      <c r="AY172" s="8">
        <f ca="1">IF(COUNTIF(PlayerGameData[BLKOrder],PlayerGameData[[#This Row],[BLKOrder]])&gt;1,PlayerGameData[[#This Row],[PointRank]]/100+PlayerGameData[[#This Row],[BLKOrder]],PlayerGameData[[#This Row],[BLKOrder]])</f>
        <v>34.159999999999997</v>
      </c>
      <c r="AZ172" s="8">
        <f ca="1">RANK(PlayerGameData[[#This Row],[BLKTieBreak]],PlayerGameData[BLKTieBreak],1)</f>
        <v>216</v>
      </c>
      <c r="BA172" s="11">
        <f ca="1">IFERROR(IF(PlayerGameData[[#This Row],[FGA]]&gt;$AA$5,PlayerGameData[[#This Row],[FG%*]],PlayerGameData[[#This Row],[FG%*]]*-1),-2)</f>
        <v>-2</v>
      </c>
      <c r="BB172" s="8">
        <f ca="1">RANK(PlayerGameData[[#This Row],[EligFG]],PlayerGameData[EligFG],0)+PlayerGameData[[#This Row],[VisibleOrder]]</f>
        <v>215</v>
      </c>
      <c r="BC172" s="8">
        <f ca="1">IF(COUNTIF(PlayerGameData[EligFGOrder],PlayerGameData[[#This Row],[EligFGOrder]])&gt;1,PlayerGameData[[#This Row],[PointRank]]/100+PlayerGameData[[#This Row],[EligFGOrder]],PlayerGameData[[#This Row],[EligFGOrder]])</f>
        <v>217.16</v>
      </c>
      <c r="BD172" s="8">
        <f ca="1">RANK(PlayerGameData[[#This Row],[EligFGTieBreak]],PlayerGameData[EligFGTieBreak],1)</f>
        <v>216</v>
      </c>
      <c r="BE172" s="8" t="str">
        <f>Roster!$D$3</f>
        <v>East</v>
      </c>
      <c r="BF172" s="8" t="str">
        <f>Roster!$D$2</f>
        <v>Northeast</v>
      </c>
      <c r="BG172" s="8" t="str">
        <f>Roster!$D$4</f>
        <v>North</v>
      </c>
      <c r="BH172" s="197">
        <f ca="1">IFERROR(VLOOKUP(CONCATENATE(PlayerGameData[[#This Row],[Opponent]]," ",MONTH(PlayerGameData[[#This Row],[Date]]),"/",DAY(PlayerGameData[[#This Row],[Date]]),"/",YEAR(PlayerGameData[[#This Row],[Date]])),Table35[],2,FALSE),0)</f>
        <v>1</v>
      </c>
      <c r="BI172" s="197">
        <f ca="1">IF(PlayerGameData[[#This Row],[Visible]]=1,1,1000)</f>
        <v>1</v>
      </c>
      <c r="BJ172" s="197" t="e">
        <f ca="1">_xlfn.MAXIFS(TeamGameData[Win],TeamGameData[School, Opponent,Game'#],PlayerGameData[[#This Row],[School, Opponent,Game'#]])</f>
        <v>#NAME?</v>
      </c>
      <c r="BK172" s="197" t="e">
        <f ca="1">_xlfn.MAXIFS(TeamGameData[Loss],TeamGameData[School, Opponent,Game'#],PlayerGameData[[#This Row],[School, Opponent,Game'#]])</f>
        <v>#NAME?</v>
      </c>
    </row>
    <row r="173" spans="1:63" x14ac:dyDescent="0.25">
      <c r="A173" s="8" t="str">
        <f t="shared" ca="1" si="93"/>
        <v xml:space="preserve">, </v>
      </c>
      <c r="B173" s="8" t="str">
        <f>Roster!$B$1</f>
        <v>Upton</v>
      </c>
      <c r="C173" s="8" t="str">
        <f t="shared" ca="1" si="81"/>
        <v>Moorcroft</v>
      </c>
      <c r="D173" s="10">
        <f t="shared" ca="1" si="82"/>
        <v>44935</v>
      </c>
      <c r="E173" s="8">
        <f t="shared" ca="1" si="83"/>
        <v>0</v>
      </c>
      <c r="F173" s="8">
        <f t="shared" ca="1" si="84"/>
        <v>0</v>
      </c>
      <c r="G173" s="8">
        <f t="shared" ca="1" si="85"/>
        <v>0</v>
      </c>
      <c r="H173" s="8">
        <f t="shared" ca="1" si="86"/>
        <v>0</v>
      </c>
      <c r="I173" s="8">
        <f t="shared" ca="1" si="87"/>
        <v>0</v>
      </c>
      <c r="J173" s="8">
        <f t="shared" ca="1" si="88"/>
        <v>0</v>
      </c>
      <c r="K173" s="8">
        <f t="shared" ca="1" si="89"/>
        <v>0</v>
      </c>
      <c r="L173" s="8">
        <f t="shared" ca="1" si="94"/>
        <v>0</v>
      </c>
      <c r="M173" s="8">
        <f t="shared" ca="1" si="95"/>
        <v>0</v>
      </c>
      <c r="N173" s="8">
        <f t="shared" ca="1" si="96"/>
        <v>0</v>
      </c>
      <c r="O173" s="8">
        <f t="shared" ca="1" si="97"/>
        <v>0</v>
      </c>
      <c r="P173" s="8">
        <f t="shared" ca="1" si="98"/>
        <v>0</v>
      </c>
      <c r="Q173" s="8">
        <f t="shared" ca="1" si="99"/>
        <v>0</v>
      </c>
      <c r="R173" s="8">
        <f t="shared" ca="1" si="100"/>
        <v>0</v>
      </c>
      <c r="S173" s="8">
        <f t="shared" ca="1" si="101"/>
        <v>0</v>
      </c>
      <c r="T173" s="8">
        <f t="shared" ca="1" si="102"/>
        <v>0</v>
      </c>
      <c r="U173" s="8">
        <f t="shared" ca="1" si="103"/>
        <v>0</v>
      </c>
      <c r="V173" s="8">
        <f t="shared" ca="1" si="104"/>
        <v>0</v>
      </c>
      <c r="W173" s="11" t="str">
        <f t="shared" ca="1" si="105"/>
        <v/>
      </c>
      <c r="X173" s="11" t="str">
        <f t="shared" ca="1" si="106"/>
        <v/>
      </c>
      <c r="Y173" s="11" t="str">
        <f t="shared" ca="1" si="107"/>
        <v/>
      </c>
      <c r="Z173" s="11" t="str">
        <f t="shared" ca="1" si="108"/>
        <v/>
      </c>
      <c r="AA173" s="11" t="str">
        <f t="shared" ca="1" si="109"/>
        <v/>
      </c>
      <c r="AB173" s="47">
        <f ca="1">PlayerGameData[[#This Row],[3FGA]]+PlayerGameData[[#This Row],[2FGA]]</f>
        <v>0</v>
      </c>
      <c r="AC173" s="47">
        <f ca="1">PlayerGameData[[#This Row],[OFF REB]]+PlayerGameData[[#This Row],[DEF REB]]</f>
        <v>0</v>
      </c>
      <c r="AD173" s="8">
        <f t="shared" si="90"/>
        <v>7</v>
      </c>
      <c r="AE173" s="8" t="str">
        <f t="shared" ca="1" si="91"/>
        <v>,  - Moorcroft 1/9/2023</v>
      </c>
      <c r="AF173" s="8" t="str">
        <f t="shared" ca="1" si="110"/>
        <v/>
      </c>
      <c r="AG173" s="8" t="str">
        <f ca="1">IFERROR(IF(C173=0,"",IF(AND(VLOOKUP(PlayerGameData[[#This Row],[Opponent]],WYTeamInfo,2,FALSE)=Roster!$D$1,VLOOKUP(PlayerGameData[[#This Row],[Opponent]],WYTeamInfo,3,FALSE)=Roster!$D$2),"SR","")),"")</f>
        <v/>
      </c>
      <c r="AH173" s="8" t="str">
        <f>CONCATENATE(Roster!$D$1," ",Roster!$D$5)</f>
        <v>1A BB</v>
      </c>
      <c r="AI173" s="8" t="str">
        <f t="shared" ca="1" si="92"/>
        <v>Upton - Moorcroft 1/9/2023</v>
      </c>
      <c r="AJ173" s="8">
        <f ca="1">IFERROR(VLOOKUP(PlayerGameData[[#This Row],[School, Opponent,Game'#]],Table3[],2,FALSE),0)</f>
        <v>1</v>
      </c>
      <c r="AK173" s="8">
        <f ca="1">IF(PlayerGameData[[#This Row],[Visible]]=1,1,1000)</f>
        <v>1</v>
      </c>
      <c r="AL173" s="8">
        <f ca="1">RANK(PlayerGameData[[#This Row],[TL PTS]],PlayerGameData[TL PTS],0)+PlayerGameData[[#This Row],[VisibleOrder]]</f>
        <v>185</v>
      </c>
      <c r="AM173" s="8">
        <f ca="1">IF(COUNTIF(PlayerGameData[PointOrder],PlayerGameData[[#This Row],[PointOrder]])&gt;1,RANK(PlayerGameData[[#This Row],[FGA]],PlayerGameData[FGA],0)/100,0)+PlayerGameData[[#This Row],[PointOrder]]</f>
        <v>187.14</v>
      </c>
      <c r="AN173" s="8">
        <f ca="1">RANK(PlayerGameData[[#This Row],[PointTieBreak]],PlayerGameData[PointTieBreak],1)</f>
        <v>216</v>
      </c>
      <c r="AO173" s="8">
        <f ca="1">RANK(PlayerGameData[[#This Row],[REB]],PlayerGameData[REB],0)+PlayerGameData[[#This Row],[VisibleOrder]]</f>
        <v>192</v>
      </c>
      <c r="AP173" s="8">
        <f ca="1">IF(COUNTIF(PlayerGameData[REBOrder],PlayerGameData[[#This Row],[REBOrder]])&gt;1,PlayerGameData[[#This Row],[PointRank]]/100+PlayerGameData[[#This Row],[REBOrder]],PlayerGameData[[#This Row],[REBOrder]])</f>
        <v>194.16</v>
      </c>
      <c r="AQ173" s="8">
        <f ca="1">RANK(PlayerGameData[[#This Row],[REBTieBreak]],PlayerGameData[REBTieBreak],1)</f>
        <v>224</v>
      </c>
      <c r="AR173" s="8">
        <f ca="1">RANK(PlayerGameData[[#This Row],[AST]],PlayerGameData[AST],0)+PlayerGameData[[#This Row],[VisibleOrder]]</f>
        <v>158</v>
      </c>
      <c r="AS173" s="8">
        <f ca="1">IF(COUNTIF(PlayerGameData[ASTOrder],PlayerGameData[[#This Row],[ASTOrder]])&gt;1,PlayerGameData[[#This Row],[PointRank]]/100+PlayerGameData[[#This Row],[ASTOrder]],PlayerGameData[[#This Row],[ASTOrder]])</f>
        <v>160.16</v>
      </c>
      <c r="AT173" s="8">
        <f ca="1">RANK(PlayerGameData[[#This Row],[ASTTieBreak]],PlayerGameData[ASTTieBreak],1)</f>
        <v>221</v>
      </c>
      <c r="AU173" s="8">
        <f ca="1">RANK(PlayerGameData[[#This Row],[STL]],PlayerGameData[STL],0)+PlayerGameData[[#This Row],[VisibleOrder]]</f>
        <v>143</v>
      </c>
      <c r="AV173" s="8">
        <f ca="1">IF(COUNTIF(PlayerGameData[STLOrder],PlayerGameData[[#This Row],[STLOrder]])&gt;1,PlayerGameData[[#This Row],[PointRank]]/100+PlayerGameData[[#This Row],[STLOrder]],PlayerGameData[[#This Row],[STLOrder]])</f>
        <v>145.16</v>
      </c>
      <c r="AW173" s="8">
        <f ca="1">RANK(PlayerGameData[[#This Row],[STLTieBreak]],PlayerGameData[STLTieBreak],1)</f>
        <v>217</v>
      </c>
      <c r="AX173" s="8">
        <f ca="1">RANK(PlayerGameData[[#This Row],[BLK]],PlayerGameData[BLK],0)+PlayerGameData[[#This Row],[VisibleOrder]]</f>
        <v>32</v>
      </c>
      <c r="AY173" s="8">
        <f ca="1">IF(COUNTIF(PlayerGameData[BLKOrder],PlayerGameData[[#This Row],[BLKOrder]])&gt;1,PlayerGameData[[#This Row],[PointRank]]/100+PlayerGameData[[#This Row],[BLKOrder]],PlayerGameData[[#This Row],[BLKOrder]])</f>
        <v>34.159999999999997</v>
      </c>
      <c r="AZ173" s="8">
        <f ca="1">RANK(PlayerGameData[[#This Row],[BLKTieBreak]],PlayerGameData[BLKTieBreak],1)</f>
        <v>216</v>
      </c>
      <c r="BA173" s="11">
        <f ca="1">IFERROR(IF(PlayerGameData[[#This Row],[FGA]]&gt;$AA$5,PlayerGameData[[#This Row],[FG%*]],PlayerGameData[[#This Row],[FG%*]]*-1),-2)</f>
        <v>-2</v>
      </c>
      <c r="BB173" s="8">
        <f ca="1">RANK(PlayerGameData[[#This Row],[EligFG]],PlayerGameData[EligFG],0)+PlayerGameData[[#This Row],[VisibleOrder]]</f>
        <v>215</v>
      </c>
      <c r="BC173" s="8">
        <f ca="1">IF(COUNTIF(PlayerGameData[EligFGOrder],PlayerGameData[[#This Row],[EligFGOrder]])&gt;1,PlayerGameData[[#This Row],[PointRank]]/100+PlayerGameData[[#This Row],[EligFGOrder]],PlayerGameData[[#This Row],[EligFGOrder]])</f>
        <v>217.16</v>
      </c>
      <c r="BD173" s="8">
        <f ca="1">RANK(PlayerGameData[[#This Row],[EligFGTieBreak]],PlayerGameData[EligFGTieBreak],1)</f>
        <v>216</v>
      </c>
      <c r="BE173" s="8" t="str">
        <f>Roster!$D$3</f>
        <v>East</v>
      </c>
      <c r="BF173" s="8" t="str">
        <f>Roster!$D$2</f>
        <v>Northeast</v>
      </c>
      <c r="BG173" s="8" t="str">
        <f>Roster!$D$4</f>
        <v>North</v>
      </c>
      <c r="BH173" s="197">
        <f ca="1">IFERROR(VLOOKUP(CONCATENATE(PlayerGameData[[#This Row],[Opponent]]," ",MONTH(PlayerGameData[[#This Row],[Date]]),"/",DAY(PlayerGameData[[#This Row],[Date]]),"/",YEAR(PlayerGameData[[#This Row],[Date]])),Table35[],2,FALSE),0)</f>
        <v>1</v>
      </c>
      <c r="BI173" s="197">
        <f ca="1">IF(PlayerGameData[[#This Row],[Visible]]=1,1,1000)</f>
        <v>1</v>
      </c>
      <c r="BJ173" s="197" t="e">
        <f ca="1">_xlfn.MAXIFS(TeamGameData[Win],TeamGameData[School, Opponent,Game'#],PlayerGameData[[#This Row],[School, Opponent,Game'#]])</f>
        <v>#NAME?</v>
      </c>
      <c r="BK173" s="197" t="e">
        <f ca="1">_xlfn.MAXIFS(TeamGameData[Loss],TeamGameData[School, Opponent,Game'#],PlayerGameData[[#This Row],[School, Opponent,Game'#]])</f>
        <v>#NAME?</v>
      </c>
    </row>
    <row r="174" spans="1:63" x14ac:dyDescent="0.25">
      <c r="A174" s="8" t="str">
        <f t="shared" ca="1" si="93"/>
        <v xml:space="preserve">Team, </v>
      </c>
      <c r="B174" s="8" t="str">
        <f>Roster!$B$1</f>
        <v>Upton</v>
      </c>
      <c r="C174" s="8" t="str">
        <f t="shared" ca="1" si="81"/>
        <v>Moorcroft</v>
      </c>
      <c r="D174" s="10">
        <f t="shared" ca="1" si="82"/>
        <v>44935</v>
      </c>
      <c r="E174" s="8">
        <f t="shared" ca="1" si="83"/>
        <v>0</v>
      </c>
      <c r="F174" s="8">
        <f t="shared" ca="1" si="84"/>
        <v>0</v>
      </c>
      <c r="G174" s="8">
        <f t="shared" ca="1" si="85"/>
        <v>0</v>
      </c>
      <c r="H174" s="8">
        <f t="shared" ca="1" si="86"/>
        <v>0</v>
      </c>
      <c r="I174" s="8">
        <f t="shared" ca="1" si="87"/>
        <v>0</v>
      </c>
      <c r="J174" s="8">
        <f t="shared" ca="1" si="88"/>
        <v>0</v>
      </c>
      <c r="K174" s="8">
        <f t="shared" ca="1" si="89"/>
        <v>0</v>
      </c>
      <c r="L174" s="8">
        <f t="shared" ca="1" si="94"/>
        <v>0</v>
      </c>
      <c r="M174" s="8">
        <f t="shared" ca="1" si="95"/>
        <v>0</v>
      </c>
      <c r="N174" s="8">
        <f t="shared" ca="1" si="96"/>
        <v>0</v>
      </c>
      <c r="O174" s="8">
        <f t="shared" ca="1" si="97"/>
        <v>0</v>
      </c>
      <c r="P174" s="8">
        <f t="shared" ca="1" si="98"/>
        <v>0</v>
      </c>
      <c r="Q174" s="8">
        <f t="shared" ca="1" si="99"/>
        <v>0</v>
      </c>
      <c r="R174" s="8">
        <f t="shared" ca="1" si="100"/>
        <v>0</v>
      </c>
      <c r="S174" s="8">
        <f t="shared" ca="1" si="101"/>
        <v>0</v>
      </c>
      <c r="T174" s="8">
        <f t="shared" ca="1" si="102"/>
        <v>0</v>
      </c>
      <c r="U174" s="8">
        <f t="shared" ca="1" si="103"/>
        <v>0</v>
      </c>
      <c r="V174" s="8">
        <f t="shared" ca="1" si="104"/>
        <v>0</v>
      </c>
      <c r="W174" s="11" t="str">
        <f t="shared" ca="1" si="105"/>
        <v/>
      </c>
      <c r="X174" s="11" t="str">
        <f t="shared" ca="1" si="106"/>
        <v/>
      </c>
      <c r="Y174" s="11" t="str">
        <f t="shared" ca="1" si="107"/>
        <v/>
      </c>
      <c r="Z174" s="11" t="str">
        <f t="shared" ca="1" si="108"/>
        <v/>
      </c>
      <c r="AA174" s="11" t="str">
        <f t="shared" ca="1" si="109"/>
        <v/>
      </c>
      <c r="AB174" s="47">
        <f ca="1">PlayerGameData[[#This Row],[3FGA]]+PlayerGameData[[#This Row],[2FGA]]</f>
        <v>0</v>
      </c>
      <c r="AC174" s="47">
        <f ca="1">PlayerGameData[[#This Row],[OFF REB]]+PlayerGameData[[#This Row],[DEF REB]]</f>
        <v>0</v>
      </c>
      <c r="AD174" s="8">
        <f t="shared" si="90"/>
        <v>7</v>
      </c>
      <c r="AE174" s="8" t="str">
        <f t="shared" ca="1" si="91"/>
        <v>Team,  - Moorcroft 1/9/2023</v>
      </c>
      <c r="AF174" s="8" t="str">
        <f t="shared" ca="1" si="110"/>
        <v/>
      </c>
      <c r="AG174" s="8" t="str">
        <f ca="1">IFERROR(IF(C174=0,"",IF(AND(VLOOKUP(PlayerGameData[[#This Row],[Opponent]],WYTeamInfo,2,FALSE)=Roster!$D$1,VLOOKUP(PlayerGameData[[#This Row],[Opponent]],WYTeamInfo,3,FALSE)=Roster!$D$2),"SR","")),"")</f>
        <v/>
      </c>
      <c r="AH174" s="8" t="str">
        <f>CONCATENATE(Roster!$D$1," ",Roster!$D$5)</f>
        <v>1A BB</v>
      </c>
      <c r="AI174" s="8" t="str">
        <f t="shared" ca="1" si="92"/>
        <v>Upton - Moorcroft 1/9/2023</v>
      </c>
      <c r="AJ174" s="8">
        <f ca="1">IFERROR(VLOOKUP(PlayerGameData[[#This Row],[School, Opponent,Game'#]],Table3[],2,FALSE),0)</f>
        <v>1</v>
      </c>
      <c r="AK174" s="8">
        <f ca="1">IF(PlayerGameData[[#This Row],[Visible]]=1,1,1000)</f>
        <v>1</v>
      </c>
      <c r="AL174" s="8">
        <f ca="1">RANK(PlayerGameData[[#This Row],[TL PTS]],PlayerGameData[TL PTS],0)+PlayerGameData[[#This Row],[VisibleOrder]]</f>
        <v>185</v>
      </c>
      <c r="AM174" s="8">
        <f ca="1">IF(COUNTIF(PlayerGameData[PointOrder],PlayerGameData[[#This Row],[PointOrder]])&gt;1,RANK(PlayerGameData[[#This Row],[FGA]],PlayerGameData[FGA],0)/100,0)+PlayerGameData[[#This Row],[PointOrder]]</f>
        <v>187.14</v>
      </c>
      <c r="AN174" s="8">
        <f ca="1">RANK(PlayerGameData[[#This Row],[PointTieBreak]],PlayerGameData[PointTieBreak],1)</f>
        <v>216</v>
      </c>
      <c r="AO174" s="8">
        <f ca="1">RANK(PlayerGameData[[#This Row],[REB]],PlayerGameData[REB],0)+PlayerGameData[[#This Row],[VisibleOrder]]</f>
        <v>192</v>
      </c>
      <c r="AP174" s="8">
        <f ca="1">IF(COUNTIF(PlayerGameData[REBOrder],PlayerGameData[[#This Row],[REBOrder]])&gt;1,PlayerGameData[[#This Row],[PointRank]]/100+PlayerGameData[[#This Row],[REBOrder]],PlayerGameData[[#This Row],[REBOrder]])</f>
        <v>194.16</v>
      </c>
      <c r="AQ174" s="8">
        <f ca="1">RANK(PlayerGameData[[#This Row],[REBTieBreak]],PlayerGameData[REBTieBreak],1)</f>
        <v>224</v>
      </c>
      <c r="AR174" s="8">
        <f ca="1">RANK(PlayerGameData[[#This Row],[AST]],PlayerGameData[AST],0)+PlayerGameData[[#This Row],[VisibleOrder]]</f>
        <v>158</v>
      </c>
      <c r="AS174" s="8">
        <f ca="1">IF(COUNTIF(PlayerGameData[ASTOrder],PlayerGameData[[#This Row],[ASTOrder]])&gt;1,PlayerGameData[[#This Row],[PointRank]]/100+PlayerGameData[[#This Row],[ASTOrder]],PlayerGameData[[#This Row],[ASTOrder]])</f>
        <v>160.16</v>
      </c>
      <c r="AT174" s="8">
        <f ca="1">RANK(PlayerGameData[[#This Row],[ASTTieBreak]],PlayerGameData[ASTTieBreak],1)</f>
        <v>221</v>
      </c>
      <c r="AU174" s="8">
        <f ca="1">RANK(PlayerGameData[[#This Row],[STL]],PlayerGameData[STL],0)+PlayerGameData[[#This Row],[VisibleOrder]]</f>
        <v>143</v>
      </c>
      <c r="AV174" s="8">
        <f ca="1">IF(COUNTIF(PlayerGameData[STLOrder],PlayerGameData[[#This Row],[STLOrder]])&gt;1,PlayerGameData[[#This Row],[PointRank]]/100+PlayerGameData[[#This Row],[STLOrder]],PlayerGameData[[#This Row],[STLOrder]])</f>
        <v>145.16</v>
      </c>
      <c r="AW174" s="8">
        <f ca="1">RANK(PlayerGameData[[#This Row],[STLTieBreak]],PlayerGameData[STLTieBreak],1)</f>
        <v>217</v>
      </c>
      <c r="AX174" s="8">
        <f ca="1">RANK(PlayerGameData[[#This Row],[BLK]],PlayerGameData[BLK],0)+PlayerGameData[[#This Row],[VisibleOrder]]</f>
        <v>32</v>
      </c>
      <c r="AY174" s="8">
        <f ca="1">IF(COUNTIF(PlayerGameData[BLKOrder],PlayerGameData[[#This Row],[BLKOrder]])&gt;1,PlayerGameData[[#This Row],[PointRank]]/100+PlayerGameData[[#This Row],[BLKOrder]],PlayerGameData[[#This Row],[BLKOrder]])</f>
        <v>34.159999999999997</v>
      </c>
      <c r="AZ174" s="8">
        <f ca="1">RANK(PlayerGameData[[#This Row],[BLKTieBreak]],PlayerGameData[BLKTieBreak],1)</f>
        <v>216</v>
      </c>
      <c r="BA174" s="11">
        <f ca="1">IFERROR(IF(PlayerGameData[[#This Row],[FGA]]&gt;$AA$5,PlayerGameData[[#This Row],[FG%*]],PlayerGameData[[#This Row],[FG%*]]*-1),-2)</f>
        <v>-2</v>
      </c>
      <c r="BB174" s="8">
        <f ca="1">RANK(PlayerGameData[[#This Row],[EligFG]],PlayerGameData[EligFG],0)+PlayerGameData[[#This Row],[VisibleOrder]]</f>
        <v>215</v>
      </c>
      <c r="BC174" s="8">
        <f ca="1">IF(COUNTIF(PlayerGameData[EligFGOrder],PlayerGameData[[#This Row],[EligFGOrder]])&gt;1,PlayerGameData[[#This Row],[PointRank]]/100+PlayerGameData[[#This Row],[EligFGOrder]],PlayerGameData[[#This Row],[EligFGOrder]])</f>
        <v>217.16</v>
      </c>
      <c r="BD174" s="8">
        <f ca="1">RANK(PlayerGameData[[#This Row],[EligFGTieBreak]],PlayerGameData[EligFGTieBreak],1)</f>
        <v>216</v>
      </c>
      <c r="BE174" s="8" t="str">
        <f>Roster!$D$3</f>
        <v>East</v>
      </c>
      <c r="BF174" s="8" t="str">
        <f>Roster!$D$2</f>
        <v>Northeast</v>
      </c>
      <c r="BG174" s="8" t="str">
        <f>Roster!$D$4</f>
        <v>North</v>
      </c>
      <c r="BH174" s="197">
        <f ca="1">IFERROR(VLOOKUP(CONCATENATE(PlayerGameData[[#This Row],[Opponent]]," ",MONTH(PlayerGameData[[#This Row],[Date]]),"/",DAY(PlayerGameData[[#This Row],[Date]]),"/",YEAR(PlayerGameData[[#This Row],[Date]])),Table35[],2,FALSE),0)</f>
        <v>1</v>
      </c>
      <c r="BI174" s="197">
        <f ca="1">IF(PlayerGameData[[#This Row],[Visible]]=1,1,1000)</f>
        <v>1</v>
      </c>
      <c r="BJ174" s="197" t="e">
        <f ca="1">_xlfn.MAXIFS(TeamGameData[Win],TeamGameData[School, Opponent,Game'#],PlayerGameData[[#This Row],[School, Opponent,Game'#]])</f>
        <v>#NAME?</v>
      </c>
      <c r="BK174" s="197" t="e">
        <f ca="1">_xlfn.MAXIFS(TeamGameData[Loss],TeamGameData[School, Opponent,Game'#],PlayerGameData[[#This Row],[School, Opponent,Game'#]])</f>
        <v>#NAME?</v>
      </c>
    </row>
    <row r="175" spans="1:63" x14ac:dyDescent="0.25">
      <c r="A175" s="8" t="str">
        <f t="shared" ca="1" si="93"/>
        <v>Landon Butler, 1</v>
      </c>
      <c r="B175" s="8" t="str">
        <f>Roster!$B$1</f>
        <v>Upton</v>
      </c>
      <c r="C175" s="8" t="str">
        <f t="shared" ca="1" si="81"/>
        <v>New Underwood, SD</v>
      </c>
      <c r="D175" s="10">
        <f t="shared" ca="1" si="82"/>
        <v>44938</v>
      </c>
      <c r="E175" s="8">
        <f t="shared" ca="1" si="83"/>
        <v>0</v>
      </c>
      <c r="F175" s="8">
        <f t="shared" ca="1" si="84"/>
        <v>0</v>
      </c>
      <c r="G175" s="8">
        <f t="shared" ca="1" si="85"/>
        <v>0</v>
      </c>
      <c r="H175" s="8">
        <f t="shared" ca="1" si="86"/>
        <v>0</v>
      </c>
      <c r="I175" s="8">
        <f t="shared" ca="1" si="87"/>
        <v>0</v>
      </c>
      <c r="J175" s="8">
        <f t="shared" ca="1" si="88"/>
        <v>0</v>
      </c>
      <c r="K175" s="8">
        <f t="shared" ca="1" si="89"/>
        <v>0</v>
      </c>
      <c r="L175" s="8">
        <f t="shared" ca="1" si="94"/>
        <v>0</v>
      </c>
      <c r="M175" s="8">
        <f t="shared" ca="1" si="95"/>
        <v>0</v>
      </c>
      <c r="N175" s="8">
        <f t="shared" ca="1" si="96"/>
        <v>0</v>
      </c>
      <c r="O175" s="8">
        <f t="shared" ca="1" si="97"/>
        <v>0</v>
      </c>
      <c r="P175" s="8">
        <f t="shared" ca="1" si="98"/>
        <v>0</v>
      </c>
      <c r="Q175" s="8">
        <f t="shared" ca="1" si="99"/>
        <v>0</v>
      </c>
      <c r="R175" s="8">
        <f t="shared" ca="1" si="100"/>
        <v>0</v>
      </c>
      <c r="S175" s="8">
        <f t="shared" ca="1" si="101"/>
        <v>0</v>
      </c>
      <c r="T175" s="8">
        <f t="shared" ca="1" si="102"/>
        <v>0</v>
      </c>
      <c r="U175" s="8">
        <f t="shared" ca="1" si="103"/>
        <v>0</v>
      </c>
      <c r="V175" s="8">
        <f t="shared" ca="1" si="104"/>
        <v>0</v>
      </c>
      <c r="W175" s="11" t="str">
        <f t="shared" ca="1" si="105"/>
        <v/>
      </c>
      <c r="X175" s="11" t="str">
        <f t="shared" ca="1" si="106"/>
        <v/>
      </c>
      <c r="Y175" s="11" t="str">
        <f t="shared" ca="1" si="107"/>
        <v/>
      </c>
      <c r="Z175" s="11" t="str">
        <f t="shared" ca="1" si="108"/>
        <v/>
      </c>
      <c r="AA175" s="11" t="str">
        <f t="shared" ca="1" si="109"/>
        <v/>
      </c>
      <c r="AB175" s="47">
        <f ca="1">PlayerGameData[[#This Row],[3FGA]]+PlayerGameData[[#This Row],[2FGA]]</f>
        <v>0</v>
      </c>
      <c r="AC175" s="47">
        <f ca="1">PlayerGameData[[#This Row],[OFF REB]]+PlayerGameData[[#This Row],[DEF REB]]</f>
        <v>0</v>
      </c>
      <c r="AD175" s="8">
        <f t="shared" si="90"/>
        <v>8</v>
      </c>
      <c r="AE175" s="8" t="str">
        <f t="shared" ca="1" si="91"/>
        <v>Landon Butler, 1 - New Underwood, SD 1/12/2023</v>
      </c>
      <c r="AF175" s="8" t="str">
        <f t="shared" ca="1" si="110"/>
        <v/>
      </c>
      <c r="AG175" s="8" t="str">
        <f ca="1">IFERROR(IF(C175=0,"",IF(AND(VLOOKUP(PlayerGameData[[#This Row],[Opponent]],WYTeamInfo,2,FALSE)=Roster!$D$1,VLOOKUP(PlayerGameData[[#This Row],[Opponent]],WYTeamInfo,3,FALSE)=Roster!$D$2),"SR","")),"")</f>
        <v/>
      </c>
      <c r="AH175" s="8" t="str">
        <f>CONCATENATE(Roster!$D$1," ",Roster!$D$5)</f>
        <v>1A BB</v>
      </c>
      <c r="AI175" s="8" t="str">
        <f t="shared" ca="1" si="92"/>
        <v>Upton - New Underwood, SD 1/12/2023</v>
      </c>
      <c r="AJ175" s="8">
        <f ca="1">IFERROR(VLOOKUP(PlayerGameData[[#This Row],[School, Opponent,Game'#]],Table3[],2,FALSE),0)</f>
        <v>1</v>
      </c>
      <c r="AK175" s="8">
        <f ca="1">IF(PlayerGameData[[#This Row],[Visible]]=1,1,1000)</f>
        <v>1</v>
      </c>
      <c r="AL175" s="8">
        <f ca="1">RANK(PlayerGameData[[#This Row],[TL PTS]],PlayerGameData[TL PTS],0)+PlayerGameData[[#This Row],[VisibleOrder]]</f>
        <v>185</v>
      </c>
      <c r="AM175" s="8">
        <f ca="1">IF(COUNTIF(PlayerGameData[PointOrder],PlayerGameData[[#This Row],[PointOrder]])&gt;1,RANK(PlayerGameData[[#This Row],[FGA]],PlayerGameData[FGA],0)/100,0)+PlayerGameData[[#This Row],[PointOrder]]</f>
        <v>187.14</v>
      </c>
      <c r="AN175" s="8">
        <f ca="1">RANK(PlayerGameData[[#This Row],[PointTieBreak]],PlayerGameData[PointTieBreak],1)</f>
        <v>216</v>
      </c>
      <c r="AO175" s="8">
        <f ca="1">RANK(PlayerGameData[[#This Row],[REB]],PlayerGameData[REB],0)+PlayerGameData[[#This Row],[VisibleOrder]]</f>
        <v>192</v>
      </c>
      <c r="AP175" s="8">
        <f ca="1">IF(COUNTIF(PlayerGameData[REBOrder],PlayerGameData[[#This Row],[REBOrder]])&gt;1,PlayerGameData[[#This Row],[PointRank]]/100+PlayerGameData[[#This Row],[REBOrder]],PlayerGameData[[#This Row],[REBOrder]])</f>
        <v>194.16</v>
      </c>
      <c r="AQ175" s="8">
        <f ca="1">RANK(PlayerGameData[[#This Row],[REBTieBreak]],PlayerGameData[REBTieBreak],1)</f>
        <v>224</v>
      </c>
      <c r="AR175" s="8">
        <f ca="1">RANK(PlayerGameData[[#This Row],[AST]],PlayerGameData[AST],0)+PlayerGameData[[#This Row],[VisibleOrder]]</f>
        <v>158</v>
      </c>
      <c r="AS175" s="8">
        <f ca="1">IF(COUNTIF(PlayerGameData[ASTOrder],PlayerGameData[[#This Row],[ASTOrder]])&gt;1,PlayerGameData[[#This Row],[PointRank]]/100+PlayerGameData[[#This Row],[ASTOrder]],PlayerGameData[[#This Row],[ASTOrder]])</f>
        <v>160.16</v>
      </c>
      <c r="AT175" s="8">
        <f ca="1">RANK(PlayerGameData[[#This Row],[ASTTieBreak]],PlayerGameData[ASTTieBreak],1)</f>
        <v>221</v>
      </c>
      <c r="AU175" s="8">
        <f ca="1">RANK(PlayerGameData[[#This Row],[STL]],PlayerGameData[STL],0)+PlayerGameData[[#This Row],[VisibleOrder]]</f>
        <v>143</v>
      </c>
      <c r="AV175" s="8">
        <f ca="1">IF(COUNTIF(PlayerGameData[STLOrder],PlayerGameData[[#This Row],[STLOrder]])&gt;1,PlayerGameData[[#This Row],[PointRank]]/100+PlayerGameData[[#This Row],[STLOrder]],PlayerGameData[[#This Row],[STLOrder]])</f>
        <v>145.16</v>
      </c>
      <c r="AW175" s="8">
        <f ca="1">RANK(PlayerGameData[[#This Row],[STLTieBreak]],PlayerGameData[STLTieBreak],1)</f>
        <v>217</v>
      </c>
      <c r="AX175" s="8">
        <f ca="1">RANK(PlayerGameData[[#This Row],[BLK]],PlayerGameData[BLK],0)+PlayerGameData[[#This Row],[VisibleOrder]]</f>
        <v>32</v>
      </c>
      <c r="AY175" s="8">
        <f ca="1">IF(COUNTIF(PlayerGameData[BLKOrder],PlayerGameData[[#This Row],[BLKOrder]])&gt;1,PlayerGameData[[#This Row],[PointRank]]/100+PlayerGameData[[#This Row],[BLKOrder]],PlayerGameData[[#This Row],[BLKOrder]])</f>
        <v>34.159999999999997</v>
      </c>
      <c r="AZ175" s="8">
        <f ca="1">RANK(PlayerGameData[[#This Row],[BLKTieBreak]],PlayerGameData[BLKTieBreak],1)</f>
        <v>216</v>
      </c>
      <c r="BA175" s="11">
        <f ca="1">IFERROR(IF(PlayerGameData[[#This Row],[FGA]]&gt;$AA$5,PlayerGameData[[#This Row],[FG%*]],PlayerGameData[[#This Row],[FG%*]]*-1),-2)</f>
        <v>-2</v>
      </c>
      <c r="BB175" s="8">
        <f ca="1">RANK(PlayerGameData[[#This Row],[EligFG]],PlayerGameData[EligFG],0)+PlayerGameData[[#This Row],[VisibleOrder]]</f>
        <v>215</v>
      </c>
      <c r="BC175" s="8">
        <f ca="1">IF(COUNTIF(PlayerGameData[EligFGOrder],PlayerGameData[[#This Row],[EligFGOrder]])&gt;1,PlayerGameData[[#This Row],[PointRank]]/100+PlayerGameData[[#This Row],[EligFGOrder]],PlayerGameData[[#This Row],[EligFGOrder]])</f>
        <v>217.16</v>
      </c>
      <c r="BD175" s="8">
        <f ca="1">RANK(PlayerGameData[[#This Row],[EligFGTieBreak]],PlayerGameData[EligFGTieBreak],1)</f>
        <v>216</v>
      </c>
      <c r="BE175" s="8" t="str">
        <f>Roster!$D$3</f>
        <v>East</v>
      </c>
      <c r="BF175" s="8" t="str">
        <f>Roster!$D$2</f>
        <v>Northeast</v>
      </c>
      <c r="BG175" s="8" t="str">
        <f>Roster!$D$4</f>
        <v>North</v>
      </c>
      <c r="BH175" s="197">
        <f ca="1">IFERROR(VLOOKUP(CONCATENATE(PlayerGameData[[#This Row],[Opponent]]," ",MONTH(PlayerGameData[[#This Row],[Date]]),"/",DAY(PlayerGameData[[#This Row],[Date]]),"/",YEAR(PlayerGameData[[#This Row],[Date]])),Table35[],2,FALSE),0)</f>
        <v>1</v>
      </c>
      <c r="BI175" s="197">
        <f ca="1">IF(PlayerGameData[[#This Row],[Visible]]=1,1,1000)</f>
        <v>1</v>
      </c>
      <c r="BJ175" s="197" t="e">
        <f ca="1">_xlfn.MAXIFS(TeamGameData[Win],TeamGameData[School, Opponent,Game'#],PlayerGameData[[#This Row],[School, Opponent,Game'#]])</f>
        <v>#NAME?</v>
      </c>
      <c r="BK175" s="197" t="e">
        <f ca="1">_xlfn.MAXIFS(TeamGameData[Loss],TeamGameData[School, Opponent,Game'#],PlayerGameData[[#This Row],[School, Opponent,Game'#]])</f>
        <v>#NAME?</v>
      </c>
    </row>
    <row r="176" spans="1:63" x14ac:dyDescent="0.25">
      <c r="A176" s="8" t="str">
        <f t="shared" ca="1" si="93"/>
        <v>Logan Timberman, 3</v>
      </c>
      <c r="B176" s="8" t="str">
        <f>Roster!$B$1</f>
        <v>Upton</v>
      </c>
      <c r="C176" s="8" t="str">
        <f t="shared" ca="1" si="81"/>
        <v>New Underwood, SD</v>
      </c>
      <c r="D176" s="10">
        <f t="shared" ca="1" si="82"/>
        <v>44938</v>
      </c>
      <c r="E176" s="8">
        <f t="shared" ca="1" si="83"/>
        <v>1</v>
      </c>
      <c r="F176" s="8">
        <f t="shared" ca="1" si="84"/>
        <v>1</v>
      </c>
      <c r="G176" s="8">
        <f t="shared" ca="1" si="85"/>
        <v>27</v>
      </c>
      <c r="H176" s="8">
        <f t="shared" ca="1" si="86"/>
        <v>2</v>
      </c>
      <c r="I176" s="8">
        <f t="shared" ca="1" si="87"/>
        <v>6</v>
      </c>
      <c r="J176" s="8">
        <f t="shared" ca="1" si="88"/>
        <v>1</v>
      </c>
      <c r="K176" s="8">
        <f t="shared" ca="1" si="89"/>
        <v>7</v>
      </c>
      <c r="L176" s="8">
        <f t="shared" ca="1" si="94"/>
        <v>1</v>
      </c>
      <c r="M176" s="8">
        <f t="shared" ca="1" si="95"/>
        <v>3</v>
      </c>
      <c r="N176" s="8">
        <f t="shared" ca="1" si="96"/>
        <v>2</v>
      </c>
      <c r="O176" s="8">
        <f t="shared" ca="1" si="97"/>
        <v>3</v>
      </c>
      <c r="P176" s="8">
        <f t="shared" ca="1" si="98"/>
        <v>1</v>
      </c>
      <c r="Q176" s="8">
        <f t="shared" ca="1" si="99"/>
        <v>4</v>
      </c>
      <c r="R176" s="8">
        <f t="shared" ca="1" si="100"/>
        <v>0</v>
      </c>
      <c r="S176" s="8">
        <f t="shared" ca="1" si="101"/>
        <v>3</v>
      </c>
      <c r="T176" s="8">
        <f t="shared" ca="1" si="102"/>
        <v>2</v>
      </c>
      <c r="U176" s="8">
        <f t="shared" ca="1" si="103"/>
        <v>0</v>
      </c>
      <c r="V176" s="8">
        <f t="shared" ca="1" si="104"/>
        <v>9</v>
      </c>
      <c r="W176" s="11">
        <f t="shared" ca="1" si="105"/>
        <v>0.33333333333333331</v>
      </c>
      <c r="X176" s="11">
        <f t="shared" ca="1" si="106"/>
        <v>0.14285714285714285</v>
      </c>
      <c r="Y176" s="11">
        <f t="shared" ca="1" si="107"/>
        <v>0.33333333333333331</v>
      </c>
      <c r="Z176" s="11">
        <f t="shared" ca="1" si="108"/>
        <v>0.23076923076923078</v>
      </c>
      <c r="AA176" s="11">
        <f t="shared" ca="1" si="109"/>
        <v>0.30769230769230771</v>
      </c>
      <c r="AB176" s="47">
        <f ca="1">PlayerGameData[[#This Row],[3FGA]]+PlayerGameData[[#This Row],[2FGA]]</f>
        <v>13</v>
      </c>
      <c r="AC176" s="47">
        <f ca="1">PlayerGameData[[#This Row],[OFF REB]]+PlayerGameData[[#This Row],[DEF REB]]</f>
        <v>5</v>
      </c>
      <c r="AD176" s="8">
        <f t="shared" si="90"/>
        <v>8</v>
      </c>
      <c r="AE176" s="8" t="str">
        <f t="shared" ca="1" si="91"/>
        <v>Logan Timberman, 3 - New Underwood, SD 1/12/2023</v>
      </c>
      <c r="AF176" s="8" t="str">
        <f t="shared" ca="1" si="110"/>
        <v/>
      </c>
      <c r="AG176" s="8" t="str">
        <f ca="1">IFERROR(IF(C176=0,"",IF(AND(VLOOKUP(PlayerGameData[[#This Row],[Opponent]],WYTeamInfo,2,FALSE)=Roster!$D$1,VLOOKUP(PlayerGameData[[#This Row],[Opponent]],WYTeamInfo,3,FALSE)=Roster!$D$2),"SR","")),"")</f>
        <v/>
      </c>
      <c r="AH176" s="8" t="str">
        <f>CONCATENATE(Roster!$D$1," ",Roster!$D$5)</f>
        <v>1A BB</v>
      </c>
      <c r="AI176" s="8" t="str">
        <f t="shared" ca="1" si="92"/>
        <v>Upton - New Underwood, SD 1/12/2023</v>
      </c>
      <c r="AJ176" s="8">
        <f ca="1">IFERROR(VLOOKUP(PlayerGameData[[#This Row],[School, Opponent,Game'#]],Table3[],2,FALSE),0)</f>
        <v>1</v>
      </c>
      <c r="AK176" s="8">
        <f ca="1">IF(PlayerGameData[[#This Row],[Visible]]=1,1,1000)</f>
        <v>1</v>
      </c>
      <c r="AL176" s="8">
        <f ca="1">RANK(PlayerGameData[[#This Row],[TL PTS]],PlayerGameData[TL PTS],0)+PlayerGameData[[#This Row],[VisibleOrder]]</f>
        <v>75</v>
      </c>
      <c r="AM176" s="8">
        <f ca="1">IF(COUNTIF(PlayerGameData[PointOrder],PlayerGameData[[#This Row],[PointOrder]])&gt;1,RANK(PlayerGameData[[#This Row],[FGA]],PlayerGameData[FGA],0)/100,0)+PlayerGameData[[#This Row],[PointOrder]]</f>
        <v>75.17</v>
      </c>
      <c r="AN176" s="8">
        <f ca="1">RANK(PlayerGameData[[#This Row],[PointTieBreak]],PlayerGameData[PointTieBreak],1)</f>
        <v>74</v>
      </c>
      <c r="AO176" s="8">
        <f ca="1">RANK(PlayerGameData[[#This Row],[REB]],PlayerGameData[REB],0)+PlayerGameData[[#This Row],[VisibleOrder]]</f>
        <v>52</v>
      </c>
      <c r="AP176" s="8">
        <f ca="1">IF(COUNTIF(PlayerGameData[REBOrder],PlayerGameData[[#This Row],[REBOrder]])&gt;1,PlayerGameData[[#This Row],[PointRank]]/100+PlayerGameData[[#This Row],[REBOrder]],PlayerGameData[[#This Row],[REBOrder]])</f>
        <v>52.74</v>
      </c>
      <c r="AQ176" s="8">
        <f ca="1">RANK(PlayerGameData[[#This Row],[REBTieBreak]],PlayerGameData[REBTieBreak],1)</f>
        <v>62</v>
      </c>
      <c r="AR176" s="8">
        <f ca="1">RANK(PlayerGameData[[#This Row],[AST]],PlayerGameData[AST],0)+PlayerGameData[[#This Row],[VisibleOrder]]</f>
        <v>115</v>
      </c>
      <c r="AS176" s="8">
        <f ca="1">IF(COUNTIF(PlayerGameData[ASTOrder],PlayerGameData[[#This Row],[ASTOrder]])&gt;1,PlayerGameData[[#This Row],[PointRank]]/100+PlayerGameData[[#This Row],[ASTOrder]],PlayerGameData[[#This Row],[ASTOrder]])</f>
        <v>115.74</v>
      </c>
      <c r="AT176" s="8">
        <f ca="1">RANK(PlayerGameData[[#This Row],[ASTTieBreak]],PlayerGameData[ASTTieBreak],1)</f>
        <v>124</v>
      </c>
      <c r="AU176" s="8">
        <f ca="1">RANK(PlayerGameData[[#This Row],[STL]],PlayerGameData[STL],0)+PlayerGameData[[#This Row],[VisibleOrder]]</f>
        <v>10</v>
      </c>
      <c r="AV176" s="8">
        <f ca="1">IF(COUNTIF(PlayerGameData[STLOrder],PlayerGameData[[#This Row],[STLOrder]])&gt;1,PlayerGameData[[#This Row],[PointRank]]/100+PlayerGameData[[#This Row],[STLOrder]],PlayerGameData[[#This Row],[STLOrder]])</f>
        <v>10.74</v>
      </c>
      <c r="AW176" s="8">
        <f ca="1">RANK(PlayerGameData[[#This Row],[STLTieBreak]],PlayerGameData[STLTieBreak],1)</f>
        <v>21</v>
      </c>
      <c r="AX176" s="8">
        <f ca="1">RANK(PlayerGameData[[#This Row],[BLK]],PlayerGameData[BLK],0)+PlayerGameData[[#This Row],[VisibleOrder]]</f>
        <v>32</v>
      </c>
      <c r="AY176" s="8">
        <f ca="1">IF(COUNTIF(PlayerGameData[BLKOrder],PlayerGameData[[#This Row],[BLKOrder]])&gt;1,PlayerGameData[[#This Row],[PointRank]]/100+PlayerGameData[[#This Row],[BLKOrder]],PlayerGameData[[#This Row],[BLKOrder]])</f>
        <v>32.74</v>
      </c>
      <c r="AZ176" s="8">
        <f ca="1">RANK(PlayerGameData[[#This Row],[BLKTieBreak]],PlayerGameData[BLKTieBreak],1)</f>
        <v>90</v>
      </c>
      <c r="BA176" s="11">
        <f ca="1">IFERROR(IF(PlayerGameData[[#This Row],[FGA]]&gt;$AA$5,PlayerGameData[[#This Row],[FG%*]],PlayerGameData[[#This Row],[FG%*]]*-1),-2)</f>
        <v>0.23076923076923078</v>
      </c>
      <c r="BB176" s="8">
        <f ca="1">RANK(PlayerGameData[[#This Row],[EligFG]],PlayerGameData[EligFG],0)+PlayerGameData[[#This Row],[VisibleOrder]]</f>
        <v>104</v>
      </c>
      <c r="BC176" s="8">
        <f ca="1">IF(COUNTIF(PlayerGameData[EligFGOrder],PlayerGameData[[#This Row],[EligFGOrder]])&gt;1,PlayerGameData[[#This Row],[PointRank]]/100+PlayerGameData[[#This Row],[EligFGOrder]],PlayerGameData[[#This Row],[EligFGOrder]])</f>
        <v>104</v>
      </c>
      <c r="BD176" s="8">
        <f ca="1">RANK(PlayerGameData[[#This Row],[EligFGTieBreak]],PlayerGameData[EligFGTieBreak],1)</f>
        <v>103</v>
      </c>
      <c r="BE176" s="8" t="str">
        <f>Roster!$D$3</f>
        <v>East</v>
      </c>
      <c r="BF176" s="8" t="str">
        <f>Roster!$D$2</f>
        <v>Northeast</v>
      </c>
      <c r="BG176" s="8" t="str">
        <f>Roster!$D$4</f>
        <v>North</v>
      </c>
      <c r="BH176" s="197">
        <f ca="1">IFERROR(VLOOKUP(CONCATENATE(PlayerGameData[[#This Row],[Opponent]]," ",MONTH(PlayerGameData[[#This Row],[Date]]),"/",DAY(PlayerGameData[[#This Row],[Date]]),"/",YEAR(PlayerGameData[[#This Row],[Date]])),Table35[],2,FALSE),0)</f>
        <v>1</v>
      </c>
      <c r="BI176" s="197">
        <f ca="1">IF(PlayerGameData[[#This Row],[Visible]]=1,1,1000)</f>
        <v>1</v>
      </c>
      <c r="BJ176" s="197" t="e">
        <f ca="1">_xlfn.MAXIFS(TeamGameData[Win],TeamGameData[School, Opponent,Game'#],PlayerGameData[[#This Row],[School, Opponent,Game'#]])</f>
        <v>#NAME?</v>
      </c>
      <c r="BK176" s="197" t="e">
        <f ca="1">_xlfn.MAXIFS(TeamGameData[Loss],TeamGameData[School, Opponent,Game'#],PlayerGameData[[#This Row],[School, Opponent,Game'#]])</f>
        <v>#NAME?</v>
      </c>
    </row>
    <row r="177" spans="1:63" x14ac:dyDescent="0.25">
      <c r="A177" s="8" t="str">
        <f t="shared" ca="1" si="93"/>
        <v>Chase Mills, 5</v>
      </c>
      <c r="B177" s="8" t="str">
        <f>Roster!$B$1</f>
        <v>Upton</v>
      </c>
      <c r="C177" s="8" t="str">
        <f t="shared" ca="1" si="81"/>
        <v>New Underwood, SD</v>
      </c>
      <c r="D177" s="10">
        <f t="shared" ca="1" si="82"/>
        <v>44938</v>
      </c>
      <c r="E177" s="8">
        <f t="shared" ca="1" si="83"/>
        <v>1</v>
      </c>
      <c r="F177" s="8">
        <f t="shared" ca="1" si="84"/>
        <v>1</v>
      </c>
      <c r="G177" s="8">
        <f t="shared" ca="1" si="85"/>
        <v>29</v>
      </c>
      <c r="H177" s="8">
        <f t="shared" ca="1" si="86"/>
        <v>0</v>
      </c>
      <c r="I177" s="8">
        <f t="shared" ca="1" si="87"/>
        <v>4</v>
      </c>
      <c r="J177" s="8">
        <f t="shared" ca="1" si="88"/>
        <v>4</v>
      </c>
      <c r="K177" s="8">
        <f t="shared" ca="1" si="89"/>
        <v>8</v>
      </c>
      <c r="L177" s="8">
        <f t="shared" ca="1" si="94"/>
        <v>2</v>
      </c>
      <c r="M177" s="8">
        <f t="shared" ca="1" si="95"/>
        <v>4</v>
      </c>
      <c r="N177" s="8">
        <f t="shared" ca="1" si="96"/>
        <v>3</v>
      </c>
      <c r="O177" s="8">
        <f t="shared" ca="1" si="97"/>
        <v>3</v>
      </c>
      <c r="P177" s="8">
        <f t="shared" ca="1" si="98"/>
        <v>3</v>
      </c>
      <c r="Q177" s="8">
        <f t="shared" ca="1" si="99"/>
        <v>3</v>
      </c>
      <c r="R177" s="8">
        <f t="shared" ca="1" si="100"/>
        <v>0</v>
      </c>
      <c r="S177" s="8">
        <f t="shared" ca="1" si="101"/>
        <v>2</v>
      </c>
      <c r="T177" s="8">
        <f t="shared" ca="1" si="102"/>
        <v>2</v>
      </c>
      <c r="U177" s="8">
        <f t="shared" ca="1" si="103"/>
        <v>0</v>
      </c>
      <c r="V177" s="8">
        <f t="shared" ca="1" si="104"/>
        <v>10</v>
      </c>
      <c r="W177" s="11">
        <f t="shared" ca="1" si="105"/>
        <v>0</v>
      </c>
      <c r="X177" s="11">
        <f t="shared" ca="1" si="106"/>
        <v>0.5</v>
      </c>
      <c r="Y177" s="11">
        <f t="shared" ca="1" si="107"/>
        <v>0.5</v>
      </c>
      <c r="Z177" s="11">
        <f t="shared" ca="1" si="108"/>
        <v>0.33333333333333331</v>
      </c>
      <c r="AA177" s="11">
        <f t="shared" ca="1" si="109"/>
        <v>0.33333333333333331</v>
      </c>
      <c r="AB177" s="47">
        <f ca="1">PlayerGameData[[#This Row],[3FGA]]+PlayerGameData[[#This Row],[2FGA]]</f>
        <v>12</v>
      </c>
      <c r="AC177" s="47">
        <f ca="1">PlayerGameData[[#This Row],[OFF REB]]+PlayerGameData[[#This Row],[DEF REB]]</f>
        <v>6</v>
      </c>
      <c r="AD177" s="8">
        <f t="shared" si="90"/>
        <v>8</v>
      </c>
      <c r="AE177" s="8" t="str">
        <f t="shared" ca="1" si="91"/>
        <v>Chase Mills, 5 - New Underwood, SD 1/12/2023</v>
      </c>
      <c r="AF177" s="8" t="str">
        <f t="shared" ca="1" si="110"/>
        <v/>
      </c>
      <c r="AG177" s="8" t="str">
        <f ca="1">IFERROR(IF(C177=0,"",IF(AND(VLOOKUP(PlayerGameData[[#This Row],[Opponent]],WYTeamInfo,2,FALSE)=Roster!$D$1,VLOOKUP(PlayerGameData[[#This Row],[Opponent]],WYTeamInfo,3,FALSE)=Roster!$D$2),"SR","")),"")</f>
        <v/>
      </c>
      <c r="AH177" s="8" t="str">
        <f>CONCATENATE(Roster!$D$1," ",Roster!$D$5)</f>
        <v>1A BB</v>
      </c>
      <c r="AI177" s="8" t="str">
        <f t="shared" ca="1" si="92"/>
        <v>Upton - New Underwood, SD 1/12/2023</v>
      </c>
      <c r="AJ177" s="8">
        <f ca="1">IFERROR(VLOOKUP(PlayerGameData[[#This Row],[School, Opponent,Game'#]],Table3[],2,FALSE),0)</f>
        <v>1</v>
      </c>
      <c r="AK177" s="8">
        <f ca="1">IF(PlayerGameData[[#This Row],[Visible]]=1,1,1000)</f>
        <v>1</v>
      </c>
      <c r="AL177" s="8">
        <f ca="1">RANK(PlayerGameData[[#This Row],[TL PTS]],PlayerGameData[TL PTS],0)+PlayerGameData[[#This Row],[VisibleOrder]]</f>
        <v>66</v>
      </c>
      <c r="AM177" s="8">
        <f ca="1">IF(COUNTIF(PlayerGameData[PointOrder],PlayerGameData[[#This Row],[PointOrder]])&gt;1,RANK(PlayerGameData[[#This Row],[FGA]],PlayerGameData[FGA],0)/100,0)+PlayerGameData[[#This Row],[PointOrder]]</f>
        <v>66.25</v>
      </c>
      <c r="AN177" s="8">
        <f ca="1">RANK(PlayerGameData[[#This Row],[PointTieBreak]],PlayerGameData[PointTieBreak],1)</f>
        <v>66</v>
      </c>
      <c r="AO177" s="8">
        <f ca="1">RANK(PlayerGameData[[#This Row],[REB]],PlayerGameData[REB],0)+PlayerGameData[[#This Row],[VisibleOrder]]</f>
        <v>38</v>
      </c>
      <c r="AP177" s="8">
        <f ca="1">IF(COUNTIF(PlayerGameData[REBOrder],PlayerGameData[[#This Row],[REBOrder]])&gt;1,PlayerGameData[[#This Row],[PointRank]]/100+PlayerGameData[[#This Row],[REBOrder]],PlayerGameData[[#This Row],[REBOrder]])</f>
        <v>38.659999999999997</v>
      </c>
      <c r="AQ177" s="8">
        <f ca="1">RANK(PlayerGameData[[#This Row],[REBTieBreak]],PlayerGameData[REBTieBreak],1)</f>
        <v>42</v>
      </c>
      <c r="AR177" s="8">
        <f ca="1">RANK(PlayerGameData[[#This Row],[AST]],PlayerGameData[AST],0)+PlayerGameData[[#This Row],[VisibleOrder]]</f>
        <v>39</v>
      </c>
      <c r="AS177" s="8">
        <f ca="1">IF(COUNTIF(PlayerGameData[ASTOrder],PlayerGameData[[#This Row],[ASTOrder]])&gt;1,PlayerGameData[[#This Row],[PointRank]]/100+PlayerGameData[[#This Row],[ASTOrder]],PlayerGameData[[#This Row],[ASTOrder]])</f>
        <v>39.659999999999997</v>
      </c>
      <c r="AT177" s="8">
        <f ca="1">RANK(PlayerGameData[[#This Row],[ASTTieBreak]],PlayerGameData[ASTTieBreak],1)</f>
        <v>48</v>
      </c>
      <c r="AU177" s="8">
        <f ca="1">RANK(PlayerGameData[[#This Row],[STL]],PlayerGameData[STL],0)+PlayerGameData[[#This Row],[VisibleOrder]]</f>
        <v>26</v>
      </c>
      <c r="AV177" s="8">
        <f ca="1">IF(COUNTIF(PlayerGameData[STLOrder],PlayerGameData[[#This Row],[STLOrder]])&gt;1,PlayerGameData[[#This Row],[PointRank]]/100+PlayerGameData[[#This Row],[STLOrder]],PlayerGameData[[#This Row],[STLOrder]])</f>
        <v>26.66</v>
      </c>
      <c r="AW177" s="8">
        <f ca="1">RANK(PlayerGameData[[#This Row],[STLTieBreak]],PlayerGameData[STLTieBreak],1)</f>
        <v>36</v>
      </c>
      <c r="AX177" s="8">
        <f ca="1">RANK(PlayerGameData[[#This Row],[BLK]],PlayerGameData[BLK],0)+PlayerGameData[[#This Row],[VisibleOrder]]</f>
        <v>32</v>
      </c>
      <c r="AY177" s="8">
        <f ca="1">IF(COUNTIF(PlayerGameData[BLKOrder],PlayerGameData[[#This Row],[BLKOrder]])&gt;1,PlayerGameData[[#This Row],[PointRank]]/100+PlayerGameData[[#This Row],[BLKOrder]],PlayerGameData[[#This Row],[BLKOrder]])</f>
        <v>32.659999999999997</v>
      </c>
      <c r="AZ177" s="8">
        <f ca="1">RANK(PlayerGameData[[#This Row],[BLKTieBreak]],PlayerGameData[BLKTieBreak],1)</f>
        <v>83</v>
      </c>
      <c r="BA177" s="11">
        <f ca="1">IFERROR(IF(PlayerGameData[[#This Row],[FGA]]&gt;$AA$5,PlayerGameData[[#This Row],[FG%*]],PlayerGameData[[#This Row],[FG%*]]*-1),-2)</f>
        <v>0.33333333333333331</v>
      </c>
      <c r="BB177" s="8">
        <f ca="1">RANK(PlayerGameData[[#This Row],[EligFG]],PlayerGameData[EligFG],0)+PlayerGameData[[#This Row],[VisibleOrder]]</f>
        <v>80</v>
      </c>
      <c r="BC177" s="8">
        <f ca="1">IF(COUNTIF(PlayerGameData[EligFGOrder],PlayerGameData[[#This Row],[EligFGOrder]])&gt;1,PlayerGameData[[#This Row],[PointRank]]/100+PlayerGameData[[#This Row],[EligFGOrder]],PlayerGameData[[#This Row],[EligFGOrder]])</f>
        <v>80.66</v>
      </c>
      <c r="BD177" s="8">
        <f ca="1">RANK(PlayerGameData[[#This Row],[EligFGTieBreak]],PlayerGameData[EligFGTieBreak],1)</f>
        <v>79</v>
      </c>
      <c r="BE177" s="8" t="str">
        <f>Roster!$D$3</f>
        <v>East</v>
      </c>
      <c r="BF177" s="8" t="str">
        <f>Roster!$D$2</f>
        <v>Northeast</v>
      </c>
      <c r="BG177" s="8" t="str">
        <f>Roster!$D$4</f>
        <v>North</v>
      </c>
      <c r="BH177" s="197">
        <f ca="1">IFERROR(VLOOKUP(CONCATENATE(PlayerGameData[[#This Row],[Opponent]]," ",MONTH(PlayerGameData[[#This Row],[Date]]),"/",DAY(PlayerGameData[[#This Row],[Date]]),"/",YEAR(PlayerGameData[[#This Row],[Date]])),Table35[],2,FALSE),0)</f>
        <v>1</v>
      </c>
      <c r="BI177" s="197">
        <f ca="1">IF(PlayerGameData[[#This Row],[Visible]]=1,1,1000)</f>
        <v>1</v>
      </c>
      <c r="BJ177" s="197" t="e">
        <f ca="1">_xlfn.MAXIFS(TeamGameData[Win],TeamGameData[School, Opponent,Game'#],PlayerGameData[[#This Row],[School, Opponent,Game'#]])</f>
        <v>#NAME?</v>
      </c>
      <c r="BK177" s="197" t="e">
        <f ca="1">_xlfn.MAXIFS(TeamGameData[Loss],TeamGameData[School, Opponent,Game'#],PlayerGameData[[#This Row],[School, Opponent,Game'#]])</f>
        <v>#NAME?</v>
      </c>
    </row>
    <row r="178" spans="1:63" x14ac:dyDescent="0.25">
      <c r="A178" s="8" t="str">
        <f t="shared" ca="1" si="93"/>
        <v>Rhett Watt, 10</v>
      </c>
      <c r="B178" s="8" t="str">
        <f>Roster!$B$1</f>
        <v>Upton</v>
      </c>
      <c r="C178" s="8" t="str">
        <f t="shared" ca="1" si="81"/>
        <v>New Underwood, SD</v>
      </c>
      <c r="D178" s="10">
        <f t="shared" ca="1" si="82"/>
        <v>44938</v>
      </c>
      <c r="E178" s="8">
        <f t="shared" ca="1" si="83"/>
        <v>1</v>
      </c>
      <c r="F178" s="8">
        <f t="shared" ca="1" si="84"/>
        <v>1</v>
      </c>
      <c r="G178" s="8">
        <f t="shared" ca="1" si="85"/>
        <v>26</v>
      </c>
      <c r="H178" s="8">
        <f t="shared" ca="1" si="86"/>
        <v>0</v>
      </c>
      <c r="I178" s="8">
        <f t="shared" ca="1" si="87"/>
        <v>7</v>
      </c>
      <c r="J178" s="8">
        <f t="shared" ca="1" si="88"/>
        <v>0</v>
      </c>
      <c r="K178" s="8">
        <f t="shared" ca="1" si="89"/>
        <v>1</v>
      </c>
      <c r="L178" s="8">
        <f t="shared" ca="1" si="94"/>
        <v>0</v>
      </c>
      <c r="M178" s="8">
        <f t="shared" ca="1" si="95"/>
        <v>0</v>
      </c>
      <c r="N178" s="8">
        <f t="shared" ca="1" si="96"/>
        <v>0</v>
      </c>
      <c r="O178" s="8">
        <f t="shared" ca="1" si="97"/>
        <v>5</v>
      </c>
      <c r="P178" s="8">
        <f t="shared" ca="1" si="98"/>
        <v>0</v>
      </c>
      <c r="Q178" s="8">
        <f t="shared" ca="1" si="99"/>
        <v>1</v>
      </c>
      <c r="R178" s="8">
        <f t="shared" ca="1" si="100"/>
        <v>0</v>
      </c>
      <c r="S178" s="8">
        <f t="shared" ca="1" si="101"/>
        <v>0</v>
      </c>
      <c r="T178" s="8">
        <f t="shared" ca="1" si="102"/>
        <v>1</v>
      </c>
      <c r="U178" s="8">
        <f t="shared" ca="1" si="103"/>
        <v>0</v>
      </c>
      <c r="V178" s="8">
        <f t="shared" ca="1" si="104"/>
        <v>0</v>
      </c>
      <c r="W178" s="11">
        <f t="shared" ca="1" si="105"/>
        <v>0</v>
      </c>
      <c r="X178" s="11">
        <f t="shared" ca="1" si="106"/>
        <v>0</v>
      </c>
      <c r="Y178" s="11" t="str">
        <f t="shared" ca="1" si="107"/>
        <v/>
      </c>
      <c r="Z178" s="11">
        <f t="shared" ca="1" si="108"/>
        <v>0</v>
      </c>
      <c r="AA178" s="11">
        <f t="shared" ca="1" si="109"/>
        <v>0</v>
      </c>
      <c r="AB178" s="47">
        <f ca="1">PlayerGameData[[#This Row],[3FGA]]+PlayerGameData[[#This Row],[2FGA]]</f>
        <v>8</v>
      </c>
      <c r="AC178" s="47">
        <f ca="1">PlayerGameData[[#This Row],[OFF REB]]+PlayerGameData[[#This Row],[DEF REB]]</f>
        <v>5</v>
      </c>
      <c r="AD178" s="8">
        <f t="shared" si="90"/>
        <v>8</v>
      </c>
      <c r="AE178" s="8" t="str">
        <f t="shared" ca="1" si="91"/>
        <v>Rhett Watt, 10 - New Underwood, SD 1/12/2023</v>
      </c>
      <c r="AF178" s="8" t="str">
        <f t="shared" ca="1" si="110"/>
        <v/>
      </c>
      <c r="AG178" s="8" t="str">
        <f ca="1">IFERROR(IF(C178=0,"",IF(AND(VLOOKUP(PlayerGameData[[#This Row],[Opponent]],WYTeamInfo,2,FALSE)=Roster!$D$1,VLOOKUP(PlayerGameData[[#This Row],[Opponent]],WYTeamInfo,3,FALSE)=Roster!$D$2),"SR","")),"")</f>
        <v/>
      </c>
      <c r="AH178" s="8" t="str">
        <f>CONCATENATE(Roster!$D$1," ",Roster!$D$5)</f>
        <v>1A BB</v>
      </c>
      <c r="AI178" s="8" t="str">
        <f t="shared" ca="1" si="92"/>
        <v>Upton - New Underwood, SD 1/12/2023</v>
      </c>
      <c r="AJ178" s="8">
        <f ca="1">IFERROR(VLOOKUP(PlayerGameData[[#This Row],[School, Opponent,Game'#]],Table3[],2,FALSE),0)</f>
        <v>1</v>
      </c>
      <c r="AK178" s="8">
        <f ca="1">IF(PlayerGameData[[#This Row],[Visible]]=1,1,1000)</f>
        <v>1</v>
      </c>
      <c r="AL178" s="8">
        <f ca="1">RANK(PlayerGameData[[#This Row],[TL PTS]],PlayerGameData[TL PTS],0)+PlayerGameData[[#This Row],[VisibleOrder]]</f>
        <v>185</v>
      </c>
      <c r="AM178" s="8">
        <f ca="1">IF(COUNTIF(PlayerGameData[PointOrder],PlayerGameData[[#This Row],[PointOrder]])&gt;1,RANK(PlayerGameData[[#This Row],[FGA]],PlayerGameData[FGA],0)/100,0)+PlayerGameData[[#This Row],[PointOrder]]</f>
        <v>185.76</v>
      </c>
      <c r="AN178" s="8">
        <f ca="1">RANK(PlayerGameData[[#This Row],[PointTieBreak]],PlayerGameData[PointTieBreak],1)</f>
        <v>184</v>
      </c>
      <c r="AO178" s="8">
        <f ca="1">RANK(PlayerGameData[[#This Row],[REB]],PlayerGameData[REB],0)+PlayerGameData[[#This Row],[VisibleOrder]]</f>
        <v>52</v>
      </c>
      <c r="AP178" s="8">
        <f ca="1">IF(COUNTIF(PlayerGameData[REBOrder],PlayerGameData[[#This Row],[REBOrder]])&gt;1,PlayerGameData[[#This Row],[PointRank]]/100+PlayerGameData[[#This Row],[REBOrder]],PlayerGameData[[#This Row],[REBOrder]])</f>
        <v>53.84</v>
      </c>
      <c r="AQ178" s="8">
        <f ca="1">RANK(PlayerGameData[[#This Row],[REBTieBreak]],PlayerGameData[REBTieBreak],1)</f>
        <v>74</v>
      </c>
      <c r="AR178" s="8">
        <f ca="1">RANK(PlayerGameData[[#This Row],[AST]],PlayerGameData[AST],0)+PlayerGameData[[#This Row],[VisibleOrder]]</f>
        <v>158</v>
      </c>
      <c r="AS178" s="8">
        <f ca="1">IF(COUNTIF(PlayerGameData[ASTOrder],PlayerGameData[[#This Row],[ASTOrder]])&gt;1,PlayerGameData[[#This Row],[PointRank]]/100+PlayerGameData[[#This Row],[ASTOrder]],PlayerGameData[[#This Row],[ASTOrder]])</f>
        <v>159.84</v>
      </c>
      <c r="AT178" s="8">
        <f ca="1">RANK(PlayerGameData[[#This Row],[ASTTieBreak]],PlayerGameData[ASTTieBreak],1)</f>
        <v>200</v>
      </c>
      <c r="AU178" s="8">
        <f ca="1">RANK(PlayerGameData[[#This Row],[STL]],PlayerGameData[STL],0)+PlayerGameData[[#This Row],[VisibleOrder]]</f>
        <v>84</v>
      </c>
      <c r="AV178" s="8">
        <f ca="1">IF(COUNTIF(PlayerGameData[STLOrder],PlayerGameData[[#This Row],[STLOrder]])&gt;1,PlayerGameData[[#This Row],[PointRank]]/100+PlayerGameData[[#This Row],[STLOrder]],PlayerGameData[[#This Row],[STLOrder]])</f>
        <v>85.84</v>
      </c>
      <c r="AW178" s="8">
        <f ca="1">RANK(PlayerGameData[[#This Row],[STLTieBreak]],PlayerGameData[STLTieBreak],1)</f>
        <v>134</v>
      </c>
      <c r="AX178" s="8">
        <f ca="1">RANK(PlayerGameData[[#This Row],[BLK]],PlayerGameData[BLK],0)+PlayerGameData[[#This Row],[VisibleOrder]]</f>
        <v>32</v>
      </c>
      <c r="AY178" s="8">
        <f ca="1">IF(COUNTIF(PlayerGameData[BLKOrder],PlayerGameData[[#This Row],[BLKOrder]])&gt;1,PlayerGameData[[#This Row],[PointRank]]/100+PlayerGameData[[#This Row],[BLKOrder]],PlayerGameData[[#This Row],[BLKOrder]])</f>
        <v>33.840000000000003</v>
      </c>
      <c r="AZ178" s="8">
        <f ca="1">RANK(PlayerGameData[[#This Row],[BLKTieBreak]],PlayerGameData[BLKTieBreak],1)</f>
        <v>185</v>
      </c>
      <c r="BA178" s="11">
        <f ca="1">IFERROR(IF(PlayerGameData[[#This Row],[FGA]]&gt;$AA$5,PlayerGameData[[#This Row],[FG%*]],PlayerGameData[[#This Row],[FG%*]]*-1),-2)</f>
        <v>0</v>
      </c>
      <c r="BB178" s="8">
        <f ca="1">RANK(PlayerGameData[[#This Row],[EligFG]],PlayerGameData[EligFG],0)+PlayerGameData[[#This Row],[VisibleOrder]]</f>
        <v>117</v>
      </c>
      <c r="BC178" s="8">
        <f ca="1">IF(COUNTIF(PlayerGameData[EligFGOrder],PlayerGameData[[#This Row],[EligFGOrder]])&gt;1,PlayerGameData[[#This Row],[PointRank]]/100+PlayerGameData[[#This Row],[EligFGOrder]],PlayerGameData[[#This Row],[EligFGOrder]])</f>
        <v>118.84</v>
      </c>
      <c r="BD178" s="8">
        <f ca="1">RANK(PlayerGameData[[#This Row],[EligFGTieBreak]],PlayerGameData[EligFGTieBreak],1)</f>
        <v>126</v>
      </c>
      <c r="BE178" s="8" t="str">
        <f>Roster!$D$3</f>
        <v>East</v>
      </c>
      <c r="BF178" s="8" t="str">
        <f>Roster!$D$2</f>
        <v>Northeast</v>
      </c>
      <c r="BG178" s="8" t="str">
        <f>Roster!$D$4</f>
        <v>North</v>
      </c>
      <c r="BH178" s="197">
        <f ca="1">IFERROR(VLOOKUP(CONCATENATE(PlayerGameData[[#This Row],[Opponent]]," ",MONTH(PlayerGameData[[#This Row],[Date]]),"/",DAY(PlayerGameData[[#This Row],[Date]]),"/",YEAR(PlayerGameData[[#This Row],[Date]])),Table35[],2,FALSE),0)</f>
        <v>1</v>
      </c>
      <c r="BI178" s="197">
        <f ca="1">IF(PlayerGameData[[#This Row],[Visible]]=1,1,1000)</f>
        <v>1</v>
      </c>
      <c r="BJ178" s="197" t="e">
        <f ca="1">_xlfn.MAXIFS(TeamGameData[Win],TeamGameData[School, Opponent,Game'#],PlayerGameData[[#This Row],[School, Opponent,Game'#]])</f>
        <v>#NAME?</v>
      </c>
      <c r="BK178" s="197" t="e">
        <f ca="1">_xlfn.MAXIFS(TeamGameData[Loss],TeamGameData[School, Opponent,Game'#],PlayerGameData[[#This Row],[School, Opponent,Game'#]])</f>
        <v>#NAME?</v>
      </c>
    </row>
    <row r="179" spans="1:63" x14ac:dyDescent="0.25">
      <c r="A179" s="8" t="str">
        <f t="shared" ca="1" si="93"/>
        <v>Keith Coburn, 11</v>
      </c>
      <c r="B179" s="8" t="str">
        <f>Roster!$B$1</f>
        <v>Upton</v>
      </c>
      <c r="C179" s="8" t="str">
        <f t="shared" ca="1" si="81"/>
        <v>New Underwood, SD</v>
      </c>
      <c r="D179" s="10">
        <f t="shared" ca="1" si="82"/>
        <v>44938</v>
      </c>
      <c r="E179" s="8">
        <f t="shared" ca="1" si="83"/>
        <v>0</v>
      </c>
      <c r="F179" s="8">
        <f t="shared" ca="1" si="84"/>
        <v>0</v>
      </c>
      <c r="G179" s="8">
        <f t="shared" ca="1" si="85"/>
        <v>0</v>
      </c>
      <c r="H179" s="8">
        <f t="shared" ca="1" si="86"/>
        <v>0</v>
      </c>
      <c r="I179" s="8">
        <f t="shared" ca="1" si="87"/>
        <v>0</v>
      </c>
      <c r="J179" s="8">
        <f t="shared" ca="1" si="88"/>
        <v>0</v>
      </c>
      <c r="K179" s="8">
        <f t="shared" ca="1" si="89"/>
        <v>0</v>
      </c>
      <c r="L179" s="8">
        <f t="shared" ca="1" si="94"/>
        <v>0</v>
      </c>
      <c r="M179" s="8">
        <f t="shared" ca="1" si="95"/>
        <v>0</v>
      </c>
      <c r="N179" s="8">
        <f t="shared" ca="1" si="96"/>
        <v>0</v>
      </c>
      <c r="O179" s="8">
        <f t="shared" ca="1" si="97"/>
        <v>0</v>
      </c>
      <c r="P179" s="8">
        <f t="shared" ca="1" si="98"/>
        <v>0</v>
      </c>
      <c r="Q179" s="8">
        <f t="shared" ca="1" si="99"/>
        <v>0</v>
      </c>
      <c r="R179" s="8">
        <f t="shared" ca="1" si="100"/>
        <v>0</v>
      </c>
      <c r="S179" s="8">
        <f t="shared" ca="1" si="101"/>
        <v>0</v>
      </c>
      <c r="T179" s="8">
        <f t="shared" ca="1" si="102"/>
        <v>0</v>
      </c>
      <c r="U179" s="8">
        <f t="shared" ca="1" si="103"/>
        <v>0</v>
      </c>
      <c r="V179" s="8">
        <f t="shared" ca="1" si="104"/>
        <v>0</v>
      </c>
      <c r="W179" s="11" t="str">
        <f t="shared" ca="1" si="105"/>
        <v/>
      </c>
      <c r="X179" s="11" t="str">
        <f t="shared" ca="1" si="106"/>
        <v/>
      </c>
      <c r="Y179" s="11" t="str">
        <f t="shared" ca="1" si="107"/>
        <v/>
      </c>
      <c r="Z179" s="11" t="str">
        <f t="shared" ca="1" si="108"/>
        <v/>
      </c>
      <c r="AA179" s="11" t="str">
        <f t="shared" ca="1" si="109"/>
        <v/>
      </c>
      <c r="AB179" s="47">
        <f ca="1">PlayerGameData[[#This Row],[3FGA]]+PlayerGameData[[#This Row],[2FGA]]</f>
        <v>0</v>
      </c>
      <c r="AC179" s="47">
        <f ca="1">PlayerGameData[[#This Row],[OFF REB]]+PlayerGameData[[#This Row],[DEF REB]]</f>
        <v>0</v>
      </c>
      <c r="AD179" s="8">
        <f t="shared" si="90"/>
        <v>8</v>
      </c>
      <c r="AE179" s="8" t="str">
        <f t="shared" ca="1" si="91"/>
        <v>Keith Coburn, 11 - New Underwood, SD 1/12/2023</v>
      </c>
      <c r="AF179" s="8" t="str">
        <f t="shared" ca="1" si="110"/>
        <v/>
      </c>
      <c r="AG179" s="8" t="str">
        <f ca="1">IFERROR(IF(C179=0,"",IF(AND(VLOOKUP(PlayerGameData[[#This Row],[Opponent]],WYTeamInfo,2,FALSE)=Roster!$D$1,VLOOKUP(PlayerGameData[[#This Row],[Opponent]],WYTeamInfo,3,FALSE)=Roster!$D$2),"SR","")),"")</f>
        <v/>
      </c>
      <c r="AH179" s="8" t="str">
        <f>CONCATENATE(Roster!$D$1," ",Roster!$D$5)</f>
        <v>1A BB</v>
      </c>
      <c r="AI179" s="8" t="str">
        <f t="shared" ca="1" si="92"/>
        <v>Upton - New Underwood, SD 1/12/2023</v>
      </c>
      <c r="AJ179" s="8">
        <f ca="1">IFERROR(VLOOKUP(PlayerGameData[[#This Row],[School, Opponent,Game'#]],Table3[],2,FALSE),0)</f>
        <v>1</v>
      </c>
      <c r="AK179" s="8">
        <f ca="1">IF(PlayerGameData[[#This Row],[Visible]]=1,1,1000)</f>
        <v>1</v>
      </c>
      <c r="AL179" s="8">
        <f ca="1">RANK(PlayerGameData[[#This Row],[TL PTS]],PlayerGameData[TL PTS],0)+PlayerGameData[[#This Row],[VisibleOrder]]</f>
        <v>185</v>
      </c>
      <c r="AM179" s="8">
        <f ca="1">IF(COUNTIF(PlayerGameData[PointOrder],PlayerGameData[[#This Row],[PointOrder]])&gt;1,RANK(PlayerGameData[[#This Row],[FGA]],PlayerGameData[FGA],0)/100,0)+PlayerGameData[[#This Row],[PointOrder]]</f>
        <v>187.14</v>
      </c>
      <c r="AN179" s="8">
        <f ca="1">RANK(PlayerGameData[[#This Row],[PointTieBreak]],PlayerGameData[PointTieBreak],1)</f>
        <v>216</v>
      </c>
      <c r="AO179" s="8">
        <f ca="1">RANK(PlayerGameData[[#This Row],[REB]],PlayerGameData[REB],0)+PlayerGameData[[#This Row],[VisibleOrder]]</f>
        <v>192</v>
      </c>
      <c r="AP179" s="8">
        <f ca="1">IF(COUNTIF(PlayerGameData[REBOrder],PlayerGameData[[#This Row],[REBOrder]])&gt;1,PlayerGameData[[#This Row],[PointRank]]/100+PlayerGameData[[#This Row],[REBOrder]],PlayerGameData[[#This Row],[REBOrder]])</f>
        <v>194.16</v>
      </c>
      <c r="AQ179" s="8">
        <f ca="1">RANK(PlayerGameData[[#This Row],[REBTieBreak]],PlayerGameData[REBTieBreak],1)</f>
        <v>224</v>
      </c>
      <c r="AR179" s="8">
        <f ca="1">RANK(PlayerGameData[[#This Row],[AST]],PlayerGameData[AST],0)+PlayerGameData[[#This Row],[VisibleOrder]]</f>
        <v>158</v>
      </c>
      <c r="AS179" s="8">
        <f ca="1">IF(COUNTIF(PlayerGameData[ASTOrder],PlayerGameData[[#This Row],[ASTOrder]])&gt;1,PlayerGameData[[#This Row],[PointRank]]/100+PlayerGameData[[#This Row],[ASTOrder]],PlayerGameData[[#This Row],[ASTOrder]])</f>
        <v>160.16</v>
      </c>
      <c r="AT179" s="8">
        <f ca="1">RANK(PlayerGameData[[#This Row],[ASTTieBreak]],PlayerGameData[ASTTieBreak],1)</f>
        <v>221</v>
      </c>
      <c r="AU179" s="8">
        <f ca="1">RANK(PlayerGameData[[#This Row],[STL]],PlayerGameData[STL],0)+PlayerGameData[[#This Row],[VisibleOrder]]</f>
        <v>143</v>
      </c>
      <c r="AV179" s="8">
        <f ca="1">IF(COUNTIF(PlayerGameData[STLOrder],PlayerGameData[[#This Row],[STLOrder]])&gt;1,PlayerGameData[[#This Row],[PointRank]]/100+PlayerGameData[[#This Row],[STLOrder]],PlayerGameData[[#This Row],[STLOrder]])</f>
        <v>145.16</v>
      </c>
      <c r="AW179" s="8">
        <f ca="1">RANK(PlayerGameData[[#This Row],[STLTieBreak]],PlayerGameData[STLTieBreak],1)</f>
        <v>217</v>
      </c>
      <c r="AX179" s="8">
        <f ca="1">RANK(PlayerGameData[[#This Row],[BLK]],PlayerGameData[BLK],0)+PlayerGameData[[#This Row],[VisibleOrder]]</f>
        <v>32</v>
      </c>
      <c r="AY179" s="8">
        <f ca="1">IF(COUNTIF(PlayerGameData[BLKOrder],PlayerGameData[[#This Row],[BLKOrder]])&gt;1,PlayerGameData[[#This Row],[PointRank]]/100+PlayerGameData[[#This Row],[BLKOrder]],PlayerGameData[[#This Row],[BLKOrder]])</f>
        <v>34.159999999999997</v>
      </c>
      <c r="AZ179" s="8">
        <f ca="1">RANK(PlayerGameData[[#This Row],[BLKTieBreak]],PlayerGameData[BLKTieBreak],1)</f>
        <v>216</v>
      </c>
      <c r="BA179" s="11">
        <f ca="1">IFERROR(IF(PlayerGameData[[#This Row],[FGA]]&gt;$AA$5,PlayerGameData[[#This Row],[FG%*]],PlayerGameData[[#This Row],[FG%*]]*-1),-2)</f>
        <v>-2</v>
      </c>
      <c r="BB179" s="8">
        <f ca="1">RANK(PlayerGameData[[#This Row],[EligFG]],PlayerGameData[EligFG],0)+PlayerGameData[[#This Row],[VisibleOrder]]</f>
        <v>215</v>
      </c>
      <c r="BC179" s="8">
        <f ca="1">IF(COUNTIF(PlayerGameData[EligFGOrder],PlayerGameData[[#This Row],[EligFGOrder]])&gt;1,PlayerGameData[[#This Row],[PointRank]]/100+PlayerGameData[[#This Row],[EligFGOrder]],PlayerGameData[[#This Row],[EligFGOrder]])</f>
        <v>217.16</v>
      </c>
      <c r="BD179" s="8">
        <f ca="1">RANK(PlayerGameData[[#This Row],[EligFGTieBreak]],PlayerGameData[EligFGTieBreak],1)</f>
        <v>216</v>
      </c>
      <c r="BE179" s="8" t="str">
        <f>Roster!$D$3</f>
        <v>East</v>
      </c>
      <c r="BF179" s="8" t="str">
        <f>Roster!$D$2</f>
        <v>Northeast</v>
      </c>
      <c r="BG179" s="8" t="str">
        <f>Roster!$D$4</f>
        <v>North</v>
      </c>
      <c r="BH179" s="197">
        <f ca="1">IFERROR(VLOOKUP(CONCATENATE(PlayerGameData[[#This Row],[Opponent]]," ",MONTH(PlayerGameData[[#This Row],[Date]]),"/",DAY(PlayerGameData[[#This Row],[Date]]),"/",YEAR(PlayerGameData[[#This Row],[Date]])),Table35[],2,FALSE),0)</f>
        <v>1</v>
      </c>
      <c r="BI179" s="197">
        <f ca="1">IF(PlayerGameData[[#This Row],[Visible]]=1,1,1000)</f>
        <v>1</v>
      </c>
      <c r="BJ179" s="197" t="e">
        <f ca="1">_xlfn.MAXIFS(TeamGameData[Win],TeamGameData[School, Opponent,Game'#],PlayerGameData[[#This Row],[School, Opponent,Game'#]])</f>
        <v>#NAME?</v>
      </c>
      <c r="BK179" s="197" t="e">
        <f ca="1">_xlfn.MAXIFS(TeamGameData[Loss],TeamGameData[School, Opponent,Game'#],PlayerGameData[[#This Row],[School, Opponent,Game'#]])</f>
        <v>#NAME?</v>
      </c>
    </row>
    <row r="180" spans="1:63" x14ac:dyDescent="0.25">
      <c r="A180" s="8" t="str">
        <f t="shared" ca="1" si="93"/>
        <v>Carson Barritt, 14</v>
      </c>
      <c r="B180" s="8" t="str">
        <f>Roster!$B$1</f>
        <v>Upton</v>
      </c>
      <c r="C180" s="8" t="str">
        <f t="shared" ca="1" si="81"/>
        <v>New Underwood, SD</v>
      </c>
      <c r="D180" s="10">
        <f t="shared" ca="1" si="82"/>
        <v>44938</v>
      </c>
      <c r="E180" s="8">
        <f t="shared" ca="1" si="83"/>
        <v>0</v>
      </c>
      <c r="F180" s="8">
        <f t="shared" ca="1" si="84"/>
        <v>0</v>
      </c>
      <c r="G180" s="8">
        <f t="shared" ca="1" si="85"/>
        <v>0</v>
      </c>
      <c r="H180" s="8">
        <f t="shared" ca="1" si="86"/>
        <v>0</v>
      </c>
      <c r="I180" s="8">
        <f t="shared" ca="1" si="87"/>
        <v>0</v>
      </c>
      <c r="J180" s="8">
        <f t="shared" ca="1" si="88"/>
        <v>0</v>
      </c>
      <c r="K180" s="8">
        <f t="shared" ca="1" si="89"/>
        <v>0</v>
      </c>
      <c r="L180" s="8">
        <f t="shared" ca="1" si="94"/>
        <v>0</v>
      </c>
      <c r="M180" s="8">
        <f t="shared" ca="1" si="95"/>
        <v>0</v>
      </c>
      <c r="N180" s="8">
        <f t="shared" ca="1" si="96"/>
        <v>0</v>
      </c>
      <c r="O180" s="8">
        <f t="shared" ca="1" si="97"/>
        <v>0</v>
      </c>
      <c r="P180" s="8">
        <f t="shared" ca="1" si="98"/>
        <v>0</v>
      </c>
      <c r="Q180" s="8">
        <f t="shared" ca="1" si="99"/>
        <v>0</v>
      </c>
      <c r="R180" s="8">
        <f t="shared" ca="1" si="100"/>
        <v>0</v>
      </c>
      <c r="S180" s="8">
        <f t="shared" ca="1" si="101"/>
        <v>0</v>
      </c>
      <c r="T180" s="8">
        <f t="shared" ca="1" si="102"/>
        <v>0</v>
      </c>
      <c r="U180" s="8">
        <f t="shared" ca="1" si="103"/>
        <v>0</v>
      </c>
      <c r="V180" s="8">
        <f t="shared" ca="1" si="104"/>
        <v>0</v>
      </c>
      <c r="W180" s="11" t="str">
        <f t="shared" ca="1" si="105"/>
        <v/>
      </c>
      <c r="X180" s="11" t="str">
        <f t="shared" ca="1" si="106"/>
        <v/>
      </c>
      <c r="Y180" s="11" t="str">
        <f t="shared" ca="1" si="107"/>
        <v/>
      </c>
      <c r="Z180" s="11" t="str">
        <f t="shared" ca="1" si="108"/>
        <v/>
      </c>
      <c r="AA180" s="11" t="str">
        <f t="shared" ca="1" si="109"/>
        <v/>
      </c>
      <c r="AB180" s="47">
        <f ca="1">PlayerGameData[[#This Row],[3FGA]]+PlayerGameData[[#This Row],[2FGA]]</f>
        <v>0</v>
      </c>
      <c r="AC180" s="47">
        <f ca="1">PlayerGameData[[#This Row],[OFF REB]]+PlayerGameData[[#This Row],[DEF REB]]</f>
        <v>0</v>
      </c>
      <c r="AD180" s="8">
        <f t="shared" si="90"/>
        <v>8</v>
      </c>
      <c r="AE180" s="8" t="str">
        <f t="shared" ca="1" si="91"/>
        <v>Carson Barritt, 14 - New Underwood, SD 1/12/2023</v>
      </c>
      <c r="AF180" s="8" t="str">
        <f t="shared" ca="1" si="110"/>
        <v/>
      </c>
      <c r="AG180" s="8" t="str">
        <f ca="1">IFERROR(IF(C180=0,"",IF(AND(VLOOKUP(PlayerGameData[[#This Row],[Opponent]],WYTeamInfo,2,FALSE)=Roster!$D$1,VLOOKUP(PlayerGameData[[#This Row],[Opponent]],WYTeamInfo,3,FALSE)=Roster!$D$2),"SR","")),"")</f>
        <v/>
      </c>
      <c r="AH180" s="8" t="str">
        <f>CONCATENATE(Roster!$D$1," ",Roster!$D$5)</f>
        <v>1A BB</v>
      </c>
      <c r="AI180" s="8" t="str">
        <f t="shared" ca="1" si="92"/>
        <v>Upton - New Underwood, SD 1/12/2023</v>
      </c>
      <c r="AJ180" s="8">
        <f ca="1">IFERROR(VLOOKUP(PlayerGameData[[#This Row],[School, Opponent,Game'#]],Table3[],2,FALSE),0)</f>
        <v>1</v>
      </c>
      <c r="AK180" s="8">
        <f ca="1">IF(PlayerGameData[[#This Row],[Visible]]=1,1,1000)</f>
        <v>1</v>
      </c>
      <c r="AL180" s="8">
        <f ca="1">RANK(PlayerGameData[[#This Row],[TL PTS]],PlayerGameData[TL PTS],0)+PlayerGameData[[#This Row],[VisibleOrder]]</f>
        <v>185</v>
      </c>
      <c r="AM180" s="8">
        <f ca="1">IF(COUNTIF(PlayerGameData[PointOrder],PlayerGameData[[#This Row],[PointOrder]])&gt;1,RANK(PlayerGameData[[#This Row],[FGA]],PlayerGameData[FGA],0)/100,0)+PlayerGameData[[#This Row],[PointOrder]]</f>
        <v>187.14</v>
      </c>
      <c r="AN180" s="8">
        <f ca="1">RANK(PlayerGameData[[#This Row],[PointTieBreak]],PlayerGameData[PointTieBreak],1)</f>
        <v>216</v>
      </c>
      <c r="AO180" s="8">
        <f ca="1">RANK(PlayerGameData[[#This Row],[REB]],PlayerGameData[REB],0)+PlayerGameData[[#This Row],[VisibleOrder]]</f>
        <v>192</v>
      </c>
      <c r="AP180" s="8">
        <f ca="1">IF(COUNTIF(PlayerGameData[REBOrder],PlayerGameData[[#This Row],[REBOrder]])&gt;1,PlayerGameData[[#This Row],[PointRank]]/100+PlayerGameData[[#This Row],[REBOrder]],PlayerGameData[[#This Row],[REBOrder]])</f>
        <v>194.16</v>
      </c>
      <c r="AQ180" s="8">
        <f ca="1">RANK(PlayerGameData[[#This Row],[REBTieBreak]],PlayerGameData[REBTieBreak],1)</f>
        <v>224</v>
      </c>
      <c r="AR180" s="8">
        <f ca="1">RANK(PlayerGameData[[#This Row],[AST]],PlayerGameData[AST],0)+PlayerGameData[[#This Row],[VisibleOrder]]</f>
        <v>158</v>
      </c>
      <c r="AS180" s="8">
        <f ca="1">IF(COUNTIF(PlayerGameData[ASTOrder],PlayerGameData[[#This Row],[ASTOrder]])&gt;1,PlayerGameData[[#This Row],[PointRank]]/100+PlayerGameData[[#This Row],[ASTOrder]],PlayerGameData[[#This Row],[ASTOrder]])</f>
        <v>160.16</v>
      </c>
      <c r="AT180" s="8">
        <f ca="1">RANK(PlayerGameData[[#This Row],[ASTTieBreak]],PlayerGameData[ASTTieBreak],1)</f>
        <v>221</v>
      </c>
      <c r="AU180" s="8">
        <f ca="1">RANK(PlayerGameData[[#This Row],[STL]],PlayerGameData[STL],0)+PlayerGameData[[#This Row],[VisibleOrder]]</f>
        <v>143</v>
      </c>
      <c r="AV180" s="8">
        <f ca="1">IF(COUNTIF(PlayerGameData[STLOrder],PlayerGameData[[#This Row],[STLOrder]])&gt;1,PlayerGameData[[#This Row],[PointRank]]/100+PlayerGameData[[#This Row],[STLOrder]],PlayerGameData[[#This Row],[STLOrder]])</f>
        <v>145.16</v>
      </c>
      <c r="AW180" s="8">
        <f ca="1">RANK(PlayerGameData[[#This Row],[STLTieBreak]],PlayerGameData[STLTieBreak],1)</f>
        <v>217</v>
      </c>
      <c r="AX180" s="8">
        <f ca="1">RANK(PlayerGameData[[#This Row],[BLK]],PlayerGameData[BLK],0)+PlayerGameData[[#This Row],[VisibleOrder]]</f>
        <v>32</v>
      </c>
      <c r="AY180" s="8">
        <f ca="1">IF(COUNTIF(PlayerGameData[BLKOrder],PlayerGameData[[#This Row],[BLKOrder]])&gt;1,PlayerGameData[[#This Row],[PointRank]]/100+PlayerGameData[[#This Row],[BLKOrder]],PlayerGameData[[#This Row],[BLKOrder]])</f>
        <v>34.159999999999997</v>
      </c>
      <c r="AZ180" s="8">
        <f ca="1">RANK(PlayerGameData[[#This Row],[BLKTieBreak]],PlayerGameData[BLKTieBreak],1)</f>
        <v>216</v>
      </c>
      <c r="BA180" s="11">
        <f ca="1">IFERROR(IF(PlayerGameData[[#This Row],[FGA]]&gt;$AA$5,PlayerGameData[[#This Row],[FG%*]],PlayerGameData[[#This Row],[FG%*]]*-1),-2)</f>
        <v>-2</v>
      </c>
      <c r="BB180" s="8">
        <f ca="1">RANK(PlayerGameData[[#This Row],[EligFG]],PlayerGameData[EligFG],0)+PlayerGameData[[#This Row],[VisibleOrder]]</f>
        <v>215</v>
      </c>
      <c r="BC180" s="8">
        <f ca="1">IF(COUNTIF(PlayerGameData[EligFGOrder],PlayerGameData[[#This Row],[EligFGOrder]])&gt;1,PlayerGameData[[#This Row],[PointRank]]/100+PlayerGameData[[#This Row],[EligFGOrder]],PlayerGameData[[#This Row],[EligFGOrder]])</f>
        <v>217.16</v>
      </c>
      <c r="BD180" s="8">
        <f ca="1">RANK(PlayerGameData[[#This Row],[EligFGTieBreak]],PlayerGameData[EligFGTieBreak],1)</f>
        <v>216</v>
      </c>
      <c r="BE180" s="8" t="str">
        <f>Roster!$D$3</f>
        <v>East</v>
      </c>
      <c r="BF180" s="8" t="str">
        <f>Roster!$D$2</f>
        <v>Northeast</v>
      </c>
      <c r="BG180" s="8" t="str">
        <f>Roster!$D$4</f>
        <v>North</v>
      </c>
      <c r="BH180" s="197">
        <f ca="1">IFERROR(VLOOKUP(CONCATENATE(PlayerGameData[[#This Row],[Opponent]]," ",MONTH(PlayerGameData[[#This Row],[Date]]),"/",DAY(PlayerGameData[[#This Row],[Date]]),"/",YEAR(PlayerGameData[[#This Row],[Date]])),Table35[],2,FALSE),0)</f>
        <v>1</v>
      </c>
      <c r="BI180" s="197">
        <f ca="1">IF(PlayerGameData[[#This Row],[Visible]]=1,1,1000)</f>
        <v>1</v>
      </c>
      <c r="BJ180" s="197" t="e">
        <f ca="1">_xlfn.MAXIFS(TeamGameData[Win],TeamGameData[School, Opponent,Game'#],PlayerGameData[[#This Row],[School, Opponent,Game'#]])</f>
        <v>#NAME?</v>
      </c>
      <c r="BK180" s="197" t="e">
        <f ca="1">_xlfn.MAXIFS(TeamGameData[Loss],TeamGameData[School, Opponent,Game'#],PlayerGameData[[#This Row],[School, Opponent,Game'#]])</f>
        <v>#NAME?</v>
      </c>
    </row>
    <row r="181" spans="1:63" x14ac:dyDescent="0.25">
      <c r="A181" s="8" t="str">
        <f t="shared" ca="1" si="93"/>
        <v>Ben Carpenter, 21</v>
      </c>
      <c r="B181" s="8" t="str">
        <f>Roster!$B$1</f>
        <v>Upton</v>
      </c>
      <c r="C181" s="8" t="str">
        <f t="shared" ca="1" si="81"/>
        <v>New Underwood, SD</v>
      </c>
      <c r="D181" s="10">
        <f t="shared" ca="1" si="82"/>
        <v>44938</v>
      </c>
      <c r="E181" s="8">
        <f t="shared" ca="1" si="83"/>
        <v>0</v>
      </c>
      <c r="F181" s="8">
        <f t="shared" ca="1" si="84"/>
        <v>0</v>
      </c>
      <c r="G181" s="8">
        <f t="shared" ca="1" si="85"/>
        <v>0</v>
      </c>
      <c r="H181" s="8">
        <f t="shared" ca="1" si="86"/>
        <v>0</v>
      </c>
      <c r="I181" s="8">
        <f t="shared" ca="1" si="87"/>
        <v>0</v>
      </c>
      <c r="J181" s="8">
        <f t="shared" ca="1" si="88"/>
        <v>0</v>
      </c>
      <c r="K181" s="8">
        <f t="shared" ca="1" si="89"/>
        <v>0</v>
      </c>
      <c r="L181" s="8">
        <f t="shared" ca="1" si="94"/>
        <v>0</v>
      </c>
      <c r="M181" s="8">
        <f t="shared" ca="1" si="95"/>
        <v>0</v>
      </c>
      <c r="N181" s="8">
        <f t="shared" ca="1" si="96"/>
        <v>0</v>
      </c>
      <c r="O181" s="8">
        <f t="shared" ca="1" si="97"/>
        <v>0</v>
      </c>
      <c r="P181" s="8">
        <f t="shared" ca="1" si="98"/>
        <v>0</v>
      </c>
      <c r="Q181" s="8">
        <f t="shared" ca="1" si="99"/>
        <v>0</v>
      </c>
      <c r="R181" s="8">
        <f t="shared" ca="1" si="100"/>
        <v>0</v>
      </c>
      <c r="S181" s="8">
        <f t="shared" ca="1" si="101"/>
        <v>0</v>
      </c>
      <c r="T181" s="8">
        <f t="shared" ca="1" si="102"/>
        <v>0</v>
      </c>
      <c r="U181" s="8">
        <f t="shared" ca="1" si="103"/>
        <v>0</v>
      </c>
      <c r="V181" s="8">
        <f t="shared" ca="1" si="104"/>
        <v>0</v>
      </c>
      <c r="W181" s="11" t="str">
        <f t="shared" ca="1" si="105"/>
        <v/>
      </c>
      <c r="X181" s="11" t="str">
        <f t="shared" ca="1" si="106"/>
        <v/>
      </c>
      <c r="Y181" s="11" t="str">
        <f t="shared" ca="1" si="107"/>
        <v/>
      </c>
      <c r="Z181" s="11" t="str">
        <f t="shared" ca="1" si="108"/>
        <v/>
      </c>
      <c r="AA181" s="11" t="str">
        <f t="shared" ca="1" si="109"/>
        <v/>
      </c>
      <c r="AB181" s="47">
        <f ca="1">PlayerGameData[[#This Row],[3FGA]]+PlayerGameData[[#This Row],[2FGA]]</f>
        <v>0</v>
      </c>
      <c r="AC181" s="47">
        <f ca="1">PlayerGameData[[#This Row],[OFF REB]]+PlayerGameData[[#This Row],[DEF REB]]</f>
        <v>0</v>
      </c>
      <c r="AD181" s="8">
        <f t="shared" si="90"/>
        <v>8</v>
      </c>
      <c r="AE181" s="8" t="str">
        <f t="shared" ca="1" si="91"/>
        <v>Ben Carpenter, 21 - New Underwood, SD 1/12/2023</v>
      </c>
      <c r="AF181" s="8" t="str">
        <f t="shared" ca="1" si="110"/>
        <v/>
      </c>
      <c r="AG181" s="8" t="str">
        <f ca="1">IFERROR(IF(C181=0,"",IF(AND(VLOOKUP(PlayerGameData[[#This Row],[Opponent]],WYTeamInfo,2,FALSE)=Roster!$D$1,VLOOKUP(PlayerGameData[[#This Row],[Opponent]],WYTeamInfo,3,FALSE)=Roster!$D$2),"SR","")),"")</f>
        <v/>
      </c>
      <c r="AH181" s="8" t="str">
        <f>CONCATENATE(Roster!$D$1," ",Roster!$D$5)</f>
        <v>1A BB</v>
      </c>
      <c r="AI181" s="8" t="str">
        <f t="shared" ca="1" si="92"/>
        <v>Upton - New Underwood, SD 1/12/2023</v>
      </c>
      <c r="AJ181" s="8">
        <f ca="1">IFERROR(VLOOKUP(PlayerGameData[[#This Row],[School, Opponent,Game'#]],Table3[],2,FALSE),0)</f>
        <v>1</v>
      </c>
      <c r="AK181" s="8">
        <f ca="1">IF(PlayerGameData[[#This Row],[Visible]]=1,1,1000)</f>
        <v>1</v>
      </c>
      <c r="AL181" s="8">
        <f ca="1">RANK(PlayerGameData[[#This Row],[TL PTS]],PlayerGameData[TL PTS],0)+PlayerGameData[[#This Row],[VisibleOrder]]</f>
        <v>185</v>
      </c>
      <c r="AM181" s="8">
        <f ca="1">IF(COUNTIF(PlayerGameData[PointOrder],PlayerGameData[[#This Row],[PointOrder]])&gt;1,RANK(PlayerGameData[[#This Row],[FGA]],PlayerGameData[FGA],0)/100,0)+PlayerGameData[[#This Row],[PointOrder]]</f>
        <v>187.14</v>
      </c>
      <c r="AN181" s="8">
        <f ca="1">RANK(PlayerGameData[[#This Row],[PointTieBreak]],PlayerGameData[PointTieBreak],1)</f>
        <v>216</v>
      </c>
      <c r="AO181" s="8">
        <f ca="1">RANK(PlayerGameData[[#This Row],[REB]],PlayerGameData[REB],0)+PlayerGameData[[#This Row],[VisibleOrder]]</f>
        <v>192</v>
      </c>
      <c r="AP181" s="8">
        <f ca="1">IF(COUNTIF(PlayerGameData[REBOrder],PlayerGameData[[#This Row],[REBOrder]])&gt;1,PlayerGameData[[#This Row],[PointRank]]/100+PlayerGameData[[#This Row],[REBOrder]],PlayerGameData[[#This Row],[REBOrder]])</f>
        <v>194.16</v>
      </c>
      <c r="AQ181" s="8">
        <f ca="1">RANK(PlayerGameData[[#This Row],[REBTieBreak]],PlayerGameData[REBTieBreak],1)</f>
        <v>224</v>
      </c>
      <c r="AR181" s="8">
        <f ca="1">RANK(PlayerGameData[[#This Row],[AST]],PlayerGameData[AST],0)+PlayerGameData[[#This Row],[VisibleOrder]]</f>
        <v>158</v>
      </c>
      <c r="AS181" s="8">
        <f ca="1">IF(COUNTIF(PlayerGameData[ASTOrder],PlayerGameData[[#This Row],[ASTOrder]])&gt;1,PlayerGameData[[#This Row],[PointRank]]/100+PlayerGameData[[#This Row],[ASTOrder]],PlayerGameData[[#This Row],[ASTOrder]])</f>
        <v>160.16</v>
      </c>
      <c r="AT181" s="8">
        <f ca="1">RANK(PlayerGameData[[#This Row],[ASTTieBreak]],PlayerGameData[ASTTieBreak],1)</f>
        <v>221</v>
      </c>
      <c r="AU181" s="8">
        <f ca="1">RANK(PlayerGameData[[#This Row],[STL]],PlayerGameData[STL],0)+PlayerGameData[[#This Row],[VisibleOrder]]</f>
        <v>143</v>
      </c>
      <c r="AV181" s="8">
        <f ca="1">IF(COUNTIF(PlayerGameData[STLOrder],PlayerGameData[[#This Row],[STLOrder]])&gt;1,PlayerGameData[[#This Row],[PointRank]]/100+PlayerGameData[[#This Row],[STLOrder]],PlayerGameData[[#This Row],[STLOrder]])</f>
        <v>145.16</v>
      </c>
      <c r="AW181" s="8">
        <f ca="1">RANK(PlayerGameData[[#This Row],[STLTieBreak]],PlayerGameData[STLTieBreak],1)</f>
        <v>217</v>
      </c>
      <c r="AX181" s="8">
        <f ca="1">RANK(PlayerGameData[[#This Row],[BLK]],PlayerGameData[BLK],0)+PlayerGameData[[#This Row],[VisibleOrder]]</f>
        <v>32</v>
      </c>
      <c r="AY181" s="8">
        <f ca="1">IF(COUNTIF(PlayerGameData[BLKOrder],PlayerGameData[[#This Row],[BLKOrder]])&gt;1,PlayerGameData[[#This Row],[PointRank]]/100+PlayerGameData[[#This Row],[BLKOrder]],PlayerGameData[[#This Row],[BLKOrder]])</f>
        <v>34.159999999999997</v>
      </c>
      <c r="AZ181" s="8">
        <f ca="1">RANK(PlayerGameData[[#This Row],[BLKTieBreak]],PlayerGameData[BLKTieBreak],1)</f>
        <v>216</v>
      </c>
      <c r="BA181" s="11">
        <f ca="1">IFERROR(IF(PlayerGameData[[#This Row],[FGA]]&gt;$AA$5,PlayerGameData[[#This Row],[FG%*]],PlayerGameData[[#This Row],[FG%*]]*-1),-2)</f>
        <v>-2</v>
      </c>
      <c r="BB181" s="8">
        <f ca="1">RANK(PlayerGameData[[#This Row],[EligFG]],PlayerGameData[EligFG],0)+PlayerGameData[[#This Row],[VisibleOrder]]</f>
        <v>215</v>
      </c>
      <c r="BC181" s="8">
        <f ca="1">IF(COUNTIF(PlayerGameData[EligFGOrder],PlayerGameData[[#This Row],[EligFGOrder]])&gt;1,PlayerGameData[[#This Row],[PointRank]]/100+PlayerGameData[[#This Row],[EligFGOrder]],PlayerGameData[[#This Row],[EligFGOrder]])</f>
        <v>217.16</v>
      </c>
      <c r="BD181" s="8">
        <f ca="1">RANK(PlayerGameData[[#This Row],[EligFGTieBreak]],PlayerGameData[EligFGTieBreak],1)</f>
        <v>216</v>
      </c>
      <c r="BE181" s="8" t="str">
        <f>Roster!$D$3</f>
        <v>East</v>
      </c>
      <c r="BF181" s="8" t="str">
        <f>Roster!$D$2</f>
        <v>Northeast</v>
      </c>
      <c r="BG181" s="8" t="str">
        <f>Roster!$D$4</f>
        <v>North</v>
      </c>
      <c r="BH181" s="197">
        <f ca="1">IFERROR(VLOOKUP(CONCATENATE(PlayerGameData[[#This Row],[Opponent]]," ",MONTH(PlayerGameData[[#This Row],[Date]]),"/",DAY(PlayerGameData[[#This Row],[Date]]),"/",YEAR(PlayerGameData[[#This Row],[Date]])),Table35[],2,FALSE),0)</f>
        <v>1</v>
      </c>
      <c r="BI181" s="197">
        <f ca="1">IF(PlayerGameData[[#This Row],[Visible]]=1,1,1000)</f>
        <v>1</v>
      </c>
      <c r="BJ181" s="197" t="e">
        <f ca="1">_xlfn.MAXIFS(TeamGameData[Win],TeamGameData[School, Opponent,Game'#],PlayerGameData[[#This Row],[School, Opponent,Game'#]])</f>
        <v>#NAME?</v>
      </c>
      <c r="BK181" s="197" t="e">
        <f ca="1">_xlfn.MAXIFS(TeamGameData[Loss],TeamGameData[School, Opponent,Game'#],PlayerGameData[[#This Row],[School, Opponent,Game'#]])</f>
        <v>#NAME?</v>
      </c>
    </row>
    <row r="182" spans="1:63" x14ac:dyDescent="0.25">
      <c r="A182" s="8" t="str">
        <f t="shared" ca="1" si="93"/>
        <v>Ethan Schiller, 23</v>
      </c>
      <c r="B182" s="8" t="str">
        <f>Roster!$B$1</f>
        <v>Upton</v>
      </c>
      <c r="C182" s="8" t="str">
        <f t="shared" ca="1" si="81"/>
        <v>New Underwood, SD</v>
      </c>
      <c r="D182" s="10">
        <f t="shared" ca="1" si="82"/>
        <v>44938</v>
      </c>
      <c r="E182" s="8">
        <f t="shared" ca="1" si="83"/>
        <v>1</v>
      </c>
      <c r="F182" s="8">
        <f t="shared" ca="1" si="84"/>
        <v>1</v>
      </c>
      <c r="G182" s="8">
        <f t="shared" ca="1" si="85"/>
        <v>27</v>
      </c>
      <c r="H182" s="8">
        <f t="shared" ca="1" si="86"/>
        <v>0</v>
      </c>
      <c r="I182" s="8">
        <f t="shared" ca="1" si="87"/>
        <v>4</v>
      </c>
      <c r="J182" s="8">
        <f t="shared" ca="1" si="88"/>
        <v>6</v>
      </c>
      <c r="K182" s="8">
        <f t="shared" ca="1" si="89"/>
        <v>8</v>
      </c>
      <c r="L182" s="8">
        <f t="shared" ca="1" si="94"/>
        <v>9</v>
      </c>
      <c r="M182" s="8">
        <f t="shared" ca="1" si="95"/>
        <v>10</v>
      </c>
      <c r="N182" s="8">
        <f t="shared" ca="1" si="96"/>
        <v>3</v>
      </c>
      <c r="O182" s="8">
        <f t="shared" ca="1" si="97"/>
        <v>2</v>
      </c>
      <c r="P182" s="8">
        <f t="shared" ca="1" si="98"/>
        <v>0</v>
      </c>
      <c r="Q182" s="8">
        <f t="shared" ca="1" si="99"/>
        <v>0</v>
      </c>
      <c r="R182" s="8">
        <f t="shared" ca="1" si="100"/>
        <v>2</v>
      </c>
      <c r="S182" s="8">
        <f t="shared" ca="1" si="101"/>
        <v>1</v>
      </c>
      <c r="T182" s="8">
        <f t="shared" ca="1" si="102"/>
        <v>3</v>
      </c>
      <c r="U182" s="8">
        <f t="shared" ca="1" si="103"/>
        <v>0</v>
      </c>
      <c r="V182" s="8">
        <f t="shared" ca="1" si="104"/>
        <v>21</v>
      </c>
      <c r="W182" s="11">
        <f t="shared" ca="1" si="105"/>
        <v>0</v>
      </c>
      <c r="X182" s="11">
        <f t="shared" ca="1" si="106"/>
        <v>0.75</v>
      </c>
      <c r="Y182" s="11">
        <f t="shared" ca="1" si="107"/>
        <v>0.9</v>
      </c>
      <c r="Z182" s="11">
        <f t="shared" ca="1" si="108"/>
        <v>0.5</v>
      </c>
      <c r="AA182" s="11">
        <f t="shared" ca="1" si="109"/>
        <v>0.5</v>
      </c>
      <c r="AB182" s="47">
        <f ca="1">PlayerGameData[[#This Row],[3FGA]]+PlayerGameData[[#This Row],[2FGA]]</f>
        <v>12</v>
      </c>
      <c r="AC182" s="47">
        <f ca="1">PlayerGameData[[#This Row],[OFF REB]]+PlayerGameData[[#This Row],[DEF REB]]</f>
        <v>5</v>
      </c>
      <c r="AD182" s="8">
        <f t="shared" si="90"/>
        <v>8</v>
      </c>
      <c r="AE182" s="8" t="str">
        <f t="shared" ca="1" si="91"/>
        <v>Ethan Schiller, 23 - New Underwood, SD 1/12/2023</v>
      </c>
      <c r="AF182" s="8" t="str">
        <f t="shared" ca="1" si="110"/>
        <v/>
      </c>
      <c r="AG182" s="8" t="str">
        <f ca="1">IFERROR(IF(C182=0,"",IF(AND(VLOOKUP(PlayerGameData[[#This Row],[Opponent]],WYTeamInfo,2,FALSE)=Roster!$D$1,VLOOKUP(PlayerGameData[[#This Row],[Opponent]],WYTeamInfo,3,FALSE)=Roster!$D$2),"SR","")),"")</f>
        <v/>
      </c>
      <c r="AH182" s="8" t="str">
        <f>CONCATENATE(Roster!$D$1," ",Roster!$D$5)</f>
        <v>1A BB</v>
      </c>
      <c r="AI182" s="8" t="str">
        <f t="shared" ca="1" si="92"/>
        <v>Upton - New Underwood, SD 1/12/2023</v>
      </c>
      <c r="AJ182" s="8">
        <f ca="1">IFERROR(VLOOKUP(PlayerGameData[[#This Row],[School, Opponent,Game'#]],Table3[],2,FALSE),0)</f>
        <v>1</v>
      </c>
      <c r="AK182" s="8">
        <f ca="1">IF(PlayerGameData[[#This Row],[Visible]]=1,1,1000)</f>
        <v>1</v>
      </c>
      <c r="AL182" s="8">
        <f ca="1">RANK(PlayerGameData[[#This Row],[TL PTS]],PlayerGameData[TL PTS],0)+PlayerGameData[[#This Row],[VisibleOrder]]</f>
        <v>5</v>
      </c>
      <c r="AM182" s="8">
        <f ca="1">IF(COUNTIF(PlayerGameData[PointOrder],PlayerGameData[[#This Row],[PointOrder]])&gt;1,RANK(PlayerGameData[[#This Row],[FGA]],PlayerGameData[FGA],0)/100,0)+PlayerGameData[[#This Row],[PointOrder]]</f>
        <v>5.25</v>
      </c>
      <c r="AN182" s="8">
        <f ca="1">RANK(PlayerGameData[[#This Row],[PointTieBreak]],PlayerGameData[PointTieBreak],1)</f>
        <v>5</v>
      </c>
      <c r="AO182" s="8">
        <f ca="1">RANK(PlayerGameData[[#This Row],[REB]],PlayerGameData[REB],0)+PlayerGameData[[#This Row],[VisibleOrder]]</f>
        <v>52</v>
      </c>
      <c r="AP182" s="8">
        <f ca="1">IF(COUNTIF(PlayerGameData[REBOrder],PlayerGameData[[#This Row],[REBOrder]])&gt;1,PlayerGameData[[#This Row],[PointRank]]/100+PlayerGameData[[#This Row],[REBOrder]],PlayerGameData[[#This Row],[REBOrder]])</f>
        <v>52.05</v>
      </c>
      <c r="AQ182" s="8">
        <f ca="1">RANK(PlayerGameData[[#This Row],[REBTieBreak]],PlayerGameData[REBTieBreak],1)</f>
        <v>53</v>
      </c>
      <c r="AR182" s="8">
        <f ca="1">RANK(PlayerGameData[[#This Row],[AST]],PlayerGameData[AST],0)+PlayerGameData[[#This Row],[VisibleOrder]]</f>
        <v>158</v>
      </c>
      <c r="AS182" s="8">
        <f ca="1">IF(COUNTIF(PlayerGameData[ASTOrder],PlayerGameData[[#This Row],[ASTOrder]])&gt;1,PlayerGameData[[#This Row],[PointRank]]/100+PlayerGameData[[#This Row],[ASTOrder]],PlayerGameData[[#This Row],[ASTOrder]])</f>
        <v>158.05000000000001</v>
      </c>
      <c r="AT182" s="8">
        <f ca="1">RANK(PlayerGameData[[#This Row],[ASTTieBreak]],PlayerGameData[ASTTieBreak],1)</f>
        <v>158</v>
      </c>
      <c r="AU182" s="8">
        <f ca="1">RANK(PlayerGameData[[#This Row],[STL]],PlayerGameData[STL],0)+PlayerGameData[[#This Row],[VisibleOrder]]</f>
        <v>143</v>
      </c>
      <c r="AV182" s="8">
        <f ca="1">IF(COUNTIF(PlayerGameData[STLOrder],PlayerGameData[[#This Row],[STLOrder]])&gt;1,PlayerGameData[[#This Row],[PointRank]]/100+PlayerGameData[[#This Row],[STLOrder]],PlayerGameData[[#This Row],[STLOrder]])</f>
        <v>143.05000000000001</v>
      </c>
      <c r="AW182" s="8">
        <f ca="1">RANK(PlayerGameData[[#This Row],[STLTieBreak]],PlayerGameData[STLTieBreak],1)</f>
        <v>145</v>
      </c>
      <c r="AX182" s="8">
        <f ca="1">RANK(PlayerGameData[[#This Row],[BLK]],PlayerGameData[BLK],0)+PlayerGameData[[#This Row],[VisibleOrder]]</f>
        <v>5</v>
      </c>
      <c r="AY182" s="8">
        <f ca="1">IF(COUNTIF(PlayerGameData[BLKOrder],PlayerGameData[[#This Row],[BLKOrder]])&gt;1,PlayerGameData[[#This Row],[PointRank]]/100+PlayerGameData[[#This Row],[BLKOrder]],PlayerGameData[[#This Row],[BLKOrder]])</f>
        <v>5.05</v>
      </c>
      <c r="AZ182" s="8">
        <f ca="1">RANK(PlayerGameData[[#This Row],[BLKTieBreak]],PlayerGameData[BLKTieBreak],1)</f>
        <v>4</v>
      </c>
      <c r="BA182" s="11">
        <f ca="1">IFERROR(IF(PlayerGameData[[#This Row],[FGA]]&gt;$AA$5,PlayerGameData[[#This Row],[FG%*]],PlayerGameData[[#This Row],[FG%*]]*-1),-2)</f>
        <v>0.5</v>
      </c>
      <c r="BB182" s="8">
        <f ca="1">RANK(PlayerGameData[[#This Row],[EligFG]],PlayerGameData[EligFG],0)+PlayerGameData[[#This Row],[VisibleOrder]]</f>
        <v>39</v>
      </c>
      <c r="BC182" s="8">
        <f ca="1">IF(COUNTIF(PlayerGameData[EligFGOrder],PlayerGameData[[#This Row],[EligFGOrder]])&gt;1,PlayerGameData[[#This Row],[PointRank]]/100+PlayerGameData[[#This Row],[EligFGOrder]],PlayerGameData[[#This Row],[EligFGOrder]])</f>
        <v>39.049999999999997</v>
      </c>
      <c r="BD182" s="8">
        <f ca="1">RANK(PlayerGameData[[#This Row],[EligFGTieBreak]],PlayerGameData[EligFGTieBreak],1)</f>
        <v>38</v>
      </c>
      <c r="BE182" s="8" t="str">
        <f>Roster!$D$3</f>
        <v>East</v>
      </c>
      <c r="BF182" s="8" t="str">
        <f>Roster!$D$2</f>
        <v>Northeast</v>
      </c>
      <c r="BG182" s="8" t="str">
        <f>Roster!$D$4</f>
        <v>North</v>
      </c>
      <c r="BH182" s="197">
        <f ca="1">IFERROR(VLOOKUP(CONCATENATE(PlayerGameData[[#This Row],[Opponent]]," ",MONTH(PlayerGameData[[#This Row],[Date]]),"/",DAY(PlayerGameData[[#This Row],[Date]]),"/",YEAR(PlayerGameData[[#This Row],[Date]])),Table35[],2,FALSE),0)</f>
        <v>1</v>
      </c>
      <c r="BI182" s="197">
        <f ca="1">IF(PlayerGameData[[#This Row],[Visible]]=1,1,1000)</f>
        <v>1</v>
      </c>
      <c r="BJ182" s="197" t="e">
        <f ca="1">_xlfn.MAXIFS(TeamGameData[Win],TeamGameData[School, Opponent,Game'#],PlayerGameData[[#This Row],[School, Opponent,Game'#]])</f>
        <v>#NAME?</v>
      </c>
      <c r="BK182" s="197" t="e">
        <f ca="1">_xlfn.MAXIFS(TeamGameData[Loss],TeamGameData[School, Opponent,Game'#],PlayerGameData[[#This Row],[School, Opponent,Game'#]])</f>
        <v>#NAME?</v>
      </c>
    </row>
    <row r="183" spans="1:63" x14ac:dyDescent="0.25">
      <c r="A183" s="8" t="str">
        <f t="shared" ca="1" si="93"/>
        <v>Bridger Bruce, 25</v>
      </c>
      <c r="B183" s="8" t="str">
        <f>Roster!$B$1</f>
        <v>Upton</v>
      </c>
      <c r="C183" s="8" t="str">
        <f t="shared" ca="1" si="81"/>
        <v>New Underwood, SD</v>
      </c>
      <c r="D183" s="10">
        <f t="shared" ca="1" si="82"/>
        <v>44938</v>
      </c>
      <c r="E183" s="8">
        <f t="shared" ca="1" si="83"/>
        <v>1</v>
      </c>
      <c r="F183" s="8">
        <f t="shared" ca="1" si="84"/>
        <v>1</v>
      </c>
      <c r="G183" s="8">
        <f t="shared" ca="1" si="85"/>
        <v>11</v>
      </c>
      <c r="H183" s="8">
        <f t="shared" ca="1" si="86"/>
        <v>0</v>
      </c>
      <c r="I183" s="8">
        <f t="shared" ca="1" si="87"/>
        <v>1</v>
      </c>
      <c r="J183" s="8">
        <f t="shared" ca="1" si="88"/>
        <v>0</v>
      </c>
      <c r="K183" s="8">
        <f t="shared" ca="1" si="89"/>
        <v>3</v>
      </c>
      <c r="L183" s="8">
        <f t="shared" ca="1" si="94"/>
        <v>0</v>
      </c>
      <c r="M183" s="8">
        <f t="shared" ca="1" si="95"/>
        <v>2</v>
      </c>
      <c r="N183" s="8">
        <f t="shared" ca="1" si="96"/>
        <v>2</v>
      </c>
      <c r="O183" s="8">
        <f t="shared" ca="1" si="97"/>
        <v>3</v>
      </c>
      <c r="P183" s="8">
        <f t="shared" ca="1" si="98"/>
        <v>0</v>
      </c>
      <c r="Q183" s="8">
        <f t="shared" ca="1" si="99"/>
        <v>0</v>
      </c>
      <c r="R183" s="8">
        <f t="shared" ca="1" si="100"/>
        <v>0</v>
      </c>
      <c r="S183" s="8">
        <f t="shared" ca="1" si="101"/>
        <v>2</v>
      </c>
      <c r="T183" s="8">
        <f t="shared" ca="1" si="102"/>
        <v>2</v>
      </c>
      <c r="U183" s="8">
        <f t="shared" ca="1" si="103"/>
        <v>0</v>
      </c>
      <c r="V183" s="8">
        <f t="shared" ca="1" si="104"/>
        <v>0</v>
      </c>
      <c r="W183" s="11">
        <f t="shared" ca="1" si="105"/>
        <v>0</v>
      </c>
      <c r="X183" s="11">
        <f t="shared" ca="1" si="106"/>
        <v>0</v>
      </c>
      <c r="Y183" s="11">
        <f t="shared" ca="1" si="107"/>
        <v>0</v>
      </c>
      <c r="Z183" s="11">
        <f t="shared" ca="1" si="108"/>
        <v>0</v>
      </c>
      <c r="AA183" s="11">
        <f t="shared" ca="1" si="109"/>
        <v>0</v>
      </c>
      <c r="AB183" s="47">
        <f ca="1">PlayerGameData[[#This Row],[3FGA]]+PlayerGameData[[#This Row],[2FGA]]</f>
        <v>4</v>
      </c>
      <c r="AC183" s="47">
        <f ca="1">PlayerGameData[[#This Row],[OFF REB]]+PlayerGameData[[#This Row],[DEF REB]]</f>
        <v>5</v>
      </c>
      <c r="AD183" s="8">
        <f t="shared" si="90"/>
        <v>8</v>
      </c>
      <c r="AE183" s="8" t="str">
        <f t="shared" ca="1" si="91"/>
        <v>Bridger Bruce, 25 - New Underwood, SD 1/12/2023</v>
      </c>
      <c r="AF183" s="8" t="str">
        <f t="shared" ca="1" si="110"/>
        <v/>
      </c>
      <c r="AG183" s="8" t="str">
        <f ca="1">IFERROR(IF(C183=0,"",IF(AND(VLOOKUP(PlayerGameData[[#This Row],[Opponent]],WYTeamInfo,2,FALSE)=Roster!$D$1,VLOOKUP(PlayerGameData[[#This Row],[Opponent]],WYTeamInfo,3,FALSE)=Roster!$D$2),"SR","")),"")</f>
        <v/>
      </c>
      <c r="AH183" s="8" t="str">
        <f>CONCATENATE(Roster!$D$1," ",Roster!$D$5)</f>
        <v>1A BB</v>
      </c>
      <c r="AI183" s="8" t="str">
        <f t="shared" ca="1" si="92"/>
        <v>Upton - New Underwood, SD 1/12/2023</v>
      </c>
      <c r="AJ183" s="8">
        <f ca="1">IFERROR(VLOOKUP(PlayerGameData[[#This Row],[School, Opponent,Game'#]],Table3[],2,FALSE),0)</f>
        <v>1</v>
      </c>
      <c r="AK183" s="8">
        <f ca="1">IF(PlayerGameData[[#This Row],[Visible]]=1,1,1000)</f>
        <v>1</v>
      </c>
      <c r="AL183" s="8">
        <f ca="1">RANK(PlayerGameData[[#This Row],[TL PTS]],PlayerGameData[TL PTS],0)+PlayerGameData[[#This Row],[VisibleOrder]]</f>
        <v>185</v>
      </c>
      <c r="AM183" s="8">
        <f ca="1">IF(COUNTIF(PlayerGameData[PointOrder],PlayerGameData[[#This Row],[PointOrder]])&gt;1,RANK(PlayerGameData[[#This Row],[FGA]],PlayerGameData[FGA],0)/100,0)+PlayerGameData[[#This Row],[PointOrder]]</f>
        <v>186.27</v>
      </c>
      <c r="AN183" s="8">
        <f ca="1">RANK(PlayerGameData[[#This Row],[PointTieBreak]],PlayerGameData[PointTieBreak],1)</f>
        <v>185</v>
      </c>
      <c r="AO183" s="8">
        <f ca="1">RANK(PlayerGameData[[#This Row],[REB]],PlayerGameData[REB],0)+PlayerGameData[[#This Row],[VisibleOrder]]</f>
        <v>52</v>
      </c>
      <c r="AP183" s="8">
        <f ca="1">IF(COUNTIF(PlayerGameData[REBOrder],PlayerGameData[[#This Row],[REBOrder]])&gt;1,PlayerGameData[[#This Row],[PointRank]]/100+PlayerGameData[[#This Row],[REBOrder]],PlayerGameData[[#This Row],[REBOrder]])</f>
        <v>53.85</v>
      </c>
      <c r="AQ183" s="8">
        <f ca="1">RANK(PlayerGameData[[#This Row],[REBTieBreak]],PlayerGameData[REBTieBreak],1)</f>
        <v>75</v>
      </c>
      <c r="AR183" s="8">
        <f ca="1">RANK(PlayerGameData[[#This Row],[AST]],PlayerGameData[AST],0)+PlayerGameData[[#This Row],[VisibleOrder]]</f>
        <v>158</v>
      </c>
      <c r="AS183" s="8">
        <f ca="1">IF(COUNTIF(PlayerGameData[ASTOrder],PlayerGameData[[#This Row],[ASTOrder]])&gt;1,PlayerGameData[[#This Row],[PointRank]]/100+PlayerGameData[[#This Row],[ASTOrder]],PlayerGameData[[#This Row],[ASTOrder]])</f>
        <v>159.85</v>
      </c>
      <c r="AT183" s="8">
        <f ca="1">RANK(PlayerGameData[[#This Row],[ASTTieBreak]],PlayerGameData[ASTTieBreak],1)</f>
        <v>201</v>
      </c>
      <c r="AU183" s="8">
        <f ca="1">RANK(PlayerGameData[[#This Row],[STL]],PlayerGameData[STL],0)+PlayerGameData[[#This Row],[VisibleOrder]]</f>
        <v>143</v>
      </c>
      <c r="AV183" s="8">
        <f ca="1">IF(COUNTIF(PlayerGameData[STLOrder],PlayerGameData[[#This Row],[STLOrder]])&gt;1,PlayerGameData[[#This Row],[PointRank]]/100+PlayerGameData[[#This Row],[STLOrder]],PlayerGameData[[#This Row],[STLOrder]])</f>
        <v>144.85</v>
      </c>
      <c r="AW183" s="8">
        <f ca="1">RANK(PlayerGameData[[#This Row],[STLTieBreak]],PlayerGameData[STLTieBreak],1)</f>
        <v>194</v>
      </c>
      <c r="AX183" s="8">
        <f ca="1">RANK(PlayerGameData[[#This Row],[BLK]],PlayerGameData[BLK],0)+PlayerGameData[[#This Row],[VisibleOrder]]</f>
        <v>32</v>
      </c>
      <c r="AY183" s="8">
        <f ca="1">IF(COUNTIF(PlayerGameData[BLKOrder],PlayerGameData[[#This Row],[BLKOrder]])&gt;1,PlayerGameData[[#This Row],[PointRank]]/100+PlayerGameData[[#This Row],[BLKOrder]],PlayerGameData[[#This Row],[BLKOrder]])</f>
        <v>33.85</v>
      </c>
      <c r="AZ183" s="8">
        <f ca="1">RANK(PlayerGameData[[#This Row],[BLKTieBreak]],PlayerGameData[BLKTieBreak],1)</f>
        <v>186</v>
      </c>
      <c r="BA183" s="11">
        <f ca="1">IFERROR(IF(PlayerGameData[[#This Row],[FGA]]&gt;$AA$5,PlayerGameData[[#This Row],[FG%*]],PlayerGameData[[#This Row],[FG%*]]*-1),-2)</f>
        <v>0</v>
      </c>
      <c r="BB183" s="8">
        <f ca="1">RANK(PlayerGameData[[#This Row],[EligFG]],PlayerGameData[EligFG],0)+PlayerGameData[[#This Row],[VisibleOrder]]</f>
        <v>117</v>
      </c>
      <c r="BC183" s="8">
        <f ca="1">IF(COUNTIF(PlayerGameData[EligFGOrder],PlayerGameData[[#This Row],[EligFGOrder]])&gt;1,PlayerGameData[[#This Row],[PointRank]]/100+PlayerGameData[[#This Row],[EligFGOrder]],PlayerGameData[[#This Row],[EligFGOrder]])</f>
        <v>118.85</v>
      </c>
      <c r="BD183" s="8">
        <f ca="1">RANK(PlayerGameData[[#This Row],[EligFGTieBreak]],PlayerGameData[EligFGTieBreak],1)</f>
        <v>127</v>
      </c>
      <c r="BE183" s="8" t="str">
        <f>Roster!$D$3</f>
        <v>East</v>
      </c>
      <c r="BF183" s="8" t="str">
        <f>Roster!$D$2</f>
        <v>Northeast</v>
      </c>
      <c r="BG183" s="8" t="str">
        <f>Roster!$D$4</f>
        <v>North</v>
      </c>
      <c r="BH183" s="197">
        <f ca="1">IFERROR(VLOOKUP(CONCATENATE(PlayerGameData[[#This Row],[Opponent]]," ",MONTH(PlayerGameData[[#This Row],[Date]]),"/",DAY(PlayerGameData[[#This Row],[Date]]),"/",YEAR(PlayerGameData[[#This Row],[Date]])),Table35[],2,FALSE),0)</f>
        <v>1</v>
      </c>
      <c r="BI183" s="197">
        <f ca="1">IF(PlayerGameData[[#This Row],[Visible]]=1,1,1000)</f>
        <v>1</v>
      </c>
      <c r="BJ183" s="197" t="e">
        <f ca="1">_xlfn.MAXIFS(TeamGameData[Win],TeamGameData[School, Opponent,Game'#],PlayerGameData[[#This Row],[School, Opponent,Game'#]])</f>
        <v>#NAME?</v>
      </c>
      <c r="BK183" s="197" t="e">
        <f ca="1">_xlfn.MAXIFS(TeamGameData[Loss],TeamGameData[School, Opponent,Game'#],PlayerGameData[[#This Row],[School, Opponent,Game'#]])</f>
        <v>#NAME?</v>
      </c>
    </row>
    <row r="184" spans="1:63" x14ac:dyDescent="0.25">
      <c r="A184" s="8" t="str">
        <f t="shared" ca="1" si="93"/>
        <v>Kailer Duarte, 31</v>
      </c>
      <c r="B184" s="8" t="str">
        <f>Roster!$B$1</f>
        <v>Upton</v>
      </c>
      <c r="C184" s="8" t="str">
        <f t="shared" ca="1" si="81"/>
        <v>New Underwood, SD</v>
      </c>
      <c r="D184" s="10">
        <f t="shared" ca="1" si="82"/>
        <v>44938</v>
      </c>
      <c r="E184" s="8">
        <f t="shared" ca="1" si="83"/>
        <v>1</v>
      </c>
      <c r="F184" s="8">
        <f t="shared" ca="1" si="84"/>
        <v>0</v>
      </c>
      <c r="G184" s="8">
        <f t="shared" ca="1" si="85"/>
        <v>22</v>
      </c>
      <c r="H184" s="8">
        <f t="shared" ca="1" si="86"/>
        <v>0</v>
      </c>
      <c r="I184" s="8">
        <f t="shared" ca="1" si="87"/>
        <v>3</v>
      </c>
      <c r="J184" s="8">
        <f t="shared" ca="1" si="88"/>
        <v>1</v>
      </c>
      <c r="K184" s="8">
        <f t="shared" ca="1" si="89"/>
        <v>4</v>
      </c>
      <c r="L184" s="8">
        <f t="shared" ca="1" si="94"/>
        <v>0</v>
      </c>
      <c r="M184" s="8">
        <f t="shared" ca="1" si="95"/>
        <v>0</v>
      </c>
      <c r="N184" s="8">
        <f t="shared" ca="1" si="96"/>
        <v>3</v>
      </c>
      <c r="O184" s="8">
        <f t="shared" ca="1" si="97"/>
        <v>5</v>
      </c>
      <c r="P184" s="8">
        <f t="shared" ca="1" si="98"/>
        <v>3</v>
      </c>
      <c r="Q184" s="8">
        <f t="shared" ca="1" si="99"/>
        <v>2</v>
      </c>
      <c r="R184" s="8">
        <f t="shared" ca="1" si="100"/>
        <v>0</v>
      </c>
      <c r="S184" s="8">
        <f t="shared" ca="1" si="101"/>
        <v>1</v>
      </c>
      <c r="T184" s="8">
        <f t="shared" ca="1" si="102"/>
        <v>1</v>
      </c>
      <c r="U184" s="8">
        <f t="shared" ca="1" si="103"/>
        <v>0</v>
      </c>
      <c r="V184" s="8">
        <f t="shared" ca="1" si="104"/>
        <v>2</v>
      </c>
      <c r="W184" s="11">
        <f t="shared" ca="1" si="105"/>
        <v>0</v>
      </c>
      <c r="X184" s="11">
        <f t="shared" ca="1" si="106"/>
        <v>0.25</v>
      </c>
      <c r="Y184" s="11" t="str">
        <f t="shared" ca="1" si="107"/>
        <v/>
      </c>
      <c r="Z184" s="11">
        <f t="shared" ca="1" si="108"/>
        <v>0.14285714285714285</v>
      </c>
      <c r="AA184" s="11">
        <f t="shared" ca="1" si="109"/>
        <v>0.14285714285714285</v>
      </c>
      <c r="AB184" s="47">
        <f ca="1">PlayerGameData[[#This Row],[3FGA]]+PlayerGameData[[#This Row],[2FGA]]</f>
        <v>7</v>
      </c>
      <c r="AC184" s="47">
        <f ca="1">PlayerGameData[[#This Row],[OFF REB]]+PlayerGameData[[#This Row],[DEF REB]]</f>
        <v>8</v>
      </c>
      <c r="AD184" s="8">
        <f t="shared" si="90"/>
        <v>8</v>
      </c>
      <c r="AE184" s="8" t="str">
        <f t="shared" ca="1" si="91"/>
        <v>Kailer Duarte, 31 - New Underwood, SD 1/12/2023</v>
      </c>
      <c r="AF184" s="8" t="str">
        <f t="shared" ca="1" si="110"/>
        <v/>
      </c>
      <c r="AG184" s="8" t="str">
        <f ca="1">IFERROR(IF(C184=0,"",IF(AND(VLOOKUP(PlayerGameData[[#This Row],[Opponent]],WYTeamInfo,2,FALSE)=Roster!$D$1,VLOOKUP(PlayerGameData[[#This Row],[Opponent]],WYTeamInfo,3,FALSE)=Roster!$D$2),"SR","")),"")</f>
        <v/>
      </c>
      <c r="AH184" s="8" t="str">
        <f>CONCATENATE(Roster!$D$1," ",Roster!$D$5)</f>
        <v>1A BB</v>
      </c>
      <c r="AI184" s="8" t="str">
        <f t="shared" ca="1" si="92"/>
        <v>Upton - New Underwood, SD 1/12/2023</v>
      </c>
      <c r="AJ184" s="8">
        <f ca="1">IFERROR(VLOOKUP(PlayerGameData[[#This Row],[School, Opponent,Game'#]],Table3[],2,FALSE),0)</f>
        <v>1</v>
      </c>
      <c r="AK184" s="8">
        <f ca="1">IF(PlayerGameData[[#This Row],[Visible]]=1,1,1000)</f>
        <v>1</v>
      </c>
      <c r="AL184" s="8">
        <f ca="1">RANK(PlayerGameData[[#This Row],[TL PTS]],PlayerGameData[TL PTS],0)+PlayerGameData[[#This Row],[VisibleOrder]]</f>
        <v>152</v>
      </c>
      <c r="AM184" s="8">
        <f ca="1">IF(COUNTIF(PlayerGameData[PointOrder],PlayerGameData[[#This Row],[PointOrder]])&gt;1,RANK(PlayerGameData[[#This Row],[FGA]],PlayerGameData[FGA],0)/100,0)+PlayerGameData[[#This Row],[PointOrder]]</f>
        <v>152.93</v>
      </c>
      <c r="AN184" s="8">
        <f ca="1">RANK(PlayerGameData[[#This Row],[PointTieBreak]],PlayerGameData[PointTieBreak],1)</f>
        <v>154</v>
      </c>
      <c r="AO184" s="8">
        <f ca="1">RANK(PlayerGameData[[#This Row],[REB]],PlayerGameData[REB],0)+PlayerGameData[[#This Row],[VisibleOrder]]</f>
        <v>21</v>
      </c>
      <c r="AP184" s="8">
        <f ca="1">IF(COUNTIF(PlayerGameData[REBOrder],PlayerGameData[[#This Row],[REBOrder]])&gt;1,PlayerGameData[[#This Row],[PointRank]]/100+PlayerGameData[[#This Row],[REBOrder]],PlayerGameData[[#This Row],[REBOrder]])</f>
        <v>22.54</v>
      </c>
      <c r="AQ184" s="8">
        <f ca="1">RANK(PlayerGameData[[#This Row],[REBTieBreak]],PlayerGameData[REBTieBreak],1)</f>
        <v>27</v>
      </c>
      <c r="AR184" s="8">
        <f ca="1">RANK(PlayerGameData[[#This Row],[AST]],PlayerGameData[AST],0)+PlayerGameData[[#This Row],[VisibleOrder]]</f>
        <v>39</v>
      </c>
      <c r="AS184" s="8">
        <f ca="1">IF(COUNTIF(PlayerGameData[ASTOrder],PlayerGameData[[#This Row],[ASTOrder]])&gt;1,PlayerGameData[[#This Row],[PointRank]]/100+PlayerGameData[[#This Row],[ASTOrder]],PlayerGameData[[#This Row],[ASTOrder]])</f>
        <v>40.54</v>
      </c>
      <c r="AT184" s="8">
        <f ca="1">RANK(PlayerGameData[[#This Row],[ASTTieBreak]],PlayerGameData[ASTTieBreak],1)</f>
        <v>65</v>
      </c>
      <c r="AU184" s="8">
        <f ca="1">RANK(PlayerGameData[[#This Row],[STL]],PlayerGameData[STL],0)+PlayerGameData[[#This Row],[VisibleOrder]]</f>
        <v>48</v>
      </c>
      <c r="AV184" s="8">
        <f ca="1">IF(COUNTIF(PlayerGameData[STLOrder],PlayerGameData[[#This Row],[STLOrder]])&gt;1,PlayerGameData[[#This Row],[PointRank]]/100+PlayerGameData[[#This Row],[STLOrder]],PlayerGameData[[#This Row],[STLOrder]])</f>
        <v>49.54</v>
      </c>
      <c r="AW184" s="8">
        <f ca="1">RANK(PlayerGameData[[#This Row],[STLTieBreak]],PlayerGameData[STLTieBreak],1)</f>
        <v>79</v>
      </c>
      <c r="AX184" s="8">
        <f ca="1">RANK(PlayerGameData[[#This Row],[BLK]],PlayerGameData[BLK],0)+PlayerGameData[[#This Row],[VisibleOrder]]</f>
        <v>32</v>
      </c>
      <c r="AY184" s="8">
        <f ca="1">IF(COUNTIF(PlayerGameData[BLKOrder],PlayerGameData[[#This Row],[BLKOrder]])&gt;1,PlayerGameData[[#This Row],[PointRank]]/100+PlayerGameData[[#This Row],[BLKOrder]],PlayerGameData[[#This Row],[BLKOrder]])</f>
        <v>33.54</v>
      </c>
      <c r="AZ184" s="8">
        <f ca="1">RANK(PlayerGameData[[#This Row],[BLKTieBreak]],PlayerGameData[BLKTieBreak],1)</f>
        <v>157</v>
      </c>
      <c r="BA184" s="11">
        <f ca="1">IFERROR(IF(PlayerGameData[[#This Row],[FGA]]&gt;$AA$5,PlayerGameData[[#This Row],[FG%*]],PlayerGameData[[#This Row],[FG%*]]*-1),-2)</f>
        <v>0.14285714285714285</v>
      </c>
      <c r="BB184" s="8">
        <f ca="1">RANK(PlayerGameData[[#This Row],[EligFG]],PlayerGameData[EligFG],0)+PlayerGameData[[#This Row],[VisibleOrder]]</f>
        <v>109</v>
      </c>
      <c r="BC184" s="8">
        <f ca="1">IF(COUNTIF(PlayerGameData[EligFGOrder],PlayerGameData[[#This Row],[EligFGOrder]])&gt;1,PlayerGameData[[#This Row],[PointRank]]/100+PlayerGameData[[#This Row],[EligFGOrder]],PlayerGameData[[#This Row],[EligFGOrder]])</f>
        <v>109</v>
      </c>
      <c r="BD184" s="8">
        <f ca="1">RANK(PlayerGameData[[#This Row],[EligFGTieBreak]],PlayerGameData[EligFGTieBreak],1)</f>
        <v>108</v>
      </c>
      <c r="BE184" s="8" t="str">
        <f>Roster!$D$3</f>
        <v>East</v>
      </c>
      <c r="BF184" s="8" t="str">
        <f>Roster!$D$2</f>
        <v>Northeast</v>
      </c>
      <c r="BG184" s="8" t="str">
        <f>Roster!$D$4</f>
        <v>North</v>
      </c>
      <c r="BH184" s="197">
        <f ca="1">IFERROR(VLOOKUP(CONCATENATE(PlayerGameData[[#This Row],[Opponent]]," ",MONTH(PlayerGameData[[#This Row],[Date]]),"/",DAY(PlayerGameData[[#This Row],[Date]]),"/",YEAR(PlayerGameData[[#This Row],[Date]])),Table35[],2,FALSE),0)</f>
        <v>1</v>
      </c>
      <c r="BI184" s="197">
        <f ca="1">IF(PlayerGameData[[#This Row],[Visible]]=1,1,1000)</f>
        <v>1</v>
      </c>
      <c r="BJ184" s="197" t="e">
        <f ca="1">_xlfn.MAXIFS(TeamGameData[Win],TeamGameData[School, Opponent,Game'#],PlayerGameData[[#This Row],[School, Opponent,Game'#]])</f>
        <v>#NAME?</v>
      </c>
      <c r="BK184" s="197" t="e">
        <f ca="1">_xlfn.MAXIFS(TeamGameData[Loss],TeamGameData[School, Opponent,Game'#],PlayerGameData[[#This Row],[School, Opponent,Game'#]])</f>
        <v>#NAME?</v>
      </c>
    </row>
    <row r="185" spans="1:63" x14ac:dyDescent="0.25">
      <c r="A185" s="8" t="str">
        <f t="shared" ca="1" si="93"/>
        <v>Matt Stirmel, 33</v>
      </c>
      <c r="B185" s="8" t="str">
        <f>Roster!$B$1</f>
        <v>Upton</v>
      </c>
      <c r="C185" s="8" t="str">
        <f t="shared" ca="1" si="81"/>
        <v>New Underwood, SD</v>
      </c>
      <c r="D185" s="10">
        <f t="shared" ca="1" si="82"/>
        <v>44938</v>
      </c>
      <c r="E185" s="8">
        <f t="shared" ca="1" si="83"/>
        <v>0</v>
      </c>
      <c r="F185" s="8">
        <f t="shared" ca="1" si="84"/>
        <v>0</v>
      </c>
      <c r="G185" s="8">
        <f t="shared" ca="1" si="85"/>
        <v>0</v>
      </c>
      <c r="H185" s="8">
        <f t="shared" ca="1" si="86"/>
        <v>0</v>
      </c>
      <c r="I185" s="8">
        <f t="shared" ca="1" si="87"/>
        <v>0</v>
      </c>
      <c r="J185" s="8">
        <f t="shared" ca="1" si="88"/>
        <v>0</v>
      </c>
      <c r="K185" s="8">
        <f t="shared" ca="1" si="89"/>
        <v>0</v>
      </c>
      <c r="L185" s="8">
        <f t="shared" ca="1" si="94"/>
        <v>0</v>
      </c>
      <c r="M185" s="8">
        <f t="shared" ca="1" si="95"/>
        <v>0</v>
      </c>
      <c r="N185" s="8">
        <f t="shared" ca="1" si="96"/>
        <v>0</v>
      </c>
      <c r="O185" s="8">
        <f t="shared" ca="1" si="97"/>
        <v>0</v>
      </c>
      <c r="P185" s="8">
        <f t="shared" ca="1" si="98"/>
        <v>0</v>
      </c>
      <c r="Q185" s="8">
        <f t="shared" ca="1" si="99"/>
        <v>0</v>
      </c>
      <c r="R185" s="8">
        <f t="shared" ca="1" si="100"/>
        <v>0</v>
      </c>
      <c r="S185" s="8">
        <f t="shared" ca="1" si="101"/>
        <v>0</v>
      </c>
      <c r="T185" s="8">
        <f t="shared" ca="1" si="102"/>
        <v>0</v>
      </c>
      <c r="U185" s="8">
        <f t="shared" ca="1" si="103"/>
        <v>0</v>
      </c>
      <c r="V185" s="8">
        <f t="shared" ca="1" si="104"/>
        <v>0</v>
      </c>
      <c r="W185" s="11" t="str">
        <f t="shared" ca="1" si="105"/>
        <v/>
      </c>
      <c r="X185" s="11" t="str">
        <f t="shared" ca="1" si="106"/>
        <v/>
      </c>
      <c r="Y185" s="11" t="str">
        <f t="shared" ca="1" si="107"/>
        <v/>
      </c>
      <c r="Z185" s="11" t="str">
        <f t="shared" ca="1" si="108"/>
        <v/>
      </c>
      <c r="AA185" s="11" t="str">
        <f t="shared" ca="1" si="109"/>
        <v/>
      </c>
      <c r="AB185" s="47">
        <f ca="1">PlayerGameData[[#This Row],[3FGA]]+PlayerGameData[[#This Row],[2FGA]]</f>
        <v>0</v>
      </c>
      <c r="AC185" s="47">
        <f ca="1">PlayerGameData[[#This Row],[OFF REB]]+PlayerGameData[[#This Row],[DEF REB]]</f>
        <v>0</v>
      </c>
      <c r="AD185" s="8">
        <f t="shared" si="90"/>
        <v>8</v>
      </c>
      <c r="AE185" s="8" t="str">
        <f t="shared" ca="1" si="91"/>
        <v>Matt Stirmel, 33 - New Underwood, SD 1/12/2023</v>
      </c>
      <c r="AF185" s="8" t="str">
        <f t="shared" ca="1" si="110"/>
        <v/>
      </c>
      <c r="AG185" s="8" t="str">
        <f ca="1">IFERROR(IF(C185=0,"",IF(AND(VLOOKUP(PlayerGameData[[#This Row],[Opponent]],WYTeamInfo,2,FALSE)=Roster!$D$1,VLOOKUP(PlayerGameData[[#This Row],[Opponent]],WYTeamInfo,3,FALSE)=Roster!$D$2),"SR","")),"")</f>
        <v/>
      </c>
      <c r="AH185" s="8" t="str">
        <f>CONCATENATE(Roster!$D$1," ",Roster!$D$5)</f>
        <v>1A BB</v>
      </c>
      <c r="AI185" s="8" t="str">
        <f t="shared" ca="1" si="92"/>
        <v>Upton - New Underwood, SD 1/12/2023</v>
      </c>
      <c r="AJ185" s="8">
        <f ca="1">IFERROR(VLOOKUP(PlayerGameData[[#This Row],[School, Opponent,Game'#]],Table3[],2,FALSE),0)</f>
        <v>1</v>
      </c>
      <c r="AK185" s="8">
        <f ca="1">IF(PlayerGameData[[#This Row],[Visible]]=1,1,1000)</f>
        <v>1</v>
      </c>
      <c r="AL185" s="8">
        <f ca="1">RANK(PlayerGameData[[#This Row],[TL PTS]],PlayerGameData[TL PTS],0)+PlayerGameData[[#This Row],[VisibleOrder]]</f>
        <v>185</v>
      </c>
      <c r="AM185" s="8">
        <f ca="1">IF(COUNTIF(PlayerGameData[PointOrder],PlayerGameData[[#This Row],[PointOrder]])&gt;1,RANK(PlayerGameData[[#This Row],[FGA]],PlayerGameData[FGA],0)/100,0)+PlayerGameData[[#This Row],[PointOrder]]</f>
        <v>187.14</v>
      </c>
      <c r="AN185" s="8">
        <f ca="1">RANK(PlayerGameData[[#This Row],[PointTieBreak]],PlayerGameData[PointTieBreak],1)</f>
        <v>216</v>
      </c>
      <c r="AO185" s="8">
        <f ca="1">RANK(PlayerGameData[[#This Row],[REB]],PlayerGameData[REB],0)+PlayerGameData[[#This Row],[VisibleOrder]]</f>
        <v>192</v>
      </c>
      <c r="AP185" s="8">
        <f ca="1">IF(COUNTIF(PlayerGameData[REBOrder],PlayerGameData[[#This Row],[REBOrder]])&gt;1,PlayerGameData[[#This Row],[PointRank]]/100+PlayerGameData[[#This Row],[REBOrder]],PlayerGameData[[#This Row],[REBOrder]])</f>
        <v>194.16</v>
      </c>
      <c r="AQ185" s="8">
        <f ca="1">RANK(PlayerGameData[[#This Row],[REBTieBreak]],PlayerGameData[REBTieBreak],1)</f>
        <v>224</v>
      </c>
      <c r="AR185" s="8">
        <f ca="1">RANK(PlayerGameData[[#This Row],[AST]],PlayerGameData[AST],0)+PlayerGameData[[#This Row],[VisibleOrder]]</f>
        <v>158</v>
      </c>
      <c r="AS185" s="8">
        <f ca="1">IF(COUNTIF(PlayerGameData[ASTOrder],PlayerGameData[[#This Row],[ASTOrder]])&gt;1,PlayerGameData[[#This Row],[PointRank]]/100+PlayerGameData[[#This Row],[ASTOrder]],PlayerGameData[[#This Row],[ASTOrder]])</f>
        <v>160.16</v>
      </c>
      <c r="AT185" s="8">
        <f ca="1">RANK(PlayerGameData[[#This Row],[ASTTieBreak]],PlayerGameData[ASTTieBreak],1)</f>
        <v>221</v>
      </c>
      <c r="AU185" s="8">
        <f ca="1">RANK(PlayerGameData[[#This Row],[STL]],PlayerGameData[STL],0)+PlayerGameData[[#This Row],[VisibleOrder]]</f>
        <v>143</v>
      </c>
      <c r="AV185" s="8">
        <f ca="1">IF(COUNTIF(PlayerGameData[STLOrder],PlayerGameData[[#This Row],[STLOrder]])&gt;1,PlayerGameData[[#This Row],[PointRank]]/100+PlayerGameData[[#This Row],[STLOrder]],PlayerGameData[[#This Row],[STLOrder]])</f>
        <v>145.16</v>
      </c>
      <c r="AW185" s="8">
        <f ca="1">RANK(PlayerGameData[[#This Row],[STLTieBreak]],PlayerGameData[STLTieBreak],1)</f>
        <v>217</v>
      </c>
      <c r="AX185" s="8">
        <f ca="1">RANK(PlayerGameData[[#This Row],[BLK]],PlayerGameData[BLK],0)+PlayerGameData[[#This Row],[VisibleOrder]]</f>
        <v>32</v>
      </c>
      <c r="AY185" s="8">
        <f ca="1">IF(COUNTIF(PlayerGameData[BLKOrder],PlayerGameData[[#This Row],[BLKOrder]])&gt;1,PlayerGameData[[#This Row],[PointRank]]/100+PlayerGameData[[#This Row],[BLKOrder]],PlayerGameData[[#This Row],[BLKOrder]])</f>
        <v>34.159999999999997</v>
      </c>
      <c r="AZ185" s="8">
        <f ca="1">RANK(PlayerGameData[[#This Row],[BLKTieBreak]],PlayerGameData[BLKTieBreak],1)</f>
        <v>216</v>
      </c>
      <c r="BA185" s="11">
        <f ca="1">IFERROR(IF(PlayerGameData[[#This Row],[FGA]]&gt;$AA$5,PlayerGameData[[#This Row],[FG%*]],PlayerGameData[[#This Row],[FG%*]]*-1),-2)</f>
        <v>-2</v>
      </c>
      <c r="BB185" s="8">
        <f ca="1">RANK(PlayerGameData[[#This Row],[EligFG]],PlayerGameData[EligFG],0)+PlayerGameData[[#This Row],[VisibleOrder]]</f>
        <v>215</v>
      </c>
      <c r="BC185" s="8">
        <f ca="1">IF(COUNTIF(PlayerGameData[EligFGOrder],PlayerGameData[[#This Row],[EligFGOrder]])&gt;1,PlayerGameData[[#This Row],[PointRank]]/100+PlayerGameData[[#This Row],[EligFGOrder]],PlayerGameData[[#This Row],[EligFGOrder]])</f>
        <v>217.16</v>
      </c>
      <c r="BD185" s="8">
        <f ca="1">RANK(PlayerGameData[[#This Row],[EligFGTieBreak]],PlayerGameData[EligFGTieBreak],1)</f>
        <v>216</v>
      </c>
      <c r="BE185" s="8" t="str">
        <f>Roster!$D$3</f>
        <v>East</v>
      </c>
      <c r="BF185" s="8" t="str">
        <f>Roster!$D$2</f>
        <v>Northeast</v>
      </c>
      <c r="BG185" s="8" t="str">
        <f>Roster!$D$4</f>
        <v>North</v>
      </c>
      <c r="BH185" s="197">
        <f ca="1">IFERROR(VLOOKUP(CONCATENATE(PlayerGameData[[#This Row],[Opponent]]," ",MONTH(PlayerGameData[[#This Row],[Date]]),"/",DAY(PlayerGameData[[#This Row],[Date]]),"/",YEAR(PlayerGameData[[#This Row],[Date]])),Table35[],2,FALSE),0)</f>
        <v>1</v>
      </c>
      <c r="BI185" s="197">
        <f ca="1">IF(PlayerGameData[[#This Row],[Visible]]=1,1,1000)</f>
        <v>1</v>
      </c>
      <c r="BJ185" s="197" t="e">
        <f ca="1">_xlfn.MAXIFS(TeamGameData[Win],TeamGameData[School, Opponent,Game'#],PlayerGameData[[#This Row],[School, Opponent,Game'#]])</f>
        <v>#NAME?</v>
      </c>
      <c r="BK185" s="197" t="e">
        <f ca="1">_xlfn.MAXIFS(TeamGameData[Loss],TeamGameData[School, Opponent,Game'#],PlayerGameData[[#This Row],[School, Opponent,Game'#]])</f>
        <v>#NAME?</v>
      </c>
    </row>
    <row r="186" spans="1:63" x14ac:dyDescent="0.25">
      <c r="A186" s="8" t="str">
        <f t="shared" ca="1" si="93"/>
        <v>Jacob McNutt, 34</v>
      </c>
      <c r="B186" s="8" t="str">
        <f>Roster!$B$1</f>
        <v>Upton</v>
      </c>
      <c r="C186" s="8" t="str">
        <f t="shared" ca="1" si="81"/>
        <v>New Underwood, SD</v>
      </c>
      <c r="D186" s="10">
        <f t="shared" ca="1" si="82"/>
        <v>44938</v>
      </c>
      <c r="E186" s="8">
        <f t="shared" ca="1" si="83"/>
        <v>0</v>
      </c>
      <c r="F186" s="8">
        <f t="shared" ca="1" si="84"/>
        <v>0</v>
      </c>
      <c r="G186" s="8">
        <f t="shared" ca="1" si="85"/>
        <v>0</v>
      </c>
      <c r="H186" s="8">
        <f t="shared" ca="1" si="86"/>
        <v>0</v>
      </c>
      <c r="I186" s="8">
        <f t="shared" ca="1" si="87"/>
        <v>0</v>
      </c>
      <c r="J186" s="8">
        <f t="shared" ca="1" si="88"/>
        <v>0</v>
      </c>
      <c r="K186" s="8">
        <f t="shared" ca="1" si="89"/>
        <v>0</v>
      </c>
      <c r="L186" s="8">
        <f t="shared" ca="1" si="94"/>
        <v>0</v>
      </c>
      <c r="M186" s="8">
        <f t="shared" ca="1" si="95"/>
        <v>0</v>
      </c>
      <c r="N186" s="8">
        <f t="shared" ca="1" si="96"/>
        <v>0</v>
      </c>
      <c r="O186" s="8">
        <f t="shared" ca="1" si="97"/>
        <v>0</v>
      </c>
      <c r="P186" s="8">
        <f t="shared" ca="1" si="98"/>
        <v>0</v>
      </c>
      <c r="Q186" s="8">
        <f t="shared" ca="1" si="99"/>
        <v>0</v>
      </c>
      <c r="R186" s="8">
        <f t="shared" ca="1" si="100"/>
        <v>0</v>
      </c>
      <c r="S186" s="8">
        <f t="shared" ca="1" si="101"/>
        <v>0</v>
      </c>
      <c r="T186" s="8">
        <f t="shared" ca="1" si="102"/>
        <v>0</v>
      </c>
      <c r="U186" s="8">
        <f t="shared" ca="1" si="103"/>
        <v>0</v>
      </c>
      <c r="V186" s="8">
        <f t="shared" ca="1" si="104"/>
        <v>0</v>
      </c>
      <c r="W186" s="11" t="str">
        <f t="shared" ca="1" si="105"/>
        <v/>
      </c>
      <c r="X186" s="11" t="str">
        <f t="shared" ca="1" si="106"/>
        <v/>
      </c>
      <c r="Y186" s="11" t="str">
        <f t="shared" ca="1" si="107"/>
        <v/>
      </c>
      <c r="Z186" s="11" t="str">
        <f t="shared" ca="1" si="108"/>
        <v/>
      </c>
      <c r="AA186" s="11" t="str">
        <f t="shared" ca="1" si="109"/>
        <v/>
      </c>
      <c r="AB186" s="47">
        <f ca="1">PlayerGameData[[#This Row],[3FGA]]+PlayerGameData[[#This Row],[2FGA]]</f>
        <v>0</v>
      </c>
      <c r="AC186" s="47">
        <f ca="1">PlayerGameData[[#This Row],[OFF REB]]+PlayerGameData[[#This Row],[DEF REB]]</f>
        <v>0</v>
      </c>
      <c r="AD186" s="8">
        <f t="shared" si="90"/>
        <v>8</v>
      </c>
      <c r="AE186" s="8" t="str">
        <f t="shared" ca="1" si="91"/>
        <v>Jacob McNutt, 34 - New Underwood, SD 1/12/2023</v>
      </c>
      <c r="AF186" s="8" t="str">
        <f t="shared" ca="1" si="110"/>
        <v/>
      </c>
      <c r="AG186" s="8" t="str">
        <f ca="1">IFERROR(IF(C186=0,"",IF(AND(VLOOKUP(PlayerGameData[[#This Row],[Opponent]],WYTeamInfo,2,FALSE)=Roster!$D$1,VLOOKUP(PlayerGameData[[#This Row],[Opponent]],WYTeamInfo,3,FALSE)=Roster!$D$2),"SR","")),"")</f>
        <v/>
      </c>
      <c r="AH186" s="8" t="str">
        <f>CONCATENATE(Roster!$D$1," ",Roster!$D$5)</f>
        <v>1A BB</v>
      </c>
      <c r="AI186" s="8" t="str">
        <f t="shared" ca="1" si="92"/>
        <v>Upton - New Underwood, SD 1/12/2023</v>
      </c>
      <c r="AJ186" s="8">
        <f ca="1">IFERROR(VLOOKUP(PlayerGameData[[#This Row],[School, Opponent,Game'#]],Table3[],2,FALSE),0)</f>
        <v>1</v>
      </c>
      <c r="AK186" s="8">
        <f ca="1">IF(PlayerGameData[[#This Row],[Visible]]=1,1,1000)</f>
        <v>1</v>
      </c>
      <c r="AL186" s="8">
        <f ca="1">RANK(PlayerGameData[[#This Row],[TL PTS]],PlayerGameData[TL PTS],0)+PlayerGameData[[#This Row],[VisibleOrder]]</f>
        <v>185</v>
      </c>
      <c r="AM186" s="8">
        <f ca="1">IF(COUNTIF(PlayerGameData[PointOrder],PlayerGameData[[#This Row],[PointOrder]])&gt;1,RANK(PlayerGameData[[#This Row],[FGA]],PlayerGameData[FGA],0)/100,0)+PlayerGameData[[#This Row],[PointOrder]]</f>
        <v>187.14</v>
      </c>
      <c r="AN186" s="8">
        <f ca="1">RANK(PlayerGameData[[#This Row],[PointTieBreak]],PlayerGameData[PointTieBreak],1)</f>
        <v>216</v>
      </c>
      <c r="AO186" s="8">
        <f ca="1">RANK(PlayerGameData[[#This Row],[REB]],PlayerGameData[REB],0)+PlayerGameData[[#This Row],[VisibleOrder]]</f>
        <v>192</v>
      </c>
      <c r="AP186" s="8">
        <f ca="1">IF(COUNTIF(PlayerGameData[REBOrder],PlayerGameData[[#This Row],[REBOrder]])&gt;1,PlayerGameData[[#This Row],[PointRank]]/100+PlayerGameData[[#This Row],[REBOrder]],PlayerGameData[[#This Row],[REBOrder]])</f>
        <v>194.16</v>
      </c>
      <c r="AQ186" s="8">
        <f ca="1">RANK(PlayerGameData[[#This Row],[REBTieBreak]],PlayerGameData[REBTieBreak],1)</f>
        <v>224</v>
      </c>
      <c r="AR186" s="8">
        <f ca="1">RANK(PlayerGameData[[#This Row],[AST]],PlayerGameData[AST],0)+PlayerGameData[[#This Row],[VisibleOrder]]</f>
        <v>158</v>
      </c>
      <c r="AS186" s="8">
        <f ca="1">IF(COUNTIF(PlayerGameData[ASTOrder],PlayerGameData[[#This Row],[ASTOrder]])&gt;1,PlayerGameData[[#This Row],[PointRank]]/100+PlayerGameData[[#This Row],[ASTOrder]],PlayerGameData[[#This Row],[ASTOrder]])</f>
        <v>160.16</v>
      </c>
      <c r="AT186" s="8">
        <f ca="1">RANK(PlayerGameData[[#This Row],[ASTTieBreak]],PlayerGameData[ASTTieBreak],1)</f>
        <v>221</v>
      </c>
      <c r="AU186" s="8">
        <f ca="1">RANK(PlayerGameData[[#This Row],[STL]],PlayerGameData[STL],0)+PlayerGameData[[#This Row],[VisibleOrder]]</f>
        <v>143</v>
      </c>
      <c r="AV186" s="8">
        <f ca="1">IF(COUNTIF(PlayerGameData[STLOrder],PlayerGameData[[#This Row],[STLOrder]])&gt;1,PlayerGameData[[#This Row],[PointRank]]/100+PlayerGameData[[#This Row],[STLOrder]],PlayerGameData[[#This Row],[STLOrder]])</f>
        <v>145.16</v>
      </c>
      <c r="AW186" s="8">
        <f ca="1">RANK(PlayerGameData[[#This Row],[STLTieBreak]],PlayerGameData[STLTieBreak],1)</f>
        <v>217</v>
      </c>
      <c r="AX186" s="8">
        <f ca="1">RANK(PlayerGameData[[#This Row],[BLK]],PlayerGameData[BLK],0)+PlayerGameData[[#This Row],[VisibleOrder]]</f>
        <v>32</v>
      </c>
      <c r="AY186" s="8">
        <f ca="1">IF(COUNTIF(PlayerGameData[BLKOrder],PlayerGameData[[#This Row],[BLKOrder]])&gt;1,PlayerGameData[[#This Row],[PointRank]]/100+PlayerGameData[[#This Row],[BLKOrder]],PlayerGameData[[#This Row],[BLKOrder]])</f>
        <v>34.159999999999997</v>
      </c>
      <c r="AZ186" s="8">
        <f ca="1">RANK(PlayerGameData[[#This Row],[BLKTieBreak]],PlayerGameData[BLKTieBreak],1)</f>
        <v>216</v>
      </c>
      <c r="BA186" s="11">
        <f ca="1">IFERROR(IF(PlayerGameData[[#This Row],[FGA]]&gt;$AA$5,PlayerGameData[[#This Row],[FG%*]],PlayerGameData[[#This Row],[FG%*]]*-1),-2)</f>
        <v>-2</v>
      </c>
      <c r="BB186" s="8">
        <f ca="1">RANK(PlayerGameData[[#This Row],[EligFG]],PlayerGameData[EligFG],0)+PlayerGameData[[#This Row],[VisibleOrder]]</f>
        <v>215</v>
      </c>
      <c r="BC186" s="8">
        <f ca="1">IF(COUNTIF(PlayerGameData[EligFGOrder],PlayerGameData[[#This Row],[EligFGOrder]])&gt;1,PlayerGameData[[#This Row],[PointRank]]/100+PlayerGameData[[#This Row],[EligFGOrder]],PlayerGameData[[#This Row],[EligFGOrder]])</f>
        <v>217.16</v>
      </c>
      <c r="BD186" s="8">
        <f ca="1">RANK(PlayerGameData[[#This Row],[EligFGTieBreak]],PlayerGameData[EligFGTieBreak],1)</f>
        <v>216</v>
      </c>
      <c r="BE186" s="8" t="str">
        <f>Roster!$D$3</f>
        <v>East</v>
      </c>
      <c r="BF186" s="8" t="str">
        <f>Roster!$D$2</f>
        <v>Northeast</v>
      </c>
      <c r="BG186" s="8" t="str">
        <f>Roster!$D$4</f>
        <v>North</v>
      </c>
      <c r="BH186" s="197">
        <f ca="1">IFERROR(VLOOKUP(CONCATENATE(PlayerGameData[[#This Row],[Opponent]]," ",MONTH(PlayerGameData[[#This Row],[Date]]),"/",DAY(PlayerGameData[[#This Row],[Date]]),"/",YEAR(PlayerGameData[[#This Row],[Date]])),Table35[],2,FALSE),0)</f>
        <v>1</v>
      </c>
      <c r="BI186" s="197">
        <f ca="1">IF(PlayerGameData[[#This Row],[Visible]]=1,1,1000)</f>
        <v>1</v>
      </c>
      <c r="BJ186" s="197" t="e">
        <f ca="1">_xlfn.MAXIFS(TeamGameData[Win],TeamGameData[School, Opponent,Game'#],PlayerGameData[[#This Row],[School, Opponent,Game'#]])</f>
        <v>#NAME?</v>
      </c>
      <c r="BK186" s="197" t="e">
        <f ca="1">_xlfn.MAXIFS(TeamGameData[Loss],TeamGameData[School, Opponent,Game'#],PlayerGameData[[#This Row],[School, Opponent,Game'#]])</f>
        <v>#NAME?</v>
      </c>
    </row>
    <row r="187" spans="1:63" x14ac:dyDescent="0.25">
      <c r="A187" s="8" t="str">
        <f t="shared" ca="1" si="93"/>
        <v>Ryan Baker, 35</v>
      </c>
      <c r="B187" s="8" t="str">
        <f>Roster!$B$1</f>
        <v>Upton</v>
      </c>
      <c r="C187" s="8" t="str">
        <f t="shared" ca="1" si="81"/>
        <v>New Underwood, SD</v>
      </c>
      <c r="D187" s="10">
        <f t="shared" ca="1" si="82"/>
        <v>44938</v>
      </c>
      <c r="E187" s="8">
        <f t="shared" ca="1" si="83"/>
        <v>1</v>
      </c>
      <c r="F187" s="8">
        <f t="shared" ca="1" si="84"/>
        <v>0</v>
      </c>
      <c r="G187" s="8">
        <f t="shared" ca="1" si="85"/>
        <v>7</v>
      </c>
      <c r="H187" s="8">
        <f t="shared" ca="1" si="86"/>
        <v>0</v>
      </c>
      <c r="I187" s="8">
        <f t="shared" ca="1" si="87"/>
        <v>0</v>
      </c>
      <c r="J187" s="8">
        <f t="shared" ca="1" si="88"/>
        <v>0</v>
      </c>
      <c r="K187" s="8">
        <f t="shared" ca="1" si="89"/>
        <v>0</v>
      </c>
      <c r="L187" s="8">
        <f t="shared" ca="1" si="94"/>
        <v>0</v>
      </c>
      <c r="M187" s="8">
        <f t="shared" ca="1" si="95"/>
        <v>1</v>
      </c>
      <c r="N187" s="8">
        <f t="shared" ca="1" si="96"/>
        <v>0</v>
      </c>
      <c r="O187" s="8">
        <f t="shared" ca="1" si="97"/>
        <v>0</v>
      </c>
      <c r="P187" s="8">
        <f t="shared" ca="1" si="98"/>
        <v>0</v>
      </c>
      <c r="Q187" s="8">
        <f t="shared" ca="1" si="99"/>
        <v>0</v>
      </c>
      <c r="R187" s="8">
        <f t="shared" ca="1" si="100"/>
        <v>0</v>
      </c>
      <c r="S187" s="8">
        <f t="shared" ca="1" si="101"/>
        <v>0</v>
      </c>
      <c r="T187" s="8">
        <f t="shared" ca="1" si="102"/>
        <v>1</v>
      </c>
      <c r="U187" s="8">
        <f t="shared" ca="1" si="103"/>
        <v>0</v>
      </c>
      <c r="V187" s="8">
        <f t="shared" ca="1" si="104"/>
        <v>0</v>
      </c>
      <c r="W187" s="11" t="str">
        <f t="shared" ca="1" si="105"/>
        <v/>
      </c>
      <c r="X187" s="11" t="str">
        <f t="shared" ca="1" si="106"/>
        <v/>
      </c>
      <c r="Y187" s="11">
        <f t="shared" ca="1" si="107"/>
        <v>0</v>
      </c>
      <c r="Z187" s="11" t="str">
        <f t="shared" ca="1" si="108"/>
        <v/>
      </c>
      <c r="AA187" s="11" t="str">
        <f t="shared" ca="1" si="109"/>
        <v/>
      </c>
      <c r="AB187" s="47">
        <f ca="1">PlayerGameData[[#This Row],[3FGA]]+PlayerGameData[[#This Row],[2FGA]]</f>
        <v>0</v>
      </c>
      <c r="AC187" s="47">
        <f ca="1">PlayerGameData[[#This Row],[OFF REB]]+PlayerGameData[[#This Row],[DEF REB]]</f>
        <v>0</v>
      </c>
      <c r="AD187" s="8">
        <f t="shared" si="90"/>
        <v>8</v>
      </c>
      <c r="AE187" s="8" t="str">
        <f t="shared" ca="1" si="91"/>
        <v>Ryan Baker, 35 - New Underwood, SD 1/12/2023</v>
      </c>
      <c r="AF187" s="8" t="str">
        <f t="shared" ca="1" si="110"/>
        <v/>
      </c>
      <c r="AG187" s="8" t="str">
        <f ca="1">IFERROR(IF(C187=0,"",IF(AND(VLOOKUP(PlayerGameData[[#This Row],[Opponent]],WYTeamInfo,2,FALSE)=Roster!$D$1,VLOOKUP(PlayerGameData[[#This Row],[Opponent]],WYTeamInfo,3,FALSE)=Roster!$D$2),"SR","")),"")</f>
        <v/>
      </c>
      <c r="AH187" s="8" t="str">
        <f>CONCATENATE(Roster!$D$1," ",Roster!$D$5)</f>
        <v>1A BB</v>
      </c>
      <c r="AI187" s="8" t="str">
        <f t="shared" ca="1" si="92"/>
        <v>Upton - New Underwood, SD 1/12/2023</v>
      </c>
      <c r="AJ187" s="8">
        <f ca="1">IFERROR(VLOOKUP(PlayerGameData[[#This Row],[School, Opponent,Game'#]],Table3[],2,FALSE),0)</f>
        <v>1</v>
      </c>
      <c r="AK187" s="8">
        <f ca="1">IF(PlayerGameData[[#This Row],[Visible]]=1,1,1000)</f>
        <v>1</v>
      </c>
      <c r="AL187" s="8">
        <f ca="1">RANK(PlayerGameData[[#This Row],[TL PTS]],PlayerGameData[TL PTS],0)+PlayerGameData[[#This Row],[VisibleOrder]]</f>
        <v>185</v>
      </c>
      <c r="AM187" s="8">
        <f ca="1">IF(COUNTIF(PlayerGameData[PointOrder],PlayerGameData[[#This Row],[PointOrder]])&gt;1,RANK(PlayerGameData[[#This Row],[FGA]],PlayerGameData[FGA],0)/100,0)+PlayerGameData[[#This Row],[PointOrder]]</f>
        <v>187.14</v>
      </c>
      <c r="AN187" s="8">
        <f ca="1">RANK(PlayerGameData[[#This Row],[PointTieBreak]],PlayerGameData[PointTieBreak],1)</f>
        <v>216</v>
      </c>
      <c r="AO187" s="8">
        <f ca="1">RANK(PlayerGameData[[#This Row],[REB]],PlayerGameData[REB],0)+PlayerGameData[[#This Row],[VisibleOrder]]</f>
        <v>192</v>
      </c>
      <c r="AP187" s="8">
        <f ca="1">IF(COUNTIF(PlayerGameData[REBOrder],PlayerGameData[[#This Row],[REBOrder]])&gt;1,PlayerGameData[[#This Row],[PointRank]]/100+PlayerGameData[[#This Row],[REBOrder]],PlayerGameData[[#This Row],[REBOrder]])</f>
        <v>194.16</v>
      </c>
      <c r="AQ187" s="8">
        <f ca="1">RANK(PlayerGameData[[#This Row],[REBTieBreak]],PlayerGameData[REBTieBreak],1)</f>
        <v>224</v>
      </c>
      <c r="AR187" s="8">
        <f ca="1">RANK(PlayerGameData[[#This Row],[AST]],PlayerGameData[AST],0)+PlayerGameData[[#This Row],[VisibleOrder]]</f>
        <v>158</v>
      </c>
      <c r="AS187" s="8">
        <f ca="1">IF(COUNTIF(PlayerGameData[ASTOrder],PlayerGameData[[#This Row],[ASTOrder]])&gt;1,PlayerGameData[[#This Row],[PointRank]]/100+PlayerGameData[[#This Row],[ASTOrder]],PlayerGameData[[#This Row],[ASTOrder]])</f>
        <v>160.16</v>
      </c>
      <c r="AT187" s="8">
        <f ca="1">RANK(PlayerGameData[[#This Row],[ASTTieBreak]],PlayerGameData[ASTTieBreak],1)</f>
        <v>221</v>
      </c>
      <c r="AU187" s="8">
        <f ca="1">RANK(PlayerGameData[[#This Row],[STL]],PlayerGameData[STL],0)+PlayerGameData[[#This Row],[VisibleOrder]]</f>
        <v>143</v>
      </c>
      <c r="AV187" s="8">
        <f ca="1">IF(COUNTIF(PlayerGameData[STLOrder],PlayerGameData[[#This Row],[STLOrder]])&gt;1,PlayerGameData[[#This Row],[PointRank]]/100+PlayerGameData[[#This Row],[STLOrder]],PlayerGameData[[#This Row],[STLOrder]])</f>
        <v>145.16</v>
      </c>
      <c r="AW187" s="8">
        <f ca="1">RANK(PlayerGameData[[#This Row],[STLTieBreak]],PlayerGameData[STLTieBreak],1)</f>
        <v>217</v>
      </c>
      <c r="AX187" s="8">
        <f ca="1">RANK(PlayerGameData[[#This Row],[BLK]],PlayerGameData[BLK],0)+PlayerGameData[[#This Row],[VisibleOrder]]</f>
        <v>32</v>
      </c>
      <c r="AY187" s="8">
        <f ca="1">IF(COUNTIF(PlayerGameData[BLKOrder],PlayerGameData[[#This Row],[BLKOrder]])&gt;1,PlayerGameData[[#This Row],[PointRank]]/100+PlayerGameData[[#This Row],[BLKOrder]],PlayerGameData[[#This Row],[BLKOrder]])</f>
        <v>34.159999999999997</v>
      </c>
      <c r="AZ187" s="8">
        <f ca="1">RANK(PlayerGameData[[#This Row],[BLKTieBreak]],PlayerGameData[BLKTieBreak],1)</f>
        <v>216</v>
      </c>
      <c r="BA187" s="11">
        <f ca="1">IFERROR(IF(PlayerGameData[[#This Row],[FGA]]&gt;$AA$5,PlayerGameData[[#This Row],[FG%*]],PlayerGameData[[#This Row],[FG%*]]*-1),-2)</f>
        <v>-2</v>
      </c>
      <c r="BB187" s="8">
        <f ca="1">RANK(PlayerGameData[[#This Row],[EligFG]],PlayerGameData[EligFG],0)+PlayerGameData[[#This Row],[VisibleOrder]]</f>
        <v>215</v>
      </c>
      <c r="BC187" s="8">
        <f ca="1">IF(COUNTIF(PlayerGameData[EligFGOrder],PlayerGameData[[#This Row],[EligFGOrder]])&gt;1,PlayerGameData[[#This Row],[PointRank]]/100+PlayerGameData[[#This Row],[EligFGOrder]],PlayerGameData[[#This Row],[EligFGOrder]])</f>
        <v>217.16</v>
      </c>
      <c r="BD187" s="8">
        <f ca="1">RANK(PlayerGameData[[#This Row],[EligFGTieBreak]],PlayerGameData[EligFGTieBreak],1)</f>
        <v>216</v>
      </c>
      <c r="BE187" s="8" t="str">
        <f>Roster!$D$3</f>
        <v>East</v>
      </c>
      <c r="BF187" s="8" t="str">
        <f>Roster!$D$2</f>
        <v>Northeast</v>
      </c>
      <c r="BG187" s="8" t="str">
        <f>Roster!$D$4</f>
        <v>North</v>
      </c>
      <c r="BH187" s="197">
        <f ca="1">IFERROR(VLOOKUP(CONCATENATE(PlayerGameData[[#This Row],[Opponent]]," ",MONTH(PlayerGameData[[#This Row],[Date]]),"/",DAY(PlayerGameData[[#This Row],[Date]]),"/",YEAR(PlayerGameData[[#This Row],[Date]])),Table35[],2,FALSE),0)</f>
        <v>1</v>
      </c>
      <c r="BI187" s="197">
        <f ca="1">IF(PlayerGameData[[#This Row],[Visible]]=1,1,1000)</f>
        <v>1</v>
      </c>
      <c r="BJ187" s="197" t="e">
        <f ca="1">_xlfn.MAXIFS(TeamGameData[Win],TeamGameData[School, Opponent,Game'#],PlayerGameData[[#This Row],[School, Opponent,Game'#]])</f>
        <v>#NAME?</v>
      </c>
      <c r="BK187" s="197" t="e">
        <f ca="1">_xlfn.MAXIFS(TeamGameData[Loss],TeamGameData[School, Opponent,Game'#],PlayerGameData[[#This Row],[School, Opponent,Game'#]])</f>
        <v>#NAME?</v>
      </c>
    </row>
    <row r="188" spans="1:63" x14ac:dyDescent="0.25">
      <c r="A188" s="8" t="str">
        <f t="shared" ca="1" si="93"/>
        <v xml:space="preserve">, </v>
      </c>
      <c r="B188" s="8" t="str">
        <f>Roster!$B$1</f>
        <v>Upton</v>
      </c>
      <c r="C188" s="8" t="str">
        <f t="shared" ca="1" si="81"/>
        <v>New Underwood, SD</v>
      </c>
      <c r="D188" s="10">
        <f t="shared" ca="1" si="82"/>
        <v>44938</v>
      </c>
      <c r="E188" s="8">
        <f t="shared" ca="1" si="83"/>
        <v>0</v>
      </c>
      <c r="F188" s="8">
        <f t="shared" ca="1" si="84"/>
        <v>0</v>
      </c>
      <c r="G188" s="8">
        <f t="shared" ca="1" si="85"/>
        <v>0</v>
      </c>
      <c r="H188" s="8">
        <f t="shared" ca="1" si="86"/>
        <v>0</v>
      </c>
      <c r="I188" s="8">
        <f t="shared" ca="1" si="87"/>
        <v>0</v>
      </c>
      <c r="J188" s="8">
        <f t="shared" ca="1" si="88"/>
        <v>0</v>
      </c>
      <c r="K188" s="8">
        <f t="shared" ca="1" si="89"/>
        <v>0</v>
      </c>
      <c r="L188" s="8">
        <f t="shared" ca="1" si="94"/>
        <v>0</v>
      </c>
      <c r="M188" s="8">
        <f t="shared" ca="1" si="95"/>
        <v>0</v>
      </c>
      <c r="N188" s="8">
        <f t="shared" ca="1" si="96"/>
        <v>0</v>
      </c>
      <c r="O188" s="8">
        <f t="shared" ca="1" si="97"/>
        <v>0</v>
      </c>
      <c r="P188" s="8">
        <f t="shared" ca="1" si="98"/>
        <v>0</v>
      </c>
      <c r="Q188" s="8">
        <f t="shared" ca="1" si="99"/>
        <v>0</v>
      </c>
      <c r="R188" s="8">
        <f t="shared" ca="1" si="100"/>
        <v>0</v>
      </c>
      <c r="S188" s="8">
        <f t="shared" ca="1" si="101"/>
        <v>0</v>
      </c>
      <c r="T188" s="8">
        <f t="shared" ca="1" si="102"/>
        <v>0</v>
      </c>
      <c r="U188" s="8">
        <f t="shared" ca="1" si="103"/>
        <v>0</v>
      </c>
      <c r="V188" s="8">
        <f t="shared" ca="1" si="104"/>
        <v>0</v>
      </c>
      <c r="W188" s="11" t="str">
        <f t="shared" ca="1" si="105"/>
        <v/>
      </c>
      <c r="X188" s="11" t="str">
        <f t="shared" ca="1" si="106"/>
        <v/>
      </c>
      <c r="Y188" s="11" t="str">
        <f t="shared" ca="1" si="107"/>
        <v/>
      </c>
      <c r="Z188" s="11" t="str">
        <f t="shared" ca="1" si="108"/>
        <v/>
      </c>
      <c r="AA188" s="11" t="str">
        <f t="shared" ca="1" si="109"/>
        <v/>
      </c>
      <c r="AB188" s="47">
        <f ca="1">PlayerGameData[[#This Row],[3FGA]]+PlayerGameData[[#This Row],[2FGA]]</f>
        <v>0</v>
      </c>
      <c r="AC188" s="47">
        <f ca="1">PlayerGameData[[#This Row],[OFF REB]]+PlayerGameData[[#This Row],[DEF REB]]</f>
        <v>0</v>
      </c>
      <c r="AD188" s="8">
        <f t="shared" si="90"/>
        <v>8</v>
      </c>
      <c r="AE188" s="8" t="str">
        <f t="shared" ca="1" si="91"/>
        <v>,  - New Underwood, SD 1/12/2023</v>
      </c>
      <c r="AF188" s="8" t="str">
        <f t="shared" ca="1" si="110"/>
        <v/>
      </c>
      <c r="AG188" s="8" t="str">
        <f ca="1">IFERROR(IF(C188=0,"",IF(AND(VLOOKUP(PlayerGameData[[#This Row],[Opponent]],WYTeamInfo,2,FALSE)=Roster!$D$1,VLOOKUP(PlayerGameData[[#This Row],[Opponent]],WYTeamInfo,3,FALSE)=Roster!$D$2),"SR","")),"")</f>
        <v/>
      </c>
      <c r="AH188" s="8" t="str">
        <f>CONCATENATE(Roster!$D$1," ",Roster!$D$5)</f>
        <v>1A BB</v>
      </c>
      <c r="AI188" s="8" t="str">
        <f t="shared" ca="1" si="92"/>
        <v>Upton - New Underwood, SD 1/12/2023</v>
      </c>
      <c r="AJ188" s="8">
        <f ca="1">IFERROR(VLOOKUP(PlayerGameData[[#This Row],[School, Opponent,Game'#]],Table3[],2,FALSE),0)</f>
        <v>1</v>
      </c>
      <c r="AK188" s="8">
        <f ca="1">IF(PlayerGameData[[#This Row],[Visible]]=1,1,1000)</f>
        <v>1</v>
      </c>
      <c r="AL188" s="8">
        <f ca="1">RANK(PlayerGameData[[#This Row],[TL PTS]],PlayerGameData[TL PTS],0)+PlayerGameData[[#This Row],[VisibleOrder]]</f>
        <v>185</v>
      </c>
      <c r="AM188" s="8">
        <f ca="1">IF(COUNTIF(PlayerGameData[PointOrder],PlayerGameData[[#This Row],[PointOrder]])&gt;1,RANK(PlayerGameData[[#This Row],[FGA]],PlayerGameData[FGA],0)/100,0)+PlayerGameData[[#This Row],[PointOrder]]</f>
        <v>187.14</v>
      </c>
      <c r="AN188" s="8">
        <f ca="1">RANK(PlayerGameData[[#This Row],[PointTieBreak]],PlayerGameData[PointTieBreak],1)</f>
        <v>216</v>
      </c>
      <c r="AO188" s="8">
        <f ca="1">RANK(PlayerGameData[[#This Row],[REB]],PlayerGameData[REB],0)+PlayerGameData[[#This Row],[VisibleOrder]]</f>
        <v>192</v>
      </c>
      <c r="AP188" s="8">
        <f ca="1">IF(COUNTIF(PlayerGameData[REBOrder],PlayerGameData[[#This Row],[REBOrder]])&gt;1,PlayerGameData[[#This Row],[PointRank]]/100+PlayerGameData[[#This Row],[REBOrder]],PlayerGameData[[#This Row],[REBOrder]])</f>
        <v>194.16</v>
      </c>
      <c r="AQ188" s="8">
        <f ca="1">RANK(PlayerGameData[[#This Row],[REBTieBreak]],PlayerGameData[REBTieBreak],1)</f>
        <v>224</v>
      </c>
      <c r="AR188" s="8">
        <f ca="1">RANK(PlayerGameData[[#This Row],[AST]],PlayerGameData[AST],0)+PlayerGameData[[#This Row],[VisibleOrder]]</f>
        <v>158</v>
      </c>
      <c r="AS188" s="8">
        <f ca="1">IF(COUNTIF(PlayerGameData[ASTOrder],PlayerGameData[[#This Row],[ASTOrder]])&gt;1,PlayerGameData[[#This Row],[PointRank]]/100+PlayerGameData[[#This Row],[ASTOrder]],PlayerGameData[[#This Row],[ASTOrder]])</f>
        <v>160.16</v>
      </c>
      <c r="AT188" s="8">
        <f ca="1">RANK(PlayerGameData[[#This Row],[ASTTieBreak]],PlayerGameData[ASTTieBreak],1)</f>
        <v>221</v>
      </c>
      <c r="AU188" s="8">
        <f ca="1">RANK(PlayerGameData[[#This Row],[STL]],PlayerGameData[STL],0)+PlayerGameData[[#This Row],[VisibleOrder]]</f>
        <v>143</v>
      </c>
      <c r="AV188" s="8">
        <f ca="1">IF(COUNTIF(PlayerGameData[STLOrder],PlayerGameData[[#This Row],[STLOrder]])&gt;1,PlayerGameData[[#This Row],[PointRank]]/100+PlayerGameData[[#This Row],[STLOrder]],PlayerGameData[[#This Row],[STLOrder]])</f>
        <v>145.16</v>
      </c>
      <c r="AW188" s="8">
        <f ca="1">RANK(PlayerGameData[[#This Row],[STLTieBreak]],PlayerGameData[STLTieBreak],1)</f>
        <v>217</v>
      </c>
      <c r="AX188" s="8">
        <f ca="1">RANK(PlayerGameData[[#This Row],[BLK]],PlayerGameData[BLK],0)+PlayerGameData[[#This Row],[VisibleOrder]]</f>
        <v>32</v>
      </c>
      <c r="AY188" s="8">
        <f ca="1">IF(COUNTIF(PlayerGameData[BLKOrder],PlayerGameData[[#This Row],[BLKOrder]])&gt;1,PlayerGameData[[#This Row],[PointRank]]/100+PlayerGameData[[#This Row],[BLKOrder]],PlayerGameData[[#This Row],[BLKOrder]])</f>
        <v>34.159999999999997</v>
      </c>
      <c r="AZ188" s="8">
        <f ca="1">RANK(PlayerGameData[[#This Row],[BLKTieBreak]],PlayerGameData[BLKTieBreak],1)</f>
        <v>216</v>
      </c>
      <c r="BA188" s="11">
        <f ca="1">IFERROR(IF(PlayerGameData[[#This Row],[FGA]]&gt;$AA$5,PlayerGameData[[#This Row],[FG%*]],PlayerGameData[[#This Row],[FG%*]]*-1),-2)</f>
        <v>-2</v>
      </c>
      <c r="BB188" s="8">
        <f ca="1">RANK(PlayerGameData[[#This Row],[EligFG]],PlayerGameData[EligFG],0)+PlayerGameData[[#This Row],[VisibleOrder]]</f>
        <v>215</v>
      </c>
      <c r="BC188" s="8">
        <f ca="1">IF(COUNTIF(PlayerGameData[EligFGOrder],PlayerGameData[[#This Row],[EligFGOrder]])&gt;1,PlayerGameData[[#This Row],[PointRank]]/100+PlayerGameData[[#This Row],[EligFGOrder]],PlayerGameData[[#This Row],[EligFGOrder]])</f>
        <v>217.16</v>
      </c>
      <c r="BD188" s="8">
        <f ca="1">RANK(PlayerGameData[[#This Row],[EligFGTieBreak]],PlayerGameData[EligFGTieBreak],1)</f>
        <v>216</v>
      </c>
      <c r="BE188" s="8" t="str">
        <f>Roster!$D$3</f>
        <v>East</v>
      </c>
      <c r="BF188" s="8" t="str">
        <f>Roster!$D$2</f>
        <v>Northeast</v>
      </c>
      <c r="BG188" s="8" t="str">
        <f>Roster!$D$4</f>
        <v>North</v>
      </c>
      <c r="BH188" s="197">
        <f ca="1">IFERROR(VLOOKUP(CONCATENATE(PlayerGameData[[#This Row],[Opponent]]," ",MONTH(PlayerGameData[[#This Row],[Date]]),"/",DAY(PlayerGameData[[#This Row],[Date]]),"/",YEAR(PlayerGameData[[#This Row],[Date]])),Table35[],2,FALSE),0)</f>
        <v>1</v>
      </c>
      <c r="BI188" s="197">
        <f ca="1">IF(PlayerGameData[[#This Row],[Visible]]=1,1,1000)</f>
        <v>1</v>
      </c>
      <c r="BJ188" s="197" t="e">
        <f ca="1">_xlfn.MAXIFS(TeamGameData[Win],TeamGameData[School, Opponent,Game'#],PlayerGameData[[#This Row],[School, Opponent,Game'#]])</f>
        <v>#NAME?</v>
      </c>
      <c r="BK188" s="197" t="e">
        <f ca="1">_xlfn.MAXIFS(TeamGameData[Loss],TeamGameData[School, Opponent,Game'#],PlayerGameData[[#This Row],[School, Opponent,Game'#]])</f>
        <v>#NAME?</v>
      </c>
    </row>
    <row r="189" spans="1:63" x14ac:dyDescent="0.25">
      <c r="A189" s="8" t="str">
        <f t="shared" ca="1" si="93"/>
        <v xml:space="preserve">, </v>
      </c>
      <c r="B189" s="8" t="str">
        <f>Roster!$B$1</f>
        <v>Upton</v>
      </c>
      <c r="C189" s="8" t="str">
        <f t="shared" ca="1" si="81"/>
        <v>New Underwood, SD</v>
      </c>
      <c r="D189" s="10">
        <f t="shared" ca="1" si="82"/>
        <v>44938</v>
      </c>
      <c r="E189" s="8">
        <f t="shared" ca="1" si="83"/>
        <v>0</v>
      </c>
      <c r="F189" s="8">
        <f t="shared" ca="1" si="84"/>
        <v>0</v>
      </c>
      <c r="G189" s="8">
        <f t="shared" ca="1" si="85"/>
        <v>0</v>
      </c>
      <c r="H189" s="8">
        <f t="shared" ca="1" si="86"/>
        <v>0</v>
      </c>
      <c r="I189" s="8">
        <f t="shared" ca="1" si="87"/>
        <v>0</v>
      </c>
      <c r="J189" s="8">
        <f t="shared" ca="1" si="88"/>
        <v>0</v>
      </c>
      <c r="K189" s="8">
        <f t="shared" ca="1" si="89"/>
        <v>0</v>
      </c>
      <c r="L189" s="8">
        <f t="shared" ca="1" si="94"/>
        <v>0</v>
      </c>
      <c r="M189" s="8">
        <f t="shared" ca="1" si="95"/>
        <v>0</v>
      </c>
      <c r="N189" s="8">
        <f t="shared" ca="1" si="96"/>
        <v>0</v>
      </c>
      <c r="O189" s="8">
        <f t="shared" ca="1" si="97"/>
        <v>0</v>
      </c>
      <c r="P189" s="8">
        <f t="shared" ca="1" si="98"/>
        <v>0</v>
      </c>
      <c r="Q189" s="8">
        <f t="shared" ca="1" si="99"/>
        <v>0</v>
      </c>
      <c r="R189" s="8">
        <f t="shared" ca="1" si="100"/>
        <v>0</v>
      </c>
      <c r="S189" s="8">
        <f t="shared" ca="1" si="101"/>
        <v>0</v>
      </c>
      <c r="T189" s="8">
        <f t="shared" ca="1" si="102"/>
        <v>0</v>
      </c>
      <c r="U189" s="8">
        <f t="shared" ca="1" si="103"/>
        <v>0</v>
      </c>
      <c r="V189" s="8">
        <f t="shared" ca="1" si="104"/>
        <v>0</v>
      </c>
      <c r="W189" s="11" t="str">
        <f t="shared" ca="1" si="105"/>
        <v/>
      </c>
      <c r="X189" s="11" t="str">
        <f t="shared" ca="1" si="106"/>
        <v/>
      </c>
      <c r="Y189" s="11" t="str">
        <f t="shared" ca="1" si="107"/>
        <v/>
      </c>
      <c r="Z189" s="11" t="str">
        <f t="shared" ca="1" si="108"/>
        <v/>
      </c>
      <c r="AA189" s="11" t="str">
        <f t="shared" ca="1" si="109"/>
        <v/>
      </c>
      <c r="AB189" s="47">
        <f ca="1">PlayerGameData[[#This Row],[3FGA]]+PlayerGameData[[#This Row],[2FGA]]</f>
        <v>0</v>
      </c>
      <c r="AC189" s="47">
        <f ca="1">PlayerGameData[[#This Row],[OFF REB]]+PlayerGameData[[#This Row],[DEF REB]]</f>
        <v>0</v>
      </c>
      <c r="AD189" s="8">
        <f t="shared" si="90"/>
        <v>8</v>
      </c>
      <c r="AE189" s="8" t="str">
        <f t="shared" ca="1" si="91"/>
        <v>,  - New Underwood, SD 1/12/2023</v>
      </c>
      <c r="AF189" s="8" t="str">
        <f t="shared" ca="1" si="110"/>
        <v/>
      </c>
      <c r="AG189" s="8" t="str">
        <f ca="1">IFERROR(IF(C189=0,"",IF(AND(VLOOKUP(PlayerGameData[[#This Row],[Opponent]],WYTeamInfo,2,FALSE)=Roster!$D$1,VLOOKUP(PlayerGameData[[#This Row],[Opponent]],WYTeamInfo,3,FALSE)=Roster!$D$2),"SR","")),"")</f>
        <v/>
      </c>
      <c r="AH189" s="8" t="str">
        <f>CONCATENATE(Roster!$D$1," ",Roster!$D$5)</f>
        <v>1A BB</v>
      </c>
      <c r="AI189" s="8" t="str">
        <f t="shared" ca="1" si="92"/>
        <v>Upton - New Underwood, SD 1/12/2023</v>
      </c>
      <c r="AJ189" s="8">
        <f ca="1">IFERROR(VLOOKUP(PlayerGameData[[#This Row],[School, Opponent,Game'#]],Table3[],2,FALSE),0)</f>
        <v>1</v>
      </c>
      <c r="AK189" s="8">
        <f ca="1">IF(PlayerGameData[[#This Row],[Visible]]=1,1,1000)</f>
        <v>1</v>
      </c>
      <c r="AL189" s="8">
        <f ca="1">RANK(PlayerGameData[[#This Row],[TL PTS]],PlayerGameData[TL PTS],0)+PlayerGameData[[#This Row],[VisibleOrder]]</f>
        <v>185</v>
      </c>
      <c r="AM189" s="8">
        <f ca="1">IF(COUNTIF(PlayerGameData[PointOrder],PlayerGameData[[#This Row],[PointOrder]])&gt;1,RANK(PlayerGameData[[#This Row],[FGA]],PlayerGameData[FGA],0)/100,0)+PlayerGameData[[#This Row],[PointOrder]]</f>
        <v>187.14</v>
      </c>
      <c r="AN189" s="8">
        <f ca="1">RANK(PlayerGameData[[#This Row],[PointTieBreak]],PlayerGameData[PointTieBreak],1)</f>
        <v>216</v>
      </c>
      <c r="AO189" s="8">
        <f ca="1">RANK(PlayerGameData[[#This Row],[REB]],PlayerGameData[REB],0)+PlayerGameData[[#This Row],[VisibleOrder]]</f>
        <v>192</v>
      </c>
      <c r="AP189" s="8">
        <f ca="1">IF(COUNTIF(PlayerGameData[REBOrder],PlayerGameData[[#This Row],[REBOrder]])&gt;1,PlayerGameData[[#This Row],[PointRank]]/100+PlayerGameData[[#This Row],[REBOrder]],PlayerGameData[[#This Row],[REBOrder]])</f>
        <v>194.16</v>
      </c>
      <c r="AQ189" s="8">
        <f ca="1">RANK(PlayerGameData[[#This Row],[REBTieBreak]],PlayerGameData[REBTieBreak],1)</f>
        <v>224</v>
      </c>
      <c r="AR189" s="8">
        <f ca="1">RANK(PlayerGameData[[#This Row],[AST]],PlayerGameData[AST],0)+PlayerGameData[[#This Row],[VisibleOrder]]</f>
        <v>158</v>
      </c>
      <c r="AS189" s="8">
        <f ca="1">IF(COUNTIF(PlayerGameData[ASTOrder],PlayerGameData[[#This Row],[ASTOrder]])&gt;1,PlayerGameData[[#This Row],[PointRank]]/100+PlayerGameData[[#This Row],[ASTOrder]],PlayerGameData[[#This Row],[ASTOrder]])</f>
        <v>160.16</v>
      </c>
      <c r="AT189" s="8">
        <f ca="1">RANK(PlayerGameData[[#This Row],[ASTTieBreak]],PlayerGameData[ASTTieBreak],1)</f>
        <v>221</v>
      </c>
      <c r="AU189" s="8">
        <f ca="1">RANK(PlayerGameData[[#This Row],[STL]],PlayerGameData[STL],0)+PlayerGameData[[#This Row],[VisibleOrder]]</f>
        <v>143</v>
      </c>
      <c r="AV189" s="8">
        <f ca="1">IF(COUNTIF(PlayerGameData[STLOrder],PlayerGameData[[#This Row],[STLOrder]])&gt;1,PlayerGameData[[#This Row],[PointRank]]/100+PlayerGameData[[#This Row],[STLOrder]],PlayerGameData[[#This Row],[STLOrder]])</f>
        <v>145.16</v>
      </c>
      <c r="AW189" s="8">
        <f ca="1">RANK(PlayerGameData[[#This Row],[STLTieBreak]],PlayerGameData[STLTieBreak],1)</f>
        <v>217</v>
      </c>
      <c r="AX189" s="8">
        <f ca="1">RANK(PlayerGameData[[#This Row],[BLK]],PlayerGameData[BLK],0)+PlayerGameData[[#This Row],[VisibleOrder]]</f>
        <v>32</v>
      </c>
      <c r="AY189" s="8">
        <f ca="1">IF(COUNTIF(PlayerGameData[BLKOrder],PlayerGameData[[#This Row],[BLKOrder]])&gt;1,PlayerGameData[[#This Row],[PointRank]]/100+PlayerGameData[[#This Row],[BLKOrder]],PlayerGameData[[#This Row],[BLKOrder]])</f>
        <v>34.159999999999997</v>
      </c>
      <c r="AZ189" s="8">
        <f ca="1">RANK(PlayerGameData[[#This Row],[BLKTieBreak]],PlayerGameData[BLKTieBreak],1)</f>
        <v>216</v>
      </c>
      <c r="BA189" s="11">
        <f ca="1">IFERROR(IF(PlayerGameData[[#This Row],[FGA]]&gt;$AA$5,PlayerGameData[[#This Row],[FG%*]],PlayerGameData[[#This Row],[FG%*]]*-1),-2)</f>
        <v>-2</v>
      </c>
      <c r="BB189" s="8">
        <f ca="1">RANK(PlayerGameData[[#This Row],[EligFG]],PlayerGameData[EligFG],0)+PlayerGameData[[#This Row],[VisibleOrder]]</f>
        <v>215</v>
      </c>
      <c r="BC189" s="8">
        <f ca="1">IF(COUNTIF(PlayerGameData[EligFGOrder],PlayerGameData[[#This Row],[EligFGOrder]])&gt;1,PlayerGameData[[#This Row],[PointRank]]/100+PlayerGameData[[#This Row],[EligFGOrder]],PlayerGameData[[#This Row],[EligFGOrder]])</f>
        <v>217.16</v>
      </c>
      <c r="BD189" s="8">
        <f ca="1">RANK(PlayerGameData[[#This Row],[EligFGTieBreak]],PlayerGameData[EligFGTieBreak],1)</f>
        <v>216</v>
      </c>
      <c r="BE189" s="8" t="str">
        <f>Roster!$D$3</f>
        <v>East</v>
      </c>
      <c r="BF189" s="8" t="str">
        <f>Roster!$D$2</f>
        <v>Northeast</v>
      </c>
      <c r="BG189" s="8" t="str">
        <f>Roster!$D$4</f>
        <v>North</v>
      </c>
      <c r="BH189" s="197">
        <f ca="1">IFERROR(VLOOKUP(CONCATENATE(PlayerGameData[[#This Row],[Opponent]]," ",MONTH(PlayerGameData[[#This Row],[Date]]),"/",DAY(PlayerGameData[[#This Row],[Date]]),"/",YEAR(PlayerGameData[[#This Row],[Date]])),Table35[],2,FALSE),0)</f>
        <v>1</v>
      </c>
      <c r="BI189" s="197">
        <f ca="1">IF(PlayerGameData[[#This Row],[Visible]]=1,1,1000)</f>
        <v>1</v>
      </c>
      <c r="BJ189" s="197" t="e">
        <f ca="1">_xlfn.MAXIFS(TeamGameData[Win],TeamGameData[School, Opponent,Game'#],PlayerGameData[[#This Row],[School, Opponent,Game'#]])</f>
        <v>#NAME?</v>
      </c>
      <c r="BK189" s="197" t="e">
        <f ca="1">_xlfn.MAXIFS(TeamGameData[Loss],TeamGameData[School, Opponent,Game'#],PlayerGameData[[#This Row],[School, Opponent,Game'#]])</f>
        <v>#NAME?</v>
      </c>
    </row>
    <row r="190" spans="1:63" x14ac:dyDescent="0.25">
      <c r="A190" s="8" t="str">
        <f t="shared" ca="1" si="93"/>
        <v xml:space="preserve">, </v>
      </c>
      <c r="B190" s="8" t="str">
        <f>Roster!$B$1</f>
        <v>Upton</v>
      </c>
      <c r="C190" s="8" t="str">
        <f t="shared" ca="1" si="81"/>
        <v>New Underwood, SD</v>
      </c>
      <c r="D190" s="10">
        <f t="shared" ca="1" si="82"/>
        <v>44938</v>
      </c>
      <c r="E190" s="8">
        <f t="shared" ca="1" si="83"/>
        <v>0</v>
      </c>
      <c r="F190" s="8">
        <f t="shared" ca="1" si="84"/>
        <v>0</v>
      </c>
      <c r="G190" s="8">
        <f t="shared" ca="1" si="85"/>
        <v>0</v>
      </c>
      <c r="H190" s="8">
        <f t="shared" ca="1" si="86"/>
        <v>0</v>
      </c>
      <c r="I190" s="8">
        <f t="shared" ca="1" si="87"/>
        <v>0</v>
      </c>
      <c r="J190" s="8">
        <f t="shared" ca="1" si="88"/>
        <v>0</v>
      </c>
      <c r="K190" s="8">
        <f t="shared" ca="1" si="89"/>
        <v>0</v>
      </c>
      <c r="L190" s="8">
        <f t="shared" ca="1" si="94"/>
        <v>0</v>
      </c>
      <c r="M190" s="8">
        <f t="shared" ca="1" si="95"/>
        <v>0</v>
      </c>
      <c r="N190" s="8">
        <f t="shared" ca="1" si="96"/>
        <v>0</v>
      </c>
      <c r="O190" s="8">
        <f t="shared" ca="1" si="97"/>
        <v>0</v>
      </c>
      <c r="P190" s="8">
        <f t="shared" ca="1" si="98"/>
        <v>0</v>
      </c>
      <c r="Q190" s="8">
        <f t="shared" ca="1" si="99"/>
        <v>0</v>
      </c>
      <c r="R190" s="8">
        <f t="shared" ca="1" si="100"/>
        <v>0</v>
      </c>
      <c r="S190" s="8">
        <f t="shared" ca="1" si="101"/>
        <v>0</v>
      </c>
      <c r="T190" s="8">
        <f t="shared" ca="1" si="102"/>
        <v>0</v>
      </c>
      <c r="U190" s="8">
        <f t="shared" ca="1" si="103"/>
        <v>0</v>
      </c>
      <c r="V190" s="8">
        <f t="shared" ca="1" si="104"/>
        <v>0</v>
      </c>
      <c r="W190" s="11" t="str">
        <f t="shared" ca="1" si="105"/>
        <v/>
      </c>
      <c r="X190" s="11" t="str">
        <f t="shared" ca="1" si="106"/>
        <v/>
      </c>
      <c r="Y190" s="11" t="str">
        <f t="shared" ca="1" si="107"/>
        <v/>
      </c>
      <c r="Z190" s="11" t="str">
        <f t="shared" ca="1" si="108"/>
        <v/>
      </c>
      <c r="AA190" s="11" t="str">
        <f t="shared" ca="1" si="109"/>
        <v/>
      </c>
      <c r="AB190" s="47">
        <f ca="1">PlayerGameData[[#This Row],[3FGA]]+PlayerGameData[[#This Row],[2FGA]]</f>
        <v>0</v>
      </c>
      <c r="AC190" s="47">
        <f ca="1">PlayerGameData[[#This Row],[OFF REB]]+PlayerGameData[[#This Row],[DEF REB]]</f>
        <v>0</v>
      </c>
      <c r="AD190" s="8">
        <f t="shared" si="90"/>
        <v>8</v>
      </c>
      <c r="AE190" s="8" t="str">
        <f t="shared" ca="1" si="91"/>
        <v>,  - New Underwood, SD 1/12/2023</v>
      </c>
      <c r="AF190" s="8" t="str">
        <f t="shared" ca="1" si="110"/>
        <v/>
      </c>
      <c r="AG190" s="8" t="str">
        <f ca="1">IFERROR(IF(C190=0,"",IF(AND(VLOOKUP(PlayerGameData[[#This Row],[Opponent]],WYTeamInfo,2,FALSE)=Roster!$D$1,VLOOKUP(PlayerGameData[[#This Row],[Opponent]],WYTeamInfo,3,FALSE)=Roster!$D$2),"SR","")),"")</f>
        <v/>
      </c>
      <c r="AH190" s="8" t="str">
        <f>CONCATENATE(Roster!$D$1," ",Roster!$D$5)</f>
        <v>1A BB</v>
      </c>
      <c r="AI190" s="8" t="str">
        <f t="shared" ca="1" si="92"/>
        <v>Upton - New Underwood, SD 1/12/2023</v>
      </c>
      <c r="AJ190" s="8">
        <f ca="1">IFERROR(VLOOKUP(PlayerGameData[[#This Row],[School, Opponent,Game'#]],Table3[],2,FALSE),0)</f>
        <v>1</v>
      </c>
      <c r="AK190" s="8">
        <f ca="1">IF(PlayerGameData[[#This Row],[Visible]]=1,1,1000)</f>
        <v>1</v>
      </c>
      <c r="AL190" s="8">
        <f ca="1">RANK(PlayerGameData[[#This Row],[TL PTS]],PlayerGameData[TL PTS],0)+PlayerGameData[[#This Row],[VisibleOrder]]</f>
        <v>185</v>
      </c>
      <c r="AM190" s="8">
        <f ca="1">IF(COUNTIF(PlayerGameData[PointOrder],PlayerGameData[[#This Row],[PointOrder]])&gt;1,RANK(PlayerGameData[[#This Row],[FGA]],PlayerGameData[FGA],0)/100,0)+PlayerGameData[[#This Row],[PointOrder]]</f>
        <v>187.14</v>
      </c>
      <c r="AN190" s="8">
        <f ca="1">RANK(PlayerGameData[[#This Row],[PointTieBreak]],PlayerGameData[PointTieBreak],1)</f>
        <v>216</v>
      </c>
      <c r="AO190" s="8">
        <f ca="1">RANK(PlayerGameData[[#This Row],[REB]],PlayerGameData[REB],0)+PlayerGameData[[#This Row],[VisibleOrder]]</f>
        <v>192</v>
      </c>
      <c r="AP190" s="8">
        <f ca="1">IF(COUNTIF(PlayerGameData[REBOrder],PlayerGameData[[#This Row],[REBOrder]])&gt;1,PlayerGameData[[#This Row],[PointRank]]/100+PlayerGameData[[#This Row],[REBOrder]],PlayerGameData[[#This Row],[REBOrder]])</f>
        <v>194.16</v>
      </c>
      <c r="AQ190" s="8">
        <f ca="1">RANK(PlayerGameData[[#This Row],[REBTieBreak]],PlayerGameData[REBTieBreak],1)</f>
        <v>224</v>
      </c>
      <c r="AR190" s="8">
        <f ca="1">RANK(PlayerGameData[[#This Row],[AST]],PlayerGameData[AST],0)+PlayerGameData[[#This Row],[VisibleOrder]]</f>
        <v>158</v>
      </c>
      <c r="AS190" s="8">
        <f ca="1">IF(COUNTIF(PlayerGameData[ASTOrder],PlayerGameData[[#This Row],[ASTOrder]])&gt;1,PlayerGameData[[#This Row],[PointRank]]/100+PlayerGameData[[#This Row],[ASTOrder]],PlayerGameData[[#This Row],[ASTOrder]])</f>
        <v>160.16</v>
      </c>
      <c r="AT190" s="8">
        <f ca="1">RANK(PlayerGameData[[#This Row],[ASTTieBreak]],PlayerGameData[ASTTieBreak],1)</f>
        <v>221</v>
      </c>
      <c r="AU190" s="8">
        <f ca="1">RANK(PlayerGameData[[#This Row],[STL]],PlayerGameData[STL],0)+PlayerGameData[[#This Row],[VisibleOrder]]</f>
        <v>143</v>
      </c>
      <c r="AV190" s="8">
        <f ca="1">IF(COUNTIF(PlayerGameData[STLOrder],PlayerGameData[[#This Row],[STLOrder]])&gt;1,PlayerGameData[[#This Row],[PointRank]]/100+PlayerGameData[[#This Row],[STLOrder]],PlayerGameData[[#This Row],[STLOrder]])</f>
        <v>145.16</v>
      </c>
      <c r="AW190" s="8">
        <f ca="1">RANK(PlayerGameData[[#This Row],[STLTieBreak]],PlayerGameData[STLTieBreak],1)</f>
        <v>217</v>
      </c>
      <c r="AX190" s="8">
        <f ca="1">RANK(PlayerGameData[[#This Row],[BLK]],PlayerGameData[BLK],0)+PlayerGameData[[#This Row],[VisibleOrder]]</f>
        <v>32</v>
      </c>
      <c r="AY190" s="8">
        <f ca="1">IF(COUNTIF(PlayerGameData[BLKOrder],PlayerGameData[[#This Row],[BLKOrder]])&gt;1,PlayerGameData[[#This Row],[PointRank]]/100+PlayerGameData[[#This Row],[BLKOrder]],PlayerGameData[[#This Row],[BLKOrder]])</f>
        <v>34.159999999999997</v>
      </c>
      <c r="AZ190" s="8">
        <f ca="1">RANK(PlayerGameData[[#This Row],[BLKTieBreak]],PlayerGameData[BLKTieBreak],1)</f>
        <v>216</v>
      </c>
      <c r="BA190" s="11">
        <f ca="1">IFERROR(IF(PlayerGameData[[#This Row],[FGA]]&gt;$AA$5,PlayerGameData[[#This Row],[FG%*]],PlayerGameData[[#This Row],[FG%*]]*-1),-2)</f>
        <v>-2</v>
      </c>
      <c r="BB190" s="8">
        <f ca="1">RANK(PlayerGameData[[#This Row],[EligFG]],PlayerGameData[EligFG],0)+PlayerGameData[[#This Row],[VisibleOrder]]</f>
        <v>215</v>
      </c>
      <c r="BC190" s="8">
        <f ca="1">IF(COUNTIF(PlayerGameData[EligFGOrder],PlayerGameData[[#This Row],[EligFGOrder]])&gt;1,PlayerGameData[[#This Row],[PointRank]]/100+PlayerGameData[[#This Row],[EligFGOrder]],PlayerGameData[[#This Row],[EligFGOrder]])</f>
        <v>217.16</v>
      </c>
      <c r="BD190" s="8">
        <f ca="1">RANK(PlayerGameData[[#This Row],[EligFGTieBreak]],PlayerGameData[EligFGTieBreak],1)</f>
        <v>216</v>
      </c>
      <c r="BE190" s="8" t="str">
        <f>Roster!$D$3</f>
        <v>East</v>
      </c>
      <c r="BF190" s="8" t="str">
        <f>Roster!$D$2</f>
        <v>Northeast</v>
      </c>
      <c r="BG190" s="8" t="str">
        <f>Roster!$D$4</f>
        <v>North</v>
      </c>
      <c r="BH190" s="197">
        <f ca="1">IFERROR(VLOOKUP(CONCATENATE(PlayerGameData[[#This Row],[Opponent]]," ",MONTH(PlayerGameData[[#This Row],[Date]]),"/",DAY(PlayerGameData[[#This Row],[Date]]),"/",YEAR(PlayerGameData[[#This Row],[Date]])),Table35[],2,FALSE),0)</f>
        <v>1</v>
      </c>
      <c r="BI190" s="197">
        <f ca="1">IF(PlayerGameData[[#This Row],[Visible]]=1,1,1000)</f>
        <v>1</v>
      </c>
      <c r="BJ190" s="197" t="e">
        <f ca="1">_xlfn.MAXIFS(TeamGameData[Win],TeamGameData[School, Opponent,Game'#],PlayerGameData[[#This Row],[School, Opponent,Game'#]])</f>
        <v>#NAME?</v>
      </c>
      <c r="BK190" s="197" t="e">
        <f ca="1">_xlfn.MAXIFS(TeamGameData[Loss],TeamGameData[School, Opponent,Game'#],PlayerGameData[[#This Row],[School, Opponent,Game'#]])</f>
        <v>#NAME?</v>
      </c>
    </row>
    <row r="191" spans="1:63" x14ac:dyDescent="0.25">
      <c r="A191" s="8" t="str">
        <f t="shared" ca="1" si="93"/>
        <v xml:space="preserve">, </v>
      </c>
      <c r="B191" s="8" t="str">
        <f>Roster!$B$1</f>
        <v>Upton</v>
      </c>
      <c r="C191" s="8" t="str">
        <f t="shared" ca="1" si="81"/>
        <v>New Underwood, SD</v>
      </c>
      <c r="D191" s="10">
        <f t="shared" ca="1" si="82"/>
        <v>44938</v>
      </c>
      <c r="E191" s="8">
        <f t="shared" ca="1" si="83"/>
        <v>0</v>
      </c>
      <c r="F191" s="8">
        <f t="shared" ca="1" si="84"/>
        <v>0</v>
      </c>
      <c r="G191" s="8">
        <f t="shared" ca="1" si="85"/>
        <v>0</v>
      </c>
      <c r="H191" s="8">
        <f t="shared" ca="1" si="86"/>
        <v>0</v>
      </c>
      <c r="I191" s="8">
        <f t="shared" ca="1" si="87"/>
        <v>0</v>
      </c>
      <c r="J191" s="8">
        <f t="shared" ca="1" si="88"/>
        <v>0</v>
      </c>
      <c r="K191" s="8">
        <f t="shared" ca="1" si="89"/>
        <v>0</v>
      </c>
      <c r="L191" s="8">
        <f t="shared" ca="1" si="94"/>
        <v>0</v>
      </c>
      <c r="M191" s="8">
        <f t="shared" ca="1" si="95"/>
        <v>0</v>
      </c>
      <c r="N191" s="8">
        <f t="shared" ca="1" si="96"/>
        <v>0</v>
      </c>
      <c r="O191" s="8">
        <f t="shared" ca="1" si="97"/>
        <v>0</v>
      </c>
      <c r="P191" s="8">
        <f t="shared" ca="1" si="98"/>
        <v>0</v>
      </c>
      <c r="Q191" s="8">
        <f t="shared" ca="1" si="99"/>
        <v>0</v>
      </c>
      <c r="R191" s="8">
        <f t="shared" ca="1" si="100"/>
        <v>0</v>
      </c>
      <c r="S191" s="8">
        <f t="shared" ca="1" si="101"/>
        <v>0</v>
      </c>
      <c r="T191" s="8">
        <f t="shared" ca="1" si="102"/>
        <v>0</v>
      </c>
      <c r="U191" s="8">
        <f t="shared" ca="1" si="103"/>
        <v>0</v>
      </c>
      <c r="V191" s="8">
        <f t="shared" ca="1" si="104"/>
        <v>0</v>
      </c>
      <c r="W191" s="11" t="str">
        <f t="shared" ca="1" si="105"/>
        <v/>
      </c>
      <c r="X191" s="11" t="str">
        <f t="shared" ca="1" si="106"/>
        <v/>
      </c>
      <c r="Y191" s="11" t="str">
        <f t="shared" ca="1" si="107"/>
        <v/>
      </c>
      <c r="Z191" s="11" t="str">
        <f t="shared" ca="1" si="108"/>
        <v/>
      </c>
      <c r="AA191" s="11" t="str">
        <f t="shared" ca="1" si="109"/>
        <v/>
      </c>
      <c r="AB191" s="47">
        <f ca="1">PlayerGameData[[#This Row],[3FGA]]+PlayerGameData[[#This Row],[2FGA]]</f>
        <v>0</v>
      </c>
      <c r="AC191" s="47">
        <f ca="1">PlayerGameData[[#This Row],[OFF REB]]+PlayerGameData[[#This Row],[DEF REB]]</f>
        <v>0</v>
      </c>
      <c r="AD191" s="8">
        <f t="shared" si="90"/>
        <v>8</v>
      </c>
      <c r="AE191" s="8" t="str">
        <f t="shared" ca="1" si="91"/>
        <v>,  - New Underwood, SD 1/12/2023</v>
      </c>
      <c r="AF191" s="8" t="str">
        <f t="shared" ca="1" si="110"/>
        <v/>
      </c>
      <c r="AG191" s="8" t="str">
        <f ca="1">IFERROR(IF(C191=0,"",IF(AND(VLOOKUP(PlayerGameData[[#This Row],[Opponent]],WYTeamInfo,2,FALSE)=Roster!$D$1,VLOOKUP(PlayerGameData[[#This Row],[Opponent]],WYTeamInfo,3,FALSE)=Roster!$D$2),"SR","")),"")</f>
        <v/>
      </c>
      <c r="AH191" s="8" t="str">
        <f>CONCATENATE(Roster!$D$1," ",Roster!$D$5)</f>
        <v>1A BB</v>
      </c>
      <c r="AI191" s="8" t="str">
        <f t="shared" ca="1" si="92"/>
        <v>Upton - New Underwood, SD 1/12/2023</v>
      </c>
      <c r="AJ191" s="8">
        <f ca="1">IFERROR(VLOOKUP(PlayerGameData[[#This Row],[School, Opponent,Game'#]],Table3[],2,FALSE),0)</f>
        <v>1</v>
      </c>
      <c r="AK191" s="8">
        <f ca="1">IF(PlayerGameData[[#This Row],[Visible]]=1,1,1000)</f>
        <v>1</v>
      </c>
      <c r="AL191" s="8">
        <f ca="1">RANK(PlayerGameData[[#This Row],[TL PTS]],PlayerGameData[TL PTS],0)+PlayerGameData[[#This Row],[VisibleOrder]]</f>
        <v>185</v>
      </c>
      <c r="AM191" s="8">
        <f ca="1">IF(COUNTIF(PlayerGameData[PointOrder],PlayerGameData[[#This Row],[PointOrder]])&gt;1,RANK(PlayerGameData[[#This Row],[FGA]],PlayerGameData[FGA],0)/100,0)+PlayerGameData[[#This Row],[PointOrder]]</f>
        <v>187.14</v>
      </c>
      <c r="AN191" s="8">
        <f ca="1">RANK(PlayerGameData[[#This Row],[PointTieBreak]],PlayerGameData[PointTieBreak],1)</f>
        <v>216</v>
      </c>
      <c r="AO191" s="8">
        <f ca="1">RANK(PlayerGameData[[#This Row],[REB]],PlayerGameData[REB],0)+PlayerGameData[[#This Row],[VisibleOrder]]</f>
        <v>192</v>
      </c>
      <c r="AP191" s="8">
        <f ca="1">IF(COUNTIF(PlayerGameData[REBOrder],PlayerGameData[[#This Row],[REBOrder]])&gt;1,PlayerGameData[[#This Row],[PointRank]]/100+PlayerGameData[[#This Row],[REBOrder]],PlayerGameData[[#This Row],[REBOrder]])</f>
        <v>194.16</v>
      </c>
      <c r="AQ191" s="8">
        <f ca="1">RANK(PlayerGameData[[#This Row],[REBTieBreak]],PlayerGameData[REBTieBreak],1)</f>
        <v>224</v>
      </c>
      <c r="AR191" s="8">
        <f ca="1">RANK(PlayerGameData[[#This Row],[AST]],PlayerGameData[AST],0)+PlayerGameData[[#This Row],[VisibleOrder]]</f>
        <v>158</v>
      </c>
      <c r="AS191" s="8">
        <f ca="1">IF(COUNTIF(PlayerGameData[ASTOrder],PlayerGameData[[#This Row],[ASTOrder]])&gt;1,PlayerGameData[[#This Row],[PointRank]]/100+PlayerGameData[[#This Row],[ASTOrder]],PlayerGameData[[#This Row],[ASTOrder]])</f>
        <v>160.16</v>
      </c>
      <c r="AT191" s="8">
        <f ca="1">RANK(PlayerGameData[[#This Row],[ASTTieBreak]],PlayerGameData[ASTTieBreak],1)</f>
        <v>221</v>
      </c>
      <c r="AU191" s="8">
        <f ca="1">RANK(PlayerGameData[[#This Row],[STL]],PlayerGameData[STL],0)+PlayerGameData[[#This Row],[VisibleOrder]]</f>
        <v>143</v>
      </c>
      <c r="AV191" s="8">
        <f ca="1">IF(COUNTIF(PlayerGameData[STLOrder],PlayerGameData[[#This Row],[STLOrder]])&gt;1,PlayerGameData[[#This Row],[PointRank]]/100+PlayerGameData[[#This Row],[STLOrder]],PlayerGameData[[#This Row],[STLOrder]])</f>
        <v>145.16</v>
      </c>
      <c r="AW191" s="8">
        <f ca="1">RANK(PlayerGameData[[#This Row],[STLTieBreak]],PlayerGameData[STLTieBreak],1)</f>
        <v>217</v>
      </c>
      <c r="AX191" s="8">
        <f ca="1">RANK(PlayerGameData[[#This Row],[BLK]],PlayerGameData[BLK],0)+PlayerGameData[[#This Row],[VisibleOrder]]</f>
        <v>32</v>
      </c>
      <c r="AY191" s="8">
        <f ca="1">IF(COUNTIF(PlayerGameData[BLKOrder],PlayerGameData[[#This Row],[BLKOrder]])&gt;1,PlayerGameData[[#This Row],[PointRank]]/100+PlayerGameData[[#This Row],[BLKOrder]],PlayerGameData[[#This Row],[BLKOrder]])</f>
        <v>34.159999999999997</v>
      </c>
      <c r="AZ191" s="8">
        <f ca="1">RANK(PlayerGameData[[#This Row],[BLKTieBreak]],PlayerGameData[BLKTieBreak],1)</f>
        <v>216</v>
      </c>
      <c r="BA191" s="11">
        <f ca="1">IFERROR(IF(PlayerGameData[[#This Row],[FGA]]&gt;$AA$5,PlayerGameData[[#This Row],[FG%*]],PlayerGameData[[#This Row],[FG%*]]*-1),-2)</f>
        <v>-2</v>
      </c>
      <c r="BB191" s="8">
        <f ca="1">RANK(PlayerGameData[[#This Row],[EligFG]],PlayerGameData[EligFG],0)+PlayerGameData[[#This Row],[VisibleOrder]]</f>
        <v>215</v>
      </c>
      <c r="BC191" s="8">
        <f ca="1">IF(COUNTIF(PlayerGameData[EligFGOrder],PlayerGameData[[#This Row],[EligFGOrder]])&gt;1,PlayerGameData[[#This Row],[PointRank]]/100+PlayerGameData[[#This Row],[EligFGOrder]],PlayerGameData[[#This Row],[EligFGOrder]])</f>
        <v>217.16</v>
      </c>
      <c r="BD191" s="8">
        <f ca="1">RANK(PlayerGameData[[#This Row],[EligFGTieBreak]],PlayerGameData[EligFGTieBreak],1)</f>
        <v>216</v>
      </c>
      <c r="BE191" s="8" t="str">
        <f>Roster!$D$3</f>
        <v>East</v>
      </c>
      <c r="BF191" s="8" t="str">
        <f>Roster!$D$2</f>
        <v>Northeast</v>
      </c>
      <c r="BG191" s="8" t="str">
        <f>Roster!$D$4</f>
        <v>North</v>
      </c>
      <c r="BH191" s="197">
        <f ca="1">IFERROR(VLOOKUP(CONCATENATE(PlayerGameData[[#This Row],[Opponent]]," ",MONTH(PlayerGameData[[#This Row],[Date]]),"/",DAY(PlayerGameData[[#This Row],[Date]]),"/",YEAR(PlayerGameData[[#This Row],[Date]])),Table35[],2,FALSE),0)</f>
        <v>1</v>
      </c>
      <c r="BI191" s="197">
        <f ca="1">IF(PlayerGameData[[#This Row],[Visible]]=1,1,1000)</f>
        <v>1</v>
      </c>
      <c r="BJ191" s="197" t="e">
        <f ca="1">_xlfn.MAXIFS(TeamGameData[Win],TeamGameData[School, Opponent,Game'#],PlayerGameData[[#This Row],[School, Opponent,Game'#]])</f>
        <v>#NAME?</v>
      </c>
      <c r="BK191" s="197" t="e">
        <f ca="1">_xlfn.MAXIFS(TeamGameData[Loss],TeamGameData[School, Opponent,Game'#],PlayerGameData[[#This Row],[School, Opponent,Game'#]])</f>
        <v>#NAME?</v>
      </c>
    </row>
    <row r="192" spans="1:63" x14ac:dyDescent="0.25">
      <c r="A192" s="8" t="str">
        <f t="shared" ca="1" si="93"/>
        <v xml:space="preserve">, </v>
      </c>
      <c r="B192" s="8" t="str">
        <f>Roster!$B$1</f>
        <v>Upton</v>
      </c>
      <c r="C192" s="8" t="str">
        <f t="shared" ca="1" si="81"/>
        <v>New Underwood, SD</v>
      </c>
      <c r="D192" s="10">
        <f t="shared" ca="1" si="82"/>
        <v>44938</v>
      </c>
      <c r="E192" s="8">
        <f t="shared" ca="1" si="83"/>
        <v>0</v>
      </c>
      <c r="F192" s="8">
        <f t="shared" ca="1" si="84"/>
        <v>0</v>
      </c>
      <c r="G192" s="8">
        <f t="shared" ca="1" si="85"/>
        <v>0</v>
      </c>
      <c r="H192" s="8">
        <f t="shared" ca="1" si="86"/>
        <v>0</v>
      </c>
      <c r="I192" s="8">
        <f t="shared" ca="1" si="87"/>
        <v>0</v>
      </c>
      <c r="J192" s="8">
        <f t="shared" ca="1" si="88"/>
        <v>0</v>
      </c>
      <c r="K192" s="8">
        <f t="shared" ca="1" si="89"/>
        <v>0</v>
      </c>
      <c r="L192" s="8">
        <f t="shared" ca="1" si="94"/>
        <v>0</v>
      </c>
      <c r="M192" s="8">
        <f t="shared" ca="1" si="95"/>
        <v>0</v>
      </c>
      <c r="N192" s="8">
        <f t="shared" ca="1" si="96"/>
        <v>0</v>
      </c>
      <c r="O192" s="8">
        <f t="shared" ca="1" si="97"/>
        <v>0</v>
      </c>
      <c r="P192" s="8">
        <f t="shared" ca="1" si="98"/>
        <v>0</v>
      </c>
      <c r="Q192" s="8">
        <f t="shared" ca="1" si="99"/>
        <v>0</v>
      </c>
      <c r="R192" s="8">
        <f t="shared" ca="1" si="100"/>
        <v>0</v>
      </c>
      <c r="S192" s="8">
        <f t="shared" ca="1" si="101"/>
        <v>0</v>
      </c>
      <c r="T192" s="8">
        <f t="shared" ca="1" si="102"/>
        <v>0</v>
      </c>
      <c r="U192" s="8">
        <f t="shared" ca="1" si="103"/>
        <v>0</v>
      </c>
      <c r="V192" s="8">
        <f t="shared" ca="1" si="104"/>
        <v>0</v>
      </c>
      <c r="W192" s="11" t="str">
        <f t="shared" ca="1" si="105"/>
        <v/>
      </c>
      <c r="X192" s="11" t="str">
        <f t="shared" ca="1" si="106"/>
        <v/>
      </c>
      <c r="Y192" s="11" t="str">
        <f t="shared" ca="1" si="107"/>
        <v/>
      </c>
      <c r="Z192" s="11" t="str">
        <f t="shared" ca="1" si="108"/>
        <v/>
      </c>
      <c r="AA192" s="11" t="str">
        <f t="shared" ca="1" si="109"/>
        <v/>
      </c>
      <c r="AB192" s="47">
        <f ca="1">PlayerGameData[[#This Row],[3FGA]]+PlayerGameData[[#This Row],[2FGA]]</f>
        <v>0</v>
      </c>
      <c r="AC192" s="47">
        <f ca="1">PlayerGameData[[#This Row],[OFF REB]]+PlayerGameData[[#This Row],[DEF REB]]</f>
        <v>0</v>
      </c>
      <c r="AD192" s="8">
        <f t="shared" si="90"/>
        <v>8</v>
      </c>
      <c r="AE192" s="8" t="str">
        <f t="shared" ca="1" si="91"/>
        <v>,  - New Underwood, SD 1/12/2023</v>
      </c>
      <c r="AF192" s="8" t="str">
        <f t="shared" ca="1" si="110"/>
        <v/>
      </c>
      <c r="AG192" s="8" t="str">
        <f ca="1">IFERROR(IF(C192=0,"",IF(AND(VLOOKUP(PlayerGameData[[#This Row],[Opponent]],WYTeamInfo,2,FALSE)=Roster!$D$1,VLOOKUP(PlayerGameData[[#This Row],[Opponent]],WYTeamInfo,3,FALSE)=Roster!$D$2),"SR","")),"")</f>
        <v/>
      </c>
      <c r="AH192" s="8" t="str">
        <f>CONCATENATE(Roster!$D$1," ",Roster!$D$5)</f>
        <v>1A BB</v>
      </c>
      <c r="AI192" s="8" t="str">
        <f t="shared" ca="1" si="92"/>
        <v>Upton - New Underwood, SD 1/12/2023</v>
      </c>
      <c r="AJ192" s="8">
        <f ca="1">IFERROR(VLOOKUP(PlayerGameData[[#This Row],[School, Opponent,Game'#]],Table3[],2,FALSE),0)</f>
        <v>1</v>
      </c>
      <c r="AK192" s="8">
        <f ca="1">IF(PlayerGameData[[#This Row],[Visible]]=1,1,1000)</f>
        <v>1</v>
      </c>
      <c r="AL192" s="8">
        <f ca="1">RANK(PlayerGameData[[#This Row],[TL PTS]],PlayerGameData[TL PTS],0)+PlayerGameData[[#This Row],[VisibleOrder]]</f>
        <v>185</v>
      </c>
      <c r="AM192" s="8">
        <f ca="1">IF(COUNTIF(PlayerGameData[PointOrder],PlayerGameData[[#This Row],[PointOrder]])&gt;1,RANK(PlayerGameData[[#This Row],[FGA]],PlayerGameData[FGA],0)/100,0)+PlayerGameData[[#This Row],[PointOrder]]</f>
        <v>187.14</v>
      </c>
      <c r="AN192" s="8">
        <f ca="1">RANK(PlayerGameData[[#This Row],[PointTieBreak]],PlayerGameData[PointTieBreak],1)</f>
        <v>216</v>
      </c>
      <c r="AO192" s="8">
        <f ca="1">RANK(PlayerGameData[[#This Row],[REB]],PlayerGameData[REB],0)+PlayerGameData[[#This Row],[VisibleOrder]]</f>
        <v>192</v>
      </c>
      <c r="AP192" s="8">
        <f ca="1">IF(COUNTIF(PlayerGameData[REBOrder],PlayerGameData[[#This Row],[REBOrder]])&gt;1,PlayerGameData[[#This Row],[PointRank]]/100+PlayerGameData[[#This Row],[REBOrder]],PlayerGameData[[#This Row],[REBOrder]])</f>
        <v>194.16</v>
      </c>
      <c r="AQ192" s="8">
        <f ca="1">RANK(PlayerGameData[[#This Row],[REBTieBreak]],PlayerGameData[REBTieBreak],1)</f>
        <v>224</v>
      </c>
      <c r="AR192" s="8">
        <f ca="1">RANK(PlayerGameData[[#This Row],[AST]],PlayerGameData[AST],0)+PlayerGameData[[#This Row],[VisibleOrder]]</f>
        <v>158</v>
      </c>
      <c r="AS192" s="8">
        <f ca="1">IF(COUNTIF(PlayerGameData[ASTOrder],PlayerGameData[[#This Row],[ASTOrder]])&gt;1,PlayerGameData[[#This Row],[PointRank]]/100+PlayerGameData[[#This Row],[ASTOrder]],PlayerGameData[[#This Row],[ASTOrder]])</f>
        <v>160.16</v>
      </c>
      <c r="AT192" s="8">
        <f ca="1">RANK(PlayerGameData[[#This Row],[ASTTieBreak]],PlayerGameData[ASTTieBreak],1)</f>
        <v>221</v>
      </c>
      <c r="AU192" s="8">
        <f ca="1">RANK(PlayerGameData[[#This Row],[STL]],PlayerGameData[STL],0)+PlayerGameData[[#This Row],[VisibleOrder]]</f>
        <v>143</v>
      </c>
      <c r="AV192" s="8">
        <f ca="1">IF(COUNTIF(PlayerGameData[STLOrder],PlayerGameData[[#This Row],[STLOrder]])&gt;1,PlayerGameData[[#This Row],[PointRank]]/100+PlayerGameData[[#This Row],[STLOrder]],PlayerGameData[[#This Row],[STLOrder]])</f>
        <v>145.16</v>
      </c>
      <c r="AW192" s="8">
        <f ca="1">RANK(PlayerGameData[[#This Row],[STLTieBreak]],PlayerGameData[STLTieBreak],1)</f>
        <v>217</v>
      </c>
      <c r="AX192" s="8">
        <f ca="1">RANK(PlayerGameData[[#This Row],[BLK]],PlayerGameData[BLK],0)+PlayerGameData[[#This Row],[VisibleOrder]]</f>
        <v>32</v>
      </c>
      <c r="AY192" s="8">
        <f ca="1">IF(COUNTIF(PlayerGameData[BLKOrder],PlayerGameData[[#This Row],[BLKOrder]])&gt;1,PlayerGameData[[#This Row],[PointRank]]/100+PlayerGameData[[#This Row],[BLKOrder]],PlayerGameData[[#This Row],[BLKOrder]])</f>
        <v>34.159999999999997</v>
      </c>
      <c r="AZ192" s="8">
        <f ca="1">RANK(PlayerGameData[[#This Row],[BLKTieBreak]],PlayerGameData[BLKTieBreak],1)</f>
        <v>216</v>
      </c>
      <c r="BA192" s="11">
        <f ca="1">IFERROR(IF(PlayerGameData[[#This Row],[FGA]]&gt;$AA$5,PlayerGameData[[#This Row],[FG%*]],PlayerGameData[[#This Row],[FG%*]]*-1),-2)</f>
        <v>-2</v>
      </c>
      <c r="BB192" s="8">
        <f ca="1">RANK(PlayerGameData[[#This Row],[EligFG]],PlayerGameData[EligFG],0)+PlayerGameData[[#This Row],[VisibleOrder]]</f>
        <v>215</v>
      </c>
      <c r="BC192" s="8">
        <f ca="1">IF(COUNTIF(PlayerGameData[EligFGOrder],PlayerGameData[[#This Row],[EligFGOrder]])&gt;1,PlayerGameData[[#This Row],[PointRank]]/100+PlayerGameData[[#This Row],[EligFGOrder]],PlayerGameData[[#This Row],[EligFGOrder]])</f>
        <v>217.16</v>
      </c>
      <c r="BD192" s="8">
        <f ca="1">RANK(PlayerGameData[[#This Row],[EligFGTieBreak]],PlayerGameData[EligFGTieBreak],1)</f>
        <v>216</v>
      </c>
      <c r="BE192" s="8" t="str">
        <f>Roster!$D$3</f>
        <v>East</v>
      </c>
      <c r="BF192" s="8" t="str">
        <f>Roster!$D$2</f>
        <v>Northeast</v>
      </c>
      <c r="BG192" s="8" t="str">
        <f>Roster!$D$4</f>
        <v>North</v>
      </c>
      <c r="BH192" s="197">
        <f ca="1">IFERROR(VLOOKUP(CONCATENATE(PlayerGameData[[#This Row],[Opponent]]," ",MONTH(PlayerGameData[[#This Row],[Date]]),"/",DAY(PlayerGameData[[#This Row],[Date]]),"/",YEAR(PlayerGameData[[#This Row],[Date]])),Table35[],2,FALSE),0)</f>
        <v>1</v>
      </c>
      <c r="BI192" s="197">
        <f ca="1">IF(PlayerGameData[[#This Row],[Visible]]=1,1,1000)</f>
        <v>1</v>
      </c>
      <c r="BJ192" s="197" t="e">
        <f ca="1">_xlfn.MAXIFS(TeamGameData[Win],TeamGameData[School, Opponent,Game'#],PlayerGameData[[#This Row],[School, Opponent,Game'#]])</f>
        <v>#NAME?</v>
      </c>
      <c r="BK192" s="197" t="e">
        <f ca="1">_xlfn.MAXIFS(TeamGameData[Loss],TeamGameData[School, Opponent,Game'#],PlayerGameData[[#This Row],[School, Opponent,Game'#]])</f>
        <v>#NAME?</v>
      </c>
    </row>
    <row r="193" spans="1:63" x14ac:dyDescent="0.25">
      <c r="A193" s="8" t="str">
        <f t="shared" ca="1" si="93"/>
        <v xml:space="preserve">, </v>
      </c>
      <c r="B193" s="8" t="str">
        <f>Roster!$B$1</f>
        <v>Upton</v>
      </c>
      <c r="C193" s="8" t="str">
        <f t="shared" ca="1" si="81"/>
        <v>New Underwood, SD</v>
      </c>
      <c r="D193" s="10">
        <f t="shared" ca="1" si="82"/>
        <v>44938</v>
      </c>
      <c r="E193" s="8">
        <f t="shared" ca="1" si="83"/>
        <v>0</v>
      </c>
      <c r="F193" s="8">
        <f t="shared" ca="1" si="84"/>
        <v>0</v>
      </c>
      <c r="G193" s="8">
        <f t="shared" ca="1" si="85"/>
        <v>0</v>
      </c>
      <c r="H193" s="8">
        <f t="shared" ca="1" si="86"/>
        <v>0</v>
      </c>
      <c r="I193" s="8">
        <f t="shared" ca="1" si="87"/>
        <v>0</v>
      </c>
      <c r="J193" s="8">
        <f t="shared" ca="1" si="88"/>
        <v>0</v>
      </c>
      <c r="K193" s="8">
        <f t="shared" ca="1" si="89"/>
        <v>0</v>
      </c>
      <c r="L193" s="8">
        <f t="shared" ca="1" si="94"/>
        <v>0</v>
      </c>
      <c r="M193" s="8">
        <f t="shared" ca="1" si="95"/>
        <v>0</v>
      </c>
      <c r="N193" s="8">
        <f t="shared" ca="1" si="96"/>
        <v>0</v>
      </c>
      <c r="O193" s="8">
        <f t="shared" ca="1" si="97"/>
        <v>0</v>
      </c>
      <c r="P193" s="8">
        <f t="shared" ca="1" si="98"/>
        <v>0</v>
      </c>
      <c r="Q193" s="8">
        <f t="shared" ca="1" si="99"/>
        <v>0</v>
      </c>
      <c r="R193" s="8">
        <f t="shared" ca="1" si="100"/>
        <v>0</v>
      </c>
      <c r="S193" s="8">
        <f t="shared" ca="1" si="101"/>
        <v>0</v>
      </c>
      <c r="T193" s="8">
        <f t="shared" ca="1" si="102"/>
        <v>0</v>
      </c>
      <c r="U193" s="8">
        <f t="shared" ca="1" si="103"/>
        <v>0</v>
      </c>
      <c r="V193" s="8">
        <f t="shared" ca="1" si="104"/>
        <v>0</v>
      </c>
      <c r="W193" s="11" t="str">
        <f t="shared" ca="1" si="105"/>
        <v/>
      </c>
      <c r="X193" s="11" t="str">
        <f t="shared" ca="1" si="106"/>
        <v/>
      </c>
      <c r="Y193" s="11" t="str">
        <f t="shared" ca="1" si="107"/>
        <v/>
      </c>
      <c r="Z193" s="11" t="str">
        <f t="shared" ca="1" si="108"/>
        <v/>
      </c>
      <c r="AA193" s="11" t="str">
        <f t="shared" ca="1" si="109"/>
        <v/>
      </c>
      <c r="AB193" s="47">
        <f ca="1">PlayerGameData[[#This Row],[3FGA]]+PlayerGameData[[#This Row],[2FGA]]</f>
        <v>0</v>
      </c>
      <c r="AC193" s="47">
        <f ca="1">PlayerGameData[[#This Row],[OFF REB]]+PlayerGameData[[#This Row],[DEF REB]]</f>
        <v>0</v>
      </c>
      <c r="AD193" s="8">
        <f t="shared" si="90"/>
        <v>8</v>
      </c>
      <c r="AE193" s="8" t="str">
        <f t="shared" ca="1" si="91"/>
        <v>,  - New Underwood, SD 1/12/2023</v>
      </c>
      <c r="AF193" s="8" t="str">
        <f t="shared" ca="1" si="110"/>
        <v/>
      </c>
      <c r="AG193" s="8" t="str">
        <f ca="1">IFERROR(IF(C193=0,"",IF(AND(VLOOKUP(PlayerGameData[[#This Row],[Opponent]],WYTeamInfo,2,FALSE)=Roster!$D$1,VLOOKUP(PlayerGameData[[#This Row],[Opponent]],WYTeamInfo,3,FALSE)=Roster!$D$2),"SR","")),"")</f>
        <v/>
      </c>
      <c r="AH193" s="8" t="str">
        <f>CONCATENATE(Roster!$D$1," ",Roster!$D$5)</f>
        <v>1A BB</v>
      </c>
      <c r="AI193" s="8" t="str">
        <f t="shared" ca="1" si="92"/>
        <v>Upton - New Underwood, SD 1/12/2023</v>
      </c>
      <c r="AJ193" s="8">
        <f ca="1">IFERROR(VLOOKUP(PlayerGameData[[#This Row],[School, Opponent,Game'#]],Table3[],2,FALSE),0)</f>
        <v>1</v>
      </c>
      <c r="AK193" s="8">
        <f ca="1">IF(PlayerGameData[[#This Row],[Visible]]=1,1,1000)</f>
        <v>1</v>
      </c>
      <c r="AL193" s="8">
        <f ca="1">RANK(PlayerGameData[[#This Row],[TL PTS]],PlayerGameData[TL PTS],0)+PlayerGameData[[#This Row],[VisibleOrder]]</f>
        <v>185</v>
      </c>
      <c r="AM193" s="8">
        <f ca="1">IF(COUNTIF(PlayerGameData[PointOrder],PlayerGameData[[#This Row],[PointOrder]])&gt;1,RANK(PlayerGameData[[#This Row],[FGA]],PlayerGameData[FGA],0)/100,0)+PlayerGameData[[#This Row],[PointOrder]]</f>
        <v>187.14</v>
      </c>
      <c r="AN193" s="8">
        <f ca="1">RANK(PlayerGameData[[#This Row],[PointTieBreak]],PlayerGameData[PointTieBreak],1)</f>
        <v>216</v>
      </c>
      <c r="AO193" s="8">
        <f ca="1">RANK(PlayerGameData[[#This Row],[REB]],PlayerGameData[REB],0)+PlayerGameData[[#This Row],[VisibleOrder]]</f>
        <v>192</v>
      </c>
      <c r="AP193" s="8">
        <f ca="1">IF(COUNTIF(PlayerGameData[REBOrder],PlayerGameData[[#This Row],[REBOrder]])&gt;1,PlayerGameData[[#This Row],[PointRank]]/100+PlayerGameData[[#This Row],[REBOrder]],PlayerGameData[[#This Row],[REBOrder]])</f>
        <v>194.16</v>
      </c>
      <c r="AQ193" s="8">
        <f ca="1">RANK(PlayerGameData[[#This Row],[REBTieBreak]],PlayerGameData[REBTieBreak],1)</f>
        <v>224</v>
      </c>
      <c r="AR193" s="8">
        <f ca="1">RANK(PlayerGameData[[#This Row],[AST]],PlayerGameData[AST],0)+PlayerGameData[[#This Row],[VisibleOrder]]</f>
        <v>158</v>
      </c>
      <c r="AS193" s="8">
        <f ca="1">IF(COUNTIF(PlayerGameData[ASTOrder],PlayerGameData[[#This Row],[ASTOrder]])&gt;1,PlayerGameData[[#This Row],[PointRank]]/100+PlayerGameData[[#This Row],[ASTOrder]],PlayerGameData[[#This Row],[ASTOrder]])</f>
        <v>160.16</v>
      </c>
      <c r="AT193" s="8">
        <f ca="1">RANK(PlayerGameData[[#This Row],[ASTTieBreak]],PlayerGameData[ASTTieBreak],1)</f>
        <v>221</v>
      </c>
      <c r="AU193" s="8">
        <f ca="1">RANK(PlayerGameData[[#This Row],[STL]],PlayerGameData[STL],0)+PlayerGameData[[#This Row],[VisibleOrder]]</f>
        <v>143</v>
      </c>
      <c r="AV193" s="8">
        <f ca="1">IF(COUNTIF(PlayerGameData[STLOrder],PlayerGameData[[#This Row],[STLOrder]])&gt;1,PlayerGameData[[#This Row],[PointRank]]/100+PlayerGameData[[#This Row],[STLOrder]],PlayerGameData[[#This Row],[STLOrder]])</f>
        <v>145.16</v>
      </c>
      <c r="AW193" s="8">
        <f ca="1">RANK(PlayerGameData[[#This Row],[STLTieBreak]],PlayerGameData[STLTieBreak],1)</f>
        <v>217</v>
      </c>
      <c r="AX193" s="8">
        <f ca="1">RANK(PlayerGameData[[#This Row],[BLK]],PlayerGameData[BLK],0)+PlayerGameData[[#This Row],[VisibleOrder]]</f>
        <v>32</v>
      </c>
      <c r="AY193" s="8">
        <f ca="1">IF(COUNTIF(PlayerGameData[BLKOrder],PlayerGameData[[#This Row],[BLKOrder]])&gt;1,PlayerGameData[[#This Row],[PointRank]]/100+PlayerGameData[[#This Row],[BLKOrder]],PlayerGameData[[#This Row],[BLKOrder]])</f>
        <v>34.159999999999997</v>
      </c>
      <c r="AZ193" s="8">
        <f ca="1">RANK(PlayerGameData[[#This Row],[BLKTieBreak]],PlayerGameData[BLKTieBreak],1)</f>
        <v>216</v>
      </c>
      <c r="BA193" s="11">
        <f ca="1">IFERROR(IF(PlayerGameData[[#This Row],[FGA]]&gt;$AA$5,PlayerGameData[[#This Row],[FG%*]],PlayerGameData[[#This Row],[FG%*]]*-1),-2)</f>
        <v>-2</v>
      </c>
      <c r="BB193" s="8">
        <f ca="1">RANK(PlayerGameData[[#This Row],[EligFG]],PlayerGameData[EligFG],0)+PlayerGameData[[#This Row],[VisibleOrder]]</f>
        <v>215</v>
      </c>
      <c r="BC193" s="8">
        <f ca="1">IF(COUNTIF(PlayerGameData[EligFGOrder],PlayerGameData[[#This Row],[EligFGOrder]])&gt;1,PlayerGameData[[#This Row],[PointRank]]/100+PlayerGameData[[#This Row],[EligFGOrder]],PlayerGameData[[#This Row],[EligFGOrder]])</f>
        <v>217.16</v>
      </c>
      <c r="BD193" s="8">
        <f ca="1">RANK(PlayerGameData[[#This Row],[EligFGTieBreak]],PlayerGameData[EligFGTieBreak],1)</f>
        <v>216</v>
      </c>
      <c r="BE193" s="8" t="str">
        <f>Roster!$D$3</f>
        <v>East</v>
      </c>
      <c r="BF193" s="8" t="str">
        <f>Roster!$D$2</f>
        <v>Northeast</v>
      </c>
      <c r="BG193" s="8" t="str">
        <f>Roster!$D$4</f>
        <v>North</v>
      </c>
      <c r="BH193" s="197">
        <f ca="1">IFERROR(VLOOKUP(CONCATENATE(PlayerGameData[[#This Row],[Opponent]]," ",MONTH(PlayerGameData[[#This Row],[Date]]),"/",DAY(PlayerGameData[[#This Row],[Date]]),"/",YEAR(PlayerGameData[[#This Row],[Date]])),Table35[],2,FALSE),0)</f>
        <v>1</v>
      </c>
      <c r="BI193" s="197">
        <f ca="1">IF(PlayerGameData[[#This Row],[Visible]]=1,1,1000)</f>
        <v>1</v>
      </c>
      <c r="BJ193" s="197" t="e">
        <f ca="1">_xlfn.MAXIFS(TeamGameData[Win],TeamGameData[School, Opponent,Game'#],PlayerGameData[[#This Row],[School, Opponent,Game'#]])</f>
        <v>#NAME?</v>
      </c>
      <c r="BK193" s="197" t="e">
        <f ca="1">_xlfn.MAXIFS(TeamGameData[Loss],TeamGameData[School, Opponent,Game'#],PlayerGameData[[#This Row],[School, Opponent,Game'#]])</f>
        <v>#NAME?</v>
      </c>
    </row>
    <row r="194" spans="1:63" x14ac:dyDescent="0.25">
      <c r="A194" s="8" t="str">
        <f t="shared" ca="1" si="93"/>
        <v xml:space="preserve">, </v>
      </c>
      <c r="B194" s="8" t="str">
        <f>Roster!$B$1</f>
        <v>Upton</v>
      </c>
      <c r="C194" s="8" t="str">
        <f t="shared" ca="1" si="81"/>
        <v>New Underwood, SD</v>
      </c>
      <c r="D194" s="10">
        <f t="shared" ca="1" si="82"/>
        <v>44938</v>
      </c>
      <c r="E194" s="8">
        <f t="shared" ca="1" si="83"/>
        <v>0</v>
      </c>
      <c r="F194" s="8">
        <f t="shared" ca="1" si="84"/>
        <v>0</v>
      </c>
      <c r="G194" s="8">
        <f t="shared" ca="1" si="85"/>
        <v>0</v>
      </c>
      <c r="H194" s="8">
        <f t="shared" ca="1" si="86"/>
        <v>0</v>
      </c>
      <c r="I194" s="8">
        <f t="shared" ca="1" si="87"/>
        <v>0</v>
      </c>
      <c r="J194" s="8">
        <f t="shared" ca="1" si="88"/>
        <v>0</v>
      </c>
      <c r="K194" s="8">
        <f t="shared" ca="1" si="89"/>
        <v>0</v>
      </c>
      <c r="L194" s="8">
        <f t="shared" ca="1" si="94"/>
        <v>0</v>
      </c>
      <c r="M194" s="8">
        <f t="shared" ca="1" si="95"/>
        <v>0</v>
      </c>
      <c r="N194" s="8">
        <f t="shared" ca="1" si="96"/>
        <v>0</v>
      </c>
      <c r="O194" s="8">
        <f t="shared" ca="1" si="97"/>
        <v>0</v>
      </c>
      <c r="P194" s="8">
        <f t="shared" ca="1" si="98"/>
        <v>0</v>
      </c>
      <c r="Q194" s="8">
        <f t="shared" ca="1" si="99"/>
        <v>0</v>
      </c>
      <c r="R194" s="8">
        <f t="shared" ca="1" si="100"/>
        <v>0</v>
      </c>
      <c r="S194" s="8">
        <f t="shared" ca="1" si="101"/>
        <v>0</v>
      </c>
      <c r="T194" s="8">
        <f t="shared" ca="1" si="102"/>
        <v>0</v>
      </c>
      <c r="U194" s="8">
        <f t="shared" ca="1" si="103"/>
        <v>0</v>
      </c>
      <c r="V194" s="8">
        <f t="shared" ca="1" si="104"/>
        <v>0</v>
      </c>
      <c r="W194" s="11" t="str">
        <f t="shared" ca="1" si="105"/>
        <v/>
      </c>
      <c r="X194" s="11" t="str">
        <f t="shared" ca="1" si="106"/>
        <v/>
      </c>
      <c r="Y194" s="11" t="str">
        <f t="shared" ca="1" si="107"/>
        <v/>
      </c>
      <c r="Z194" s="11" t="str">
        <f t="shared" ca="1" si="108"/>
        <v/>
      </c>
      <c r="AA194" s="11" t="str">
        <f t="shared" ca="1" si="109"/>
        <v/>
      </c>
      <c r="AB194" s="47">
        <f ca="1">PlayerGameData[[#This Row],[3FGA]]+PlayerGameData[[#This Row],[2FGA]]</f>
        <v>0</v>
      </c>
      <c r="AC194" s="47">
        <f ca="1">PlayerGameData[[#This Row],[OFF REB]]+PlayerGameData[[#This Row],[DEF REB]]</f>
        <v>0</v>
      </c>
      <c r="AD194" s="8">
        <f t="shared" si="90"/>
        <v>8</v>
      </c>
      <c r="AE194" s="8" t="str">
        <f t="shared" ca="1" si="91"/>
        <v>,  - New Underwood, SD 1/12/2023</v>
      </c>
      <c r="AF194" s="8" t="str">
        <f t="shared" ca="1" si="110"/>
        <v/>
      </c>
      <c r="AG194" s="8" t="str">
        <f ca="1">IFERROR(IF(C194=0,"",IF(AND(VLOOKUP(PlayerGameData[[#This Row],[Opponent]],WYTeamInfo,2,FALSE)=Roster!$D$1,VLOOKUP(PlayerGameData[[#This Row],[Opponent]],WYTeamInfo,3,FALSE)=Roster!$D$2),"SR","")),"")</f>
        <v/>
      </c>
      <c r="AH194" s="8" t="str">
        <f>CONCATENATE(Roster!$D$1," ",Roster!$D$5)</f>
        <v>1A BB</v>
      </c>
      <c r="AI194" s="8" t="str">
        <f t="shared" ca="1" si="92"/>
        <v>Upton - New Underwood, SD 1/12/2023</v>
      </c>
      <c r="AJ194" s="8">
        <f ca="1">IFERROR(VLOOKUP(PlayerGameData[[#This Row],[School, Opponent,Game'#]],Table3[],2,FALSE),0)</f>
        <v>1</v>
      </c>
      <c r="AK194" s="8">
        <f ca="1">IF(PlayerGameData[[#This Row],[Visible]]=1,1,1000)</f>
        <v>1</v>
      </c>
      <c r="AL194" s="8">
        <f ca="1">RANK(PlayerGameData[[#This Row],[TL PTS]],PlayerGameData[TL PTS],0)+PlayerGameData[[#This Row],[VisibleOrder]]</f>
        <v>185</v>
      </c>
      <c r="AM194" s="8">
        <f ca="1">IF(COUNTIF(PlayerGameData[PointOrder],PlayerGameData[[#This Row],[PointOrder]])&gt;1,RANK(PlayerGameData[[#This Row],[FGA]],PlayerGameData[FGA],0)/100,0)+PlayerGameData[[#This Row],[PointOrder]]</f>
        <v>187.14</v>
      </c>
      <c r="AN194" s="8">
        <f ca="1">RANK(PlayerGameData[[#This Row],[PointTieBreak]],PlayerGameData[PointTieBreak],1)</f>
        <v>216</v>
      </c>
      <c r="AO194" s="8">
        <f ca="1">RANK(PlayerGameData[[#This Row],[REB]],PlayerGameData[REB],0)+PlayerGameData[[#This Row],[VisibleOrder]]</f>
        <v>192</v>
      </c>
      <c r="AP194" s="8">
        <f ca="1">IF(COUNTIF(PlayerGameData[REBOrder],PlayerGameData[[#This Row],[REBOrder]])&gt;1,PlayerGameData[[#This Row],[PointRank]]/100+PlayerGameData[[#This Row],[REBOrder]],PlayerGameData[[#This Row],[REBOrder]])</f>
        <v>194.16</v>
      </c>
      <c r="AQ194" s="8">
        <f ca="1">RANK(PlayerGameData[[#This Row],[REBTieBreak]],PlayerGameData[REBTieBreak],1)</f>
        <v>224</v>
      </c>
      <c r="AR194" s="8">
        <f ca="1">RANK(PlayerGameData[[#This Row],[AST]],PlayerGameData[AST],0)+PlayerGameData[[#This Row],[VisibleOrder]]</f>
        <v>158</v>
      </c>
      <c r="AS194" s="8">
        <f ca="1">IF(COUNTIF(PlayerGameData[ASTOrder],PlayerGameData[[#This Row],[ASTOrder]])&gt;1,PlayerGameData[[#This Row],[PointRank]]/100+PlayerGameData[[#This Row],[ASTOrder]],PlayerGameData[[#This Row],[ASTOrder]])</f>
        <v>160.16</v>
      </c>
      <c r="AT194" s="8">
        <f ca="1">RANK(PlayerGameData[[#This Row],[ASTTieBreak]],PlayerGameData[ASTTieBreak],1)</f>
        <v>221</v>
      </c>
      <c r="AU194" s="8">
        <f ca="1">RANK(PlayerGameData[[#This Row],[STL]],PlayerGameData[STL],0)+PlayerGameData[[#This Row],[VisibleOrder]]</f>
        <v>143</v>
      </c>
      <c r="AV194" s="8">
        <f ca="1">IF(COUNTIF(PlayerGameData[STLOrder],PlayerGameData[[#This Row],[STLOrder]])&gt;1,PlayerGameData[[#This Row],[PointRank]]/100+PlayerGameData[[#This Row],[STLOrder]],PlayerGameData[[#This Row],[STLOrder]])</f>
        <v>145.16</v>
      </c>
      <c r="AW194" s="8">
        <f ca="1">RANK(PlayerGameData[[#This Row],[STLTieBreak]],PlayerGameData[STLTieBreak],1)</f>
        <v>217</v>
      </c>
      <c r="AX194" s="8">
        <f ca="1">RANK(PlayerGameData[[#This Row],[BLK]],PlayerGameData[BLK],0)+PlayerGameData[[#This Row],[VisibleOrder]]</f>
        <v>32</v>
      </c>
      <c r="AY194" s="8">
        <f ca="1">IF(COUNTIF(PlayerGameData[BLKOrder],PlayerGameData[[#This Row],[BLKOrder]])&gt;1,PlayerGameData[[#This Row],[PointRank]]/100+PlayerGameData[[#This Row],[BLKOrder]],PlayerGameData[[#This Row],[BLKOrder]])</f>
        <v>34.159999999999997</v>
      </c>
      <c r="AZ194" s="8">
        <f ca="1">RANK(PlayerGameData[[#This Row],[BLKTieBreak]],PlayerGameData[BLKTieBreak],1)</f>
        <v>216</v>
      </c>
      <c r="BA194" s="11">
        <f ca="1">IFERROR(IF(PlayerGameData[[#This Row],[FGA]]&gt;$AA$5,PlayerGameData[[#This Row],[FG%*]],PlayerGameData[[#This Row],[FG%*]]*-1),-2)</f>
        <v>-2</v>
      </c>
      <c r="BB194" s="8">
        <f ca="1">RANK(PlayerGameData[[#This Row],[EligFG]],PlayerGameData[EligFG],0)+PlayerGameData[[#This Row],[VisibleOrder]]</f>
        <v>215</v>
      </c>
      <c r="BC194" s="8">
        <f ca="1">IF(COUNTIF(PlayerGameData[EligFGOrder],PlayerGameData[[#This Row],[EligFGOrder]])&gt;1,PlayerGameData[[#This Row],[PointRank]]/100+PlayerGameData[[#This Row],[EligFGOrder]],PlayerGameData[[#This Row],[EligFGOrder]])</f>
        <v>217.16</v>
      </c>
      <c r="BD194" s="8">
        <f ca="1">RANK(PlayerGameData[[#This Row],[EligFGTieBreak]],PlayerGameData[EligFGTieBreak],1)</f>
        <v>216</v>
      </c>
      <c r="BE194" s="8" t="str">
        <f>Roster!$D$3</f>
        <v>East</v>
      </c>
      <c r="BF194" s="8" t="str">
        <f>Roster!$D$2</f>
        <v>Northeast</v>
      </c>
      <c r="BG194" s="8" t="str">
        <f>Roster!$D$4</f>
        <v>North</v>
      </c>
      <c r="BH194" s="197">
        <f ca="1">IFERROR(VLOOKUP(CONCATENATE(PlayerGameData[[#This Row],[Opponent]]," ",MONTH(PlayerGameData[[#This Row],[Date]]),"/",DAY(PlayerGameData[[#This Row],[Date]]),"/",YEAR(PlayerGameData[[#This Row],[Date]])),Table35[],2,FALSE),0)</f>
        <v>1</v>
      </c>
      <c r="BI194" s="197">
        <f ca="1">IF(PlayerGameData[[#This Row],[Visible]]=1,1,1000)</f>
        <v>1</v>
      </c>
      <c r="BJ194" s="197" t="e">
        <f ca="1">_xlfn.MAXIFS(TeamGameData[Win],TeamGameData[School, Opponent,Game'#],PlayerGameData[[#This Row],[School, Opponent,Game'#]])</f>
        <v>#NAME?</v>
      </c>
      <c r="BK194" s="197" t="e">
        <f ca="1">_xlfn.MAXIFS(TeamGameData[Loss],TeamGameData[School, Opponent,Game'#],PlayerGameData[[#This Row],[School, Opponent,Game'#]])</f>
        <v>#NAME?</v>
      </c>
    </row>
    <row r="195" spans="1:63" x14ac:dyDescent="0.25">
      <c r="A195" s="8" t="str">
        <f t="shared" ca="1" si="93"/>
        <v xml:space="preserve">, </v>
      </c>
      <c r="B195" s="8" t="str">
        <f>Roster!$B$1</f>
        <v>Upton</v>
      </c>
      <c r="C195" s="8" t="str">
        <f t="shared" ca="1" si="81"/>
        <v>New Underwood, SD</v>
      </c>
      <c r="D195" s="10">
        <f t="shared" ca="1" si="82"/>
        <v>44938</v>
      </c>
      <c r="E195" s="8">
        <f t="shared" ca="1" si="83"/>
        <v>0</v>
      </c>
      <c r="F195" s="8">
        <f t="shared" ca="1" si="84"/>
        <v>0</v>
      </c>
      <c r="G195" s="8">
        <f t="shared" ca="1" si="85"/>
        <v>0</v>
      </c>
      <c r="H195" s="8">
        <f t="shared" ca="1" si="86"/>
        <v>0</v>
      </c>
      <c r="I195" s="8">
        <f t="shared" ca="1" si="87"/>
        <v>0</v>
      </c>
      <c r="J195" s="8">
        <f t="shared" ca="1" si="88"/>
        <v>0</v>
      </c>
      <c r="K195" s="8">
        <f t="shared" ca="1" si="89"/>
        <v>0</v>
      </c>
      <c r="L195" s="8">
        <f t="shared" ca="1" si="94"/>
        <v>0</v>
      </c>
      <c r="M195" s="8">
        <f t="shared" ca="1" si="95"/>
        <v>0</v>
      </c>
      <c r="N195" s="8">
        <f t="shared" ca="1" si="96"/>
        <v>0</v>
      </c>
      <c r="O195" s="8">
        <f t="shared" ca="1" si="97"/>
        <v>0</v>
      </c>
      <c r="P195" s="8">
        <f t="shared" ca="1" si="98"/>
        <v>0</v>
      </c>
      <c r="Q195" s="8">
        <f t="shared" ca="1" si="99"/>
        <v>0</v>
      </c>
      <c r="R195" s="8">
        <f t="shared" ca="1" si="100"/>
        <v>0</v>
      </c>
      <c r="S195" s="8">
        <f t="shared" ca="1" si="101"/>
        <v>0</v>
      </c>
      <c r="T195" s="8">
        <f t="shared" ca="1" si="102"/>
        <v>0</v>
      </c>
      <c r="U195" s="8">
        <f t="shared" ca="1" si="103"/>
        <v>0</v>
      </c>
      <c r="V195" s="8">
        <f t="shared" ca="1" si="104"/>
        <v>0</v>
      </c>
      <c r="W195" s="11" t="str">
        <f t="shared" ca="1" si="105"/>
        <v/>
      </c>
      <c r="X195" s="11" t="str">
        <f t="shared" ca="1" si="106"/>
        <v/>
      </c>
      <c r="Y195" s="11" t="str">
        <f t="shared" ca="1" si="107"/>
        <v/>
      </c>
      <c r="Z195" s="11" t="str">
        <f t="shared" ca="1" si="108"/>
        <v/>
      </c>
      <c r="AA195" s="11" t="str">
        <f t="shared" ca="1" si="109"/>
        <v/>
      </c>
      <c r="AB195" s="47">
        <f ca="1">PlayerGameData[[#This Row],[3FGA]]+PlayerGameData[[#This Row],[2FGA]]</f>
        <v>0</v>
      </c>
      <c r="AC195" s="47">
        <f ca="1">PlayerGameData[[#This Row],[OFF REB]]+PlayerGameData[[#This Row],[DEF REB]]</f>
        <v>0</v>
      </c>
      <c r="AD195" s="8">
        <f t="shared" si="90"/>
        <v>8</v>
      </c>
      <c r="AE195" s="8" t="str">
        <f t="shared" ca="1" si="91"/>
        <v>,  - New Underwood, SD 1/12/2023</v>
      </c>
      <c r="AF195" s="8" t="str">
        <f t="shared" ca="1" si="110"/>
        <v/>
      </c>
      <c r="AG195" s="8" t="str">
        <f ca="1">IFERROR(IF(C195=0,"",IF(AND(VLOOKUP(PlayerGameData[[#This Row],[Opponent]],WYTeamInfo,2,FALSE)=Roster!$D$1,VLOOKUP(PlayerGameData[[#This Row],[Opponent]],WYTeamInfo,3,FALSE)=Roster!$D$2),"SR","")),"")</f>
        <v/>
      </c>
      <c r="AH195" s="8" t="str">
        <f>CONCATENATE(Roster!$D$1," ",Roster!$D$5)</f>
        <v>1A BB</v>
      </c>
      <c r="AI195" s="8" t="str">
        <f t="shared" ca="1" si="92"/>
        <v>Upton - New Underwood, SD 1/12/2023</v>
      </c>
      <c r="AJ195" s="8">
        <f ca="1">IFERROR(VLOOKUP(PlayerGameData[[#This Row],[School, Opponent,Game'#]],Table3[],2,FALSE),0)</f>
        <v>1</v>
      </c>
      <c r="AK195" s="8">
        <f ca="1">IF(PlayerGameData[[#This Row],[Visible]]=1,1,1000)</f>
        <v>1</v>
      </c>
      <c r="AL195" s="8">
        <f ca="1">RANK(PlayerGameData[[#This Row],[TL PTS]],PlayerGameData[TL PTS],0)+PlayerGameData[[#This Row],[VisibleOrder]]</f>
        <v>185</v>
      </c>
      <c r="AM195" s="8">
        <f ca="1">IF(COUNTIF(PlayerGameData[PointOrder],PlayerGameData[[#This Row],[PointOrder]])&gt;1,RANK(PlayerGameData[[#This Row],[FGA]],PlayerGameData[FGA],0)/100,0)+PlayerGameData[[#This Row],[PointOrder]]</f>
        <v>187.14</v>
      </c>
      <c r="AN195" s="8">
        <f ca="1">RANK(PlayerGameData[[#This Row],[PointTieBreak]],PlayerGameData[PointTieBreak],1)</f>
        <v>216</v>
      </c>
      <c r="AO195" s="8">
        <f ca="1">RANK(PlayerGameData[[#This Row],[REB]],PlayerGameData[REB],0)+PlayerGameData[[#This Row],[VisibleOrder]]</f>
        <v>192</v>
      </c>
      <c r="AP195" s="8">
        <f ca="1">IF(COUNTIF(PlayerGameData[REBOrder],PlayerGameData[[#This Row],[REBOrder]])&gt;1,PlayerGameData[[#This Row],[PointRank]]/100+PlayerGameData[[#This Row],[REBOrder]],PlayerGameData[[#This Row],[REBOrder]])</f>
        <v>194.16</v>
      </c>
      <c r="AQ195" s="8">
        <f ca="1">RANK(PlayerGameData[[#This Row],[REBTieBreak]],PlayerGameData[REBTieBreak],1)</f>
        <v>224</v>
      </c>
      <c r="AR195" s="8">
        <f ca="1">RANK(PlayerGameData[[#This Row],[AST]],PlayerGameData[AST],0)+PlayerGameData[[#This Row],[VisibleOrder]]</f>
        <v>158</v>
      </c>
      <c r="AS195" s="8">
        <f ca="1">IF(COUNTIF(PlayerGameData[ASTOrder],PlayerGameData[[#This Row],[ASTOrder]])&gt;1,PlayerGameData[[#This Row],[PointRank]]/100+PlayerGameData[[#This Row],[ASTOrder]],PlayerGameData[[#This Row],[ASTOrder]])</f>
        <v>160.16</v>
      </c>
      <c r="AT195" s="8">
        <f ca="1">RANK(PlayerGameData[[#This Row],[ASTTieBreak]],PlayerGameData[ASTTieBreak],1)</f>
        <v>221</v>
      </c>
      <c r="AU195" s="8">
        <f ca="1">RANK(PlayerGameData[[#This Row],[STL]],PlayerGameData[STL],0)+PlayerGameData[[#This Row],[VisibleOrder]]</f>
        <v>143</v>
      </c>
      <c r="AV195" s="8">
        <f ca="1">IF(COUNTIF(PlayerGameData[STLOrder],PlayerGameData[[#This Row],[STLOrder]])&gt;1,PlayerGameData[[#This Row],[PointRank]]/100+PlayerGameData[[#This Row],[STLOrder]],PlayerGameData[[#This Row],[STLOrder]])</f>
        <v>145.16</v>
      </c>
      <c r="AW195" s="8">
        <f ca="1">RANK(PlayerGameData[[#This Row],[STLTieBreak]],PlayerGameData[STLTieBreak],1)</f>
        <v>217</v>
      </c>
      <c r="AX195" s="8">
        <f ca="1">RANK(PlayerGameData[[#This Row],[BLK]],PlayerGameData[BLK],0)+PlayerGameData[[#This Row],[VisibleOrder]]</f>
        <v>32</v>
      </c>
      <c r="AY195" s="8">
        <f ca="1">IF(COUNTIF(PlayerGameData[BLKOrder],PlayerGameData[[#This Row],[BLKOrder]])&gt;1,PlayerGameData[[#This Row],[PointRank]]/100+PlayerGameData[[#This Row],[BLKOrder]],PlayerGameData[[#This Row],[BLKOrder]])</f>
        <v>34.159999999999997</v>
      </c>
      <c r="AZ195" s="8">
        <f ca="1">RANK(PlayerGameData[[#This Row],[BLKTieBreak]],PlayerGameData[BLKTieBreak],1)</f>
        <v>216</v>
      </c>
      <c r="BA195" s="11">
        <f ca="1">IFERROR(IF(PlayerGameData[[#This Row],[FGA]]&gt;$AA$5,PlayerGameData[[#This Row],[FG%*]],PlayerGameData[[#This Row],[FG%*]]*-1),-2)</f>
        <v>-2</v>
      </c>
      <c r="BB195" s="8">
        <f ca="1">RANK(PlayerGameData[[#This Row],[EligFG]],PlayerGameData[EligFG],0)+PlayerGameData[[#This Row],[VisibleOrder]]</f>
        <v>215</v>
      </c>
      <c r="BC195" s="8">
        <f ca="1">IF(COUNTIF(PlayerGameData[EligFGOrder],PlayerGameData[[#This Row],[EligFGOrder]])&gt;1,PlayerGameData[[#This Row],[PointRank]]/100+PlayerGameData[[#This Row],[EligFGOrder]],PlayerGameData[[#This Row],[EligFGOrder]])</f>
        <v>217.16</v>
      </c>
      <c r="BD195" s="8">
        <f ca="1">RANK(PlayerGameData[[#This Row],[EligFGTieBreak]],PlayerGameData[EligFGTieBreak],1)</f>
        <v>216</v>
      </c>
      <c r="BE195" s="8" t="str">
        <f>Roster!$D$3</f>
        <v>East</v>
      </c>
      <c r="BF195" s="8" t="str">
        <f>Roster!$D$2</f>
        <v>Northeast</v>
      </c>
      <c r="BG195" s="8" t="str">
        <f>Roster!$D$4</f>
        <v>North</v>
      </c>
      <c r="BH195" s="197">
        <f ca="1">IFERROR(VLOOKUP(CONCATENATE(PlayerGameData[[#This Row],[Opponent]]," ",MONTH(PlayerGameData[[#This Row],[Date]]),"/",DAY(PlayerGameData[[#This Row],[Date]]),"/",YEAR(PlayerGameData[[#This Row],[Date]])),Table35[],2,FALSE),0)</f>
        <v>1</v>
      </c>
      <c r="BI195" s="197">
        <f ca="1">IF(PlayerGameData[[#This Row],[Visible]]=1,1,1000)</f>
        <v>1</v>
      </c>
      <c r="BJ195" s="197" t="e">
        <f ca="1">_xlfn.MAXIFS(TeamGameData[Win],TeamGameData[School, Opponent,Game'#],PlayerGameData[[#This Row],[School, Opponent,Game'#]])</f>
        <v>#NAME?</v>
      </c>
      <c r="BK195" s="197" t="e">
        <f ca="1">_xlfn.MAXIFS(TeamGameData[Loss],TeamGameData[School, Opponent,Game'#],PlayerGameData[[#This Row],[School, Opponent,Game'#]])</f>
        <v>#NAME?</v>
      </c>
    </row>
    <row r="196" spans="1:63" x14ac:dyDescent="0.25">
      <c r="A196" s="8" t="str">
        <f t="shared" ca="1" si="93"/>
        <v xml:space="preserve">, </v>
      </c>
      <c r="B196" s="8" t="str">
        <f>Roster!$B$1</f>
        <v>Upton</v>
      </c>
      <c r="C196" s="8" t="str">
        <f t="shared" ca="1" si="81"/>
        <v>New Underwood, SD</v>
      </c>
      <c r="D196" s="10">
        <f t="shared" ca="1" si="82"/>
        <v>44938</v>
      </c>
      <c r="E196" s="8">
        <f t="shared" ca="1" si="83"/>
        <v>0</v>
      </c>
      <c r="F196" s="8">
        <f t="shared" ca="1" si="84"/>
        <v>0</v>
      </c>
      <c r="G196" s="8">
        <f t="shared" ca="1" si="85"/>
        <v>0</v>
      </c>
      <c r="H196" s="8">
        <f t="shared" ca="1" si="86"/>
        <v>0</v>
      </c>
      <c r="I196" s="8">
        <f t="shared" ca="1" si="87"/>
        <v>0</v>
      </c>
      <c r="J196" s="8">
        <f t="shared" ca="1" si="88"/>
        <v>0</v>
      </c>
      <c r="K196" s="8">
        <f t="shared" ca="1" si="89"/>
        <v>0</v>
      </c>
      <c r="L196" s="8">
        <f t="shared" ca="1" si="94"/>
        <v>0</v>
      </c>
      <c r="M196" s="8">
        <f t="shared" ca="1" si="95"/>
        <v>0</v>
      </c>
      <c r="N196" s="8">
        <f t="shared" ca="1" si="96"/>
        <v>0</v>
      </c>
      <c r="O196" s="8">
        <f t="shared" ca="1" si="97"/>
        <v>0</v>
      </c>
      <c r="P196" s="8">
        <f t="shared" ca="1" si="98"/>
        <v>0</v>
      </c>
      <c r="Q196" s="8">
        <f t="shared" ca="1" si="99"/>
        <v>0</v>
      </c>
      <c r="R196" s="8">
        <f t="shared" ca="1" si="100"/>
        <v>0</v>
      </c>
      <c r="S196" s="8">
        <f t="shared" ca="1" si="101"/>
        <v>0</v>
      </c>
      <c r="T196" s="8">
        <f t="shared" ca="1" si="102"/>
        <v>0</v>
      </c>
      <c r="U196" s="8">
        <f t="shared" ca="1" si="103"/>
        <v>0</v>
      </c>
      <c r="V196" s="8">
        <f t="shared" ca="1" si="104"/>
        <v>0</v>
      </c>
      <c r="W196" s="11" t="str">
        <f t="shared" ca="1" si="105"/>
        <v/>
      </c>
      <c r="X196" s="11" t="str">
        <f t="shared" ca="1" si="106"/>
        <v/>
      </c>
      <c r="Y196" s="11" t="str">
        <f t="shared" ca="1" si="107"/>
        <v/>
      </c>
      <c r="Z196" s="11" t="str">
        <f t="shared" ca="1" si="108"/>
        <v/>
      </c>
      <c r="AA196" s="11" t="str">
        <f t="shared" ca="1" si="109"/>
        <v/>
      </c>
      <c r="AB196" s="47">
        <f ca="1">PlayerGameData[[#This Row],[3FGA]]+PlayerGameData[[#This Row],[2FGA]]</f>
        <v>0</v>
      </c>
      <c r="AC196" s="47">
        <f ca="1">PlayerGameData[[#This Row],[OFF REB]]+PlayerGameData[[#This Row],[DEF REB]]</f>
        <v>0</v>
      </c>
      <c r="AD196" s="8">
        <f t="shared" si="90"/>
        <v>8</v>
      </c>
      <c r="AE196" s="8" t="str">
        <f t="shared" ca="1" si="91"/>
        <v>,  - New Underwood, SD 1/12/2023</v>
      </c>
      <c r="AF196" s="8" t="str">
        <f t="shared" ca="1" si="110"/>
        <v/>
      </c>
      <c r="AG196" s="8" t="str">
        <f ca="1">IFERROR(IF(C196=0,"",IF(AND(VLOOKUP(PlayerGameData[[#This Row],[Opponent]],WYTeamInfo,2,FALSE)=Roster!$D$1,VLOOKUP(PlayerGameData[[#This Row],[Opponent]],WYTeamInfo,3,FALSE)=Roster!$D$2),"SR","")),"")</f>
        <v/>
      </c>
      <c r="AH196" s="8" t="str">
        <f>CONCATENATE(Roster!$D$1," ",Roster!$D$5)</f>
        <v>1A BB</v>
      </c>
      <c r="AI196" s="8" t="str">
        <f t="shared" ca="1" si="92"/>
        <v>Upton - New Underwood, SD 1/12/2023</v>
      </c>
      <c r="AJ196" s="8">
        <f ca="1">IFERROR(VLOOKUP(PlayerGameData[[#This Row],[School, Opponent,Game'#]],Table3[],2,FALSE),0)</f>
        <v>1</v>
      </c>
      <c r="AK196" s="8">
        <f ca="1">IF(PlayerGameData[[#This Row],[Visible]]=1,1,1000)</f>
        <v>1</v>
      </c>
      <c r="AL196" s="8">
        <f ca="1">RANK(PlayerGameData[[#This Row],[TL PTS]],PlayerGameData[TL PTS],0)+PlayerGameData[[#This Row],[VisibleOrder]]</f>
        <v>185</v>
      </c>
      <c r="AM196" s="8">
        <f ca="1">IF(COUNTIF(PlayerGameData[PointOrder],PlayerGameData[[#This Row],[PointOrder]])&gt;1,RANK(PlayerGameData[[#This Row],[FGA]],PlayerGameData[FGA],0)/100,0)+PlayerGameData[[#This Row],[PointOrder]]</f>
        <v>187.14</v>
      </c>
      <c r="AN196" s="8">
        <f ca="1">RANK(PlayerGameData[[#This Row],[PointTieBreak]],PlayerGameData[PointTieBreak],1)</f>
        <v>216</v>
      </c>
      <c r="AO196" s="8">
        <f ca="1">RANK(PlayerGameData[[#This Row],[REB]],PlayerGameData[REB],0)+PlayerGameData[[#This Row],[VisibleOrder]]</f>
        <v>192</v>
      </c>
      <c r="AP196" s="8">
        <f ca="1">IF(COUNTIF(PlayerGameData[REBOrder],PlayerGameData[[#This Row],[REBOrder]])&gt;1,PlayerGameData[[#This Row],[PointRank]]/100+PlayerGameData[[#This Row],[REBOrder]],PlayerGameData[[#This Row],[REBOrder]])</f>
        <v>194.16</v>
      </c>
      <c r="AQ196" s="8">
        <f ca="1">RANK(PlayerGameData[[#This Row],[REBTieBreak]],PlayerGameData[REBTieBreak],1)</f>
        <v>224</v>
      </c>
      <c r="AR196" s="8">
        <f ca="1">RANK(PlayerGameData[[#This Row],[AST]],PlayerGameData[AST],0)+PlayerGameData[[#This Row],[VisibleOrder]]</f>
        <v>158</v>
      </c>
      <c r="AS196" s="8">
        <f ca="1">IF(COUNTIF(PlayerGameData[ASTOrder],PlayerGameData[[#This Row],[ASTOrder]])&gt;1,PlayerGameData[[#This Row],[PointRank]]/100+PlayerGameData[[#This Row],[ASTOrder]],PlayerGameData[[#This Row],[ASTOrder]])</f>
        <v>160.16</v>
      </c>
      <c r="AT196" s="8">
        <f ca="1">RANK(PlayerGameData[[#This Row],[ASTTieBreak]],PlayerGameData[ASTTieBreak],1)</f>
        <v>221</v>
      </c>
      <c r="AU196" s="8">
        <f ca="1">RANK(PlayerGameData[[#This Row],[STL]],PlayerGameData[STL],0)+PlayerGameData[[#This Row],[VisibleOrder]]</f>
        <v>143</v>
      </c>
      <c r="AV196" s="8">
        <f ca="1">IF(COUNTIF(PlayerGameData[STLOrder],PlayerGameData[[#This Row],[STLOrder]])&gt;1,PlayerGameData[[#This Row],[PointRank]]/100+PlayerGameData[[#This Row],[STLOrder]],PlayerGameData[[#This Row],[STLOrder]])</f>
        <v>145.16</v>
      </c>
      <c r="AW196" s="8">
        <f ca="1">RANK(PlayerGameData[[#This Row],[STLTieBreak]],PlayerGameData[STLTieBreak],1)</f>
        <v>217</v>
      </c>
      <c r="AX196" s="8">
        <f ca="1">RANK(PlayerGameData[[#This Row],[BLK]],PlayerGameData[BLK],0)+PlayerGameData[[#This Row],[VisibleOrder]]</f>
        <v>32</v>
      </c>
      <c r="AY196" s="8">
        <f ca="1">IF(COUNTIF(PlayerGameData[BLKOrder],PlayerGameData[[#This Row],[BLKOrder]])&gt;1,PlayerGameData[[#This Row],[PointRank]]/100+PlayerGameData[[#This Row],[BLKOrder]],PlayerGameData[[#This Row],[BLKOrder]])</f>
        <v>34.159999999999997</v>
      </c>
      <c r="AZ196" s="8">
        <f ca="1">RANK(PlayerGameData[[#This Row],[BLKTieBreak]],PlayerGameData[BLKTieBreak],1)</f>
        <v>216</v>
      </c>
      <c r="BA196" s="11">
        <f ca="1">IFERROR(IF(PlayerGameData[[#This Row],[FGA]]&gt;$AA$5,PlayerGameData[[#This Row],[FG%*]],PlayerGameData[[#This Row],[FG%*]]*-1),-2)</f>
        <v>-2</v>
      </c>
      <c r="BB196" s="8">
        <f ca="1">RANK(PlayerGameData[[#This Row],[EligFG]],PlayerGameData[EligFG],0)+PlayerGameData[[#This Row],[VisibleOrder]]</f>
        <v>215</v>
      </c>
      <c r="BC196" s="8">
        <f ca="1">IF(COUNTIF(PlayerGameData[EligFGOrder],PlayerGameData[[#This Row],[EligFGOrder]])&gt;1,PlayerGameData[[#This Row],[PointRank]]/100+PlayerGameData[[#This Row],[EligFGOrder]],PlayerGameData[[#This Row],[EligFGOrder]])</f>
        <v>217.16</v>
      </c>
      <c r="BD196" s="8">
        <f ca="1">RANK(PlayerGameData[[#This Row],[EligFGTieBreak]],PlayerGameData[EligFGTieBreak],1)</f>
        <v>216</v>
      </c>
      <c r="BE196" s="8" t="str">
        <f>Roster!$D$3</f>
        <v>East</v>
      </c>
      <c r="BF196" s="8" t="str">
        <f>Roster!$D$2</f>
        <v>Northeast</v>
      </c>
      <c r="BG196" s="8" t="str">
        <f>Roster!$D$4</f>
        <v>North</v>
      </c>
      <c r="BH196" s="197">
        <f ca="1">IFERROR(VLOOKUP(CONCATENATE(PlayerGameData[[#This Row],[Opponent]]," ",MONTH(PlayerGameData[[#This Row],[Date]]),"/",DAY(PlayerGameData[[#This Row],[Date]]),"/",YEAR(PlayerGameData[[#This Row],[Date]])),Table35[],2,FALSE),0)</f>
        <v>1</v>
      </c>
      <c r="BI196" s="197">
        <f ca="1">IF(PlayerGameData[[#This Row],[Visible]]=1,1,1000)</f>
        <v>1</v>
      </c>
      <c r="BJ196" s="197" t="e">
        <f ca="1">_xlfn.MAXIFS(TeamGameData[Win],TeamGameData[School, Opponent,Game'#],PlayerGameData[[#This Row],[School, Opponent,Game'#]])</f>
        <v>#NAME?</v>
      </c>
      <c r="BK196" s="197" t="e">
        <f ca="1">_xlfn.MAXIFS(TeamGameData[Loss],TeamGameData[School, Opponent,Game'#],PlayerGameData[[#This Row],[School, Opponent,Game'#]])</f>
        <v>#NAME?</v>
      </c>
    </row>
    <row r="197" spans="1:63" x14ac:dyDescent="0.25">
      <c r="A197" s="8" t="str">
        <f t="shared" ca="1" si="93"/>
        <v xml:space="preserve">, </v>
      </c>
      <c r="B197" s="8" t="str">
        <f>Roster!$B$1</f>
        <v>Upton</v>
      </c>
      <c r="C197" s="8" t="str">
        <f t="shared" ca="1" si="81"/>
        <v>New Underwood, SD</v>
      </c>
      <c r="D197" s="10">
        <f t="shared" ca="1" si="82"/>
        <v>44938</v>
      </c>
      <c r="E197" s="8">
        <f t="shared" ca="1" si="83"/>
        <v>0</v>
      </c>
      <c r="F197" s="8">
        <f t="shared" ca="1" si="84"/>
        <v>0</v>
      </c>
      <c r="G197" s="8">
        <f t="shared" ca="1" si="85"/>
        <v>0</v>
      </c>
      <c r="H197" s="8">
        <f t="shared" ca="1" si="86"/>
        <v>0</v>
      </c>
      <c r="I197" s="8">
        <f t="shared" ca="1" si="87"/>
        <v>0</v>
      </c>
      <c r="J197" s="8">
        <f t="shared" ca="1" si="88"/>
        <v>0</v>
      </c>
      <c r="K197" s="8">
        <f t="shared" ca="1" si="89"/>
        <v>0</v>
      </c>
      <c r="L197" s="8">
        <f t="shared" ca="1" si="94"/>
        <v>0</v>
      </c>
      <c r="M197" s="8">
        <f t="shared" ca="1" si="95"/>
        <v>0</v>
      </c>
      <c r="N197" s="8">
        <f t="shared" ca="1" si="96"/>
        <v>0</v>
      </c>
      <c r="O197" s="8">
        <f t="shared" ca="1" si="97"/>
        <v>0</v>
      </c>
      <c r="P197" s="8">
        <f t="shared" ca="1" si="98"/>
        <v>0</v>
      </c>
      <c r="Q197" s="8">
        <f t="shared" ca="1" si="99"/>
        <v>0</v>
      </c>
      <c r="R197" s="8">
        <f t="shared" ca="1" si="100"/>
        <v>0</v>
      </c>
      <c r="S197" s="8">
        <f t="shared" ca="1" si="101"/>
        <v>0</v>
      </c>
      <c r="T197" s="8">
        <f t="shared" ca="1" si="102"/>
        <v>0</v>
      </c>
      <c r="U197" s="8">
        <f t="shared" ca="1" si="103"/>
        <v>0</v>
      </c>
      <c r="V197" s="8">
        <f t="shared" ca="1" si="104"/>
        <v>0</v>
      </c>
      <c r="W197" s="11" t="str">
        <f t="shared" ca="1" si="105"/>
        <v/>
      </c>
      <c r="X197" s="11" t="str">
        <f t="shared" ca="1" si="106"/>
        <v/>
      </c>
      <c r="Y197" s="11" t="str">
        <f t="shared" ca="1" si="107"/>
        <v/>
      </c>
      <c r="Z197" s="11" t="str">
        <f t="shared" ca="1" si="108"/>
        <v/>
      </c>
      <c r="AA197" s="11" t="str">
        <f t="shared" ca="1" si="109"/>
        <v/>
      </c>
      <c r="AB197" s="47">
        <f ca="1">PlayerGameData[[#This Row],[3FGA]]+PlayerGameData[[#This Row],[2FGA]]</f>
        <v>0</v>
      </c>
      <c r="AC197" s="47">
        <f ca="1">PlayerGameData[[#This Row],[OFF REB]]+PlayerGameData[[#This Row],[DEF REB]]</f>
        <v>0</v>
      </c>
      <c r="AD197" s="8">
        <f t="shared" si="90"/>
        <v>8</v>
      </c>
      <c r="AE197" s="8" t="str">
        <f t="shared" ca="1" si="91"/>
        <v>,  - New Underwood, SD 1/12/2023</v>
      </c>
      <c r="AF197" s="8" t="str">
        <f t="shared" ca="1" si="110"/>
        <v/>
      </c>
      <c r="AG197" s="8" t="str">
        <f ca="1">IFERROR(IF(C197=0,"",IF(AND(VLOOKUP(PlayerGameData[[#This Row],[Opponent]],WYTeamInfo,2,FALSE)=Roster!$D$1,VLOOKUP(PlayerGameData[[#This Row],[Opponent]],WYTeamInfo,3,FALSE)=Roster!$D$2),"SR","")),"")</f>
        <v/>
      </c>
      <c r="AH197" s="8" t="str">
        <f>CONCATENATE(Roster!$D$1," ",Roster!$D$5)</f>
        <v>1A BB</v>
      </c>
      <c r="AI197" s="8" t="str">
        <f t="shared" ca="1" si="92"/>
        <v>Upton - New Underwood, SD 1/12/2023</v>
      </c>
      <c r="AJ197" s="8">
        <f ca="1">IFERROR(VLOOKUP(PlayerGameData[[#This Row],[School, Opponent,Game'#]],Table3[],2,FALSE),0)</f>
        <v>1</v>
      </c>
      <c r="AK197" s="8">
        <f ca="1">IF(PlayerGameData[[#This Row],[Visible]]=1,1,1000)</f>
        <v>1</v>
      </c>
      <c r="AL197" s="8">
        <f ca="1">RANK(PlayerGameData[[#This Row],[TL PTS]],PlayerGameData[TL PTS],0)+PlayerGameData[[#This Row],[VisibleOrder]]</f>
        <v>185</v>
      </c>
      <c r="AM197" s="8">
        <f ca="1">IF(COUNTIF(PlayerGameData[PointOrder],PlayerGameData[[#This Row],[PointOrder]])&gt;1,RANK(PlayerGameData[[#This Row],[FGA]],PlayerGameData[FGA],0)/100,0)+PlayerGameData[[#This Row],[PointOrder]]</f>
        <v>187.14</v>
      </c>
      <c r="AN197" s="8">
        <f ca="1">RANK(PlayerGameData[[#This Row],[PointTieBreak]],PlayerGameData[PointTieBreak],1)</f>
        <v>216</v>
      </c>
      <c r="AO197" s="8">
        <f ca="1">RANK(PlayerGameData[[#This Row],[REB]],PlayerGameData[REB],0)+PlayerGameData[[#This Row],[VisibleOrder]]</f>
        <v>192</v>
      </c>
      <c r="AP197" s="8">
        <f ca="1">IF(COUNTIF(PlayerGameData[REBOrder],PlayerGameData[[#This Row],[REBOrder]])&gt;1,PlayerGameData[[#This Row],[PointRank]]/100+PlayerGameData[[#This Row],[REBOrder]],PlayerGameData[[#This Row],[REBOrder]])</f>
        <v>194.16</v>
      </c>
      <c r="AQ197" s="8">
        <f ca="1">RANK(PlayerGameData[[#This Row],[REBTieBreak]],PlayerGameData[REBTieBreak],1)</f>
        <v>224</v>
      </c>
      <c r="AR197" s="8">
        <f ca="1">RANK(PlayerGameData[[#This Row],[AST]],PlayerGameData[AST],0)+PlayerGameData[[#This Row],[VisibleOrder]]</f>
        <v>158</v>
      </c>
      <c r="AS197" s="8">
        <f ca="1">IF(COUNTIF(PlayerGameData[ASTOrder],PlayerGameData[[#This Row],[ASTOrder]])&gt;1,PlayerGameData[[#This Row],[PointRank]]/100+PlayerGameData[[#This Row],[ASTOrder]],PlayerGameData[[#This Row],[ASTOrder]])</f>
        <v>160.16</v>
      </c>
      <c r="AT197" s="8">
        <f ca="1">RANK(PlayerGameData[[#This Row],[ASTTieBreak]],PlayerGameData[ASTTieBreak],1)</f>
        <v>221</v>
      </c>
      <c r="AU197" s="8">
        <f ca="1">RANK(PlayerGameData[[#This Row],[STL]],PlayerGameData[STL],0)+PlayerGameData[[#This Row],[VisibleOrder]]</f>
        <v>143</v>
      </c>
      <c r="AV197" s="8">
        <f ca="1">IF(COUNTIF(PlayerGameData[STLOrder],PlayerGameData[[#This Row],[STLOrder]])&gt;1,PlayerGameData[[#This Row],[PointRank]]/100+PlayerGameData[[#This Row],[STLOrder]],PlayerGameData[[#This Row],[STLOrder]])</f>
        <v>145.16</v>
      </c>
      <c r="AW197" s="8">
        <f ca="1">RANK(PlayerGameData[[#This Row],[STLTieBreak]],PlayerGameData[STLTieBreak],1)</f>
        <v>217</v>
      </c>
      <c r="AX197" s="8">
        <f ca="1">RANK(PlayerGameData[[#This Row],[BLK]],PlayerGameData[BLK],0)+PlayerGameData[[#This Row],[VisibleOrder]]</f>
        <v>32</v>
      </c>
      <c r="AY197" s="8">
        <f ca="1">IF(COUNTIF(PlayerGameData[BLKOrder],PlayerGameData[[#This Row],[BLKOrder]])&gt;1,PlayerGameData[[#This Row],[PointRank]]/100+PlayerGameData[[#This Row],[BLKOrder]],PlayerGameData[[#This Row],[BLKOrder]])</f>
        <v>34.159999999999997</v>
      </c>
      <c r="AZ197" s="8">
        <f ca="1">RANK(PlayerGameData[[#This Row],[BLKTieBreak]],PlayerGameData[BLKTieBreak],1)</f>
        <v>216</v>
      </c>
      <c r="BA197" s="11">
        <f ca="1">IFERROR(IF(PlayerGameData[[#This Row],[FGA]]&gt;$AA$5,PlayerGameData[[#This Row],[FG%*]],PlayerGameData[[#This Row],[FG%*]]*-1),-2)</f>
        <v>-2</v>
      </c>
      <c r="BB197" s="8">
        <f ca="1">RANK(PlayerGameData[[#This Row],[EligFG]],PlayerGameData[EligFG],0)+PlayerGameData[[#This Row],[VisibleOrder]]</f>
        <v>215</v>
      </c>
      <c r="BC197" s="8">
        <f ca="1">IF(COUNTIF(PlayerGameData[EligFGOrder],PlayerGameData[[#This Row],[EligFGOrder]])&gt;1,PlayerGameData[[#This Row],[PointRank]]/100+PlayerGameData[[#This Row],[EligFGOrder]],PlayerGameData[[#This Row],[EligFGOrder]])</f>
        <v>217.16</v>
      </c>
      <c r="BD197" s="8">
        <f ca="1">RANK(PlayerGameData[[#This Row],[EligFGTieBreak]],PlayerGameData[EligFGTieBreak],1)</f>
        <v>216</v>
      </c>
      <c r="BE197" s="8" t="str">
        <f>Roster!$D$3</f>
        <v>East</v>
      </c>
      <c r="BF197" s="8" t="str">
        <f>Roster!$D$2</f>
        <v>Northeast</v>
      </c>
      <c r="BG197" s="8" t="str">
        <f>Roster!$D$4</f>
        <v>North</v>
      </c>
      <c r="BH197" s="197">
        <f ca="1">IFERROR(VLOOKUP(CONCATENATE(PlayerGameData[[#This Row],[Opponent]]," ",MONTH(PlayerGameData[[#This Row],[Date]]),"/",DAY(PlayerGameData[[#This Row],[Date]]),"/",YEAR(PlayerGameData[[#This Row],[Date]])),Table35[],2,FALSE),0)</f>
        <v>1</v>
      </c>
      <c r="BI197" s="197">
        <f ca="1">IF(PlayerGameData[[#This Row],[Visible]]=1,1,1000)</f>
        <v>1</v>
      </c>
      <c r="BJ197" s="197" t="e">
        <f ca="1">_xlfn.MAXIFS(TeamGameData[Win],TeamGameData[School, Opponent,Game'#],PlayerGameData[[#This Row],[School, Opponent,Game'#]])</f>
        <v>#NAME?</v>
      </c>
      <c r="BK197" s="197" t="e">
        <f ca="1">_xlfn.MAXIFS(TeamGameData[Loss],TeamGameData[School, Opponent,Game'#],PlayerGameData[[#This Row],[School, Opponent,Game'#]])</f>
        <v>#NAME?</v>
      </c>
    </row>
    <row r="198" spans="1:63" x14ac:dyDescent="0.25">
      <c r="A198" s="8" t="str">
        <f t="shared" ca="1" si="93"/>
        <v xml:space="preserve">Team, </v>
      </c>
      <c r="B198" s="8" t="str">
        <f>Roster!$B$1</f>
        <v>Upton</v>
      </c>
      <c r="C198" s="8" t="str">
        <f t="shared" ca="1" si="81"/>
        <v>New Underwood, SD</v>
      </c>
      <c r="D198" s="10">
        <f t="shared" ca="1" si="82"/>
        <v>44938</v>
      </c>
      <c r="E198" s="8">
        <f t="shared" ca="1" si="83"/>
        <v>0</v>
      </c>
      <c r="F198" s="8">
        <f t="shared" ca="1" si="84"/>
        <v>0</v>
      </c>
      <c r="G198" s="8">
        <f t="shared" ca="1" si="85"/>
        <v>0</v>
      </c>
      <c r="H198" s="8">
        <f t="shared" ca="1" si="86"/>
        <v>0</v>
      </c>
      <c r="I198" s="8">
        <f t="shared" ca="1" si="87"/>
        <v>0</v>
      </c>
      <c r="J198" s="8">
        <f t="shared" ca="1" si="88"/>
        <v>0</v>
      </c>
      <c r="K198" s="8">
        <f t="shared" ca="1" si="89"/>
        <v>0</v>
      </c>
      <c r="L198" s="8">
        <f t="shared" ca="1" si="94"/>
        <v>0</v>
      </c>
      <c r="M198" s="8">
        <f t="shared" ca="1" si="95"/>
        <v>0</v>
      </c>
      <c r="N198" s="8">
        <f t="shared" ca="1" si="96"/>
        <v>0</v>
      </c>
      <c r="O198" s="8">
        <f t="shared" ca="1" si="97"/>
        <v>0</v>
      </c>
      <c r="P198" s="8">
        <f t="shared" ca="1" si="98"/>
        <v>0</v>
      </c>
      <c r="Q198" s="8">
        <f t="shared" ca="1" si="99"/>
        <v>0</v>
      </c>
      <c r="R198" s="8">
        <f t="shared" ca="1" si="100"/>
        <v>0</v>
      </c>
      <c r="S198" s="8">
        <f t="shared" ca="1" si="101"/>
        <v>0</v>
      </c>
      <c r="T198" s="8">
        <f t="shared" ca="1" si="102"/>
        <v>0</v>
      </c>
      <c r="U198" s="8">
        <f t="shared" ca="1" si="103"/>
        <v>0</v>
      </c>
      <c r="V198" s="8">
        <f t="shared" ca="1" si="104"/>
        <v>0</v>
      </c>
      <c r="W198" s="11" t="str">
        <f t="shared" ca="1" si="105"/>
        <v/>
      </c>
      <c r="X198" s="11" t="str">
        <f t="shared" ca="1" si="106"/>
        <v/>
      </c>
      <c r="Y198" s="11" t="str">
        <f t="shared" ca="1" si="107"/>
        <v/>
      </c>
      <c r="Z198" s="11" t="str">
        <f t="shared" ca="1" si="108"/>
        <v/>
      </c>
      <c r="AA198" s="11" t="str">
        <f t="shared" ca="1" si="109"/>
        <v/>
      </c>
      <c r="AB198" s="47">
        <f ca="1">PlayerGameData[[#This Row],[3FGA]]+PlayerGameData[[#This Row],[2FGA]]</f>
        <v>0</v>
      </c>
      <c r="AC198" s="47">
        <f ca="1">PlayerGameData[[#This Row],[OFF REB]]+PlayerGameData[[#This Row],[DEF REB]]</f>
        <v>0</v>
      </c>
      <c r="AD198" s="8">
        <f t="shared" si="90"/>
        <v>8</v>
      </c>
      <c r="AE198" s="8" t="str">
        <f t="shared" ca="1" si="91"/>
        <v>Team,  - New Underwood, SD 1/12/2023</v>
      </c>
      <c r="AF198" s="8" t="str">
        <f t="shared" ca="1" si="110"/>
        <v/>
      </c>
      <c r="AG198" s="8" t="str">
        <f ca="1">IFERROR(IF(C198=0,"",IF(AND(VLOOKUP(PlayerGameData[[#This Row],[Opponent]],WYTeamInfo,2,FALSE)=Roster!$D$1,VLOOKUP(PlayerGameData[[#This Row],[Opponent]],WYTeamInfo,3,FALSE)=Roster!$D$2),"SR","")),"")</f>
        <v/>
      </c>
      <c r="AH198" s="8" t="str">
        <f>CONCATENATE(Roster!$D$1," ",Roster!$D$5)</f>
        <v>1A BB</v>
      </c>
      <c r="AI198" s="8" t="str">
        <f t="shared" ca="1" si="92"/>
        <v>Upton - New Underwood, SD 1/12/2023</v>
      </c>
      <c r="AJ198" s="8">
        <f ca="1">IFERROR(VLOOKUP(PlayerGameData[[#This Row],[School, Opponent,Game'#]],Table3[],2,FALSE),0)</f>
        <v>1</v>
      </c>
      <c r="AK198" s="8">
        <f ca="1">IF(PlayerGameData[[#This Row],[Visible]]=1,1,1000)</f>
        <v>1</v>
      </c>
      <c r="AL198" s="8">
        <f ca="1">RANK(PlayerGameData[[#This Row],[TL PTS]],PlayerGameData[TL PTS],0)+PlayerGameData[[#This Row],[VisibleOrder]]</f>
        <v>185</v>
      </c>
      <c r="AM198" s="8">
        <f ca="1">IF(COUNTIF(PlayerGameData[PointOrder],PlayerGameData[[#This Row],[PointOrder]])&gt;1,RANK(PlayerGameData[[#This Row],[FGA]],PlayerGameData[FGA],0)/100,0)+PlayerGameData[[#This Row],[PointOrder]]</f>
        <v>187.14</v>
      </c>
      <c r="AN198" s="8">
        <f ca="1">RANK(PlayerGameData[[#This Row],[PointTieBreak]],PlayerGameData[PointTieBreak],1)</f>
        <v>216</v>
      </c>
      <c r="AO198" s="8">
        <f ca="1">RANK(PlayerGameData[[#This Row],[REB]],PlayerGameData[REB],0)+PlayerGameData[[#This Row],[VisibleOrder]]</f>
        <v>192</v>
      </c>
      <c r="AP198" s="8">
        <f ca="1">IF(COUNTIF(PlayerGameData[REBOrder],PlayerGameData[[#This Row],[REBOrder]])&gt;1,PlayerGameData[[#This Row],[PointRank]]/100+PlayerGameData[[#This Row],[REBOrder]],PlayerGameData[[#This Row],[REBOrder]])</f>
        <v>194.16</v>
      </c>
      <c r="AQ198" s="8">
        <f ca="1">RANK(PlayerGameData[[#This Row],[REBTieBreak]],PlayerGameData[REBTieBreak],1)</f>
        <v>224</v>
      </c>
      <c r="AR198" s="8">
        <f ca="1">RANK(PlayerGameData[[#This Row],[AST]],PlayerGameData[AST],0)+PlayerGameData[[#This Row],[VisibleOrder]]</f>
        <v>158</v>
      </c>
      <c r="AS198" s="8">
        <f ca="1">IF(COUNTIF(PlayerGameData[ASTOrder],PlayerGameData[[#This Row],[ASTOrder]])&gt;1,PlayerGameData[[#This Row],[PointRank]]/100+PlayerGameData[[#This Row],[ASTOrder]],PlayerGameData[[#This Row],[ASTOrder]])</f>
        <v>160.16</v>
      </c>
      <c r="AT198" s="8">
        <f ca="1">RANK(PlayerGameData[[#This Row],[ASTTieBreak]],PlayerGameData[ASTTieBreak],1)</f>
        <v>221</v>
      </c>
      <c r="AU198" s="8">
        <f ca="1">RANK(PlayerGameData[[#This Row],[STL]],PlayerGameData[STL],0)+PlayerGameData[[#This Row],[VisibleOrder]]</f>
        <v>143</v>
      </c>
      <c r="AV198" s="8">
        <f ca="1">IF(COUNTIF(PlayerGameData[STLOrder],PlayerGameData[[#This Row],[STLOrder]])&gt;1,PlayerGameData[[#This Row],[PointRank]]/100+PlayerGameData[[#This Row],[STLOrder]],PlayerGameData[[#This Row],[STLOrder]])</f>
        <v>145.16</v>
      </c>
      <c r="AW198" s="8">
        <f ca="1">RANK(PlayerGameData[[#This Row],[STLTieBreak]],PlayerGameData[STLTieBreak],1)</f>
        <v>217</v>
      </c>
      <c r="AX198" s="8">
        <f ca="1">RANK(PlayerGameData[[#This Row],[BLK]],PlayerGameData[BLK],0)+PlayerGameData[[#This Row],[VisibleOrder]]</f>
        <v>32</v>
      </c>
      <c r="AY198" s="8">
        <f ca="1">IF(COUNTIF(PlayerGameData[BLKOrder],PlayerGameData[[#This Row],[BLKOrder]])&gt;1,PlayerGameData[[#This Row],[PointRank]]/100+PlayerGameData[[#This Row],[BLKOrder]],PlayerGameData[[#This Row],[BLKOrder]])</f>
        <v>34.159999999999997</v>
      </c>
      <c r="AZ198" s="8">
        <f ca="1">RANK(PlayerGameData[[#This Row],[BLKTieBreak]],PlayerGameData[BLKTieBreak],1)</f>
        <v>216</v>
      </c>
      <c r="BA198" s="11">
        <f ca="1">IFERROR(IF(PlayerGameData[[#This Row],[FGA]]&gt;$AA$5,PlayerGameData[[#This Row],[FG%*]],PlayerGameData[[#This Row],[FG%*]]*-1),-2)</f>
        <v>-2</v>
      </c>
      <c r="BB198" s="8">
        <f ca="1">RANK(PlayerGameData[[#This Row],[EligFG]],PlayerGameData[EligFG],0)+PlayerGameData[[#This Row],[VisibleOrder]]</f>
        <v>215</v>
      </c>
      <c r="BC198" s="8">
        <f ca="1">IF(COUNTIF(PlayerGameData[EligFGOrder],PlayerGameData[[#This Row],[EligFGOrder]])&gt;1,PlayerGameData[[#This Row],[PointRank]]/100+PlayerGameData[[#This Row],[EligFGOrder]],PlayerGameData[[#This Row],[EligFGOrder]])</f>
        <v>217.16</v>
      </c>
      <c r="BD198" s="8">
        <f ca="1">RANK(PlayerGameData[[#This Row],[EligFGTieBreak]],PlayerGameData[EligFGTieBreak],1)</f>
        <v>216</v>
      </c>
      <c r="BE198" s="8" t="str">
        <f>Roster!$D$3</f>
        <v>East</v>
      </c>
      <c r="BF198" s="8" t="str">
        <f>Roster!$D$2</f>
        <v>Northeast</v>
      </c>
      <c r="BG198" s="8" t="str">
        <f>Roster!$D$4</f>
        <v>North</v>
      </c>
      <c r="BH198" s="197">
        <f ca="1">IFERROR(VLOOKUP(CONCATENATE(PlayerGameData[[#This Row],[Opponent]]," ",MONTH(PlayerGameData[[#This Row],[Date]]),"/",DAY(PlayerGameData[[#This Row],[Date]]),"/",YEAR(PlayerGameData[[#This Row],[Date]])),Table35[],2,FALSE),0)</f>
        <v>1</v>
      </c>
      <c r="BI198" s="197">
        <f ca="1">IF(PlayerGameData[[#This Row],[Visible]]=1,1,1000)</f>
        <v>1</v>
      </c>
      <c r="BJ198" s="197" t="e">
        <f ca="1">_xlfn.MAXIFS(TeamGameData[Win],TeamGameData[School, Opponent,Game'#],PlayerGameData[[#This Row],[School, Opponent,Game'#]])</f>
        <v>#NAME?</v>
      </c>
      <c r="BK198" s="197" t="e">
        <f ca="1">_xlfn.MAXIFS(TeamGameData[Loss],TeamGameData[School, Opponent,Game'#],PlayerGameData[[#This Row],[School, Opponent,Game'#]])</f>
        <v>#NAME?</v>
      </c>
    </row>
    <row r="199" spans="1:63" x14ac:dyDescent="0.25">
      <c r="A199" s="8" t="str">
        <f t="shared" ca="1" si="93"/>
        <v>Landon Butler, 1</v>
      </c>
      <c r="B199" s="8" t="str">
        <f>Roster!$B$1</f>
        <v>Upton</v>
      </c>
      <c r="C199" s="8" t="str">
        <f t="shared" ref="C199:C262" ca="1" si="111">INDIRECT("'game1 ("&amp;$AD199&amp;")'!$b$3")</f>
        <v>Faith, SD</v>
      </c>
      <c r="D199" s="10">
        <f t="shared" ref="D199:D262" ca="1" si="112">INDIRECT("'game1 ("&amp;$AD199&amp;")'!$m$4")</f>
        <v>44939</v>
      </c>
      <c r="E199" s="8">
        <f t="shared" ref="E199:E262" ca="1" si="113">INDIRECT("'game1 ("&amp;$AD199&amp;")'!"&amp;ADDRESS(ROW(A$7)+MOD(ROW(A199)-7,24),COLUMN(D199)))</f>
        <v>1</v>
      </c>
      <c r="F199" s="8">
        <f t="shared" ref="F199:F262" ca="1" si="114">IF(INDIRECT("'game1 ("&amp;$AD199&amp;")'!"&amp;ADDRESS(ROW(B$7)+MOD(ROW(B199)-7,24),COLUMN(C199)))="s",1,0)</f>
        <v>0</v>
      </c>
      <c r="G199" s="8">
        <f t="shared" ref="G199:G262" ca="1" si="115">INDIRECT("'game1 ("&amp;$AD199&amp;")'!"&amp;ADDRESS(ROW(B$7)+MOD(ROW(B199)-7,24),COLUMN(E199)))</f>
        <v>3</v>
      </c>
      <c r="H199" s="8">
        <f t="shared" ref="H199:H262" ca="1" si="116">INDIRECT("'game1 ("&amp;$AD199&amp;")'!"&amp;ADDRESS(ROW(B$7)+MOD(ROW(B199)-7,24),COLUMN(F199)))</f>
        <v>0</v>
      </c>
      <c r="I199" s="8">
        <f t="shared" ref="I199:I262" ca="1" si="117">INDIRECT("'game1 ("&amp;$AD199&amp;")'!"&amp;ADDRESS(ROW(C$7)+MOD(ROW(C199)-7,24),COLUMN(G199)))</f>
        <v>0</v>
      </c>
      <c r="J199" s="8">
        <f t="shared" ref="J199:J262" ca="1" si="118">INDIRECT("'game1 ("&amp;$AD199&amp;")'!"&amp;ADDRESS(ROW(D$7)+MOD(ROW(D199)-7,24),COLUMN(H199)))</f>
        <v>0</v>
      </c>
      <c r="K199" s="8">
        <f t="shared" ref="K199:K262" ca="1" si="119">INDIRECT("'game1 ("&amp;$AD199&amp;")'!"&amp;ADDRESS(ROW(E$7)+MOD(ROW(E199)-7,24),COLUMN(I199)))</f>
        <v>0</v>
      </c>
      <c r="L199" s="8">
        <f t="shared" ca="1" si="94"/>
        <v>0</v>
      </c>
      <c r="M199" s="8">
        <f t="shared" ca="1" si="95"/>
        <v>0</v>
      </c>
      <c r="N199" s="8">
        <f t="shared" ca="1" si="96"/>
        <v>0</v>
      </c>
      <c r="O199" s="8">
        <f t="shared" ca="1" si="97"/>
        <v>0</v>
      </c>
      <c r="P199" s="8">
        <f t="shared" ca="1" si="98"/>
        <v>0</v>
      </c>
      <c r="Q199" s="8">
        <f t="shared" ca="1" si="99"/>
        <v>0</v>
      </c>
      <c r="R199" s="8">
        <f t="shared" ca="1" si="100"/>
        <v>0</v>
      </c>
      <c r="S199" s="8">
        <f t="shared" ca="1" si="101"/>
        <v>0</v>
      </c>
      <c r="T199" s="8">
        <f t="shared" ca="1" si="102"/>
        <v>0</v>
      </c>
      <c r="U199" s="8">
        <f t="shared" ca="1" si="103"/>
        <v>0</v>
      </c>
      <c r="V199" s="8">
        <f t="shared" ca="1" si="104"/>
        <v>0</v>
      </c>
      <c r="W199" s="11" t="str">
        <f t="shared" ca="1" si="105"/>
        <v/>
      </c>
      <c r="X199" s="11" t="str">
        <f t="shared" ca="1" si="106"/>
        <v/>
      </c>
      <c r="Y199" s="11" t="str">
        <f t="shared" ca="1" si="107"/>
        <v/>
      </c>
      <c r="Z199" s="11" t="str">
        <f t="shared" ca="1" si="108"/>
        <v/>
      </c>
      <c r="AA199" s="11" t="str">
        <f t="shared" ca="1" si="109"/>
        <v/>
      </c>
      <c r="AB199" s="47">
        <f ca="1">PlayerGameData[[#This Row],[3FGA]]+PlayerGameData[[#This Row],[2FGA]]</f>
        <v>0</v>
      </c>
      <c r="AC199" s="47">
        <f ca="1">PlayerGameData[[#This Row],[OFF REB]]+PlayerGameData[[#This Row],[DEF REB]]</f>
        <v>0</v>
      </c>
      <c r="AD199" s="8">
        <f t="shared" ref="AD199:AD262" si="120">INT((ROW(A199)-7)/24)+1</f>
        <v>9</v>
      </c>
      <c r="AE199" s="8" t="str">
        <f t="shared" ref="AE199:AE262" ca="1" si="121">CONCATENATE(A199," - ",C199," ",MONTH(D199),"/",DAY(D199),"/",YEAR(D199))</f>
        <v>Landon Butler, 1 - Faith, SD 1/13/2023</v>
      </c>
      <c r="AF199" s="8" t="str">
        <f t="shared" ca="1" si="110"/>
        <v/>
      </c>
      <c r="AG199" s="8" t="str">
        <f ca="1">IFERROR(IF(C199=0,"",IF(AND(VLOOKUP(PlayerGameData[[#This Row],[Opponent]],WYTeamInfo,2,FALSE)=Roster!$D$1,VLOOKUP(PlayerGameData[[#This Row],[Opponent]],WYTeamInfo,3,FALSE)=Roster!$D$2),"SR","")),"")</f>
        <v/>
      </c>
      <c r="AH199" s="8" t="str">
        <f>CONCATENATE(Roster!$D$1," ",Roster!$D$5)</f>
        <v>1A BB</v>
      </c>
      <c r="AI199" s="8" t="str">
        <f t="shared" ref="AI199:AI262" ca="1" si="122">IF($C199&lt;&gt;0,CONCATENATE($B199," - ",$C199," ",MONTH($D199),"/",DAY($D199),"/",YEAR($D199)),"Blank")</f>
        <v>Upton - Faith, SD 1/13/2023</v>
      </c>
      <c r="AJ199" s="8">
        <f ca="1">IFERROR(VLOOKUP(PlayerGameData[[#This Row],[School, Opponent,Game'#]],Table3[],2,FALSE),0)</f>
        <v>1</v>
      </c>
      <c r="AK199" s="8">
        <f ca="1">IF(PlayerGameData[[#This Row],[Visible]]=1,1,1000)</f>
        <v>1</v>
      </c>
      <c r="AL199" s="8">
        <f ca="1">RANK(PlayerGameData[[#This Row],[TL PTS]],PlayerGameData[TL PTS],0)+PlayerGameData[[#This Row],[VisibleOrder]]</f>
        <v>185</v>
      </c>
      <c r="AM199" s="8">
        <f ca="1">IF(COUNTIF(PlayerGameData[PointOrder],PlayerGameData[[#This Row],[PointOrder]])&gt;1,RANK(PlayerGameData[[#This Row],[FGA]],PlayerGameData[FGA],0)/100,0)+PlayerGameData[[#This Row],[PointOrder]]</f>
        <v>187.14</v>
      </c>
      <c r="AN199" s="8">
        <f ca="1">RANK(PlayerGameData[[#This Row],[PointTieBreak]],PlayerGameData[PointTieBreak],1)</f>
        <v>216</v>
      </c>
      <c r="AO199" s="8">
        <f ca="1">RANK(PlayerGameData[[#This Row],[REB]],PlayerGameData[REB],0)+PlayerGameData[[#This Row],[VisibleOrder]]</f>
        <v>192</v>
      </c>
      <c r="AP199" s="8">
        <f ca="1">IF(COUNTIF(PlayerGameData[REBOrder],PlayerGameData[[#This Row],[REBOrder]])&gt;1,PlayerGameData[[#This Row],[PointRank]]/100+PlayerGameData[[#This Row],[REBOrder]],PlayerGameData[[#This Row],[REBOrder]])</f>
        <v>194.16</v>
      </c>
      <c r="AQ199" s="8">
        <f ca="1">RANK(PlayerGameData[[#This Row],[REBTieBreak]],PlayerGameData[REBTieBreak],1)</f>
        <v>224</v>
      </c>
      <c r="AR199" s="8">
        <f ca="1">RANK(PlayerGameData[[#This Row],[AST]],PlayerGameData[AST],0)+PlayerGameData[[#This Row],[VisibleOrder]]</f>
        <v>158</v>
      </c>
      <c r="AS199" s="8">
        <f ca="1">IF(COUNTIF(PlayerGameData[ASTOrder],PlayerGameData[[#This Row],[ASTOrder]])&gt;1,PlayerGameData[[#This Row],[PointRank]]/100+PlayerGameData[[#This Row],[ASTOrder]],PlayerGameData[[#This Row],[ASTOrder]])</f>
        <v>160.16</v>
      </c>
      <c r="AT199" s="8">
        <f ca="1">RANK(PlayerGameData[[#This Row],[ASTTieBreak]],PlayerGameData[ASTTieBreak],1)</f>
        <v>221</v>
      </c>
      <c r="AU199" s="8">
        <f ca="1">RANK(PlayerGameData[[#This Row],[STL]],PlayerGameData[STL],0)+PlayerGameData[[#This Row],[VisibleOrder]]</f>
        <v>143</v>
      </c>
      <c r="AV199" s="8">
        <f ca="1">IF(COUNTIF(PlayerGameData[STLOrder],PlayerGameData[[#This Row],[STLOrder]])&gt;1,PlayerGameData[[#This Row],[PointRank]]/100+PlayerGameData[[#This Row],[STLOrder]],PlayerGameData[[#This Row],[STLOrder]])</f>
        <v>145.16</v>
      </c>
      <c r="AW199" s="8">
        <f ca="1">RANK(PlayerGameData[[#This Row],[STLTieBreak]],PlayerGameData[STLTieBreak],1)</f>
        <v>217</v>
      </c>
      <c r="AX199" s="8">
        <f ca="1">RANK(PlayerGameData[[#This Row],[BLK]],PlayerGameData[BLK],0)+PlayerGameData[[#This Row],[VisibleOrder]]</f>
        <v>32</v>
      </c>
      <c r="AY199" s="8">
        <f ca="1">IF(COUNTIF(PlayerGameData[BLKOrder],PlayerGameData[[#This Row],[BLKOrder]])&gt;1,PlayerGameData[[#This Row],[PointRank]]/100+PlayerGameData[[#This Row],[BLKOrder]],PlayerGameData[[#This Row],[BLKOrder]])</f>
        <v>34.159999999999997</v>
      </c>
      <c r="AZ199" s="8">
        <f ca="1">RANK(PlayerGameData[[#This Row],[BLKTieBreak]],PlayerGameData[BLKTieBreak],1)</f>
        <v>216</v>
      </c>
      <c r="BA199" s="11">
        <f ca="1">IFERROR(IF(PlayerGameData[[#This Row],[FGA]]&gt;$AA$5,PlayerGameData[[#This Row],[FG%*]],PlayerGameData[[#This Row],[FG%*]]*-1),-2)</f>
        <v>-2</v>
      </c>
      <c r="BB199" s="8">
        <f ca="1">RANK(PlayerGameData[[#This Row],[EligFG]],PlayerGameData[EligFG],0)+PlayerGameData[[#This Row],[VisibleOrder]]</f>
        <v>215</v>
      </c>
      <c r="BC199" s="8">
        <f ca="1">IF(COUNTIF(PlayerGameData[EligFGOrder],PlayerGameData[[#This Row],[EligFGOrder]])&gt;1,PlayerGameData[[#This Row],[PointRank]]/100+PlayerGameData[[#This Row],[EligFGOrder]],PlayerGameData[[#This Row],[EligFGOrder]])</f>
        <v>217.16</v>
      </c>
      <c r="BD199" s="8">
        <f ca="1">RANK(PlayerGameData[[#This Row],[EligFGTieBreak]],PlayerGameData[EligFGTieBreak],1)</f>
        <v>216</v>
      </c>
      <c r="BE199" s="8" t="str">
        <f>Roster!$D$3</f>
        <v>East</v>
      </c>
      <c r="BF199" s="8" t="str">
        <f>Roster!$D$2</f>
        <v>Northeast</v>
      </c>
      <c r="BG199" s="8" t="str">
        <f>Roster!$D$4</f>
        <v>North</v>
      </c>
      <c r="BH199" s="197">
        <f ca="1">IFERROR(VLOOKUP(CONCATENATE(PlayerGameData[[#This Row],[Opponent]]," ",MONTH(PlayerGameData[[#This Row],[Date]]),"/",DAY(PlayerGameData[[#This Row],[Date]]),"/",YEAR(PlayerGameData[[#This Row],[Date]])),Table35[],2,FALSE),0)</f>
        <v>1</v>
      </c>
      <c r="BI199" s="197">
        <f ca="1">IF(PlayerGameData[[#This Row],[Visible]]=1,1,1000)</f>
        <v>1</v>
      </c>
      <c r="BJ199" s="197" t="e">
        <f ca="1">_xlfn.MAXIFS(TeamGameData[Win],TeamGameData[School, Opponent,Game'#],PlayerGameData[[#This Row],[School, Opponent,Game'#]])</f>
        <v>#NAME?</v>
      </c>
      <c r="BK199" s="197" t="e">
        <f ca="1">_xlfn.MAXIFS(TeamGameData[Loss],TeamGameData[School, Opponent,Game'#],PlayerGameData[[#This Row],[School, Opponent,Game'#]])</f>
        <v>#NAME?</v>
      </c>
    </row>
    <row r="200" spans="1:63" x14ac:dyDescent="0.25">
      <c r="A200" s="8" t="str">
        <f t="shared" ref="A200:A263" ca="1" si="123">CONCATENATE(INDIRECT("Roster!B"&amp;ROW(A$7)+MOD(ROW(A200)-7,24)),", ",INDIRECT("Roster!a"&amp;ROW(A$7)+MOD(ROW(A200)-7,24)))</f>
        <v>Logan Timberman, 3</v>
      </c>
      <c r="B200" s="8" t="str">
        <f>Roster!$B$1</f>
        <v>Upton</v>
      </c>
      <c r="C200" s="8" t="str">
        <f t="shared" ca="1" si="111"/>
        <v>Faith, SD</v>
      </c>
      <c r="D200" s="10">
        <f t="shared" ca="1" si="112"/>
        <v>44939</v>
      </c>
      <c r="E200" s="8">
        <f t="shared" ca="1" si="113"/>
        <v>1</v>
      </c>
      <c r="F200" s="8">
        <f t="shared" ca="1" si="114"/>
        <v>1</v>
      </c>
      <c r="G200" s="8">
        <f t="shared" ca="1" si="115"/>
        <v>27</v>
      </c>
      <c r="H200" s="8">
        <f t="shared" ca="1" si="116"/>
        <v>1</v>
      </c>
      <c r="I200" s="8">
        <f t="shared" ca="1" si="117"/>
        <v>1</v>
      </c>
      <c r="J200" s="8">
        <f t="shared" ca="1" si="118"/>
        <v>1</v>
      </c>
      <c r="K200" s="8">
        <f t="shared" ca="1" si="119"/>
        <v>1</v>
      </c>
      <c r="L200" s="8">
        <f t="shared" ref="L200:L263" ca="1" si="124">INDIRECT("'game1 ("&amp;$AD200&amp;")'!"&amp;ADDRESS(ROW(G$7)+MOD(ROW(G200)-7,24),COLUMN(J200)))</f>
        <v>1</v>
      </c>
      <c r="M200" s="8">
        <f t="shared" ref="M200:M263" ca="1" si="125">INDIRECT("'game1 ("&amp;$AD200&amp;")'!"&amp;ADDRESS(ROW(H$7)+MOD(ROW(H200)-7,24),COLUMN(K200)))</f>
        <v>2</v>
      </c>
      <c r="N200" s="8">
        <f t="shared" ref="N200:N263" ca="1" si="126">INDIRECT("'game1 ("&amp;$AD200&amp;")'!"&amp;ADDRESS(ROW(I$7)+MOD(ROW(I200)-7,24),COLUMN(L200)))</f>
        <v>1</v>
      </c>
      <c r="O200" s="8">
        <f t="shared" ref="O200:O263" ca="1" si="127">INDIRECT("'game1 ("&amp;$AD200&amp;")'!"&amp;ADDRESS(ROW(J$7)+MOD(ROW(J200)-7,24),COLUMN(M200)))</f>
        <v>3</v>
      </c>
      <c r="P200" s="8">
        <f t="shared" ref="P200:P263" ca="1" si="128">INDIRECT("'game1 ("&amp;$AD200&amp;")'!"&amp;ADDRESS(ROW(K$7)+MOD(ROW(K200)-7,24),COLUMN(N200)))</f>
        <v>3</v>
      </c>
      <c r="Q200" s="8">
        <f t="shared" ref="Q200:Q263" ca="1" si="129">INDIRECT("'game1 ("&amp;$AD200&amp;")'!"&amp;ADDRESS(ROW(L$7)+MOD(ROW(L200)-7,24),COLUMN(O200)))</f>
        <v>1</v>
      </c>
      <c r="R200" s="8">
        <f t="shared" ref="R200:R263" ca="1" si="130">INDIRECT("'game1 ("&amp;$AD200&amp;")'!"&amp;ADDRESS(ROW(M$7)+MOD(ROW(M200)-7,24),COLUMN(P200)))</f>
        <v>0</v>
      </c>
      <c r="S200" s="8">
        <f t="shared" ref="S200:S263" ca="1" si="131">INDIRECT("'game1 ("&amp;$AD200&amp;")'!"&amp;ADDRESS(ROW(N$7)+MOD(ROW(N200)-7,24),COLUMN(Q200)))</f>
        <v>4</v>
      </c>
      <c r="T200" s="8">
        <f t="shared" ref="T200:T263" ca="1" si="132">INDIRECT("'game1 ("&amp;$AD200&amp;")'!"&amp;ADDRESS(ROW(O$7)+MOD(ROW(O200)-7,24),COLUMN(R200)))</f>
        <v>0</v>
      </c>
      <c r="U200" s="8">
        <f t="shared" ref="U200:U263" ca="1" si="133">INDIRECT("'game1 ("&amp;$AD200&amp;")'!"&amp;ADDRESS(ROW(P$7)+MOD(ROW(P200)-7,24),COLUMN(S200)))</f>
        <v>0</v>
      </c>
      <c r="V200" s="8">
        <f t="shared" ref="V200:V263" ca="1" si="134">INDIRECT("'game1 ("&amp;$AD200&amp;")'!"&amp;ADDRESS(ROW(Q$7)+MOD(ROW(Q200)-7,24),COLUMN(T200)))</f>
        <v>6</v>
      </c>
      <c r="W200" s="11">
        <f t="shared" ref="W200:W263" ca="1" si="135">INDIRECT("'game1 ("&amp;$AD200&amp;")'!"&amp;ADDRESS(ROW(R$7)+MOD(ROW(R200)-7,24),COLUMN(U200)))</f>
        <v>1</v>
      </c>
      <c r="X200" s="11">
        <f t="shared" ref="X200:X263" ca="1" si="136">INDIRECT("'game1 ("&amp;$AD200&amp;")'!"&amp;ADDRESS(ROW(S$7)+MOD(ROW(S200)-7,24),COLUMN(V200)))</f>
        <v>1</v>
      </c>
      <c r="Y200" s="11">
        <f t="shared" ref="Y200:Y263" ca="1" si="137">INDIRECT("'game1 ("&amp;$AD200&amp;")'!"&amp;ADDRESS(ROW(T$7)+MOD(ROW(T200)-7,24),COLUMN(W200)))</f>
        <v>0.5</v>
      </c>
      <c r="Z200" s="11">
        <f t="shared" ref="Z200:Z263" ca="1" si="138">INDIRECT("'game1 ("&amp;$AD200&amp;")'!"&amp;ADDRESS(ROW(U$7)+MOD(ROW(U200)-7,24),COLUMN(X200)))</f>
        <v>1</v>
      </c>
      <c r="AA200" s="11">
        <f t="shared" ref="AA200:AA263" ca="1" si="139">INDIRECT("'game1 ("&amp;$AD200&amp;")'!"&amp;ADDRESS(ROW(V$7)+MOD(ROW(V200)-7,24),COLUMN(Y200)))</f>
        <v>1.25</v>
      </c>
      <c r="AB200" s="47">
        <f ca="1">PlayerGameData[[#This Row],[3FGA]]+PlayerGameData[[#This Row],[2FGA]]</f>
        <v>2</v>
      </c>
      <c r="AC200" s="47">
        <f ca="1">PlayerGameData[[#This Row],[OFF REB]]+PlayerGameData[[#This Row],[DEF REB]]</f>
        <v>4</v>
      </c>
      <c r="AD200" s="8">
        <f t="shared" si="120"/>
        <v>9</v>
      </c>
      <c r="AE200" s="8" t="str">
        <f t="shared" ca="1" si="121"/>
        <v>Logan Timberman, 3 - Faith, SD 1/13/2023</v>
      </c>
      <c r="AF200" s="8" t="str">
        <f t="shared" ref="AF200:AF263" ca="1" si="140">IFERROR(INDIRECT("'game1 ("&amp;$AD200&amp;")'!$a$2"),"")</f>
        <v/>
      </c>
      <c r="AG200" s="8" t="str">
        <f ca="1">IFERROR(IF(C200=0,"",IF(AND(VLOOKUP(PlayerGameData[[#This Row],[Opponent]],WYTeamInfo,2,FALSE)=Roster!$D$1,VLOOKUP(PlayerGameData[[#This Row],[Opponent]],WYTeamInfo,3,FALSE)=Roster!$D$2),"SR","")),"")</f>
        <v/>
      </c>
      <c r="AH200" s="8" t="str">
        <f>CONCATENATE(Roster!$D$1," ",Roster!$D$5)</f>
        <v>1A BB</v>
      </c>
      <c r="AI200" s="8" t="str">
        <f t="shared" ca="1" si="122"/>
        <v>Upton - Faith, SD 1/13/2023</v>
      </c>
      <c r="AJ200" s="8">
        <f ca="1">IFERROR(VLOOKUP(PlayerGameData[[#This Row],[School, Opponent,Game'#]],Table3[],2,FALSE),0)</f>
        <v>1</v>
      </c>
      <c r="AK200" s="8">
        <f ca="1">IF(PlayerGameData[[#This Row],[Visible]]=1,1,1000)</f>
        <v>1</v>
      </c>
      <c r="AL200" s="8">
        <f ca="1">RANK(PlayerGameData[[#This Row],[TL PTS]],PlayerGameData[TL PTS],0)+PlayerGameData[[#This Row],[VisibleOrder]]</f>
        <v>102</v>
      </c>
      <c r="AM200" s="8">
        <f ca="1">IF(COUNTIF(PlayerGameData[PointOrder],PlayerGameData[[#This Row],[PointOrder]])&gt;1,RANK(PlayerGameData[[#This Row],[FGA]],PlayerGameData[FGA],0)/100,0)+PlayerGameData[[#This Row],[PointOrder]]</f>
        <v>103.61</v>
      </c>
      <c r="AN200" s="8">
        <f ca="1">RANK(PlayerGameData[[#This Row],[PointTieBreak]],PlayerGameData[PointTieBreak],1)</f>
        <v>108</v>
      </c>
      <c r="AO200" s="8">
        <f ca="1">RANK(PlayerGameData[[#This Row],[REB]],PlayerGameData[REB],0)+PlayerGameData[[#This Row],[VisibleOrder]]</f>
        <v>79</v>
      </c>
      <c r="AP200" s="8">
        <f ca="1">IF(COUNTIF(PlayerGameData[REBOrder],PlayerGameData[[#This Row],[REBOrder]])&gt;1,PlayerGameData[[#This Row],[PointRank]]/100+PlayerGameData[[#This Row],[REBOrder]],PlayerGameData[[#This Row],[REBOrder]])</f>
        <v>80.08</v>
      </c>
      <c r="AQ200" s="8">
        <f ca="1">RANK(PlayerGameData[[#This Row],[REBTieBreak]],PlayerGameData[REBTieBreak],1)</f>
        <v>95</v>
      </c>
      <c r="AR200" s="8">
        <f ca="1">RANK(PlayerGameData[[#This Row],[AST]],PlayerGameData[AST],0)+PlayerGameData[[#This Row],[VisibleOrder]]</f>
        <v>39</v>
      </c>
      <c r="AS200" s="8">
        <f ca="1">IF(COUNTIF(PlayerGameData[ASTOrder],PlayerGameData[[#This Row],[ASTOrder]])&gt;1,PlayerGameData[[#This Row],[PointRank]]/100+PlayerGameData[[#This Row],[ASTOrder]],PlayerGameData[[#This Row],[ASTOrder]])</f>
        <v>40.08</v>
      </c>
      <c r="AT200" s="8">
        <f ca="1">RANK(PlayerGameData[[#This Row],[ASTTieBreak]],PlayerGameData[ASTTieBreak],1)</f>
        <v>56</v>
      </c>
      <c r="AU200" s="8">
        <f ca="1">RANK(PlayerGameData[[#This Row],[STL]],PlayerGameData[STL],0)+PlayerGameData[[#This Row],[VisibleOrder]]</f>
        <v>84</v>
      </c>
      <c r="AV200" s="8">
        <f ca="1">IF(COUNTIF(PlayerGameData[STLOrder],PlayerGameData[[#This Row],[STLOrder]])&gt;1,PlayerGameData[[#This Row],[PointRank]]/100+PlayerGameData[[#This Row],[STLOrder]],PlayerGameData[[#This Row],[STLOrder]])</f>
        <v>85.08</v>
      </c>
      <c r="AW200" s="8">
        <f ca="1">RANK(PlayerGameData[[#This Row],[STLTieBreak]],PlayerGameData[STLTieBreak],1)</f>
        <v>110</v>
      </c>
      <c r="AX200" s="8">
        <f ca="1">RANK(PlayerGameData[[#This Row],[BLK]],PlayerGameData[BLK],0)+PlayerGameData[[#This Row],[VisibleOrder]]</f>
        <v>32</v>
      </c>
      <c r="AY200" s="8">
        <f ca="1">IF(COUNTIF(PlayerGameData[BLKOrder],PlayerGameData[[#This Row],[BLKOrder]])&gt;1,PlayerGameData[[#This Row],[PointRank]]/100+PlayerGameData[[#This Row],[BLKOrder]],PlayerGameData[[#This Row],[BLKOrder]])</f>
        <v>33.08</v>
      </c>
      <c r="AZ200" s="8">
        <f ca="1">RANK(PlayerGameData[[#This Row],[BLKTieBreak]],PlayerGameData[BLKTieBreak],1)</f>
        <v>115</v>
      </c>
      <c r="BA200" s="11">
        <f ca="1">IFERROR(IF(PlayerGameData[[#This Row],[FGA]]&gt;$AA$5,PlayerGameData[[#This Row],[FG%*]],PlayerGameData[[#This Row],[FG%*]]*-1),-2)</f>
        <v>-1</v>
      </c>
      <c r="BB200" s="8">
        <f ca="1">RANK(PlayerGameData[[#This Row],[EligFG]],PlayerGameData[EligFG],0)+PlayerGameData[[#This Row],[VisibleOrder]]</f>
        <v>203</v>
      </c>
      <c r="BC200" s="8">
        <f ca="1">IF(COUNTIF(PlayerGameData[EligFGOrder],PlayerGameData[[#This Row],[EligFGOrder]])&gt;1,PlayerGameData[[#This Row],[PointRank]]/100+PlayerGameData[[#This Row],[EligFGOrder]],PlayerGameData[[#This Row],[EligFGOrder]])</f>
        <v>204.08</v>
      </c>
      <c r="BD200" s="8">
        <f ca="1">RANK(PlayerGameData[[#This Row],[EligFGTieBreak]],PlayerGameData[EligFGTieBreak],1)</f>
        <v>202</v>
      </c>
      <c r="BE200" s="8" t="str">
        <f>Roster!$D$3</f>
        <v>East</v>
      </c>
      <c r="BF200" s="8" t="str">
        <f>Roster!$D$2</f>
        <v>Northeast</v>
      </c>
      <c r="BG200" s="8" t="str">
        <f>Roster!$D$4</f>
        <v>North</v>
      </c>
      <c r="BH200" s="197">
        <f ca="1">IFERROR(VLOOKUP(CONCATENATE(PlayerGameData[[#This Row],[Opponent]]," ",MONTH(PlayerGameData[[#This Row],[Date]]),"/",DAY(PlayerGameData[[#This Row],[Date]]),"/",YEAR(PlayerGameData[[#This Row],[Date]])),Table35[],2,FALSE),0)</f>
        <v>1</v>
      </c>
      <c r="BI200" s="197">
        <f ca="1">IF(PlayerGameData[[#This Row],[Visible]]=1,1,1000)</f>
        <v>1</v>
      </c>
      <c r="BJ200" s="197" t="e">
        <f ca="1">_xlfn.MAXIFS(TeamGameData[Win],TeamGameData[School, Opponent,Game'#],PlayerGameData[[#This Row],[School, Opponent,Game'#]])</f>
        <v>#NAME?</v>
      </c>
      <c r="BK200" s="197" t="e">
        <f ca="1">_xlfn.MAXIFS(TeamGameData[Loss],TeamGameData[School, Opponent,Game'#],PlayerGameData[[#This Row],[School, Opponent,Game'#]])</f>
        <v>#NAME?</v>
      </c>
    </row>
    <row r="201" spans="1:63" x14ac:dyDescent="0.25">
      <c r="A201" s="8" t="str">
        <f t="shared" ca="1" si="123"/>
        <v>Chase Mills, 5</v>
      </c>
      <c r="B201" s="8" t="str">
        <f>Roster!$B$1</f>
        <v>Upton</v>
      </c>
      <c r="C201" s="8" t="str">
        <f t="shared" ca="1" si="111"/>
        <v>Faith, SD</v>
      </c>
      <c r="D201" s="10">
        <f t="shared" ca="1" si="112"/>
        <v>44939</v>
      </c>
      <c r="E201" s="8">
        <f t="shared" ca="1" si="113"/>
        <v>1</v>
      </c>
      <c r="F201" s="8">
        <f t="shared" ca="1" si="114"/>
        <v>1</v>
      </c>
      <c r="G201" s="8">
        <f t="shared" ca="1" si="115"/>
        <v>29</v>
      </c>
      <c r="H201" s="8">
        <f t="shared" ca="1" si="116"/>
        <v>5</v>
      </c>
      <c r="I201" s="8">
        <f t="shared" ca="1" si="117"/>
        <v>12</v>
      </c>
      <c r="J201" s="8">
        <f t="shared" ca="1" si="118"/>
        <v>5</v>
      </c>
      <c r="K201" s="8">
        <f t="shared" ca="1" si="119"/>
        <v>9</v>
      </c>
      <c r="L201" s="8">
        <f t="shared" ca="1" si="124"/>
        <v>0</v>
      </c>
      <c r="M201" s="8">
        <f t="shared" ca="1" si="125"/>
        <v>0</v>
      </c>
      <c r="N201" s="8">
        <f t="shared" ca="1" si="126"/>
        <v>3</v>
      </c>
      <c r="O201" s="8">
        <f t="shared" ca="1" si="127"/>
        <v>2</v>
      </c>
      <c r="P201" s="8">
        <f t="shared" ca="1" si="128"/>
        <v>0</v>
      </c>
      <c r="Q201" s="8">
        <f t="shared" ca="1" si="129"/>
        <v>0</v>
      </c>
      <c r="R201" s="8">
        <f t="shared" ca="1" si="130"/>
        <v>0</v>
      </c>
      <c r="S201" s="8">
        <f t="shared" ca="1" si="131"/>
        <v>7</v>
      </c>
      <c r="T201" s="8">
        <f t="shared" ca="1" si="132"/>
        <v>0</v>
      </c>
      <c r="U201" s="8">
        <f t="shared" ca="1" si="133"/>
        <v>0</v>
      </c>
      <c r="V201" s="8">
        <f t="shared" ca="1" si="134"/>
        <v>25</v>
      </c>
      <c r="W201" s="11">
        <f t="shared" ca="1" si="135"/>
        <v>0.41666666666666669</v>
      </c>
      <c r="X201" s="11">
        <f t="shared" ca="1" si="136"/>
        <v>0.55555555555555558</v>
      </c>
      <c r="Y201" s="11" t="str">
        <f t="shared" ca="1" si="137"/>
        <v/>
      </c>
      <c r="Z201" s="11">
        <f t="shared" ca="1" si="138"/>
        <v>0.47619047619047616</v>
      </c>
      <c r="AA201" s="11">
        <f t="shared" ca="1" si="139"/>
        <v>0.59523809523809523</v>
      </c>
      <c r="AB201" s="47">
        <f ca="1">PlayerGameData[[#This Row],[3FGA]]+PlayerGameData[[#This Row],[2FGA]]</f>
        <v>21</v>
      </c>
      <c r="AC201" s="47">
        <f ca="1">PlayerGameData[[#This Row],[OFF REB]]+PlayerGameData[[#This Row],[DEF REB]]</f>
        <v>5</v>
      </c>
      <c r="AD201" s="8">
        <f t="shared" si="120"/>
        <v>9</v>
      </c>
      <c r="AE201" s="8" t="str">
        <f t="shared" ca="1" si="121"/>
        <v>Chase Mills, 5 - Faith, SD 1/13/2023</v>
      </c>
      <c r="AF201" s="8" t="str">
        <f t="shared" ca="1" si="140"/>
        <v/>
      </c>
      <c r="AG201" s="8" t="str">
        <f ca="1">IFERROR(IF(C201=0,"",IF(AND(VLOOKUP(PlayerGameData[[#This Row],[Opponent]],WYTeamInfo,2,FALSE)=Roster!$D$1,VLOOKUP(PlayerGameData[[#This Row],[Opponent]],WYTeamInfo,3,FALSE)=Roster!$D$2),"SR","")),"")</f>
        <v/>
      </c>
      <c r="AH201" s="8" t="str">
        <f>CONCATENATE(Roster!$D$1," ",Roster!$D$5)</f>
        <v>1A BB</v>
      </c>
      <c r="AI201" s="8" t="str">
        <f t="shared" ca="1" si="122"/>
        <v>Upton - Faith, SD 1/13/2023</v>
      </c>
      <c r="AJ201" s="8">
        <f ca="1">IFERROR(VLOOKUP(PlayerGameData[[#This Row],[School, Opponent,Game'#]],Table3[],2,FALSE),0)</f>
        <v>1</v>
      </c>
      <c r="AK201" s="8">
        <f ca="1">IF(PlayerGameData[[#This Row],[Visible]]=1,1,1000)</f>
        <v>1</v>
      </c>
      <c r="AL201" s="8">
        <f ca="1">RANK(PlayerGameData[[#This Row],[TL PTS]],PlayerGameData[TL PTS],0)+PlayerGameData[[#This Row],[VisibleOrder]]</f>
        <v>3</v>
      </c>
      <c r="AM201" s="8">
        <f ca="1">IF(COUNTIF(PlayerGameData[PointOrder],PlayerGameData[[#This Row],[PointOrder]])&gt;1,RANK(PlayerGameData[[#This Row],[FGA]],PlayerGameData[FGA],0)/100,0)+PlayerGameData[[#This Row],[PointOrder]]</f>
        <v>3</v>
      </c>
      <c r="AN201" s="8">
        <f ca="1">RANK(PlayerGameData[[#This Row],[PointTieBreak]],PlayerGameData[PointTieBreak],1)</f>
        <v>2</v>
      </c>
      <c r="AO201" s="8">
        <f ca="1">RANK(PlayerGameData[[#This Row],[REB]],PlayerGameData[REB],0)+PlayerGameData[[#This Row],[VisibleOrder]]</f>
        <v>52</v>
      </c>
      <c r="AP201" s="8">
        <f ca="1">IF(COUNTIF(PlayerGameData[REBOrder],PlayerGameData[[#This Row],[REBOrder]])&gt;1,PlayerGameData[[#This Row],[PointRank]]/100+PlayerGameData[[#This Row],[REBOrder]],PlayerGameData[[#This Row],[REBOrder]])</f>
        <v>52.02</v>
      </c>
      <c r="AQ201" s="8">
        <f ca="1">RANK(PlayerGameData[[#This Row],[REBTieBreak]],PlayerGameData[REBTieBreak],1)</f>
        <v>51</v>
      </c>
      <c r="AR201" s="8">
        <f ca="1">RANK(PlayerGameData[[#This Row],[AST]],PlayerGameData[AST],0)+PlayerGameData[[#This Row],[VisibleOrder]]</f>
        <v>158</v>
      </c>
      <c r="AS201" s="8">
        <f ca="1">IF(COUNTIF(PlayerGameData[ASTOrder],PlayerGameData[[#This Row],[ASTOrder]])&gt;1,PlayerGameData[[#This Row],[PointRank]]/100+PlayerGameData[[#This Row],[ASTOrder]],PlayerGameData[[#This Row],[ASTOrder]])</f>
        <v>158.02000000000001</v>
      </c>
      <c r="AT201" s="8">
        <f ca="1">RANK(PlayerGameData[[#This Row],[ASTTieBreak]],PlayerGameData[ASTTieBreak],1)</f>
        <v>157</v>
      </c>
      <c r="AU201" s="8">
        <f ca="1">RANK(PlayerGameData[[#This Row],[STL]],PlayerGameData[STL],0)+PlayerGameData[[#This Row],[VisibleOrder]]</f>
        <v>143</v>
      </c>
      <c r="AV201" s="8">
        <f ca="1">IF(COUNTIF(PlayerGameData[STLOrder],PlayerGameData[[#This Row],[STLOrder]])&gt;1,PlayerGameData[[#This Row],[PointRank]]/100+PlayerGameData[[#This Row],[STLOrder]],PlayerGameData[[#This Row],[STLOrder]])</f>
        <v>143.02000000000001</v>
      </c>
      <c r="AW201" s="8">
        <f ca="1">RANK(PlayerGameData[[#This Row],[STLTieBreak]],PlayerGameData[STLTieBreak],1)</f>
        <v>143</v>
      </c>
      <c r="AX201" s="8">
        <f ca="1">RANK(PlayerGameData[[#This Row],[BLK]],PlayerGameData[BLK],0)+PlayerGameData[[#This Row],[VisibleOrder]]</f>
        <v>32</v>
      </c>
      <c r="AY201" s="8">
        <f ca="1">IF(COUNTIF(PlayerGameData[BLKOrder],PlayerGameData[[#This Row],[BLKOrder]])&gt;1,PlayerGameData[[#This Row],[PointRank]]/100+PlayerGameData[[#This Row],[BLKOrder]],PlayerGameData[[#This Row],[BLKOrder]])</f>
        <v>32.020000000000003</v>
      </c>
      <c r="AZ201" s="8">
        <f ca="1">RANK(PlayerGameData[[#This Row],[BLKTieBreak]],PlayerGameData[BLKTieBreak],1)</f>
        <v>32</v>
      </c>
      <c r="BA201" s="11">
        <f ca="1">IFERROR(IF(PlayerGameData[[#This Row],[FGA]]&gt;$AA$5,PlayerGameData[[#This Row],[FG%*]],PlayerGameData[[#This Row],[FG%*]]*-1),-2)</f>
        <v>0.47619047619047616</v>
      </c>
      <c r="BB201" s="8">
        <f ca="1">RANK(PlayerGameData[[#This Row],[EligFG]],PlayerGameData[EligFG],0)+PlayerGameData[[#This Row],[VisibleOrder]]</f>
        <v>53</v>
      </c>
      <c r="BC201" s="8">
        <f ca="1">IF(COUNTIF(PlayerGameData[EligFGOrder],PlayerGameData[[#This Row],[EligFGOrder]])&gt;1,PlayerGameData[[#This Row],[PointRank]]/100+PlayerGameData[[#This Row],[EligFGOrder]],PlayerGameData[[#This Row],[EligFGOrder]])</f>
        <v>53</v>
      </c>
      <c r="BD201" s="8">
        <f ca="1">RANK(PlayerGameData[[#This Row],[EligFGTieBreak]],PlayerGameData[EligFGTieBreak],1)</f>
        <v>52</v>
      </c>
      <c r="BE201" s="8" t="str">
        <f>Roster!$D$3</f>
        <v>East</v>
      </c>
      <c r="BF201" s="8" t="str">
        <f>Roster!$D$2</f>
        <v>Northeast</v>
      </c>
      <c r="BG201" s="8" t="str">
        <f>Roster!$D$4</f>
        <v>North</v>
      </c>
      <c r="BH201" s="197">
        <f ca="1">IFERROR(VLOOKUP(CONCATENATE(PlayerGameData[[#This Row],[Opponent]]," ",MONTH(PlayerGameData[[#This Row],[Date]]),"/",DAY(PlayerGameData[[#This Row],[Date]]),"/",YEAR(PlayerGameData[[#This Row],[Date]])),Table35[],2,FALSE),0)</f>
        <v>1</v>
      </c>
      <c r="BI201" s="197">
        <f ca="1">IF(PlayerGameData[[#This Row],[Visible]]=1,1,1000)</f>
        <v>1</v>
      </c>
      <c r="BJ201" s="197" t="e">
        <f ca="1">_xlfn.MAXIFS(TeamGameData[Win],TeamGameData[School, Opponent,Game'#],PlayerGameData[[#This Row],[School, Opponent,Game'#]])</f>
        <v>#NAME?</v>
      </c>
      <c r="BK201" s="197" t="e">
        <f ca="1">_xlfn.MAXIFS(TeamGameData[Loss],TeamGameData[School, Opponent,Game'#],PlayerGameData[[#This Row],[School, Opponent,Game'#]])</f>
        <v>#NAME?</v>
      </c>
    </row>
    <row r="202" spans="1:63" x14ac:dyDescent="0.25">
      <c r="A202" s="8" t="str">
        <f t="shared" ca="1" si="123"/>
        <v>Rhett Watt, 10</v>
      </c>
      <c r="B202" s="8" t="str">
        <f>Roster!$B$1</f>
        <v>Upton</v>
      </c>
      <c r="C202" s="8" t="str">
        <f t="shared" ca="1" si="111"/>
        <v>Faith, SD</v>
      </c>
      <c r="D202" s="10">
        <f t="shared" ca="1" si="112"/>
        <v>44939</v>
      </c>
      <c r="E202" s="8">
        <f t="shared" ca="1" si="113"/>
        <v>1</v>
      </c>
      <c r="F202" s="8">
        <f t="shared" ca="1" si="114"/>
        <v>1</v>
      </c>
      <c r="G202" s="8">
        <f t="shared" ca="1" si="115"/>
        <v>25</v>
      </c>
      <c r="H202" s="8">
        <f t="shared" ca="1" si="116"/>
        <v>1</v>
      </c>
      <c r="I202" s="8">
        <f t="shared" ca="1" si="117"/>
        <v>8</v>
      </c>
      <c r="J202" s="8">
        <f t="shared" ca="1" si="118"/>
        <v>0</v>
      </c>
      <c r="K202" s="8">
        <f t="shared" ca="1" si="119"/>
        <v>1</v>
      </c>
      <c r="L202" s="8">
        <f t="shared" ca="1" si="124"/>
        <v>2</v>
      </c>
      <c r="M202" s="8">
        <f t="shared" ca="1" si="125"/>
        <v>5</v>
      </c>
      <c r="N202" s="8">
        <f t="shared" ca="1" si="126"/>
        <v>3</v>
      </c>
      <c r="O202" s="8">
        <f t="shared" ca="1" si="127"/>
        <v>0</v>
      </c>
      <c r="P202" s="8">
        <f t="shared" ca="1" si="128"/>
        <v>2</v>
      </c>
      <c r="Q202" s="8">
        <f t="shared" ca="1" si="129"/>
        <v>1</v>
      </c>
      <c r="R202" s="8">
        <f t="shared" ca="1" si="130"/>
        <v>0</v>
      </c>
      <c r="S202" s="8">
        <f t="shared" ca="1" si="131"/>
        <v>0</v>
      </c>
      <c r="T202" s="8">
        <f t="shared" ca="1" si="132"/>
        <v>2</v>
      </c>
      <c r="U202" s="8">
        <f t="shared" ca="1" si="133"/>
        <v>0</v>
      </c>
      <c r="V202" s="8">
        <f t="shared" ca="1" si="134"/>
        <v>5</v>
      </c>
      <c r="W202" s="11">
        <f t="shared" ca="1" si="135"/>
        <v>0.125</v>
      </c>
      <c r="X202" s="11">
        <f t="shared" ca="1" si="136"/>
        <v>0</v>
      </c>
      <c r="Y202" s="11">
        <f t="shared" ca="1" si="137"/>
        <v>0.4</v>
      </c>
      <c r="Z202" s="11">
        <f t="shared" ca="1" si="138"/>
        <v>0.1111111111111111</v>
      </c>
      <c r="AA202" s="11">
        <f t="shared" ca="1" si="139"/>
        <v>0.16666666666666666</v>
      </c>
      <c r="AB202" s="47">
        <f ca="1">PlayerGameData[[#This Row],[3FGA]]+PlayerGameData[[#This Row],[2FGA]]</f>
        <v>9</v>
      </c>
      <c r="AC202" s="47">
        <f ca="1">PlayerGameData[[#This Row],[OFF REB]]+PlayerGameData[[#This Row],[DEF REB]]</f>
        <v>3</v>
      </c>
      <c r="AD202" s="8">
        <f t="shared" si="120"/>
        <v>9</v>
      </c>
      <c r="AE202" s="8" t="str">
        <f t="shared" ca="1" si="121"/>
        <v>Rhett Watt, 10 - Faith, SD 1/13/2023</v>
      </c>
      <c r="AF202" s="8" t="str">
        <f t="shared" ca="1" si="140"/>
        <v/>
      </c>
      <c r="AG202" s="8" t="str">
        <f ca="1">IFERROR(IF(C202=0,"",IF(AND(VLOOKUP(PlayerGameData[[#This Row],[Opponent]],WYTeamInfo,2,FALSE)=Roster!$D$1,VLOOKUP(PlayerGameData[[#This Row],[Opponent]],WYTeamInfo,3,FALSE)=Roster!$D$2),"SR","")),"")</f>
        <v/>
      </c>
      <c r="AH202" s="8" t="str">
        <f>CONCATENATE(Roster!$D$1," ",Roster!$D$5)</f>
        <v>1A BB</v>
      </c>
      <c r="AI202" s="8" t="str">
        <f t="shared" ca="1" si="122"/>
        <v>Upton - Faith, SD 1/13/2023</v>
      </c>
      <c r="AJ202" s="8">
        <f ca="1">IFERROR(VLOOKUP(PlayerGameData[[#This Row],[School, Opponent,Game'#]],Table3[],2,FALSE),0)</f>
        <v>1</v>
      </c>
      <c r="AK202" s="8">
        <f ca="1">IF(PlayerGameData[[#This Row],[Visible]]=1,1,1000)</f>
        <v>1</v>
      </c>
      <c r="AL202" s="8">
        <f ca="1">RANK(PlayerGameData[[#This Row],[TL PTS]],PlayerGameData[TL PTS],0)+PlayerGameData[[#This Row],[VisibleOrder]]</f>
        <v>110</v>
      </c>
      <c r="AM202" s="8">
        <f ca="1">IF(COUNTIF(PlayerGameData[PointOrder],PlayerGameData[[#This Row],[PointOrder]])&gt;1,RANK(PlayerGameData[[#This Row],[FGA]],PlayerGameData[FGA],0)/100,0)+PlayerGameData[[#This Row],[PointOrder]]</f>
        <v>110.59</v>
      </c>
      <c r="AN202" s="8">
        <f ca="1">RANK(PlayerGameData[[#This Row],[PointTieBreak]],PlayerGameData[PointTieBreak],1)</f>
        <v>109</v>
      </c>
      <c r="AO202" s="8">
        <f ca="1">RANK(PlayerGameData[[#This Row],[REB]],PlayerGameData[REB],0)+PlayerGameData[[#This Row],[VisibleOrder]]</f>
        <v>108</v>
      </c>
      <c r="AP202" s="8">
        <f ca="1">IF(COUNTIF(PlayerGameData[REBOrder],PlayerGameData[[#This Row],[REBOrder]])&gt;1,PlayerGameData[[#This Row],[PointRank]]/100+PlayerGameData[[#This Row],[REBOrder]],PlayerGameData[[#This Row],[REBOrder]])</f>
        <v>109.09</v>
      </c>
      <c r="AQ202" s="8">
        <f ca="1">RANK(PlayerGameData[[#This Row],[REBTieBreak]],PlayerGameData[REBTieBreak],1)</f>
        <v>117</v>
      </c>
      <c r="AR202" s="8">
        <f ca="1">RANK(PlayerGameData[[#This Row],[AST]],PlayerGameData[AST],0)+PlayerGameData[[#This Row],[VisibleOrder]]</f>
        <v>69</v>
      </c>
      <c r="AS202" s="8">
        <f ca="1">IF(COUNTIF(PlayerGameData[ASTOrder],PlayerGameData[[#This Row],[ASTOrder]])&gt;1,PlayerGameData[[#This Row],[PointRank]]/100+PlayerGameData[[#This Row],[ASTOrder]],PlayerGameData[[#This Row],[ASTOrder]])</f>
        <v>70.09</v>
      </c>
      <c r="AT202" s="8">
        <f ca="1">RANK(PlayerGameData[[#This Row],[ASTTieBreak]],PlayerGameData[ASTTieBreak],1)</f>
        <v>96</v>
      </c>
      <c r="AU202" s="8">
        <f ca="1">RANK(PlayerGameData[[#This Row],[STL]],PlayerGameData[STL],0)+PlayerGameData[[#This Row],[VisibleOrder]]</f>
        <v>84</v>
      </c>
      <c r="AV202" s="8">
        <f ca="1">IF(COUNTIF(PlayerGameData[STLOrder],PlayerGameData[[#This Row],[STLOrder]])&gt;1,PlayerGameData[[#This Row],[PointRank]]/100+PlayerGameData[[#This Row],[STLOrder]],PlayerGameData[[#This Row],[STLOrder]])</f>
        <v>85.09</v>
      </c>
      <c r="AW202" s="8">
        <f ca="1">RANK(PlayerGameData[[#This Row],[STLTieBreak]],PlayerGameData[STLTieBreak],1)</f>
        <v>111</v>
      </c>
      <c r="AX202" s="8">
        <f ca="1">RANK(PlayerGameData[[#This Row],[BLK]],PlayerGameData[BLK],0)+PlayerGameData[[#This Row],[VisibleOrder]]</f>
        <v>32</v>
      </c>
      <c r="AY202" s="8">
        <f ca="1">IF(COUNTIF(PlayerGameData[BLKOrder],PlayerGameData[[#This Row],[BLKOrder]])&gt;1,PlayerGameData[[#This Row],[PointRank]]/100+PlayerGameData[[#This Row],[BLKOrder]],PlayerGameData[[#This Row],[BLKOrder]])</f>
        <v>33.090000000000003</v>
      </c>
      <c r="AZ202" s="8">
        <f ca="1">RANK(PlayerGameData[[#This Row],[BLKTieBreak]],PlayerGameData[BLKTieBreak],1)</f>
        <v>116</v>
      </c>
      <c r="BA202" s="11">
        <f ca="1">IFERROR(IF(PlayerGameData[[#This Row],[FGA]]&gt;$AA$5,PlayerGameData[[#This Row],[FG%*]],PlayerGameData[[#This Row],[FG%*]]*-1),-2)</f>
        <v>0.1111111111111111</v>
      </c>
      <c r="BB202" s="8">
        <f ca="1">RANK(PlayerGameData[[#This Row],[EligFG]],PlayerGameData[EligFG],0)+PlayerGameData[[#This Row],[VisibleOrder]]</f>
        <v>114</v>
      </c>
      <c r="BC202" s="8">
        <f ca="1">IF(COUNTIF(PlayerGameData[EligFGOrder],PlayerGameData[[#This Row],[EligFGOrder]])&gt;1,PlayerGameData[[#This Row],[PointRank]]/100+PlayerGameData[[#This Row],[EligFGOrder]],PlayerGameData[[#This Row],[EligFGOrder]])</f>
        <v>115.09</v>
      </c>
      <c r="BD202" s="8">
        <f ca="1">RANK(PlayerGameData[[#This Row],[EligFGTieBreak]],PlayerGameData[EligFGTieBreak],1)</f>
        <v>113</v>
      </c>
      <c r="BE202" s="8" t="str">
        <f>Roster!$D$3</f>
        <v>East</v>
      </c>
      <c r="BF202" s="8" t="str">
        <f>Roster!$D$2</f>
        <v>Northeast</v>
      </c>
      <c r="BG202" s="8" t="str">
        <f>Roster!$D$4</f>
        <v>North</v>
      </c>
      <c r="BH202" s="197">
        <f ca="1">IFERROR(VLOOKUP(CONCATENATE(PlayerGameData[[#This Row],[Opponent]]," ",MONTH(PlayerGameData[[#This Row],[Date]]),"/",DAY(PlayerGameData[[#This Row],[Date]]),"/",YEAR(PlayerGameData[[#This Row],[Date]])),Table35[],2,FALSE),0)</f>
        <v>1</v>
      </c>
      <c r="BI202" s="197">
        <f ca="1">IF(PlayerGameData[[#This Row],[Visible]]=1,1,1000)</f>
        <v>1</v>
      </c>
      <c r="BJ202" s="197" t="e">
        <f ca="1">_xlfn.MAXIFS(TeamGameData[Win],TeamGameData[School, Opponent,Game'#],PlayerGameData[[#This Row],[School, Opponent,Game'#]])</f>
        <v>#NAME?</v>
      </c>
      <c r="BK202" s="197" t="e">
        <f ca="1">_xlfn.MAXIFS(TeamGameData[Loss],TeamGameData[School, Opponent,Game'#],PlayerGameData[[#This Row],[School, Opponent,Game'#]])</f>
        <v>#NAME?</v>
      </c>
    </row>
    <row r="203" spans="1:63" x14ac:dyDescent="0.25">
      <c r="A203" s="8" t="str">
        <f t="shared" ca="1" si="123"/>
        <v>Keith Coburn, 11</v>
      </c>
      <c r="B203" s="8" t="str">
        <f>Roster!$B$1</f>
        <v>Upton</v>
      </c>
      <c r="C203" s="8" t="str">
        <f t="shared" ca="1" si="111"/>
        <v>Faith, SD</v>
      </c>
      <c r="D203" s="10">
        <f t="shared" ca="1" si="112"/>
        <v>44939</v>
      </c>
      <c r="E203" s="8">
        <f t="shared" ca="1" si="113"/>
        <v>1</v>
      </c>
      <c r="F203" s="8">
        <f t="shared" ca="1" si="114"/>
        <v>0</v>
      </c>
      <c r="G203" s="8">
        <f t="shared" ca="1" si="115"/>
        <v>1</v>
      </c>
      <c r="H203" s="8">
        <f t="shared" ca="1" si="116"/>
        <v>0</v>
      </c>
      <c r="I203" s="8">
        <f t="shared" ca="1" si="117"/>
        <v>0</v>
      </c>
      <c r="J203" s="8">
        <f t="shared" ca="1" si="118"/>
        <v>0</v>
      </c>
      <c r="K203" s="8">
        <f t="shared" ca="1" si="119"/>
        <v>0</v>
      </c>
      <c r="L203" s="8">
        <f t="shared" ca="1" si="124"/>
        <v>0</v>
      </c>
      <c r="M203" s="8">
        <f t="shared" ca="1" si="125"/>
        <v>2</v>
      </c>
      <c r="N203" s="8">
        <f t="shared" ca="1" si="126"/>
        <v>1</v>
      </c>
      <c r="O203" s="8">
        <f t="shared" ca="1" si="127"/>
        <v>0</v>
      </c>
      <c r="P203" s="8">
        <f t="shared" ca="1" si="128"/>
        <v>0</v>
      </c>
      <c r="Q203" s="8">
        <f t="shared" ca="1" si="129"/>
        <v>0</v>
      </c>
      <c r="R203" s="8">
        <f t="shared" ca="1" si="130"/>
        <v>0</v>
      </c>
      <c r="S203" s="8">
        <f t="shared" ca="1" si="131"/>
        <v>0</v>
      </c>
      <c r="T203" s="8">
        <f t="shared" ca="1" si="132"/>
        <v>0</v>
      </c>
      <c r="U203" s="8">
        <f t="shared" ca="1" si="133"/>
        <v>0</v>
      </c>
      <c r="V203" s="8">
        <f t="shared" ca="1" si="134"/>
        <v>0</v>
      </c>
      <c r="W203" s="11" t="str">
        <f t="shared" ca="1" si="135"/>
        <v/>
      </c>
      <c r="X203" s="11" t="str">
        <f t="shared" ca="1" si="136"/>
        <v/>
      </c>
      <c r="Y203" s="11">
        <f t="shared" ca="1" si="137"/>
        <v>0</v>
      </c>
      <c r="Z203" s="11" t="str">
        <f t="shared" ca="1" si="138"/>
        <v/>
      </c>
      <c r="AA203" s="11" t="str">
        <f t="shared" ca="1" si="139"/>
        <v/>
      </c>
      <c r="AB203" s="47">
        <f ca="1">PlayerGameData[[#This Row],[3FGA]]+PlayerGameData[[#This Row],[2FGA]]</f>
        <v>0</v>
      </c>
      <c r="AC203" s="47">
        <f ca="1">PlayerGameData[[#This Row],[OFF REB]]+PlayerGameData[[#This Row],[DEF REB]]</f>
        <v>1</v>
      </c>
      <c r="AD203" s="8">
        <f t="shared" si="120"/>
        <v>9</v>
      </c>
      <c r="AE203" s="8" t="str">
        <f t="shared" ca="1" si="121"/>
        <v>Keith Coburn, 11 - Faith, SD 1/13/2023</v>
      </c>
      <c r="AF203" s="8" t="str">
        <f t="shared" ca="1" si="140"/>
        <v/>
      </c>
      <c r="AG203" s="8" t="str">
        <f ca="1">IFERROR(IF(C203=0,"",IF(AND(VLOOKUP(PlayerGameData[[#This Row],[Opponent]],WYTeamInfo,2,FALSE)=Roster!$D$1,VLOOKUP(PlayerGameData[[#This Row],[Opponent]],WYTeamInfo,3,FALSE)=Roster!$D$2),"SR","")),"")</f>
        <v/>
      </c>
      <c r="AH203" s="8" t="str">
        <f>CONCATENATE(Roster!$D$1," ",Roster!$D$5)</f>
        <v>1A BB</v>
      </c>
      <c r="AI203" s="8" t="str">
        <f t="shared" ca="1" si="122"/>
        <v>Upton - Faith, SD 1/13/2023</v>
      </c>
      <c r="AJ203" s="8">
        <f ca="1">IFERROR(VLOOKUP(PlayerGameData[[#This Row],[School, Opponent,Game'#]],Table3[],2,FALSE),0)</f>
        <v>1</v>
      </c>
      <c r="AK203" s="8">
        <f ca="1">IF(PlayerGameData[[#This Row],[Visible]]=1,1,1000)</f>
        <v>1</v>
      </c>
      <c r="AL203" s="8">
        <f ca="1">RANK(PlayerGameData[[#This Row],[TL PTS]],PlayerGameData[TL PTS],0)+PlayerGameData[[#This Row],[VisibleOrder]]</f>
        <v>185</v>
      </c>
      <c r="AM203" s="8">
        <f ca="1">IF(COUNTIF(PlayerGameData[PointOrder],PlayerGameData[[#This Row],[PointOrder]])&gt;1,RANK(PlayerGameData[[#This Row],[FGA]],PlayerGameData[FGA],0)/100,0)+PlayerGameData[[#This Row],[PointOrder]]</f>
        <v>187.14</v>
      </c>
      <c r="AN203" s="8">
        <f ca="1">RANK(PlayerGameData[[#This Row],[PointTieBreak]],PlayerGameData[PointTieBreak],1)</f>
        <v>216</v>
      </c>
      <c r="AO203" s="8">
        <f ca="1">RANK(PlayerGameData[[#This Row],[REB]],PlayerGameData[REB],0)+PlayerGameData[[#This Row],[VisibleOrder]]</f>
        <v>163</v>
      </c>
      <c r="AP203" s="8">
        <f ca="1">IF(COUNTIF(PlayerGameData[REBOrder],PlayerGameData[[#This Row],[REBOrder]])&gt;1,PlayerGameData[[#This Row],[PointRank]]/100+PlayerGameData[[#This Row],[REBOrder]],PlayerGameData[[#This Row],[REBOrder]])</f>
        <v>165.16</v>
      </c>
      <c r="AQ203" s="8">
        <f ca="1">RANK(PlayerGameData[[#This Row],[REBTieBreak]],PlayerGameData[REBTieBreak],1)</f>
        <v>185</v>
      </c>
      <c r="AR203" s="8">
        <f ca="1">RANK(PlayerGameData[[#This Row],[AST]],PlayerGameData[AST],0)+PlayerGameData[[#This Row],[VisibleOrder]]</f>
        <v>158</v>
      </c>
      <c r="AS203" s="8">
        <f ca="1">IF(COUNTIF(PlayerGameData[ASTOrder],PlayerGameData[[#This Row],[ASTOrder]])&gt;1,PlayerGameData[[#This Row],[PointRank]]/100+PlayerGameData[[#This Row],[ASTOrder]],PlayerGameData[[#This Row],[ASTOrder]])</f>
        <v>160.16</v>
      </c>
      <c r="AT203" s="8">
        <f ca="1">RANK(PlayerGameData[[#This Row],[ASTTieBreak]],PlayerGameData[ASTTieBreak],1)</f>
        <v>221</v>
      </c>
      <c r="AU203" s="8">
        <f ca="1">RANK(PlayerGameData[[#This Row],[STL]],PlayerGameData[STL],0)+PlayerGameData[[#This Row],[VisibleOrder]]</f>
        <v>143</v>
      </c>
      <c r="AV203" s="8">
        <f ca="1">IF(COUNTIF(PlayerGameData[STLOrder],PlayerGameData[[#This Row],[STLOrder]])&gt;1,PlayerGameData[[#This Row],[PointRank]]/100+PlayerGameData[[#This Row],[STLOrder]],PlayerGameData[[#This Row],[STLOrder]])</f>
        <v>145.16</v>
      </c>
      <c r="AW203" s="8">
        <f ca="1">RANK(PlayerGameData[[#This Row],[STLTieBreak]],PlayerGameData[STLTieBreak],1)</f>
        <v>217</v>
      </c>
      <c r="AX203" s="8">
        <f ca="1">RANK(PlayerGameData[[#This Row],[BLK]],PlayerGameData[BLK],0)+PlayerGameData[[#This Row],[VisibleOrder]]</f>
        <v>32</v>
      </c>
      <c r="AY203" s="8">
        <f ca="1">IF(COUNTIF(PlayerGameData[BLKOrder],PlayerGameData[[#This Row],[BLKOrder]])&gt;1,PlayerGameData[[#This Row],[PointRank]]/100+PlayerGameData[[#This Row],[BLKOrder]],PlayerGameData[[#This Row],[BLKOrder]])</f>
        <v>34.159999999999997</v>
      </c>
      <c r="AZ203" s="8">
        <f ca="1">RANK(PlayerGameData[[#This Row],[BLKTieBreak]],PlayerGameData[BLKTieBreak],1)</f>
        <v>216</v>
      </c>
      <c r="BA203" s="11">
        <f ca="1">IFERROR(IF(PlayerGameData[[#This Row],[FGA]]&gt;$AA$5,PlayerGameData[[#This Row],[FG%*]],PlayerGameData[[#This Row],[FG%*]]*-1),-2)</f>
        <v>-2</v>
      </c>
      <c r="BB203" s="8">
        <f ca="1">RANK(PlayerGameData[[#This Row],[EligFG]],PlayerGameData[EligFG],0)+PlayerGameData[[#This Row],[VisibleOrder]]</f>
        <v>215</v>
      </c>
      <c r="BC203" s="8">
        <f ca="1">IF(COUNTIF(PlayerGameData[EligFGOrder],PlayerGameData[[#This Row],[EligFGOrder]])&gt;1,PlayerGameData[[#This Row],[PointRank]]/100+PlayerGameData[[#This Row],[EligFGOrder]],PlayerGameData[[#This Row],[EligFGOrder]])</f>
        <v>217.16</v>
      </c>
      <c r="BD203" s="8">
        <f ca="1">RANK(PlayerGameData[[#This Row],[EligFGTieBreak]],PlayerGameData[EligFGTieBreak],1)</f>
        <v>216</v>
      </c>
      <c r="BE203" s="8" t="str">
        <f>Roster!$D$3</f>
        <v>East</v>
      </c>
      <c r="BF203" s="8" t="str">
        <f>Roster!$D$2</f>
        <v>Northeast</v>
      </c>
      <c r="BG203" s="8" t="str">
        <f>Roster!$D$4</f>
        <v>North</v>
      </c>
      <c r="BH203" s="197">
        <f ca="1">IFERROR(VLOOKUP(CONCATENATE(PlayerGameData[[#This Row],[Opponent]]," ",MONTH(PlayerGameData[[#This Row],[Date]]),"/",DAY(PlayerGameData[[#This Row],[Date]]),"/",YEAR(PlayerGameData[[#This Row],[Date]])),Table35[],2,FALSE),0)</f>
        <v>1</v>
      </c>
      <c r="BI203" s="197">
        <f ca="1">IF(PlayerGameData[[#This Row],[Visible]]=1,1,1000)</f>
        <v>1</v>
      </c>
      <c r="BJ203" s="197" t="e">
        <f ca="1">_xlfn.MAXIFS(TeamGameData[Win],TeamGameData[School, Opponent,Game'#],PlayerGameData[[#This Row],[School, Opponent,Game'#]])</f>
        <v>#NAME?</v>
      </c>
      <c r="BK203" s="197" t="e">
        <f ca="1">_xlfn.MAXIFS(TeamGameData[Loss],TeamGameData[School, Opponent,Game'#],PlayerGameData[[#This Row],[School, Opponent,Game'#]])</f>
        <v>#NAME?</v>
      </c>
    </row>
    <row r="204" spans="1:63" x14ac:dyDescent="0.25">
      <c r="A204" s="8" t="str">
        <f t="shared" ca="1" si="123"/>
        <v>Carson Barritt, 14</v>
      </c>
      <c r="B204" s="8" t="str">
        <f>Roster!$B$1</f>
        <v>Upton</v>
      </c>
      <c r="C204" s="8" t="str">
        <f t="shared" ca="1" si="111"/>
        <v>Faith, SD</v>
      </c>
      <c r="D204" s="10">
        <f t="shared" ca="1" si="112"/>
        <v>44939</v>
      </c>
      <c r="E204" s="8">
        <f t="shared" ca="1" si="113"/>
        <v>1</v>
      </c>
      <c r="F204" s="8">
        <f t="shared" ca="1" si="114"/>
        <v>0</v>
      </c>
      <c r="G204" s="8">
        <f t="shared" ca="1" si="115"/>
        <v>1</v>
      </c>
      <c r="H204" s="8">
        <f t="shared" ca="1" si="116"/>
        <v>0</v>
      </c>
      <c r="I204" s="8">
        <f t="shared" ca="1" si="117"/>
        <v>1</v>
      </c>
      <c r="J204" s="8">
        <f t="shared" ca="1" si="118"/>
        <v>0</v>
      </c>
      <c r="K204" s="8">
        <f t="shared" ca="1" si="119"/>
        <v>0</v>
      </c>
      <c r="L204" s="8">
        <f t="shared" ca="1" si="124"/>
        <v>1</v>
      </c>
      <c r="M204" s="8">
        <f t="shared" ca="1" si="125"/>
        <v>2</v>
      </c>
      <c r="N204" s="8">
        <f t="shared" ca="1" si="126"/>
        <v>0</v>
      </c>
      <c r="O204" s="8">
        <f t="shared" ca="1" si="127"/>
        <v>0</v>
      </c>
      <c r="P204" s="8">
        <f t="shared" ca="1" si="128"/>
        <v>0</v>
      </c>
      <c r="Q204" s="8">
        <f t="shared" ca="1" si="129"/>
        <v>0</v>
      </c>
      <c r="R204" s="8">
        <f t="shared" ca="1" si="130"/>
        <v>0</v>
      </c>
      <c r="S204" s="8">
        <f t="shared" ca="1" si="131"/>
        <v>0</v>
      </c>
      <c r="T204" s="8">
        <f t="shared" ca="1" si="132"/>
        <v>0</v>
      </c>
      <c r="U204" s="8">
        <f t="shared" ca="1" si="133"/>
        <v>0</v>
      </c>
      <c r="V204" s="8">
        <f t="shared" ca="1" si="134"/>
        <v>1</v>
      </c>
      <c r="W204" s="11">
        <f t="shared" ca="1" si="135"/>
        <v>0</v>
      </c>
      <c r="X204" s="11" t="str">
        <f t="shared" ca="1" si="136"/>
        <v/>
      </c>
      <c r="Y204" s="11">
        <f t="shared" ca="1" si="137"/>
        <v>0.5</v>
      </c>
      <c r="Z204" s="11">
        <f t="shared" ca="1" si="138"/>
        <v>0</v>
      </c>
      <c r="AA204" s="11">
        <f t="shared" ca="1" si="139"/>
        <v>0</v>
      </c>
      <c r="AB204" s="47">
        <f ca="1">PlayerGameData[[#This Row],[3FGA]]+PlayerGameData[[#This Row],[2FGA]]</f>
        <v>1</v>
      </c>
      <c r="AC204" s="47">
        <f ca="1">PlayerGameData[[#This Row],[OFF REB]]+PlayerGameData[[#This Row],[DEF REB]]</f>
        <v>0</v>
      </c>
      <c r="AD204" s="8">
        <f t="shared" si="120"/>
        <v>9</v>
      </c>
      <c r="AE204" s="8" t="str">
        <f t="shared" ca="1" si="121"/>
        <v>Carson Barritt, 14 - Faith, SD 1/13/2023</v>
      </c>
      <c r="AF204" s="8" t="str">
        <f t="shared" ca="1" si="140"/>
        <v/>
      </c>
      <c r="AG204" s="8" t="str">
        <f ca="1">IFERROR(IF(C204=0,"",IF(AND(VLOOKUP(PlayerGameData[[#This Row],[Opponent]],WYTeamInfo,2,FALSE)=Roster!$D$1,VLOOKUP(PlayerGameData[[#This Row],[Opponent]],WYTeamInfo,3,FALSE)=Roster!$D$2),"SR","")),"")</f>
        <v/>
      </c>
      <c r="AH204" s="8" t="str">
        <f>CONCATENATE(Roster!$D$1," ",Roster!$D$5)</f>
        <v>1A BB</v>
      </c>
      <c r="AI204" s="8" t="str">
        <f t="shared" ca="1" si="122"/>
        <v>Upton - Faith, SD 1/13/2023</v>
      </c>
      <c r="AJ204" s="8">
        <f ca="1">IFERROR(VLOOKUP(PlayerGameData[[#This Row],[School, Opponent,Game'#]],Table3[],2,FALSE),0)</f>
        <v>1</v>
      </c>
      <c r="AK204" s="8">
        <f ca="1">IF(PlayerGameData[[#This Row],[Visible]]=1,1,1000)</f>
        <v>1</v>
      </c>
      <c r="AL204" s="8">
        <f ca="1">RANK(PlayerGameData[[#This Row],[TL PTS]],PlayerGameData[TL PTS],0)+PlayerGameData[[#This Row],[VisibleOrder]]</f>
        <v>176</v>
      </c>
      <c r="AM204" s="8">
        <f ca="1">IF(COUNTIF(PlayerGameData[PointOrder],PlayerGameData[[#This Row],[PointOrder]])&gt;1,RANK(PlayerGameData[[#This Row],[FGA]],PlayerGameData[FGA],0)/100,0)+PlayerGameData[[#This Row],[PointOrder]]</f>
        <v>177.82</v>
      </c>
      <c r="AN204" s="8">
        <f ca="1">RANK(PlayerGameData[[#This Row],[PointTieBreak]],PlayerGameData[PointTieBreak],1)</f>
        <v>180</v>
      </c>
      <c r="AO204" s="8">
        <f ca="1">RANK(PlayerGameData[[#This Row],[REB]],PlayerGameData[REB],0)+PlayerGameData[[#This Row],[VisibleOrder]]</f>
        <v>192</v>
      </c>
      <c r="AP204" s="8">
        <f ca="1">IF(COUNTIF(PlayerGameData[REBOrder],PlayerGameData[[#This Row],[REBOrder]])&gt;1,PlayerGameData[[#This Row],[PointRank]]/100+PlayerGameData[[#This Row],[REBOrder]],PlayerGameData[[#This Row],[REBOrder]])</f>
        <v>193.8</v>
      </c>
      <c r="AQ204" s="8">
        <f ca="1">RANK(PlayerGameData[[#This Row],[REBTieBreak]],PlayerGameData[REBTieBreak],1)</f>
        <v>207</v>
      </c>
      <c r="AR204" s="8">
        <f ca="1">RANK(PlayerGameData[[#This Row],[AST]],PlayerGameData[AST],0)+PlayerGameData[[#This Row],[VisibleOrder]]</f>
        <v>158</v>
      </c>
      <c r="AS204" s="8">
        <f ca="1">IF(COUNTIF(PlayerGameData[ASTOrder],PlayerGameData[[#This Row],[ASTOrder]])&gt;1,PlayerGameData[[#This Row],[PointRank]]/100+PlayerGameData[[#This Row],[ASTOrder]],PlayerGameData[[#This Row],[ASTOrder]])</f>
        <v>159.80000000000001</v>
      </c>
      <c r="AT204" s="8">
        <f ca="1">RANK(PlayerGameData[[#This Row],[ASTTieBreak]],PlayerGameData[ASTTieBreak],1)</f>
        <v>196</v>
      </c>
      <c r="AU204" s="8">
        <f ca="1">RANK(PlayerGameData[[#This Row],[STL]],PlayerGameData[STL],0)+PlayerGameData[[#This Row],[VisibleOrder]]</f>
        <v>143</v>
      </c>
      <c r="AV204" s="8">
        <f ca="1">IF(COUNTIF(PlayerGameData[STLOrder],PlayerGameData[[#This Row],[STLOrder]])&gt;1,PlayerGameData[[#This Row],[PointRank]]/100+PlayerGameData[[#This Row],[STLOrder]],PlayerGameData[[#This Row],[STLOrder]])</f>
        <v>144.80000000000001</v>
      </c>
      <c r="AW204" s="8">
        <f ca="1">RANK(PlayerGameData[[#This Row],[STLTieBreak]],PlayerGameData[STLTieBreak],1)</f>
        <v>190</v>
      </c>
      <c r="AX204" s="8">
        <f ca="1">RANK(PlayerGameData[[#This Row],[BLK]],PlayerGameData[BLK],0)+PlayerGameData[[#This Row],[VisibleOrder]]</f>
        <v>32</v>
      </c>
      <c r="AY204" s="8">
        <f ca="1">IF(COUNTIF(PlayerGameData[BLKOrder],PlayerGameData[[#This Row],[BLKOrder]])&gt;1,PlayerGameData[[#This Row],[PointRank]]/100+PlayerGameData[[#This Row],[BLKOrder]],PlayerGameData[[#This Row],[BLKOrder]])</f>
        <v>33.799999999999997</v>
      </c>
      <c r="AZ204" s="8">
        <f ca="1">RANK(PlayerGameData[[#This Row],[BLKTieBreak]],PlayerGameData[BLKTieBreak],1)</f>
        <v>181</v>
      </c>
      <c r="BA204" s="11">
        <f ca="1">IFERROR(IF(PlayerGameData[[#This Row],[FGA]]&gt;$AA$5,PlayerGameData[[#This Row],[FG%*]],PlayerGameData[[#This Row],[FG%*]]*-1),-2)</f>
        <v>0</v>
      </c>
      <c r="BB204" s="8">
        <f ca="1">RANK(PlayerGameData[[#This Row],[EligFG]],PlayerGameData[EligFG],0)+PlayerGameData[[#This Row],[VisibleOrder]]</f>
        <v>117</v>
      </c>
      <c r="BC204" s="8">
        <f ca="1">IF(COUNTIF(PlayerGameData[EligFGOrder],PlayerGameData[[#This Row],[EligFGOrder]])&gt;1,PlayerGameData[[#This Row],[PointRank]]/100+PlayerGameData[[#This Row],[EligFGOrder]],PlayerGameData[[#This Row],[EligFGOrder]])</f>
        <v>118.8</v>
      </c>
      <c r="BD204" s="8">
        <f ca="1">RANK(PlayerGameData[[#This Row],[EligFGTieBreak]],PlayerGameData[EligFGTieBreak],1)</f>
        <v>123</v>
      </c>
      <c r="BE204" s="8" t="str">
        <f>Roster!$D$3</f>
        <v>East</v>
      </c>
      <c r="BF204" s="8" t="str">
        <f>Roster!$D$2</f>
        <v>Northeast</v>
      </c>
      <c r="BG204" s="8" t="str">
        <f>Roster!$D$4</f>
        <v>North</v>
      </c>
      <c r="BH204" s="197">
        <f ca="1">IFERROR(VLOOKUP(CONCATENATE(PlayerGameData[[#This Row],[Opponent]]," ",MONTH(PlayerGameData[[#This Row],[Date]]),"/",DAY(PlayerGameData[[#This Row],[Date]]),"/",YEAR(PlayerGameData[[#This Row],[Date]])),Table35[],2,FALSE),0)</f>
        <v>1</v>
      </c>
      <c r="BI204" s="197">
        <f ca="1">IF(PlayerGameData[[#This Row],[Visible]]=1,1,1000)</f>
        <v>1</v>
      </c>
      <c r="BJ204" s="197" t="e">
        <f ca="1">_xlfn.MAXIFS(TeamGameData[Win],TeamGameData[School, Opponent,Game'#],PlayerGameData[[#This Row],[School, Opponent,Game'#]])</f>
        <v>#NAME?</v>
      </c>
      <c r="BK204" s="197" t="e">
        <f ca="1">_xlfn.MAXIFS(TeamGameData[Loss],TeamGameData[School, Opponent,Game'#],PlayerGameData[[#This Row],[School, Opponent,Game'#]])</f>
        <v>#NAME?</v>
      </c>
    </row>
    <row r="205" spans="1:63" x14ac:dyDescent="0.25">
      <c r="A205" s="8" t="str">
        <f t="shared" ca="1" si="123"/>
        <v>Ben Carpenter, 21</v>
      </c>
      <c r="B205" s="8" t="str">
        <f>Roster!$B$1</f>
        <v>Upton</v>
      </c>
      <c r="C205" s="8" t="str">
        <f t="shared" ca="1" si="111"/>
        <v>Faith, SD</v>
      </c>
      <c r="D205" s="10">
        <f t="shared" ca="1" si="112"/>
        <v>44939</v>
      </c>
      <c r="E205" s="8">
        <f t="shared" ca="1" si="113"/>
        <v>1</v>
      </c>
      <c r="F205" s="8">
        <f t="shared" ca="1" si="114"/>
        <v>0</v>
      </c>
      <c r="G205" s="8">
        <f t="shared" ca="1" si="115"/>
        <v>1</v>
      </c>
      <c r="H205" s="8">
        <f t="shared" ca="1" si="116"/>
        <v>0</v>
      </c>
      <c r="I205" s="8">
        <f t="shared" ca="1" si="117"/>
        <v>0</v>
      </c>
      <c r="J205" s="8">
        <f t="shared" ca="1" si="118"/>
        <v>0</v>
      </c>
      <c r="K205" s="8">
        <f t="shared" ca="1" si="119"/>
        <v>0</v>
      </c>
      <c r="L205" s="8">
        <f t="shared" ca="1" si="124"/>
        <v>0</v>
      </c>
      <c r="M205" s="8">
        <f t="shared" ca="1" si="125"/>
        <v>0</v>
      </c>
      <c r="N205" s="8">
        <f t="shared" ca="1" si="126"/>
        <v>0</v>
      </c>
      <c r="O205" s="8">
        <f t="shared" ca="1" si="127"/>
        <v>0</v>
      </c>
      <c r="P205" s="8">
        <f t="shared" ca="1" si="128"/>
        <v>0</v>
      </c>
      <c r="Q205" s="8">
        <f t="shared" ca="1" si="129"/>
        <v>0</v>
      </c>
      <c r="R205" s="8">
        <f t="shared" ca="1" si="130"/>
        <v>0</v>
      </c>
      <c r="S205" s="8">
        <f t="shared" ca="1" si="131"/>
        <v>0</v>
      </c>
      <c r="T205" s="8">
        <f t="shared" ca="1" si="132"/>
        <v>0</v>
      </c>
      <c r="U205" s="8">
        <f t="shared" ca="1" si="133"/>
        <v>0</v>
      </c>
      <c r="V205" s="8">
        <f t="shared" ca="1" si="134"/>
        <v>0</v>
      </c>
      <c r="W205" s="11" t="str">
        <f t="shared" ca="1" si="135"/>
        <v/>
      </c>
      <c r="X205" s="11" t="str">
        <f t="shared" ca="1" si="136"/>
        <v/>
      </c>
      <c r="Y205" s="11" t="str">
        <f t="shared" ca="1" si="137"/>
        <v/>
      </c>
      <c r="Z205" s="11" t="str">
        <f t="shared" ca="1" si="138"/>
        <v/>
      </c>
      <c r="AA205" s="11" t="str">
        <f t="shared" ca="1" si="139"/>
        <v/>
      </c>
      <c r="AB205" s="47">
        <f ca="1">PlayerGameData[[#This Row],[3FGA]]+PlayerGameData[[#This Row],[2FGA]]</f>
        <v>0</v>
      </c>
      <c r="AC205" s="47">
        <f ca="1">PlayerGameData[[#This Row],[OFF REB]]+PlayerGameData[[#This Row],[DEF REB]]</f>
        <v>0</v>
      </c>
      <c r="AD205" s="8">
        <f t="shared" si="120"/>
        <v>9</v>
      </c>
      <c r="AE205" s="8" t="str">
        <f t="shared" ca="1" si="121"/>
        <v>Ben Carpenter, 21 - Faith, SD 1/13/2023</v>
      </c>
      <c r="AF205" s="8" t="str">
        <f t="shared" ca="1" si="140"/>
        <v/>
      </c>
      <c r="AG205" s="8" t="str">
        <f ca="1">IFERROR(IF(C205=0,"",IF(AND(VLOOKUP(PlayerGameData[[#This Row],[Opponent]],WYTeamInfo,2,FALSE)=Roster!$D$1,VLOOKUP(PlayerGameData[[#This Row],[Opponent]],WYTeamInfo,3,FALSE)=Roster!$D$2),"SR","")),"")</f>
        <v/>
      </c>
      <c r="AH205" s="8" t="str">
        <f>CONCATENATE(Roster!$D$1," ",Roster!$D$5)</f>
        <v>1A BB</v>
      </c>
      <c r="AI205" s="8" t="str">
        <f t="shared" ca="1" si="122"/>
        <v>Upton - Faith, SD 1/13/2023</v>
      </c>
      <c r="AJ205" s="8">
        <f ca="1">IFERROR(VLOOKUP(PlayerGameData[[#This Row],[School, Opponent,Game'#]],Table3[],2,FALSE),0)</f>
        <v>1</v>
      </c>
      <c r="AK205" s="8">
        <f ca="1">IF(PlayerGameData[[#This Row],[Visible]]=1,1,1000)</f>
        <v>1</v>
      </c>
      <c r="AL205" s="8">
        <f ca="1">RANK(PlayerGameData[[#This Row],[TL PTS]],PlayerGameData[TL PTS],0)+PlayerGameData[[#This Row],[VisibleOrder]]</f>
        <v>185</v>
      </c>
      <c r="AM205" s="8">
        <f ca="1">IF(COUNTIF(PlayerGameData[PointOrder],PlayerGameData[[#This Row],[PointOrder]])&gt;1,RANK(PlayerGameData[[#This Row],[FGA]],PlayerGameData[FGA],0)/100,0)+PlayerGameData[[#This Row],[PointOrder]]</f>
        <v>187.14</v>
      </c>
      <c r="AN205" s="8">
        <f ca="1">RANK(PlayerGameData[[#This Row],[PointTieBreak]],PlayerGameData[PointTieBreak],1)</f>
        <v>216</v>
      </c>
      <c r="AO205" s="8">
        <f ca="1">RANK(PlayerGameData[[#This Row],[REB]],PlayerGameData[REB],0)+PlayerGameData[[#This Row],[VisibleOrder]]</f>
        <v>192</v>
      </c>
      <c r="AP205" s="8">
        <f ca="1">IF(COUNTIF(PlayerGameData[REBOrder],PlayerGameData[[#This Row],[REBOrder]])&gt;1,PlayerGameData[[#This Row],[PointRank]]/100+PlayerGameData[[#This Row],[REBOrder]],PlayerGameData[[#This Row],[REBOrder]])</f>
        <v>194.16</v>
      </c>
      <c r="AQ205" s="8">
        <f ca="1">RANK(PlayerGameData[[#This Row],[REBTieBreak]],PlayerGameData[REBTieBreak],1)</f>
        <v>224</v>
      </c>
      <c r="AR205" s="8">
        <f ca="1">RANK(PlayerGameData[[#This Row],[AST]],PlayerGameData[AST],0)+PlayerGameData[[#This Row],[VisibleOrder]]</f>
        <v>158</v>
      </c>
      <c r="AS205" s="8">
        <f ca="1">IF(COUNTIF(PlayerGameData[ASTOrder],PlayerGameData[[#This Row],[ASTOrder]])&gt;1,PlayerGameData[[#This Row],[PointRank]]/100+PlayerGameData[[#This Row],[ASTOrder]],PlayerGameData[[#This Row],[ASTOrder]])</f>
        <v>160.16</v>
      </c>
      <c r="AT205" s="8">
        <f ca="1">RANK(PlayerGameData[[#This Row],[ASTTieBreak]],PlayerGameData[ASTTieBreak],1)</f>
        <v>221</v>
      </c>
      <c r="AU205" s="8">
        <f ca="1">RANK(PlayerGameData[[#This Row],[STL]],PlayerGameData[STL],0)+PlayerGameData[[#This Row],[VisibleOrder]]</f>
        <v>143</v>
      </c>
      <c r="AV205" s="8">
        <f ca="1">IF(COUNTIF(PlayerGameData[STLOrder],PlayerGameData[[#This Row],[STLOrder]])&gt;1,PlayerGameData[[#This Row],[PointRank]]/100+PlayerGameData[[#This Row],[STLOrder]],PlayerGameData[[#This Row],[STLOrder]])</f>
        <v>145.16</v>
      </c>
      <c r="AW205" s="8">
        <f ca="1">RANK(PlayerGameData[[#This Row],[STLTieBreak]],PlayerGameData[STLTieBreak],1)</f>
        <v>217</v>
      </c>
      <c r="AX205" s="8">
        <f ca="1">RANK(PlayerGameData[[#This Row],[BLK]],PlayerGameData[BLK],0)+PlayerGameData[[#This Row],[VisibleOrder]]</f>
        <v>32</v>
      </c>
      <c r="AY205" s="8">
        <f ca="1">IF(COUNTIF(PlayerGameData[BLKOrder],PlayerGameData[[#This Row],[BLKOrder]])&gt;1,PlayerGameData[[#This Row],[PointRank]]/100+PlayerGameData[[#This Row],[BLKOrder]],PlayerGameData[[#This Row],[BLKOrder]])</f>
        <v>34.159999999999997</v>
      </c>
      <c r="AZ205" s="8">
        <f ca="1">RANK(PlayerGameData[[#This Row],[BLKTieBreak]],PlayerGameData[BLKTieBreak],1)</f>
        <v>216</v>
      </c>
      <c r="BA205" s="11">
        <f ca="1">IFERROR(IF(PlayerGameData[[#This Row],[FGA]]&gt;$AA$5,PlayerGameData[[#This Row],[FG%*]],PlayerGameData[[#This Row],[FG%*]]*-1),-2)</f>
        <v>-2</v>
      </c>
      <c r="BB205" s="8">
        <f ca="1">RANK(PlayerGameData[[#This Row],[EligFG]],PlayerGameData[EligFG],0)+PlayerGameData[[#This Row],[VisibleOrder]]</f>
        <v>215</v>
      </c>
      <c r="BC205" s="8">
        <f ca="1">IF(COUNTIF(PlayerGameData[EligFGOrder],PlayerGameData[[#This Row],[EligFGOrder]])&gt;1,PlayerGameData[[#This Row],[PointRank]]/100+PlayerGameData[[#This Row],[EligFGOrder]],PlayerGameData[[#This Row],[EligFGOrder]])</f>
        <v>217.16</v>
      </c>
      <c r="BD205" s="8">
        <f ca="1">RANK(PlayerGameData[[#This Row],[EligFGTieBreak]],PlayerGameData[EligFGTieBreak],1)</f>
        <v>216</v>
      </c>
      <c r="BE205" s="8" t="str">
        <f>Roster!$D$3</f>
        <v>East</v>
      </c>
      <c r="BF205" s="8" t="str">
        <f>Roster!$D$2</f>
        <v>Northeast</v>
      </c>
      <c r="BG205" s="8" t="str">
        <f>Roster!$D$4</f>
        <v>North</v>
      </c>
      <c r="BH205" s="197">
        <f ca="1">IFERROR(VLOOKUP(CONCATENATE(PlayerGameData[[#This Row],[Opponent]]," ",MONTH(PlayerGameData[[#This Row],[Date]]),"/",DAY(PlayerGameData[[#This Row],[Date]]),"/",YEAR(PlayerGameData[[#This Row],[Date]])),Table35[],2,FALSE),0)</f>
        <v>1</v>
      </c>
      <c r="BI205" s="197">
        <f ca="1">IF(PlayerGameData[[#This Row],[Visible]]=1,1,1000)</f>
        <v>1</v>
      </c>
      <c r="BJ205" s="197" t="e">
        <f ca="1">_xlfn.MAXIFS(TeamGameData[Win],TeamGameData[School, Opponent,Game'#],PlayerGameData[[#This Row],[School, Opponent,Game'#]])</f>
        <v>#NAME?</v>
      </c>
      <c r="BK205" s="197" t="e">
        <f ca="1">_xlfn.MAXIFS(TeamGameData[Loss],TeamGameData[School, Opponent,Game'#],PlayerGameData[[#This Row],[School, Opponent,Game'#]])</f>
        <v>#NAME?</v>
      </c>
    </row>
    <row r="206" spans="1:63" x14ac:dyDescent="0.25">
      <c r="A206" s="8" t="str">
        <f t="shared" ca="1" si="123"/>
        <v>Ethan Schiller, 23</v>
      </c>
      <c r="B206" s="8" t="str">
        <f>Roster!$B$1</f>
        <v>Upton</v>
      </c>
      <c r="C206" s="8" t="str">
        <f t="shared" ca="1" si="111"/>
        <v>Faith, SD</v>
      </c>
      <c r="D206" s="10">
        <f t="shared" ca="1" si="112"/>
        <v>44939</v>
      </c>
      <c r="E206" s="8">
        <f t="shared" ca="1" si="113"/>
        <v>1</v>
      </c>
      <c r="F206" s="8">
        <f t="shared" ca="1" si="114"/>
        <v>1</v>
      </c>
      <c r="G206" s="8">
        <f t="shared" ca="1" si="115"/>
        <v>25</v>
      </c>
      <c r="H206" s="8">
        <f t="shared" ca="1" si="116"/>
        <v>0</v>
      </c>
      <c r="I206" s="8">
        <f t="shared" ca="1" si="117"/>
        <v>3</v>
      </c>
      <c r="J206" s="8">
        <f t="shared" ca="1" si="118"/>
        <v>3</v>
      </c>
      <c r="K206" s="8">
        <f t="shared" ca="1" si="119"/>
        <v>8</v>
      </c>
      <c r="L206" s="8">
        <f t="shared" ca="1" si="124"/>
        <v>2</v>
      </c>
      <c r="M206" s="8">
        <f t="shared" ca="1" si="125"/>
        <v>4</v>
      </c>
      <c r="N206" s="8">
        <f t="shared" ca="1" si="126"/>
        <v>3</v>
      </c>
      <c r="O206" s="8">
        <f t="shared" ca="1" si="127"/>
        <v>3</v>
      </c>
      <c r="P206" s="8">
        <f t="shared" ca="1" si="128"/>
        <v>4</v>
      </c>
      <c r="Q206" s="8">
        <f t="shared" ca="1" si="129"/>
        <v>3</v>
      </c>
      <c r="R206" s="8">
        <f t="shared" ca="1" si="130"/>
        <v>1</v>
      </c>
      <c r="S206" s="8">
        <f t="shared" ca="1" si="131"/>
        <v>1</v>
      </c>
      <c r="T206" s="8">
        <f t="shared" ca="1" si="132"/>
        <v>3</v>
      </c>
      <c r="U206" s="8">
        <f t="shared" ca="1" si="133"/>
        <v>0</v>
      </c>
      <c r="V206" s="8">
        <f t="shared" ca="1" si="134"/>
        <v>8</v>
      </c>
      <c r="W206" s="11">
        <f t="shared" ca="1" si="135"/>
        <v>0</v>
      </c>
      <c r="X206" s="11">
        <f t="shared" ca="1" si="136"/>
        <v>0.375</v>
      </c>
      <c r="Y206" s="11">
        <f t="shared" ca="1" si="137"/>
        <v>0.5</v>
      </c>
      <c r="Z206" s="11">
        <f t="shared" ca="1" si="138"/>
        <v>0.27272727272727271</v>
      </c>
      <c r="AA206" s="11">
        <f t="shared" ca="1" si="139"/>
        <v>0.27272727272727271</v>
      </c>
      <c r="AB206" s="47">
        <f ca="1">PlayerGameData[[#This Row],[3FGA]]+PlayerGameData[[#This Row],[2FGA]]</f>
        <v>11</v>
      </c>
      <c r="AC206" s="47">
        <f ca="1">PlayerGameData[[#This Row],[OFF REB]]+PlayerGameData[[#This Row],[DEF REB]]</f>
        <v>6</v>
      </c>
      <c r="AD206" s="8">
        <f t="shared" si="120"/>
        <v>9</v>
      </c>
      <c r="AE206" s="8" t="str">
        <f t="shared" ca="1" si="121"/>
        <v>Ethan Schiller, 23 - Faith, SD 1/13/2023</v>
      </c>
      <c r="AF206" s="8" t="str">
        <f t="shared" ca="1" si="140"/>
        <v/>
      </c>
      <c r="AG206" s="8" t="str">
        <f ca="1">IFERROR(IF(C206=0,"",IF(AND(VLOOKUP(PlayerGameData[[#This Row],[Opponent]],WYTeamInfo,2,FALSE)=Roster!$D$1,VLOOKUP(PlayerGameData[[#This Row],[Opponent]],WYTeamInfo,3,FALSE)=Roster!$D$2),"SR","")),"")</f>
        <v/>
      </c>
      <c r="AH206" s="8" t="str">
        <f>CONCATENATE(Roster!$D$1," ",Roster!$D$5)</f>
        <v>1A BB</v>
      </c>
      <c r="AI206" s="8" t="str">
        <f t="shared" ca="1" si="122"/>
        <v>Upton - Faith, SD 1/13/2023</v>
      </c>
      <c r="AJ206" s="8">
        <f ca="1">IFERROR(VLOOKUP(PlayerGameData[[#This Row],[School, Opponent,Game'#]],Table3[],2,FALSE),0)</f>
        <v>1</v>
      </c>
      <c r="AK206" s="8">
        <f ca="1">IF(PlayerGameData[[#This Row],[Visible]]=1,1,1000)</f>
        <v>1</v>
      </c>
      <c r="AL206" s="8">
        <f ca="1">RANK(PlayerGameData[[#This Row],[TL PTS]],PlayerGameData[TL PTS],0)+PlayerGameData[[#This Row],[VisibleOrder]]</f>
        <v>82</v>
      </c>
      <c r="AM206" s="8">
        <f ca="1">IF(COUNTIF(PlayerGameData[PointOrder],PlayerGameData[[#This Row],[PointOrder]])&gt;1,RANK(PlayerGameData[[#This Row],[FGA]],PlayerGameData[FGA],0)/100,0)+PlayerGameData[[#This Row],[PointOrder]]</f>
        <v>82.34</v>
      </c>
      <c r="AN206" s="8">
        <f ca="1">RANK(PlayerGameData[[#This Row],[PointTieBreak]],PlayerGameData[PointTieBreak],1)</f>
        <v>83</v>
      </c>
      <c r="AO206" s="8">
        <f ca="1">RANK(PlayerGameData[[#This Row],[REB]],PlayerGameData[REB],0)+PlayerGameData[[#This Row],[VisibleOrder]]</f>
        <v>38</v>
      </c>
      <c r="AP206" s="8">
        <f ca="1">IF(COUNTIF(PlayerGameData[REBOrder],PlayerGameData[[#This Row],[REBOrder]])&gt;1,PlayerGameData[[#This Row],[PointRank]]/100+PlayerGameData[[#This Row],[REBOrder]],PlayerGameData[[#This Row],[REBOrder]])</f>
        <v>38.83</v>
      </c>
      <c r="AQ206" s="8">
        <f ca="1">RANK(PlayerGameData[[#This Row],[REBTieBreak]],PlayerGameData[REBTieBreak],1)</f>
        <v>45</v>
      </c>
      <c r="AR206" s="8">
        <f ca="1">RANK(PlayerGameData[[#This Row],[AST]],PlayerGameData[AST],0)+PlayerGameData[[#This Row],[VisibleOrder]]</f>
        <v>24</v>
      </c>
      <c r="AS206" s="8">
        <f ca="1">IF(COUNTIF(PlayerGameData[ASTOrder],PlayerGameData[[#This Row],[ASTOrder]])&gt;1,PlayerGameData[[#This Row],[PointRank]]/100+PlayerGameData[[#This Row],[ASTOrder]],PlayerGameData[[#This Row],[ASTOrder]])</f>
        <v>24.83</v>
      </c>
      <c r="AT206" s="8">
        <f ca="1">RANK(PlayerGameData[[#This Row],[ASTTieBreak]],PlayerGameData[ASTTieBreak],1)</f>
        <v>34</v>
      </c>
      <c r="AU206" s="8">
        <f ca="1">RANK(PlayerGameData[[#This Row],[STL]],PlayerGameData[STL],0)+PlayerGameData[[#This Row],[VisibleOrder]]</f>
        <v>26</v>
      </c>
      <c r="AV206" s="8">
        <f ca="1">IF(COUNTIF(PlayerGameData[STLOrder],PlayerGameData[[#This Row],[STLOrder]])&gt;1,PlayerGameData[[#This Row],[PointRank]]/100+PlayerGameData[[#This Row],[STLOrder]],PlayerGameData[[#This Row],[STLOrder]])</f>
        <v>26.83</v>
      </c>
      <c r="AW206" s="8">
        <f ca="1">RANK(PlayerGameData[[#This Row],[STLTieBreak]],PlayerGameData[STLTieBreak],1)</f>
        <v>40</v>
      </c>
      <c r="AX206" s="8">
        <f ca="1">RANK(PlayerGameData[[#This Row],[BLK]],PlayerGameData[BLK],0)+PlayerGameData[[#This Row],[VisibleOrder]]</f>
        <v>11</v>
      </c>
      <c r="AY206" s="8">
        <f ca="1">IF(COUNTIF(PlayerGameData[BLKOrder],PlayerGameData[[#This Row],[BLKOrder]])&gt;1,PlayerGameData[[#This Row],[PointRank]]/100+PlayerGameData[[#This Row],[BLKOrder]],PlayerGameData[[#This Row],[BLKOrder]])</f>
        <v>11.83</v>
      </c>
      <c r="AZ206" s="8">
        <f ca="1">RANK(PlayerGameData[[#This Row],[BLKTieBreak]],PlayerGameData[BLKTieBreak],1)</f>
        <v>21</v>
      </c>
      <c r="BA206" s="11">
        <f ca="1">IFERROR(IF(PlayerGameData[[#This Row],[FGA]]&gt;$AA$5,PlayerGameData[[#This Row],[FG%*]],PlayerGameData[[#This Row],[FG%*]]*-1),-2)</f>
        <v>0.27272727272727271</v>
      </c>
      <c r="BB206" s="8">
        <f ca="1">RANK(PlayerGameData[[#This Row],[EligFG]],PlayerGameData[EligFG],0)+PlayerGameData[[#This Row],[VisibleOrder]]</f>
        <v>94</v>
      </c>
      <c r="BC206" s="8">
        <f ca="1">IF(COUNTIF(PlayerGameData[EligFGOrder],PlayerGameData[[#This Row],[EligFGOrder]])&gt;1,PlayerGameData[[#This Row],[PointRank]]/100+PlayerGameData[[#This Row],[EligFGOrder]],PlayerGameData[[#This Row],[EligFGOrder]])</f>
        <v>94.83</v>
      </c>
      <c r="BD206" s="8">
        <f ca="1">RANK(PlayerGameData[[#This Row],[EligFGTieBreak]],PlayerGameData[EligFGTieBreak],1)</f>
        <v>94</v>
      </c>
      <c r="BE206" s="8" t="str">
        <f>Roster!$D$3</f>
        <v>East</v>
      </c>
      <c r="BF206" s="8" t="str">
        <f>Roster!$D$2</f>
        <v>Northeast</v>
      </c>
      <c r="BG206" s="8" t="str">
        <f>Roster!$D$4</f>
        <v>North</v>
      </c>
      <c r="BH206" s="197">
        <f ca="1">IFERROR(VLOOKUP(CONCATENATE(PlayerGameData[[#This Row],[Opponent]]," ",MONTH(PlayerGameData[[#This Row],[Date]]),"/",DAY(PlayerGameData[[#This Row],[Date]]),"/",YEAR(PlayerGameData[[#This Row],[Date]])),Table35[],2,FALSE),0)</f>
        <v>1</v>
      </c>
      <c r="BI206" s="197">
        <f ca="1">IF(PlayerGameData[[#This Row],[Visible]]=1,1,1000)</f>
        <v>1</v>
      </c>
      <c r="BJ206" s="197" t="e">
        <f ca="1">_xlfn.MAXIFS(TeamGameData[Win],TeamGameData[School, Opponent,Game'#],PlayerGameData[[#This Row],[School, Opponent,Game'#]])</f>
        <v>#NAME?</v>
      </c>
      <c r="BK206" s="197" t="e">
        <f ca="1">_xlfn.MAXIFS(TeamGameData[Loss],TeamGameData[School, Opponent,Game'#],PlayerGameData[[#This Row],[School, Opponent,Game'#]])</f>
        <v>#NAME?</v>
      </c>
    </row>
    <row r="207" spans="1:63" x14ac:dyDescent="0.25">
      <c r="A207" s="8" t="str">
        <f t="shared" ca="1" si="123"/>
        <v>Bridger Bruce, 25</v>
      </c>
      <c r="B207" s="8" t="str">
        <f>Roster!$B$1</f>
        <v>Upton</v>
      </c>
      <c r="C207" s="8" t="str">
        <f t="shared" ca="1" si="111"/>
        <v>Faith, SD</v>
      </c>
      <c r="D207" s="10">
        <f t="shared" ca="1" si="112"/>
        <v>44939</v>
      </c>
      <c r="E207" s="8">
        <f t="shared" ca="1" si="113"/>
        <v>1</v>
      </c>
      <c r="F207" s="8">
        <f t="shared" ca="1" si="114"/>
        <v>1</v>
      </c>
      <c r="G207" s="8">
        <f t="shared" ca="1" si="115"/>
        <v>20</v>
      </c>
      <c r="H207" s="8">
        <f t="shared" ca="1" si="116"/>
        <v>0</v>
      </c>
      <c r="I207" s="8">
        <f t="shared" ca="1" si="117"/>
        <v>0</v>
      </c>
      <c r="J207" s="8">
        <f t="shared" ca="1" si="118"/>
        <v>0</v>
      </c>
      <c r="K207" s="8">
        <f t="shared" ca="1" si="119"/>
        <v>1</v>
      </c>
      <c r="L207" s="8">
        <f t="shared" ca="1" si="124"/>
        <v>0</v>
      </c>
      <c r="M207" s="8">
        <f t="shared" ca="1" si="125"/>
        <v>0</v>
      </c>
      <c r="N207" s="8">
        <f t="shared" ca="1" si="126"/>
        <v>2</v>
      </c>
      <c r="O207" s="8">
        <f t="shared" ca="1" si="127"/>
        <v>3</v>
      </c>
      <c r="P207" s="8">
        <f t="shared" ca="1" si="128"/>
        <v>1</v>
      </c>
      <c r="Q207" s="8">
        <f t="shared" ca="1" si="129"/>
        <v>0</v>
      </c>
      <c r="R207" s="8">
        <f t="shared" ca="1" si="130"/>
        <v>0</v>
      </c>
      <c r="S207" s="8">
        <f t="shared" ca="1" si="131"/>
        <v>3</v>
      </c>
      <c r="T207" s="8">
        <f t="shared" ca="1" si="132"/>
        <v>3</v>
      </c>
      <c r="U207" s="8">
        <f t="shared" ca="1" si="133"/>
        <v>0</v>
      </c>
      <c r="V207" s="8">
        <f t="shared" ca="1" si="134"/>
        <v>0</v>
      </c>
      <c r="W207" s="11" t="str">
        <f t="shared" ca="1" si="135"/>
        <v/>
      </c>
      <c r="X207" s="11">
        <f t="shared" ca="1" si="136"/>
        <v>0</v>
      </c>
      <c r="Y207" s="11" t="str">
        <f t="shared" ca="1" si="137"/>
        <v/>
      </c>
      <c r="Z207" s="11">
        <f t="shared" ca="1" si="138"/>
        <v>0</v>
      </c>
      <c r="AA207" s="11">
        <f t="shared" ca="1" si="139"/>
        <v>0</v>
      </c>
      <c r="AB207" s="47">
        <f ca="1">PlayerGameData[[#This Row],[3FGA]]+PlayerGameData[[#This Row],[2FGA]]</f>
        <v>1</v>
      </c>
      <c r="AC207" s="47">
        <f ca="1">PlayerGameData[[#This Row],[OFF REB]]+PlayerGameData[[#This Row],[DEF REB]]</f>
        <v>5</v>
      </c>
      <c r="AD207" s="8">
        <f t="shared" si="120"/>
        <v>9</v>
      </c>
      <c r="AE207" s="8" t="str">
        <f t="shared" ca="1" si="121"/>
        <v>Bridger Bruce, 25 - Faith, SD 1/13/2023</v>
      </c>
      <c r="AF207" s="8" t="str">
        <f t="shared" ca="1" si="140"/>
        <v/>
      </c>
      <c r="AG207" s="8" t="str">
        <f ca="1">IFERROR(IF(C207=0,"",IF(AND(VLOOKUP(PlayerGameData[[#This Row],[Opponent]],WYTeamInfo,2,FALSE)=Roster!$D$1,VLOOKUP(PlayerGameData[[#This Row],[Opponent]],WYTeamInfo,3,FALSE)=Roster!$D$2),"SR","")),"")</f>
        <v/>
      </c>
      <c r="AH207" s="8" t="str">
        <f>CONCATENATE(Roster!$D$1," ",Roster!$D$5)</f>
        <v>1A BB</v>
      </c>
      <c r="AI207" s="8" t="str">
        <f t="shared" ca="1" si="122"/>
        <v>Upton - Faith, SD 1/13/2023</v>
      </c>
      <c r="AJ207" s="8">
        <f ca="1">IFERROR(VLOOKUP(PlayerGameData[[#This Row],[School, Opponent,Game'#]],Table3[],2,FALSE),0)</f>
        <v>1</v>
      </c>
      <c r="AK207" s="8">
        <f ca="1">IF(PlayerGameData[[#This Row],[Visible]]=1,1,1000)</f>
        <v>1</v>
      </c>
      <c r="AL207" s="8">
        <f ca="1">RANK(PlayerGameData[[#This Row],[TL PTS]],PlayerGameData[TL PTS],0)+PlayerGameData[[#This Row],[VisibleOrder]]</f>
        <v>185</v>
      </c>
      <c r="AM207" s="8">
        <f ca="1">IF(COUNTIF(PlayerGameData[PointOrder],PlayerGameData[[#This Row],[PointOrder]])&gt;1,RANK(PlayerGameData[[#This Row],[FGA]],PlayerGameData[FGA],0)/100,0)+PlayerGameData[[#This Row],[PointOrder]]</f>
        <v>186.82</v>
      </c>
      <c r="AN207" s="8">
        <f ca="1">RANK(PlayerGameData[[#This Row],[PointTieBreak]],PlayerGameData[PointTieBreak],1)</f>
        <v>196</v>
      </c>
      <c r="AO207" s="8">
        <f ca="1">RANK(PlayerGameData[[#This Row],[REB]],PlayerGameData[REB],0)+PlayerGameData[[#This Row],[VisibleOrder]]</f>
        <v>52</v>
      </c>
      <c r="AP207" s="8">
        <f ca="1">IF(COUNTIF(PlayerGameData[REBOrder],PlayerGameData[[#This Row],[REBOrder]])&gt;1,PlayerGameData[[#This Row],[PointRank]]/100+PlayerGameData[[#This Row],[REBOrder]],PlayerGameData[[#This Row],[REBOrder]])</f>
        <v>53.96</v>
      </c>
      <c r="AQ207" s="8">
        <f ca="1">RANK(PlayerGameData[[#This Row],[REBTieBreak]],PlayerGameData[REBTieBreak],1)</f>
        <v>76</v>
      </c>
      <c r="AR207" s="8">
        <f ca="1">RANK(PlayerGameData[[#This Row],[AST]],PlayerGameData[AST],0)+PlayerGameData[[#This Row],[VisibleOrder]]</f>
        <v>115</v>
      </c>
      <c r="AS207" s="8">
        <f ca="1">IF(COUNTIF(PlayerGameData[ASTOrder],PlayerGameData[[#This Row],[ASTOrder]])&gt;1,PlayerGameData[[#This Row],[PointRank]]/100+PlayerGameData[[#This Row],[ASTOrder]],PlayerGameData[[#This Row],[ASTOrder]])</f>
        <v>116.96</v>
      </c>
      <c r="AT207" s="8">
        <f ca="1">RANK(PlayerGameData[[#This Row],[ASTTieBreak]],PlayerGameData[ASTTieBreak],1)</f>
        <v>148</v>
      </c>
      <c r="AU207" s="8">
        <f ca="1">RANK(PlayerGameData[[#This Row],[STL]],PlayerGameData[STL],0)+PlayerGameData[[#This Row],[VisibleOrder]]</f>
        <v>143</v>
      </c>
      <c r="AV207" s="8">
        <f ca="1">IF(COUNTIF(PlayerGameData[STLOrder],PlayerGameData[[#This Row],[STLOrder]])&gt;1,PlayerGameData[[#This Row],[PointRank]]/100+PlayerGameData[[#This Row],[STLOrder]],PlayerGameData[[#This Row],[STLOrder]])</f>
        <v>144.96</v>
      </c>
      <c r="AW207" s="8">
        <f ca="1">RANK(PlayerGameData[[#This Row],[STLTieBreak]],PlayerGameData[STLTieBreak],1)</f>
        <v>200</v>
      </c>
      <c r="AX207" s="8">
        <f ca="1">RANK(PlayerGameData[[#This Row],[BLK]],PlayerGameData[BLK],0)+PlayerGameData[[#This Row],[VisibleOrder]]</f>
        <v>32</v>
      </c>
      <c r="AY207" s="8">
        <f ca="1">IF(COUNTIF(PlayerGameData[BLKOrder],PlayerGameData[[#This Row],[BLKOrder]])&gt;1,PlayerGameData[[#This Row],[PointRank]]/100+PlayerGameData[[#This Row],[BLKOrder]],PlayerGameData[[#This Row],[BLKOrder]])</f>
        <v>33.96</v>
      </c>
      <c r="AZ207" s="8">
        <f ca="1">RANK(PlayerGameData[[#This Row],[BLKTieBreak]],PlayerGameData[BLKTieBreak],1)</f>
        <v>196</v>
      </c>
      <c r="BA207" s="11">
        <f ca="1">IFERROR(IF(PlayerGameData[[#This Row],[FGA]]&gt;$AA$5,PlayerGameData[[#This Row],[FG%*]],PlayerGameData[[#This Row],[FG%*]]*-1),-2)</f>
        <v>0</v>
      </c>
      <c r="BB207" s="8">
        <f ca="1">RANK(PlayerGameData[[#This Row],[EligFG]],PlayerGameData[EligFG],0)+PlayerGameData[[#This Row],[VisibleOrder]]</f>
        <v>117</v>
      </c>
      <c r="BC207" s="8">
        <f ca="1">IF(COUNTIF(PlayerGameData[EligFGOrder],PlayerGameData[[#This Row],[EligFGOrder]])&gt;1,PlayerGameData[[#This Row],[PointRank]]/100+PlayerGameData[[#This Row],[EligFGOrder]],PlayerGameData[[#This Row],[EligFGOrder]])</f>
        <v>118.96</v>
      </c>
      <c r="BD207" s="8">
        <f ca="1">RANK(PlayerGameData[[#This Row],[EligFGTieBreak]],PlayerGameData[EligFGTieBreak],1)</f>
        <v>138</v>
      </c>
      <c r="BE207" s="8" t="str">
        <f>Roster!$D$3</f>
        <v>East</v>
      </c>
      <c r="BF207" s="8" t="str">
        <f>Roster!$D$2</f>
        <v>Northeast</v>
      </c>
      <c r="BG207" s="8" t="str">
        <f>Roster!$D$4</f>
        <v>North</v>
      </c>
      <c r="BH207" s="197">
        <f ca="1">IFERROR(VLOOKUP(CONCATENATE(PlayerGameData[[#This Row],[Opponent]]," ",MONTH(PlayerGameData[[#This Row],[Date]]),"/",DAY(PlayerGameData[[#This Row],[Date]]),"/",YEAR(PlayerGameData[[#This Row],[Date]])),Table35[],2,FALSE),0)</f>
        <v>1</v>
      </c>
      <c r="BI207" s="197">
        <f ca="1">IF(PlayerGameData[[#This Row],[Visible]]=1,1,1000)</f>
        <v>1</v>
      </c>
      <c r="BJ207" s="197" t="e">
        <f ca="1">_xlfn.MAXIFS(TeamGameData[Win],TeamGameData[School, Opponent,Game'#],PlayerGameData[[#This Row],[School, Opponent,Game'#]])</f>
        <v>#NAME?</v>
      </c>
      <c r="BK207" s="197" t="e">
        <f ca="1">_xlfn.MAXIFS(TeamGameData[Loss],TeamGameData[School, Opponent,Game'#],PlayerGameData[[#This Row],[School, Opponent,Game'#]])</f>
        <v>#NAME?</v>
      </c>
    </row>
    <row r="208" spans="1:63" x14ac:dyDescent="0.25">
      <c r="A208" s="8" t="str">
        <f t="shared" ca="1" si="123"/>
        <v>Kailer Duarte, 31</v>
      </c>
      <c r="B208" s="8" t="str">
        <f>Roster!$B$1</f>
        <v>Upton</v>
      </c>
      <c r="C208" s="8" t="str">
        <f t="shared" ca="1" si="111"/>
        <v>Faith, SD</v>
      </c>
      <c r="D208" s="10">
        <f t="shared" ca="1" si="112"/>
        <v>44939</v>
      </c>
      <c r="E208" s="8">
        <f t="shared" ca="1" si="113"/>
        <v>1</v>
      </c>
      <c r="F208" s="8">
        <f t="shared" ca="1" si="114"/>
        <v>0</v>
      </c>
      <c r="G208" s="8">
        <f t="shared" ca="1" si="115"/>
        <v>19</v>
      </c>
      <c r="H208" s="8">
        <f t="shared" ca="1" si="116"/>
        <v>0</v>
      </c>
      <c r="I208" s="8">
        <f t="shared" ca="1" si="117"/>
        <v>4</v>
      </c>
      <c r="J208" s="8">
        <f t="shared" ca="1" si="118"/>
        <v>2</v>
      </c>
      <c r="K208" s="8">
        <f t="shared" ca="1" si="119"/>
        <v>5</v>
      </c>
      <c r="L208" s="8">
        <f t="shared" ca="1" si="124"/>
        <v>3</v>
      </c>
      <c r="M208" s="8">
        <f t="shared" ca="1" si="125"/>
        <v>5</v>
      </c>
      <c r="N208" s="8">
        <f t="shared" ca="1" si="126"/>
        <v>5</v>
      </c>
      <c r="O208" s="8">
        <f t="shared" ca="1" si="127"/>
        <v>1</v>
      </c>
      <c r="P208" s="8">
        <f t="shared" ca="1" si="128"/>
        <v>1</v>
      </c>
      <c r="Q208" s="8">
        <f t="shared" ca="1" si="129"/>
        <v>0</v>
      </c>
      <c r="R208" s="8">
        <f t="shared" ca="1" si="130"/>
        <v>0</v>
      </c>
      <c r="S208" s="8">
        <f t="shared" ca="1" si="131"/>
        <v>2</v>
      </c>
      <c r="T208" s="8">
        <f t="shared" ca="1" si="132"/>
        <v>4</v>
      </c>
      <c r="U208" s="8">
        <f t="shared" ca="1" si="133"/>
        <v>0</v>
      </c>
      <c r="V208" s="8">
        <f t="shared" ca="1" si="134"/>
        <v>7</v>
      </c>
      <c r="W208" s="11">
        <f t="shared" ca="1" si="135"/>
        <v>0</v>
      </c>
      <c r="X208" s="11">
        <f t="shared" ca="1" si="136"/>
        <v>0.4</v>
      </c>
      <c r="Y208" s="11">
        <f t="shared" ca="1" si="137"/>
        <v>0.6</v>
      </c>
      <c r="Z208" s="11">
        <f t="shared" ca="1" si="138"/>
        <v>0.22222222222222221</v>
      </c>
      <c r="AA208" s="11">
        <f t="shared" ca="1" si="139"/>
        <v>0.22222222222222221</v>
      </c>
      <c r="AB208" s="47">
        <f ca="1">PlayerGameData[[#This Row],[3FGA]]+PlayerGameData[[#This Row],[2FGA]]</f>
        <v>9</v>
      </c>
      <c r="AC208" s="47">
        <f ca="1">PlayerGameData[[#This Row],[OFF REB]]+PlayerGameData[[#This Row],[DEF REB]]</f>
        <v>6</v>
      </c>
      <c r="AD208" s="8">
        <f t="shared" si="120"/>
        <v>9</v>
      </c>
      <c r="AE208" s="8" t="str">
        <f t="shared" ca="1" si="121"/>
        <v>Kailer Duarte, 31 - Faith, SD 1/13/2023</v>
      </c>
      <c r="AF208" s="8" t="str">
        <f t="shared" ca="1" si="140"/>
        <v/>
      </c>
      <c r="AG208" s="8" t="str">
        <f ca="1">IFERROR(IF(C208=0,"",IF(AND(VLOOKUP(PlayerGameData[[#This Row],[Opponent]],WYTeamInfo,2,FALSE)=Roster!$D$1,VLOOKUP(PlayerGameData[[#This Row],[Opponent]],WYTeamInfo,3,FALSE)=Roster!$D$2),"SR","")),"")</f>
        <v/>
      </c>
      <c r="AH208" s="8" t="str">
        <f>CONCATENATE(Roster!$D$1," ",Roster!$D$5)</f>
        <v>1A BB</v>
      </c>
      <c r="AI208" s="8" t="str">
        <f t="shared" ca="1" si="122"/>
        <v>Upton - Faith, SD 1/13/2023</v>
      </c>
      <c r="AJ208" s="8">
        <f ca="1">IFERROR(VLOOKUP(PlayerGameData[[#This Row],[School, Opponent,Game'#]],Table3[],2,FALSE),0)</f>
        <v>1</v>
      </c>
      <c r="AK208" s="8">
        <f ca="1">IF(PlayerGameData[[#This Row],[Visible]]=1,1,1000)</f>
        <v>1</v>
      </c>
      <c r="AL208" s="8">
        <f ca="1">RANK(PlayerGameData[[#This Row],[TL PTS]],PlayerGameData[TL PTS],0)+PlayerGameData[[#This Row],[VisibleOrder]]</f>
        <v>94</v>
      </c>
      <c r="AM208" s="8">
        <f ca="1">IF(COUNTIF(PlayerGameData[PointOrder],PlayerGameData[[#This Row],[PointOrder]])&gt;1,RANK(PlayerGameData[[#This Row],[FGA]],PlayerGameData[FGA],0)/100,0)+PlayerGameData[[#This Row],[PointOrder]]</f>
        <v>94.59</v>
      </c>
      <c r="AN208" s="8">
        <f ca="1">RANK(PlayerGameData[[#This Row],[PointTieBreak]],PlayerGameData[PointTieBreak],1)</f>
        <v>95</v>
      </c>
      <c r="AO208" s="8">
        <f ca="1">RANK(PlayerGameData[[#This Row],[REB]],PlayerGameData[REB],0)+PlayerGameData[[#This Row],[VisibleOrder]]</f>
        <v>38</v>
      </c>
      <c r="AP208" s="8">
        <f ca="1">IF(COUNTIF(PlayerGameData[REBOrder],PlayerGameData[[#This Row],[REBOrder]])&gt;1,PlayerGameData[[#This Row],[PointRank]]/100+PlayerGameData[[#This Row],[REBOrder]],PlayerGameData[[#This Row],[REBOrder]])</f>
        <v>38.950000000000003</v>
      </c>
      <c r="AQ208" s="8">
        <f ca="1">RANK(PlayerGameData[[#This Row],[REBTieBreak]],PlayerGameData[REBTieBreak],1)</f>
        <v>46</v>
      </c>
      <c r="AR208" s="8">
        <f ca="1">RANK(PlayerGameData[[#This Row],[AST]],PlayerGameData[AST],0)+PlayerGameData[[#This Row],[VisibleOrder]]</f>
        <v>115</v>
      </c>
      <c r="AS208" s="8">
        <f ca="1">IF(COUNTIF(PlayerGameData[ASTOrder],PlayerGameData[[#This Row],[ASTOrder]])&gt;1,PlayerGameData[[#This Row],[PointRank]]/100+PlayerGameData[[#This Row],[ASTOrder]],PlayerGameData[[#This Row],[ASTOrder]])</f>
        <v>115.95</v>
      </c>
      <c r="AT208" s="8">
        <f ca="1">RANK(PlayerGameData[[#This Row],[ASTTieBreak]],PlayerGameData[ASTTieBreak],1)</f>
        <v>127</v>
      </c>
      <c r="AU208" s="8">
        <f ca="1">RANK(PlayerGameData[[#This Row],[STL]],PlayerGameData[STL],0)+PlayerGameData[[#This Row],[VisibleOrder]]</f>
        <v>143</v>
      </c>
      <c r="AV208" s="8">
        <f ca="1">IF(COUNTIF(PlayerGameData[STLOrder],PlayerGameData[[#This Row],[STLOrder]])&gt;1,PlayerGameData[[#This Row],[PointRank]]/100+PlayerGameData[[#This Row],[STLOrder]],PlayerGameData[[#This Row],[STLOrder]])</f>
        <v>143.94999999999999</v>
      </c>
      <c r="AW208" s="8">
        <f ca="1">RANK(PlayerGameData[[#This Row],[STLTieBreak]],PlayerGameData[STLTieBreak],1)</f>
        <v>155</v>
      </c>
      <c r="AX208" s="8">
        <f ca="1">RANK(PlayerGameData[[#This Row],[BLK]],PlayerGameData[BLK],0)+PlayerGameData[[#This Row],[VisibleOrder]]</f>
        <v>32</v>
      </c>
      <c r="AY208" s="8">
        <f ca="1">IF(COUNTIF(PlayerGameData[BLKOrder],PlayerGameData[[#This Row],[BLKOrder]])&gt;1,PlayerGameData[[#This Row],[PointRank]]/100+PlayerGameData[[#This Row],[BLKOrder]],PlayerGameData[[#This Row],[BLKOrder]])</f>
        <v>32.950000000000003</v>
      </c>
      <c r="AZ208" s="8">
        <f ca="1">RANK(PlayerGameData[[#This Row],[BLKTieBreak]],PlayerGameData[BLKTieBreak],1)</f>
        <v>103</v>
      </c>
      <c r="BA208" s="11">
        <f ca="1">IFERROR(IF(PlayerGameData[[#This Row],[FGA]]&gt;$AA$5,PlayerGameData[[#This Row],[FG%*]],PlayerGameData[[#This Row],[FG%*]]*-1),-2)</f>
        <v>0.22222222222222221</v>
      </c>
      <c r="BB208" s="8">
        <f ca="1">RANK(PlayerGameData[[#This Row],[EligFG]],PlayerGameData[EligFG],0)+PlayerGameData[[#This Row],[VisibleOrder]]</f>
        <v>105</v>
      </c>
      <c r="BC208" s="8">
        <f ca="1">IF(COUNTIF(PlayerGameData[EligFGOrder],PlayerGameData[[#This Row],[EligFGOrder]])&gt;1,PlayerGameData[[#This Row],[PointRank]]/100+PlayerGameData[[#This Row],[EligFGOrder]],PlayerGameData[[#This Row],[EligFGOrder]])</f>
        <v>105.95</v>
      </c>
      <c r="BD208" s="8">
        <f ca="1">RANK(PlayerGameData[[#This Row],[EligFGTieBreak]],PlayerGameData[EligFGTieBreak],1)</f>
        <v>104</v>
      </c>
      <c r="BE208" s="8" t="str">
        <f>Roster!$D$3</f>
        <v>East</v>
      </c>
      <c r="BF208" s="8" t="str">
        <f>Roster!$D$2</f>
        <v>Northeast</v>
      </c>
      <c r="BG208" s="8" t="str">
        <f>Roster!$D$4</f>
        <v>North</v>
      </c>
      <c r="BH208" s="197">
        <f ca="1">IFERROR(VLOOKUP(CONCATENATE(PlayerGameData[[#This Row],[Opponent]]," ",MONTH(PlayerGameData[[#This Row],[Date]]),"/",DAY(PlayerGameData[[#This Row],[Date]]),"/",YEAR(PlayerGameData[[#This Row],[Date]])),Table35[],2,FALSE),0)</f>
        <v>1</v>
      </c>
      <c r="BI208" s="197">
        <f ca="1">IF(PlayerGameData[[#This Row],[Visible]]=1,1,1000)</f>
        <v>1</v>
      </c>
      <c r="BJ208" s="197" t="e">
        <f ca="1">_xlfn.MAXIFS(TeamGameData[Win],TeamGameData[School, Opponent,Game'#],PlayerGameData[[#This Row],[School, Opponent,Game'#]])</f>
        <v>#NAME?</v>
      </c>
      <c r="BK208" s="197" t="e">
        <f ca="1">_xlfn.MAXIFS(TeamGameData[Loss],TeamGameData[School, Opponent,Game'#],PlayerGameData[[#This Row],[School, Opponent,Game'#]])</f>
        <v>#NAME?</v>
      </c>
    </row>
    <row r="209" spans="1:63" x14ac:dyDescent="0.25">
      <c r="A209" s="8" t="str">
        <f t="shared" ca="1" si="123"/>
        <v>Matt Stirmel, 33</v>
      </c>
      <c r="B209" s="8" t="str">
        <f>Roster!$B$1</f>
        <v>Upton</v>
      </c>
      <c r="C209" s="8" t="str">
        <f t="shared" ca="1" si="111"/>
        <v>Faith, SD</v>
      </c>
      <c r="D209" s="10">
        <f t="shared" ca="1" si="112"/>
        <v>44939</v>
      </c>
      <c r="E209" s="8">
        <f t="shared" ca="1" si="113"/>
        <v>1</v>
      </c>
      <c r="F209" s="8">
        <f t="shared" ca="1" si="114"/>
        <v>0</v>
      </c>
      <c r="G209" s="8">
        <f t="shared" ca="1" si="115"/>
        <v>1</v>
      </c>
      <c r="H209" s="8">
        <f t="shared" ca="1" si="116"/>
        <v>0</v>
      </c>
      <c r="I209" s="8">
        <f t="shared" ca="1" si="117"/>
        <v>0</v>
      </c>
      <c r="J209" s="8">
        <f t="shared" ca="1" si="118"/>
        <v>0</v>
      </c>
      <c r="K209" s="8">
        <f t="shared" ca="1" si="119"/>
        <v>0</v>
      </c>
      <c r="L209" s="8">
        <f t="shared" ca="1" si="124"/>
        <v>0</v>
      </c>
      <c r="M209" s="8">
        <f t="shared" ca="1" si="125"/>
        <v>2</v>
      </c>
      <c r="N209" s="8">
        <f t="shared" ca="1" si="126"/>
        <v>1</v>
      </c>
      <c r="O209" s="8">
        <f t="shared" ca="1" si="127"/>
        <v>0</v>
      </c>
      <c r="P209" s="8">
        <f t="shared" ca="1" si="128"/>
        <v>0</v>
      </c>
      <c r="Q209" s="8">
        <f t="shared" ca="1" si="129"/>
        <v>0</v>
      </c>
      <c r="R209" s="8">
        <f t="shared" ca="1" si="130"/>
        <v>0</v>
      </c>
      <c r="S209" s="8">
        <f t="shared" ca="1" si="131"/>
        <v>0</v>
      </c>
      <c r="T209" s="8">
        <f t="shared" ca="1" si="132"/>
        <v>0</v>
      </c>
      <c r="U209" s="8">
        <f t="shared" ca="1" si="133"/>
        <v>0</v>
      </c>
      <c r="V209" s="8">
        <f t="shared" ca="1" si="134"/>
        <v>0</v>
      </c>
      <c r="W209" s="11" t="str">
        <f t="shared" ca="1" si="135"/>
        <v/>
      </c>
      <c r="X209" s="11" t="str">
        <f t="shared" ca="1" si="136"/>
        <v/>
      </c>
      <c r="Y209" s="11">
        <f t="shared" ca="1" si="137"/>
        <v>0</v>
      </c>
      <c r="Z209" s="11" t="str">
        <f t="shared" ca="1" si="138"/>
        <v/>
      </c>
      <c r="AA209" s="11" t="str">
        <f t="shared" ca="1" si="139"/>
        <v/>
      </c>
      <c r="AB209" s="47">
        <f ca="1">PlayerGameData[[#This Row],[3FGA]]+PlayerGameData[[#This Row],[2FGA]]</f>
        <v>0</v>
      </c>
      <c r="AC209" s="47">
        <f ca="1">PlayerGameData[[#This Row],[OFF REB]]+PlayerGameData[[#This Row],[DEF REB]]</f>
        <v>1</v>
      </c>
      <c r="AD209" s="8">
        <f t="shared" si="120"/>
        <v>9</v>
      </c>
      <c r="AE209" s="8" t="str">
        <f t="shared" ca="1" si="121"/>
        <v>Matt Stirmel, 33 - Faith, SD 1/13/2023</v>
      </c>
      <c r="AF209" s="8" t="str">
        <f t="shared" ca="1" si="140"/>
        <v/>
      </c>
      <c r="AG209" s="8" t="str">
        <f ca="1">IFERROR(IF(C209=0,"",IF(AND(VLOOKUP(PlayerGameData[[#This Row],[Opponent]],WYTeamInfo,2,FALSE)=Roster!$D$1,VLOOKUP(PlayerGameData[[#This Row],[Opponent]],WYTeamInfo,3,FALSE)=Roster!$D$2),"SR","")),"")</f>
        <v/>
      </c>
      <c r="AH209" s="8" t="str">
        <f>CONCATENATE(Roster!$D$1," ",Roster!$D$5)</f>
        <v>1A BB</v>
      </c>
      <c r="AI209" s="8" t="str">
        <f t="shared" ca="1" si="122"/>
        <v>Upton - Faith, SD 1/13/2023</v>
      </c>
      <c r="AJ209" s="8">
        <f ca="1">IFERROR(VLOOKUP(PlayerGameData[[#This Row],[School, Opponent,Game'#]],Table3[],2,FALSE),0)</f>
        <v>1</v>
      </c>
      <c r="AK209" s="8">
        <f ca="1">IF(PlayerGameData[[#This Row],[Visible]]=1,1,1000)</f>
        <v>1</v>
      </c>
      <c r="AL209" s="8">
        <f ca="1">RANK(PlayerGameData[[#This Row],[TL PTS]],PlayerGameData[TL PTS],0)+PlayerGameData[[#This Row],[VisibleOrder]]</f>
        <v>185</v>
      </c>
      <c r="AM209" s="8">
        <f ca="1">IF(COUNTIF(PlayerGameData[PointOrder],PlayerGameData[[#This Row],[PointOrder]])&gt;1,RANK(PlayerGameData[[#This Row],[FGA]],PlayerGameData[FGA],0)/100,0)+PlayerGameData[[#This Row],[PointOrder]]</f>
        <v>187.14</v>
      </c>
      <c r="AN209" s="8">
        <f ca="1">RANK(PlayerGameData[[#This Row],[PointTieBreak]],PlayerGameData[PointTieBreak],1)</f>
        <v>216</v>
      </c>
      <c r="AO209" s="8">
        <f ca="1">RANK(PlayerGameData[[#This Row],[REB]],PlayerGameData[REB],0)+PlayerGameData[[#This Row],[VisibleOrder]]</f>
        <v>163</v>
      </c>
      <c r="AP209" s="8">
        <f ca="1">IF(COUNTIF(PlayerGameData[REBOrder],PlayerGameData[[#This Row],[REBOrder]])&gt;1,PlayerGameData[[#This Row],[PointRank]]/100+PlayerGameData[[#This Row],[REBOrder]],PlayerGameData[[#This Row],[REBOrder]])</f>
        <v>165.16</v>
      </c>
      <c r="AQ209" s="8">
        <f ca="1">RANK(PlayerGameData[[#This Row],[REBTieBreak]],PlayerGameData[REBTieBreak],1)</f>
        <v>185</v>
      </c>
      <c r="AR209" s="8">
        <f ca="1">RANK(PlayerGameData[[#This Row],[AST]],PlayerGameData[AST],0)+PlayerGameData[[#This Row],[VisibleOrder]]</f>
        <v>158</v>
      </c>
      <c r="AS209" s="8">
        <f ca="1">IF(COUNTIF(PlayerGameData[ASTOrder],PlayerGameData[[#This Row],[ASTOrder]])&gt;1,PlayerGameData[[#This Row],[PointRank]]/100+PlayerGameData[[#This Row],[ASTOrder]],PlayerGameData[[#This Row],[ASTOrder]])</f>
        <v>160.16</v>
      </c>
      <c r="AT209" s="8">
        <f ca="1">RANK(PlayerGameData[[#This Row],[ASTTieBreak]],PlayerGameData[ASTTieBreak],1)</f>
        <v>221</v>
      </c>
      <c r="AU209" s="8">
        <f ca="1">RANK(PlayerGameData[[#This Row],[STL]],PlayerGameData[STL],0)+PlayerGameData[[#This Row],[VisibleOrder]]</f>
        <v>143</v>
      </c>
      <c r="AV209" s="8">
        <f ca="1">IF(COUNTIF(PlayerGameData[STLOrder],PlayerGameData[[#This Row],[STLOrder]])&gt;1,PlayerGameData[[#This Row],[PointRank]]/100+PlayerGameData[[#This Row],[STLOrder]],PlayerGameData[[#This Row],[STLOrder]])</f>
        <v>145.16</v>
      </c>
      <c r="AW209" s="8">
        <f ca="1">RANK(PlayerGameData[[#This Row],[STLTieBreak]],PlayerGameData[STLTieBreak],1)</f>
        <v>217</v>
      </c>
      <c r="AX209" s="8">
        <f ca="1">RANK(PlayerGameData[[#This Row],[BLK]],PlayerGameData[BLK],0)+PlayerGameData[[#This Row],[VisibleOrder]]</f>
        <v>32</v>
      </c>
      <c r="AY209" s="8">
        <f ca="1">IF(COUNTIF(PlayerGameData[BLKOrder],PlayerGameData[[#This Row],[BLKOrder]])&gt;1,PlayerGameData[[#This Row],[PointRank]]/100+PlayerGameData[[#This Row],[BLKOrder]],PlayerGameData[[#This Row],[BLKOrder]])</f>
        <v>34.159999999999997</v>
      </c>
      <c r="AZ209" s="8">
        <f ca="1">RANK(PlayerGameData[[#This Row],[BLKTieBreak]],PlayerGameData[BLKTieBreak],1)</f>
        <v>216</v>
      </c>
      <c r="BA209" s="11">
        <f ca="1">IFERROR(IF(PlayerGameData[[#This Row],[FGA]]&gt;$AA$5,PlayerGameData[[#This Row],[FG%*]],PlayerGameData[[#This Row],[FG%*]]*-1),-2)</f>
        <v>-2</v>
      </c>
      <c r="BB209" s="8">
        <f ca="1">RANK(PlayerGameData[[#This Row],[EligFG]],PlayerGameData[EligFG],0)+PlayerGameData[[#This Row],[VisibleOrder]]</f>
        <v>215</v>
      </c>
      <c r="BC209" s="8">
        <f ca="1">IF(COUNTIF(PlayerGameData[EligFGOrder],PlayerGameData[[#This Row],[EligFGOrder]])&gt;1,PlayerGameData[[#This Row],[PointRank]]/100+PlayerGameData[[#This Row],[EligFGOrder]],PlayerGameData[[#This Row],[EligFGOrder]])</f>
        <v>217.16</v>
      </c>
      <c r="BD209" s="8">
        <f ca="1">RANK(PlayerGameData[[#This Row],[EligFGTieBreak]],PlayerGameData[EligFGTieBreak],1)</f>
        <v>216</v>
      </c>
      <c r="BE209" s="8" t="str">
        <f>Roster!$D$3</f>
        <v>East</v>
      </c>
      <c r="BF209" s="8" t="str">
        <f>Roster!$D$2</f>
        <v>Northeast</v>
      </c>
      <c r="BG209" s="8" t="str">
        <f>Roster!$D$4</f>
        <v>North</v>
      </c>
      <c r="BH209" s="197">
        <f ca="1">IFERROR(VLOOKUP(CONCATENATE(PlayerGameData[[#This Row],[Opponent]]," ",MONTH(PlayerGameData[[#This Row],[Date]]),"/",DAY(PlayerGameData[[#This Row],[Date]]),"/",YEAR(PlayerGameData[[#This Row],[Date]])),Table35[],2,FALSE),0)</f>
        <v>1</v>
      </c>
      <c r="BI209" s="197">
        <f ca="1">IF(PlayerGameData[[#This Row],[Visible]]=1,1,1000)</f>
        <v>1</v>
      </c>
      <c r="BJ209" s="197" t="e">
        <f ca="1">_xlfn.MAXIFS(TeamGameData[Win],TeamGameData[School, Opponent,Game'#],PlayerGameData[[#This Row],[School, Opponent,Game'#]])</f>
        <v>#NAME?</v>
      </c>
      <c r="BK209" s="197" t="e">
        <f ca="1">_xlfn.MAXIFS(TeamGameData[Loss],TeamGameData[School, Opponent,Game'#],PlayerGameData[[#This Row],[School, Opponent,Game'#]])</f>
        <v>#NAME?</v>
      </c>
    </row>
    <row r="210" spans="1:63" x14ac:dyDescent="0.25">
      <c r="A210" s="8" t="str">
        <f t="shared" ca="1" si="123"/>
        <v>Jacob McNutt, 34</v>
      </c>
      <c r="B210" s="8" t="str">
        <f>Roster!$B$1</f>
        <v>Upton</v>
      </c>
      <c r="C210" s="8" t="str">
        <f t="shared" ca="1" si="111"/>
        <v>Faith, SD</v>
      </c>
      <c r="D210" s="10">
        <f t="shared" ca="1" si="112"/>
        <v>44939</v>
      </c>
      <c r="E210" s="8">
        <f t="shared" ca="1" si="113"/>
        <v>1</v>
      </c>
      <c r="F210" s="8">
        <f t="shared" ca="1" si="114"/>
        <v>0</v>
      </c>
      <c r="G210" s="8">
        <f t="shared" ca="1" si="115"/>
        <v>1</v>
      </c>
      <c r="H210" s="8">
        <f t="shared" ca="1" si="116"/>
        <v>0</v>
      </c>
      <c r="I210" s="8">
        <f t="shared" ca="1" si="117"/>
        <v>0</v>
      </c>
      <c r="J210" s="8">
        <f t="shared" ca="1" si="118"/>
        <v>0</v>
      </c>
      <c r="K210" s="8">
        <f t="shared" ca="1" si="119"/>
        <v>0</v>
      </c>
      <c r="L210" s="8">
        <f t="shared" ca="1" si="124"/>
        <v>0</v>
      </c>
      <c r="M210" s="8">
        <f t="shared" ca="1" si="125"/>
        <v>0</v>
      </c>
      <c r="N210" s="8">
        <f t="shared" ca="1" si="126"/>
        <v>0</v>
      </c>
      <c r="O210" s="8">
        <f t="shared" ca="1" si="127"/>
        <v>0</v>
      </c>
      <c r="P210" s="8">
        <f t="shared" ca="1" si="128"/>
        <v>0</v>
      </c>
      <c r="Q210" s="8">
        <f t="shared" ca="1" si="129"/>
        <v>0</v>
      </c>
      <c r="R210" s="8">
        <f t="shared" ca="1" si="130"/>
        <v>0</v>
      </c>
      <c r="S210" s="8">
        <f t="shared" ca="1" si="131"/>
        <v>0</v>
      </c>
      <c r="T210" s="8">
        <f t="shared" ca="1" si="132"/>
        <v>0</v>
      </c>
      <c r="U210" s="8">
        <f t="shared" ca="1" si="133"/>
        <v>0</v>
      </c>
      <c r="V210" s="8">
        <f t="shared" ca="1" si="134"/>
        <v>0</v>
      </c>
      <c r="W210" s="11" t="str">
        <f t="shared" ca="1" si="135"/>
        <v/>
      </c>
      <c r="X210" s="11" t="str">
        <f t="shared" ca="1" si="136"/>
        <v/>
      </c>
      <c r="Y210" s="11" t="str">
        <f t="shared" ca="1" si="137"/>
        <v/>
      </c>
      <c r="Z210" s="11" t="str">
        <f t="shared" ca="1" si="138"/>
        <v/>
      </c>
      <c r="AA210" s="11" t="str">
        <f t="shared" ca="1" si="139"/>
        <v/>
      </c>
      <c r="AB210" s="47">
        <f ca="1">PlayerGameData[[#This Row],[3FGA]]+PlayerGameData[[#This Row],[2FGA]]</f>
        <v>0</v>
      </c>
      <c r="AC210" s="47">
        <f ca="1">PlayerGameData[[#This Row],[OFF REB]]+PlayerGameData[[#This Row],[DEF REB]]</f>
        <v>0</v>
      </c>
      <c r="AD210" s="8">
        <f t="shared" si="120"/>
        <v>9</v>
      </c>
      <c r="AE210" s="8" t="str">
        <f t="shared" ca="1" si="121"/>
        <v>Jacob McNutt, 34 - Faith, SD 1/13/2023</v>
      </c>
      <c r="AF210" s="8" t="str">
        <f t="shared" ca="1" si="140"/>
        <v/>
      </c>
      <c r="AG210" s="8" t="str">
        <f ca="1">IFERROR(IF(C210=0,"",IF(AND(VLOOKUP(PlayerGameData[[#This Row],[Opponent]],WYTeamInfo,2,FALSE)=Roster!$D$1,VLOOKUP(PlayerGameData[[#This Row],[Opponent]],WYTeamInfo,3,FALSE)=Roster!$D$2),"SR","")),"")</f>
        <v/>
      </c>
      <c r="AH210" s="8" t="str">
        <f>CONCATENATE(Roster!$D$1," ",Roster!$D$5)</f>
        <v>1A BB</v>
      </c>
      <c r="AI210" s="8" t="str">
        <f t="shared" ca="1" si="122"/>
        <v>Upton - Faith, SD 1/13/2023</v>
      </c>
      <c r="AJ210" s="8">
        <f ca="1">IFERROR(VLOOKUP(PlayerGameData[[#This Row],[School, Opponent,Game'#]],Table3[],2,FALSE),0)</f>
        <v>1</v>
      </c>
      <c r="AK210" s="8">
        <f ca="1">IF(PlayerGameData[[#This Row],[Visible]]=1,1,1000)</f>
        <v>1</v>
      </c>
      <c r="AL210" s="8">
        <f ca="1">RANK(PlayerGameData[[#This Row],[TL PTS]],PlayerGameData[TL PTS],0)+PlayerGameData[[#This Row],[VisibleOrder]]</f>
        <v>185</v>
      </c>
      <c r="AM210" s="8">
        <f ca="1">IF(COUNTIF(PlayerGameData[PointOrder],PlayerGameData[[#This Row],[PointOrder]])&gt;1,RANK(PlayerGameData[[#This Row],[FGA]],PlayerGameData[FGA],0)/100,0)+PlayerGameData[[#This Row],[PointOrder]]</f>
        <v>187.14</v>
      </c>
      <c r="AN210" s="8">
        <f ca="1">RANK(PlayerGameData[[#This Row],[PointTieBreak]],PlayerGameData[PointTieBreak],1)</f>
        <v>216</v>
      </c>
      <c r="AO210" s="8">
        <f ca="1">RANK(PlayerGameData[[#This Row],[REB]],PlayerGameData[REB],0)+PlayerGameData[[#This Row],[VisibleOrder]]</f>
        <v>192</v>
      </c>
      <c r="AP210" s="8">
        <f ca="1">IF(COUNTIF(PlayerGameData[REBOrder],PlayerGameData[[#This Row],[REBOrder]])&gt;1,PlayerGameData[[#This Row],[PointRank]]/100+PlayerGameData[[#This Row],[REBOrder]],PlayerGameData[[#This Row],[REBOrder]])</f>
        <v>194.16</v>
      </c>
      <c r="AQ210" s="8">
        <f ca="1">RANK(PlayerGameData[[#This Row],[REBTieBreak]],PlayerGameData[REBTieBreak],1)</f>
        <v>224</v>
      </c>
      <c r="AR210" s="8">
        <f ca="1">RANK(PlayerGameData[[#This Row],[AST]],PlayerGameData[AST],0)+PlayerGameData[[#This Row],[VisibleOrder]]</f>
        <v>158</v>
      </c>
      <c r="AS210" s="8">
        <f ca="1">IF(COUNTIF(PlayerGameData[ASTOrder],PlayerGameData[[#This Row],[ASTOrder]])&gt;1,PlayerGameData[[#This Row],[PointRank]]/100+PlayerGameData[[#This Row],[ASTOrder]],PlayerGameData[[#This Row],[ASTOrder]])</f>
        <v>160.16</v>
      </c>
      <c r="AT210" s="8">
        <f ca="1">RANK(PlayerGameData[[#This Row],[ASTTieBreak]],PlayerGameData[ASTTieBreak],1)</f>
        <v>221</v>
      </c>
      <c r="AU210" s="8">
        <f ca="1">RANK(PlayerGameData[[#This Row],[STL]],PlayerGameData[STL],0)+PlayerGameData[[#This Row],[VisibleOrder]]</f>
        <v>143</v>
      </c>
      <c r="AV210" s="8">
        <f ca="1">IF(COUNTIF(PlayerGameData[STLOrder],PlayerGameData[[#This Row],[STLOrder]])&gt;1,PlayerGameData[[#This Row],[PointRank]]/100+PlayerGameData[[#This Row],[STLOrder]],PlayerGameData[[#This Row],[STLOrder]])</f>
        <v>145.16</v>
      </c>
      <c r="AW210" s="8">
        <f ca="1">RANK(PlayerGameData[[#This Row],[STLTieBreak]],PlayerGameData[STLTieBreak],1)</f>
        <v>217</v>
      </c>
      <c r="AX210" s="8">
        <f ca="1">RANK(PlayerGameData[[#This Row],[BLK]],PlayerGameData[BLK],0)+PlayerGameData[[#This Row],[VisibleOrder]]</f>
        <v>32</v>
      </c>
      <c r="AY210" s="8">
        <f ca="1">IF(COUNTIF(PlayerGameData[BLKOrder],PlayerGameData[[#This Row],[BLKOrder]])&gt;1,PlayerGameData[[#This Row],[PointRank]]/100+PlayerGameData[[#This Row],[BLKOrder]],PlayerGameData[[#This Row],[BLKOrder]])</f>
        <v>34.159999999999997</v>
      </c>
      <c r="AZ210" s="8">
        <f ca="1">RANK(PlayerGameData[[#This Row],[BLKTieBreak]],PlayerGameData[BLKTieBreak],1)</f>
        <v>216</v>
      </c>
      <c r="BA210" s="11">
        <f ca="1">IFERROR(IF(PlayerGameData[[#This Row],[FGA]]&gt;$AA$5,PlayerGameData[[#This Row],[FG%*]],PlayerGameData[[#This Row],[FG%*]]*-1),-2)</f>
        <v>-2</v>
      </c>
      <c r="BB210" s="8">
        <f ca="1">RANK(PlayerGameData[[#This Row],[EligFG]],PlayerGameData[EligFG],0)+PlayerGameData[[#This Row],[VisibleOrder]]</f>
        <v>215</v>
      </c>
      <c r="BC210" s="8">
        <f ca="1">IF(COUNTIF(PlayerGameData[EligFGOrder],PlayerGameData[[#This Row],[EligFGOrder]])&gt;1,PlayerGameData[[#This Row],[PointRank]]/100+PlayerGameData[[#This Row],[EligFGOrder]],PlayerGameData[[#This Row],[EligFGOrder]])</f>
        <v>217.16</v>
      </c>
      <c r="BD210" s="8">
        <f ca="1">RANK(PlayerGameData[[#This Row],[EligFGTieBreak]],PlayerGameData[EligFGTieBreak],1)</f>
        <v>216</v>
      </c>
      <c r="BE210" s="8" t="str">
        <f>Roster!$D$3</f>
        <v>East</v>
      </c>
      <c r="BF210" s="8" t="str">
        <f>Roster!$D$2</f>
        <v>Northeast</v>
      </c>
      <c r="BG210" s="8" t="str">
        <f>Roster!$D$4</f>
        <v>North</v>
      </c>
      <c r="BH210" s="197">
        <f ca="1">IFERROR(VLOOKUP(CONCATENATE(PlayerGameData[[#This Row],[Opponent]]," ",MONTH(PlayerGameData[[#This Row],[Date]]),"/",DAY(PlayerGameData[[#This Row],[Date]]),"/",YEAR(PlayerGameData[[#This Row],[Date]])),Table35[],2,FALSE),0)</f>
        <v>1</v>
      </c>
      <c r="BI210" s="197">
        <f ca="1">IF(PlayerGameData[[#This Row],[Visible]]=1,1,1000)</f>
        <v>1</v>
      </c>
      <c r="BJ210" s="197" t="e">
        <f ca="1">_xlfn.MAXIFS(TeamGameData[Win],TeamGameData[School, Opponent,Game'#],PlayerGameData[[#This Row],[School, Opponent,Game'#]])</f>
        <v>#NAME?</v>
      </c>
      <c r="BK210" s="197" t="e">
        <f ca="1">_xlfn.MAXIFS(TeamGameData[Loss],TeamGameData[School, Opponent,Game'#],PlayerGameData[[#This Row],[School, Opponent,Game'#]])</f>
        <v>#NAME?</v>
      </c>
    </row>
    <row r="211" spans="1:63" x14ac:dyDescent="0.25">
      <c r="A211" s="8" t="str">
        <f t="shared" ca="1" si="123"/>
        <v>Ryan Baker, 35</v>
      </c>
      <c r="B211" s="8" t="str">
        <f>Roster!$B$1</f>
        <v>Upton</v>
      </c>
      <c r="C211" s="8" t="str">
        <f t="shared" ca="1" si="111"/>
        <v>Faith, SD</v>
      </c>
      <c r="D211" s="10">
        <f t="shared" ca="1" si="112"/>
        <v>44939</v>
      </c>
      <c r="E211" s="8">
        <f t="shared" ca="1" si="113"/>
        <v>1</v>
      </c>
      <c r="F211" s="8">
        <f t="shared" ca="1" si="114"/>
        <v>0</v>
      </c>
      <c r="G211" s="8">
        <f t="shared" ca="1" si="115"/>
        <v>7</v>
      </c>
      <c r="H211" s="8">
        <f t="shared" ca="1" si="116"/>
        <v>0</v>
      </c>
      <c r="I211" s="8">
        <f t="shared" ca="1" si="117"/>
        <v>0</v>
      </c>
      <c r="J211" s="8">
        <f t="shared" ca="1" si="118"/>
        <v>0</v>
      </c>
      <c r="K211" s="8">
        <f t="shared" ca="1" si="119"/>
        <v>1</v>
      </c>
      <c r="L211" s="8">
        <f t="shared" ca="1" si="124"/>
        <v>1</v>
      </c>
      <c r="M211" s="8">
        <f t="shared" ca="1" si="125"/>
        <v>2</v>
      </c>
      <c r="N211" s="8">
        <f t="shared" ca="1" si="126"/>
        <v>0</v>
      </c>
      <c r="O211" s="8">
        <f t="shared" ca="1" si="127"/>
        <v>0</v>
      </c>
      <c r="P211" s="8">
        <f t="shared" ca="1" si="128"/>
        <v>0</v>
      </c>
      <c r="Q211" s="8">
        <f t="shared" ca="1" si="129"/>
        <v>0</v>
      </c>
      <c r="R211" s="8">
        <f t="shared" ca="1" si="130"/>
        <v>0</v>
      </c>
      <c r="S211" s="8">
        <f t="shared" ca="1" si="131"/>
        <v>0</v>
      </c>
      <c r="T211" s="8">
        <f t="shared" ca="1" si="132"/>
        <v>1</v>
      </c>
      <c r="U211" s="8">
        <f t="shared" ca="1" si="133"/>
        <v>0</v>
      </c>
      <c r="V211" s="8">
        <f t="shared" ca="1" si="134"/>
        <v>1</v>
      </c>
      <c r="W211" s="11" t="str">
        <f t="shared" ca="1" si="135"/>
        <v/>
      </c>
      <c r="X211" s="11">
        <f t="shared" ca="1" si="136"/>
        <v>0</v>
      </c>
      <c r="Y211" s="11">
        <f t="shared" ca="1" si="137"/>
        <v>0.5</v>
      </c>
      <c r="Z211" s="11">
        <f t="shared" ca="1" si="138"/>
        <v>0</v>
      </c>
      <c r="AA211" s="11">
        <f t="shared" ca="1" si="139"/>
        <v>0</v>
      </c>
      <c r="AB211" s="47">
        <f ca="1">PlayerGameData[[#This Row],[3FGA]]+PlayerGameData[[#This Row],[2FGA]]</f>
        <v>1</v>
      </c>
      <c r="AC211" s="47">
        <f ca="1">PlayerGameData[[#This Row],[OFF REB]]+PlayerGameData[[#This Row],[DEF REB]]</f>
        <v>0</v>
      </c>
      <c r="AD211" s="8">
        <f t="shared" si="120"/>
        <v>9</v>
      </c>
      <c r="AE211" s="8" t="str">
        <f t="shared" ca="1" si="121"/>
        <v>Ryan Baker, 35 - Faith, SD 1/13/2023</v>
      </c>
      <c r="AF211" s="8" t="str">
        <f t="shared" ca="1" si="140"/>
        <v/>
      </c>
      <c r="AG211" s="8" t="str">
        <f ca="1">IFERROR(IF(C211=0,"",IF(AND(VLOOKUP(PlayerGameData[[#This Row],[Opponent]],WYTeamInfo,2,FALSE)=Roster!$D$1,VLOOKUP(PlayerGameData[[#This Row],[Opponent]],WYTeamInfo,3,FALSE)=Roster!$D$2),"SR","")),"")</f>
        <v/>
      </c>
      <c r="AH211" s="8" t="str">
        <f>CONCATENATE(Roster!$D$1," ",Roster!$D$5)</f>
        <v>1A BB</v>
      </c>
      <c r="AI211" s="8" t="str">
        <f t="shared" ca="1" si="122"/>
        <v>Upton - Faith, SD 1/13/2023</v>
      </c>
      <c r="AJ211" s="8">
        <f ca="1">IFERROR(VLOOKUP(PlayerGameData[[#This Row],[School, Opponent,Game'#]],Table3[],2,FALSE),0)</f>
        <v>1</v>
      </c>
      <c r="AK211" s="8">
        <f ca="1">IF(PlayerGameData[[#This Row],[Visible]]=1,1,1000)</f>
        <v>1</v>
      </c>
      <c r="AL211" s="8">
        <f ca="1">RANK(PlayerGameData[[#This Row],[TL PTS]],PlayerGameData[TL PTS],0)+PlayerGameData[[#This Row],[VisibleOrder]]</f>
        <v>176</v>
      </c>
      <c r="AM211" s="8">
        <f ca="1">IF(COUNTIF(PlayerGameData[PointOrder],PlayerGameData[[#This Row],[PointOrder]])&gt;1,RANK(PlayerGameData[[#This Row],[FGA]],PlayerGameData[FGA],0)/100,0)+PlayerGameData[[#This Row],[PointOrder]]</f>
        <v>177.82</v>
      </c>
      <c r="AN211" s="8">
        <f ca="1">RANK(PlayerGameData[[#This Row],[PointTieBreak]],PlayerGameData[PointTieBreak],1)</f>
        <v>180</v>
      </c>
      <c r="AO211" s="8">
        <f ca="1">RANK(PlayerGameData[[#This Row],[REB]],PlayerGameData[REB],0)+PlayerGameData[[#This Row],[VisibleOrder]]</f>
        <v>192</v>
      </c>
      <c r="AP211" s="8">
        <f ca="1">IF(COUNTIF(PlayerGameData[REBOrder],PlayerGameData[[#This Row],[REBOrder]])&gt;1,PlayerGameData[[#This Row],[PointRank]]/100+PlayerGameData[[#This Row],[REBOrder]],PlayerGameData[[#This Row],[REBOrder]])</f>
        <v>193.8</v>
      </c>
      <c r="AQ211" s="8">
        <f ca="1">RANK(PlayerGameData[[#This Row],[REBTieBreak]],PlayerGameData[REBTieBreak],1)</f>
        <v>207</v>
      </c>
      <c r="AR211" s="8">
        <f ca="1">RANK(PlayerGameData[[#This Row],[AST]],PlayerGameData[AST],0)+PlayerGameData[[#This Row],[VisibleOrder]]</f>
        <v>158</v>
      </c>
      <c r="AS211" s="8">
        <f ca="1">IF(COUNTIF(PlayerGameData[ASTOrder],PlayerGameData[[#This Row],[ASTOrder]])&gt;1,PlayerGameData[[#This Row],[PointRank]]/100+PlayerGameData[[#This Row],[ASTOrder]],PlayerGameData[[#This Row],[ASTOrder]])</f>
        <v>159.80000000000001</v>
      </c>
      <c r="AT211" s="8">
        <f ca="1">RANK(PlayerGameData[[#This Row],[ASTTieBreak]],PlayerGameData[ASTTieBreak],1)</f>
        <v>196</v>
      </c>
      <c r="AU211" s="8">
        <f ca="1">RANK(PlayerGameData[[#This Row],[STL]],PlayerGameData[STL],0)+PlayerGameData[[#This Row],[VisibleOrder]]</f>
        <v>143</v>
      </c>
      <c r="AV211" s="8">
        <f ca="1">IF(COUNTIF(PlayerGameData[STLOrder],PlayerGameData[[#This Row],[STLOrder]])&gt;1,PlayerGameData[[#This Row],[PointRank]]/100+PlayerGameData[[#This Row],[STLOrder]],PlayerGameData[[#This Row],[STLOrder]])</f>
        <v>144.80000000000001</v>
      </c>
      <c r="AW211" s="8">
        <f ca="1">RANK(PlayerGameData[[#This Row],[STLTieBreak]],PlayerGameData[STLTieBreak],1)</f>
        <v>190</v>
      </c>
      <c r="AX211" s="8">
        <f ca="1">RANK(PlayerGameData[[#This Row],[BLK]],PlayerGameData[BLK],0)+PlayerGameData[[#This Row],[VisibleOrder]]</f>
        <v>32</v>
      </c>
      <c r="AY211" s="8">
        <f ca="1">IF(COUNTIF(PlayerGameData[BLKOrder],PlayerGameData[[#This Row],[BLKOrder]])&gt;1,PlayerGameData[[#This Row],[PointRank]]/100+PlayerGameData[[#This Row],[BLKOrder]],PlayerGameData[[#This Row],[BLKOrder]])</f>
        <v>33.799999999999997</v>
      </c>
      <c r="AZ211" s="8">
        <f ca="1">RANK(PlayerGameData[[#This Row],[BLKTieBreak]],PlayerGameData[BLKTieBreak],1)</f>
        <v>181</v>
      </c>
      <c r="BA211" s="11">
        <f ca="1">IFERROR(IF(PlayerGameData[[#This Row],[FGA]]&gt;$AA$5,PlayerGameData[[#This Row],[FG%*]],PlayerGameData[[#This Row],[FG%*]]*-1),-2)</f>
        <v>0</v>
      </c>
      <c r="BB211" s="8">
        <f ca="1">RANK(PlayerGameData[[#This Row],[EligFG]],PlayerGameData[EligFG],0)+PlayerGameData[[#This Row],[VisibleOrder]]</f>
        <v>117</v>
      </c>
      <c r="BC211" s="8">
        <f ca="1">IF(COUNTIF(PlayerGameData[EligFGOrder],PlayerGameData[[#This Row],[EligFGOrder]])&gt;1,PlayerGameData[[#This Row],[PointRank]]/100+PlayerGameData[[#This Row],[EligFGOrder]],PlayerGameData[[#This Row],[EligFGOrder]])</f>
        <v>118.8</v>
      </c>
      <c r="BD211" s="8">
        <f ca="1">RANK(PlayerGameData[[#This Row],[EligFGTieBreak]],PlayerGameData[EligFGTieBreak],1)</f>
        <v>123</v>
      </c>
      <c r="BE211" s="8" t="str">
        <f>Roster!$D$3</f>
        <v>East</v>
      </c>
      <c r="BF211" s="8" t="str">
        <f>Roster!$D$2</f>
        <v>Northeast</v>
      </c>
      <c r="BG211" s="8" t="str">
        <f>Roster!$D$4</f>
        <v>North</v>
      </c>
      <c r="BH211" s="197">
        <f ca="1">IFERROR(VLOOKUP(CONCATENATE(PlayerGameData[[#This Row],[Opponent]]," ",MONTH(PlayerGameData[[#This Row],[Date]]),"/",DAY(PlayerGameData[[#This Row],[Date]]),"/",YEAR(PlayerGameData[[#This Row],[Date]])),Table35[],2,FALSE),0)</f>
        <v>1</v>
      </c>
      <c r="BI211" s="197">
        <f ca="1">IF(PlayerGameData[[#This Row],[Visible]]=1,1,1000)</f>
        <v>1</v>
      </c>
      <c r="BJ211" s="197" t="e">
        <f ca="1">_xlfn.MAXIFS(TeamGameData[Win],TeamGameData[School, Opponent,Game'#],PlayerGameData[[#This Row],[School, Opponent,Game'#]])</f>
        <v>#NAME?</v>
      </c>
      <c r="BK211" s="197" t="e">
        <f ca="1">_xlfn.MAXIFS(TeamGameData[Loss],TeamGameData[School, Opponent,Game'#],PlayerGameData[[#This Row],[School, Opponent,Game'#]])</f>
        <v>#NAME?</v>
      </c>
    </row>
    <row r="212" spans="1:63" x14ac:dyDescent="0.25">
      <c r="A212" s="8" t="str">
        <f t="shared" ca="1" si="123"/>
        <v xml:space="preserve">, </v>
      </c>
      <c r="B212" s="8" t="str">
        <f>Roster!$B$1</f>
        <v>Upton</v>
      </c>
      <c r="C212" s="8" t="str">
        <f t="shared" ca="1" si="111"/>
        <v>Faith, SD</v>
      </c>
      <c r="D212" s="10">
        <f t="shared" ca="1" si="112"/>
        <v>44939</v>
      </c>
      <c r="E212" s="8">
        <f t="shared" ca="1" si="113"/>
        <v>0</v>
      </c>
      <c r="F212" s="8">
        <f t="shared" ca="1" si="114"/>
        <v>0</v>
      </c>
      <c r="G212" s="8">
        <f t="shared" ca="1" si="115"/>
        <v>0</v>
      </c>
      <c r="H212" s="8">
        <f t="shared" ca="1" si="116"/>
        <v>0</v>
      </c>
      <c r="I212" s="8">
        <f t="shared" ca="1" si="117"/>
        <v>0</v>
      </c>
      <c r="J212" s="8">
        <f t="shared" ca="1" si="118"/>
        <v>0</v>
      </c>
      <c r="K212" s="8">
        <f t="shared" ca="1" si="119"/>
        <v>0</v>
      </c>
      <c r="L212" s="8">
        <f t="shared" ca="1" si="124"/>
        <v>0</v>
      </c>
      <c r="M212" s="8">
        <f t="shared" ca="1" si="125"/>
        <v>0</v>
      </c>
      <c r="N212" s="8">
        <f t="shared" ca="1" si="126"/>
        <v>0</v>
      </c>
      <c r="O212" s="8">
        <f t="shared" ca="1" si="127"/>
        <v>0</v>
      </c>
      <c r="P212" s="8">
        <f t="shared" ca="1" si="128"/>
        <v>0</v>
      </c>
      <c r="Q212" s="8">
        <f t="shared" ca="1" si="129"/>
        <v>0</v>
      </c>
      <c r="R212" s="8">
        <f t="shared" ca="1" si="130"/>
        <v>0</v>
      </c>
      <c r="S212" s="8">
        <f t="shared" ca="1" si="131"/>
        <v>0</v>
      </c>
      <c r="T212" s="8">
        <f t="shared" ca="1" si="132"/>
        <v>0</v>
      </c>
      <c r="U212" s="8">
        <f t="shared" ca="1" si="133"/>
        <v>0</v>
      </c>
      <c r="V212" s="8">
        <f t="shared" ca="1" si="134"/>
        <v>0</v>
      </c>
      <c r="W212" s="11" t="str">
        <f t="shared" ca="1" si="135"/>
        <v/>
      </c>
      <c r="X212" s="11" t="str">
        <f t="shared" ca="1" si="136"/>
        <v/>
      </c>
      <c r="Y212" s="11" t="str">
        <f t="shared" ca="1" si="137"/>
        <v/>
      </c>
      <c r="Z212" s="11" t="str">
        <f t="shared" ca="1" si="138"/>
        <v/>
      </c>
      <c r="AA212" s="11" t="str">
        <f t="shared" ca="1" si="139"/>
        <v/>
      </c>
      <c r="AB212" s="47">
        <f ca="1">PlayerGameData[[#This Row],[3FGA]]+PlayerGameData[[#This Row],[2FGA]]</f>
        <v>0</v>
      </c>
      <c r="AC212" s="47">
        <f ca="1">PlayerGameData[[#This Row],[OFF REB]]+PlayerGameData[[#This Row],[DEF REB]]</f>
        <v>0</v>
      </c>
      <c r="AD212" s="8">
        <f t="shared" si="120"/>
        <v>9</v>
      </c>
      <c r="AE212" s="8" t="str">
        <f t="shared" ca="1" si="121"/>
        <v>,  - Faith, SD 1/13/2023</v>
      </c>
      <c r="AF212" s="8" t="str">
        <f t="shared" ca="1" si="140"/>
        <v/>
      </c>
      <c r="AG212" s="8" t="str">
        <f ca="1">IFERROR(IF(C212=0,"",IF(AND(VLOOKUP(PlayerGameData[[#This Row],[Opponent]],WYTeamInfo,2,FALSE)=Roster!$D$1,VLOOKUP(PlayerGameData[[#This Row],[Opponent]],WYTeamInfo,3,FALSE)=Roster!$D$2),"SR","")),"")</f>
        <v/>
      </c>
      <c r="AH212" s="8" t="str">
        <f>CONCATENATE(Roster!$D$1," ",Roster!$D$5)</f>
        <v>1A BB</v>
      </c>
      <c r="AI212" s="8" t="str">
        <f t="shared" ca="1" si="122"/>
        <v>Upton - Faith, SD 1/13/2023</v>
      </c>
      <c r="AJ212" s="8">
        <f ca="1">IFERROR(VLOOKUP(PlayerGameData[[#This Row],[School, Opponent,Game'#]],Table3[],2,FALSE),0)</f>
        <v>1</v>
      </c>
      <c r="AK212" s="8">
        <f ca="1">IF(PlayerGameData[[#This Row],[Visible]]=1,1,1000)</f>
        <v>1</v>
      </c>
      <c r="AL212" s="8">
        <f ca="1">RANK(PlayerGameData[[#This Row],[TL PTS]],PlayerGameData[TL PTS],0)+PlayerGameData[[#This Row],[VisibleOrder]]</f>
        <v>185</v>
      </c>
      <c r="AM212" s="8">
        <f ca="1">IF(COUNTIF(PlayerGameData[PointOrder],PlayerGameData[[#This Row],[PointOrder]])&gt;1,RANK(PlayerGameData[[#This Row],[FGA]],PlayerGameData[FGA],0)/100,0)+PlayerGameData[[#This Row],[PointOrder]]</f>
        <v>187.14</v>
      </c>
      <c r="AN212" s="8">
        <f ca="1">RANK(PlayerGameData[[#This Row],[PointTieBreak]],PlayerGameData[PointTieBreak],1)</f>
        <v>216</v>
      </c>
      <c r="AO212" s="8">
        <f ca="1">RANK(PlayerGameData[[#This Row],[REB]],PlayerGameData[REB],0)+PlayerGameData[[#This Row],[VisibleOrder]]</f>
        <v>192</v>
      </c>
      <c r="AP212" s="8">
        <f ca="1">IF(COUNTIF(PlayerGameData[REBOrder],PlayerGameData[[#This Row],[REBOrder]])&gt;1,PlayerGameData[[#This Row],[PointRank]]/100+PlayerGameData[[#This Row],[REBOrder]],PlayerGameData[[#This Row],[REBOrder]])</f>
        <v>194.16</v>
      </c>
      <c r="AQ212" s="8">
        <f ca="1">RANK(PlayerGameData[[#This Row],[REBTieBreak]],PlayerGameData[REBTieBreak],1)</f>
        <v>224</v>
      </c>
      <c r="AR212" s="8">
        <f ca="1">RANK(PlayerGameData[[#This Row],[AST]],PlayerGameData[AST],0)+PlayerGameData[[#This Row],[VisibleOrder]]</f>
        <v>158</v>
      </c>
      <c r="AS212" s="8">
        <f ca="1">IF(COUNTIF(PlayerGameData[ASTOrder],PlayerGameData[[#This Row],[ASTOrder]])&gt;1,PlayerGameData[[#This Row],[PointRank]]/100+PlayerGameData[[#This Row],[ASTOrder]],PlayerGameData[[#This Row],[ASTOrder]])</f>
        <v>160.16</v>
      </c>
      <c r="AT212" s="8">
        <f ca="1">RANK(PlayerGameData[[#This Row],[ASTTieBreak]],PlayerGameData[ASTTieBreak],1)</f>
        <v>221</v>
      </c>
      <c r="AU212" s="8">
        <f ca="1">RANK(PlayerGameData[[#This Row],[STL]],PlayerGameData[STL],0)+PlayerGameData[[#This Row],[VisibleOrder]]</f>
        <v>143</v>
      </c>
      <c r="AV212" s="8">
        <f ca="1">IF(COUNTIF(PlayerGameData[STLOrder],PlayerGameData[[#This Row],[STLOrder]])&gt;1,PlayerGameData[[#This Row],[PointRank]]/100+PlayerGameData[[#This Row],[STLOrder]],PlayerGameData[[#This Row],[STLOrder]])</f>
        <v>145.16</v>
      </c>
      <c r="AW212" s="8">
        <f ca="1">RANK(PlayerGameData[[#This Row],[STLTieBreak]],PlayerGameData[STLTieBreak],1)</f>
        <v>217</v>
      </c>
      <c r="AX212" s="8">
        <f ca="1">RANK(PlayerGameData[[#This Row],[BLK]],PlayerGameData[BLK],0)+PlayerGameData[[#This Row],[VisibleOrder]]</f>
        <v>32</v>
      </c>
      <c r="AY212" s="8">
        <f ca="1">IF(COUNTIF(PlayerGameData[BLKOrder],PlayerGameData[[#This Row],[BLKOrder]])&gt;1,PlayerGameData[[#This Row],[PointRank]]/100+PlayerGameData[[#This Row],[BLKOrder]],PlayerGameData[[#This Row],[BLKOrder]])</f>
        <v>34.159999999999997</v>
      </c>
      <c r="AZ212" s="8">
        <f ca="1">RANK(PlayerGameData[[#This Row],[BLKTieBreak]],PlayerGameData[BLKTieBreak],1)</f>
        <v>216</v>
      </c>
      <c r="BA212" s="11">
        <f ca="1">IFERROR(IF(PlayerGameData[[#This Row],[FGA]]&gt;$AA$5,PlayerGameData[[#This Row],[FG%*]],PlayerGameData[[#This Row],[FG%*]]*-1),-2)</f>
        <v>-2</v>
      </c>
      <c r="BB212" s="8">
        <f ca="1">RANK(PlayerGameData[[#This Row],[EligFG]],PlayerGameData[EligFG],0)+PlayerGameData[[#This Row],[VisibleOrder]]</f>
        <v>215</v>
      </c>
      <c r="BC212" s="8">
        <f ca="1">IF(COUNTIF(PlayerGameData[EligFGOrder],PlayerGameData[[#This Row],[EligFGOrder]])&gt;1,PlayerGameData[[#This Row],[PointRank]]/100+PlayerGameData[[#This Row],[EligFGOrder]],PlayerGameData[[#This Row],[EligFGOrder]])</f>
        <v>217.16</v>
      </c>
      <c r="BD212" s="8">
        <f ca="1">RANK(PlayerGameData[[#This Row],[EligFGTieBreak]],PlayerGameData[EligFGTieBreak],1)</f>
        <v>216</v>
      </c>
      <c r="BE212" s="8" t="str">
        <f>Roster!$D$3</f>
        <v>East</v>
      </c>
      <c r="BF212" s="8" t="str">
        <f>Roster!$D$2</f>
        <v>Northeast</v>
      </c>
      <c r="BG212" s="8" t="str">
        <f>Roster!$D$4</f>
        <v>North</v>
      </c>
      <c r="BH212" s="197">
        <f ca="1">IFERROR(VLOOKUP(CONCATENATE(PlayerGameData[[#This Row],[Opponent]]," ",MONTH(PlayerGameData[[#This Row],[Date]]),"/",DAY(PlayerGameData[[#This Row],[Date]]),"/",YEAR(PlayerGameData[[#This Row],[Date]])),Table35[],2,FALSE),0)</f>
        <v>1</v>
      </c>
      <c r="BI212" s="197">
        <f ca="1">IF(PlayerGameData[[#This Row],[Visible]]=1,1,1000)</f>
        <v>1</v>
      </c>
      <c r="BJ212" s="197" t="e">
        <f ca="1">_xlfn.MAXIFS(TeamGameData[Win],TeamGameData[School, Opponent,Game'#],PlayerGameData[[#This Row],[School, Opponent,Game'#]])</f>
        <v>#NAME?</v>
      </c>
      <c r="BK212" s="197" t="e">
        <f ca="1">_xlfn.MAXIFS(TeamGameData[Loss],TeamGameData[School, Opponent,Game'#],PlayerGameData[[#This Row],[School, Opponent,Game'#]])</f>
        <v>#NAME?</v>
      </c>
    </row>
    <row r="213" spans="1:63" x14ac:dyDescent="0.25">
      <c r="A213" s="8" t="str">
        <f t="shared" ca="1" si="123"/>
        <v xml:space="preserve">, </v>
      </c>
      <c r="B213" s="8" t="str">
        <f>Roster!$B$1</f>
        <v>Upton</v>
      </c>
      <c r="C213" s="8" t="str">
        <f t="shared" ca="1" si="111"/>
        <v>Faith, SD</v>
      </c>
      <c r="D213" s="10">
        <f t="shared" ca="1" si="112"/>
        <v>44939</v>
      </c>
      <c r="E213" s="8">
        <f t="shared" ca="1" si="113"/>
        <v>0</v>
      </c>
      <c r="F213" s="8">
        <f t="shared" ca="1" si="114"/>
        <v>0</v>
      </c>
      <c r="G213" s="8">
        <f t="shared" ca="1" si="115"/>
        <v>0</v>
      </c>
      <c r="H213" s="8">
        <f t="shared" ca="1" si="116"/>
        <v>0</v>
      </c>
      <c r="I213" s="8">
        <f t="shared" ca="1" si="117"/>
        <v>0</v>
      </c>
      <c r="J213" s="8">
        <f t="shared" ca="1" si="118"/>
        <v>0</v>
      </c>
      <c r="K213" s="8">
        <f t="shared" ca="1" si="119"/>
        <v>0</v>
      </c>
      <c r="L213" s="8">
        <f t="shared" ca="1" si="124"/>
        <v>0</v>
      </c>
      <c r="M213" s="8">
        <f t="shared" ca="1" si="125"/>
        <v>0</v>
      </c>
      <c r="N213" s="8">
        <f t="shared" ca="1" si="126"/>
        <v>0</v>
      </c>
      <c r="O213" s="8">
        <f t="shared" ca="1" si="127"/>
        <v>0</v>
      </c>
      <c r="P213" s="8">
        <f t="shared" ca="1" si="128"/>
        <v>0</v>
      </c>
      <c r="Q213" s="8">
        <f t="shared" ca="1" si="129"/>
        <v>0</v>
      </c>
      <c r="R213" s="8">
        <f t="shared" ca="1" si="130"/>
        <v>0</v>
      </c>
      <c r="S213" s="8">
        <f t="shared" ca="1" si="131"/>
        <v>0</v>
      </c>
      <c r="T213" s="8">
        <f t="shared" ca="1" si="132"/>
        <v>0</v>
      </c>
      <c r="U213" s="8">
        <f t="shared" ca="1" si="133"/>
        <v>0</v>
      </c>
      <c r="V213" s="8">
        <f t="shared" ca="1" si="134"/>
        <v>0</v>
      </c>
      <c r="W213" s="11" t="str">
        <f t="shared" ca="1" si="135"/>
        <v/>
      </c>
      <c r="X213" s="11" t="str">
        <f t="shared" ca="1" si="136"/>
        <v/>
      </c>
      <c r="Y213" s="11" t="str">
        <f t="shared" ca="1" si="137"/>
        <v/>
      </c>
      <c r="Z213" s="11" t="str">
        <f t="shared" ca="1" si="138"/>
        <v/>
      </c>
      <c r="AA213" s="11" t="str">
        <f t="shared" ca="1" si="139"/>
        <v/>
      </c>
      <c r="AB213" s="47">
        <f ca="1">PlayerGameData[[#This Row],[3FGA]]+PlayerGameData[[#This Row],[2FGA]]</f>
        <v>0</v>
      </c>
      <c r="AC213" s="47">
        <f ca="1">PlayerGameData[[#This Row],[OFF REB]]+PlayerGameData[[#This Row],[DEF REB]]</f>
        <v>0</v>
      </c>
      <c r="AD213" s="8">
        <f t="shared" si="120"/>
        <v>9</v>
      </c>
      <c r="AE213" s="8" t="str">
        <f t="shared" ca="1" si="121"/>
        <v>,  - Faith, SD 1/13/2023</v>
      </c>
      <c r="AF213" s="8" t="str">
        <f t="shared" ca="1" si="140"/>
        <v/>
      </c>
      <c r="AG213" s="8" t="str">
        <f ca="1">IFERROR(IF(C213=0,"",IF(AND(VLOOKUP(PlayerGameData[[#This Row],[Opponent]],WYTeamInfo,2,FALSE)=Roster!$D$1,VLOOKUP(PlayerGameData[[#This Row],[Opponent]],WYTeamInfo,3,FALSE)=Roster!$D$2),"SR","")),"")</f>
        <v/>
      </c>
      <c r="AH213" s="8" t="str">
        <f>CONCATENATE(Roster!$D$1," ",Roster!$D$5)</f>
        <v>1A BB</v>
      </c>
      <c r="AI213" s="8" t="str">
        <f t="shared" ca="1" si="122"/>
        <v>Upton - Faith, SD 1/13/2023</v>
      </c>
      <c r="AJ213" s="8">
        <f ca="1">IFERROR(VLOOKUP(PlayerGameData[[#This Row],[School, Opponent,Game'#]],Table3[],2,FALSE),0)</f>
        <v>1</v>
      </c>
      <c r="AK213" s="8">
        <f ca="1">IF(PlayerGameData[[#This Row],[Visible]]=1,1,1000)</f>
        <v>1</v>
      </c>
      <c r="AL213" s="8">
        <f ca="1">RANK(PlayerGameData[[#This Row],[TL PTS]],PlayerGameData[TL PTS],0)+PlayerGameData[[#This Row],[VisibleOrder]]</f>
        <v>185</v>
      </c>
      <c r="AM213" s="8">
        <f ca="1">IF(COUNTIF(PlayerGameData[PointOrder],PlayerGameData[[#This Row],[PointOrder]])&gt;1,RANK(PlayerGameData[[#This Row],[FGA]],PlayerGameData[FGA],0)/100,0)+PlayerGameData[[#This Row],[PointOrder]]</f>
        <v>187.14</v>
      </c>
      <c r="AN213" s="8">
        <f ca="1">RANK(PlayerGameData[[#This Row],[PointTieBreak]],PlayerGameData[PointTieBreak],1)</f>
        <v>216</v>
      </c>
      <c r="AO213" s="8">
        <f ca="1">RANK(PlayerGameData[[#This Row],[REB]],PlayerGameData[REB],0)+PlayerGameData[[#This Row],[VisibleOrder]]</f>
        <v>192</v>
      </c>
      <c r="AP213" s="8">
        <f ca="1">IF(COUNTIF(PlayerGameData[REBOrder],PlayerGameData[[#This Row],[REBOrder]])&gt;1,PlayerGameData[[#This Row],[PointRank]]/100+PlayerGameData[[#This Row],[REBOrder]],PlayerGameData[[#This Row],[REBOrder]])</f>
        <v>194.16</v>
      </c>
      <c r="AQ213" s="8">
        <f ca="1">RANK(PlayerGameData[[#This Row],[REBTieBreak]],PlayerGameData[REBTieBreak],1)</f>
        <v>224</v>
      </c>
      <c r="AR213" s="8">
        <f ca="1">RANK(PlayerGameData[[#This Row],[AST]],PlayerGameData[AST],0)+PlayerGameData[[#This Row],[VisibleOrder]]</f>
        <v>158</v>
      </c>
      <c r="AS213" s="8">
        <f ca="1">IF(COUNTIF(PlayerGameData[ASTOrder],PlayerGameData[[#This Row],[ASTOrder]])&gt;1,PlayerGameData[[#This Row],[PointRank]]/100+PlayerGameData[[#This Row],[ASTOrder]],PlayerGameData[[#This Row],[ASTOrder]])</f>
        <v>160.16</v>
      </c>
      <c r="AT213" s="8">
        <f ca="1">RANK(PlayerGameData[[#This Row],[ASTTieBreak]],PlayerGameData[ASTTieBreak],1)</f>
        <v>221</v>
      </c>
      <c r="AU213" s="8">
        <f ca="1">RANK(PlayerGameData[[#This Row],[STL]],PlayerGameData[STL],0)+PlayerGameData[[#This Row],[VisibleOrder]]</f>
        <v>143</v>
      </c>
      <c r="AV213" s="8">
        <f ca="1">IF(COUNTIF(PlayerGameData[STLOrder],PlayerGameData[[#This Row],[STLOrder]])&gt;1,PlayerGameData[[#This Row],[PointRank]]/100+PlayerGameData[[#This Row],[STLOrder]],PlayerGameData[[#This Row],[STLOrder]])</f>
        <v>145.16</v>
      </c>
      <c r="AW213" s="8">
        <f ca="1">RANK(PlayerGameData[[#This Row],[STLTieBreak]],PlayerGameData[STLTieBreak],1)</f>
        <v>217</v>
      </c>
      <c r="AX213" s="8">
        <f ca="1">RANK(PlayerGameData[[#This Row],[BLK]],PlayerGameData[BLK],0)+PlayerGameData[[#This Row],[VisibleOrder]]</f>
        <v>32</v>
      </c>
      <c r="AY213" s="8">
        <f ca="1">IF(COUNTIF(PlayerGameData[BLKOrder],PlayerGameData[[#This Row],[BLKOrder]])&gt;1,PlayerGameData[[#This Row],[PointRank]]/100+PlayerGameData[[#This Row],[BLKOrder]],PlayerGameData[[#This Row],[BLKOrder]])</f>
        <v>34.159999999999997</v>
      </c>
      <c r="AZ213" s="8">
        <f ca="1">RANK(PlayerGameData[[#This Row],[BLKTieBreak]],PlayerGameData[BLKTieBreak],1)</f>
        <v>216</v>
      </c>
      <c r="BA213" s="11">
        <f ca="1">IFERROR(IF(PlayerGameData[[#This Row],[FGA]]&gt;$AA$5,PlayerGameData[[#This Row],[FG%*]],PlayerGameData[[#This Row],[FG%*]]*-1),-2)</f>
        <v>-2</v>
      </c>
      <c r="BB213" s="8">
        <f ca="1">RANK(PlayerGameData[[#This Row],[EligFG]],PlayerGameData[EligFG],0)+PlayerGameData[[#This Row],[VisibleOrder]]</f>
        <v>215</v>
      </c>
      <c r="BC213" s="8">
        <f ca="1">IF(COUNTIF(PlayerGameData[EligFGOrder],PlayerGameData[[#This Row],[EligFGOrder]])&gt;1,PlayerGameData[[#This Row],[PointRank]]/100+PlayerGameData[[#This Row],[EligFGOrder]],PlayerGameData[[#This Row],[EligFGOrder]])</f>
        <v>217.16</v>
      </c>
      <c r="BD213" s="8">
        <f ca="1">RANK(PlayerGameData[[#This Row],[EligFGTieBreak]],PlayerGameData[EligFGTieBreak],1)</f>
        <v>216</v>
      </c>
      <c r="BE213" s="8" t="str">
        <f>Roster!$D$3</f>
        <v>East</v>
      </c>
      <c r="BF213" s="8" t="str">
        <f>Roster!$D$2</f>
        <v>Northeast</v>
      </c>
      <c r="BG213" s="8" t="str">
        <f>Roster!$D$4</f>
        <v>North</v>
      </c>
      <c r="BH213" s="197">
        <f ca="1">IFERROR(VLOOKUP(CONCATENATE(PlayerGameData[[#This Row],[Opponent]]," ",MONTH(PlayerGameData[[#This Row],[Date]]),"/",DAY(PlayerGameData[[#This Row],[Date]]),"/",YEAR(PlayerGameData[[#This Row],[Date]])),Table35[],2,FALSE),0)</f>
        <v>1</v>
      </c>
      <c r="BI213" s="197">
        <f ca="1">IF(PlayerGameData[[#This Row],[Visible]]=1,1,1000)</f>
        <v>1</v>
      </c>
      <c r="BJ213" s="197" t="e">
        <f ca="1">_xlfn.MAXIFS(TeamGameData[Win],TeamGameData[School, Opponent,Game'#],PlayerGameData[[#This Row],[School, Opponent,Game'#]])</f>
        <v>#NAME?</v>
      </c>
      <c r="BK213" s="197" t="e">
        <f ca="1">_xlfn.MAXIFS(TeamGameData[Loss],TeamGameData[School, Opponent,Game'#],PlayerGameData[[#This Row],[School, Opponent,Game'#]])</f>
        <v>#NAME?</v>
      </c>
    </row>
    <row r="214" spans="1:63" x14ac:dyDescent="0.25">
      <c r="A214" s="8" t="str">
        <f t="shared" ca="1" si="123"/>
        <v xml:space="preserve">, </v>
      </c>
      <c r="B214" s="8" t="str">
        <f>Roster!$B$1</f>
        <v>Upton</v>
      </c>
      <c r="C214" s="8" t="str">
        <f t="shared" ca="1" si="111"/>
        <v>Faith, SD</v>
      </c>
      <c r="D214" s="10">
        <f t="shared" ca="1" si="112"/>
        <v>44939</v>
      </c>
      <c r="E214" s="8">
        <f t="shared" ca="1" si="113"/>
        <v>0</v>
      </c>
      <c r="F214" s="8">
        <f t="shared" ca="1" si="114"/>
        <v>0</v>
      </c>
      <c r="G214" s="8">
        <f t="shared" ca="1" si="115"/>
        <v>0</v>
      </c>
      <c r="H214" s="8">
        <f t="shared" ca="1" si="116"/>
        <v>0</v>
      </c>
      <c r="I214" s="8">
        <f t="shared" ca="1" si="117"/>
        <v>0</v>
      </c>
      <c r="J214" s="8">
        <f t="shared" ca="1" si="118"/>
        <v>0</v>
      </c>
      <c r="K214" s="8">
        <f t="shared" ca="1" si="119"/>
        <v>0</v>
      </c>
      <c r="L214" s="8">
        <f t="shared" ca="1" si="124"/>
        <v>0</v>
      </c>
      <c r="M214" s="8">
        <f t="shared" ca="1" si="125"/>
        <v>0</v>
      </c>
      <c r="N214" s="8">
        <f t="shared" ca="1" si="126"/>
        <v>0</v>
      </c>
      <c r="O214" s="8">
        <f t="shared" ca="1" si="127"/>
        <v>0</v>
      </c>
      <c r="P214" s="8">
        <f t="shared" ca="1" si="128"/>
        <v>0</v>
      </c>
      <c r="Q214" s="8">
        <f t="shared" ca="1" si="129"/>
        <v>0</v>
      </c>
      <c r="R214" s="8">
        <f t="shared" ca="1" si="130"/>
        <v>0</v>
      </c>
      <c r="S214" s="8">
        <f t="shared" ca="1" si="131"/>
        <v>0</v>
      </c>
      <c r="T214" s="8">
        <f t="shared" ca="1" si="132"/>
        <v>0</v>
      </c>
      <c r="U214" s="8">
        <f t="shared" ca="1" si="133"/>
        <v>0</v>
      </c>
      <c r="V214" s="8">
        <f t="shared" ca="1" si="134"/>
        <v>0</v>
      </c>
      <c r="W214" s="11" t="str">
        <f t="shared" ca="1" si="135"/>
        <v/>
      </c>
      <c r="X214" s="11" t="str">
        <f t="shared" ca="1" si="136"/>
        <v/>
      </c>
      <c r="Y214" s="11" t="str">
        <f t="shared" ca="1" si="137"/>
        <v/>
      </c>
      <c r="Z214" s="11" t="str">
        <f t="shared" ca="1" si="138"/>
        <v/>
      </c>
      <c r="AA214" s="11" t="str">
        <f t="shared" ca="1" si="139"/>
        <v/>
      </c>
      <c r="AB214" s="47">
        <f ca="1">PlayerGameData[[#This Row],[3FGA]]+PlayerGameData[[#This Row],[2FGA]]</f>
        <v>0</v>
      </c>
      <c r="AC214" s="47">
        <f ca="1">PlayerGameData[[#This Row],[OFF REB]]+PlayerGameData[[#This Row],[DEF REB]]</f>
        <v>0</v>
      </c>
      <c r="AD214" s="8">
        <f t="shared" si="120"/>
        <v>9</v>
      </c>
      <c r="AE214" s="8" t="str">
        <f t="shared" ca="1" si="121"/>
        <v>,  - Faith, SD 1/13/2023</v>
      </c>
      <c r="AF214" s="8" t="str">
        <f t="shared" ca="1" si="140"/>
        <v/>
      </c>
      <c r="AG214" s="8" t="str">
        <f ca="1">IFERROR(IF(C214=0,"",IF(AND(VLOOKUP(PlayerGameData[[#This Row],[Opponent]],WYTeamInfo,2,FALSE)=Roster!$D$1,VLOOKUP(PlayerGameData[[#This Row],[Opponent]],WYTeamInfo,3,FALSE)=Roster!$D$2),"SR","")),"")</f>
        <v/>
      </c>
      <c r="AH214" s="8" t="str">
        <f>CONCATENATE(Roster!$D$1," ",Roster!$D$5)</f>
        <v>1A BB</v>
      </c>
      <c r="AI214" s="8" t="str">
        <f t="shared" ca="1" si="122"/>
        <v>Upton - Faith, SD 1/13/2023</v>
      </c>
      <c r="AJ214" s="8">
        <f ca="1">IFERROR(VLOOKUP(PlayerGameData[[#This Row],[School, Opponent,Game'#]],Table3[],2,FALSE),0)</f>
        <v>1</v>
      </c>
      <c r="AK214" s="8">
        <f ca="1">IF(PlayerGameData[[#This Row],[Visible]]=1,1,1000)</f>
        <v>1</v>
      </c>
      <c r="AL214" s="8">
        <f ca="1">RANK(PlayerGameData[[#This Row],[TL PTS]],PlayerGameData[TL PTS],0)+PlayerGameData[[#This Row],[VisibleOrder]]</f>
        <v>185</v>
      </c>
      <c r="AM214" s="8">
        <f ca="1">IF(COUNTIF(PlayerGameData[PointOrder],PlayerGameData[[#This Row],[PointOrder]])&gt;1,RANK(PlayerGameData[[#This Row],[FGA]],PlayerGameData[FGA],0)/100,0)+PlayerGameData[[#This Row],[PointOrder]]</f>
        <v>187.14</v>
      </c>
      <c r="AN214" s="8">
        <f ca="1">RANK(PlayerGameData[[#This Row],[PointTieBreak]],PlayerGameData[PointTieBreak],1)</f>
        <v>216</v>
      </c>
      <c r="AO214" s="8">
        <f ca="1">RANK(PlayerGameData[[#This Row],[REB]],PlayerGameData[REB],0)+PlayerGameData[[#This Row],[VisibleOrder]]</f>
        <v>192</v>
      </c>
      <c r="AP214" s="8">
        <f ca="1">IF(COUNTIF(PlayerGameData[REBOrder],PlayerGameData[[#This Row],[REBOrder]])&gt;1,PlayerGameData[[#This Row],[PointRank]]/100+PlayerGameData[[#This Row],[REBOrder]],PlayerGameData[[#This Row],[REBOrder]])</f>
        <v>194.16</v>
      </c>
      <c r="AQ214" s="8">
        <f ca="1">RANK(PlayerGameData[[#This Row],[REBTieBreak]],PlayerGameData[REBTieBreak],1)</f>
        <v>224</v>
      </c>
      <c r="AR214" s="8">
        <f ca="1">RANK(PlayerGameData[[#This Row],[AST]],PlayerGameData[AST],0)+PlayerGameData[[#This Row],[VisibleOrder]]</f>
        <v>158</v>
      </c>
      <c r="AS214" s="8">
        <f ca="1">IF(COUNTIF(PlayerGameData[ASTOrder],PlayerGameData[[#This Row],[ASTOrder]])&gt;1,PlayerGameData[[#This Row],[PointRank]]/100+PlayerGameData[[#This Row],[ASTOrder]],PlayerGameData[[#This Row],[ASTOrder]])</f>
        <v>160.16</v>
      </c>
      <c r="AT214" s="8">
        <f ca="1">RANK(PlayerGameData[[#This Row],[ASTTieBreak]],PlayerGameData[ASTTieBreak],1)</f>
        <v>221</v>
      </c>
      <c r="AU214" s="8">
        <f ca="1">RANK(PlayerGameData[[#This Row],[STL]],PlayerGameData[STL],0)+PlayerGameData[[#This Row],[VisibleOrder]]</f>
        <v>143</v>
      </c>
      <c r="AV214" s="8">
        <f ca="1">IF(COUNTIF(PlayerGameData[STLOrder],PlayerGameData[[#This Row],[STLOrder]])&gt;1,PlayerGameData[[#This Row],[PointRank]]/100+PlayerGameData[[#This Row],[STLOrder]],PlayerGameData[[#This Row],[STLOrder]])</f>
        <v>145.16</v>
      </c>
      <c r="AW214" s="8">
        <f ca="1">RANK(PlayerGameData[[#This Row],[STLTieBreak]],PlayerGameData[STLTieBreak],1)</f>
        <v>217</v>
      </c>
      <c r="AX214" s="8">
        <f ca="1">RANK(PlayerGameData[[#This Row],[BLK]],PlayerGameData[BLK],0)+PlayerGameData[[#This Row],[VisibleOrder]]</f>
        <v>32</v>
      </c>
      <c r="AY214" s="8">
        <f ca="1">IF(COUNTIF(PlayerGameData[BLKOrder],PlayerGameData[[#This Row],[BLKOrder]])&gt;1,PlayerGameData[[#This Row],[PointRank]]/100+PlayerGameData[[#This Row],[BLKOrder]],PlayerGameData[[#This Row],[BLKOrder]])</f>
        <v>34.159999999999997</v>
      </c>
      <c r="AZ214" s="8">
        <f ca="1">RANK(PlayerGameData[[#This Row],[BLKTieBreak]],PlayerGameData[BLKTieBreak],1)</f>
        <v>216</v>
      </c>
      <c r="BA214" s="11">
        <f ca="1">IFERROR(IF(PlayerGameData[[#This Row],[FGA]]&gt;$AA$5,PlayerGameData[[#This Row],[FG%*]],PlayerGameData[[#This Row],[FG%*]]*-1),-2)</f>
        <v>-2</v>
      </c>
      <c r="BB214" s="8">
        <f ca="1">RANK(PlayerGameData[[#This Row],[EligFG]],PlayerGameData[EligFG],0)+PlayerGameData[[#This Row],[VisibleOrder]]</f>
        <v>215</v>
      </c>
      <c r="BC214" s="8">
        <f ca="1">IF(COUNTIF(PlayerGameData[EligFGOrder],PlayerGameData[[#This Row],[EligFGOrder]])&gt;1,PlayerGameData[[#This Row],[PointRank]]/100+PlayerGameData[[#This Row],[EligFGOrder]],PlayerGameData[[#This Row],[EligFGOrder]])</f>
        <v>217.16</v>
      </c>
      <c r="BD214" s="8">
        <f ca="1">RANK(PlayerGameData[[#This Row],[EligFGTieBreak]],PlayerGameData[EligFGTieBreak],1)</f>
        <v>216</v>
      </c>
      <c r="BE214" s="8" t="str">
        <f>Roster!$D$3</f>
        <v>East</v>
      </c>
      <c r="BF214" s="8" t="str">
        <f>Roster!$D$2</f>
        <v>Northeast</v>
      </c>
      <c r="BG214" s="8" t="str">
        <f>Roster!$D$4</f>
        <v>North</v>
      </c>
      <c r="BH214" s="197">
        <f ca="1">IFERROR(VLOOKUP(CONCATENATE(PlayerGameData[[#This Row],[Opponent]]," ",MONTH(PlayerGameData[[#This Row],[Date]]),"/",DAY(PlayerGameData[[#This Row],[Date]]),"/",YEAR(PlayerGameData[[#This Row],[Date]])),Table35[],2,FALSE),0)</f>
        <v>1</v>
      </c>
      <c r="BI214" s="197">
        <f ca="1">IF(PlayerGameData[[#This Row],[Visible]]=1,1,1000)</f>
        <v>1</v>
      </c>
      <c r="BJ214" s="197" t="e">
        <f ca="1">_xlfn.MAXIFS(TeamGameData[Win],TeamGameData[School, Opponent,Game'#],PlayerGameData[[#This Row],[School, Opponent,Game'#]])</f>
        <v>#NAME?</v>
      </c>
      <c r="BK214" s="197" t="e">
        <f ca="1">_xlfn.MAXIFS(TeamGameData[Loss],TeamGameData[School, Opponent,Game'#],PlayerGameData[[#This Row],[School, Opponent,Game'#]])</f>
        <v>#NAME?</v>
      </c>
    </row>
    <row r="215" spans="1:63" x14ac:dyDescent="0.25">
      <c r="A215" s="8" t="str">
        <f t="shared" ca="1" si="123"/>
        <v xml:space="preserve">, </v>
      </c>
      <c r="B215" s="8" t="str">
        <f>Roster!$B$1</f>
        <v>Upton</v>
      </c>
      <c r="C215" s="8" t="str">
        <f t="shared" ca="1" si="111"/>
        <v>Faith, SD</v>
      </c>
      <c r="D215" s="10">
        <f t="shared" ca="1" si="112"/>
        <v>44939</v>
      </c>
      <c r="E215" s="8">
        <f t="shared" ca="1" si="113"/>
        <v>0</v>
      </c>
      <c r="F215" s="8">
        <f t="shared" ca="1" si="114"/>
        <v>0</v>
      </c>
      <c r="G215" s="8">
        <f t="shared" ca="1" si="115"/>
        <v>0</v>
      </c>
      <c r="H215" s="8">
        <f t="shared" ca="1" si="116"/>
        <v>0</v>
      </c>
      <c r="I215" s="8">
        <f t="shared" ca="1" si="117"/>
        <v>0</v>
      </c>
      <c r="J215" s="8">
        <f t="shared" ca="1" si="118"/>
        <v>0</v>
      </c>
      <c r="K215" s="8">
        <f t="shared" ca="1" si="119"/>
        <v>0</v>
      </c>
      <c r="L215" s="8">
        <f t="shared" ca="1" si="124"/>
        <v>0</v>
      </c>
      <c r="M215" s="8">
        <f t="shared" ca="1" si="125"/>
        <v>0</v>
      </c>
      <c r="N215" s="8">
        <f t="shared" ca="1" si="126"/>
        <v>0</v>
      </c>
      <c r="O215" s="8">
        <f t="shared" ca="1" si="127"/>
        <v>0</v>
      </c>
      <c r="P215" s="8">
        <f t="shared" ca="1" si="128"/>
        <v>0</v>
      </c>
      <c r="Q215" s="8">
        <f t="shared" ca="1" si="129"/>
        <v>0</v>
      </c>
      <c r="R215" s="8">
        <f t="shared" ca="1" si="130"/>
        <v>0</v>
      </c>
      <c r="S215" s="8">
        <f t="shared" ca="1" si="131"/>
        <v>0</v>
      </c>
      <c r="T215" s="8">
        <f t="shared" ca="1" si="132"/>
        <v>0</v>
      </c>
      <c r="U215" s="8">
        <f t="shared" ca="1" si="133"/>
        <v>0</v>
      </c>
      <c r="V215" s="8">
        <f t="shared" ca="1" si="134"/>
        <v>0</v>
      </c>
      <c r="W215" s="11" t="str">
        <f t="shared" ca="1" si="135"/>
        <v/>
      </c>
      <c r="X215" s="11" t="str">
        <f t="shared" ca="1" si="136"/>
        <v/>
      </c>
      <c r="Y215" s="11" t="str">
        <f t="shared" ca="1" si="137"/>
        <v/>
      </c>
      <c r="Z215" s="11" t="str">
        <f t="shared" ca="1" si="138"/>
        <v/>
      </c>
      <c r="AA215" s="11" t="str">
        <f t="shared" ca="1" si="139"/>
        <v/>
      </c>
      <c r="AB215" s="47">
        <f ca="1">PlayerGameData[[#This Row],[3FGA]]+PlayerGameData[[#This Row],[2FGA]]</f>
        <v>0</v>
      </c>
      <c r="AC215" s="47">
        <f ca="1">PlayerGameData[[#This Row],[OFF REB]]+PlayerGameData[[#This Row],[DEF REB]]</f>
        <v>0</v>
      </c>
      <c r="AD215" s="8">
        <f t="shared" si="120"/>
        <v>9</v>
      </c>
      <c r="AE215" s="8" t="str">
        <f t="shared" ca="1" si="121"/>
        <v>,  - Faith, SD 1/13/2023</v>
      </c>
      <c r="AF215" s="8" t="str">
        <f t="shared" ca="1" si="140"/>
        <v/>
      </c>
      <c r="AG215" s="8" t="str">
        <f ca="1">IFERROR(IF(C215=0,"",IF(AND(VLOOKUP(PlayerGameData[[#This Row],[Opponent]],WYTeamInfo,2,FALSE)=Roster!$D$1,VLOOKUP(PlayerGameData[[#This Row],[Opponent]],WYTeamInfo,3,FALSE)=Roster!$D$2),"SR","")),"")</f>
        <v/>
      </c>
      <c r="AH215" s="8" t="str">
        <f>CONCATENATE(Roster!$D$1," ",Roster!$D$5)</f>
        <v>1A BB</v>
      </c>
      <c r="AI215" s="8" t="str">
        <f t="shared" ca="1" si="122"/>
        <v>Upton - Faith, SD 1/13/2023</v>
      </c>
      <c r="AJ215" s="8">
        <f ca="1">IFERROR(VLOOKUP(PlayerGameData[[#This Row],[School, Opponent,Game'#]],Table3[],2,FALSE),0)</f>
        <v>1</v>
      </c>
      <c r="AK215" s="8">
        <f ca="1">IF(PlayerGameData[[#This Row],[Visible]]=1,1,1000)</f>
        <v>1</v>
      </c>
      <c r="AL215" s="8">
        <f ca="1">RANK(PlayerGameData[[#This Row],[TL PTS]],PlayerGameData[TL PTS],0)+PlayerGameData[[#This Row],[VisibleOrder]]</f>
        <v>185</v>
      </c>
      <c r="AM215" s="8">
        <f ca="1">IF(COUNTIF(PlayerGameData[PointOrder],PlayerGameData[[#This Row],[PointOrder]])&gt;1,RANK(PlayerGameData[[#This Row],[FGA]],PlayerGameData[FGA],0)/100,0)+PlayerGameData[[#This Row],[PointOrder]]</f>
        <v>187.14</v>
      </c>
      <c r="AN215" s="8">
        <f ca="1">RANK(PlayerGameData[[#This Row],[PointTieBreak]],PlayerGameData[PointTieBreak],1)</f>
        <v>216</v>
      </c>
      <c r="AO215" s="8">
        <f ca="1">RANK(PlayerGameData[[#This Row],[REB]],PlayerGameData[REB],0)+PlayerGameData[[#This Row],[VisibleOrder]]</f>
        <v>192</v>
      </c>
      <c r="AP215" s="8">
        <f ca="1">IF(COUNTIF(PlayerGameData[REBOrder],PlayerGameData[[#This Row],[REBOrder]])&gt;1,PlayerGameData[[#This Row],[PointRank]]/100+PlayerGameData[[#This Row],[REBOrder]],PlayerGameData[[#This Row],[REBOrder]])</f>
        <v>194.16</v>
      </c>
      <c r="AQ215" s="8">
        <f ca="1">RANK(PlayerGameData[[#This Row],[REBTieBreak]],PlayerGameData[REBTieBreak],1)</f>
        <v>224</v>
      </c>
      <c r="AR215" s="8">
        <f ca="1">RANK(PlayerGameData[[#This Row],[AST]],PlayerGameData[AST],0)+PlayerGameData[[#This Row],[VisibleOrder]]</f>
        <v>158</v>
      </c>
      <c r="AS215" s="8">
        <f ca="1">IF(COUNTIF(PlayerGameData[ASTOrder],PlayerGameData[[#This Row],[ASTOrder]])&gt;1,PlayerGameData[[#This Row],[PointRank]]/100+PlayerGameData[[#This Row],[ASTOrder]],PlayerGameData[[#This Row],[ASTOrder]])</f>
        <v>160.16</v>
      </c>
      <c r="AT215" s="8">
        <f ca="1">RANK(PlayerGameData[[#This Row],[ASTTieBreak]],PlayerGameData[ASTTieBreak],1)</f>
        <v>221</v>
      </c>
      <c r="AU215" s="8">
        <f ca="1">RANK(PlayerGameData[[#This Row],[STL]],PlayerGameData[STL],0)+PlayerGameData[[#This Row],[VisibleOrder]]</f>
        <v>143</v>
      </c>
      <c r="AV215" s="8">
        <f ca="1">IF(COUNTIF(PlayerGameData[STLOrder],PlayerGameData[[#This Row],[STLOrder]])&gt;1,PlayerGameData[[#This Row],[PointRank]]/100+PlayerGameData[[#This Row],[STLOrder]],PlayerGameData[[#This Row],[STLOrder]])</f>
        <v>145.16</v>
      </c>
      <c r="AW215" s="8">
        <f ca="1">RANK(PlayerGameData[[#This Row],[STLTieBreak]],PlayerGameData[STLTieBreak],1)</f>
        <v>217</v>
      </c>
      <c r="AX215" s="8">
        <f ca="1">RANK(PlayerGameData[[#This Row],[BLK]],PlayerGameData[BLK],0)+PlayerGameData[[#This Row],[VisibleOrder]]</f>
        <v>32</v>
      </c>
      <c r="AY215" s="8">
        <f ca="1">IF(COUNTIF(PlayerGameData[BLKOrder],PlayerGameData[[#This Row],[BLKOrder]])&gt;1,PlayerGameData[[#This Row],[PointRank]]/100+PlayerGameData[[#This Row],[BLKOrder]],PlayerGameData[[#This Row],[BLKOrder]])</f>
        <v>34.159999999999997</v>
      </c>
      <c r="AZ215" s="8">
        <f ca="1">RANK(PlayerGameData[[#This Row],[BLKTieBreak]],PlayerGameData[BLKTieBreak],1)</f>
        <v>216</v>
      </c>
      <c r="BA215" s="11">
        <f ca="1">IFERROR(IF(PlayerGameData[[#This Row],[FGA]]&gt;$AA$5,PlayerGameData[[#This Row],[FG%*]],PlayerGameData[[#This Row],[FG%*]]*-1),-2)</f>
        <v>-2</v>
      </c>
      <c r="BB215" s="8">
        <f ca="1">RANK(PlayerGameData[[#This Row],[EligFG]],PlayerGameData[EligFG],0)+PlayerGameData[[#This Row],[VisibleOrder]]</f>
        <v>215</v>
      </c>
      <c r="BC215" s="8">
        <f ca="1">IF(COUNTIF(PlayerGameData[EligFGOrder],PlayerGameData[[#This Row],[EligFGOrder]])&gt;1,PlayerGameData[[#This Row],[PointRank]]/100+PlayerGameData[[#This Row],[EligFGOrder]],PlayerGameData[[#This Row],[EligFGOrder]])</f>
        <v>217.16</v>
      </c>
      <c r="BD215" s="8">
        <f ca="1">RANK(PlayerGameData[[#This Row],[EligFGTieBreak]],PlayerGameData[EligFGTieBreak],1)</f>
        <v>216</v>
      </c>
      <c r="BE215" s="8" t="str">
        <f>Roster!$D$3</f>
        <v>East</v>
      </c>
      <c r="BF215" s="8" t="str">
        <f>Roster!$D$2</f>
        <v>Northeast</v>
      </c>
      <c r="BG215" s="8" t="str">
        <f>Roster!$D$4</f>
        <v>North</v>
      </c>
      <c r="BH215" s="197">
        <f ca="1">IFERROR(VLOOKUP(CONCATENATE(PlayerGameData[[#This Row],[Opponent]]," ",MONTH(PlayerGameData[[#This Row],[Date]]),"/",DAY(PlayerGameData[[#This Row],[Date]]),"/",YEAR(PlayerGameData[[#This Row],[Date]])),Table35[],2,FALSE),0)</f>
        <v>1</v>
      </c>
      <c r="BI215" s="197">
        <f ca="1">IF(PlayerGameData[[#This Row],[Visible]]=1,1,1000)</f>
        <v>1</v>
      </c>
      <c r="BJ215" s="197" t="e">
        <f ca="1">_xlfn.MAXIFS(TeamGameData[Win],TeamGameData[School, Opponent,Game'#],PlayerGameData[[#This Row],[School, Opponent,Game'#]])</f>
        <v>#NAME?</v>
      </c>
      <c r="BK215" s="197" t="e">
        <f ca="1">_xlfn.MAXIFS(TeamGameData[Loss],TeamGameData[School, Opponent,Game'#],PlayerGameData[[#This Row],[School, Opponent,Game'#]])</f>
        <v>#NAME?</v>
      </c>
    </row>
    <row r="216" spans="1:63" x14ac:dyDescent="0.25">
      <c r="A216" s="8" t="str">
        <f t="shared" ca="1" si="123"/>
        <v xml:space="preserve">, </v>
      </c>
      <c r="B216" s="8" t="str">
        <f>Roster!$B$1</f>
        <v>Upton</v>
      </c>
      <c r="C216" s="8" t="str">
        <f t="shared" ca="1" si="111"/>
        <v>Faith, SD</v>
      </c>
      <c r="D216" s="10">
        <f t="shared" ca="1" si="112"/>
        <v>44939</v>
      </c>
      <c r="E216" s="8">
        <f t="shared" ca="1" si="113"/>
        <v>0</v>
      </c>
      <c r="F216" s="8">
        <f t="shared" ca="1" si="114"/>
        <v>0</v>
      </c>
      <c r="G216" s="8">
        <f t="shared" ca="1" si="115"/>
        <v>0</v>
      </c>
      <c r="H216" s="8">
        <f t="shared" ca="1" si="116"/>
        <v>0</v>
      </c>
      <c r="I216" s="8">
        <f t="shared" ca="1" si="117"/>
        <v>0</v>
      </c>
      <c r="J216" s="8">
        <f t="shared" ca="1" si="118"/>
        <v>0</v>
      </c>
      <c r="K216" s="8">
        <f t="shared" ca="1" si="119"/>
        <v>0</v>
      </c>
      <c r="L216" s="8">
        <f t="shared" ca="1" si="124"/>
        <v>0</v>
      </c>
      <c r="M216" s="8">
        <f t="shared" ca="1" si="125"/>
        <v>0</v>
      </c>
      <c r="N216" s="8">
        <f t="shared" ca="1" si="126"/>
        <v>0</v>
      </c>
      <c r="O216" s="8">
        <f t="shared" ca="1" si="127"/>
        <v>0</v>
      </c>
      <c r="P216" s="8">
        <f t="shared" ca="1" si="128"/>
        <v>0</v>
      </c>
      <c r="Q216" s="8">
        <f t="shared" ca="1" si="129"/>
        <v>0</v>
      </c>
      <c r="R216" s="8">
        <f t="shared" ca="1" si="130"/>
        <v>0</v>
      </c>
      <c r="S216" s="8">
        <f t="shared" ca="1" si="131"/>
        <v>0</v>
      </c>
      <c r="T216" s="8">
        <f t="shared" ca="1" si="132"/>
        <v>0</v>
      </c>
      <c r="U216" s="8">
        <f t="shared" ca="1" si="133"/>
        <v>0</v>
      </c>
      <c r="V216" s="8">
        <f t="shared" ca="1" si="134"/>
        <v>0</v>
      </c>
      <c r="W216" s="11" t="str">
        <f t="shared" ca="1" si="135"/>
        <v/>
      </c>
      <c r="X216" s="11" t="str">
        <f t="shared" ca="1" si="136"/>
        <v/>
      </c>
      <c r="Y216" s="11" t="str">
        <f t="shared" ca="1" si="137"/>
        <v/>
      </c>
      <c r="Z216" s="11" t="str">
        <f t="shared" ca="1" si="138"/>
        <v/>
      </c>
      <c r="AA216" s="11" t="str">
        <f t="shared" ca="1" si="139"/>
        <v/>
      </c>
      <c r="AB216" s="47">
        <f ca="1">PlayerGameData[[#This Row],[3FGA]]+PlayerGameData[[#This Row],[2FGA]]</f>
        <v>0</v>
      </c>
      <c r="AC216" s="47">
        <f ca="1">PlayerGameData[[#This Row],[OFF REB]]+PlayerGameData[[#This Row],[DEF REB]]</f>
        <v>0</v>
      </c>
      <c r="AD216" s="8">
        <f t="shared" si="120"/>
        <v>9</v>
      </c>
      <c r="AE216" s="8" t="str">
        <f t="shared" ca="1" si="121"/>
        <v>,  - Faith, SD 1/13/2023</v>
      </c>
      <c r="AF216" s="8" t="str">
        <f t="shared" ca="1" si="140"/>
        <v/>
      </c>
      <c r="AG216" s="8" t="str">
        <f ca="1">IFERROR(IF(C216=0,"",IF(AND(VLOOKUP(PlayerGameData[[#This Row],[Opponent]],WYTeamInfo,2,FALSE)=Roster!$D$1,VLOOKUP(PlayerGameData[[#This Row],[Opponent]],WYTeamInfo,3,FALSE)=Roster!$D$2),"SR","")),"")</f>
        <v/>
      </c>
      <c r="AH216" s="8" t="str">
        <f>CONCATENATE(Roster!$D$1," ",Roster!$D$5)</f>
        <v>1A BB</v>
      </c>
      <c r="AI216" s="8" t="str">
        <f t="shared" ca="1" si="122"/>
        <v>Upton - Faith, SD 1/13/2023</v>
      </c>
      <c r="AJ216" s="8">
        <f ca="1">IFERROR(VLOOKUP(PlayerGameData[[#This Row],[School, Opponent,Game'#]],Table3[],2,FALSE),0)</f>
        <v>1</v>
      </c>
      <c r="AK216" s="8">
        <f ca="1">IF(PlayerGameData[[#This Row],[Visible]]=1,1,1000)</f>
        <v>1</v>
      </c>
      <c r="AL216" s="8">
        <f ca="1">RANK(PlayerGameData[[#This Row],[TL PTS]],PlayerGameData[TL PTS],0)+PlayerGameData[[#This Row],[VisibleOrder]]</f>
        <v>185</v>
      </c>
      <c r="AM216" s="8">
        <f ca="1">IF(COUNTIF(PlayerGameData[PointOrder],PlayerGameData[[#This Row],[PointOrder]])&gt;1,RANK(PlayerGameData[[#This Row],[FGA]],PlayerGameData[FGA],0)/100,0)+PlayerGameData[[#This Row],[PointOrder]]</f>
        <v>187.14</v>
      </c>
      <c r="AN216" s="8">
        <f ca="1">RANK(PlayerGameData[[#This Row],[PointTieBreak]],PlayerGameData[PointTieBreak],1)</f>
        <v>216</v>
      </c>
      <c r="AO216" s="8">
        <f ca="1">RANK(PlayerGameData[[#This Row],[REB]],PlayerGameData[REB],0)+PlayerGameData[[#This Row],[VisibleOrder]]</f>
        <v>192</v>
      </c>
      <c r="AP216" s="8">
        <f ca="1">IF(COUNTIF(PlayerGameData[REBOrder],PlayerGameData[[#This Row],[REBOrder]])&gt;1,PlayerGameData[[#This Row],[PointRank]]/100+PlayerGameData[[#This Row],[REBOrder]],PlayerGameData[[#This Row],[REBOrder]])</f>
        <v>194.16</v>
      </c>
      <c r="AQ216" s="8">
        <f ca="1">RANK(PlayerGameData[[#This Row],[REBTieBreak]],PlayerGameData[REBTieBreak],1)</f>
        <v>224</v>
      </c>
      <c r="AR216" s="8">
        <f ca="1">RANK(PlayerGameData[[#This Row],[AST]],PlayerGameData[AST],0)+PlayerGameData[[#This Row],[VisibleOrder]]</f>
        <v>158</v>
      </c>
      <c r="AS216" s="8">
        <f ca="1">IF(COUNTIF(PlayerGameData[ASTOrder],PlayerGameData[[#This Row],[ASTOrder]])&gt;1,PlayerGameData[[#This Row],[PointRank]]/100+PlayerGameData[[#This Row],[ASTOrder]],PlayerGameData[[#This Row],[ASTOrder]])</f>
        <v>160.16</v>
      </c>
      <c r="AT216" s="8">
        <f ca="1">RANK(PlayerGameData[[#This Row],[ASTTieBreak]],PlayerGameData[ASTTieBreak],1)</f>
        <v>221</v>
      </c>
      <c r="AU216" s="8">
        <f ca="1">RANK(PlayerGameData[[#This Row],[STL]],PlayerGameData[STL],0)+PlayerGameData[[#This Row],[VisibleOrder]]</f>
        <v>143</v>
      </c>
      <c r="AV216" s="8">
        <f ca="1">IF(COUNTIF(PlayerGameData[STLOrder],PlayerGameData[[#This Row],[STLOrder]])&gt;1,PlayerGameData[[#This Row],[PointRank]]/100+PlayerGameData[[#This Row],[STLOrder]],PlayerGameData[[#This Row],[STLOrder]])</f>
        <v>145.16</v>
      </c>
      <c r="AW216" s="8">
        <f ca="1">RANK(PlayerGameData[[#This Row],[STLTieBreak]],PlayerGameData[STLTieBreak],1)</f>
        <v>217</v>
      </c>
      <c r="AX216" s="8">
        <f ca="1">RANK(PlayerGameData[[#This Row],[BLK]],PlayerGameData[BLK],0)+PlayerGameData[[#This Row],[VisibleOrder]]</f>
        <v>32</v>
      </c>
      <c r="AY216" s="8">
        <f ca="1">IF(COUNTIF(PlayerGameData[BLKOrder],PlayerGameData[[#This Row],[BLKOrder]])&gt;1,PlayerGameData[[#This Row],[PointRank]]/100+PlayerGameData[[#This Row],[BLKOrder]],PlayerGameData[[#This Row],[BLKOrder]])</f>
        <v>34.159999999999997</v>
      </c>
      <c r="AZ216" s="8">
        <f ca="1">RANK(PlayerGameData[[#This Row],[BLKTieBreak]],PlayerGameData[BLKTieBreak],1)</f>
        <v>216</v>
      </c>
      <c r="BA216" s="11">
        <f ca="1">IFERROR(IF(PlayerGameData[[#This Row],[FGA]]&gt;$AA$5,PlayerGameData[[#This Row],[FG%*]],PlayerGameData[[#This Row],[FG%*]]*-1),-2)</f>
        <v>-2</v>
      </c>
      <c r="BB216" s="8">
        <f ca="1">RANK(PlayerGameData[[#This Row],[EligFG]],PlayerGameData[EligFG],0)+PlayerGameData[[#This Row],[VisibleOrder]]</f>
        <v>215</v>
      </c>
      <c r="BC216" s="8">
        <f ca="1">IF(COUNTIF(PlayerGameData[EligFGOrder],PlayerGameData[[#This Row],[EligFGOrder]])&gt;1,PlayerGameData[[#This Row],[PointRank]]/100+PlayerGameData[[#This Row],[EligFGOrder]],PlayerGameData[[#This Row],[EligFGOrder]])</f>
        <v>217.16</v>
      </c>
      <c r="BD216" s="8">
        <f ca="1">RANK(PlayerGameData[[#This Row],[EligFGTieBreak]],PlayerGameData[EligFGTieBreak],1)</f>
        <v>216</v>
      </c>
      <c r="BE216" s="8" t="str">
        <f>Roster!$D$3</f>
        <v>East</v>
      </c>
      <c r="BF216" s="8" t="str">
        <f>Roster!$D$2</f>
        <v>Northeast</v>
      </c>
      <c r="BG216" s="8" t="str">
        <f>Roster!$D$4</f>
        <v>North</v>
      </c>
      <c r="BH216" s="197">
        <f ca="1">IFERROR(VLOOKUP(CONCATENATE(PlayerGameData[[#This Row],[Opponent]]," ",MONTH(PlayerGameData[[#This Row],[Date]]),"/",DAY(PlayerGameData[[#This Row],[Date]]),"/",YEAR(PlayerGameData[[#This Row],[Date]])),Table35[],2,FALSE),0)</f>
        <v>1</v>
      </c>
      <c r="BI216" s="197">
        <f ca="1">IF(PlayerGameData[[#This Row],[Visible]]=1,1,1000)</f>
        <v>1</v>
      </c>
      <c r="BJ216" s="197" t="e">
        <f ca="1">_xlfn.MAXIFS(TeamGameData[Win],TeamGameData[School, Opponent,Game'#],PlayerGameData[[#This Row],[School, Opponent,Game'#]])</f>
        <v>#NAME?</v>
      </c>
      <c r="BK216" s="197" t="e">
        <f ca="1">_xlfn.MAXIFS(TeamGameData[Loss],TeamGameData[School, Opponent,Game'#],PlayerGameData[[#This Row],[School, Opponent,Game'#]])</f>
        <v>#NAME?</v>
      </c>
    </row>
    <row r="217" spans="1:63" x14ac:dyDescent="0.25">
      <c r="A217" s="8" t="str">
        <f t="shared" ca="1" si="123"/>
        <v xml:space="preserve">, </v>
      </c>
      <c r="B217" s="8" t="str">
        <f>Roster!$B$1</f>
        <v>Upton</v>
      </c>
      <c r="C217" s="8" t="str">
        <f t="shared" ca="1" si="111"/>
        <v>Faith, SD</v>
      </c>
      <c r="D217" s="10">
        <f t="shared" ca="1" si="112"/>
        <v>44939</v>
      </c>
      <c r="E217" s="8">
        <f t="shared" ca="1" si="113"/>
        <v>0</v>
      </c>
      <c r="F217" s="8">
        <f t="shared" ca="1" si="114"/>
        <v>0</v>
      </c>
      <c r="G217" s="8">
        <f t="shared" ca="1" si="115"/>
        <v>0</v>
      </c>
      <c r="H217" s="8">
        <f t="shared" ca="1" si="116"/>
        <v>0</v>
      </c>
      <c r="I217" s="8">
        <f t="shared" ca="1" si="117"/>
        <v>0</v>
      </c>
      <c r="J217" s="8">
        <f t="shared" ca="1" si="118"/>
        <v>0</v>
      </c>
      <c r="K217" s="8">
        <f t="shared" ca="1" si="119"/>
        <v>0</v>
      </c>
      <c r="L217" s="8">
        <f t="shared" ca="1" si="124"/>
        <v>0</v>
      </c>
      <c r="M217" s="8">
        <f t="shared" ca="1" si="125"/>
        <v>0</v>
      </c>
      <c r="N217" s="8">
        <f t="shared" ca="1" si="126"/>
        <v>0</v>
      </c>
      <c r="O217" s="8">
        <f t="shared" ca="1" si="127"/>
        <v>0</v>
      </c>
      <c r="P217" s="8">
        <f t="shared" ca="1" si="128"/>
        <v>0</v>
      </c>
      <c r="Q217" s="8">
        <f t="shared" ca="1" si="129"/>
        <v>0</v>
      </c>
      <c r="R217" s="8">
        <f t="shared" ca="1" si="130"/>
        <v>0</v>
      </c>
      <c r="S217" s="8">
        <f t="shared" ca="1" si="131"/>
        <v>0</v>
      </c>
      <c r="T217" s="8">
        <f t="shared" ca="1" si="132"/>
        <v>0</v>
      </c>
      <c r="U217" s="8">
        <f t="shared" ca="1" si="133"/>
        <v>0</v>
      </c>
      <c r="V217" s="8">
        <f t="shared" ca="1" si="134"/>
        <v>0</v>
      </c>
      <c r="W217" s="11" t="str">
        <f t="shared" ca="1" si="135"/>
        <v/>
      </c>
      <c r="X217" s="11" t="str">
        <f t="shared" ca="1" si="136"/>
        <v/>
      </c>
      <c r="Y217" s="11" t="str">
        <f t="shared" ca="1" si="137"/>
        <v/>
      </c>
      <c r="Z217" s="11" t="str">
        <f t="shared" ca="1" si="138"/>
        <v/>
      </c>
      <c r="AA217" s="11" t="str">
        <f t="shared" ca="1" si="139"/>
        <v/>
      </c>
      <c r="AB217" s="47">
        <f ca="1">PlayerGameData[[#This Row],[3FGA]]+PlayerGameData[[#This Row],[2FGA]]</f>
        <v>0</v>
      </c>
      <c r="AC217" s="47">
        <f ca="1">PlayerGameData[[#This Row],[OFF REB]]+PlayerGameData[[#This Row],[DEF REB]]</f>
        <v>0</v>
      </c>
      <c r="AD217" s="8">
        <f t="shared" si="120"/>
        <v>9</v>
      </c>
      <c r="AE217" s="8" t="str">
        <f t="shared" ca="1" si="121"/>
        <v>,  - Faith, SD 1/13/2023</v>
      </c>
      <c r="AF217" s="8" t="str">
        <f t="shared" ca="1" si="140"/>
        <v/>
      </c>
      <c r="AG217" s="8" t="str">
        <f ca="1">IFERROR(IF(C217=0,"",IF(AND(VLOOKUP(PlayerGameData[[#This Row],[Opponent]],WYTeamInfo,2,FALSE)=Roster!$D$1,VLOOKUP(PlayerGameData[[#This Row],[Opponent]],WYTeamInfo,3,FALSE)=Roster!$D$2),"SR","")),"")</f>
        <v/>
      </c>
      <c r="AH217" s="8" t="str">
        <f>CONCATENATE(Roster!$D$1," ",Roster!$D$5)</f>
        <v>1A BB</v>
      </c>
      <c r="AI217" s="8" t="str">
        <f t="shared" ca="1" si="122"/>
        <v>Upton - Faith, SD 1/13/2023</v>
      </c>
      <c r="AJ217" s="8">
        <f ca="1">IFERROR(VLOOKUP(PlayerGameData[[#This Row],[School, Opponent,Game'#]],Table3[],2,FALSE),0)</f>
        <v>1</v>
      </c>
      <c r="AK217" s="8">
        <f ca="1">IF(PlayerGameData[[#This Row],[Visible]]=1,1,1000)</f>
        <v>1</v>
      </c>
      <c r="AL217" s="8">
        <f ca="1">RANK(PlayerGameData[[#This Row],[TL PTS]],PlayerGameData[TL PTS],0)+PlayerGameData[[#This Row],[VisibleOrder]]</f>
        <v>185</v>
      </c>
      <c r="AM217" s="8">
        <f ca="1">IF(COUNTIF(PlayerGameData[PointOrder],PlayerGameData[[#This Row],[PointOrder]])&gt;1,RANK(PlayerGameData[[#This Row],[FGA]],PlayerGameData[FGA],0)/100,0)+PlayerGameData[[#This Row],[PointOrder]]</f>
        <v>187.14</v>
      </c>
      <c r="AN217" s="8">
        <f ca="1">RANK(PlayerGameData[[#This Row],[PointTieBreak]],PlayerGameData[PointTieBreak],1)</f>
        <v>216</v>
      </c>
      <c r="AO217" s="8">
        <f ca="1">RANK(PlayerGameData[[#This Row],[REB]],PlayerGameData[REB],0)+PlayerGameData[[#This Row],[VisibleOrder]]</f>
        <v>192</v>
      </c>
      <c r="AP217" s="8">
        <f ca="1">IF(COUNTIF(PlayerGameData[REBOrder],PlayerGameData[[#This Row],[REBOrder]])&gt;1,PlayerGameData[[#This Row],[PointRank]]/100+PlayerGameData[[#This Row],[REBOrder]],PlayerGameData[[#This Row],[REBOrder]])</f>
        <v>194.16</v>
      </c>
      <c r="AQ217" s="8">
        <f ca="1">RANK(PlayerGameData[[#This Row],[REBTieBreak]],PlayerGameData[REBTieBreak],1)</f>
        <v>224</v>
      </c>
      <c r="AR217" s="8">
        <f ca="1">RANK(PlayerGameData[[#This Row],[AST]],PlayerGameData[AST],0)+PlayerGameData[[#This Row],[VisibleOrder]]</f>
        <v>158</v>
      </c>
      <c r="AS217" s="8">
        <f ca="1">IF(COUNTIF(PlayerGameData[ASTOrder],PlayerGameData[[#This Row],[ASTOrder]])&gt;1,PlayerGameData[[#This Row],[PointRank]]/100+PlayerGameData[[#This Row],[ASTOrder]],PlayerGameData[[#This Row],[ASTOrder]])</f>
        <v>160.16</v>
      </c>
      <c r="AT217" s="8">
        <f ca="1">RANK(PlayerGameData[[#This Row],[ASTTieBreak]],PlayerGameData[ASTTieBreak],1)</f>
        <v>221</v>
      </c>
      <c r="AU217" s="8">
        <f ca="1">RANK(PlayerGameData[[#This Row],[STL]],PlayerGameData[STL],0)+PlayerGameData[[#This Row],[VisibleOrder]]</f>
        <v>143</v>
      </c>
      <c r="AV217" s="8">
        <f ca="1">IF(COUNTIF(PlayerGameData[STLOrder],PlayerGameData[[#This Row],[STLOrder]])&gt;1,PlayerGameData[[#This Row],[PointRank]]/100+PlayerGameData[[#This Row],[STLOrder]],PlayerGameData[[#This Row],[STLOrder]])</f>
        <v>145.16</v>
      </c>
      <c r="AW217" s="8">
        <f ca="1">RANK(PlayerGameData[[#This Row],[STLTieBreak]],PlayerGameData[STLTieBreak],1)</f>
        <v>217</v>
      </c>
      <c r="AX217" s="8">
        <f ca="1">RANK(PlayerGameData[[#This Row],[BLK]],PlayerGameData[BLK],0)+PlayerGameData[[#This Row],[VisibleOrder]]</f>
        <v>32</v>
      </c>
      <c r="AY217" s="8">
        <f ca="1">IF(COUNTIF(PlayerGameData[BLKOrder],PlayerGameData[[#This Row],[BLKOrder]])&gt;1,PlayerGameData[[#This Row],[PointRank]]/100+PlayerGameData[[#This Row],[BLKOrder]],PlayerGameData[[#This Row],[BLKOrder]])</f>
        <v>34.159999999999997</v>
      </c>
      <c r="AZ217" s="8">
        <f ca="1">RANK(PlayerGameData[[#This Row],[BLKTieBreak]],PlayerGameData[BLKTieBreak],1)</f>
        <v>216</v>
      </c>
      <c r="BA217" s="11">
        <f ca="1">IFERROR(IF(PlayerGameData[[#This Row],[FGA]]&gt;$AA$5,PlayerGameData[[#This Row],[FG%*]],PlayerGameData[[#This Row],[FG%*]]*-1),-2)</f>
        <v>-2</v>
      </c>
      <c r="BB217" s="8">
        <f ca="1">RANK(PlayerGameData[[#This Row],[EligFG]],PlayerGameData[EligFG],0)+PlayerGameData[[#This Row],[VisibleOrder]]</f>
        <v>215</v>
      </c>
      <c r="BC217" s="8">
        <f ca="1">IF(COUNTIF(PlayerGameData[EligFGOrder],PlayerGameData[[#This Row],[EligFGOrder]])&gt;1,PlayerGameData[[#This Row],[PointRank]]/100+PlayerGameData[[#This Row],[EligFGOrder]],PlayerGameData[[#This Row],[EligFGOrder]])</f>
        <v>217.16</v>
      </c>
      <c r="BD217" s="8">
        <f ca="1">RANK(PlayerGameData[[#This Row],[EligFGTieBreak]],PlayerGameData[EligFGTieBreak],1)</f>
        <v>216</v>
      </c>
      <c r="BE217" s="8" t="str">
        <f>Roster!$D$3</f>
        <v>East</v>
      </c>
      <c r="BF217" s="8" t="str">
        <f>Roster!$D$2</f>
        <v>Northeast</v>
      </c>
      <c r="BG217" s="8" t="str">
        <f>Roster!$D$4</f>
        <v>North</v>
      </c>
      <c r="BH217" s="197">
        <f ca="1">IFERROR(VLOOKUP(CONCATENATE(PlayerGameData[[#This Row],[Opponent]]," ",MONTH(PlayerGameData[[#This Row],[Date]]),"/",DAY(PlayerGameData[[#This Row],[Date]]),"/",YEAR(PlayerGameData[[#This Row],[Date]])),Table35[],2,FALSE),0)</f>
        <v>1</v>
      </c>
      <c r="BI217" s="197">
        <f ca="1">IF(PlayerGameData[[#This Row],[Visible]]=1,1,1000)</f>
        <v>1</v>
      </c>
      <c r="BJ217" s="197" t="e">
        <f ca="1">_xlfn.MAXIFS(TeamGameData[Win],TeamGameData[School, Opponent,Game'#],PlayerGameData[[#This Row],[School, Opponent,Game'#]])</f>
        <v>#NAME?</v>
      </c>
      <c r="BK217" s="197" t="e">
        <f ca="1">_xlfn.MAXIFS(TeamGameData[Loss],TeamGameData[School, Opponent,Game'#],PlayerGameData[[#This Row],[School, Opponent,Game'#]])</f>
        <v>#NAME?</v>
      </c>
    </row>
    <row r="218" spans="1:63" x14ac:dyDescent="0.25">
      <c r="A218" s="8" t="str">
        <f t="shared" ca="1" si="123"/>
        <v xml:space="preserve">, </v>
      </c>
      <c r="B218" s="8" t="str">
        <f>Roster!$B$1</f>
        <v>Upton</v>
      </c>
      <c r="C218" s="8" t="str">
        <f t="shared" ca="1" si="111"/>
        <v>Faith, SD</v>
      </c>
      <c r="D218" s="10">
        <f t="shared" ca="1" si="112"/>
        <v>44939</v>
      </c>
      <c r="E218" s="8">
        <f t="shared" ca="1" si="113"/>
        <v>0</v>
      </c>
      <c r="F218" s="8">
        <f t="shared" ca="1" si="114"/>
        <v>0</v>
      </c>
      <c r="G218" s="8">
        <f t="shared" ca="1" si="115"/>
        <v>0</v>
      </c>
      <c r="H218" s="8">
        <f t="shared" ca="1" si="116"/>
        <v>0</v>
      </c>
      <c r="I218" s="8">
        <f t="shared" ca="1" si="117"/>
        <v>0</v>
      </c>
      <c r="J218" s="8">
        <f t="shared" ca="1" si="118"/>
        <v>0</v>
      </c>
      <c r="K218" s="8">
        <f t="shared" ca="1" si="119"/>
        <v>0</v>
      </c>
      <c r="L218" s="8">
        <f t="shared" ca="1" si="124"/>
        <v>0</v>
      </c>
      <c r="M218" s="8">
        <f t="shared" ca="1" si="125"/>
        <v>0</v>
      </c>
      <c r="N218" s="8">
        <f t="shared" ca="1" si="126"/>
        <v>0</v>
      </c>
      <c r="O218" s="8">
        <f t="shared" ca="1" si="127"/>
        <v>0</v>
      </c>
      <c r="P218" s="8">
        <f t="shared" ca="1" si="128"/>
        <v>0</v>
      </c>
      <c r="Q218" s="8">
        <f t="shared" ca="1" si="129"/>
        <v>0</v>
      </c>
      <c r="R218" s="8">
        <f t="shared" ca="1" si="130"/>
        <v>0</v>
      </c>
      <c r="S218" s="8">
        <f t="shared" ca="1" si="131"/>
        <v>0</v>
      </c>
      <c r="T218" s="8">
        <f t="shared" ca="1" si="132"/>
        <v>0</v>
      </c>
      <c r="U218" s="8">
        <f t="shared" ca="1" si="133"/>
        <v>0</v>
      </c>
      <c r="V218" s="8">
        <f t="shared" ca="1" si="134"/>
        <v>0</v>
      </c>
      <c r="W218" s="11" t="str">
        <f t="shared" ca="1" si="135"/>
        <v/>
      </c>
      <c r="X218" s="11" t="str">
        <f t="shared" ca="1" si="136"/>
        <v/>
      </c>
      <c r="Y218" s="11" t="str">
        <f t="shared" ca="1" si="137"/>
        <v/>
      </c>
      <c r="Z218" s="11" t="str">
        <f t="shared" ca="1" si="138"/>
        <v/>
      </c>
      <c r="AA218" s="11" t="str">
        <f t="shared" ca="1" si="139"/>
        <v/>
      </c>
      <c r="AB218" s="47">
        <f ca="1">PlayerGameData[[#This Row],[3FGA]]+PlayerGameData[[#This Row],[2FGA]]</f>
        <v>0</v>
      </c>
      <c r="AC218" s="47">
        <f ca="1">PlayerGameData[[#This Row],[OFF REB]]+PlayerGameData[[#This Row],[DEF REB]]</f>
        <v>0</v>
      </c>
      <c r="AD218" s="8">
        <f t="shared" si="120"/>
        <v>9</v>
      </c>
      <c r="AE218" s="8" t="str">
        <f t="shared" ca="1" si="121"/>
        <v>,  - Faith, SD 1/13/2023</v>
      </c>
      <c r="AF218" s="8" t="str">
        <f t="shared" ca="1" si="140"/>
        <v/>
      </c>
      <c r="AG218" s="8" t="str">
        <f ca="1">IFERROR(IF(C218=0,"",IF(AND(VLOOKUP(PlayerGameData[[#This Row],[Opponent]],WYTeamInfo,2,FALSE)=Roster!$D$1,VLOOKUP(PlayerGameData[[#This Row],[Opponent]],WYTeamInfo,3,FALSE)=Roster!$D$2),"SR","")),"")</f>
        <v/>
      </c>
      <c r="AH218" s="8" t="str">
        <f>CONCATENATE(Roster!$D$1," ",Roster!$D$5)</f>
        <v>1A BB</v>
      </c>
      <c r="AI218" s="8" t="str">
        <f t="shared" ca="1" si="122"/>
        <v>Upton - Faith, SD 1/13/2023</v>
      </c>
      <c r="AJ218" s="8">
        <f ca="1">IFERROR(VLOOKUP(PlayerGameData[[#This Row],[School, Opponent,Game'#]],Table3[],2,FALSE),0)</f>
        <v>1</v>
      </c>
      <c r="AK218" s="8">
        <f ca="1">IF(PlayerGameData[[#This Row],[Visible]]=1,1,1000)</f>
        <v>1</v>
      </c>
      <c r="AL218" s="8">
        <f ca="1">RANK(PlayerGameData[[#This Row],[TL PTS]],PlayerGameData[TL PTS],0)+PlayerGameData[[#This Row],[VisibleOrder]]</f>
        <v>185</v>
      </c>
      <c r="AM218" s="8">
        <f ca="1">IF(COUNTIF(PlayerGameData[PointOrder],PlayerGameData[[#This Row],[PointOrder]])&gt;1,RANK(PlayerGameData[[#This Row],[FGA]],PlayerGameData[FGA],0)/100,0)+PlayerGameData[[#This Row],[PointOrder]]</f>
        <v>187.14</v>
      </c>
      <c r="AN218" s="8">
        <f ca="1">RANK(PlayerGameData[[#This Row],[PointTieBreak]],PlayerGameData[PointTieBreak],1)</f>
        <v>216</v>
      </c>
      <c r="AO218" s="8">
        <f ca="1">RANK(PlayerGameData[[#This Row],[REB]],PlayerGameData[REB],0)+PlayerGameData[[#This Row],[VisibleOrder]]</f>
        <v>192</v>
      </c>
      <c r="AP218" s="8">
        <f ca="1">IF(COUNTIF(PlayerGameData[REBOrder],PlayerGameData[[#This Row],[REBOrder]])&gt;1,PlayerGameData[[#This Row],[PointRank]]/100+PlayerGameData[[#This Row],[REBOrder]],PlayerGameData[[#This Row],[REBOrder]])</f>
        <v>194.16</v>
      </c>
      <c r="AQ218" s="8">
        <f ca="1">RANK(PlayerGameData[[#This Row],[REBTieBreak]],PlayerGameData[REBTieBreak],1)</f>
        <v>224</v>
      </c>
      <c r="AR218" s="8">
        <f ca="1">RANK(PlayerGameData[[#This Row],[AST]],PlayerGameData[AST],0)+PlayerGameData[[#This Row],[VisibleOrder]]</f>
        <v>158</v>
      </c>
      <c r="AS218" s="8">
        <f ca="1">IF(COUNTIF(PlayerGameData[ASTOrder],PlayerGameData[[#This Row],[ASTOrder]])&gt;1,PlayerGameData[[#This Row],[PointRank]]/100+PlayerGameData[[#This Row],[ASTOrder]],PlayerGameData[[#This Row],[ASTOrder]])</f>
        <v>160.16</v>
      </c>
      <c r="AT218" s="8">
        <f ca="1">RANK(PlayerGameData[[#This Row],[ASTTieBreak]],PlayerGameData[ASTTieBreak],1)</f>
        <v>221</v>
      </c>
      <c r="AU218" s="8">
        <f ca="1">RANK(PlayerGameData[[#This Row],[STL]],PlayerGameData[STL],0)+PlayerGameData[[#This Row],[VisibleOrder]]</f>
        <v>143</v>
      </c>
      <c r="AV218" s="8">
        <f ca="1">IF(COUNTIF(PlayerGameData[STLOrder],PlayerGameData[[#This Row],[STLOrder]])&gt;1,PlayerGameData[[#This Row],[PointRank]]/100+PlayerGameData[[#This Row],[STLOrder]],PlayerGameData[[#This Row],[STLOrder]])</f>
        <v>145.16</v>
      </c>
      <c r="AW218" s="8">
        <f ca="1">RANK(PlayerGameData[[#This Row],[STLTieBreak]],PlayerGameData[STLTieBreak],1)</f>
        <v>217</v>
      </c>
      <c r="AX218" s="8">
        <f ca="1">RANK(PlayerGameData[[#This Row],[BLK]],PlayerGameData[BLK],0)+PlayerGameData[[#This Row],[VisibleOrder]]</f>
        <v>32</v>
      </c>
      <c r="AY218" s="8">
        <f ca="1">IF(COUNTIF(PlayerGameData[BLKOrder],PlayerGameData[[#This Row],[BLKOrder]])&gt;1,PlayerGameData[[#This Row],[PointRank]]/100+PlayerGameData[[#This Row],[BLKOrder]],PlayerGameData[[#This Row],[BLKOrder]])</f>
        <v>34.159999999999997</v>
      </c>
      <c r="AZ218" s="8">
        <f ca="1">RANK(PlayerGameData[[#This Row],[BLKTieBreak]],PlayerGameData[BLKTieBreak],1)</f>
        <v>216</v>
      </c>
      <c r="BA218" s="11">
        <f ca="1">IFERROR(IF(PlayerGameData[[#This Row],[FGA]]&gt;$AA$5,PlayerGameData[[#This Row],[FG%*]],PlayerGameData[[#This Row],[FG%*]]*-1),-2)</f>
        <v>-2</v>
      </c>
      <c r="BB218" s="8">
        <f ca="1">RANK(PlayerGameData[[#This Row],[EligFG]],PlayerGameData[EligFG],0)+PlayerGameData[[#This Row],[VisibleOrder]]</f>
        <v>215</v>
      </c>
      <c r="BC218" s="8">
        <f ca="1">IF(COUNTIF(PlayerGameData[EligFGOrder],PlayerGameData[[#This Row],[EligFGOrder]])&gt;1,PlayerGameData[[#This Row],[PointRank]]/100+PlayerGameData[[#This Row],[EligFGOrder]],PlayerGameData[[#This Row],[EligFGOrder]])</f>
        <v>217.16</v>
      </c>
      <c r="BD218" s="8">
        <f ca="1">RANK(PlayerGameData[[#This Row],[EligFGTieBreak]],PlayerGameData[EligFGTieBreak],1)</f>
        <v>216</v>
      </c>
      <c r="BE218" s="8" t="str">
        <f>Roster!$D$3</f>
        <v>East</v>
      </c>
      <c r="BF218" s="8" t="str">
        <f>Roster!$D$2</f>
        <v>Northeast</v>
      </c>
      <c r="BG218" s="8" t="str">
        <f>Roster!$D$4</f>
        <v>North</v>
      </c>
      <c r="BH218" s="197">
        <f ca="1">IFERROR(VLOOKUP(CONCATENATE(PlayerGameData[[#This Row],[Opponent]]," ",MONTH(PlayerGameData[[#This Row],[Date]]),"/",DAY(PlayerGameData[[#This Row],[Date]]),"/",YEAR(PlayerGameData[[#This Row],[Date]])),Table35[],2,FALSE),0)</f>
        <v>1</v>
      </c>
      <c r="BI218" s="197">
        <f ca="1">IF(PlayerGameData[[#This Row],[Visible]]=1,1,1000)</f>
        <v>1</v>
      </c>
      <c r="BJ218" s="197" t="e">
        <f ca="1">_xlfn.MAXIFS(TeamGameData[Win],TeamGameData[School, Opponent,Game'#],PlayerGameData[[#This Row],[School, Opponent,Game'#]])</f>
        <v>#NAME?</v>
      </c>
      <c r="BK218" s="197" t="e">
        <f ca="1">_xlfn.MAXIFS(TeamGameData[Loss],TeamGameData[School, Opponent,Game'#],PlayerGameData[[#This Row],[School, Opponent,Game'#]])</f>
        <v>#NAME?</v>
      </c>
    </row>
    <row r="219" spans="1:63" x14ac:dyDescent="0.25">
      <c r="A219" s="8" t="str">
        <f t="shared" ca="1" si="123"/>
        <v xml:space="preserve">, </v>
      </c>
      <c r="B219" s="8" t="str">
        <f>Roster!$B$1</f>
        <v>Upton</v>
      </c>
      <c r="C219" s="8" t="str">
        <f t="shared" ca="1" si="111"/>
        <v>Faith, SD</v>
      </c>
      <c r="D219" s="10">
        <f t="shared" ca="1" si="112"/>
        <v>44939</v>
      </c>
      <c r="E219" s="8">
        <f t="shared" ca="1" si="113"/>
        <v>0</v>
      </c>
      <c r="F219" s="8">
        <f t="shared" ca="1" si="114"/>
        <v>0</v>
      </c>
      <c r="G219" s="8">
        <f t="shared" ca="1" si="115"/>
        <v>0</v>
      </c>
      <c r="H219" s="8">
        <f t="shared" ca="1" si="116"/>
        <v>0</v>
      </c>
      <c r="I219" s="8">
        <f t="shared" ca="1" si="117"/>
        <v>0</v>
      </c>
      <c r="J219" s="8">
        <f t="shared" ca="1" si="118"/>
        <v>0</v>
      </c>
      <c r="K219" s="8">
        <f t="shared" ca="1" si="119"/>
        <v>0</v>
      </c>
      <c r="L219" s="8">
        <f t="shared" ca="1" si="124"/>
        <v>0</v>
      </c>
      <c r="M219" s="8">
        <f t="shared" ca="1" si="125"/>
        <v>0</v>
      </c>
      <c r="N219" s="8">
        <f t="shared" ca="1" si="126"/>
        <v>0</v>
      </c>
      <c r="O219" s="8">
        <f t="shared" ca="1" si="127"/>
        <v>0</v>
      </c>
      <c r="P219" s="8">
        <f t="shared" ca="1" si="128"/>
        <v>0</v>
      </c>
      <c r="Q219" s="8">
        <f t="shared" ca="1" si="129"/>
        <v>0</v>
      </c>
      <c r="R219" s="8">
        <f t="shared" ca="1" si="130"/>
        <v>0</v>
      </c>
      <c r="S219" s="8">
        <f t="shared" ca="1" si="131"/>
        <v>0</v>
      </c>
      <c r="T219" s="8">
        <f t="shared" ca="1" si="132"/>
        <v>0</v>
      </c>
      <c r="U219" s="8">
        <f t="shared" ca="1" si="133"/>
        <v>0</v>
      </c>
      <c r="V219" s="8">
        <f t="shared" ca="1" si="134"/>
        <v>0</v>
      </c>
      <c r="W219" s="11" t="str">
        <f t="shared" ca="1" si="135"/>
        <v/>
      </c>
      <c r="X219" s="11" t="str">
        <f t="shared" ca="1" si="136"/>
        <v/>
      </c>
      <c r="Y219" s="11" t="str">
        <f t="shared" ca="1" si="137"/>
        <v/>
      </c>
      <c r="Z219" s="11" t="str">
        <f t="shared" ca="1" si="138"/>
        <v/>
      </c>
      <c r="AA219" s="11" t="str">
        <f t="shared" ca="1" si="139"/>
        <v/>
      </c>
      <c r="AB219" s="47">
        <f ca="1">PlayerGameData[[#This Row],[3FGA]]+PlayerGameData[[#This Row],[2FGA]]</f>
        <v>0</v>
      </c>
      <c r="AC219" s="47">
        <f ca="1">PlayerGameData[[#This Row],[OFF REB]]+PlayerGameData[[#This Row],[DEF REB]]</f>
        <v>0</v>
      </c>
      <c r="AD219" s="8">
        <f t="shared" si="120"/>
        <v>9</v>
      </c>
      <c r="AE219" s="8" t="str">
        <f t="shared" ca="1" si="121"/>
        <v>,  - Faith, SD 1/13/2023</v>
      </c>
      <c r="AF219" s="8" t="str">
        <f t="shared" ca="1" si="140"/>
        <v/>
      </c>
      <c r="AG219" s="8" t="str">
        <f ca="1">IFERROR(IF(C219=0,"",IF(AND(VLOOKUP(PlayerGameData[[#This Row],[Opponent]],WYTeamInfo,2,FALSE)=Roster!$D$1,VLOOKUP(PlayerGameData[[#This Row],[Opponent]],WYTeamInfo,3,FALSE)=Roster!$D$2),"SR","")),"")</f>
        <v/>
      </c>
      <c r="AH219" s="8" t="str">
        <f>CONCATENATE(Roster!$D$1," ",Roster!$D$5)</f>
        <v>1A BB</v>
      </c>
      <c r="AI219" s="8" t="str">
        <f t="shared" ca="1" si="122"/>
        <v>Upton - Faith, SD 1/13/2023</v>
      </c>
      <c r="AJ219" s="8">
        <f ca="1">IFERROR(VLOOKUP(PlayerGameData[[#This Row],[School, Opponent,Game'#]],Table3[],2,FALSE),0)</f>
        <v>1</v>
      </c>
      <c r="AK219" s="8">
        <f ca="1">IF(PlayerGameData[[#This Row],[Visible]]=1,1,1000)</f>
        <v>1</v>
      </c>
      <c r="AL219" s="8">
        <f ca="1">RANK(PlayerGameData[[#This Row],[TL PTS]],PlayerGameData[TL PTS],0)+PlayerGameData[[#This Row],[VisibleOrder]]</f>
        <v>185</v>
      </c>
      <c r="AM219" s="8">
        <f ca="1">IF(COUNTIF(PlayerGameData[PointOrder],PlayerGameData[[#This Row],[PointOrder]])&gt;1,RANK(PlayerGameData[[#This Row],[FGA]],PlayerGameData[FGA],0)/100,0)+PlayerGameData[[#This Row],[PointOrder]]</f>
        <v>187.14</v>
      </c>
      <c r="AN219" s="8">
        <f ca="1">RANK(PlayerGameData[[#This Row],[PointTieBreak]],PlayerGameData[PointTieBreak],1)</f>
        <v>216</v>
      </c>
      <c r="AO219" s="8">
        <f ca="1">RANK(PlayerGameData[[#This Row],[REB]],PlayerGameData[REB],0)+PlayerGameData[[#This Row],[VisibleOrder]]</f>
        <v>192</v>
      </c>
      <c r="AP219" s="8">
        <f ca="1">IF(COUNTIF(PlayerGameData[REBOrder],PlayerGameData[[#This Row],[REBOrder]])&gt;1,PlayerGameData[[#This Row],[PointRank]]/100+PlayerGameData[[#This Row],[REBOrder]],PlayerGameData[[#This Row],[REBOrder]])</f>
        <v>194.16</v>
      </c>
      <c r="AQ219" s="8">
        <f ca="1">RANK(PlayerGameData[[#This Row],[REBTieBreak]],PlayerGameData[REBTieBreak],1)</f>
        <v>224</v>
      </c>
      <c r="AR219" s="8">
        <f ca="1">RANK(PlayerGameData[[#This Row],[AST]],PlayerGameData[AST],0)+PlayerGameData[[#This Row],[VisibleOrder]]</f>
        <v>158</v>
      </c>
      <c r="AS219" s="8">
        <f ca="1">IF(COUNTIF(PlayerGameData[ASTOrder],PlayerGameData[[#This Row],[ASTOrder]])&gt;1,PlayerGameData[[#This Row],[PointRank]]/100+PlayerGameData[[#This Row],[ASTOrder]],PlayerGameData[[#This Row],[ASTOrder]])</f>
        <v>160.16</v>
      </c>
      <c r="AT219" s="8">
        <f ca="1">RANK(PlayerGameData[[#This Row],[ASTTieBreak]],PlayerGameData[ASTTieBreak],1)</f>
        <v>221</v>
      </c>
      <c r="AU219" s="8">
        <f ca="1">RANK(PlayerGameData[[#This Row],[STL]],PlayerGameData[STL],0)+PlayerGameData[[#This Row],[VisibleOrder]]</f>
        <v>143</v>
      </c>
      <c r="AV219" s="8">
        <f ca="1">IF(COUNTIF(PlayerGameData[STLOrder],PlayerGameData[[#This Row],[STLOrder]])&gt;1,PlayerGameData[[#This Row],[PointRank]]/100+PlayerGameData[[#This Row],[STLOrder]],PlayerGameData[[#This Row],[STLOrder]])</f>
        <v>145.16</v>
      </c>
      <c r="AW219" s="8">
        <f ca="1">RANK(PlayerGameData[[#This Row],[STLTieBreak]],PlayerGameData[STLTieBreak],1)</f>
        <v>217</v>
      </c>
      <c r="AX219" s="8">
        <f ca="1">RANK(PlayerGameData[[#This Row],[BLK]],PlayerGameData[BLK],0)+PlayerGameData[[#This Row],[VisibleOrder]]</f>
        <v>32</v>
      </c>
      <c r="AY219" s="8">
        <f ca="1">IF(COUNTIF(PlayerGameData[BLKOrder],PlayerGameData[[#This Row],[BLKOrder]])&gt;1,PlayerGameData[[#This Row],[PointRank]]/100+PlayerGameData[[#This Row],[BLKOrder]],PlayerGameData[[#This Row],[BLKOrder]])</f>
        <v>34.159999999999997</v>
      </c>
      <c r="AZ219" s="8">
        <f ca="1">RANK(PlayerGameData[[#This Row],[BLKTieBreak]],PlayerGameData[BLKTieBreak],1)</f>
        <v>216</v>
      </c>
      <c r="BA219" s="11">
        <f ca="1">IFERROR(IF(PlayerGameData[[#This Row],[FGA]]&gt;$AA$5,PlayerGameData[[#This Row],[FG%*]],PlayerGameData[[#This Row],[FG%*]]*-1),-2)</f>
        <v>-2</v>
      </c>
      <c r="BB219" s="8">
        <f ca="1">RANK(PlayerGameData[[#This Row],[EligFG]],PlayerGameData[EligFG],0)+PlayerGameData[[#This Row],[VisibleOrder]]</f>
        <v>215</v>
      </c>
      <c r="BC219" s="8">
        <f ca="1">IF(COUNTIF(PlayerGameData[EligFGOrder],PlayerGameData[[#This Row],[EligFGOrder]])&gt;1,PlayerGameData[[#This Row],[PointRank]]/100+PlayerGameData[[#This Row],[EligFGOrder]],PlayerGameData[[#This Row],[EligFGOrder]])</f>
        <v>217.16</v>
      </c>
      <c r="BD219" s="8">
        <f ca="1">RANK(PlayerGameData[[#This Row],[EligFGTieBreak]],PlayerGameData[EligFGTieBreak],1)</f>
        <v>216</v>
      </c>
      <c r="BE219" s="8" t="str">
        <f>Roster!$D$3</f>
        <v>East</v>
      </c>
      <c r="BF219" s="8" t="str">
        <f>Roster!$D$2</f>
        <v>Northeast</v>
      </c>
      <c r="BG219" s="8" t="str">
        <f>Roster!$D$4</f>
        <v>North</v>
      </c>
      <c r="BH219" s="197">
        <f ca="1">IFERROR(VLOOKUP(CONCATENATE(PlayerGameData[[#This Row],[Opponent]]," ",MONTH(PlayerGameData[[#This Row],[Date]]),"/",DAY(PlayerGameData[[#This Row],[Date]]),"/",YEAR(PlayerGameData[[#This Row],[Date]])),Table35[],2,FALSE),0)</f>
        <v>1</v>
      </c>
      <c r="BI219" s="197">
        <f ca="1">IF(PlayerGameData[[#This Row],[Visible]]=1,1,1000)</f>
        <v>1</v>
      </c>
      <c r="BJ219" s="197" t="e">
        <f ca="1">_xlfn.MAXIFS(TeamGameData[Win],TeamGameData[School, Opponent,Game'#],PlayerGameData[[#This Row],[School, Opponent,Game'#]])</f>
        <v>#NAME?</v>
      </c>
      <c r="BK219" s="197" t="e">
        <f ca="1">_xlfn.MAXIFS(TeamGameData[Loss],TeamGameData[School, Opponent,Game'#],PlayerGameData[[#This Row],[School, Opponent,Game'#]])</f>
        <v>#NAME?</v>
      </c>
    </row>
    <row r="220" spans="1:63" x14ac:dyDescent="0.25">
      <c r="A220" s="8" t="str">
        <f t="shared" ca="1" si="123"/>
        <v xml:space="preserve">, </v>
      </c>
      <c r="B220" s="8" t="str">
        <f>Roster!$B$1</f>
        <v>Upton</v>
      </c>
      <c r="C220" s="8" t="str">
        <f t="shared" ca="1" si="111"/>
        <v>Faith, SD</v>
      </c>
      <c r="D220" s="10">
        <f t="shared" ca="1" si="112"/>
        <v>44939</v>
      </c>
      <c r="E220" s="8">
        <f t="shared" ca="1" si="113"/>
        <v>0</v>
      </c>
      <c r="F220" s="8">
        <f t="shared" ca="1" si="114"/>
        <v>0</v>
      </c>
      <c r="G220" s="8">
        <f t="shared" ca="1" si="115"/>
        <v>0</v>
      </c>
      <c r="H220" s="8">
        <f t="shared" ca="1" si="116"/>
        <v>0</v>
      </c>
      <c r="I220" s="8">
        <f t="shared" ca="1" si="117"/>
        <v>0</v>
      </c>
      <c r="J220" s="8">
        <f t="shared" ca="1" si="118"/>
        <v>0</v>
      </c>
      <c r="K220" s="8">
        <f t="shared" ca="1" si="119"/>
        <v>0</v>
      </c>
      <c r="L220" s="8">
        <f t="shared" ca="1" si="124"/>
        <v>0</v>
      </c>
      <c r="M220" s="8">
        <f t="shared" ca="1" si="125"/>
        <v>0</v>
      </c>
      <c r="N220" s="8">
        <f t="shared" ca="1" si="126"/>
        <v>0</v>
      </c>
      <c r="O220" s="8">
        <f t="shared" ca="1" si="127"/>
        <v>0</v>
      </c>
      <c r="P220" s="8">
        <f t="shared" ca="1" si="128"/>
        <v>0</v>
      </c>
      <c r="Q220" s="8">
        <f t="shared" ca="1" si="129"/>
        <v>0</v>
      </c>
      <c r="R220" s="8">
        <f t="shared" ca="1" si="130"/>
        <v>0</v>
      </c>
      <c r="S220" s="8">
        <f t="shared" ca="1" si="131"/>
        <v>0</v>
      </c>
      <c r="T220" s="8">
        <f t="shared" ca="1" si="132"/>
        <v>0</v>
      </c>
      <c r="U220" s="8">
        <f t="shared" ca="1" si="133"/>
        <v>0</v>
      </c>
      <c r="V220" s="8">
        <f t="shared" ca="1" si="134"/>
        <v>0</v>
      </c>
      <c r="W220" s="11" t="str">
        <f t="shared" ca="1" si="135"/>
        <v/>
      </c>
      <c r="X220" s="11" t="str">
        <f t="shared" ca="1" si="136"/>
        <v/>
      </c>
      <c r="Y220" s="11" t="str">
        <f t="shared" ca="1" si="137"/>
        <v/>
      </c>
      <c r="Z220" s="11" t="str">
        <f t="shared" ca="1" si="138"/>
        <v/>
      </c>
      <c r="AA220" s="11" t="str">
        <f t="shared" ca="1" si="139"/>
        <v/>
      </c>
      <c r="AB220" s="47">
        <f ca="1">PlayerGameData[[#This Row],[3FGA]]+PlayerGameData[[#This Row],[2FGA]]</f>
        <v>0</v>
      </c>
      <c r="AC220" s="47">
        <f ca="1">PlayerGameData[[#This Row],[OFF REB]]+PlayerGameData[[#This Row],[DEF REB]]</f>
        <v>0</v>
      </c>
      <c r="AD220" s="8">
        <f t="shared" si="120"/>
        <v>9</v>
      </c>
      <c r="AE220" s="8" t="str">
        <f t="shared" ca="1" si="121"/>
        <v>,  - Faith, SD 1/13/2023</v>
      </c>
      <c r="AF220" s="8" t="str">
        <f t="shared" ca="1" si="140"/>
        <v/>
      </c>
      <c r="AG220" s="8" t="str">
        <f ca="1">IFERROR(IF(C220=0,"",IF(AND(VLOOKUP(PlayerGameData[[#This Row],[Opponent]],WYTeamInfo,2,FALSE)=Roster!$D$1,VLOOKUP(PlayerGameData[[#This Row],[Opponent]],WYTeamInfo,3,FALSE)=Roster!$D$2),"SR","")),"")</f>
        <v/>
      </c>
      <c r="AH220" s="8" t="str">
        <f>CONCATENATE(Roster!$D$1," ",Roster!$D$5)</f>
        <v>1A BB</v>
      </c>
      <c r="AI220" s="8" t="str">
        <f t="shared" ca="1" si="122"/>
        <v>Upton - Faith, SD 1/13/2023</v>
      </c>
      <c r="AJ220" s="8">
        <f ca="1">IFERROR(VLOOKUP(PlayerGameData[[#This Row],[School, Opponent,Game'#]],Table3[],2,FALSE),0)</f>
        <v>1</v>
      </c>
      <c r="AK220" s="8">
        <f ca="1">IF(PlayerGameData[[#This Row],[Visible]]=1,1,1000)</f>
        <v>1</v>
      </c>
      <c r="AL220" s="8">
        <f ca="1">RANK(PlayerGameData[[#This Row],[TL PTS]],PlayerGameData[TL PTS],0)+PlayerGameData[[#This Row],[VisibleOrder]]</f>
        <v>185</v>
      </c>
      <c r="AM220" s="8">
        <f ca="1">IF(COUNTIF(PlayerGameData[PointOrder],PlayerGameData[[#This Row],[PointOrder]])&gt;1,RANK(PlayerGameData[[#This Row],[FGA]],PlayerGameData[FGA],0)/100,0)+PlayerGameData[[#This Row],[PointOrder]]</f>
        <v>187.14</v>
      </c>
      <c r="AN220" s="8">
        <f ca="1">RANK(PlayerGameData[[#This Row],[PointTieBreak]],PlayerGameData[PointTieBreak],1)</f>
        <v>216</v>
      </c>
      <c r="AO220" s="8">
        <f ca="1">RANK(PlayerGameData[[#This Row],[REB]],PlayerGameData[REB],0)+PlayerGameData[[#This Row],[VisibleOrder]]</f>
        <v>192</v>
      </c>
      <c r="AP220" s="8">
        <f ca="1">IF(COUNTIF(PlayerGameData[REBOrder],PlayerGameData[[#This Row],[REBOrder]])&gt;1,PlayerGameData[[#This Row],[PointRank]]/100+PlayerGameData[[#This Row],[REBOrder]],PlayerGameData[[#This Row],[REBOrder]])</f>
        <v>194.16</v>
      </c>
      <c r="AQ220" s="8">
        <f ca="1">RANK(PlayerGameData[[#This Row],[REBTieBreak]],PlayerGameData[REBTieBreak],1)</f>
        <v>224</v>
      </c>
      <c r="AR220" s="8">
        <f ca="1">RANK(PlayerGameData[[#This Row],[AST]],PlayerGameData[AST],0)+PlayerGameData[[#This Row],[VisibleOrder]]</f>
        <v>158</v>
      </c>
      <c r="AS220" s="8">
        <f ca="1">IF(COUNTIF(PlayerGameData[ASTOrder],PlayerGameData[[#This Row],[ASTOrder]])&gt;1,PlayerGameData[[#This Row],[PointRank]]/100+PlayerGameData[[#This Row],[ASTOrder]],PlayerGameData[[#This Row],[ASTOrder]])</f>
        <v>160.16</v>
      </c>
      <c r="AT220" s="8">
        <f ca="1">RANK(PlayerGameData[[#This Row],[ASTTieBreak]],PlayerGameData[ASTTieBreak],1)</f>
        <v>221</v>
      </c>
      <c r="AU220" s="8">
        <f ca="1">RANK(PlayerGameData[[#This Row],[STL]],PlayerGameData[STL],0)+PlayerGameData[[#This Row],[VisibleOrder]]</f>
        <v>143</v>
      </c>
      <c r="AV220" s="8">
        <f ca="1">IF(COUNTIF(PlayerGameData[STLOrder],PlayerGameData[[#This Row],[STLOrder]])&gt;1,PlayerGameData[[#This Row],[PointRank]]/100+PlayerGameData[[#This Row],[STLOrder]],PlayerGameData[[#This Row],[STLOrder]])</f>
        <v>145.16</v>
      </c>
      <c r="AW220" s="8">
        <f ca="1">RANK(PlayerGameData[[#This Row],[STLTieBreak]],PlayerGameData[STLTieBreak],1)</f>
        <v>217</v>
      </c>
      <c r="AX220" s="8">
        <f ca="1">RANK(PlayerGameData[[#This Row],[BLK]],PlayerGameData[BLK],0)+PlayerGameData[[#This Row],[VisibleOrder]]</f>
        <v>32</v>
      </c>
      <c r="AY220" s="8">
        <f ca="1">IF(COUNTIF(PlayerGameData[BLKOrder],PlayerGameData[[#This Row],[BLKOrder]])&gt;1,PlayerGameData[[#This Row],[PointRank]]/100+PlayerGameData[[#This Row],[BLKOrder]],PlayerGameData[[#This Row],[BLKOrder]])</f>
        <v>34.159999999999997</v>
      </c>
      <c r="AZ220" s="8">
        <f ca="1">RANK(PlayerGameData[[#This Row],[BLKTieBreak]],PlayerGameData[BLKTieBreak],1)</f>
        <v>216</v>
      </c>
      <c r="BA220" s="11">
        <f ca="1">IFERROR(IF(PlayerGameData[[#This Row],[FGA]]&gt;$AA$5,PlayerGameData[[#This Row],[FG%*]],PlayerGameData[[#This Row],[FG%*]]*-1),-2)</f>
        <v>-2</v>
      </c>
      <c r="BB220" s="8">
        <f ca="1">RANK(PlayerGameData[[#This Row],[EligFG]],PlayerGameData[EligFG],0)+PlayerGameData[[#This Row],[VisibleOrder]]</f>
        <v>215</v>
      </c>
      <c r="BC220" s="8">
        <f ca="1">IF(COUNTIF(PlayerGameData[EligFGOrder],PlayerGameData[[#This Row],[EligFGOrder]])&gt;1,PlayerGameData[[#This Row],[PointRank]]/100+PlayerGameData[[#This Row],[EligFGOrder]],PlayerGameData[[#This Row],[EligFGOrder]])</f>
        <v>217.16</v>
      </c>
      <c r="BD220" s="8">
        <f ca="1">RANK(PlayerGameData[[#This Row],[EligFGTieBreak]],PlayerGameData[EligFGTieBreak],1)</f>
        <v>216</v>
      </c>
      <c r="BE220" s="8" t="str">
        <f>Roster!$D$3</f>
        <v>East</v>
      </c>
      <c r="BF220" s="8" t="str">
        <f>Roster!$D$2</f>
        <v>Northeast</v>
      </c>
      <c r="BG220" s="8" t="str">
        <f>Roster!$D$4</f>
        <v>North</v>
      </c>
      <c r="BH220" s="197">
        <f ca="1">IFERROR(VLOOKUP(CONCATENATE(PlayerGameData[[#This Row],[Opponent]]," ",MONTH(PlayerGameData[[#This Row],[Date]]),"/",DAY(PlayerGameData[[#This Row],[Date]]),"/",YEAR(PlayerGameData[[#This Row],[Date]])),Table35[],2,FALSE),0)</f>
        <v>1</v>
      </c>
      <c r="BI220" s="197">
        <f ca="1">IF(PlayerGameData[[#This Row],[Visible]]=1,1,1000)</f>
        <v>1</v>
      </c>
      <c r="BJ220" s="197" t="e">
        <f ca="1">_xlfn.MAXIFS(TeamGameData[Win],TeamGameData[School, Opponent,Game'#],PlayerGameData[[#This Row],[School, Opponent,Game'#]])</f>
        <v>#NAME?</v>
      </c>
      <c r="BK220" s="197" t="e">
        <f ca="1">_xlfn.MAXIFS(TeamGameData[Loss],TeamGameData[School, Opponent,Game'#],PlayerGameData[[#This Row],[School, Opponent,Game'#]])</f>
        <v>#NAME?</v>
      </c>
    </row>
    <row r="221" spans="1:63" x14ac:dyDescent="0.25">
      <c r="A221" s="8" t="str">
        <f t="shared" ca="1" si="123"/>
        <v xml:space="preserve">, </v>
      </c>
      <c r="B221" s="8" t="str">
        <f>Roster!$B$1</f>
        <v>Upton</v>
      </c>
      <c r="C221" s="8" t="str">
        <f t="shared" ca="1" si="111"/>
        <v>Faith, SD</v>
      </c>
      <c r="D221" s="10">
        <f t="shared" ca="1" si="112"/>
        <v>44939</v>
      </c>
      <c r="E221" s="8">
        <f t="shared" ca="1" si="113"/>
        <v>0</v>
      </c>
      <c r="F221" s="8">
        <f t="shared" ca="1" si="114"/>
        <v>0</v>
      </c>
      <c r="G221" s="8">
        <f t="shared" ca="1" si="115"/>
        <v>0</v>
      </c>
      <c r="H221" s="8">
        <f t="shared" ca="1" si="116"/>
        <v>0</v>
      </c>
      <c r="I221" s="8">
        <f t="shared" ca="1" si="117"/>
        <v>0</v>
      </c>
      <c r="J221" s="8">
        <f t="shared" ca="1" si="118"/>
        <v>0</v>
      </c>
      <c r="K221" s="8">
        <f t="shared" ca="1" si="119"/>
        <v>0</v>
      </c>
      <c r="L221" s="8">
        <f t="shared" ca="1" si="124"/>
        <v>0</v>
      </c>
      <c r="M221" s="8">
        <f t="shared" ca="1" si="125"/>
        <v>0</v>
      </c>
      <c r="N221" s="8">
        <f t="shared" ca="1" si="126"/>
        <v>0</v>
      </c>
      <c r="O221" s="8">
        <f t="shared" ca="1" si="127"/>
        <v>0</v>
      </c>
      <c r="P221" s="8">
        <f t="shared" ca="1" si="128"/>
        <v>0</v>
      </c>
      <c r="Q221" s="8">
        <f t="shared" ca="1" si="129"/>
        <v>0</v>
      </c>
      <c r="R221" s="8">
        <f t="shared" ca="1" si="130"/>
        <v>0</v>
      </c>
      <c r="S221" s="8">
        <f t="shared" ca="1" si="131"/>
        <v>0</v>
      </c>
      <c r="T221" s="8">
        <f t="shared" ca="1" si="132"/>
        <v>0</v>
      </c>
      <c r="U221" s="8">
        <f t="shared" ca="1" si="133"/>
        <v>0</v>
      </c>
      <c r="V221" s="8">
        <f t="shared" ca="1" si="134"/>
        <v>0</v>
      </c>
      <c r="W221" s="11" t="str">
        <f t="shared" ca="1" si="135"/>
        <v/>
      </c>
      <c r="X221" s="11" t="str">
        <f t="shared" ca="1" si="136"/>
        <v/>
      </c>
      <c r="Y221" s="11" t="str">
        <f t="shared" ca="1" si="137"/>
        <v/>
      </c>
      <c r="Z221" s="11" t="str">
        <f t="shared" ca="1" si="138"/>
        <v/>
      </c>
      <c r="AA221" s="11" t="str">
        <f t="shared" ca="1" si="139"/>
        <v/>
      </c>
      <c r="AB221" s="47">
        <f ca="1">PlayerGameData[[#This Row],[3FGA]]+PlayerGameData[[#This Row],[2FGA]]</f>
        <v>0</v>
      </c>
      <c r="AC221" s="47">
        <f ca="1">PlayerGameData[[#This Row],[OFF REB]]+PlayerGameData[[#This Row],[DEF REB]]</f>
        <v>0</v>
      </c>
      <c r="AD221" s="8">
        <f t="shared" si="120"/>
        <v>9</v>
      </c>
      <c r="AE221" s="8" t="str">
        <f t="shared" ca="1" si="121"/>
        <v>,  - Faith, SD 1/13/2023</v>
      </c>
      <c r="AF221" s="8" t="str">
        <f t="shared" ca="1" si="140"/>
        <v/>
      </c>
      <c r="AG221" s="8" t="str">
        <f ca="1">IFERROR(IF(C221=0,"",IF(AND(VLOOKUP(PlayerGameData[[#This Row],[Opponent]],WYTeamInfo,2,FALSE)=Roster!$D$1,VLOOKUP(PlayerGameData[[#This Row],[Opponent]],WYTeamInfo,3,FALSE)=Roster!$D$2),"SR","")),"")</f>
        <v/>
      </c>
      <c r="AH221" s="8" t="str">
        <f>CONCATENATE(Roster!$D$1," ",Roster!$D$5)</f>
        <v>1A BB</v>
      </c>
      <c r="AI221" s="8" t="str">
        <f t="shared" ca="1" si="122"/>
        <v>Upton - Faith, SD 1/13/2023</v>
      </c>
      <c r="AJ221" s="8">
        <f ca="1">IFERROR(VLOOKUP(PlayerGameData[[#This Row],[School, Opponent,Game'#]],Table3[],2,FALSE),0)</f>
        <v>1</v>
      </c>
      <c r="AK221" s="8">
        <f ca="1">IF(PlayerGameData[[#This Row],[Visible]]=1,1,1000)</f>
        <v>1</v>
      </c>
      <c r="AL221" s="8">
        <f ca="1">RANK(PlayerGameData[[#This Row],[TL PTS]],PlayerGameData[TL PTS],0)+PlayerGameData[[#This Row],[VisibleOrder]]</f>
        <v>185</v>
      </c>
      <c r="AM221" s="8">
        <f ca="1">IF(COUNTIF(PlayerGameData[PointOrder],PlayerGameData[[#This Row],[PointOrder]])&gt;1,RANK(PlayerGameData[[#This Row],[FGA]],PlayerGameData[FGA],0)/100,0)+PlayerGameData[[#This Row],[PointOrder]]</f>
        <v>187.14</v>
      </c>
      <c r="AN221" s="8">
        <f ca="1">RANK(PlayerGameData[[#This Row],[PointTieBreak]],PlayerGameData[PointTieBreak],1)</f>
        <v>216</v>
      </c>
      <c r="AO221" s="8">
        <f ca="1">RANK(PlayerGameData[[#This Row],[REB]],PlayerGameData[REB],0)+PlayerGameData[[#This Row],[VisibleOrder]]</f>
        <v>192</v>
      </c>
      <c r="AP221" s="8">
        <f ca="1">IF(COUNTIF(PlayerGameData[REBOrder],PlayerGameData[[#This Row],[REBOrder]])&gt;1,PlayerGameData[[#This Row],[PointRank]]/100+PlayerGameData[[#This Row],[REBOrder]],PlayerGameData[[#This Row],[REBOrder]])</f>
        <v>194.16</v>
      </c>
      <c r="AQ221" s="8">
        <f ca="1">RANK(PlayerGameData[[#This Row],[REBTieBreak]],PlayerGameData[REBTieBreak],1)</f>
        <v>224</v>
      </c>
      <c r="AR221" s="8">
        <f ca="1">RANK(PlayerGameData[[#This Row],[AST]],PlayerGameData[AST],0)+PlayerGameData[[#This Row],[VisibleOrder]]</f>
        <v>158</v>
      </c>
      <c r="AS221" s="8">
        <f ca="1">IF(COUNTIF(PlayerGameData[ASTOrder],PlayerGameData[[#This Row],[ASTOrder]])&gt;1,PlayerGameData[[#This Row],[PointRank]]/100+PlayerGameData[[#This Row],[ASTOrder]],PlayerGameData[[#This Row],[ASTOrder]])</f>
        <v>160.16</v>
      </c>
      <c r="AT221" s="8">
        <f ca="1">RANK(PlayerGameData[[#This Row],[ASTTieBreak]],PlayerGameData[ASTTieBreak],1)</f>
        <v>221</v>
      </c>
      <c r="AU221" s="8">
        <f ca="1">RANK(PlayerGameData[[#This Row],[STL]],PlayerGameData[STL],0)+PlayerGameData[[#This Row],[VisibleOrder]]</f>
        <v>143</v>
      </c>
      <c r="AV221" s="8">
        <f ca="1">IF(COUNTIF(PlayerGameData[STLOrder],PlayerGameData[[#This Row],[STLOrder]])&gt;1,PlayerGameData[[#This Row],[PointRank]]/100+PlayerGameData[[#This Row],[STLOrder]],PlayerGameData[[#This Row],[STLOrder]])</f>
        <v>145.16</v>
      </c>
      <c r="AW221" s="8">
        <f ca="1">RANK(PlayerGameData[[#This Row],[STLTieBreak]],PlayerGameData[STLTieBreak],1)</f>
        <v>217</v>
      </c>
      <c r="AX221" s="8">
        <f ca="1">RANK(PlayerGameData[[#This Row],[BLK]],PlayerGameData[BLK],0)+PlayerGameData[[#This Row],[VisibleOrder]]</f>
        <v>32</v>
      </c>
      <c r="AY221" s="8">
        <f ca="1">IF(COUNTIF(PlayerGameData[BLKOrder],PlayerGameData[[#This Row],[BLKOrder]])&gt;1,PlayerGameData[[#This Row],[PointRank]]/100+PlayerGameData[[#This Row],[BLKOrder]],PlayerGameData[[#This Row],[BLKOrder]])</f>
        <v>34.159999999999997</v>
      </c>
      <c r="AZ221" s="8">
        <f ca="1">RANK(PlayerGameData[[#This Row],[BLKTieBreak]],PlayerGameData[BLKTieBreak],1)</f>
        <v>216</v>
      </c>
      <c r="BA221" s="11">
        <f ca="1">IFERROR(IF(PlayerGameData[[#This Row],[FGA]]&gt;$AA$5,PlayerGameData[[#This Row],[FG%*]],PlayerGameData[[#This Row],[FG%*]]*-1),-2)</f>
        <v>-2</v>
      </c>
      <c r="BB221" s="8">
        <f ca="1">RANK(PlayerGameData[[#This Row],[EligFG]],PlayerGameData[EligFG],0)+PlayerGameData[[#This Row],[VisibleOrder]]</f>
        <v>215</v>
      </c>
      <c r="BC221" s="8">
        <f ca="1">IF(COUNTIF(PlayerGameData[EligFGOrder],PlayerGameData[[#This Row],[EligFGOrder]])&gt;1,PlayerGameData[[#This Row],[PointRank]]/100+PlayerGameData[[#This Row],[EligFGOrder]],PlayerGameData[[#This Row],[EligFGOrder]])</f>
        <v>217.16</v>
      </c>
      <c r="BD221" s="8">
        <f ca="1">RANK(PlayerGameData[[#This Row],[EligFGTieBreak]],PlayerGameData[EligFGTieBreak],1)</f>
        <v>216</v>
      </c>
      <c r="BE221" s="8" t="str">
        <f>Roster!$D$3</f>
        <v>East</v>
      </c>
      <c r="BF221" s="8" t="str">
        <f>Roster!$D$2</f>
        <v>Northeast</v>
      </c>
      <c r="BG221" s="8" t="str">
        <f>Roster!$D$4</f>
        <v>North</v>
      </c>
      <c r="BH221" s="197">
        <f ca="1">IFERROR(VLOOKUP(CONCATENATE(PlayerGameData[[#This Row],[Opponent]]," ",MONTH(PlayerGameData[[#This Row],[Date]]),"/",DAY(PlayerGameData[[#This Row],[Date]]),"/",YEAR(PlayerGameData[[#This Row],[Date]])),Table35[],2,FALSE),0)</f>
        <v>1</v>
      </c>
      <c r="BI221" s="197">
        <f ca="1">IF(PlayerGameData[[#This Row],[Visible]]=1,1,1000)</f>
        <v>1</v>
      </c>
      <c r="BJ221" s="197" t="e">
        <f ca="1">_xlfn.MAXIFS(TeamGameData[Win],TeamGameData[School, Opponent,Game'#],PlayerGameData[[#This Row],[School, Opponent,Game'#]])</f>
        <v>#NAME?</v>
      </c>
      <c r="BK221" s="197" t="e">
        <f ca="1">_xlfn.MAXIFS(TeamGameData[Loss],TeamGameData[School, Opponent,Game'#],PlayerGameData[[#This Row],[School, Opponent,Game'#]])</f>
        <v>#NAME?</v>
      </c>
    </row>
    <row r="222" spans="1:63" x14ac:dyDescent="0.25">
      <c r="A222" s="8" t="str">
        <f t="shared" ca="1" si="123"/>
        <v xml:space="preserve">Team, </v>
      </c>
      <c r="B222" s="8" t="str">
        <f>Roster!$B$1</f>
        <v>Upton</v>
      </c>
      <c r="C222" s="8" t="str">
        <f t="shared" ca="1" si="111"/>
        <v>Faith, SD</v>
      </c>
      <c r="D222" s="10">
        <f t="shared" ca="1" si="112"/>
        <v>44939</v>
      </c>
      <c r="E222" s="8">
        <f t="shared" ca="1" si="113"/>
        <v>0</v>
      </c>
      <c r="F222" s="8">
        <f t="shared" ca="1" si="114"/>
        <v>0</v>
      </c>
      <c r="G222" s="8">
        <f t="shared" ca="1" si="115"/>
        <v>0</v>
      </c>
      <c r="H222" s="8">
        <f t="shared" ca="1" si="116"/>
        <v>0</v>
      </c>
      <c r="I222" s="8">
        <f t="shared" ca="1" si="117"/>
        <v>0</v>
      </c>
      <c r="J222" s="8">
        <f t="shared" ca="1" si="118"/>
        <v>0</v>
      </c>
      <c r="K222" s="8">
        <f t="shared" ca="1" si="119"/>
        <v>0</v>
      </c>
      <c r="L222" s="8">
        <f t="shared" ca="1" si="124"/>
        <v>0</v>
      </c>
      <c r="M222" s="8">
        <f t="shared" ca="1" si="125"/>
        <v>0</v>
      </c>
      <c r="N222" s="8">
        <f t="shared" ca="1" si="126"/>
        <v>0</v>
      </c>
      <c r="O222" s="8">
        <f t="shared" ca="1" si="127"/>
        <v>0</v>
      </c>
      <c r="P222" s="8">
        <f t="shared" ca="1" si="128"/>
        <v>0</v>
      </c>
      <c r="Q222" s="8">
        <f t="shared" ca="1" si="129"/>
        <v>0</v>
      </c>
      <c r="R222" s="8">
        <f t="shared" ca="1" si="130"/>
        <v>0</v>
      </c>
      <c r="S222" s="8">
        <f t="shared" ca="1" si="131"/>
        <v>0</v>
      </c>
      <c r="T222" s="8">
        <f t="shared" ca="1" si="132"/>
        <v>0</v>
      </c>
      <c r="U222" s="8">
        <f t="shared" ca="1" si="133"/>
        <v>0</v>
      </c>
      <c r="V222" s="8">
        <f t="shared" ca="1" si="134"/>
        <v>0</v>
      </c>
      <c r="W222" s="11" t="str">
        <f t="shared" ca="1" si="135"/>
        <v/>
      </c>
      <c r="X222" s="11" t="str">
        <f t="shared" ca="1" si="136"/>
        <v/>
      </c>
      <c r="Y222" s="11" t="str">
        <f t="shared" ca="1" si="137"/>
        <v/>
      </c>
      <c r="Z222" s="11" t="str">
        <f t="shared" ca="1" si="138"/>
        <v/>
      </c>
      <c r="AA222" s="11" t="str">
        <f t="shared" ca="1" si="139"/>
        <v/>
      </c>
      <c r="AB222" s="47">
        <f ca="1">PlayerGameData[[#This Row],[3FGA]]+PlayerGameData[[#This Row],[2FGA]]</f>
        <v>0</v>
      </c>
      <c r="AC222" s="47">
        <f ca="1">PlayerGameData[[#This Row],[OFF REB]]+PlayerGameData[[#This Row],[DEF REB]]</f>
        <v>0</v>
      </c>
      <c r="AD222" s="8">
        <f t="shared" si="120"/>
        <v>9</v>
      </c>
      <c r="AE222" s="8" t="str">
        <f t="shared" ca="1" si="121"/>
        <v>Team,  - Faith, SD 1/13/2023</v>
      </c>
      <c r="AF222" s="8" t="str">
        <f t="shared" ca="1" si="140"/>
        <v/>
      </c>
      <c r="AG222" s="8" t="str">
        <f ca="1">IFERROR(IF(C222=0,"",IF(AND(VLOOKUP(PlayerGameData[[#This Row],[Opponent]],WYTeamInfo,2,FALSE)=Roster!$D$1,VLOOKUP(PlayerGameData[[#This Row],[Opponent]],WYTeamInfo,3,FALSE)=Roster!$D$2),"SR","")),"")</f>
        <v/>
      </c>
      <c r="AH222" s="8" t="str">
        <f>CONCATENATE(Roster!$D$1," ",Roster!$D$5)</f>
        <v>1A BB</v>
      </c>
      <c r="AI222" s="8" t="str">
        <f t="shared" ca="1" si="122"/>
        <v>Upton - Faith, SD 1/13/2023</v>
      </c>
      <c r="AJ222" s="8">
        <f ca="1">IFERROR(VLOOKUP(PlayerGameData[[#This Row],[School, Opponent,Game'#]],Table3[],2,FALSE),0)</f>
        <v>1</v>
      </c>
      <c r="AK222" s="8">
        <f ca="1">IF(PlayerGameData[[#This Row],[Visible]]=1,1,1000)</f>
        <v>1</v>
      </c>
      <c r="AL222" s="8">
        <f ca="1">RANK(PlayerGameData[[#This Row],[TL PTS]],PlayerGameData[TL PTS],0)+PlayerGameData[[#This Row],[VisibleOrder]]</f>
        <v>185</v>
      </c>
      <c r="AM222" s="8">
        <f ca="1">IF(COUNTIF(PlayerGameData[PointOrder],PlayerGameData[[#This Row],[PointOrder]])&gt;1,RANK(PlayerGameData[[#This Row],[FGA]],PlayerGameData[FGA],0)/100,0)+PlayerGameData[[#This Row],[PointOrder]]</f>
        <v>187.14</v>
      </c>
      <c r="AN222" s="8">
        <f ca="1">RANK(PlayerGameData[[#This Row],[PointTieBreak]],PlayerGameData[PointTieBreak],1)</f>
        <v>216</v>
      </c>
      <c r="AO222" s="8">
        <f ca="1">RANK(PlayerGameData[[#This Row],[REB]],PlayerGameData[REB],0)+PlayerGameData[[#This Row],[VisibleOrder]]</f>
        <v>192</v>
      </c>
      <c r="AP222" s="8">
        <f ca="1">IF(COUNTIF(PlayerGameData[REBOrder],PlayerGameData[[#This Row],[REBOrder]])&gt;1,PlayerGameData[[#This Row],[PointRank]]/100+PlayerGameData[[#This Row],[REBOrder]],PlayerGameData[[#This Row],[REBOrder]])</f>
        <v>194.16</v>
      </c>
      <c r="AQ222" s="8">
        <f ca="1">RANK(PlayerGameData[[#This Row],[REBTieBreak]],PlayerGameData[REBTieBreak],1)</f>
        <v>224</v>
      </c>
      <c r="AR222" s="8">
        <f ca="1">RANK(PlayerGameData[[#This Row],[AST]],PlayerGameData[AST],0)+PlayerGameData[[#This Row],[VisibleOrder]]</f>
        <v>158</v>
      </c>
      <c r="AS222" s="8">
        <f ca="1">IF(COUNTIF(PlayerGameData[ASTOrder],PlayerGameData[[#This Row],[ASTOrder]])&gt;1,PlayerGameData[[#This Row],[PointRank]]/100+PlayerGameData[[#This Row],[ASTOrder]],PlayerGameData[[#This Row],[ASTOrder]])</f>
        <v>160.16</v>
      </c>
      <c r="AT222" s="8">
        <f ca="1">RANK(PlayerGameData[[#This Row],[ASTTieBreak]],PlayerGameData[ASTTieBreak],1)</f>
        <v>221</v>
      </c>
      <c r="AU222" s="8">
        <f ca="1">RANK(PlayerGameData[[#This Row],[STL]],PlayerGameData[STL],0)+PlayerGameData[[#This Row],[VisibleOrder]]</f>
        <v>143</v>
      </c>
      <c r="AV222" s="8">
        <f ca="1">IF(COUNTIF(PlayerGameData[STLOrder],PlayerGameData[[#This Row],[STLOrder]])&gt;1,PlayerGameData[[#This Row],[PointRank]]/100+PlayerGameData[[#This Row],[STLOrder]],PlayerGameData[[#This Row],[STLOrder]])</f>
        <v>145.16</v>
      </c>
      <c r="AW222" s="8">
        <f ca="1">RANK(PlayerGameData[[#This Row],[STLTieBreak]],PlayerGameData[STLTieBreak],1)</f>
        <v>217</v>
      </c>
      <c r="AX222" s="8">
        <f ca="1">RANK(PlayerGameData[[#This Row],[BLK]],PlayerGameData[BLK],0)+PlayerGameData[[#This Row],[VisibleOrder]]</f>
        <v>32</v>
      </c>
      <c r="AY222" s="8">
        <f ca="1">IF(COUNTIF(PlayerGameData[BLKOrder],PlayerGameData[[#This Row],[BLKOrder]])&gt;1,PlayerGameData[[#This Row],[PointRank]]/100+PlayerGameData[[#This Row],[BLKOrder]],PlayerGameData[[#This Row],[BLKOrder]])</f>
        <v>34.159999999999997</v>
      </c>
      <c r="AZ222" s="8">
        <f ca="1">RANK(PlayerGameData[[#This Row],[BLKTieBreak]],PlayerGameData[BLKTieBreak],1)</f>
        <v>216</v>
      </c>
      <c r="BA222" s="11">
        <f ca="1">IFERROR(IF(PlayerGameData[[#This Row],[FGA]]&gt;$AA$5,PlayerGameData[[#This Row],[FG%*]],PlayerGameData[[#This Row],[FG%*]]*-1),-2)</f>
        <v>-2</v>
      </c>
      <c r="BB222" s="8">
        <f ca="1">RANK(PlayerGameData[[#This Row],[EligFG]],PlayerGameData[EligFG],0)+PlayerGameData[[#This Row],[VisibleOrder]]</f>
        <v>215</v>
      </c>
      <c r="BC222" s="8">
        <f ca="1">IF(COUNTIF(PlayerGameData[EligFGOrder],PlayerGameData[[#This Row],[EligFGOrder]])&gt;1,PlayerGameData[[#This Row],[PointRank]]/100+PlayerGameData[[#This Row],[EligFGOrder]],PlayerGameData[[#This Row],[EligFGOrder]])</f>
        <v>217.16</v>
      </c>
      <c r="BD222" s="8">
        <f ca="1">RANK(PlayerGameData[[#This Row],[EligFGTieBreak]],PlayerGameData[EligFGTieBreak],1)</f>
        <v>216</v>
      </c>
      <c r="BE222" s="8" t="str">
        <f>Roster!$D$3</f>
        <v>East</v>
      </c>
      <c r="BF222" s="8" t="str">
        <f>Roster!$D$2</f>
        <v>Northeast</v>
      </c>
      <c r="BG222" s="8" t="str">
        <f>Roster!$D$4</f>
        <v>North</v>
      </c>
      <c r="BH222" s="197">
        <f ca="1">IFERROR(VLOOKUP(CONCATENATE(PlayerGameData[[#This Row],[Opponent]]," ",MONTH(PlayerGameData[[#This Row],[Date]]),"/",DAY(PlayerGameData[[#This Row],[Date]]),"/",YEAR(PlayerGameData[[#This Row],[Date]])),Table35[],2,FALSE),0)</f>
        <v>1</v>
      </c>
      <c r="BI222" s="197">
        <f ca="1">IF(PlayerGameData[[#This Row],[Visible]]=1,1,1000)</f>
        <v>1</v>
      </c>
      <c r="BJ222" s="197" t="e">
        <f ca="1">_xlfn.MAXIFS(TeamGameData[Win],TeamGameData[School, Opponent,Game'#],PlayerGameData[[#This Row],[School, Opponent,Game'#]])</f>
        <v>#NAME?</v>
      </c>
      <c r="BK222" s="197" t="e">
        <f ca="1">_xlfn.MAXIFS(TeamGameData[Loss],TeamGameData[School, Opponent,Game'#],PlayerGameData[[#This Row],[School, Opponent,Game'#]])</f>
        <v>#NAME?</v>
      </c>
    </row>
    <row r="223" spans="1:63" x14ac:dyDescent="0.25">
      <c r="A223" s="8" t="str">
        <f t="shared" ca="1" si="123"/>
        <v>Landon Butler, 1</v>
      </c>
      <c r="B223" s="8" t="str">
        <f>Roster!$B$1</f>
        <v>Upton</v>
      </c>
      <c r="C223" s="8" t="str">
        <f t="shared" ca="1" si="111"/>
        <v>Moorcroft</v>
      </c>
      <c r="D223" s="10">
        <f t="shared" ca="1" si="112"/>
        <v>44940</v>
      </c>
      <c r="E223" s="8">
        <f t="shared" ca="1" si="113"/>
        <v>1</v>
      </c>
      <c r="F223" s="8">
        <f t="shared" ca="1" si="114"/>
        <v>0</v>
      </c>
      <c r="G223" s="8">
        <f t="shared" ca="1" si="115"/>
        <v>1</v>
      </c>
      <c r="H223" s="8">
        <f t="shared" ca="1" si="116"/>
        <v>0</v>
      </c>
      <c r="I223" s="8">
        <f t="shared" ca="1" si="117"/>
        <v>0</v>
      </c>
      <c r="J223" s="8">
        <f t="shared" ca="1" si="118"/>
        <v>0</v>
      </c>
      <c r="K223" s="8">
        <f t="shared" ca="1" si="119"/>
        <v>0</v>
      </c>
      <c r="L223" s="8">
        <f t="shared" ca="1" si="124"/>
        <v>0</v>
      </c>
      <c r="M223" s="8">
        <f t="shared" ca="1" si="125"/>
        <v>0</v>
      </c>
      <c r="N223" s="8">
        <f t="shared" ca="1" si="126"/>
        <v>0</v>
      </c>
      <c r="O223" s="8">
        <f t="shared" ca="1" si="127"/>
        <v>0</v>
      </c>
      <c r="P223" s="8">
        <f t="shared" ca="1" si="128"/>
        <v>0</v>
      </c>
      <c r="Q223" s="8">
        <f t="shared" ca="1" si="129"/>
        <v>0</v>
      </c>
      <c r="R223" s="8">
        <f t="shared" ca="1" si="130"/>
        <v>0</v>
      </c>
      <c r="S223" s="8">
        <f t="shared" ca="1" si="131"/>
        <v>0</v>
      </c>
      <c r="T223" s="8">
        <f t="shared" ca="1" si="132"/>
        <v>0</v>
      </c>
      <c r="U223" s="8">
        <f t="shared" ca="1" si="133"/>
        <v>0</v>
      </c>
      <c r="V223" s="8">
        <f t="shared" ca="1" si="134"/>
        <v>0</v>
      </c>
      <c r="W223" s="11" t="str">
        <f t="shared" ca="1" si="135"/>
        <v/>
      </c>
      <c r="X223" s="11" t="str">
        <f t="shared" ca="1" si="136"/>
        <v/>
      </c>
      <c r="Y223" s="11" t="str">
        <f t="shared" ca="1" si="137"/>
        <v/>
      </c>
      <c r="Z223" s="11" t="str">
        <f t="shared" ca="1" si="138"/>
        <v/>
      </c>
      <c r="AA223" s="11" t="str">
        <f t="shared" ca="1" si="139"/>
        <v/>
      </c>
      <c r="AB223" s="47">
        <f ca="1">PlayerGameData[[#This Row],[3FGA]]+PlayerGameData[[#This Row],[2FGA]]</f>
        <v>0</v>
      </c>
      <c r="AC223" s="47">
        <f ca="1">PlayerGameData[[#This Row],[OFF REB]]+PlayerGameData[[#This Row],[DEF REB]]</f>
        <v>0</v>
      </c>
      <c r="AD223" s="8">
        <f t="shared" si="120"/>
        <v>10</v>
      </c>
      <c r="AE223" s="8" t="str">
        <f t="shared" ca="1" si="121"/>
        <v>Landon Butler, 1 - Moorcroft 1/14/2023</v>
      </c>
      <c r="AF223" s="8" t="str">
        <f t="shared" ca="1" si="140"/>
        <v/>
      </c>
      <c r="AG223" s="8" t="str">
        <f ca="1">IFERROR(IF(C223=0,"",IF(AND(VLOOKUP(PlayerGameData[[#This Row],[Opponent]],WYTeamInfo,2,FALSE)=Roster!$D$1,VLOOKUP(PlayerGameData[[#This Row],[Opponent]],WYTeamInfo,3,FALSE)=Roster!$D$2),"SR","")),"")</f>
        <v/>
      </c>
      <c r="AH223" s="8" t="str">
        <f>CONCATENATE(Roster!$D$1," ",Roster!$D$5)</f>
        <v>1A BB</v>
      </c>
      <c r="AI223" s="8" t="str">
        <f t="shared" ca="1" si="122"/>
        <v>Upton - Moorcroft 1/14/2023</v>
      </c>
      <c r="AJ223" s="8">
        <f ca="1">IFERROR(VLOOKUP(PlayerGameData[[#This Row],[School, Opponent,Game'#]],Table3[],2,FALSE),0)</f>
        <v>1</v>
      </c>
      <c r="AK223" s="8">
        <f ca="1">IF(PlayerGameData[[#This Row],[Visible]]=1,1,1000)</f>
        <v>1</v>
      </c>
      <c r="AL223" s="8">
        <f ca="1">RANK(PlayerGameData[[#This Row],[TL PTS]],PlayerGameData[TL PTS],0)+PlayerGameData[[#This Row],[VisibleOrder]]</f>
        <v>185</v>
      </c>
      <c r="AM223" s="8">
        <f ca="1">IF(COUNTIF(PlayerGameData[PointOrder],PlayerGameData[[#This Row],[PointOrder]])&gt;1,RANK(PlayerGameData[[#This Row],[FGA]],PlayerGameData[FGA],0)/100,0)+PlayerGameData[[#This Row],[PointOrder]]</f>
        <v>187.14</v>
      </c>
      <c r="AN223" s="8">
        <f ca="1">RANK(PlayerGameData[[#This Row],[PointTieBreak]],PlayerGameData[PointTieBreak],1)</f>
        <v>216</v>
      </c>
      <c r="AO223" s="8">
        <f ca="1">RANK(PlayerGameData[[#This Row],[REB]],PlayerGameData[REB],0)+PlayerGameData[[#This Row],[VisibleOrder]]</f>
        <v>192</v>
      </c>
      <c r="AP223" s="8">
        <f ca="1">IF(COUNTIF(PlayerGameData[REBOrder],PlayerGameData[[#This Row],[REBOrder]])&gt;1,PlayerGameData[[#This Row],[PointRank]]/100+PlayerGameData[[#This Row],[REBOrder]],PlayerGameData[[#This Row],[REBOrder]])</f>
        <v>194.16</v>
      </c>
      <c r="AQ223" s="8">
        <f ca="1">RANK(PlayerGameData[[#This Row],[REBTieBreak]],PlayerGameData[REBTieBreak],1)</f>
        <v>224</v>
      </c>
      <c r="AR223" s="8">
        <f ca="1">RANK(PlayerGameData[[#This Row],[AST]],PlayerGameData[AST],0)+PlayerGameData[[#This Row],[VisibleOrder]]</f>
        <v>158</v>
      </c>
      <c r="AS223" s="8">
        <f ca="1">IF(COUNTIF(PlayerGameData[ASTOrder],PlayerGameData[[#This Row],[ASTOrder]])&gt;1,PlayerGameData[[#This Row],[PointRank]]/100+PlayerGameData[[#This Row],[ASTOrder]],PlayerGameData[[#This Row],[ASTOrder]])</f>
        <v>160.16</v>
      </c>
      <c r="AT223" s="8">
        <f ca="1">RANK(PlayerGameData[[#This Row],[ASTTieBreak]],PlayerGameData[ASTTieBreak],1)</f>
        <v>221</v>
      </c>
      <c r="AU223" s="8">
        <f ca="1">RANK(PlayerGameData[[#This Row],[STL]],PlayerGameData[STL],0)+PlayerGameData[[#This Row],[VisibleOrder]]</f>
        <v>143</v>
      </c>
      <c r="AV223" s="8">
        <f ca="1">IF(COUNTIF(PlayerGameData[STLOrder],PlayerGameData[[#This Row],[STLOrder]])&gt;1,PlayerGameData[[#This Row],[PointRank]]/100+PlayerGameData[[#This Row],[STLOrder]],PlayerGameData[[#This Row],[STLOrder]])</f>
        <v>145.16</v>
      </c>
      <c r="AW223" s="8">
        <f ca="1">RANK(PlayerGameData[[#This Row],[STLTieBreak]],PlayerGameData[STLTieBreak],1)</f>
        <v>217</v>
      </c>
      <c r="AX223" s="8">
        <f ca="1">RANK(PlayerGameData[[#This Row],[BLK]],PlayerGameData[BLK],0)+PlayerGameData[[#This Row],[VisibleOrder]]</f>
        <v>32</v>
      </c>
      <c r="AY223" s="8">
        <f ca="1">IF(COUNTIF(PlayerGameData[BLKOrder],PlayerGameData[[#This Row],[BLKOrder]])&gt;1,PlayerGameData[[#This Row],[PointRank]]/100+PlayerGameData[[#This Row],[BLKOrder]],PlayerGameData[[#This Row],[BLKOrder]])</f>
        <v>34.159999999999997</v>
      </c>
      <c r="AZ223" s="8">
        <f ca="1">RANK(PlayerGameData[[#This Row],[BLKTieBreak]],PlayerGameData[BLKTieBreak],1)</f>
        <v>216</v>
      </c>
      <c r="BA223" s="11">
        <f ca="1">IFERROR(IF(PlayerGameData[[#This Row],[FGA]]&gt;$AA$5,PlayerGameData[[#This Row],[FG%*]],PlayerGameData[[#This Row],[FG%*]]*-1),-2)</f>
        <v>-2</v>
      </c>
      <c r="BB223" s="8">
        <f ca="1">RANK(PlayerGameData[[#This Row],[EligFG]],PlayerGameData[EligFG],0)+PlayerGameData[[#This Row],[VisibleOrder]]</f>
        <v>215</v>
      </c>
      <c r="BC223" s="8">
        <f ca="1">IF(COUNTIF(PlayerGameData[EligFGOrder],PlayerGameData[[#This Row],[EligFGOrder]])&gt;1,PlayerGameData[[#This Row],[PointRank]]/100+PlayerGameData[[#This Row],[EligFGOrder]],PlayerGameData[[#This Row],[EligFGOrder]])</f>
        <v>217.16</v>
      </c>
      <c r="BD223" s="8">
        <f ca="1">RANK(PlayerGameData[[#This Row],[EligFGTieBreak]],PlayerGameData[EligFGTieBreak],1)</f>
        <v>216</v>
      </c>
      <c r="BE223" s="8" t="str">
        <f>Roster!$D$3</f>
        <v>East</v>
      </c>
      <c r="BF223" s="8" t="str">
        <f>Roster!$D$2</f>
        <v>Northeast</v>
      </c>
      <c r="BG223" s="8" t="str">
        <f>Roster!$D$4</f>
        <v>North</v>
      </c>
      <c r="BH223" s="197">
        <f ca="1">IFERROR(VLOOKUP(CONCATENATE(PlayerGameData[[#This Row],[Opponent]]," ",MONTH(PlayerGameData[[#This Row],[Date]]),"/",DAY(PlayerGameData[[#This Row],[Date]]),"/",YEAR(PlayerGameData[[#This Row],[Date]])),Table35[],2,FALSE),0)</f>
        <v>1</v>
      </c>
      <c r="BI223" s="197">
        <f ca="1">IF(PlayerGameData[[#This Row],[Visible]]=1,1,1000)</f>
        <v>1</v>
      </c>
      <c r="BJ223" s="197" t="e">
        <f ca="1">_xlfn.MAXIFS(TeamGameData[Win],TeamGameData[School, Opponent,Game'#],PlayerGameData[[#This Row],[School, Opponent,Game'#]])</f>
        <v>#NAME?</v>
      </c>
      <c r="BK223" s="197" t="e">
        <f ca="1">_xlfn.MAXIFS(TeamGameData[Loss],TeamGameData[School, Opponent,Game'#],PlayerGameData[[#This Row],[School, Opponent,Game'#]])</f>
        <v>#NAME?</v>
      </c>
    </row>
    <row r="224" spans="1:63" x14ac:dyDescent="0.25">
      <c r="A224" s="8" t="str">
        <f t="shared" ca="1" si="123"/>
        <v>Logan Timberman, 3</v>
      </c>
      <c r="B224" s="8" t="str">
        <f>Roster!$B$1</f>
        <v>Upton</v>
      </c>
      <c r="C224" s="8" t="str">
        <f t="shared" ca="1" si="111"/>
        <v>Moorcroft</v>
      </c>
      <c r="D224" s="10">
        <f t="shared" ca="1" si="112"/>
        <v>44940</v>
      </c>
      <c r="E224" s="8">
        <f t="shared" ca="1" si="113"/>
        <v>1</v>
      </c>
      <c r="F224" s="8">
        <f t="shared" ca="1" si="114"/>
        <v>1</v>
      </c>
      <c r="G224" s="8">
        <f t="shared" ca="1" si="115"/>
        <v>23</v>
      </c>
      <c r="H224" s="8">
        <f t="shared" ca="1" si="116"/>
        <v>0</v>
      </c>
      <c r="I224" s="8">
        <f t="shared" ca="1" si="117"/>
        <v>4</v>
      </c>
      <c r="J224" s="8">
        <f t="shared" ca="1" si="118"/>
        <v>2</v>
      </c>
      <c r="K224" s="8">
        <f t="shared" ca="1" si="119"/>
        <v>5</v>
      </c>
      <c r="L224" s="8">
        <f t="shared" ca="1" si="124"/>
        <v>0</v>
      </c>
      <c r="M224" s="8">
        <f t="shared" ca="1" si="125"/>
        <v>0</v>
      </c>
      <c r="N224" s="8">
        <f t="shared" ca="1" si="126"/>
        <v>1</v>
      </c>
      <c r="O224" s="8">
        <f t="shared" ca="1" si="127"/>
        <v>3</v>
      </c>
      <c r="P224" s="8">
        <f t="shared" ca="1" si="128"/>
        <v>6</v>
      </c>
      <c r="Q224" s="8">
        <f t="shared" ca="1" si="129"/>
        <v>0</v>
      </c>
      <c r="R224" s="8">
        <f t="shared" ca="1" si="130"/>
        <v>0</v>
      </c>
      <c r="S224" s="8">
        <f t="shared" ca="1" si="131"/>
        <v>3</v>
      </c>
      <c r="T224" s="8">
        <f t="shared" ca="1" si="132"/>
        <v>0</v>
      </c>
      <c r="U224" s="8">
        <f t="shared" ca="1" si="133"/>
        <v>0</v>
      </c>
      <c r="V224" s="8">
        <f t="shared" ca="1" si="134"/>
        <v>4</v>
      </c>
      <c r="W224" s="11">
        <f t="shared" ca="1" si="135"/>
        <v>0</v>
      </c>
      <c r="X224" s="11">
        <f t="shared" ca="1" si="136"/>
        <v>0.4</v>
      </c>
      <c r="Y224" s="11" t="str">
        <f t="shared" ca="1" si="137"/>
        <v/>
      </c>
      <c r="Z224" s="11">
        <f t="shared" ca="1" si="138"/>
        <v>0.22222222222222221</v>
      </c>
      <c r="AA224" s="11">
        <f t="shared" ca="1" si="139"/>
        <v>0.22222222222222221</v>
      </c>
      <c r="AB224" s="47">
        <f ca="1">PlayerGameData[[#This Row],[3FGA]]+PlayerGameData[[#This Row],[2FGA]]</f>
        <v>9</v>
      </c>
      <c r="AC224" s="47">
        <f ca="1">PlayerGameData[[#This Row],[OFF REB]]+PlayerGameData[[#This Row],[DEF REB]]</f>
        <v>4</v>
      </c>
      <c r="AD224" s="8">
        <f t="shared" si="120"/>
        <v>10</v>
      </c>
      <c r="AE224" s="8" t="str">
        <f t="shared" ca="1" si="121"/>
        <v>Logan Timberman, 3 - Moorcroft 1/14/2023</v>
      </c>
      <c r="AF224" s="8" t="str">
        <f t="shared" ca="1" si="140"/>
        <v/>
      </c>
      <c r="AG224" s="8" t="str">
        <f ca="1">IFERROR(IF(C224=0,"",IF(AND(VLOOKUP(PlayerGameData[[#This Row],[Opponent]],WYTeamInfo,2,FALSE)=Roster!$D$1,VLOOKUP(PlayerGameData[[#This Row],[Opponent]],WYTeamInfo,3,FALSE)=Roster!$D$2),"SR","")),"")</f>
        <v/>
      </c>
      <c r="AH224" s="8" t="str">
        <f>CONCATENATE(Roster!$D$1," ",Roster!$D$5)</f>
        <v>1A BB</v>
      </c>
      <c r="AI224" s="8" t="str">
        <f t="shared" ca="1" si="122"/>
        <v>Upton - Moorcroft 1/14/2023</v>
      </c>
      <c r="AJ224" s="8">
        <f ca="1">IFERROR(VLOOKUP(PlayerGameData[[#This Row],[School, Opponent,Game'#]],Table3[],2,FALSE),0)</f>
        <v>1</v>
      </c>
      <c r="AK224" s="8">
        <f ca="1">IF(PlayerGameData[[#This Row],[Visible]]=1,1,1000)</f>
        <v>1</v>
      </c>
      <c r="AL224" s="8">
        <f ca="1">RANK(PlayerGameData[[#This Row],[TL PTS]],PlayerGameData[TL PTS],0)+PlayerGameData[[#This Row],[VisibleOrder]]</f>
        <v>118</v>
      </c>
      <c r="AM224" s="8">
        <f ca="1">IF(COUNTIF(PlayerGameData[PointOrder],PlayerGameData[[#This Row],[PointOrder]])&gt;1,RANK(PlayerGameData[[#This Row],[FGA]],PlayerGameData[FGA],0)/100,0)+PlayerGameData[[#This Row],[PointOrder]]</f>
        <v>118.59</v>
      </c>
      <c r="AN224" s="8">
        <f ca="1">RANK(PlayerGameData[[#This Row],[PointTieBreak]],PlayerGameData[PointTieBreak],1)</f>
        <v>117</v>
      </c>
      <c r="AO224" s="8">
        <f ca="1">RANK(PlayerGameData[[#This Row],[REB]],PlayerGameData[REB],0)+PlayerGameData[[#This Row],[VisibleOrder]]</f>
        <v>79</v>
      </c>
      <c r="AP224" s="8">
        <f ca="1">IF(COUNTIF(PlayerGameData[REBOrder],PlayerGameData[[#This Row],[REBOrder]])&gt;1,PlayerGameData[[#This Row],[PointRank]]/100+PlayerGameData[[#This Row],[REBOrder]],PlayerGameData[[#This Row],[REBOrder]])</f>
        <v>80.17</v>
      </c>
      <c r="AQ224" s="8">
        <f ca="1">RANK(PlayerGameData[[#This Row],[REBTieBreak]],PlayerGameData[REBTieBreak],1)</f>
        <v>100</v>
      </c>
      <c r="AR224" s="8">
        <f ca="1">RANK(PlayerGameData[[#This Row],[AST]],PlayerGameData[AST],0)+PlayerGameData[[#This Row],[VisibleOrder]]</f>
        <v>7</v>
      </c>
      <c r="AS224" s="8">
        <f ca="1">IF(COUNTIF(PlayerGameData[ASTOrder],PlayerGameData[[#This Row],[ASTOrder]])&gt;1,PlayerGameData[[#This Row],[PointRank]]/100+PlayerGameData[[#This Row],[ASTOrder]],PlayerGameData[[#This Row],[ASTOrder]])</f>
        <v>8.17</v>
      </c>
      <c r="AT224" s="8">
        <f ca="1">RANK(PlayerGameData[[#This Row],[ASTTieBreak]],PlayerGameData[ASTTieBreak],1)</f>
        <v>12</v>
      </c>
      <c r="AU224" s="8">
        <f ca="1">RANK(PlayerGameData[[#This Row],[STL]],PlayerGameData[STL],0)+PlayerGameData[[#This Row],[VisibleOrder]]</f>
        <v>143</v>
      </c>
      <c r="AV224" s="8">
        <f ca="1">IF(COUNTIF(PlayerGameData[STLOrder],PlayerGameData[[#This Row],[STLOrder]])&gt;1,PlayerGameData[[#This Row],[PointRank]]/100+PlayerGameData[[#This Row],[STLOrder]],PlayerGameData[[#This Row],[STLOrder]])</f>
        <v>144.16999999999999</v>
      </c>
      <c r="AW224" s="8">
        <f ca="1">RANK(PlayerGameData[[#This Row],[STLTieBreak]],PlayerGameData[STLTieBreak],1)</f>
        <v>159</v>
      </c>
      <c r="AX224" s="8">
        <f ca="1">RANK(PlayerGameData[[#This Row],[BLK]],PlayerGameData[BLK],0)+PlayerGameData[[#This Row],[VisibleOrder]]</f>
        <v>32</v>
      </c>
      <c r="AY224" s="8">
        <f ca="1">IF(COUNTIF(PlayerGameData[BLKOrder],PlayerGameData[[#This Row],[BLKOrder]])&gt;1,PlayerGameData[[#This Row],[PointRank]]/100+PlayerGameData[[#This Row],[BLKOrder]],PlayerGameData[[#This Row],[BLKOrder]])</f>
        <v>33.17</v>
      </c>
      <c r="AZ224" s="8">
        <f ca="1">RANK(PlayerGameData[[#This Row],[BLKTieBreak]],PlayerGameData[BLKTieBreak],1)</f>
        <v>122</v>
      </c>
      <c r="BA224" s="11">
        <f ca="1">IFERROR(IF(PlayerGameData[[#This Row],[FGA]]&gt;$AA$5,PlayerGameData[[#This Row],[FG%*]],PlayerGameData[[#This Row],[FG%*]]*-1),-2)</f>
        <v>0.22222222222222221</v>
      </c>
      <c r="BB224" s="8">
        <f ca="1">RANK(PlayerGameData[[#This Row],[EligFG]],PlayerGameData[EligFG],0)+PlayerGameData[[#This Row],[VisibleOrder]]</f>
        <v>105</v>
      </c>
      <c r="BC224" s="8">
        <f ca="1">IF(COUNTIF(PlayerGameData[EligFGOrder],PlayerGameData[[#This Row],[EligFGOrder]])&gt;1,PlayerGameData[[#This Row],[PointRank]]/100+PlayerGameData[[#This Row],[EligFGOrder]],PlayerGameData[[#This Row],[EligFGOrder]])</f>
        <v>106.17</v>
      </c>
      <c r="BD224" s="8">
        <f ca="1">RANK(PlayerGameData[[#This Row],[EligFGTieBreak]],PlayerGameData[EligFGTieBreak],1)</f>
        <v>105</v>
      </c>
      <c r="BE224" s="8" t="str">
        <f>Roster!$D$3</f>
        <v>East</v>
      </c>
      <c r="BF224" s="8" t="str">
        <f>Roster!$D$2</f>
        <v>Northeast</v>
      </c>
      <c r="BG224" s="8" t="str">
        <f>Roster!$D$4</f>
        <v>North</v>
      </c>
      <c r="BH224" s="197">
        <f ca="1">IFERROR(VLOOKUP(CONCATENATE(PlayerGameData[[#This Row],[Opponent]]," ",MONTH(PlayerGameData[[#This Row],[Date]]),"/",DAY(PlayerGameData[[#This Row],[Date]]),"/",YEAR(PlayerGameData[[#This Row],[Date]])),Table35[],2,FALSE),0)</f>
        <v>1</v>
      </c>
      <c r="BI224" s="197">
        <f ca="1">IF(PlayerGameData[[#This Row],[Visible]]=1,1,1000)</f>
        <v>1</v>
      </c>
      <c r="BJ224" s="197" t="e">
        <f ca="1">_xlfn.MAXIFS(TeamGameData[Win],TeamGameData[School, Opponent,Game'#],PlayerGameData[[#This Row],[School, Opponent,Game'#]])</f>
        <v>#NAME?</v>
      </c>
      <c r="BK224" s="197" t="e">
        <f ca="1">_xlfn.MAXIFS(TeamGameData[Loss],TeamGameData[School, Opponent,Game'#],PlayerGameData[[#This Row],[School, Opponent,Game'#]])</f>
        <v>#NAME?</v>
      </c>
    </row>
    <row r="225" spans="1:63" x14ac:dyDescent="0.25">
      <c r="A225" s="8" t="str">
        <f t="shared" ca="1" si="123"/>
        <v>Chase Mills, 5</v>
      </c>
      <c r="B225" s="8" t="str">
        <f>Roster!$B$1</f>
        <v>Upton</v>
      </c>
      <c r="C225" s="8" t="str">
        <f t="shared" ca="1" si="111"/>
        <v>Moorcroft</v>
      </c>
      <c r="D225" s="10">
        <f t="shared" ca="1" si="112"/>
        <v>44940</v>
      </c>
      <c r="E225" s="8">
        <f t="shared" ca="1" si="113"/>
        <v>1</v>
      </c>
      <c r="F225" s="8">
        <f t="shared" ca="1" si="114"/>
        <v>1</v>
      </c>
      <c r="G225" s="8">
        <f t="shared" ca="1" si="115"/>
        <v>26</v>
      </c>
      <c r="H225" s="8">
        <f t="shared" ca="1" si="116"/>
        <v>4</v>
      </c>
      <c r="I225" s="8">
        <f t="shared" ca="1" si="117"/>
        <v>8</v>
      </c>
      <c r="J225" s="8">
        <f t="shared" ca="1" si="118"/>
        <v>5</v>
      </c>
      <c r="K225" s="8">
        <f t="shared" ca="1" si="119"/>
        <v>9</v>
      </c>
      <c r="L225" s="8">
        <f t="shared" ca="1" si="124"/>
        <v>0</v>
      </c>
      <c r="M225" s="8">
        <f t="shared" ca="1" si="125"/>
        <v>0</v>
      </c>
      <c r="N225" s="8">
        <f t="shared" ca="1" si="126"/>
        <v>3</v>
      </c>
      <c r="O225" s="8">
        <f t="shared" ca="1" si="127"/>
        <v>2</v>
      </c>
      <c r="P225" s="8">
        <f t="shared" ca="1" si="128"/>
        <v>3</v>
      </c>
      <c r="Q225" s="8">
        <f t="shared" ca="1" si="129"/>
        <v>0</v>
      </c>
      <c r="R225" s="8">
        <f t="shared" ca="1" si="130"/>
        <v>0</v>
      </c>
      <c r="S225" s="8">
        <f t="shared" ca="1" si="131"/>
        <v>4</v>
      </c>
      <c r="T225" s="8">
        <f t="shared" ca="1" si="132"/>
        <v>2</v>
      </c>
      <c r="U225" s="8">
        <f t="shared" ca="1" si="133"/>
        <v>0</v>
      </c>
      <c r="V225" s="8">
        <f t="shared" ca="1" si="134"/>
        <v>22</v>
      </c>
      <c r="W225" s="11">
        <f t="shared" ca="1" si="135"/>
        <v>0.5</v>
      </c>
      <c r="X225" s="11">
        <f t="shared" ca="1" si="136"/>
        <v>0.55555555555555558</v>
      </c>
      <c r="Y225" s="11" t="str">
        <f t="shared" ca="1" si="137"/>
        <v/>
      </c>
      <c r="Z225" s="11">
        <f t="shared" ca="1" si="138"/>
        <v>0.52941176470588236</v>
      </c>
      <c r="AA225" s="11">
        <f t="shared" ca="1" si="139"/>
        <v>0.6470588235294118</v>
      </c>
      <c r="AB225" s="47">
        <f ca="1">PlayerGameData[[#This Row],[3FGA]]+PlayerGameData[[#This Row],[2FGA]]</f>
        <v>17</v>
      </c>
      <c r="AC225" s="47">
        <f ca="1">PlayerGameData[[#This Row],[OFF REB]]+PlayerGameData[[#This Row],[DEF REB]]</f>
        <v>5</v>
      </c>
      <c r="AD225" s="8">
        <f t="shared" si="120"/>
        <v>10</v>
      </c>
      <c r="AE225" s="8" t="str">
        <f t="shared" ca="1" si="121"/>
        <v>Chase Mills, 5 - Moorcroft 1/14/2023</v>
      </c>
      <c r="AF225" s="8" t="str">
        <f t="shared" ca="1" si="140"/>
        <v/>
      </c>
      <c r="AG225" s="8" t="str">
        <f ca="1">IFERROR(IF(C225=0,"",IF(AND(VLOOKUP(PlayerGameData[[#This Row],[Opponent]],WYTeamInfo,2,FALSE)=Roster!$D$1,VLOOKUP(PlayerGameData[[#This Row],[Opponent]],WYTeamInfo,3,FALSE)=Roster!$D$2),"SR","")),"")</f>
        <v/>
      </c>
      <c r="AH225" s="8" t="str">
        <f>CONCATENATE(Roster!$D$1," ",Roster!$D$5)</f>
        <v>1A BB</v>
      </c>
      <c r="AI225" s="8" t="str">
        <f t="shared" ca="1" si="122"/>
        <v>Upton - Moorcroft 1/14/2023</v>
      </c>
      <c r="AJ225" s="8">
        <f ca="1">IFERROR(VLOOKUP(PlayerGameData[[#This Row],[School, Opponent,Game'#]],Table3[],2,FALSE),0)</f>
        <v>1</v>
      </c>
      <c r="AK225" s="8">
        <f ca="1">IF(PlayerGameData[[#This Row],[Visible]]=1,1,1000)</f>
        <v>1</v>
      </c>
      <c r="AL225" s="8">
        <f ca="1">RANK(PlayerGameData[[#This Row],[TL PTS]],PlayerGameData[TL PTS],0)+PlayerGameData[[#This Row],[VisibleOrder]]</f>
        <v>4</v>
      </c>
      <c r="AM225" s="8">
        <f ca="1">IF(COUNTIF(PlayerGameData[PointOrder],PlayerGameData[[#This Row],[PointOrder]])&gt;1,RANK(PlayerGameData[[#This Row],[FGA]],PlayerGameData[FGA],0)/100,0)+PlayerGameData[[#This Row],[PointOrder]]</f>
        <v>4</v>
      </c>
      <c r="AN225" s="8">
        <f ca="1">RANK(PlayerGameData[[#This Row],[PointTieBreak]],PlayerGameData[PointTieBreak],1)</f>
        <v>3</v>
      </c>
      <c r="AO225" s="8">
        <f ca="1">RANK(PlayerGameData[[#This Row],[REB]],PlayerGameData[REB],0)+PlayerGameData[[#This Row],[VisibleOrder]]</f>
        <v>52</v>
      </c>
      <c r="AP225" s="8">
        <f ca="1">IF(COUNTIF(PlayerGameData[REBOrder],PlayerGameData[[#This Row],[REBOrder]])&gt;1,PlayerGameData[[#This Row],[PointRank]]/100+PlayerGameData[[#This Row],[REBOrder]],PlayerGameData[[#This Row],[REBOrder]])</f>
        <v>52.03</v>
      </c>
      <c r="AQ225" s="8">
        <f ca="1">RANK(PlayerGameData[[#This Row],[REBTieBreak]],PlayerGameData[REBTieBreak],1)</f>
        <v>52</v>
      </c>
      <c r="AR225" s="8">
        <f ca="1">RANK(PlayerGameData[[#This Row],[AST]],PlayerGameData[AST],0)+PlayerGameData[[#This Row],[VisibleOrder]]</f>
        <v>39</v>
      </c>
      <c r="AS225" s="8">
        <f ca="1">IF(COUNTIF(PlayerGameData[ASTOrder],PlayerGameData[[#This Row],[ASTOrder]])&gt;1,PlayerGameData[[#This Row],[PointRank]]/100+PlayerGameData[[#This Row],[ASTOrder]],PlayerGameData[[#This Row],[ASTOrder]])</f>
        <v>39.03</v>
      </c>
      <c r="AT225" s="8">
        <f ca="1">RANK(PlayerGameData[[#This Row],[ASTTieBreak]],PlayerGameData[ASTTieBreak],1)</f>
        <v>38</v>
      </c>
      <c r="AU225" s="8">
        <f ca="1">RANK(PlayerGameData[[#This Row],[STL]],PlayerGameData[STL],0)+PlayerGameData[[#This Row],[VisibleOrder]]</f>
        <v>143</v>
      </c>
      <c r="AV225" s="8">
        <f ca="1">IF(COUNTIF(PlayerGameData[STLOrder],PlayerGameData[[#This Row],[STLOrder]])&gt;1,PlayerGameData[[#This Row],[PointRank]]/100+PlayerGameData[[#This Row],[STLOrder]],PlayerGameData[[#This Row],[STLOrder]])</f>
        <v>143.03</v>
      </c>
      <c r="AW225" s="8">
        <f ca="1">RANK(PlayerGameData[[#This Row],[STLTieBreak]],PlayerGameData[STLTieBreak],1)</f>
        <v>144</v>
      </c>
      <c r="AX225" s="8">
        <f ca="1">RANK(PlayerGameData[[#This Row],[BLK]],PlayerGameData[BLK],0)+PlayerGameData[[#This Row],[VisibleOrder]]</f>
        <v>32</v>
      </c>
      <c r="AY225" s="8">
        <f ca="1">IF(COUNTIF(PlayerGameData[BLKOrder],PlayerGameData[[#This Row],[BLKOrder]])&gt;1,PlayerGameData[[#This Row],[PointRank]]/100+PlayerGameData[[#This Row],[BLKOrder]],PlayerGameData[[#This Row],[BLKOrder]])</f>
        <v>32.03</v>
      </c>
      <c r="AZ225" s="8">
        <f ca="1">RANK(PlayerGameData[[#This Row],[BLKTieBreak]],PlayerGameData[BLKTieBreak],1)</f>
        <v>33</v>
      </c>
      <c r="BA225" s="11">
        <f ca="1">IFERROR(IF(PlayerGameData[[#This Row],[FGA]]&gt;$AA$5,PlayerGameData[[#This Row],[FG%*]],PlayerGameData[[#This Row],[FG%*]]*-1),-2)</f>
        <v>0.52941176470588236</v>
      </c>
      <c r="BB225" s="8">
        <f ca="1">RANK(PlayerGameData[[#This Row],[EligFG]],PlayerGameData[EligFG],0)+PlayerGameData[[#This Row],[VisibleOrder]]</f>
        <v>38</v>
      </c>
      <c r="BC225" s="8">
        <f ca="1">IF(COUNTIF(PlayerGameData[EligFGOrder],PlayerGameData[[#This Row],[EligFGOrder]])&gt;1,PlayerGameData[[#This Row],[PointRank]]/100+PlayerGameData[[#This Row],[EligFGOrder]],PlayerGameData[[#This Row],[EligFGOrder]])</f>
        <v>38</v>
      </c>
      <c r="BD225" s="8">
        <f ca="1">RANK(PlayerGameData[[#This Row],[EligFGTieBreak]],PlayerGameData[EligFGTieBreak],1)</f>
        <v>37</v>
      </c>
      <c r="BE225" s="8" t="str">
        <f>Roster!$D$3</f>
        <v>East</v>
      </c>
      <c r="BF225" s="8" t="str">
        <f>Roster!$D$2</f>
        <v>Northeast</v>
      </c>
      <c r="BG225" s="8" t="str">
        <f>Roster!$D$4</f>
        <v>North</v>
      </c>
      <c r="BH225" s="197">
        <f ca="1">IFERROR(VLOOKUP(CONCATENATE(PlayerGameData[[#This Row],[Opponent]]," ",MONTH(PlayerGameData[[#This Row],[Date]]),"/",DAY(PlayerGameData[[#This Row],[Date]]),"/",YEAR(PlayerGameData[[#This Row],[Date]])),Table35[],2,FALSE),0)</f>
        <v>1</v>
      </c>
      <c r="BI225" s="197">
        <f ca="1">IF(PlayerGameData[[#This Row],[Visible]]=1,1,1000)</f>
        <v>1</v>
      </c>
      <c r="BJ225" s="197" t="e">
        <f ca="1">_xlfn.MAXIFS(TeamGameData[Win],TeamGameData[School, Opponent,Game'#],PlayerGameData[[#This Row],[School, Opponent,Game'#]])</f>
        <v>#NAME?</v>
      </c>
      <c r="BK225" s="197" t="e">
        <f ca="1">_xlfn.MAXIFS(TeamGameData[Loss],TeamGameData[School, Opponent,Game'#],PlayerGameData[[#This Row],[School, Opponent,Game'#]])</f>
        <v>#NAME?</v>
      </c>
    </row>
    <row r="226" spans="1:63" x14ac:dyDescent="0.25">
      <c r="A226" s="8" t="str">
        <f t="shared" ca="1" si="123"/>
        <v>Rhett Watt, 10</v>
      </c>
      <c r="B226" s="8" t="str">
        <f>Roster!$B$1</f>
        <v>Upton</v>
      </c>
      <c r="C226" s="8" t="str">
        <f t="shared" ca="1" si="111"/>
        <v>Moorcroft</v>
      </c>
      <c r="D226" s="10">
        <f t="shared" ca="1" si="112"/>
        <v>44940</v>
      </c>
      <c r="E226" s="8">
        <f t="shared" ca="1" si="113"/>
        <v>1</v>
      </c>
      <c r="F226" s="8">
        <f t="shared" ca="1" si="114"/>
        <v>1</v>
      </c>
      <c r="G226" s="8">
        <f t="shared" ca="1" si="115"/>
        <v>24</v>
      </c>
      <c r="H226" s="8">
        <f t="shared" ca="1" si="116"/>
        <v>2</v>
      </c>
      <c r="I226" s="8">
        <f t="shared" ca="1" si="117"/>
        <v>5</v>
      </c>
      <c r="J226" s="8">
        <f t="shared" ca="1" si="118"/>
        <v>4</v>
      </c>
      <c r="K226" s="8">
        <f t="shared" ca="1" si="119"/>
        <v>11</v>
      </c>
      <c r="L226" s="8">
        <f t="shared" ca="1" si="124"/>
        <v>0</v>
      </c>
      <c r="M226" s="8">
        <f t="shared" ca="1" si="125"/>
        <v>1</v>
      </c>
      <c r="N226" s="8">
        <f t="shared" ca="1" si="126"/>
        <v>6</v>
      </c>
      <c r="O226" s="8">
        <f t="shared" ca="1" si="127"/>
        <v>4</v>
      </c>
      <c r="P226" s="8">
        <f t="shared" ca="1" si="128"/>
        <v>3</v>
      </c>
      <c r="Q226" s="8">
        <f t="shared" ca="1" si="129"/>
        <v>1</v>
      </c>
      <c r="R226" s="8">
        <f t="shared" ca="1" si="130"/>
        <v>0</v>
      </c>
      <c r="S226" s="8">
        <f t="shared" ca="1" si="131"/>
        <v>0</v>
      </c>
      <c r="T226" s="8">
        <f t="shared" ca="1" si="132"/>
        <v>0</v>
      </c>
      <c r="U226" s="8">
        <f t="shared" ca="1" si="133"/>
        <v>0</v>
      </c>
      <c r="V226" s="8">
        <f t="shared" ca="1" si="134"/>
        <v>14</v>
      </c>
      <c r="W226" s="11">
        <f t="shared" ca="1" si="135"/>
        <v>0.4</v>
      </c>
      <c r="X226" s="11">
        <f t="shared" ca="1" si="136"/>
        <v>0.36363636363636365</v>
      </c>
      <c r="Y226" s="11">
        <f t="shared" ca="1" si="137"/>
        <v>0</v>
      </c>
      <c r="Z226" s="11">
        <f t="shared" ca="1" si="138"/>
        <v>0.375</v>
      </c>
      <c r="AA226" s="11">
        <f t="shared" ca="1" si="139"/>
        <v>0.4375</v>
      </c>
      <c r="AB226" s="47">
        <f ca="1">PlayerGameData[[#This Row],[3FGA]]+PlayerGameData[[#This Row],[2FGA]]</f>
        <v>16</v>
      </c>
      <c r="AC226" s="47">
        <f ca="1">PlayerGameData[[#This Row],[OFF REB]]+PlayerGameData[[#This Row],[DEF REB]]</f>
        <v>10</v>
      </c>
      <c r="AD226" s="8">
        <f t="shared" si="120"/>
        <v>10</v>
      </c>
      <c r="AE226" s="8" t="str">
        <f t="shared" ca="1" si="121"/>
        <v>Rhett Watt, 10 - Moorcroft 1/14/2023</v>
      </c>
      <c r="AF226" s="8" t="str">
        <f t="shared" ca="1" si="140"/>
        <v/>
      </c>
      <c r="AG226" s="8" t="str">
        <f ca="1">IFERROR(IF(C226=0,"",IF(AND(VLOOKUP(PlayerGameData[[#This Row],[Opponent]],WYTeamInfo,2,FALSE)=Roster!$D$1,VLOOKUP(PlayerGameData[[#This Row],[Opponent]],WYTeamInfo,3,FALSE)=Roster!$D$2),"SR","")),"")</f>
        <v/>
      </c>
      <c r="AH226" s="8" t="str">
        <f>CONCATENATE(Roster!$D$1," ",Roster!$D$5)</f>
        <v>1A BB</v>
      </c>
      <c r="AI226" s="8" t="str">
        <f t="shared" ca="1" si="122"/>
        <v>Upton - Moorcroft 1/14/2023</v>
      </c>
      <c r="AJ226" s="8">
        <f ca="1">IFERROR(VLOOKUP(PlayerGameData[[#This Row],[School, Opponent,Game'#]],Table3[],2,FALSE),0)</f>
        <v>1</v>
      </c>
      <c r="AK226" s="8">
        <f ca="1">IF(PlayerGameData[[#This Row],[Visible]]=1,1,1000)</f>
        <v>1</v>
      </c>
      <c r="AL226" s="8">
        <f ca="1">RANK(PlayerGameData[[#This Row],[TL PTS]],PlayerGameData[TL PTS],0)+PlayerGameData[[#This Row],[VisibleOrder]]</f>
        <v>36</v>
      </c>
      <c r="AM226" s="8">
        <f ca="1">IF(COUNTIF(PlayerGameData[PointOrder],PlayerGameData[[#This Row],[PointOrder]])&gt;1,RANK(PlayerGameData[[#This Row],[FGA]],PlayerGameData[FGA],0)/100,0)+PlayerGameData[[#This Row],[PointOrder]]</f>
        <v>36.049999999999997</v>
      </c>
      <c r="AN226" s="8">
        <f ca="1">RANK(PlayerGameData[[#This Row],[PointTieBreak]],PlayerGameData[PointTieBreak],1)</f>
        <v>35</v>
      </c>
      <c r="AO226" s="8">
        <f ca="1">RANK(PlayerGameData[[#This Row],[REB]],PlayerGameData[REB],0)+PlayerGameData[[#This Row],[VisibleOrder]]</f>
        <v>6</v>
      </c>
      <c r="AP226" s="8">
        <f ca="1">IF(COUNTIF(PlayerGameData[REBOrder],PlayerGameData[[#This Row],[REBOrder]])&gt;1,PlayerGameData[[#This Row],[PointRank]]/100+PlayerGameData[[#This Row],[REBOrder]],PlayerGameData[[#This Row],[REBOrder]])</f>
        <v>6.35</v>
      </c>
      <c r="AQ226" s="8">
        <f ca="1">RANK(PlayerGameData[[#This Row],[REBTieBreak]],PlayerGameData[REBTieBreak],1)</f>
        <v>8</v>
      </c>
      <c r="AR226" s="8">
        <f ca="1">RANK(PlayerGameData[[#This Row],[AST]],PlayerGameData[AST],0)+PlayerGameData[[#This Row],[VisibleOrder]]</f>
        <v>39</v>
      </c>
      <c r="AS226" s="8">
        <f ca="1">IF(COUNTIF(PlayerGameData[ASTOrder],PlayerGameData[[#This Row],[ASTOrder]])&gt;1,PlayerGameData[[#This Row],[PointRank]]/100+PlayerGameData[[#This Row],[ASTOrder]],PlayerGameData[[#This Row],[ASTOrder]])</f>
        <v>39.35</v>
      </c>
      <c r="AT226" s="8">
        <f ca="1">RANK(PlayerGameData[[#This Row],[ASTTieBreak]],PlayerGameData[ASTTieBreak],1)</f>
        <v>42</v>
      </c>
      <c r="AU226" s="8">
        <f ca="1">RANK(PlayerGameData[[#This Row],[STL]],PlayerGameData[STL],0)+PlayerGameData[[#This Row],[VisibleOrder]]</f>
        <v>84</v>
      </c>
      <c r="AV226" s="8">
        <f ca="1">IF(COUNTIF(PlayerGameData[STLOrder],PlayerGameData[[#This Row],[STLOrder]])&gt;1,PlayerGameData[[#This Row],[PointRank]]/100+PlayerGameData[[#This Row],[STLOrder]],PlayerGameData[[#This Row],[STLOrder]])</f>
        <v>84.35</v>
      </c>
      <c r="AW226" s="8">
        <f ca="1">RANK(PlayerGameData[[#This Row],[STLTieBreak]],PlayerGameData[STLTieBreak],1)</f>
        <v>89</v>
      </c>
      <c r="AX226" s="8">
        <f ca="1">RANK(PlayerGameData[[#This Row],[BLK]],PlayerGameData[BLK],0)+PlayerGameData[[#This Row],[VisibleOrder]]</f>
        <v>32</v>
      </c>
      <c r="AY226" s="8">
        <f ca="1">IF(COUNTIF(PlayerGameData[BLKOrder],PlayerGameData[[#This Row],[BLKOrder]])&gt;1,PlayerGameData[[#This Row],[PointRank]]/100+PlayerGameData[[#This Row],[BLKOrder]],PlayerGameData[[#This Row],[BLKOrder]])</f>
        <v>32.35</v>
      </c>
      <c r="AZ226" s="8">
        <f ca="1">RANK(PlayerGameData[[#This Row],[BLKTieBreak]],PlayerGameData[BLKTieBreak],1)</f>
        <v>58</v>
      </c>
      <c r="BA226" s="11">
        <f ca="1">IFERROR(IF(PlayerGameData[[#This Row],[FGA]]&gt;$AA$5,PlayerGameData[[#This Row],[FG%*]],PlayerGameData[[#This Row],[FG%*]]*-1),-2)</f>
        <v>0.375</v>
      </c>
      <c r="BB226" s="8">
        <f ca="1">RANK(PlayerGameData[[#This Row],[EligFG]],PlayerGameData[EligFG],0)+PlayerGameData[[#This Row],[VisibleOrder]]</f>
        <v>73</v>
      </c>
      <c r="BC226" s="8">
        <f ca="1">IF(COUNTIF(PlayerGameData[EligFGOrder],PlayerGameData[[#This Row],[EligFGOrder]])&gt;1,PlayerGameData[[#This Row],[PointRank]]/100+PlayerGameData[[#This Row],[EligFGOrder]],PlayerGameData[[#This Row],[EligFGOrder]])</f>
        <v>73.349999999999994</v>
      </c>
      <c r="BD226" s="8">
        <f ca="1">RANK(PlayerGameData[[#This Row],[EligFGTieBreak]],PlayerGameData[EligFGTieBreak],1)</f>
        <v>74</v>
      </c>
      <c r="BE226" s="8" t="str">
        <f>Roster!$D$3</f>
        <v>East</v>
      </c>
      <c r="BF226" s="8" t="str">
        <f>Roster!$D$2</f>
        <v>Northeast</v>
      </c>
      <c r="BG226" s="8" t="str">
        <f>Roster!$D$4</f>
        <v>North</v>
      </c>
      <c r="BH226" s="197">
        <f ca="1">IFERROR(VLOOKUP(CONCATENATE(PlayerGameData[[#This Row],[Opponent]]," ",MONTH(PlayerGameData[[#This Row],[Date]]),"/",DAY(PlayerGameData[[#This Row],[Date]]),"/",YEAR(PlayerGameData[[#This Row],[Date]])),Table35[],2,FALSE),0)</f>
        <v>1</v>
      </c>
      <c r="BI226" s="197">
        <f ca="1">IF(PlayerGameData[[#This Row],[Visible]]=1,1,1000)</f>
        <v>1</v>
      </c>
      <c r="BJ226" s="197" t="e">
        <f ca="1">_xlfn.MAXIFS(TeamGameData[Win],TeamGameData[School, Opponent,Game'#],PlayerGameData[[#This Row],[School, Opponent,Game'#]])</f>
        <v>#NAME?</v>
      </c>
      <c r="BK226" s="197" t="e">
        <f ca="1">_xlfn.MAXIFS(TeamGameData[Loss],TeamGameData[School, Opponent,Game'#],PlayerGameData[[#This Row],[School, Opponent,Game'#]])</f>
        <v>#NAME?</v>
      </c>
    </row>
    <row r="227" spans="1:63" x14ac:dyDescent="0.25">
      <c r="A227" s="8" t="str">
        <f t="shared" ca="1" si="123"/>
        <v>Keith Coburn, 11</v>
      </c>
      <c r="B227" s="8" t="str">
        <f>Roster!$B$1</f>
        <v>Upton</v>
      </c>
      <c r="C227" s="8" t="str">
        <f t="shared" ca="1" si="111"/>
        <v>Moorcroft</v>
      </c>
      <c r="D227" s="10">
        <f t="shared" ca="1" si="112"/>
        <v>44940</v>
      </c>
      <c r="E227" s="8">
        <f t="shared" ca="1" si="113"/>
        <v>1</v>
      </c>
      <c r="F227" s="8">
        <f t="shared" ca="1" si="114"/>
        <v>0</v>
      </c>
      <c r="G227" s="8">
        <f t="shared" ca="1" si="115"/>
        <v>2</v>
      </c>
      <c r="H227" s="8">
        <f t="shared" ca="1" si="116"/>
        <v>0</v>
      </c>
      <c r="I227" s="8">
        <f t="shared" ca="1" si="117"/>
        <v>0</v>
      </c>
      <c r="J227" s="8">
        <f t="shared" ca="1" si="118"/>
        <v>0</v>
      </c>
      <c r="K227" s="8">
        <f t="shared" ca="1" si="119"/>
        <v>0</v>
      </c>
      <c r="L227" s="8">
        <f t="shared" ca="1" si="124"/>
        <v>0</v>
      </c>
      <c r="M227" s="8">
        <f t="shared" ca="1" si="125"/>
        <v>0</v>
      </c>
      <c r="N227" s="8">
        <f t="shared" ca="1" si="126"/>
        <v>0</v>
      </c>
      <c r="O227" s="8">
        <f t="shared" ca="1" si="127"/>
        <v>0</v>
      </c>
      <c r="P227" s="8">
        <f t="shared" ca="1" si="128"/>
        <v>0</v>
      </c>
      <c r="Q227" s="8">
        <f t="shared" ca="1" si="129"/>
        <v>0</v>
      </c>
      <c r="R227" s="8">
        <f t="shared" ca="1" si="130"/>
        <v>0</v>
      </c>
      <c r="S227" s="8">
        <f t="shared" ca="1" si="131"/>
        <v>0</v>
      </c>
      <c r="T227" s="8">
        <f t="shared" ca="1" si="132"/>
        <v>0</v>
      </c>
      <c r="U227" s="8">
        <f t="shared" ca="1" si="133"/>
        <v>0</v>
      </c>
      <c r="V227" s="8">
        <f t="shared" ca="1" si="134"/>
        <v>0</v>
      </c>
      <c r="W227" s="11" t="str">
        <f t="shared" ca="1" si="135"/>
        <v/>
      </c>
      <c r="X227" s="11" t="str">
        <f t="shared" ca="1" si="136"/>
        <v/>
      </c>
      <c r="Y227" s="11" t="str">
        <f t="shared" ca="1" si="137"/>
        <v/>
      </c>
      <c r="Z227" s="11" t="str">
        <f t="shared" ca="1" si="138"/>
        <v/>
      </c>
      <c r="AA227" s="11" t="str">
        <f t="shared" ca="1" si="139"/>
        <v/>
      </c>
      <c r="AB227" s="47">
        <f ca="1">PlayerGameData[[#This Row],[3FGA]]+PlayerGameData[[#This Row],[2FGA]]</f>
        <v>0</v>
      </c>
      <c r="AC227" s="47">
        <f ca="1">PlayerGameData[[#This Row],[OFF REB]]+PlayerGameData[[#This Row],[DEF REB]]</f>
        <v>0</v>
      </c>
      <c r="AD227" s="8">
        <f t="shared" si="120"/>
        <v>10</v>
      </c>
      <c r="AE227" s="8" t="str">
        <f t="shared" ca="1" si="121"/>
        <v>Keith Coburn, 11 - Moorcroft 1/14/2023</v>
      </c>
      <c r="AF227" s="8" t="str">
        <f t="shared" ca="1" si="140"/>
        <v/>
      </c>
      <c r="AG227" s="8" t="str">
        <f ca="1">IFERROR(IF(C227=0,"",IF(AND(VLOOKUP(PlayerGameData[[#This Row],[Opponent]],WYTeamInfo,2,FALSE)=Roster!$D$1,VLOOKUP(PlayerGameData[[#This Row],[Opponent]],WYTeamInfo,3,FALSE)=Roster!$D$2),"SR","")),"")</f>
        <v/>
      </c>
      <c r="AH227" s="8" t="str">
        <f>CONCATENATE(Roster!$D$1," ",Roster!$D$5)</f>
        <v>1A BB</v>
      </c>
      <c r="AI227" s="8" t="str">
        <f t="shared" ca="1" si="122"/>
        <v>Upton - Moorcroft 1/14/2023</v>
      </c>
      <c r="AJ227" s="8">
        <f ca="1">IFERROR(VLOOKUP(PlayerGameData[[#This Row],[School, Opponent,Game'#]],Table3[],2,FALSE),0)</f>
        <v>1</v>
      </c>
      <c r="AK227" s="8">
        <f ca="1">IF(PlayerGameData[[#This Row],[Visible]]=1,1,1000)</f>
        <v>1</v>
      </c>
      <c r="AL227" s="8">
        <f ca="1">RANK(PlayerGameData[[#This Row],[TL PTS]],PlayerGameData[TL PTS],0)+PlayerGameData[[#This Row],[VisibleOrder]]</f>
        <v>185</v>
      </c>
      <c r="AM227" s="8">
        <f ca="1">IF(COUNTIF(PlayerGameData[PointOrder],PlayerGameData[[#This Row],[PointOrder]])&gt;1,RANK(PlayerGameData[[#This Row],[FGA]],PlayerGameData[FGA],0)/100,0)+PlayerGameData[[#This Row],[PointOrder]]</f>
        <v>187.14</v>
      </c>
      <c r="AN227" s="8">
        <f ca="1">RANK(PlayerGameData[[#This Row],[PointTieBreak]],PlayerGameData[PointTieBreak],1)</f>
        <v>216</v>
      </c>
      <c r="AO227" s="8">
        <f ca="1">RANK(PlayerGameData[[#This Row],[REB]],PlayerGameData[REB],0)+PlayerGameData[[#This Row],[VisibleOrder]]</f>
        <v>192</v>
      </c>
      <c r="AP227" s="8">
        <f ca="1">IF(COUNTIF(PlayerGameData[REBOrder],PlayerGameData[[#This Row],[REBOrder]])&gt;1,PlayerGameData[[#This Row],[PointRank]]/100+PlayerGameData[[#This Row],[REBOrder]],PlayerGameData[[#This Row],[REBOrder]])</f>
        <v>194.16</v>
      </c>
      <c r="AQ227" s="8">
        <f ca="1">RANK(PlayerGameData[[#This Row],[REBTieBreak]],PlayerGameData[REBTieBreak],1)</f>
        <v>224</v>
      </c>
      <c r="AR227" s="8">
        <f ca="1">RANK(PlayerGameData[[#This Row],[AST]],PlayerGameData[AST],0)+PlayerGameData[[#This Row],[VisibleOrder]]</f>
        <v>158</v>
      </c>
      <c r="AS227" s="8">
        <f ca="1">IF(COUNTIF(PlayerGameData[ASTOrder],PlayerGameData[[#This Row],[ASTOrder]])&gt;1,PlayerGameData[[#This Row],[PointRank]]/100+PlayerGameData[[#This Row],[ASTOrder]],PlayerGameData[[#This Row],[ASTOrder]])</f>
        <v>160.16</v>
      </c>
      <c r="AT227" s="8">
        <f ca="1">RANK(PlayerGameData[[#This Row],[ASTTieBreak]],PlayerGameData[ASTTieBreak],1)</f>
        <v>221</v>
      </c>
      <c r="AU227" s="8">
        <f ca="1">RANK(PlayerGameData[[#This Row],[STL]],PlayerGameData[STL],0)+PlayerGameData[[#This Row],[VisibleOrder]]</f>
        <v>143</v>
      </c>
      <c r="AV227" s="8">
        <f ca="1">IF(COUNTIF(PlayerGameData[STLOrder],PlayerGameData[[#This Row],[STLOrder]])&gt;1,PlayerGameData[[#This Row],[PointRank]]/100+PlayerGameData[[#This Row],[STLOrder]],PlayerGameData[[#This Row],[STLOrder]])</f>
        <v>145.16</v>
      </c>
      <c r="AW227" s="8">
        <f ca="1">RANK(PlayerGameData[[#This Row],[STLTieBreak]],PlayerGameData[STLTieBreak],1)</f>
        <v>217</v>
      </c>
      <c r="AX227" s="8">
        <f ca="1">RANK(PlayerGameData[[#This Row],[BLK]],PlayerGameData[BLK],0)+PlayerGameData[[#This Row],[VisibleOrder]]</f>
        <v>32</v>
      </c>
      <c r="AY227" s="8">
        <f ca="1">IF(COUNTIF(PlayerGameData[BLKOrder],PlayerGameData[[#This Row],[BLKOrder]])&gt;1,PlayerGameData[[#This Row],[PointRank]]/100+PlayerGameData[[#This Row],[BLKOrder]],PlayerGameData[[#This Row],[BLKOrder]])</f>
        <v>34.159999999999997</v>
      </c>
      <c r="AZ227" s="8">
        <f ca="1">RANK(PlayerGameData[[#This Row],[BLKTieBreak]],PlayerGameData[BLKTieBreak],1)</f>
        <v>216</v>
      </c>
      <c r="BA227" s="11">
        <f ca="1">IFERROR(IF(PlayerGameData[[#This Row],[FGA]]&gt;$AA$5,PlayerGameData[[#This Row],[FG%*]],PlayerGameData[[#This Row],[FG%*]]*-1),-2)</f>
        <v>-2</v>
      </c>
      <c r="BB227" s="8">
        <f ca="1">RANK(PlayerGameData[[#This Row],[EligFG]],PlayerGameData[EligFG],0)+PlayerGameData[[#This Row],[VisibleOrder]]</f>
        <v>215</v>
      </c>
      <c r="BC227" s="8">
        <f ca="1">IF(COUNTIF(PlayerGameData[EligFGOrder],PlayerGameData[[#This Row],[EligFGOrder]])&gt;1,PlayerGameData[[#This Row],[PointRank]]/100+PlayerGameData[[#This Row],[EligFGOrder]],PlayerGameData[[#This Row],[EligFGOrder]])</f>
        <v>217.16</v>
      </c>
      <c r="BD227" s="8">
        <f ca="1">RANK(PlayerGameData[[#This Row],[EligFGTieBreak]],PlayerGameData[EligFGTieBreak],1)</f>
        <v>216</v>
      </c>
      <c r="BE227" s="8" t="str">
        <f>Roster!$D$3</f>
        <v>East</v>
      </c>
      <c r="BF227" s="8" t="str">
        <f>Roster!$D$2</f>
        <v>Northeast</v>
      </c>
      <c r="BG227" s="8" t="str">
        <f>Roster!$D$4</f>
        <v>North</v>
      </c>
      <c r="BH227" s="197">
        <f ca="1">IFERROR(VLOOKUP(CONCATENATE(PlayerGameData[[#This Row],[Opponent]]," ",MONTH(PlayerGameData[[#This Row],[Date]]),"/",DAY(PlayerGameData[[#This Row],[Date]]),"/",YEAR(PlayerGameData[[#This Row],[Date]])),Table35[],2,FALSE),0)</f>
        <v>1</v>
      </c>
      <c r="BI227" s="197">
        <f ca="1">IF(PlayerGameData[[#This Row],[Visible]]=1,1,1000)</f>
        <v>1</v>
      </c>
      <c r="BJ227" s="197" t="e">
        <f ca="1">_xlfn.MAXIFS(TeamGameData[Win],TeamGameData[School, Opponent,Game'#],PlayerGameData[[#This Row],[School, Opponent,Game'#]])</f>
        <v>#NAME?</v>
      </c>
      <c r="BK227" s="197" t="e">
        <f ca="1">_xlfn.MAXIFS(TeamGameData[Loss],TeamGameData[School, Opponent,Game'#],PlayerGameData[[#This Row],[School, Opponent,Game'#]])</f>
        <v>#NAME?</v>
      </c>
    </row>
    <row r="228" spans="1:63" x14ac:dyDescent="0.25">
      <c r="A228" s="8" t="str">
        <f t="shared" ca="1" si="123"/>
        <v>Carson Barritt, 14</v>
      </c>
      <c r="B228" s="8" t="str">
        <f>Roster!$B$1</f>
        <v>Upton</v>
      </c>
      <c r="C228" s="8" t="str">
        <f t="shared" ca="1" si="111"/>
        <v>Moorcroft</v>
      </c>
      <c r="D228" s="10">
        <f t="shared" ca="1" si="112"/>
        <v>44940</v>
      </c>
      <c r="E228" s="8">
        <f t="shared" ca="1" si="113"/>
        <v>1</v>
      </c>
      <c r="F228" s="8">
        <f t="shared" ca="1" si="114"/>
        <v>0</v>
      </c>
      <c r="G228" s="8">
        <f t="shared" ca="1" si="115"/>
        <v>1</v>
      </c>
      <c r="H228" s="8">
        <f t="shared" ca="1" si="116"/>
        <v>0</v>
      </c>
      <c r="I228" s="8">
        <f t="shared" ca="1" si="117"/>
        <v>1</v>
      </c>
      <c r="J228" s="8">
        <f t="shared" ca="1" si="118"/>
        <v>0</v>
      </c>
      <c r="K228" s="8">
        <f t="shared" ca="1" si="119"/>
        <v>0</v>
      </c>
      <c r="L228" s="8">
        <f t="shared" ca="1" si="124"/>
        <v>0</v>
      </c>
      <c r="M228" s="8">
        <f t="shared" ca="1" si="125"/>
        <v>0</v>
      </c>
      <c r="N228" s="8">
        <f t="shared" ca="1" si="126"/>
        <v>0</v>
      </c>
      <c r="O228" s="8">
        <f t="shared" ca="1" si="127"/>
        <v>0</v>
      </c>
      <c r="P228" s="8">
        <f t="shared" ca="1" si="128"/>
        <v>0</v>
      </c>
      <c r="Q228" s="8">
        <f t="shared" ca="1" si="129"/>
        <v>0</v>
      </c>
      <c r="R228" s="8">
        <f t="shared" ca="1" si="130"/>
        <v>0</v>
      </c>
      <c r="S228" s="8">
        <f t="shared" ca="1" si="131"/>
        <v>0</v>
      </c>
      <c r="T228" s="8">
        <f t="shared" ca="1" si="132"/>
        <v>0</v>
      </c>
      <c r="U228" s="8">
        <f t="shared" ca="1" si="133"/>
        <v>0</v>
      </c>
      <c r="V228" s="8">
        <f t="shared" ca="1" si="134"/>
        <v>0</v>
      </c>
      <c r="W228" s="11">
        <f t="shared" ca="1" si="135"/>
        <v>0</v>
      </c>
      <c r="X228" s="11" t="str">
        <f t="shared" ca="1" si="136"/>
        <v/>
      </c>
      <c r="Y228" s="11" t="str">
        <f t="shared" ca="1" si="137"/>
        <v/>
      </c>
      <c r="Z228" s="11">
        <f t="shared" ca="1" si="138"/>
        <v>0</v>
      </c>
      <c r="AA228" s="11">
        <f t="shared" ca="1" si="139"/>
        <v>0</v>
      </c>
      <c r="AB228" s="47">
        <f ca="1">PlayerGameData[[#This Row],[3FGA]]+PlayerGameData[[#This Row],[2FGA]]</f>
        <v>1</v>
      </c>
      <c r="AC228" s="47">
        <f ca="1">PlayerGameData[[#This Row],[OFF REB]]+PlayerGameData[[#This Row],[DEF REB]]</f>
        <v>0</v>
      </c>
      <c r="AD228" s="8">
        <f t="shared" si="120"/>
        <v>10</v>
      </c>
      <c r="AE228" s="8" t="str">
        <f t="shared" ca="1" si="121"/>
        <v>Carson Barritt, 14 - Moorcroft 1/14/2023</v>
      </c>
      <c r="AF228" s="8" t="str">
        <f t="shared" ca="1" si="140"/>
        <v/>
      </c>
      <c r="AG228" s="8" t="str">
        <f ca="1">IFERROR(IF(C228=0,"",IF(AND(VLOOKUP(PlayerGameData[[#This Row],[Opponent]],WYTeamInfo,2,FALSE)=Roster!$D$1,VLOOKUP(PlayerGameData[[#This Row],[Opponent]],WYTeamInfo,3,FALSE)=Roster!$D$2),"SR","")),"")</f>
        <v/>
      </c>
      <c r="AH228" s="8" t="str">
        <f>CONCATENATE(Roster!$D$1," ",Roster!$D$5)</f>
        <v>1A BB</v>
      </c>
      <c r="AI228" s="8" t="str">
        <f t="shared" ca="1" si="122"/>
        <v>Upton - Moorcroft 1/14/2023</v>
      </c>
      <c r="AJ228" s="8">
        <f ca="1">IFERROR(VLOOKUP(PlayerGameData[[#This Row],[School, Opponent,Game'#]],Table3[],2,FALSE),0)</f>
        <v>1</v>
      </c>
      <c r="AK228" s="8">
        <f ca="1">IF(PlayerGameData[[#This Row],[Visible]]=1,1,1000)</f>
        <v>1</v>
      </c>
      <c r="AL228" s="8">
        <f ca="1">RANK(PlayerGameData[[#This Row],[TL PTS]],PlayerGameData[TL PTS],0)+PlayerGameData[[#This Row],[VisibleOrder]]</f>
        <v>185</v>
      </c>
      <c r="AM228" s="8">
        <f ca="1">IF(COUNTIF(PlayerGameData[PointOrder],PlayerGameData[[#This Row],[PointOrder]])&gt;1,RANK(PlayerGameData[[#This Row],[FGA]],PlayerGameData[FGA],0)/100,0)+PlayerGameData[[#This Row],[PointOrder]]</f>
        <v>186.82</v>
      </c>
      <c r="AN228" s="8">
        <f ca="1">RANK(PlayerGameData[[#This Row],[PointTieBreak]],PlayerGameData[PointTieBreak],1)</f>
        <v>196</v>
      </c>
      <c r="AO228" s="8">
        <f ca="1">RANK(PlayerGameData[[#This Row],[REB]],PlayerGameData[REB],0)+PlayerGameData[[#This Row],[VisibleOrder]]</f>
        <v>192</v>
      </c>
      <c r="AP228" s="8">
        <f ca="1">IF(COUNTIF(PlayerGameData[REBOrder],PlayerGameData[[#This Row],[REBOrder]])&gt;1,PlayerGameData[[#This Row],[PointRank]]/100+PlayerGameData[[#This Row],[REBOrder]],PlayerGameData[[#This Row],[REBOrder]])</f>
        <v>193.96</v>
      </c>
      <c r="AQ228" s="8">
        <f ca="1">RANK(PlayerGameData[[#This Row],[REBTieBreak]],PlayerGameData[REBTieBreak],1)</f>
        <v>213</v>
      </c>
      <c r="AR228" s="8">
        <f ca="1">RANK(PlayerGameData[[#This Row],[AST]],PlayerGameData[AST],0)+PlayerGameData[[#This Row],[VisibleOrder]]</f>
        <v>158</v>
      </c>
      <c r="AS228" s="8">
        <f ca="1">IF(COUNTIF(PlayerGameData[ASTOrder],PlayerGameData[[#This Row],[ASTOrder]])&gt;1,PlayerGameData[[#This Row],[PointRank]]/100+PlayerGameData[[#This Row],[ASTOrder]],PlayerGameData[[#This Row],[ASTOrder]])</f>
        <v>159.96</v>
      </c>
      <c r="AT228" s="8">
        <f ca="1">RANK(PlayerGameData[[#This Row],[ASTTieBreak]],PlayerGameData[ASTTieBreak],1)</f>
        <v>208</v>
      </c>
      <c r="AU228" s="8">
        <f ca="1">RANK(PlayerGameData[[#This Row],[STL]],PlayerGameData[STL],0)+PlayerGameData[[#This Row],[VisibleOrder]]</f>
        <v>143</v>
      </c>
      <c r="AV228" s="8">
        <f ca="1">IF(COUNTIF(PlayerGameData[STLOrder],PlayerGameData[[#This Row],[STLOrder]])&gt;1,PlayerGameData[[#This Row],[PointRank]]/100+PlayerGameData[[#This Row],[STLOrder]],PlayerGameData[[#This Row],[STLOrder]])</f>
        <v>144.96</v>
      </c>
      <c r="AW228" s="8">
        <f ca="1">RANK(PlayerGameData[[#This Row],[STLTieBreak]],PlayerGameData[STLTieBreak],1)</f>
        <v>200</v>
      </c>
      <c r="AX228" s="8">
        <f ca="1">RANK(PlayerGameData[[#This Row],[BLK]],PlayerGameData[BLK],0)+PlayerGameData[[#This Row],[VisibleOrder]]</f>
        <v>32</v>
      </c>
      <c r="AY228" s="8">
        <f ca="1">IF(COUNTIF(PlayerGameData[BLKOrder],PlayerGameData[[#This Row],[BLKOrder]])&gt;1,PlayerGameData[[#This Row],[PointRank]]/100+PlayerGameData[[#This Row],[BLKOrder]],PlayerGameData[[#This Row],[BLKOrder]])</f>
        <v>33.96</v>
      </c>
      <c r="AZ228" s="8">
        <f ca="1">RANK(PlayerGameData[[#This Row],[BLKTieBreak]],PlayerGameData[BLKTieBreak],1)</f>
        <v>196</v>
      </c>
      <c r="BA228" s="11">
        <f ca="1">IFERROR(IF(PlayerGameData[[#This Row],[FGA]]&gt;$AA$5,PlayerGameData[[#This Row],[FG%*]],PlayerGameData[[#This Row],[FG%*]]*-1),-2)</f>
        <v>0</v>
      </c>
      <c r="BB228" s="8">
        <f ca="1">RANK(PlayerGameData[[#This Row],[EligFG]],PlayerGameData[EligFG],0)+PlayerGameData[[#This Row],[VisibleOrder]]</f>
        <v>117</v>
      </c>
      <c r="BC228" s="8">
        <f ca="1">IF(COUNTIF(PlayerGameData[EligFGOrder],PlayerGameData[[#This Row],[EligFGOrder]])&gt;1,PlayerGameData[[#This Row],[PointRank]]/100+PlayerGameData[[#This Row],[EligFGOrder]],PlayerGameData[[#This Row],[EligFGOrder]])</f>
        <v>118.96</v>
      </c>
      <c r="BD228" s="8">
        <f ca="1">RANK(PlayerGameData[[#This Row],[EligFGTieBreak]],PlayerGameData[EligFGTieBreak],1)</f>
        <v>138</v>
      </c>
      <c r="BE228" s="8" t="str">
        <f>Roster!$D$3</f>
        <v>East</v>
      </c>
      <c r="BF228" s="8" t="str">
        <f>Roster!$D$2</f>
        <v>Northeast</v>
      </c>
      <c r="BG228" s="8" t="str">
        <f>Roster!$D$4</f>
        <v>North</v>
      </c>
      <c r="BH228" s="197">
        <f ca="1">IFERROR(VLOOKUP(CONCATENATE(PlayerGameData[[#This Row],[Opponent]]," ",MONTH(PlayerGameData[[#This Row],[Date]]),"/",DAY(PlayerGameData[[#This Row],[Date]]),"/",YEAR(PlayerGameData[[#This Row],[Date]])),Table35[],2,FALSE),0)</f>
        <v>1</v>
      </c>
      <c r="BI228" s="197">
        <f ca="1">IF(PlayerGameData[[#This Row],[Visible]]=1,1,1000)</f>
        <v>1</v>
      </c>
      <c r="BJ228" s="197" t="e">
        <f ca="1">_xlfn.MAXIFS(TeamGameData[Win],TeamGameData[School, Opponent,Game'#],PlayerGameData[[#This Row],[School, Opponent,Game'#]])</f>
        <v>#NAME?</v>
      </c>
      <c r="BK228" s="197" t="e">
        <f ca="1">_xlfn.MAXIFS(TeamGameData[Loss],TeamGameData[School, Opponent,Game'#],PlayerGameData[[#This Row],[School, Opponent,Game'#]])</f>
        <v>#NAME?</v>
      </c>
    </row>
    <row r="229" spans="1:63" x14ac:dyDescent="0.25">
      <c r="A229" s="8" t="str">
        <f t="shared" ca="1" si="123"/>
        <v>Ben Carpenter, 21</v>
      </c>
      <c r="B229" s="8" t="str">
        <f>Roster!$B$1</f>
        <v>Upton</v>
      </c>
      <c r="C229" s="8" t="str">
        <f t="shared" ca="1" si="111"/>
        <v>Moorcroft</v>
      </c>
      <c r="D229" s="10">
        <f t="shared" ca="1" si="112"/>
        <v>44940</v>
      </c>
      <c r="E229" s="8">
        <f t="shared" ca="1" si="113"/>
        <v>0</v>
      </c>
      <c r="F229" s="8">
        <f t="shared" ca="1" si="114"/>
        <v>0</v>
      </c>
      <c r="G229" s="8">
        <f t="shared" ca="1" si="115"/>
        <v>0</v>
      </c>
      <c r="H229" s="8">
        <f t="shared" ca="1" si="116"/>
        <v>0</v>
      </c>
      <c r="I229" s="8">
        <f t="shared" ca="1" si="117"/>
        <v>0</v>
      </c>
      <c r="J229" s="8">
        <f t="shared" ca="1" si="118"/>
        <v>0</v>
      </c>
      <c r="K229" s="8">
        <f t="shared" ca="1" si="119"/>
        <v>0</v>
      </c>
      <c r="L229" s="8">
        <f t="shared" ca="1" si="124"/>
        <v>0</v>
      </c>
      <c r="M229" s="8">
        <f t="shared" ca="1" si="125"/>
        <v>0</v>
      </c>
      <c r="N229" s="8">
        <f t="shared" ca="1" si="126"/>
        <v>0</v>
      </c>
      <c r="O229" s="8">
        <f t="shared" ca="1" si="127"/>
        <v>0</v>
      </c>
      <c r="P229" s="8">
        <f t="shared" ca="1" si="128"/>
        <v>0</v>
      </c>
      <c r="Q229" s="8">
        <f t="shared" ca="1" si="129"/>
        <v>0</v>
      </c>
      <c r="R229" s="8">
        <f t="shared" ca="1" si="130"/>
        <v>0</v>
      </c>
      <c r="S229" s="8">
        <f t="shared" ca="1" si="131"/>
        <v>0</v>
      </c>
      <c r="T229" s="8">
        <f t="shared" ca="1" si="132"/>
        <v>0</v>
      </c>
      <c r="U229" s="8">
        <f t="shared" ca="1" si="133"/>
        <v>0</v>
      </c>
      <c r="V229" s="8">
        <f t="shared" ca="1" si="134"/>
        <v>0</v>
      </c>
      <c r="W229" s="11" t="str">
        <f t="shared" ca="1" si="135"/>
        <v/>
      </c>
      <c r="X229" s="11" t="str">
        <f t="shared" ca="1" si="136"/>
        <v/>
      </c>
      <c r="Y229" s="11" t="str">
        <f t="shared" ca="1" si="137"/>
        <v/>
      </c>
      <c r="Z229" s="11" t="str">
        <f t="shared" ca="1" si="138"/>
        <v/>
      </c>
      <c r="AA229" s="11" t="str">
        <f t="shared" ca="1" si="139"/>
        <v/>
      </c>
      <c r="AB229" s="47">
        <f ca="1">PlayerGameData[[#This Row],[3FGA]]+PlayerGameData[[#This Row],[2FGA]]</f>
        <v>0</v>
      </c>
      <c r="AC229" s="47">
        <f ca="1">PlayerGameData[[#This Row],[OFF REB]]+PlayerGameData[[#This Row],[DEF REB]]</f>
        <v>0</v>
      </c>
      <c r="AD229" s="8">
        <f t="shared" si="120"/>
        <v>10</v>
      </c>
      <c r="AE229" s="8" t="str">
        <f t="shared" ca="1" si="121"/>
        <v>Ben Carpenter, 21 - Moorcroft 1/14/2023</v>
      </c>
      <c r="AF229" s="8" t="str">
        <f t="shared" ca="1" si="140"/>
        <v/>
      </c>
      <c r="AG229" s="8" t="str">
        <f ca="1">IFERROR(IF(C229=0,"",IF(AND(VLOOKUP(PlayerGameData[[#This Row],[Opponent]],WYTeamInfo,2,FALSE)=Roster!$D$1,VLOOKUP(PlayerGameData[[#This Row],[Opponent]],WYTeamInfo,3,FALSE)=Roster!$D$2),"SR","")),"")</f>
        <v/>
      </c>
      <c r="AH229" s="8" t="str">
        <f>CONCATENATE(Roster!$D$1," ",Roster!$D$5)</f>
        <v>1A BB</v>
      </c>
      <c r="AI229" s="8" t="str">
        <f t="shared" ca="1" si="122"/>
        <v>Upton - Moorcroft 1/14/2023</v>
      </c>
      <c r="AJ229" s="8">
        <f ca="1">IFERROR(VLOOKUP(PlayerGameData[[#This Row],[School, Opponent,Game'#]],Table3[],2,FALSE),0)</f>
        <v>1</v>
      </c>
      <c r="AK229" s="8">
        <f ca="1">IF(PlayerGameData[[#This Row],[Visible]]=1,1,1000)</f>
        <v>1</v>
      </c>
      <c r="AL229" s="8">
        <f ca="1">RANK(PlayerGameData[[#This Row],[TL PTS]],PlayerGameData[TL PTS],0)+PlayerGameData[[#This Row],[VisibleOrder]]</f>
        <v>185</v>
      </c>
      <c r="AM229" s="8">
        <f ca="1">IF(COUNTIF(PlayerGameData[PointOrder],PlayerGameData[[#This Row],[PointOrder]])&gt;1,RANK(PlayerGameData[[#This Row],[FGA]],PlayerGameData[FGA],0)/100,0)+PlayerGameData[[#This Row],[PointOrder]]</f>
        <v>187.14</v>
      </c>
      <c r="AN229" s="8">
        <f ca="1">RANK(PlayerGameData[[#This Row],[PointTieBreak]],PlayerGameData[PointTieBreak],1)</f>
        <v>216</v>
      </c>
      <c r="AO229" s="8">
        <f ca="1">RANK(PlayerGameData[[#This Row],[REB]],PlayerGameData[REB],0)+PlayerGameData[[#This Row],[VisibleOrder]]</f>
        <v>192</v>
      </c>
      <c r="AP229" s="8">
        <f ca="1">IF(COUNTIF(PlayerGameData[REBOrder],PlayerGameData[[#This Row],[REBOrder]])&gt;1,PlayerGameData[[#This Row],[PointRank]]/100+PlayerGameData[[#This Row],[REBOrder]],PlayerGameData[[#This Row],[REBOrder]])</f>
        <v>194.16</v>
      </c>
      <c r="AQ229" s="8">
        <f ca="1">RANK(PlayerGameData[[#This Row],[REBTieBreak]],PlayerGameData[REBTieBreak],1)</f>
        <v>224</v>
      </c>
      <c r="AR229" s="8">
        <f ca="1">RANK(PlayerGameData[[#This Row],[AST]],PlayerGameData[AST],0)+PlayerGameData[[#This Row],[VisibleOrder]]</f>
        <v>158</v>
      </c>
      <c r="AS229" s="8">
        <f ca="1">IF(COUNTIF(PlayerGameData[ASTOrder],PlayerGameData[[#This Row],[ASTOrder]])&gt;1,PlayerGameData[[#This Row],[PointRank]]/100+PlayerGameData[[#This Row],[ASTOrder]],PlayerGameData[[#This Row],[ASTOrder]])</f>
        <v>160.16</v>
      </c>
      <c r="AT229" s="8">
        <f ca="1">RANK(PlayerGameData[[#This Row],[ASTTieBreak]],PlayerGameData[ASTTieBreak],1)</f>
        <v>221</v>
      </c>
      <c r="AU229" s="8">
        <f ca="1">RANK(PlayerGameData[[#This Row],[STL]],PlayerGameData[STL],0)+PlayerGameData[[#This Row],[VisibleOrder]]</f>
        <v>143</v>
      </c>
      <c r="AV229" s="8">
        <f ca="1">IF(COUNTIF(PlayerGameData[STLOrder],PlayerGameData[[#This Row],[STLOrder]])&gt;1,PlayerGameData[[#This Row],[PointRank]]/100+PlayerGameData[[#This Row],[STLOrder]],PlayerGameData[[#This Row],[STLOrder]])</f>
        <v>145.16</v>
      </c>
      <c r="AW229" s="8">
        <f ca="1">RANK(PlayerGameData[[#This Row],[STLTieBreak]],PlayerGameData[STLTieBreak],1)</f>
        <v>217</v>
      </c>
      <c r="AX229" s="8">
        <f ca="1">RANK(PlayerGameData[[#This Row],[BLK]],PlayerGameData[BLK],0)+PlayerGameData[[#This Row],[VisibleOrder]]</f>
        <v>32</v>
      </c>
      <c r="AY229" s="8">
        <f ca="1">IF(COUNTIF(PlayerGameData[BLKOrder],PlayerGameData[[#This Row],[BLKOrder]])&gt;1,PlayerGameData[[#This Row],[PointRank]]/100+PlayerGameData[[#This Row],[BLKOrder]],PlayerGameData[[#This Row],[BLKOrder]])</f>
        <v>34.159999999999997</v>
      </c>
      <c r="AZ229" s="8">
        <f ca="1">RANK(PlayerGameData[[#This Row],[BLKTieBreak]],PlayerGameData[BLKTieBreak],1)</f>
        <v>216</v>
      </c>
      <c r="BA229" s="11">
        <f ca="1">IFERROR(IF(PlayerGameData[[#This Row],[FGA]]&gt;$AA$5,PlayerGameData[[#This Row],[FG%*]],PlayerGameData[[#This Row],[FG%*]]*-1),-2)</f>
        <v>-2</v>
      </c>
      <c r="BB229" s="8">
        <f ca="1">RANK(PlayerGameData[[#This Row],[EligFG]],PlayerGameData[EligFG],0)+PlayerGameData[[#This Row],[VisibleOrder]]</f>
        <v>215</v>
      </c>
      <c r="BC229" s="8">
        <f ca="1">IF(COUNTIF(PlayerGameData[EligFGOrder],PlayerGameData[[#This Row],[EligFGOrder]])&gt;1,PlayerGameData[[#This Row],[PointRank]]/100+PlayerGameData[[#This Row],[EligFGOrder]],PlayerGameData[[#This Row],[EligFGOrder]])</f>
        <v>217.16</v>
      </c>
      <c r="BD229" s="8">
        <f ca="1">RANK(PlayerGameData[[#This Row],[EligFGTieBreak]],PlayerGameData[EligFGTieBreak],1)</f>
        <v>216</v>
      </c>
      <c r="BE229" s="8" t="str">
        <f>Roster!$D$3</f>
        <v>East</v>
      </c>
      <c r="BF229" s="8" t="str">
        <f>Roster!$D$2</f>
        <v>Northeast</v>
      </c>
      <c r="BG229" s="8" t="str">
        <f>Roster!$D$4</f>
        <v>North</v>
      </c>
      <c r="BH229" s="197">
        <f ca="1">IFERROR(VLOOKUP(CONCATENATE(PlayerGameData[[#This Row],[Opponent]]," ",MONTH(PlayerGameData[[#This Row],[Date]]),"/",DAY(PlayerGameData[[#This Row],[Date]]),"/",YEAR(PlayerGameData[[#This Row],[Date]])),Table35[],2,FALSE),0)</f>
        <v>1</v>
      </c>
      <c r="BI229" s="197">
        <f ca="1">IF(PlayerGameData[[#This Row],[Visible]]=1,1,1000)</f>
        <v>1</v>
      </c>
      <c r="BJ229" s="197" t="e">
        <f ca="1">_xlfn.MAXIFS(TeamGameData[Win],TeamGameData[School, Opponent,Game'#],PlayerGameData[[#This Row],[School, Opponent,Game'#]])</f>
        <v>#NAME?</v>
      </c>
      <c r="BK229" s="197" t="e">
        <f ca="1">_xlfn.MAXIFS(TeamGameData[Loss],TeamGameData[School, Opponent,Game'#],PlayerGameData[[#This Row],[School, Opponent,Game'#]])</f>
        <v>#NAME?</v>
      </c>
    </row>
    <row r="230" spans="1:63" x14ac:dyDescent="0.25">
      <c r="A230" s="8" t="str">
        <f t="shared" ca="1" si="123"/>
        <v>Ethan Schiller, 23</v>
      </c>
      <c r="B230" s="8" t="str">
        <f>Roster!$B$1</f>
        <v>Upton</v>
      </c>
      <c r="C230" s="8" t="str">
        <f t="shared" ca="1" si="111"/>
        <v>Moorcroft</v>
      </c>
      <c r="D230" s="10">
        <f t="shared" ca="1" si="112"/>
        <v>44940</v>
      </c>
      <c r="E230" s="8">
        <f t="shared" ca="1" si="113"/>
        <v>1</v>
      </c>
      <c r="F230" s="8">
        <f t="shared" ca="1" si="114"/>
        <v>1</v>
      </c>
      <c r="G230" s="8">
        <f t="shared" ca="1" si="115"/>
        <v>24</v>
      </c>
      <c r="H230" s="8">
        <f t="shared" ca="1" si="116"/>
        <v>1</v>
      </c>
      <c r="I230" s="8">
        <f t="shared" ca="1" si="117"/>
        <v>3</v>
      </c>
      <c r="J230" s="8">
        <f t="shared" ca="1" si="118"/>
        <v>1</v>
      </c>
      <c r="K230" s="8">
        <f t="shared" ca="1" si="119"/>
        <v>5</v>
      </c>
      <c r="L230" s="8">
        <f t="shared" ca="1" si="124"/>
        <v>2</v>
      </c>
      <c r="M230" s="8">
        <f t="shared" ca="1" si="125"/>
        <v>2</v>
      </c>
      <c r="N230" s="8">
        <f t="shared" ca="1" si="126"/>
        <v>2</v>
      </c>
      <c r="O230" s="8">
        <f t="shared" ca="1" si="127"/>
        <v>7</v>
      </c>
      <c r="P230" s="8">
        <f t="shared" ca="1" si="128"/>
        <v>1</v>
      </c>
      <c r="Q230" s="8">
        <f t="shared" ca="1" si="129"/>
        <v>3</v>
      </c>
      <c r="R230" s="8">
        <f t="shared" ca="1" si="130"/>
        <v>1</v>
      </c>
      <c r="S230" s="8">
        <f t="shared" ca="1" si="131"/>
        <v>1</v>
      </c>
      <c r="T230" s="8">
        <f t="shared" ca="1" si="132"/>
        <v>1</v>
      </c>
      <c r="U230" s="8">
        <f t="shared" ca="1" si="133"/>
        <v>0</v>
      </c>
      <c r="V230" s="8">
        <f t="shared" ca="1" si="134"/>
        <v>7</v>
      </c>
      <c r="W230" s="11">
        <f t="shared" ca="1" si="135"/>
        <v>0.33333333333333331</v>
      </c>
      <c r="X230" s="11">
        <f t="shared" ca="1" si="136"/>
        <v>0.2</v>
      </c>
      <c r="Y230" s="11">
        <f t="shared" ca="1" si="137"/>
        <v>1</v>
      </c>
      <c r="Z230" s="11">
        <f t="shared" ca="1" si="138"/>
        <v>0.25</v>
      </c>
      <c r="AA230" s="11">
        <f t="shared" ca="1" si="139"/>
        <v>0.3125</v>
      </c>
      <c r="AB230" s="47">
        <f ca="1">PlayerGameData[[#This Row],[3FGA]]+PlayerGameData[[#This Row],[2FGA]]</f>
        <v>8</v>
      </c>
      <c r="AC230" s="47">
        <f ca="1">PlayerGameData[[#This Row],[OFF REB]]+PlayerGameData[[#This Row],[DEF REB]]</f>
        <v>9</v>
      </c>
      <c r="AD230" s="8">
        <f t="shared" si="120"/>
        <v>10</v>
      </c>
      <c r="AE230" s="8" t="str">
        <f t="shared" ca="1" si="121"/>
        <v>Ethan Schiller, 23 - Moorcroft 1/14/2023</v>
      </c>
      <c r="AF230" s="8" t="str">
        <f t="shared" ca="1" si="140"/>
        <v/>
      </c>
      <c r="AG230" s="8" t="str">
        <f ca="1">IFERROR(IF(C230=0,"",IF(AND(VLOOKUP(PlayerGameData[[#This Row],[Opponent]],WYTeamInfo,2,FALSE)=Roster!$D$1,VLOOKUP(PlayerGameData[[#This Row],[Opponent]],WYTeamInfo,3,FALSE)=Roster!$D$2),"SR","")),"")</f>
        <v/>
      </c>
      <c r="AH230" s="8" t="str">
        <f>CONCATENATE(Roster!$D$1," ",Roster!$D$5)</f>
        <v>1A BB</v>
      </c>
      <c r="AI230" s="8" t="str">
        <f t="shared" ca="1" si="122"/>
        <v>Upton - Moorcroft 1/14/2023</v>
      </c>
      <c r="AJ230" s="8">
        <f ca="1">IFERROR(VLOOKUP(PlayerGameData[[#This Row],[School, Opponent,Game'#]],Table3[],2,FALSE),0)</f>
        <v>1</v>
      </c>
      <c r="AK230" s="8">
        <f ca="1">IF(PlayerGameData[[#This Row],[Visible]]=1,1,1000)</f>
        <v>1</v>
      </c>
      <c r="AL230" s="8">
        <f ca="1">RANK(PlayerGameData[[#This Row],[TL PTS]],PlayerGameData[TL PTS],0)+PlayerGameData[[#This Row],[VisibleOrder]]</f>
        <v>94</v>
      </c>
      <c r="AM230" s="8">
        <f ca="1">IF(COUNTIF(PlayerGameData[PointOrder],PlayerGameData[[#This Row],[PointOrder]])&gt;1,RANK(PlayerGameData[[#This Row],[FGA]],PlayerGameData[FGA],0)/100,0)+PlayerGameData[[#This Row],[PointOrder]]</f>
        <v>94.76</v>
      </c>
      <c r="AN230" s="8">
        <f ca="1">RANK(PlayerGameData[[#This Row],[PointTieBreak]],PlayerGameData[PointTieBreak],1)</f>
        <v>96</v>
      </c>
      <c r="AO230" s="8">
        <f ca="1">RANK(PlayerGameData[[#This Row],[REB]],PlayerGameData[REB],0)+PlayerGameData[[#This Row],[VisibleOrder]]</f>
        <v>13</v>
      </c>
      <c r="AP230" s="8">
        <f ca="1">IF(COUNTIF(PlayerGameData[REBOrder],PlayerGameData[[#This Row],[REBOrder]])&gt;1,PlayerGameData[[#This Row],[PointRank]]/100+PlayerGameData[[#This Row],[REBOrder]],PlayerGameData[[#This Row],[REBOrder]])</f>
        <v>13.96</v>
      </c>
      <c r="AQ230" s="8">
        <f ca="1">RANK(PlayerGameData[[#This Row],[REBTieBreak]],PlayerGameData[REBTieBreak],1)</f>
        <v>19</v>
      </c>
      <c r="AR230" s="8">
        <f ca="1">RANK(PlayerGameData[[#This Row],[AST]],PlayerGameData[AST],0)+PlayerGameData[[#This Row],[VisibleOrder]]</f>
        <v>115</v>
      </c>
      <c r="AS230" s="8">
        <f ca="1">IF(COUNTIF(PlayerGameData[ASTOrder],PlayerGameData[[#This Row],[ASTOrder]])&gt;1,PlayerGameData[[#This Row],[PointRank]]/100+PlayerGameData[[#This Row],[ASTOrder]],PlayerGameData[[#This Row],[ASTOrder]])</f>
        <v>115.96</v>
      </c>
      <c r="AT230" s="8">
        <f ca="1">RANK(PlayerGameData[[#This Row],[ASTTieBreak]],PlayerGameData[ASTTieBreak],1)</f>
        <v>128</v>
      </c>
      <c r="AU230" s="8">
        <f ca="1">RANK(PlayerGameData[[#This Row],[STL]],PlayerGameData[STL],0)+PlayerGameData[[#This Row],[VisibleOrder]]</f>
        <v>26</v>
      </c>
      <c r="AV230" s="8">
        <f ca="1">IF(COUNTIF(PlayerGameData[STLOrder],PlayerGameData[[#This Row],[STLOrder]])&gt;1,PlayerGameData[[#This Row],[PointRank]]/100+PlayerGameData[[#This Row],[STLOrder]],PlayerGameData[[#This Row],[STLOrder]])</f>
        <v>26.96</v>
      </c>
      <c r="AW230" s="8">
        <f ca="1">RANK(PlayerGameData[[#This Row],[STLTieBreak]],PlayerGameData[STLTieBreak],1)</f>
        <v>42</v>
      </c>
      <c r="AX230" s="8">
        <f ca="1">RANK(PlayerGameData[[#This Row],[BLK]],PlayerGameData[BLK],0)+PlayerGameData[[#This Row],[VisibleOrder]]</f>
        <v>11</v>
      </c>
      <c r="AY230" s="8">
        <f ca="1">IF(COUNTIF(PlayerGameData[BLKOrder],PlayerGameData[[#This Row],[BLKOrder]])&gt;1,PlayerGameData[[#This Row],[PointRank]]/100+PlayerGameData[[#This Row],[BLKOrder]],PlayerGameData[[#This Row],[BLKOrder]])</f>
        <v>11.96</v>
      </c>
      <c r="AZ230" s="8">
        <f ca="1">RANK(PlayerGameData[[#This Row],[BLKTieBreak]],PlayerGameData[BLKTieBreak],1)</f>
        <v>25</v>
      </c>
      <c r="BA230" s="11">
        <f ca="1">IFERROR(IF(PlayerGameData[[#This Row],[FGA]]&gt;$AA$5,PlayerGameData[[#This Row],[FG%*]],PlayerGameData[[#This Row],[FG%*]]*-1),-2)</f>
        <v>0.25</v>
      </c>
      <c r="BB230" s="8">
        <f ca="1">RANK(PlayerGameData[[#This Row],[EligFG]],PlayerGameData[EligFG],0)+PlayerGameData[[#This Row],[VisibleOrder]]</f>
        <v>98</v>
      </c>
      <c r="BC230" s="8">
        <f ca="1">IF(COUNTIF(PlayerGameData[EligFGOrder],PlayerGameData[[#This Row],[EligFGOrder]])&gt;1,PlayerGameData[[#This Row],[PointRank]]/100+PlayerGameData[[#This Row],[EligFGOrder]],PlayerGameData[[#This Row],[EligFGOrder]])</f>
        <v>98.96</v>
      </c>
      <c r="BD230" s="8">
        <f ca="1">RANK(PlayerGameData[[#This Row],[EligFGTieBreak]],PlayerGameData[EligFGTieBreak],1)</f>
        <v>100</v>
      </c>
      <c r="BE230" s="8" t="str">
        <f>Roster!$D$3</f>
        <v>East</v>
      </c>
      <c r="BF230" s="8" t="str">
        <f>Roster!$D$2</f>
        <v>Northeast</v>
      </c>
      <c r="BG230" s="8" t="str">
        <f>Roster!$D$4</f>
        <v>North</v>
      </c>
      <c r="BH230" s="197">
        <f ca="1">IFERROR(VLOOKUP(CONCATENATE(PlayerGameData[[#This Row],[Opponent]]," ",MONTH(PlayerGameData[[#This Row],[Date]]),"/",DAY(PlayerGameData[[#This Row],[Date]]),"/",YEAR(PlayerGameData[[#This Row],[Date]])),Table35[],2,FALSE),0)</f>
        <v>1</v>
      </c>
      <c r="BI230" s="197">
        <f ca="1">IF(PlayerGameData[[#This Row],[Visible]]=1,1,1000)</f>
        <v>1</v>
      </c>
      <c r="BJ230" s="197" t="e">
        <f ca="1">_xlfn.MAXIFS(TeamGameData[Win],TeamGameData[School, Opponent,Game'#],PlayerGameData[[#This Row],[School, Opponent,Game'#]])</f>
        <v>#NAME?</v>
      </c>
      <c r="BK230" s="197" t="e">
        <f ca="1">_xlfn.MAXIFS(TeamGameData[Loss],TeamGameData[School, Opponent,Game'#],PlayerGameData[[#This Row],[School, Opponent,Game'#]])</f>
        <v>#NAME?</v>
      </c>
    </row>
    <row r="231" spans="1:63" x14ac:dyDescent="0.25">
      <c r="A231" s="8" t="str">
        <f t="shared" ca="1" si="123"/>
        <v>Bridger Bruce, 25</v>
      </c>
      <c r="B231" s="8" t="str">
        <f>Roster!$B$1</f>
        <v>Upton</v>
      </c>
      <c r="C231" s="8" t="str">
        <f t="shared" ca="1" si="111"/>
        <v>Moorcroft</v>
      </c>
      <c r="D231" s="10">
        <f t="shared" ca="1" si="112"/>
        <v>44940</v>
      </c>
      <c r="E231" s="8">
        <f t="shared" ca="1" si="113"/>
        <v>1</v>
      </c>
      <c r="F231" s="8">
        <f t="shared" ca="1" si="114"/>
        <v>1</v>
      </c>
      <c r="G231" s="8">
        <f t="shared" ca="1" si="115"/>
        <v>19</v>
      </c>
      <c r="H231" s="8">
        <f t="shared" ca="1" si="116"/>
        <v>0</v>
      </c>
      <c r="I231" s="8">
        <f t="shared" ca="1" si="117"/>
        <v>0</v>
      </c>
      <c r="J231" s="8">
        <f t="shared" ca="1" si="118"/>
        <v>1</v>
      </c>
      <c r="K231" s="8">
        <f t="shared" ca="1" si="119"/>
        <v>3</v>
      </c>
      <c r="L231" s="8">
        <f t="shared" ca="1" si="124"/>
        <v>0</v>
      </c>
      <c r="M231" s="8">
        <f t="shared" ca="1" si="125"/>
        <v>0</v>
      </c>
      <c r="N231" s="8">
        <f t="shared" ca="1" si="126"/>
        <v>2</v>
      </c>
      <c r="O231" s="8">
        <f t="shared" ca="1" si="127"/>
        <v>3</v>
      </c>
      <c r="P231" s="8">
        <f t="shared" ca="1" si="128"/>
        <v>2</v>
      </c>
      <c r="Q231" s="8">
        <f t="shared" ca="1" si="129"/>
        <v>1</v>
      </c>
      <c r="R231" s="8">
        <f t="shared" ca="1" si="130"/>
        <v>0</v>
      </c>
      <c r="S231" s="8">
        <f t="shared" ca="1" si="131"/>
        <v>2</v>
      </c>
      <c r="T231" s="8">
        <f t="shared" ca="1" si="132"/>
        <v>2</v>
      </c>
      <c r="U231" s="8">
        <f t="shared" ca="1" si="133"/>
        <v>0</v>
      </c>
      <c r="V231" s="8">
        <f t="shared" ca="1" si="134"/>
        <v>2</v>
      </c>
      <c r="W231" s="11" t="str">
        <f t="shared" ca="1" si="135"/>
        <v/>
      </c>
      <c r="X231" s="11">
        <f t="shared" ca="1" si="136"/>
        <v>0.33333333333333331</v>
      </c>
      <c r="Y231" s="11" t="str">
        <f t="shared" ca="1" si="137"/>
        <v/>
      </c>
      <c r="Z231" s="11">
        <f t="shared" ca="1" si="138"/>
        <v>0.33333333333333331</v>
      </c>
      <c r="AA231" s="11">
        <f t="shared" ca="1" si="139"/>
        <v>0.33333333333333331</v>
      </c>
      <c r="AB231" s="47">
        <f ca="1">PlayerGameData[[#This Row],[3FGA]]+PlayerGameData[[#This Row],[2FGA]]</f>
        <v>3</v>
      </c>
      <c r="AC231" s="47">
        <f ca="1">PlayerGameData[[#This Row],[OFF REB]]+PlayerGameData[[#This Row],[DEF REB]]</f>
        <v>5</v>
      </c>
      <c r="AD231" s="8">
        <f t="shared" si="120"/>
        <v>10</v>
      </c>
      <c r="AE231" s="8" t="str">
        <f t="shared" ca="1" si="121"/>
        <v>Bridger Bruce, 25 - Moorcroft 1/14/2023</v>
      </c>
      <c r="AF231" s="8" t="str">
        <f t="shared" ca="1" si="140"/>
        <v/>
      </c>
      <c r="AG231" s="8" t="str">
        <f ca="1">IFERROR(IF(C231=0,"",IF(AND(VLOOKUP(PlayerGameData[[#This Row],[Opponent]],WYTeamInfo,2,FALSE)=Roster!$D$1,VLOOKUP(PlayerGameData[[#This Row],[Opponent]],WYTeamInfo,3,FALSE)=Roster!$D$2),"SR","")),"")</f>
        <v/>
      </c>
      <c r="AH231" s="8" t="str">
        <f>CONCATENATE(Roster!$D$1," ",Roster!$D$5)</f>
        <v>1A BB</v>
      </c>
      <c r="AI231" s="8" t="str">
        <f t="shared" ca="1" si="122"/>
        <v>Upton - Moorcroft 1/14/2023</v>
      </c>
      <c r="AJ231" s="8">
        <f ca="1">IFERROR(VLOOKUP(PlayerGameData[[#This Row],[School, Opponent,Game'#]],Table3[],2,FALSE),0)</f>
        <v>1</v>
      </c>
      <c r="AK231" s="8">
        <f ca="1">IF(PlayerGameData[[#This Row],[Visible]]=1,1,1000)</f>
        <v>1</v>
      </c>
      <c r="AL231" s="8">
        <f ca="1">RANK(PlayerGameData[[#This Row],[TL PTS]],PlayerGameData[TL PTS],0)+PlayerGameData[[#This Row],[VisibleOrder]]</f>
        <v>152</v>
      </c>
      <c r="AM231" s="8">
        <f ca="1">IF(COUNTIF(PlayerGameData[PointOrder],PlayerGameData[[#This Row],[PointOrder]])&gt;1,RANK(PlayerGameData[[#This Row],[FGA]],PlayerGameData[FGA],0)/100,0)+PlayerGameData[[#This Row],[PointOrder]]</f>
        <v>153.4</v>
      </c>
      <c r="AN231" s="8">
        <f ca="1">RANK(PlayerGameData[[#This Row],[PointTieBreak]],PlayerGameData[PointTieBreak],1)</f>
        <v>159</v>
      </c>
      <c r="AO231" s="8">
        <f ca="1">RANK(PlayerGameData[[#This Row],[REB]],PlayerGameData[REB],0)+PlayerGameData[[#This Row],[VisibleOrder]]</f>
        <v>52</v>
      </c>
      <c r="AP231" s="8">
        <f ca="1">IF(COUNTIF(PlayerGameData[REBOrder],PlayerGameData[[#This Row],[REBOrder]])&gt;1,PlayerGameData[[#This Row],[PointRank]]/100+PlayerGameData[[#This Row],[REBOrder]],PlayerGameData[[#This Row],[REBOrder]])</f>
        <v>53.59</v>
      </c>
      <c r="AQ231" s="8">
        <f ca="1">RANK(PlayerGameData[[#This Row],[REBTieBreak]],PlayerGameData[REBTieBreak],1)</f>
        <v>73</v>
      </c>
      <c r="AR231" s="8">
        <f ca="1">RANK(PlayerGameData[[#This Row],[AST]],PlayerGameData[AST],0)+PlayerGameData[[#This Row],[VisibleOrder]]</f>
        <v>69</v>
      </c>
      <c r="AS231" s="8">
        <f ca="1">IF(COUNTIF(PlayerGameData[ASTOrder],PlayerGameData[[#This Row],[ASTOrder]])&gt;1,PlayerGameData[[#This Row],[PointRank]]/100+PlayerGameData[[#This Row],[ASTOrder]],PlayerGameData[[#This Row],[ASTOrder]])</f>
        <v>70.59</v>
      </c>
      <c r="AT231" s="8">
        <f ca="1">RANK(PlayerGameData[[#This Row],[ASTTieBreak]],PlayerGameData[ASTTieBreak],1)</f>
        <v>104</v>
      </c>
      <c r="AU231" s="8">
        <f ca="1">RANK(PlayerGameData[[#This Row],[STL]],PlayerGameData[STL],0)+PlayerGameData[[#This Row],[VisibleOrder]]</f>
        <v>84</v>
      </c>
      <c r="AV231" s="8">
        <f ca="1">IF(COUNTIF(PlayerGameData[STLOrder],PlayerGameData[[#This Row],[STLOrder]])&gt;1,PlayerGameData[[#This Row],[PointRank]]/100+PlayerGameData[[#This Row],[STLOrder]],PlayerGameData[[#This Row],[STLOrder]])</f>
        <v>85.59</v>
      </c>
      <c r="AW231" s="8">
        <f ca="1">RANK(PlayerGameData[[#This Row],[STLTieBreak]],PlayerGameData[STLTieBreak],1)</f>
        <v>127</v>
      </c>
      <c r="AX231" s="8">
        <f ca="1">RANK(PlayerGameData[[#This Row],[BLK]],PlayerGameData[BLK],0)+PlayerGameData[[#This Row],[VisibleOrder]]</f>
        <v>32</v>
      </c>
      <c r="AY231" s="8">
        <f ca="1">IF(COUNTIF(PlayerGameData[BLKOrder],PlayerGameData[[#This Row],[BLKOrder]])&gt;1,PlayerGameData[[#This Row],[PointRank]]/100+PlayerGameData[[#This Row],[BLKOrder]],PlayerGameData[[#This Row],[BLKOrder]])</f>
        <v>33.590000000000003</v>
      </c>
      <c r="AZ231" s="8">
        <f ca="1">RANK(PlayerGameData[[#This Row],[BLKTieBreak]],PlayerGameData[BLKTieBreak],1)</f>
        <v>161</v>
      </c>
      <c r="BA231" s="11">
        <f ca="1">IFERROR(IF(PlayerGameData[[#This Row],[FGA]]&gt;$AA$5,PlayerGameData[[#This Row],[FG%*]],PlayerGameData[[#This Row],[FG%*]]*-1),-2)</f>
        <v>-0.33333333333333331</v>
      </c>
      <c r="BB231" s="8">
        <f ca="1">RANK(PlayerGameData[[#This Row],[EligFG]],PlayerGameData[EligFG],0)+PlayerGameData[[#This Row],[VisibleOrder]]</f>
        <v>164</v>
      </c>
      <c r="BC231" s="8">
        <f ca="1">IF(COUNTIF(PlayerGameData[EligFGOrder],PlayerGameData[[#This Row],[EligFGOrder]])&gt;1,PlayerGameData[[#This Row],[PointRank]]/100+PlayerGameData[[#This Row],[EligFGOrder]],PlayerGameData[[#This Row],[EligFGOrder]])</f>
        <v>165.59</v>
      </c>
      <c r="BD231" s="8">
        <f ca="1">RANK(PlayerGameData[[#This Row],[EligFGTieBreak]],PlayerGameData[EligFGTieBreak],1)</f>
        <v>171</v>
      </c>
      <c r="BE231" s="8" t="str">
        <f>Roster!$D$3</f>
        <v>East</v>
      </c>
      <c r="BF231" s="8" t="str">
        <f>Roster!$D$2</f>
        <v>Northeast</v>
      </c>
      <c r="BG231" s="8" t="str">
        <f>Roster!$D$4</f>
        <v>North</v>
      </c>
      <c r="BH231" s="197">
        <f ca="1">IFERROR(VLOOKUP(CONCATENATE(PlayerGameData[[#This Row],[Opponent]]," ",MONTH(PlayerGameData[[#This Row],[Date]]),"/",DAY(PlayerGameData[[#This Row],[Date]]),"/",YEAR(PlayerGameData[[#This Row],[Date]])),Table35[],2,FALSE),0)</f>
        <v>1</v>
      </c>
      <c r="BI231" s="197">
        <f ca="1">IF(PlayerGameData[[#This Row],[Visible]]=1,1,1000)</f>
        <v>1</v>
      </c>
      <c r="BJ231" s="197" t="e">
        <f ca="1">_xlfn.MAXIFS(TeamGameData[Win],TeamGameData[School, Opponent,Game'#],PlayerGameData[[#This Row],[School, Opponent,Game'#]])</f>
        <v>#NAME?</v>
      </c>
      <c r="BK231" s="197" t="e">
        <f ca="1">_xlfn.MAXIFS(TeamGameData[Loss],TeamGameData[School, Opponent,Game'#],PlayerGameData[[#This Row],[School, Opponent,Game'#]])</f>
        <v>#NAME?</v>
      </c>
    </row>
    <row r="232" spans="1:63" x14ac:dyDescent="0.25">
      <c r="A232" s="8" t="str">
        <f t="shared" ca="1" si="123"/>
        <v>Kailer Duarte, 31</v>
      </c>
      <c r="B232" s="8" t="str">
        <f>Roster!$B$1</f>
        <v>Upton</v>
      </c>
      <c r="C232" s="8" t="str">
        <f t="shared" ca="1" si="111"/>
        <v>Moorcroft</v>
      </c>
      <c r="D232" s="10">
        <f t="shared" ca="1" si="112"/>
        <v>44940</v>
      </c>
      <c r="E232" s="8">
        <f t="shared" ca="1" si="113"/>
        <v>1</v>
      </c>
      <c r="F232" s="8">
        <f t="shared" ca="1" si="114"/>
        <v>0</v>
      </c>
      <c r="G232" s="8">
        <f t="shared" ca="1" si="115"/>
        <v>18</v>
      </c>
      <c r="H232" s="8">
        <f t="shared" ca="1" si="116"/>
        <v>0</v>
      </c>
      <c r="I232" s="8">
        <f t="shared" ca="1" si="117"/>
        <v>4</v>
      </c>
      <c r="J232" s="8">
        <f t="shared" ca="1" si="118"/>
        <v>2</v>
      </c>
      <c r="K232" s="8">
        <f t="shared" ca="1" si="119"/>
        <v>4</v>
      </c>
      <c r="L232" s="8">
        <f t="shared" ca="1" si="124"/>
        <v>0</v>
      </c>
      <c r="M232" s="8">
        <f t="shared" ca="1" si="125"/>
        <v>0</v>
      </c>
      <c r="N232" s="8">
        <f t="shared" ca="1" si="126"/>
        <v>2</v>
      </c>
      <c r="O232" s="8">
        <f t="shared" ca="1" si="127"/>
        <v>4</v>
      </c>
      <c r="P232" s="8">
        <f t="shared" ca="1" si="128"/>
        <v>1</v>
      </c>
      <c r="Q232" s="8">
        <f t="shared" ca="1" si="129"/>
        <v>1</v>
      </c>
      <c r="R232" s="8">
        <f t="shared" ca="1" si="130"/>
        <v>1</v>
      </c>
      <c r="S232" s="8">
        <f t="shared" ca="1" si="131"/>
        <v>0</v>
      </c>
      <c r="T232" s="8">
        <f t="shared" ca="1" si="132"/>
        <v>0</v>
      </c>
      <c r="U232" s="8">
        <f t="shared" ca="1" si="133"/>
        <v>0</v>
      </c>
      <c r="V232" s="8">
        <f t="shared" ca="1" si="134"/>
        <v>4</v>
      </c>
      <c r="W232" s="11">
        <f t="shared" ca="1" si="135"/>
        <v>0</v>
      </c>
      <c r="X232" s="11">
        <f t="shared" ca="1" si="136"/>
        <v>0.5</v>
      </c>
      <c r="Y232" s="11" t="str">
        <f t="shared" ca="1" si="137"/>
        <v/>
      </c>
      <c r="Z232" s="11">
        <f t="shared" ca="1" si="138"/>
        <v>0.25</v>
      </c>
      <c r="AA232" s="11">
        <f t="shared" ca="1" si="139"/>
        <v>0.25</v>
      </c>
      <c r="AB232" s="47">
        <f ca="1">PlayerGameData[[#This Row],[3FGA]]+PlayerGameData[[#This Row],[2FGA]]</f>
        <v>8</v>
      </c>
      <c r="AC232" s="47">
        <f ca="1">PlayerGameData[[#This Row],[OFF REB]]+PlayerGameData[[#This Row],[DEF REB]]</f>
        <v>6</v>
      </c>
      <c r="AD232" s="8">
        <f t="shared" si="120"/>
        <v>10</v>
      </c>
      <c r="AE232" s="8" t="str">
        <f t="shared" ca="1" si="121"/>
        <v>Kailer Duarte, 31 - Moorcroft 1/14/2023</v>
      </c>
      <c r="AF232" s="8" t="str">
        <f t="shared" ca="1" si="140"/>
        <v/>
      </c>
      <c r="AG232" s="8" t="str">
        <f ca="1">IFERROR(IF(C232=0,"",IF(AND(VLOOKUP(PlayerGameData[[#This Row],[Opponent]],WYTeamInfo,2,FALSE)=Roster!$D$1,VLOOKUP(PlayerGameData[[#This Row],[Opponent]],WYTeamInfo,3,FALSE)=Roster!$D$2),"SR","")),"")</f>
        <v/>
      </c>
      <c r="AH232" s="8" t="str">
        <f>CONCATENATE(Roster!$D$1," ",Roster!$D$5)</f>
        <v>1A BB</v>
      </c>
      <c r="AI232" s="8" t="str">
        <f t="shared" ca="1" si="122"/>
        <v>Upton - Moorcroft 1/14/2023</v>
      </c>
      <c r="AJ232" s="8">
        <f ca="1">IFERROR(VLOOKUP(PlayerGameData[[#This Row],[School, Opponent,Game'#]],Table3[],2,FALSE),0)</f>
        <v>1</v>
      </c>
      <c r="AK232" s="8">
        <f ca="1">IF(PlayerGameData[[#This Row],[Visible]]=1,1,1000)</f>
        <v>1</v>
      </c>
      <c r="AL232" s="8">
        <f ca="1">RANK(PlayerGameData[[#This Row],[TL PTS]],PlayerGameData[TL PTS],0)+PlayerGameData[[#This Row],[VisibleOrder]]</f>
        <v>118</v>
      </c>
      <c r="AM232" s="8">
        <f ca="1">IF(COUNTIF(PlayerGameData[PointOrder],PlayerGameData[[#This Row],[PointOrder]])&gt;1,RANK(PlayerGameData[[#This Row],[FGA]],PlayerGameData[FGA],0)/100,0)+PlayerGameData[[#This Row],[PointOrder]]</f>
        <v>118.76</v>
      </c>
      <c r="AN232" s="8">
        <f ca="1">RANK(PlayerGameData[[#This Row],[PointTieBreak]],PlayerGameData[PointTieBreak],1)</f>
        <v>118</v>
      </c>
      <c r="AO232" s="8">
        <f ca="1">RANK(PlayerGameData[[#This Row],[REB]],PlayerGameData[REB],0)+PlayerGameData[[#This Row],[VisibleOrder]]</f>
        <v>38</v>
      </c>
      <c r="AP232" s="8">
        <f ca="1">IF(COUNTIF(PlayerGameData[REBOrder],PlayerGameData[[#This Row],[REBOrder]])&gt;1,PlayerGameData[[#This Row],[PointRank]]/100+PlayerGameData[[#This Row],[REBOrder]],PlayerGameData[[#This Row],[REBOrder]])</f>
        <v>39.18</v>
      </c>
      <c r="AQ232" s="8">
        <f ca="1">RANK(PlayerGameData[[#This Row],[REBTieBreak]],PlayerGameData[REBTieBreak],1)</f>
        <v>47</v>
      </c>
      <c r="AR232" s="8">
        <f ca="1">RANK(PlayerGameData[[#This Row],[AST]],PlayerGameData[AST],0)+PlayerGameData[[#This Row],[VisibleOrder]]</f>
        <v>115</v>
      </c>
      <c r="AS232" s="8">
        <f ca="1">IF(COUNTIF(PlayerGameData[ASTOrder],PlayerGameData[[#This Row],[ASTOrder]])&gt;1,PlayerGameData[[#This Row],[PointRank]]/100+PlayerGameData[[#This Row],[ASTOrder]],PlayerGameData[[#This Row],[ASTOrder]])</f>
        <v>116.18</v>
      </c>
      <c r="AT232" s="8">
        <f ca="1">RANK(PlayerGameData[[#This Row],[ASTTieBreak]],PlayerGameData[ASTTieBreak],1)</f>
        <v>134</v>
      </c>
      <c r="AU232" s="8">
        <f ca="1">RANK(PlayerGameData[[#This Row],[STL]],PlayerGameData[STL],0)+PlayerGameData[[#This Row],[VisibleOrder]]</f>
        <v>84</v>
      </c>
      <c r="AV232" s="8">
        <f ca="1">IF(COUNTIF(PlayerGameData[STLOrder],PlayerGameData[[#This Row],[STLOrder]])&gt;1,PlayerGameData[[#This Row],[PointRank]]/100+PlayerGameData[[#This Row],[STLOrder]],PlayerGameData[[#This Row],[STLOrder]])</f>
        <v>85.18</v>
      </c>
      <c r="AW232" s="8">
        <f ca="1">RANK(PlayerGameData[[#This Row],[STLTieBreak]],PlayerGameData[STLTieBreak],1)</f>
        <v>115</v>
      </c>
      <c r="AX232" s="8">
        <f ca="1">RANK(PlayerGameData[[#This Row],[BLK]],PlayerGameData[BLK],0)+PlayerGameData[[#This Row],[VisibleOrder]]</f>
        <v>11</v>
      </c>
      <c r="AY232" s="8">
        <f ca="1">IF(COUNTIF(PlayerGameData[BLKOrder],PlayerGameData[[#This Row],[BLKOrder]])&gt;1,PlayerGameData[[#This Row],[PointRank]]/100+PlayerGameData[[#This Row],[BLKOrder]],PlayerGameData[[#This Row],[BLKOrder]])</f>
        <v>12.18</v>
      </c>
      <c r="AZ232" s="8">
        <f ca="1">RANK(PlayerGameData[[#This Row],[BLKTieBreak]],PlayerGameData[BLKTieBreak],1)</f>
        <v>27</v>
      </c>
      <c r="BA232" s="11">
        <f ca="1">IFERROR(IF(PlayerGameData[[#This Row],[FGA]]&gt;$AA$5,PlayerGameData[[#This Row],[FG%*]],PlayerGameData[[#This Row],[FG%*]]*-1),-2)</f>
        <v>0.25</v>
      </c>
      <c r="BB232" s="8">
        <f ca="1">RANK(PlayerGameData[[#This Row],[EligFG]],PlayerGameData[EligFG],0)+PlayerGameData[[#This Row],[VisibleOrder]]</f>
        <v>98</v>
      </c>
      <c r="BC232" s="8">
        <f ca="1">IF(COUNTIF(PlayerGameData[EligFGOrder],PlayerGameData[[#This Row],[EligFGOrder]])&gt;1,PlayerGameData[[#This Row],[PointRank]]/100+PlayerGameData[[#This Row],[EligFGOrder]],PlayerGameData[[#This Row],[EligFGOrder]])</f>
        <v>99.18</v>
      </c>
      <c r="BD232" s="8">
        <f ca="1">RANK(PlayerGameData[[#This Row],[EligFGTieBreak]],PlayerGameData[EligFGTieBreak],1)</f>
        <v>102</v>
      </c>
      <c r="BE232" s="8" t="str">
        <f>Roster!$D$3</f>
        <v>East</v>
      </c>
      <c r="BF232" s="8" t="str">
        <f>Roster!$D$2</f>
        <v>Northeast</v>
      </c>
      <c r="BG232" s="8" t="str">
        <f>Roster!$D$4</f>
        <v>North</v>
      </c>
      <c r="BH232" s="197">
        <f ca="1">IFERROR(VLOOKUP(CONCATENATE(PlayerGameData[[#This Row],[Opponent]]," ",MONTH(PlayerGameData[[#This Row],[Date]]),"/",DAY(PlayerGameData[[#This Row],[Date]]),"/",YEAR(PlayerGameData[[#This Row],[Date]])),Table35[],2,FALSE),0)</f>
        <v>1</v>
      </c>
      <c r="BI232" s="197">
        <f ca="1">IF(PlayerGameData[[#This Row],[Visible]]=1,1,1000)</f>
        <v>1</v>
      </c>
      <c r="BJ232" s="197" t="e">
        <f ca="1">_xlfn.MAXIFS(TeamGameData[Win],TeamGameData[School, Opponent,Game'#],PlayerGameData[[#This Row],[School, Opponent,Game'#]])</f>
        <v>#NAME?</v>
      </c>
      <c r="BK232" s="197" t="e">
        <f ca="1">_xlfn.MAXIFS(TeamGameData[Loss],TeamGameData[School, Opponent,Game'#],PlayerGameData[[#This Row],[School, Opponent,Game'#]])</f>
        <v>#NAME?</v>
      </c>
    </row>
    <row r="233" spans="1:63" x14ac:dyDescent="0.25">
      <c r="A233" s="8" t="str">
        <f t="shared" ca="1" si="123"/>
        <v>Matt Stirmel, 33</v>
      </c>
      <c r="B233" s="8" t="str">
        <f>Roster!$B$1</f>
        <v>Upton</v>
      </c>
      <c r="C233" s="8" t="str">
        <f t="shared" ca="1" si="111"/>
        <v>Moorcroft</v>
      </c>
      <c r="D233" s="10">
        <f t="shared" ca="1" si="112"/>
        <v>44940</v>
      </c>
      <c r="E233" s="8">
        <f t="shared" ca="1" si="113"/>
        <v>1</v>
      </c>
      <c r="F233" s="8">
        <f t="shared" ca="1" si="114"/>
        <v>0</v>
      </c>
      <c r="G233" s="8">
        <f t="shared" ca="1" si="115"/>
        <v>1</v>
      </c>
      <c r="H233" s="8">
        <f t="shared" ca="1" si="116"/>
        <v>0</v>
      </c>
      <c r="I233" s="8">
        <f t="shared" ca="1" si="117"/>
        <v>0</v>
      </c>
      <c r="J233" s="8">
        <f t="shared" ca="1" si="118"/>
        <v>0</v>
      </c>
      <c r="K233" s="8">
        <f t="shared" ca="1" si="119"/>
        <v>0</v>
      </c>
      <c r="L233" s="8">
        <f t="shared" ca="1" si="124"/>
        <v>0</v>
      </c>
      <c r="M233" s="8">
        <f t="shared" ca="1" si="125"/>
        <v>0</v>
      </c>
      <c r="N233" s="8">
        <f t="shared" ca="1" si="126"/>
        <v>0</v>
      </c>
      <c r="O233" s="8">
        <f t="shared" ca="1" si="127"/>
        <v>0</v>
      </c>
      <c r="P233" s="8">
        <f t="shared" ca="1" si="128"/>
        <v>0</v>
      </c>
      <c r="Q233" s="8">
        <f t="shared" ca="1" si="129"/>
        <v>0</v>
      </c>
      <c r="R233" s="8">
        <f t="shared" ca="1" si="130"/>
        <v>0</v>
      </c>
      <c r="S233" s="8">
        <f t="shared" ca="1" si="131"/>
        <v>0</v>
      </c>
      <c r="T233" s="8">
        <f t="shared" ca="1" si="132"/>
        <v>0</v>
      </c>
      <c r="U233" s="8">
        <f t="shared" ca="1" si="133"/>
        <v>0</v>
      </c>
      <c r="V233" s="8">
        <f t="shared" ca="1" si="134"/>
        <v>0</v>
      </c>
      <c r="W233" s="11" t="str">
        <f t="shared" ca="1" si="135"/>
        <v/>
      </c>
      <c r="X233" s="11" t="str">
        <f t="shared" ca="1" si="136"/>
        <v/>
      </c>
      <c r="Y233" s="11" t="str">
        <f t="shared" ca="1" si="137"/>
        <v/>
      </c>
      <c r="Z233" s="11" t="str">
        <f t="shared" ca="1" si="138"/>
        <v/>
      </c>
      <c r="AA233" s="11" t="str">
        <f t="shared" ca="1" si="139"/>
        <v/>
      </c>
      <c r="AB233" s="47">
        <f ca="1">PlayerGameData[[#This Row],[3FGA]]+PlayerGameData[[#This Row],[2FGA]]</f>
        <v>0</v>
      </c>
      <c r="AC233" s="47">
        <f ca="1">PlayerGameData[[#This Row],[OFF REB]]+PlayerGameData[[#This Row],[DEF REB]]</f>
        <v>0</v>
      </c>
      <c r="AD233" s="8">
        <f t="shared" si="120"/>
        <v>10</v>
      </c>
      <c r="AE233" s="8" t="str">
        <f t="shared" ca="1" si="121"/>
        <v>Matt Stirmel, 33 - Moorcroft 1/14/2023</v>
      </c>
      <c r="AF233" s="8" t="str">
        <f t="shared" ca="1" si="140"/>
        <v/>
      </c>
      <c r="AG233" s="8" t="str">
        <f ca="1">IFERROR(IF(C233=0,"",IF(AND(VLOOKUP(PlayerGameData[[#This Row],[Opponent]],WYTeamInfo,2,FALSE)=Roster!$D$1,VLOOKUP(PlayerGameData[[#This Row],[Opponent]],WYTeamInfo,3,FALSE)=Roster!$D$2),"SR","")),"")</f>
        <v/>
      </c>
      <c r="AH233" s="8" t="str">
        <f>CONCATENATE(Roster!$D$1," ",Roster!$D$5)</f>
        <v>1A BB</v>
      </c>
      <c r="AI233" s="8" t="str">
        <f t="shared" ca="1" si="122"/>
        <v>Upton - Moorcroft 1/14/2023</v>
      </c>
      <c r="AJ233" s="8">
        <f ca="1">IFERROR(VLOOKUP(PlayerGameData[[#This Row],[School, Opponent,Game'#]],Table3[],2,FALSE),0)</f>
        <v>1</v>
      </c>
      <c r="AK233" s="8">
        <f ca="1">IF(PlayerGameData[[#This Row],[Visible]]=1,1,1000)</f>
        <v>1</v>
      </c>
      <c r="AL233" s="8">
        <f ca="1">RANK(PlayerGameData[[#This Row],[TL PTS]],PlayerGameData[TL PTS],0)+PlayerGameData[[#This Row],[VisibleOrder]]</f>
        <v>185</v>
      </c>
      <c r="AM233" s="8">
        <f ca="1">IF(COUNTIF(PlayerGameData[PointOrder],PlayerGameData[[#This Row],[PointOrder]])&gt;1,RANK(PlayerGameData[[#This Row],[FGA]],PlayerGameData[FGA],0)/100,0)+PlayerGameData[[#This Row],[PointOrder]]</f>
        <v>187.14</v>
      </c>
      <c r="AN233" s="8">
        <f ca="1">RANK(PlayerGameData[[#This Row],[PointTieBreak]],PlayerGameData[PointTieBreak],1)</f>
        <v>216</v>
      </c>
      <c r="AO233" s="8">
        <f ca="1">RANK(PlayerGameData[[#This Row],[REB]],PlayerGameData[REB],0)+PlayerGameData[[#This Row],[VisibleOrder]]</f>
        <v>192</v>
      </c>
      <c r="AP233" s="8">
        <f ca="1">IF(COUNTIF(PlayerGameData[REBOrder],PlayerGameData[[#This Row],[REBOrder]])&gt;1,PlayerGameData[[#This Row],[PointRank]]/100+PlayerGameData[[#This Row],[REBOrder]],PlayerGameData[[#This Row],[REBOrder]])</f>
        <v>194.16</v>
      </c>
      <c r="AQ233" s="8">
        <f ca="1">RANK(PlayerGameData[[#This Row],[REBTieBreak]],PlayerGameData[REBTieBreak],1)</f>
        <v>224</v>
      </c>
      <c r="AR233" s="8">
        <f ca="1">RANK(PlayerGameData[[#This Row],[AST]],PlayerGameData[AST],0)+PlayerGameData[[#This Row],[VisibleOrder]]</f>
        <v>158</v>
      </c>
      <c r="AS233" s="8">
        <f ca="1">IF(COUNTIF(PlayerGameData[ASTOrder],PlayerGameData[[#This Row],[ASTOrder]])&gt;1,PlayerGameData[[#This Row],[PointRank]]/100+PlayerGameData[[#This Row],[ASTOrder]],PlayerGameData[[#This Row],[ASTOrder]])</f>
        <v>160.16</v>
      </c>
      <c r="AT233" s="8">
        <f ca="1">RANK(PlayerGameData[[#This Row],[ASTTieBreak]],PlayerGameData[ASTTieBreak],1)</f>
        <v>221</v>
      </c>
      <c r="AU233" s="8">
        <f ca="1">RANK(PlayerGameData[[#This Row],[STL]],PlayerGameData[STL],0)+PlayerGameData[[#This Row],[VisibleOrder]]</f>
        <v>143</v>
      </c>
      <c r="AV233" s="8">
        <f ca="1">IF(COUNTIF(PlayerGameData[STLOrder],PlayerGameData[[#This Row],[STLOrder]])&gt;1,PlayerGameData[[#This Row],[PointRank]]/100+PlayerGameData[[#This Row],[STLOrder]],PlayerGameData[[#This Row],[STLOrder]])</f>
        <v>145.16</v>
      </c>
      <c r="AW233" s="8">
        <f ca="1">RANK(PlayerGameData[[#This Row],[STLTieBreak]],PlayerGameData[STLTieBreak],1)</f>
        <v>217</v>
      </c>
      <c r="AX233" s="8">
        <f ca="1">RANK(PlayerGameData[[#This Row],[BLK]],PlayerGameData[BLK],0)+PlayerGameData[[#This Row],[VisibleOrder]]</f>
        <v>32</v>
      </c>
      <c r="AY233" s="8">
        <f ca="1">IF(COUNTIF(PlayerGameData[BLKOrder],PlayerGameData[[#This Row],[BLKOrder]])&gt;1,PlayerGameData[[#This Row],[PointRank]]/100+PlayerGameData[[#This Row],[BLKOrder]],PlayerGameData[[#This Row],[BLKOrder]])</f>
        <v>34.159999999999997</v>
      </c>
      <c r="AZ233" s="8">
        <f ca="1">RANK(PlayerGameData[[#This Row],[BLKTieBreak]],PlayerGameData[BLKTieBreak],1)</f>
        <v>216</v>
      </c>
      <c r="BA233" s="11">
        <f ca="1">IFERROR(IF(PlayerGameData[[#This Row],[FGA]]&gt;$AA$5,PlayerGameData[[#This Row],[FG%*]],PlayerGameData[[#This Row],[FG%*]]*-1),-2)</f>
        <v>-2</v>
      </c>
      <c r="BB233" s="8">
        <f ca="1">RANK(PlayerGameData[[#This Row],[EligFG]],PlayerGameData[EligFG],0)+PlayerGameData[[#This Row],[VisibleOrder]]</f>
        <v>215</v>
      </c>
      <c r="BC233" s="8">
        <f ca="1">IF(COUNTIF(PlayerGameData[EligFGOrder],PlayerGameData[[#This Row],[EligFGOrder]])&gt;1,PlayerGameData[[#This Row],[PointRank]]/100+PlayerGameData[[#This Row],[EligFGOrder]],PlayerGameData[[#This Row],[EligFGOrder]])</f>
        <v>217.16</v>
      </c>
      <c r="BD233" s="8">
        <f ca="1">RANK(PlayerGameData[[#This Row],[EligFGTieBreak]],PlayerGameData[EligFGTieBreak],1)</f>
        <v>216</v>
      </c>
      <c r="BE233" s="8" t="str">
        <f>Roster!$D$3</f>
        <v>East</v>
      </c>
      <c r="BF233" s="8" t="str">
        <f>Roster!$D$2</f>
        <v>Northeast</v>
      </c>
      <c r="BG233" s="8" t="str">
        <f>Roster!$D$4</f>
        <v>North</v>
      </c>
      <c r="BH233" s="197">
        <f ca="1">IFERROR(VLOOKUP(CONCATENATE(PlayerGameData[[#This Row],[Opponent]]," ",MONTH(PlayerGameData[[#This Row],[Date]]),"/",DAY(PlayerGameData[[#This Row],[Date]]),"/",YEAR(PlayerGameData[[#This Row],[Date]])),Table35[],2,FALSE),0)</f>
        <v>1</v>
      </c>
      <c r="BI233" s="197">
        <f ca="1">IF(PlayerGameData[[#This Row],[Visible]]=1,1,1000)</f>
        <v>1</v>
      </c>
      <c r="BJ233" s="197" t="e">
        <f ca="1">_xlfn.MAXIFS(TeamGameData[Win],TeamGameData[School, Opponent,Game'#],PlayerGameData[[#This Row],[School, Opponent,Game'#]])</f>
        <v>#NAME?</v>
      </c>
      <c r="BK233" s="197" t="e">
        <f ca="1">_xlfn.MAXIFS(TeamGameData[Loss],TeamGameData[School, Opponent,Game'#],PlayerGameData[[#This Row],[School, Opponent,Game'#]])</f>
        <v>#NAME?</v>
      </c>
    </row>
    <row r="234" spans="1:63" x14ac:dyDescent="0.25">
      <c r="A234" s="8" t="str">
        <f t="shared" ca="1" si="123"/>
        <v>Jacob McNutt, 34</v>
      </c>
      <c r="B234" s="8" t="str">
        <f>Roster!$B$1</f>
        <v>Upton</v>
      </c>
      <c r="C234" s="8" t="str">
        <f t="shared" ca="1" si="111"/>
        <v>Moorcroft</v>
      </c>
      <c r="D234" s="10">
        <f t="shared" ca="1" si="112"/>
        <v>44940</v>
      </c>
      <c r="E234" s="8">
        <f t="shared" ca="1" si="113"/>
        <v>1</v>
      </c>
      <c r="F234" s="8">
        <f t="shared" ca="1" si="114"/>
        <v>0</v>
      </c>
      <c r="G234" s="8">
        <f t="shared" ca="1" si="115"/>
        <v>0</v>
      </c>
      <c r="H234" s="8">
        <f t="shared" ca="1" si="116"/>
        <v>0</v>
      </c>
      <c r="I234" s="8">
        <f t="shared" ca="1" si="117"/>
        <v>0</v>
      </c>
      <c r="J234" s="8">
        <f t="shared" ca="1" si="118"/>
        <v>0</v>
      </c>
      <c r="K234" s="8">
        <f t="shared" ca="1" si="119"/>
        <v>0</v>
      </c>
      <c r="L234" s="8">
        <f t="shared" ca="1" si="124"/>
        <v>0</v>
      </c>
      <c r="M234" s="8">
        <f t="shared" ca="1" si="125"/>
        <v>0</v>
      </c>
      <c r="N234" s="8">
        <f t="shared" ca="1" si="126"/>
        <v>0</v>
      </c>
      <c r="O234" s="8">
        <f t="shared" ca="1" si="127"/>
        <v>0</v>
      </c>
      <c r="P234" s="8">
        <f t="shared" ca="1" si="128"/>
        <v>0</v>
      </c>
      <c r="Q234" s="8">
        <f t="shared" ca="1" si="129"/>
        <v>0</v>
      </c>
      <c r="R234" s="8">
        <f t="shared" ca="1" si="130"/>
        <v>0</v>
      </c>
      <c r="S234" s="8">
        <f t="shared" ca="1" si="131"/>
        <v>1</v>
      </c>
      <c r="T234" s="8">
        <f t="shared" ca="1" si="132"/>
        <v>0</v>
      </c>
      <c r="U234" s="8">
        <f t="shared" ca="1" si="133"/>
        <v>0</v>
      </c>
      <c r="V234" s="8">
        <f t="shared" ca="1" si="134"/>
        <v>0</v>
      </c>
      <c r="W234" s="11" t="str">
        <f t="shared" ca="1" si="135"/>
        <v/>
      </c>
      <c r="X234" s="11" t="str">
        <f t="shared" ca="1" si="136"/>
        <v/>
      </c>
      <c r="Y234" s="11" t="str">
        <f t="shared" ca="1" si="137"/>
        <v/>
      </c>
      <c r="Z234" s="11" t="str">
        <f t="shared" ca="1" si="138"/>
        <v/>
      </c>
      <c r="AA234" s="11" t="str">
        <f t="shared" ca="1" si="139"/>
        <v/>
      </c>
      <c r="AB234" s="47">
        <f ca="1">PlayerGameData[[#This Row],[3FGA]]+PlayerGameData[[#This Row],[2FGA]]</f>
        <v>0</v>
      </c>
      <c r="AC234" s="47">
        <f ca="1">PlayerGameData[[#This Row],[OFF REB]]+PlayerGameData[[#This Row],[DEF REB]]</f>
        <v>0</v>
      </c>
      <c r="AD234" s="8">
        <f t="shared" si="120"/>
        <v>10</v>
      </c>
      <c r="AE234" s="8" t="str">
        <f t="shared" ca="1" si="121"/>
        <v>Jacob McNutt, 34 - Moorcroft 1/14/2023</v>
      </c>
      <c r="AF234" s="8" t="str">
        <f t="shared" ca="1" si="140"/>
        <v/>
      </c>
      <c r="AG234" s="8" t="str">
        <f ca="1">IFERROR(IF(C234=0,"",IF(AND(VLOOKUP(PlayerGameData[[#This Row],[Opponent]],WYTeamInfo,2,FALSE)=Roster!$D$1,VLOOKUP(PlayerGameData[[#This Row],[Opponent]],WYTeamInfo,3,FALSE)=Roster!$D$2),"SR","")),"")</f>
        <v/>
      </c>
      <c r="AH234" s="8" t="str">
        <f>CONCATENATE(Roster!$D$1," ",Roster!$D$5)</f>
        <v>1A BB</v>
      </c>
      <c r="AI234" s="8" t="str">
        <f t="shared" ca="1" si="122"/>
        <v>Upton - Moorcroft 1/14/2023</v>
      </c>
      <c r="AJ234" s="8">
        <f ca="1">IFERROR(VLOOKUP(PlayerGameData[[#This Row],[School, Opponent,Game'#]],Table3[],2,FALSE),0)</f>
        <v>1</v>
      </c>
      <c r="AK234" s="8">
        <f ca="1">IF(PlayerGameData[[#This Row],[Visible]]=1,1,1000)</f>
        <v>1</v>
      </c>
      <c r="AL234" s="8">
        <f ca="1">RANK(PlayerGameData[[#This Row],[TL PTS]],PlayerGameData[TL PTS],0)+PlayerGameData[[#This Row],[VisibleOrder]]</f>
        <v>185</v>
      </c>
      <c r="AM234" s="8">
        <f ca="1">IF(COUNTIF(PlayerGameData[PointOrder],PlayerGameData[[#This Row],[PointOrder]])&gt;1,RANK(PlayerGameData[[#This Row],[FGA]],PlayerGameData[FGA],0)/100,0)+PlayerGameData[[#This Row],[PointOrder]]</f>
        <v>187.14</v>
      </c>
      <c r="AN234" s="8">
        <f ca="1">RANK(PlayerGameData[[#This Row],[PointTieBreak]],PlayerGameData[PointTieBreak],1)</f>
        <v>216</v>
      </c>
      <c r="AO234" s="8">
        <f ca="1">RANK(PlayerGameData[[#This Row],[REB]],PlayerGameData[REB],0)+PlayerGameData[[#This Row],[VisibleOrder]]</f>
        <v>192</v>
      </c>
      <c r="AP234" s="8">
        <f ca="1">IF(COUNTIF(PlayerGameData[REBOrder],PlayerGameData[[#This Row],[REBOrder]])&gt;1,PlayerGameData[[#This Row],[PointRank]]/100+PlayerGameData[[#This Row],[REBOrder]],PlayerGameData[[#This Row],[REBOrder]])</f>
        <v>194.16</v>
      </c>
      <c r="AQ234" s="8">
        <f ca="1">RANK(PlayerGameData[[#This Row],[REBTieBreak]],PlayerGameData[REBTieBreak],1)</f>
        <v>224</v>
      </c>
      <c r="AR234" s="8">
        <f ca="1">RANK(PlayerGameData[[#This Row],[AST]],PlayerGameData[AST],0)+PlayerGameData[[#This Row],[VisibleOrder]]</f>
        <v>158</v>
      </c>
      <c r="AS234" s="8">
        <f ca="1">IF(COUNTIF(PlayerGameData[ASTOrder],PlayerGameData[[#This Row],[ASTOrder]])&gt;1,PlayerGameData[[#This Row],[PointRank]]/100+PlayerGameData[[#This Row],[ASTOrder]],PlayerGameData[[#This Row],[ASTOrder]])</f>
        <v>160.16</v>
      </c>
      <c r="AT234" s="8">
        <f ca="1">RANK(PlayerGameData[[#This Row],[ASTTieBreak]],PlayerGameData[ASTTieBreak],1)</f>
        <v>221</v>
      </c>
      <c r="AU234" s="8">
        <f ca="1">RANK(PlayerGameData[[#This Row],[STL]],PlayerGameData[STL],0)+PlayerGameData[[#This Row],[VisibleOrder]]</f>
        <v>143</v>
      </c>
      <c r="AV234" s="8">
        <f ca="1">IF(COUNTIF(PlayerGameData[STLOrder],PlayerGameData[[#This Row],[STLOrder]])&gt;1,PlayerGameData[[#This Row],[PointRank]]/100+PlayerGameData[[#This Row],[STLOrder]],PlayerGameData[[#This Row],[STLOrder]])</f>
        <v>145.16</v>
      </c>
      <c r="AW234" s="8">
        <f ca="1">RANK(PlayerGameData[[#This Row],[STLTieBreak]],PlayerGameData[STLTieBreak],1)</f>
        <v>217</v>
      </c>
      <c r="AX234" s="8">
        <f ca="1">RANK(PlayerGameData[[#This Row],[BLK]],PlayerGameData[BLK],0)+PlayerGameData[[#This Row],[VisibleOrder]]</f>
        <v>32</v>
      </c>
      <c r="AY234" s="8">
        <f ca="1">IF(COUNTIF(PlayerGameData[BLKOrder],PlayerGameData[[#This Row],[BLKOrder]])&gt;1,PlayerGameData[[#This Row],[PointRank]]/100+PlayerGameData[[#This Row],[BLKOrder]],PlayerGameData[[#This Row],[BLKOrder]])</f>
        <v>34.159999999999997</v>
      </c>
      <c r="AZ234" s="8">
        <f ca="1">RANK(PlayerGameData[[#This Row],[BLKTieBreak]],PlayerGameData[BLKTieBreak],1)</f>
        <v>216</v>
      </c>
      <c r="BA234" s="11">
        <f ca="1">IFERROR(IF(PlayerGameData[[#This Row],[FGA]]&gt;$AA$5,PlayerGameData[[#This Row],[FG%*]],PlayerGameData[[#This Row],[FG%*]]*-1),-2)</f>
        <v>-2</v>
      </c>
      <c r="BB234" s="8">
        <f ca="1">RANK(PlayerGameData[[#This Row],[EligFG]],PlayerGameData[EligFG],0)+PlayerGameData[[#This Row],[VisibleOrder]]</f>
        <v>215</v>
      </c>
      <c r="BC234" s="8">
        <f ca="1">IF(COUNTIF(PlayerGameData[EligFGOrder],PlayerGameData[[#This Row],[EligFGOrder]])&gt;1,PlayerGameData[[#This Row],[PointRank]]/100+PlayerGameData[[#This Row],[EligFGOrder]],PlayerGameData[[#This Row],[EligFGOrder]])</f>
        <v>217.16</v>
      </c>
      <c r="BD234" s="8">
        <f ca="1">RANK(PlayerGameData[[#This Row],[EligFGTieBreak]],PlayerGameData[EligFGTieBreak],1)</f>
        <v>216</v>
      </c>
      <c r="BE234" s="8" t="str">
        <f>Roster!$D$3</f>
        <v>East</v>
      </c>
      <c r="BF234" s="8" t="str">
        <f>Roster!$D$2</f>
        <v>Northeast</v>
      </c>
      <c r="BG234" s="8" t="str">
        <f>Roster!$D$4</f>
        <v>North</v>
      </c>
      <c r="BH234" s="197">
        <f ca="1">IFERROR(VLOOKUP(CONCATENATE(PlayerGameData[[#This Row],[Opponent]]," ",MONTH(PlayerGameData[[#This Row],[Date]]),"/",DAY(PlayerGameData[[#This Row],[Date]]),"/",YEAR(PlayerGameData[[#This Row],[Date]])),Table35[],2,FALSE),0)</f>
        <v>1</v>
      </c>
      <c r="BI234" s="197">
        <f ca="1">IF(PlayerGameData[[#This Row],[Visible]]=1,1,1000)</f>
        <v>1</v>
      </c>
      <c r="BJ234" s="197" t="e">
        <f ca="1">_xlfn.MAXIFS(TeamGameData[Win],TeamGameData[School, Opponent,Game'#],PlayerGameData[[#This Row],[School, Opponent,Game'#]])</f>
        <v>#NAME?</v>
      </c>
      <c r="BK234" s="197" t="e">
        <f ca="1">_xlfn.MAXIFS(TeamGameData[Loss],TeamGameData[School, Opponent,Game'#],PlayerGameData[[#This Row],[School, Opponent,Game'#]])</f>
        <v>#NAME?</v>
      </c>
    </row>
    <row r="235" spans="1:63" x14ac:dyDescent="0.25">
      <c r="A235" s="8" t="str">
        <f t="shared" ca="1" si="123"/>
        <v>Ryan Baker, 35</v>
      </c>
      <c r="B235" s="8" t="str">
        <f>Roster!$B$1</f>
        <v>Upton</v>
      </c>
      <c r="C235" s="8" t="str">
        <f t="shared" ca="1" si="111"/>
        <v>Moorcroft</v>
      </c>
      <c r="D235" s="10">
        <f t="shared" ca="1" si="112"/>
        <v>44940</v>
      </c>
      <c r="E235" s="8">
        <f t="shared" ca="1" si="113"/>
        <v>1</v>
      </c>
      <c r="F235" s="8">
        <f t="shared" ca="1" si="114"/>
        <v>0</v>
      </c>
      <c r="G235" s="8">
        <f t="shared" ca="1" si="115"/>
        <v>11</v>
      </c>
      <c r="H235" s="8">
        <f t="shared" ca="1" si="116"/>
        <v>0</v>
      </c>
      <c r="I235" s="8">
        <f t="shared" ca="1" si="117"/>
        <v>1</v>
      </c>
      <c r="J235" s="8">
        <f t="shared" ca="1" si="118"/>
        <v>1</v>
      </c>
      <c r="K235" s="8">
        <f t="shared" ca="1" si="119"/>
        <v>2</v>
      </c>
      <c r="L235" s="8">
        <f t="shared" ca="1" si="124"/>
        <v>0</v>
      </c>
      <c r="M235" s="8">
        <f t="shared" ca="1" si="125"/>
        <v>0</v>
      </c>
      <c r="N235" s="8">
        <f t="shared" ca="1" si="126"/>
        <v>0</v>
      </c>
      <c r="O235" s="8">
        <f t="shared" ca="1" si="127"/>
        <v>1</v>
      </c>
      <c r="P235" s="8">
        <f t="shared" ca="1" si="128"/>
        <v>2</v>
      </c>
      <c r="Q235" s="8">
        <f t="shared" ca="1" si="129"/>
        <v>0</v>
      </c>
      <c r="R235" s="8">
        <f t="shared" ca="1" si="130"/>
        <v>1</v>
      </c>
      <c r="S235" s="8">
        <f t="shared" ca="1" si="131"/>
        <v>0</v>
      </c>
      <c r="T235" s="8">
        <f t="shared" ca="1" si="132"/>
        <v>0</v>
      </c>
      <c r="U235" s="8">
        <f t="shared" ca="1" si="133"/>
        <v>2</v>
      </c>
      <c r="V235" s="8">
        <f t="shared" ca="1" si="134"/>
        <v>2</v>
      </c>
      <c r="W235" s="11">
        <f t="shared" ca="1" si="135"/>
        <v>0</v>
      </c>
      <c r="X235" s="11">
        <f t="shared" ca="1" si="136"/>
        <v>0.5</v>
      </c>
      <c r="Y235" s="11" t="str">
        <f t="shared" ca="1" si="137"/>
        <v/>
      </c>
      <c r="Z235" s="11">
        <f t="shared" ca="1" si="138"/>
        <v>0.33333333333333331</v>
      </c>
      <c r="AA235" s="11">
        <f t="shared" ca="1" si="139"/>
        <v>0.33333333333333331</v>
      </c>
      <c r="AB235" s="47">
        <f ca="1">PlayerGameData[[#This Row],[3FGA]]+PlayerGameData[[#This Row],[2FGA]]</f>
        <v>3</v>
      </c>
      <c r="AC235" s="47">
        <f ca="1">PlayerGameData[[#This Row],[OFF REB]]+PlayerGameData[[#This Row],[DEF REB]]</f>
        <v>1</v>
      </c>
      <c r="AD235" s="8">
        <f t="shared" si="120"/>
        <v>10</v>
      </c>
      <c r="AE235" s="8" t="str">
        <f t="shared" ca="1" si="121"/>
        <v>Ryan Baker, 35 - Moorcroft 1/14/2023</v>
      </c>
      <c r="AF235" s="8" t="str">
        <f t="shared" ca="1" si="140"/>
        <v/>
      </c>
      <c r="AG235" s="8" t="str">
        <f ca="1">IFERROR(IF(C235=0,"",IF(AND(VLOOKUP(PlayerGameData[[#This Row],[Opponent]],WYTeamInfo,2,FALSE)=Roster!$D$1,VLOOKUP(PlayerGameData[[#This Row],[Opponent]],WYTeamInfo,3,FALSE)=Roster!$D$2),"SR","")),"")</f>
        <v/>
      </c>
      <c r="AH235" s="8" t="str">
        <f>CONCATENATE(Roster!$D$1," ",Roster!$D$5)</f>
        <v>1A BB</v>
      </c>
      <c r="AI235" s="8" t="str">
        <f t="shared" ca="1" si="122"/>
        <v>Upton - Moorcroft 1/14/2023</v>
      </c>
      <c r="AJ235" s="8">
        <f ca="1">IFERROR(VLOOKUP(PlayerGameData[[#This Row],[School, Opponent,Game'#]],Table3[],2,FALSE),0)</f>
        <v>1</v>
      </c>
      <c r="AK235" s="8">
        <f ca="1">IF(PlayerGameData[[#This Row],[Visible]]=1,1,1000)</f>
        <v>1</v>
      </c>
      <c r="AL235" s="8">
        <f ca="1">RANK(PlayerGameData[[#This Row],[TL PTS]],PlayerGameData[TL PTS],0)+PlayerGameData[[#This Row],[VisibleOrder]]</f>
        <v>152</v>
      </c>
      <c r="AM235" s="8">
        <f ca="1">IF(COUNTIF(PlayerGameData[PointOrder],PlayerGameData[[#This Row],[PointOrder]])&gt;1,RANK(PlayerGameData[[#This Row],[FGA]],PlayerGameData[FGA],0)/100,0)+PlayerGameData[[#This Row],[PointOrder]]</f>
        <v>153.4</v>
      </c>
      <c r="AN235" s="8">
        <f ca="1">RANK(PlayerGameData[[#This Row],[PointTieBreak]],PlayerGameData[PointTieBreak],1)</f>
        <v>159</v>
      </c>
      <c r="AO235" s="8">
        <f ca="1">RANK(PlayerGameData[[#This Row],[REB]],PlayerGameData[REB],0)+PlayerGameData[[#This Row],[VisibleOrder]]</f>
        <v>163</v>
      </c>
      <c r="AP235" s="8">
        <f ca="1">IF(COUNTIF(PlayerGameData[REBOrder],PlayerGameData[[#This Row],[REBOrder]])&gt;1,PlayerGameData[[#This Row],[PointRank]]/100+PlayerGameData[[#This Row],[REBOrder]],PlayerGameData[[#This Row],[REBOrder]])</f>
        <v>164.59</v>
      </c>
      <c r="AQ235" s="8">
        <f ca="1">RANK(PlayerGameData[[#This Row],[REBTieBreak]],PlayerGameData[REBTieBreak],1)</f>
        <v>174</v>
      </c>
      <c r="AR235" s="8">
        <f ca="1">RANK(PlayerGameData[[#This Row],[AST]],PlayerGameData[AST],0)+PlayerGameData[[#This Row],[VisibleOrder]]</f>
        <v>69</v>
      </c>
      <c r="AS235" s="8">
        <f ca="1">IF(COUNTIF(PlayerGameData[ASTOrder],PlayerGameData[[#This Row],[ASTOrder]])&gt;1,PlayerGameData[[#This Row],[PointRank]]/100+PlayerGameData[[#This Row],[ASTOrder]],PlayerGameData[[#This Row],[ASTOrder]])</f>
        <v>70.59</v>
      </c>
      <c r="AT235" s="8">
        <f ca="1">RANK(PlayerGameData[[#This Row],[ASTTieBreak]],PlayerGameData[ASTTieBreak],1)</f>
        <v>104</v>
      </c>
      <c r="AU235" s="8">
        <f ca="1">RANK(PlayerGameData[[#This Row],[STL]],PlayerGameData[STL],0)+PlayerGameData[[#This Row],[VisibleOrder]]</f>
        <v>143</v>
      </c>
      <c r="AV235" s="8">
        <f ca="1">IF(COUNTIF(PlayerGameData[STLOrder],PlayerGameData[[#This Row],[STLOrder]])&gt;1,PlayerGameData[[#This Row],[PointRank]]/100+PlayerGameData[[#This Row],[STLOrder]],PlayerGameData[[#This Row],[STLOrder]])</f>
        <v>144.59</v>
      </c>
      <c r="AW235" s="8">
        <f ca="1">RANK(PlayerGameData[[#This Row],[STLTieBreak]],PlayerGameData[STLTieBreak],1)</f>
        <v>179</v>
      </c>
      <c r="AX235" s="8">
        <f ca="1">RANK(PlayerGameData[[#This Row],[BLK]],PlayerGameData[BLK],0)+PlayerGameData[[#This Row],[VisibleOrder]]</f>
        <v>11</v>
      </c>
      <c r="AY235" s="8">
        <f ca="1">IF(COUNTIF(PlayerGameData[BLKOrder],PlayerGameData[[#This Row],[BLKOrder]])&gt;1,PlayerGameData[[#This Row],[PointRank]]/100+PlayerGameData[[#This Row],[BLKOrder]],PlayerGameData[[#This Row],[BLKOrder]])</f>
        <v>12.59</v>
      </c>
      <c r="AZ235" s="8">
        <f ca="1">RANK(PlayerGameData[[#This Row],[BLKTieBreak]],PlayerGameData[BLKTieBreak],1)</f>
        <v>29</v>
      </c>
      <c r="BA235" s="11">
        <f ca="1">IFERROR(IF(PlayerGameData[[#This Row],[FGA]]&gt;$AA$5,PlayerGameData[[#This Row],[FG%*]],PlayerGameData[[#This Row],[FG%*]]*-1),-2)</f>
        <v>-0.33333333333333331</v>
      </c>
      <c r="BB235" s="8">
        <f ca="1">RANK(PlayerGameData[[#This Row],[EligFG]],PlayerGameData[EligFG],0)+PlayerGameData[[#This Row],[VisibleOrder]]</f>
        <v>164</v>
      </c>
      <c r="BC235" s="8">
        <f ca="1">IF(COUNTIF(PlayerGameData[EligFGOrder],PlayerGameData[[#This Row],[EligFGOrder]])&gt;1,PlayerGameData[[#This Row],[PointRank]]/100+PlayerGameData[[#This Row],[EligFGOrder]],PlayerGameData[[#This Row],[EligFGOrder]])</f>
        <v>165.59</v>
      </c>
      <c r="BD235" s="8">
        <f ca="1">RANK(PlayerGameData[[#This Row],[EligFGTieBreak]],PlayerGameData[EligFGTieBreak],1)</f>
        <v>171</v>
      </c>
      <c r="BE235" s="8" t="str">
        <f>Roster!$D$3</f>
        <v>East</v>
      </c>
      <c r="BF235" s="8" t="str">
        <f>Roster!$D$2</f>
        <v>Northeast</v>
      </c>
      <c r="BG235" s="8" t="str">
        <f>Roster!$D$4</f>
        <v>North</v>
      </c>
      <c r="BH235" s="197">
        <f ca="1">IFERROR(VLOOKUP(CONCATENATE(PlayerGameData[[#This Row],[Opponent]]," ",MONTH(PlayerGameData[[#This Row],[Date]]),"/",DAY(PlayerGameData[[#This Row],[Date]]),"/",YEAR(PlayerGameData[[#This Row],[Date]])),Table35[],2,FALSE),0)</f>
        <v>1</v>
      </c>
      <c r="BI235" s="197">
        <f ca="1">IF(PlayerGameData[[#This Row],[Visible]]=1,1,1000)</f>
        <v>1</v>
      </c>
      <c r="BJ235" s="197" t="e">
        <f ca="1">_xlfn.MAXIFS(TeamGameData[Win],TeamGameData[School, Opponent,Game'#],PlayerGameData[[#This Row],[School, Opponent,Game'#]])</f>
        <v>#NAME?</v>
      </c>
      <c r="BK235" s="197" t="e">
        <f ca="1">_xlfn.MAXIFS(TeamGameData[Loss],TeamGameData[School, Opponent,Game'#],PlayerGameData[[#This Row],[School, Opponent,Game'#]])</f>
        <v>#NAME?</v>
      </c>
    </row>
    <row r="236" spans="1:63" x14ac:dyDescent="0.25">
      <c r="A236" s="8" t="str">
        <f t="shared" ca="1" si="123"/>
        <v xml:space="preserve">, </v>
      </c>
      <c r="B236" s="8" t="str">
        <f>Roster!$B$1</f>
        <v>Upton</v>
      </c>
      <c r="C236" s="8" t="str">
        <f t="shared" ca="1" si="111"/>
        <v>Moorcroft</v>
      </c>
      <c r="D236" s="10">
        <f t="shared" ca="1" si="112"/>
        <v>44940</v>
      </c>
      <c r="E236" s="8">
        <f t="shared" ca="1" si="113"/>
        <v>0</v>
      </c>
      <c r="F236" s="8">
        <f t="shared" ca="1" si="114"/>
        <v>0</v>
      </c>
      <c r="G236" s="8">
        <f t="shared" ca="1" si="115"/>
        <v>0</v>
      </c>
      <c r="H236" s="8">
        <f t="shared" ca="1" si="116"/>
        <v>0</v>
      </c>
      <c r="I236" s="8">
        <f t="shared" ca="1" si="117"/>
        <v>0</v>
      </c>
      <c r="J236" s="8">
        <f t="shared" ca="1" si="118"/>
        <v>0</v>
      </c>
      <c r="K236" s="8">
        <f t="shared" ca="1" si="119"/>
        <v>0</v>
      </c>
      <c r="L236" s="8">
        <f t="shared" ca="1" si="124"/>
        <v>0</v>
      </c>
      <c r="M236" s="8">
        <f t="shared" ca="1" si="125"/>
        <v>0</v>
      </c>
      <c r="N236" s="8">
        <f t="shared" ca="1" si="126"/>
        <v>0</v>
      </c>
      <c r="O236" s="8">
        <f t="shared" ca="1" si="127"/>
        <v>0</v>
      </c>
      <c r="P236" s="8">
        <f t="shared" ca="1" si="128"/>
        <v>0</v>
      </c>
      <c r="Q236" s="8">
        <f t="shared" ca="1" si="129"/>
        <v>0</v>
      </c>
      <c r="R236" s="8">
        <f t="shared" ca="1" si="130"/>
        <v>0</v>
      </c>
      <c r="S236" s="8">
        <f t="shared" ca="1" si="131"/>
        <v>0</v>
      </c>
      <c r="T236" s="8">
        <f t="shared" ca="1" si="132"/>
        <v>0</v>
      </c>
      <c r="U236" s="8">
        <f t="shared" ca="1" si="133"/>
        <v>0</v>
      </c>
      <c r="V236" s="8">
        <f t="shared" ca="1" si="134"/>
        <v>0</v>
      </c>
      <c r="W236" s="11" t="str">
        <f t="shared" ca="1" si="135"/>
        <v/>
      </c>
      <c r="X236" s="11" t="str">
        <f t="shared" ca="1" si="136"/>
        <v/>
      </c>
      <c r="Y236" s="11" t="str">
        <f t="shared" ca="1" si="137"/>
        <v/>
      </c>
      <c r="Z236" s="11" t="str">
        <f t="shared" ca="1" si="138"/>
        <v/>
      </c>
      <c r="AA236" s="11" t="str">
        <f t="shared" ca="1" si="139"/>
        <v/>
      </c>
      <c r="AB236" s="47">
        <f ca="1">PlayerGameData[[#This Row],[3FGA]]+PlayerGameData[[#This Row],[2FGA]]</f>
        <v>0</v>
      </c>
      <c r="AC236" s="47">
        <f ca="1">PlayerGameData[[#This Row],[OFF REB]]+PlayerGameData[[#This Row],[DEF REB]]</f>
        <v>0</v>
      </c>
      <c r="AD236" s="8">
        <f t="shared" si="120"/>
        <v>10</v>
      </c>
      <c r="AE236" s="8" t="str">
        <f t="shared" ca="1" si="121"/>
        <v>,  - Moorcroft 1/14/2023</v>
      </c>
      <c r="AF236" s="8" t="str">
        <f t="shared" ca="1" si="140"/>
        <v/>
      </c>
      <c r="AG236" s="8" t="str">
        <f ca="1">IFERROR(IF(C236=0,"",IF(AND(VLOOKUP(PlayerGameData[[#This Row],[Opponent]],WYTeamInfo,2,FALSE)=Roster!$D$1,VLOOKUP(PlayerGameData[[#This Row],[Opponent]],WYTeamInfo,3,FALSE)=Roster!$D$2),"SR","")),"")</f>
        <v/>
      </c>
      <c r="AH236" s="8" t="str">
        <f>CONCATENATE(Roster!$D$1," ",Roster!$D$5)</f>
        <v>1A BB</v>
      </c>
      <c r="AI236" s="8" t="str">
        <f t="shared" ca="1" si="122"/>
        <v>Upton - Moorcroft 1/14/2023</v>
      </c>
      <c r="AJ236" s="8">
        <f ca="1">IFERROR(VLOOKUP(PlayerGameData[[#This Row],[School, Opponent,Game'#]],Table3[],2,FALSE),0)</f>
        <v>1</v>
      </c>
      <c r="AK236" s="8">
        <f ca="1">IF(PlayerGameData[[#This Row],[Visible]]=1,1,1000)</f>
        <v>1</v>
      </c>
      <c r="AL236" s="8">
        <f ca="1">RANK(PlayerGameData[[#This Row],[TL PTS]],PlayerGameData[TL PTS],0)+PlayerGameData[[#This Row],[VisibleOrder]]</f>
        <v>185</v>
      </c>
      <c r="AM236" s="8">
        <f ca="1">IF(COUNTIF(PlayerGameData[PointOrder],PlayerGameData[[#This Row],[PointOrder]])&gt;1,RANK(PlayerGameData[[#This Row],[FGA]],PlayerGameData[FGA],0)/100,0)+PlayerGameData[[#This Row],[PointOrder]]</f>
        <v>187.14</v>
      </c>
      <c r="AN236" s="8">
        <f ca="1">RANK(PlayerGameData[[#This Row],[PointTieBreak]],PlayerGameData[PointTieBreak],1)</f>
        <v>216</v>
      </c>
      <c r="AO236" s="8">
        <f ca="1">RANK(PlayerGameData[[#This Row],[REB]],PlayerGameData[REB],0)+PlayerGameData[[#This Row],[VisibleOrder]]</f>
        <v>192</v>
      </c>
      <c r="AP236" s="8">
        <f ca="1">IF(COUNTIF(PlayerGameData[REBOrder],PlayerGameData[[#This Row],[REBOrder]])&gt;1,PlayerGameData[[#This Row],[PointRank]]/100+PlayerGameData[[#This Row],[REBOrder]],PlayerGameData[[#This Row],[REBOrder]])</f>
        <v>194.16</v>
      </c>
      <c r="AQ236" s="8">
        <f ca="1">RANK(PlayerGameData[[#This Row],[REBTieBreak]],PlayerGameData[REBTieBreak],1)</f>
        <v>224</v>
      </c>
      <c r="AR236" s="8">
        <f ca="1">RANK(PlayerGameData[[#This Row],[AST]],PlayerGameData[AST],0)+PlayerGameData[[#This Row],[VisibleOrder]]</f>
        <v>158</v>
      </c>
      <c r="AS236" s="8">
        <f ca="1">IF(COUNTIF(PlayerGameData[ASTOrder],PlayerGameData[[#This Row],[ASTOrder]])&gt;1,PlayerGameData[[#This Row],[PointRank]]/100+PlayerGameData[[#This Row],[ASTOrder]],PlayerGameData[[#This Row],[ASTOrder]])</f>
        <v>160.16</v>
      </c>
      <c r="AT236" s="8">
        <f ca="1">RANK(PlayerGameData[[#This Row],[ASTTieBreak]],PlayerGameData[ASTTieBreak],1)</f>
        <v>221</v>
      </c>
      <c r="AU236" s="8">
        <f ca="1">RANK(PlayerGameData[[#This Row],[STL]],PlayerGameData[STL],0)+PlayerGameData[[#This Row],[VisibleOrder]]</f>
        <v>143</v>
      </c>
      <c r="AV236" s="8">
        <f ca="1">IF(COUNTIF(PlayerGameData[STLOrder],PlayerGameData[[#This Row],[STLOrder]])&gt;1,PlayerGameData[[#This Row],[PointRank]]/100+PlayerGameData[[#This Row],[STLOrder]],PlayerGameData[[#This Row],[STLOrder]])</f>
        <v>145.16</v>
      </c>
      <c r="AW236" s="8">
        <f ca="1">RANK(PlayerGameData[[#This Row],[STLTieBreak]],PlayerGameData[STLTieBreak],1)</f>
        <v>217</v>
      </c>
      <c r="AX236" s="8">
        <f ca="1">RANK(PlayerGameData[[#This Row],[BLK]],PlayerGameData[BLK],0)+PlayerGameData[[#This Row],[VisibleOrder]]</f>
        <v>32</v>
      </c>
      <c r="AY236" s="8">
        <f ca="1">IF(COUNTIF(PlayerGameData[BLKOrder],PlayerGameData[[#This Row],[BLKOrder]])&gt;1,PlayerGameData[[#This Row],[PointRank]]/100+PlayerGameData[[#This Row],[BLKOrder]],PlayerGameData[[#This Row],[BLKOrder]])</f>
        <v>34.159999999999997</v>
      </c>
      <c r="AZ236" s="8">
        <f ca="1">RANK(PlayerGameData[[#This Row],[BLKTieBreak]],PlayerGameData[BLKTieBreak],1)</f>
        <v>216</v>
      </c>
      <c r="BA236" s="11">
        <f ca="1">IFERROR(IF(PlayerGameData[[#This Row],[FGA]]&gt;$AA$5,PlayerGameData[[#This Row],[FG%*]],PlayerGameData[[#This Row],[FG%*]]*-1),-2)</f>
        <v>-2</v>
      </c>
      <c r="BB236" s="8">
        <f ca="1">RANK(PlayerGameData[[#This Row],[EligFG]],PlayerGameData[EligFG],0)+PlayerGameData[[#This Row],[VisibleOrder]]</f>
        <v>215</v>
      </c>
      <c r="BC236" s="8">
        <f ca="1">IF(COUNTIF(PlayerGameData[EligFGOrder],PlayerGameData[[#This Row],[EligFGOrder]])&gt;1,PlayerGameData[[#This Row],[PointRank]]/100+PlayerGameData[[#This Row],[EligFGOrder]],PlayerGameData[[#This Row],[EligFGOrder]])</f>
        <v>217.16</v>
      </c>
      <c r="BD236" s="8">
        <f ca="1">RANK(PlayerGameData[[#This Row],[EligFGTieBreak]],PlayerGameData[EligFGTieBreak],1)</f>
        <v>216</v>
      </c>
      <c r="BE236" s="8" t="str">
        <f>Roster!$D$3</f>
        <v>East</v>
      </c>
      <c r="BF236" s="8" t="str">
        <f>Roster!$D$2</f>
        <v>Northeast</v>
      </c>
      <c r="BG236" s="8" t="str">
        <f>Roster!$D$4</f>
        <v>North</v>
      </c>
      <c r="BH236" s="197">
        <f ca="1">IFERROR(VLOOKUP(CONCATENATE(PlayerGameData[[#This Row],[Opponent]]," ",MONTH(PlayerGameData[[#This Row],[Date]]),"/",DAY(PlayerGameData[[#This Row],[Date]]),"/",YEAR(PlayerGameData[[#This Row],[Date]])),Table35[],2,FALSE),0)</f>
        <v>1</v>
      </c>
      <c r="BI236" s="197">
        <f ca="1">IF(PlayerGameData[[#This Row],[Visible]]=1,1,1000)</f>
        <v>1</v>
      </c>
      <c r="BJ236" s="197" t="e">
        <f ca="1">_xlfn.MAXIFS(TeamGameData[Win],TeamGameData[School, Opponent,Game'#],PlayerGameData[[#This Row],[School, Opponent,Game'#]])</f>
        <v>#NAME?</v>
      </c>
      <c r="BK236" s="197" t="e">
        <f ca="1">_xlfn.MAXIFS(TeamGameData[Loss],TeamGameData[School, Opponent,Game'#],PlayerGameData[[#This Row],[School, Opponent,Game'#]])</f>
        <v>#NAME?</v>
      </c>
    </row>
    <row r="237" spans="1:63" x14ac:dyDescent="0.25">
      <c r="A237" s="8" t="str">
        <f t="shared" ca="1" si="123"/>
        <v xml:space="preserve">, </v>
      </c>
      <c r="B237" s="8" t="str">
        <f>Roster!$B$1</f>
        <v>Upton</v>
      </c>
      <c r="C237" s="8" t="str">
        <f t="shared" ca="1" si="111"/>
        <v>Moorcroft</v>
      </c>
      <c r="D237" s="10">
        <f t="shared" ca="1" si="112"/>
        <v>44940</v>
      </c>
      <c r="E237" s="8">
        <f t="shared" ca="1" si="113"/>
        <v>0</v>
      </c>
      <c r="F237" s="8">
        <f t="shared" ca="1" si="114"/>
        <v>0</v>
      </c>
      <c r="G237" s="8">
        <f t="shared" ca="1" si="115"/>
        <v>0</v>
      </c>
      <c r="H237" s="8">
        <f t="shared" ca="1" si="116"/>
        <v>0</v>
      </c>
      <c r="I237" s="8">
        <f t="shared" ca="1" si="117"/>
        <v>0</v>
      </c>
      <c r="J237" s="8">
        <f t="shared" ca="1" si="118"/>
        <v>0</v>
      </c>
      <c r="K237" s="8">
        <f t="shared" ca="1" si="119"/>
        <v>0</v>
      </c>
      <c r="L237" s="8">
        <f t="shared" ca="1" si="124"/>
        <v>0</v>
      </c>
      <c r="M237" s="8">
        <f t="shared" ca="1" si="125"/>
        <v>0</v>
      </c>
      <c r="N237" s="8">
        <f t="shared" ca="1" si="126"/>
        <v>0</v>
      </c>
      <c r="O237" s="8">
        <f t="shared" ca="1" si="127"/>
        <v>0</v>
      </c>
      <c r="P237" s="8">
        <f t="shared" ca="1" si="128"/>
        <v>0</v>
      </c>
      <c r="Q237" s="8">
        <f t="shared" ca="1" si="129"/>
        <v>0</v>
      </c>
      <c r="R237" s="8">
        <f t="shared" ca="1" si="130"/>
        <v>0</v>
      </c>
      <c r="S237" s="8">
        <f t="shared" ca="1" si="131"/>
        <v>0</v>
      </c>
      <c r="T237" s="8">
        <f t="shared" ca="1" si="132"/>
        <v>0</v>
      </c>
      <c r="U237" s="8">
        <f t="shared" ca="1" si="133"/>
        <v>0</v>
      </c>
      <c r="V237" s="8">
        <f t="shared" ca="1" si="134"/>
        <v>0</v>
      </c>
      <c r="W237" s="11" t="str">
        <f t="shared" ca="1" si="135"/>
        <v/>
      </c>
      <c r="X237" s="11" t="str">
        <f t="shared" ca="1" si="136"/>
        <v/>
      </c>
      <c r="Y237" s="11" t="str">
        <f t="shared" ca="1" si="137"/>
        <v/>
      </c>
      <c r="Z237" s="11" t="str">
        <f t="shared" ca="1" si="138"/>
        <v/>
      </c>
      <c r="AA237" s="11" t="str">
        <f t="shared" ca="1" si="139"/>
        <v/>
      </c>
      <c r="AB237" s="47">
        <f ca="1">PlayerGameData[[#This Row],[3FGA]]+PlayerGameData[[#This Row],[2FGA]]</f>
        <v>0</v>
      </c>
      <c r="AC237" s="47">
        <f ca="1">PlayerGameData[[#This Row],[OFF REB]]+PlayerGameData[[#This Row],[DEF REB]]</f>
        <v>0</v>
      </c>
      <c r="AD237" s="8">
        <f t="shared" si="120"/>
        <v>10</v>
      </c>
      <c r="AE237" s="8" t="str">
        <f t="shared" ca="1" si="121"/>
        <v>,  - Moorcroft 1/14/2023</v>
      </c>
      <c r="AF237" s="8" t="str">
        <f t="shared" ca="1" si="140"/>
        <v/>
      </c>
      <c r="AG237" s="8" t="str">
        <f ca="1">IFERROR(IF(C237=0,"",IF(AND(VLOOKUP(PlayerGameData[[#This Row],[Opponent]],WYTeamInfo,2,FALSE)=Roster!$D$1,VLOOKUP(PlayerGameData[[#This Row],[Opponent]],WYTeamInfo,3,FALSE)=Roster!$D$2),"SR","")),"")</f>
        <v/>
      </c>
      <c r="AH237" s="8" t="str">
        <f>CONCATENATE(Roster!$D$1," ",Roster!$D$5)</f>
        <v>1A BB</v>
      </c>
      <c r="AI237" s="8" t="str">
        <f t="shared" ca="1" si="122"/>
        <v>Upton - Moorcroft 1/14/2023</v>
      </c>
      <c r="AJ237" s="8">
        <f ca="1">IFERROR(VLOOKUP(PlayerGameData[[#This Row],[School, Opponent,Game'#]],Table3[],2,FALSE),0)</f>
        <v>1</v>
      </c>
      <c r="AK237" s="8">
        <f ca="1">IF(PlayerGameData[[#This Row],[Visible]]=1,1,1000)</f>
        <v>1</v>
      </c>
      <c r="AL237" s="8">
        <f ca="1">RANK(PlayerGameData[[#This Row],[TL PTS]],PlayerGameData[TL PTS],0)+PlayerGameData[[#This Row],[VisibleOrder]]</f>
        <v>185</v>
      </c>
      <c r="AM237" s="8">
        <f ca="1">IF(COUNTIF(PlayerGameData[PointOrder],PlayerGameData[[#This Row],[PointOrder]])&gt;1,RANK(PlayerGameData[[#This Row],[FGA]],PlayerGameData[FGA],0)/100,0)+PlayerGameData[[#This Row],[PointOrder]]</f>
        <v>187.14</v>
      </c>
      <c r="AN237" s="8">
        <f ca="1">RANK(PlayerGameData[[#This Row],[PointTieBreak]],PlayerGameData[PointTieBreak],1)</f>
        <v>216</v>
      </c>
      <c r="AO237" s="8">
        <f ca="1">RANK(PlayerGameData[[#This Row],[REB]],PlayerGameData[REB],0)+PlayerGameData[[#This Row],[VisibleOrder]]</f>
        <v>192</v>
      </c>
      <c r="AP237" s="8">
        <f ca="1">IF(COUNTIF(PlayerGameData[REBOrder],PlayerGameData[[#This Row],[REBOrder]])&gt;1,PlayerGameData[[#This Row],[PointRank]]/100+PlayerGameData[[#This Row],[REBOrder]],PlayerGameData[[#This Row],[REBOrder]])</f>
        <v>194.16</v>
      </c>
      <c r="AQ237" s="8">
        <f ca="1">RANK(PlayerGameData[[#This Row],[REBTieBreak]],PlayerGameData[REBTieBreak],1)</f>
        <v>224</v>
      </c>
      <c r="AR237" s="8">
        <f ca="1">RANK(PlayerGameData[[#This Row],[AST]],PlayerGameData[AST],0)+PlayerGameData[[#This Row],[VisibleOrder]]</f>
        <v>158</v>
      </c>
      <c r="AS237" s="8">
        <f ca="1">IF(COUNTIF(PlayerGameData[ASTOrder],PlayerGameData[[#This Row],[ASTOrder]])&gt;1,PlayerGameData[[#This Row],[PointRank]]/100+PlayerGameData[[#This Row],[ASTOrder]],PlayerGameData[[#This Row],[ASTOrder]])</f>
        <v>160.16</v>
      </c>
      <c r="AT237" s="8">
        <f ca="1">RANK(PlayerGameData[[#This Row],[ASTTieBreak]],PlayerGameData[ASTTieBreak],1)</f>
        <v>221</v>
      </c>
      <c r="AU237" s="8">
        <f ca="1">RANK(PlayerGameData[[#This Row],[STL]],PlayerGameData[STL],0)+PlayerGameData[[#This Row],[VisibleOrder]]</f>
        <v>143</v>
      </c>
      <c r="AV237" s="8">
        <f ca="1">IF(COUNTIF(PlayerGameData[STLOrder],PlayerGameData[[#This Row],[STLOrder]])&gt;1,PlayerGameData[[#This Row],[PointRank]]/100+PlayerGameData[[#This Row],[STLOrder]],PlayerGameData[[#This Row],[STLOrder]])</f>
        <v>145.16</v>
      </c>
      <c r="AW237" s="8">
        <f ca="1">RANK(PlayerGameData[[#This Row],[STLTieBreak]],PlayerGameData[STLTieBreak],1)</f>
        <v>217</v>
      </c>
      <c r="AX237" s="8">
        <f ca="1">RANK(PlayerGameData[[#This Row],[BLK]],PlayerGameData[BLK],0)+PlayerGameData[[#This Row],[VisibleOrder]]</f>
        <v>32</v>
      </c>
      <c r="AY237" s="8">
        <f ca="1">IF(COUNTIF(PlayerGameData[BLKOrder],PlayerGameData[[#This Row],[BLKOrder]])&gt;1,PlayerGameData[[#This Row],[PointRank]]/100+PlayerGameData[[#This Row],[BLKOrder]],PlayerGameData[[#This Row],[BLKOrder]])</f>
        <v>34.159999999999997</v>
      </c>
      <c r="AZ237" s="8">
        <f ca="1">RANK(PlayerGameData[[#This Row],[BLKTieBreak]],PlayerGameData[BLKTieBreak],1)</f>
        <v>216</v>
      </c>
      <c r="BA237" s="11">
        <f ca="1">IFERROR(IF(PlayerGameData[[#This Row],[FGA]]&gt;$AA$5,PlayerGameData[[#This Row],[FG%*]],PlayerGameData[[#This Row],[FG%*]]*-1),-2)</f>
        <v>-2</v>
      </c>
      <c r="BB237" s="8">
        <f ca="1">RANK(PlayerGameData[[#This Row],[EligFG]],PlayerGameData[EligFG],0)+PlayerGameData[[#This Row],[VisibleOrder]]</f>
        <v>215</v>
      </c>
      <c r="BC237" s="8">
        <f ca="1">IF(COUNTIF(PlayerGameData[EligFGOrder],PlayerGameData[[#This Row],[EligFGOrder]])&gt;1,PlayerGameData[[#This Row],[PointRank]]/100+PlayerGameData[[#This Row],[EligFGOrder]],PlayerGameData[[#This Row],[EligFGOrder]])</f>
        <v>217.16</v>
      </c>
      <c r="BD237" s="8">
        <f ca="1">RANK(PlayerGameData[[#This Row],[EligFGTieBreak]],PlayerGameData[EligFGTieBreak],1)</f>
        <v>216</v>
      </c>
      <c r="BE237" s="8" t="str">
        <f>Roster!$D$3</f>
        <v>East</v>
      </c>
      <c r="BF237" s="8" t="str">
        <f>Roster!$D$2</f>
        <v>Northeast</v>
      </c>
      <c r="BG237" s="8" t="str">
        <f>Roster!$D$4</f>
        <v>North</v>
      </c>
      <c r="BH237" s="197">
        <f ca="1">IFERROR(VLOOKUP(CONCATENATE(PlayerGameData[[#This Row],[Opponent]]," ",MONTH(PlayerGameData[[#This Row],[Date]]),"/",DAY(PlayerGameData[[#This Row],[Date]]),"/",YEAR(PlayerGameData[[#This Row],[Date]])),Table35[],2,FALSE),0)</f>
        <v>1</v>
      </c>
      <c r="BI237" s="197">
        <f ca="1">IF(PlayerGameData[[#This Row],[Visible]]=1,1,1000)</f>
        <v>1</v>
      </c>
      <c r="BJ237" s="197" t="e">
        <f ca="1">_xlfn.MAXIFS(TeamGameData[Win],TeamGameData[School, Opponent,Game'#],PlayerGameData[[#This Row],[School, Opponent,Game'#]])</f>
        <v>#NAME?</v>
      </c>
      <c r="BK237" s="197" t="e">
        <f ca="1">_xlfn.MAXIFS(TeamGameData[Loss],TeamGameData[School, Opponent,Game'#],PlayerGameData[[#This Row],[School, Opponent,Game'#]])</f>
        <v>#NAME?</v>
      </c>
    </row>
    <row r="238" spans="1:63" x14ac:dyDescent="0.25">
      <c r="A238" s="8" t="str">
        <f t="shared" ca="1" si="123"/>
        <v xml:space="preserve">, </v>
      </c>
      <c r="B238" s="8" t="str">
        <f>Roster!$B$1</f>
        <v>Upton</v>
      </c>
      <c r="C238" s="8" t="str">
        <f t="shared" ca="1" si="111"/>
        <v>Moorcroft</v>
      </c>
      <c r="D238" s="10">
        <f t="shared" ca="1" si="112"/>
        <v>44940</v>
      </c>
      <c r="E238" s="8">
        <f t="shared" ca="1" si="113"/>
        <v>0</v>
      </c>
      <c r="F238" s="8">
        <f t="shared" ca="1" si="114"/>
        <v>0</v>
      </c>
      <c r="G238" s="8">
        <f t="shared" ca="1" si="115"/>
        <v>0</v>
      </c>
      <c r="H238" s="8">
        <f t="shared" ca="1" si="116"/>
        <v>0</v>
      </c>
      <c r="I238" s="8">
        <f t="shared" ca="1" si="117"/>
        <v>0</v>
      </c>
      <c r="J238" s="8">
        <f t="shared" ca="1" si="118"/>
        <v>0</v>
      </c>
      <c r="K238" s="8">
        <f t="shared" ca="1" si="119"/>
        <v>0</v>
      </c>
      <c r="L238" s="8">
        <f t="shared" ca="1" si="124"/>
        <v>0</v>
      </c>
      <c r="M238" s="8">
        <f t="shared" ca="1" si="125"/>
        <v>0</v>
      </c>
      <c r="N238" s="8">
        <f t="shared" ca="1" si="126"/>
        <v>0</v>
      </c>
      <c r="O238" s="8">
        <f t="shared" ca="1" si="127"/>
        <v>0</v>
      </c>
      <c r="P238" s="8">
        <f t="shared" ca="1" si="128"/>
        <v>0</v>
      </c>
      <c r="Q238" s="8">
        <f t="shared" ca="1" si="129"/>
        <v>0</v>
      </c>
      <c r="R238" s="8">
        <f t="shared" ca="1" si="130"/>
        <v>0</v>
      </c>
      <c r="S238" s="8">
        <f t="shared" ca="1" si="131"/>
        <v>0</v>
      </c>
      <c r="T238" s="8">
        <f t="shared" ca="1" si="132"/>
        <v>0</v>
      </c>
      <c r="U238" s="8">
        <f t="shared" ca="1" si="133"/>
        <v>0</v>
      </c>
      <c r="V238" s="8">
        <f t="shared" ca="1" si="134"/>
        <v>0</v>
      </c>
      <c r="W238" s="11" t="str">
        <f t="shared" ca="1" si="135"/>
        <v/>
      </c>
      <c r="X238" s="11" t="str">
        <f t="shared" ca="1" si="136"/>
        <v/>
      </c>
      <c r="Y238" s="11" t="str">
        <f t="shared" ca="1" si="137"/>
        <v/>
      </c>
      <c r="Z238" s="11" t="str">
        <f t="shared" ca="1" si="138"/>
        <v/>
      </c>
      <c r="AA238" s="11" t="str">
        <f t="shared" ca="1" si="139"/>
        <v/>
      </c>
      <c r="AB238" s="47">
        <f ca="1">PlayerGameData[[#This Row],[3FGA]]+PlayerGameData[[#This Row],[2FGA]]</f>
        <v>0</v>
      </c>
      <c r="AC238" s="47">
        <f ca="1">PlayerGameData[[#This Row],[OFF REB]]+PlayerGameData[[#This Row],[DEF REB]]</f>
        <v>0</v>
      </c>
      <c r="AD238" s="8">
        <f t="shared" si="120"/>
        <v>10</v>
      </c>
      <c r="AE238" s="8" t="str">
        <f t="shared" ca="1" si="121"/>
        <v>,  - Moorcroft 1/14/2023</v>
      </c>
      <c r="AF238" s="8" t="str">
        <f t="shared" ca="1" si="140"/>
        <v/>
      </c>
      <c r="AG238" s="8" t="str">
        <f ca="1">IFERROR(IF(C238=0,"",IF(AND(VLOOKUP(PlayerGameData[[#This Row],[Opponent]],WYTeamInfo,2,FALSE)=Roster!$D$1,VLOOKUP(PlayerGameData[[#This Row],[Opponent]],WYTeamInfo,3,FALSE)=Roster!$D$2),"SR","")),"")</f>
        <v/>
      </c>
      <c r="AH238" s="8" t="str">
        <f>CONCATENATE(Roster!$D$1," ",Roster!$D$5)</f>
        <v>1A BB</v>
      </c>
      <c r="AI238" s="8" t="str">
        <f t="shared" ca="1" si="122"/>
        <v>Upton - Moorcroft 1/14/2023</v>
      </c>
      <c r="AJ238" s="8">
        <f ca="1">IFERROR(VLOOKUP(PlayerGameData[[#This Row],[School, Opponent,Game'#]],Table3[],2,FALSE),0)</f>
        <v>1</v>
      </c>
      <c r="AK238" s="8">
        <f ca="1">IF(PlayerGameData[[#This Row],[Visible]]=1,1,1000)</f>
        <v>1</v>
      </c>
      <c r="AL238" s="8">
        <f ca="1">RANK(PlayerGameData[[#This Row],[TL PTS]],PlayerGameData[TL PTS],0)+PlayerGameData[[#This Row],[VisibleOrder]]</f>
        <v>185</v>
      </c>
      <c r="AM238" s="8">
        <f ca="1">IF(COUNTIF(PlayerGameData[PointOrder],PlayerGameData[[#This Row],[PointOrder]])&gt;1,RANK(PlayerGameData[[#This Row],[FGA]],PlayerGameData[FGA],0)/100,0)+PlayerGameData[[#This Row],[PointOrder]]</f>
        <v>187.14</v>
      </c>
      <c r="AN238" s="8">
        <f ca="1">RANK(PlayerGameData[[#This Row],[PointTieBreak]],PlayerGameData[PointTieBreak],1)</f>
        <v>216</v>
      </c>
      <c r="AO238" s="8">
        <f ca="1">RANK(PlayerGameData[[#This Row],[REB]],PlayerGameData[REB],0)+PlayerGameData[[#This Row],[VisibleOrder]]</f>
        <v>192</v>
      </c>
      <c r="AP238" s="8">
        <f ca="1">IF(COUNTIF(PlayerGameData[REBOrder],PlayerGameData[[#This Row],[REBOrder]])&gt;1,PlayerGameData[[#This Row],[PointRank]]/100+PlayerGameData[[#This Row],[REBOrder]],PlayerGameData[[#This Row],[REBOrder]])</f>
        <v>194.16</v>
      </c>
      <c r="AQ238" s="8">
        <f ca="1">RANK(PlayerGameData[[#This Row],[REBTieBreak]],PlayerGameData[REBTieBreak],1)</f>
        <v>224</v>
      </c>
      <c r="AR238" s="8">
        <f ca="1">RANK(PlayerGameData[[#This Row],[AST]],PlayerGameData[AST],0)+PlayerGameData[[#This Row],[VisibleOrder]]</f>
        <v>158</v>
      </c>
      <c r="AS238" s="8">
        <f ca="1">IF(COUNTIF(PlayerGameData[ASTOrder],PlayerGameData[[#This Row],[ASTOrder]])&gt;1,PlayerGameData[[#This Row],[PointRank]]/100+PlayerGameData[[#This Row],[ASTOrder]],PlayerGameData[[#This Row],[ASTOrder]])</f>
        <v>160.16</v>
      </c>
      <c r="AT238" s="8">
        <f ca="1">RANK(PlayerGameData[[#This Row],[ASTTieBreak]],PlayerGameData[ASTTieBreak],1)</f>
        <v>221</v>
      </c>
      <c r="AU238" s="8">
        <f ca="1">RANK(PlayerGameData[[#This Row],[STL]],PlayerGameData[STL],0)+PlayerGameData[[#This Row],[VisibleOrder]]</f>
        <v>143</v>
      </c>
      <c r="AV238" s="8">
        <f ca="1">IF(COUNTIF(PlayerGameData[STLOrder],PlayerGameData[[#This Row],[STLOrder]])&gt;1,PlayerGameData[[#This Row],[PointRank]]/100+PlayerGameData[[#This Row],[STLOrder]],PlayerGameData[[#This Row],[STLOrder]])</f>
        <v>145.16</v>
      </c>
      <c r="AW238" s="8">
        <f ca="1">RANK(PlayerGameData[[#This Row],[STLTieBreak]],PlayerGameData[STLTieBreak],1)</f>
        <v>217</v>
      </c>
      <c r="AX238" s="8">
        <f ca="1">RANK(PlayerGameData[[#This Row],[BLK]],PlayerGameData[BLK],0)+PlayerGameData[[#This Row],[VisibleOrder]]</f>
        <v>32</v>
      </c>
      <c r="AY238" s="8">
        <f ca="1">IF(COUNTIF(PlayerGameData[BLKOrder],PlayerGameData[[#This Row],[BLKOrder]])&gt;1,PlayerGameData[[#This Row],[PointRank]]/100+PlayerGameData[[#This Row],[BLKOrder]],PlayerGameData[[#This Row],[BLKOrder]])</f>
        <v>34.159999999999997</v>
      </c>
      <c r="AZ238" s="8">
        <f ca="1">RANK(PlayerGameData[[#This Row],[BLKTieBreak]],PlayerGameData[BLKTieBreak],1)</f>
        <v>216</v>
      </c>
      <c r="BA238" s="11">
        <f ca="1">IFERROR(IF(PlayerGameData[[#This Row],[FGA]]&gt;$AA$5,PlayerGameData[[#This Row],[FG%*]],PlayerGameData[[#This Row],[FG%*]]*-1),-2)</f>
        <v>-2</v>
      </c>
      <c r="BB238" s="8">
        <f ca="1">RANK(PlayerGameData[[#This Row],[EligFG]],PlayerGameData[EligFG],0)+PlayerGameData[[#This Row],[VisibleOrder]]</f>
        <v>215</v>
      </c>
      <c r="BC238" s="8">
        <f ca="1">IF(COUNTIF(PlayerGameData[EligFGOrder],PlayerGameData[[#This Row],[EligFGOrder]])&gt;1,PlayerGameData[[#This Row],[PointRank]]/100+PlayerGameData[[#This Row],[EligFGOrder]],PlayerGameData[[#This Row],[EligFGOrder]])</f>
        <v>217.16</v>
      </c>
      <c r="BD238" s="8">
        <f ca="1">RANK(PlayerGameData[[#This Row],[EligFGTieBreak]],PlayerGameData[EligFGTieBreak],1)</f>
        <v>216</v>
      </c>
      <c r="BE238" s="8" t="str">
        <f>Roster!$D$3</f>
        <v>East</v>
      </c>
      <c r="BF238" s="8" t="str">
        <f>Roster!$D$2</f>
        <v>Northeast</v>
      </c>
      <c r="BG238" s="8" t="str">
        <f>Roster!$D$4</f>
        <v>North</v>
      </c>
      <c r="BH238" s="197">
        <f ca="1">IFERROR(VLOOKUP(CONCATENATE(PlayerGameData[[#This Row],[Opponent]]," ",MONTH(PlayerGameData[[#This Row],[Date]]),"/",DAY(PlayerGameData[[#This Row],[Date]]),"/",YEAR(PlayerGameData[[#This Row],[Date]])),Table35[],2,FALSE),0)</f>
        <v>1</v>
      </c>
      <c r="BI238" s="197">
        <f ca="1">IF(PlayerGameData[[#This Row],[Visible]]=1,1,1000)</f>
        <v>1</v>
      </c>
      <c r="BJ238" s="197" t="e">
        <f ca="1">_xlfn.MAXIFS(TeamGameData[Win],TeamGameData[School, Opponent,Game'#],PlayerGameData[[#This Row],[School, Opponent,Game'#]])</f>
        <v>#NAME?</v>
      </c>
      <c r="BK238" s="197" t="e">
        <f ca="1">_xlfn.MAXIFS(TeamGameData[Loss],TeamGameData[School, Opponent,Game'#],PlayerGameData[[#This Row],[School, Opponent,Game'#]])</f>
        <v>#NAME?</v>
      </c>
    </row>
    <row r="239" spans="1:63" x14ac:dyDescent="0.25">
      <c r="A239" s="8" t="str">
        <f t="shared" ca="1" si="123"/>
        <v xml:space="preserve">, </v>
      </c>
      <c r="B239" s="8" t="str">
        <f>Roster!$B$1</f>
        <v>Upton</v>
      </c>
      <c r="C239" s="8" t="str">
        <f t="shared" ca="1" si="111"/>
        <v>Moorcroft</v>
      </c>
      <c r="D239" s="10">
        <f t="shared" ca="1" si="112"/>
        <v>44940</v>
      </c>
      <c r="E239" s="8">
        <f t="shared" ca="1" si="113"/>
        <v>0</v>
      </c>
      <c r="F239" s="8">
        <f t="shared" ca="1" si="114"/>
        <v>0</v>
      </c>
      <c r="G239" s="8">
        <f t="shared" ca="1" si="115"/>
        <v>0</v>
      </c>
      <c r="H239" s="8">
        <f t="shared" ca="1" si="116"/>
        <v>0</v>
      </c>
      <c r="I239" s="8">
        <f t="shared" ca="1" si="117"/>
        <v>0</v>
      </c>
      <c r="J239" s="8">
        <f t="shared" ca="1" si="118"/>
        <v>0</v>
      </c>
      <c r="K239" s="8">
        <f t="shared" ca="1" si="119"/>
        <v>0</v>
      </c>
      <c r="L239" s="8">
        <f t="shared" ca="1" si="124"/>
        <v>0</v>
      </c>
      <c r="M239" s="8">
        <f t="shared" ca="1" si="125"/>
        <v>0</v>
      </c>
      <c r="N239" s="8">
        <f t="shared" ca="1" si="126"/>
        <v>0</v>
      </c>
      <c r="O239" s="8">
        <f t="shared" ca="1" si="127"/>
        <v>0</v>
      </c>
      <c r="P239" s="8">
        <f t="shared" ca="1" si="128"/>
        <v>0</v>
      </c>
      <c r="Q239" s="8">
        <f t="shared" ca="1" si="129"/>
        <v>0</v>
      </c>
      <c r="R239" s="8">
        <f t="shared" ca="1" si="130"/>
        <v>0</v>
      </c>
      <c r="S239" s="8">
        <f t="shared" ca="1" si="131"/>
        <v>0</v>
      </c>
      <c r="T239" s="8">
        <f t="shared" ca="1" si="132"/>
        <v>0</v>
      </c>
      <c r="U239" s="8">
        <f t="shared" ca="1" si="133"/>
        <v>0</v>
      </c>
      <c r="V239" s="8">
        <f t="shared" ca="1" si="134"/>
        <v>0</v>
      </c>
      <c r="W239" s="11" t="str">
        <f t="shared" ca="1" si="135"/>
        <v/>
      </c>
      <c r="X239" s="11" t="str">
        <f t="shared" ca="1" si="136"/>
        <v/>
      </c>
      <c r="Y239" s="11" t="str">
        <f t="shared" ca="1" si="137"/>
        <v/>
      </c>
      <c r="Z239" s="11" t="str">
        <f t="shared" ca="1" si="138"/>
        <v/>
      </c>
      <c r="AA239" s="11" t="str">
        <f t="shared" ca="1" si="139"/>
        <v/>
      </c>
      <c r="AB239" s="47">
        <f ca="1">PlayerGameData[[#This Row],[3FGA]]+PlayerGameData[[#This Row],[2FGA]]</f>
        <v>0</v>
      </c>
      <c r="AC239" s="47">
        <f ca="1">PlayerGameData[[#This Row],[OFF REB]]+PlayerGameData[[#This Row],[DEF REB]]</f>
        <v>0</v>
      </c>
      <c r="AD239" s="8">
        <f t="shared" si="120"/>
        <v>10</v>
      </c>
      <c r="AE239" s="8" t="str">
        <f t="shared" ca="1" si="121"/>
        <v>,  - Moorcroft 1/14/2023</v>
      </c>
      <c r="AF239" s="8" t="str">
        <f t="shared" ca="1" si="140"/>
        <v/>
      </c>
      <c r="AG239" s="8" t="str">
        <f ca="1">IFERROR(IF(C239=0,"",IF(AND(VLOOKUP(PlayerGameData[[#This Row],[Opponent]],WYTeamInfo,2,FALSE)=Roster!$D$1,VLOOKUP(PlayerGameData[[#This Row],[Opponent]],WYTeamInfo,3,FALSE)=Roster!$D$2),"SR","")),"")</f>
        <v/>
      </c>
      <c r="AH239" s="8" t="str">
        <f>CONCATENATE(Roster!$D$1," ",Roster!$D$5)</f>
        <v>1A BB</v>
      </c>
      <c r="AI239" s="8" t="str">
        <f t="shared" ca="1" si="122"/>
        <v>Upton - Moorcroft 1/14/2023</v>
      </c>
      <c r="AJ239" s="8">
        <f ca="1">IFERROR(VLOOKUP(PlayerGameData[[#This Row],[School, Opponent,Game'#]],Table3[],2,FALSE),0)</f>
        <v>1</v>
      </c>
      <c r="AK239" s="8">
        <f ca="1">IF(PlayerGameData[[#This Row],[Visible]]=1,1,1000)</f>
        <v>1</v>
      </c>
      <c r="AL239" s="8">
        <f ca="1">RANK(PlayerGameData[[#This Row],[TL PTS]],PlayerGameData[TL PTS],0)+PlayerGameData[[#This Row],[VisibleOrder]]</f>
        <v>185</v>
      </c>
      <c r="AM239" s="8">
        <f ca="1">IF(COUNTIF(PlayerGameData[PointOrder],PlayerGameData[[#This Row],[PointOrder]])&gt;1,RANK(PlayerGameData[[#This Row],[FGA]],PlayerGameData[FGA],0)/100,0)+PlayerGameData[[#This Row],[PointOrder]]</f>
        <v>187.14</v>
      </c>
      <c r="AN239" s="8">
        <f ca="1">RANK(PlayerGameData[[#This Row],[PointTieBreak]],PlayerGameData[PointTieBreak],1)</f>
        <v>216</v>
      </c>
      <c r="AO239" s="8">
        <f ca="1">RANK(PlayerGameData[[#This Row],[REB]],PlayerGameData[REB],0)+PlayerGameData[[#This Row],[VisibleOrder]]</f>
        <v>192</v>
      </c>
      <c r="AP239" s="8">
        <f ca="1">IF(COUNTIF(PlayerGameData[REBOrder],PlayerGameData[[#This Row],[REBOrder]])&gt;1,PlayerGameData[[#This Row],[PointRank]]/100+PlayerGameData[[#This Row],[REBOrder]],PlayerGameData[[#This Row],[REBOrder]])</f>
        <v>194.16</v>
      </c>
      <c r="AQ239" s="8">
        <f ca="1">RANK(PlayerGameData[[#This Row],[REBTieBreak]],PlayerGameData[REBTieBreak],1)</f>
        <v>224</v>
      </c>
      <c r="AR239" s="8">
        <f ca="1">RANK(PlayerGameData[[#This Row],[AST]],PlayerGameData[AST],0)+PlayerGameData[[#This Row],[VisibleOrder]]</f>
        <v>158</v>
      </c>
      <c r="AS239" s="8">
        <f ca="1">IF(COUNTIF(PlayerGameData[ASTOrder],PlayerGameData[[#This Row],[ASTOrder]])&gt;1,PlayerGameData[[#This Row],[PointRank]]/100+PlayerGameData[[#This Row],[ASTOrder]],PlayerGameData[[#This Row],[ASTOrder]])</f>
        <v>160.16</v>
      </c>
      <c r="AT239" s="8">
        <f ca="1">RANK(PlayerGameData[[#This Row],[ASTTieBreak]],PlayerGameData[ASTTieBreak],1)</f>
        <v>221</v>
      </c>
      <c r="AU239" s="8">
        <f ca="1">RANK(PlayerGameData[[#This Row],[STL]],PlayerGameData[STL],0)+PlayerGameData[[#This Row],[VisibleOrder]]</f>
        <v>143</v>
      </c>
      <c r="AV239" s="8">
        <f ca="1">IF(COUNTIF(PlayerGameData[STLOrder],PlayerGameData[[#This Row],[STLOrder]])&gt;1,PlayerGameData[[#This Row],[PointRank]]/100+PlayerGameData[[#This Row],[STLOrder]],PlayerGameData[[#This Row],[STLOrder]])</f>
        <v>145.16</v>
      </c>
      <c r="AW239" s="8">
        <f ca="1">RANK(PlayerGameData[[#This Row],[STLTieBreak]],PlayerGameData[STLTieBreak],1)</f>
        <v>217</v>
      </c>
      <c r="AX239" s="8">
        <f ca="1">RANK(PlayerGameData[[#This Row],[BLK]],PlayerGameData[BLK],0)+PlayerGameData[[#This Row],[VisibleOrder]]</f>
        <v>32</v>
      </c>
      <c r="AY239" s="8">
        <f ca="1">IF(COUNTIF(PlayerGameData[BLKOrder],PlayerGameData[[#This Row],[BLKOrder]])&gt;1,PlayerGameData[[#This Row],[PointRank]]/100+PlayerGameData[[#This Row],[BLKOrder]],PlayerGameData[[#This Row],[BLKOrder]])</f>
        <v>34.159999999999997</v>
      </c>
      <c r="AZ239" s="8">
        <f ca="1">RANK(PlayerGameData[[#This Row],[BLKTieBreak]],PlayerGameData[BLKTieBreak],1)</f>
        <v>216</v>
      </c>
      <c r="BA239" s="11">
        <f ca="1">IFERROR(IF(PlayerGameData[[#This Row],[FGA]]&gt;$AA$5,PlayerGameData[[#This Row],[FG%*]],PlayerGameData[[#This Row],[FG%*]]*-1),-2)</f>
        <v>-2</v>
      </c>
      <c r="BB239" s="8">
        <f ca="1">RANK(PlayerGameData[[#This Row],[EligFG]],PlayerGameData[EligFG],0)+PlayerGameData[[#This Row],[VisibleOrder]]</f>
        <v>215</v>
      </c>
      <c r="BC239" s="8">
        <f ca="1">IF(COUNTIF(PlayerGameData[EligFGOrder],PlayerGameData[[#This Row],[EligFGOrder]])&gt;1,PlayerGameData[[#This Row],[PointRank]]/100+PlayerGameData[[#This Row],[EligFGOrder]],PlayerGameData[[#This Row],[EligFGOrder]])</f>
        <v>217.16</v>
      </c>
      <c r="BD239" s="8">
        <f ca="1">RANK(PlayerGameData[[#This Row],[EligFGTieBreak]],PlayerGameData[EligFGTieBreak],1)</f>
        <v>216</v>
      </c>
      <c r="BE239" s="8" t="str">
        <f>Roster!$D$3</f>
        <v>East</v>
      </c>
      <c r="BF239" s="8" t="str">
        <f>Roster!$D$2</f>
        <v>Northeast</v>
      </c>
      <c r="BG239" s="8" t="str">
        <f>Roster!$D$4</f>
        <v>North</v>
      </c>
      <c r="BH239" s="197">
        <f ca="1">IFERROR(VLOOKUP(CONCATENATE(PlayerGameData[[#This Row],[Opponent]]," ",MONTH(PlayerGameData[[#This Row],[Date]]),"/",DAY(PlayerGameData[[#This Row],[Date]]),"/",YEAR(PlayerGameData[[#This Row],[Date]])),Table35[],2,FALSE),0)</f>
        <v>1</v>
      </c>
      <c r="BI239" s="197">
        <f ca="1">IF(PlayerGameData[[#This Row],[Visible]]=1,1,1000)</f>
        <v>1</v>
      </c>
      <c r="BJ239" s="197" t="e">
        <f ca="1">_xlfn.MAXIFS(TeamGameData[Win],TeamGameData[School, Opponent,Game'#],PlayerGameData[[#This Row],[School, Opponent,Game'#]])</f>
        <v>#NAME?</v>
      </c>
      <c r="BK239" s="197" t="e">
        <f ca="1">_xlfn.MAXIFS(TeamGameData[Loss],TeamGameData[School, Opponent,Game'#],PlayerGameData[[#This Row],[School, Opponent,Game'#]])</f>
        <v>#NAME?</v>
      </c>
    </row>
    <row r="240" spans="1:63" x14ac:dyDescent="0.25">
      <c r="A240" s="8" t="str">
        <f t="shared" ca="1" si="123"/>
        <v xml:space="preserve">, </v>
      </c>
      <c r="B240" s="8" t="str">
        <f>Roster!$B$1</f>
        <v>Upton</v>
      </c>
      <c r="C240" s="8" t="str">
        <f t="shared" ca="1" si="111"/>
        <v>Moorcroft</v>
      </c>
      <c r="D240" s="10">
        <f t="shared" ca="1" si="112"/>
        <v>44940</v>
      </c>
      <c r="E240" s="8">
        <f t="shared" ca="1" si="113"/>
        <v>0</v>
      </c>
      <c r="F240" s="8">
        <f t="shared" ca="1" si="114"/>
        <v>0</v>
      </c>
      <c r="G240" s="8">
        <f t="shared" ca="1" si="115"/>
        <v>0</v>
      </c>
      <c r="H240" s="8">
        <f t="shared" ca="1" si="116"/>
        <v>0</v>
      </c>
      <c r="I240" s="8">
        <f t="shared" ca="1" si="117"/>
        <v>0</v>
      </c>
      <c r="J240" s="8">
        <f t="shared" ca="1" si="118"/>
        <v>0</v>
      </c>
      <c r="K240" s="8">
        <f t="shared" ca="1" si="119"/>
        <v>0</v>
      </c>
      <c r="L240" s="8">
        <f t="shared" ca="1" si="124"/>
        <v>0</v>
      </c>
      <c r="M240" s="8">
        <f t="shared" ca="1" si="125"/>
        <v>0</v>
      </c>
      <c r="N240" s="8">
        <f t="shared" ca="1" si="126"/>
        <v>0</v>
      </c>
      <c r="O240" s="8">
        <f t="shared" ca="1" si="127"/>
        <v>0</v>
      </c>
      <c r="P240" s="8">
        <f t="shared" ca="1" si="128"/>
        <v>0</v>
      </c>
      <c r="Q240" s="8">
        <f t="shared" ca="1" si="129"/>
        <v>0</v>
      </c>
      <c r="R240" s="8">
        <f t="shared" ca="1" si="130"/>
        <v>0</v>
      </c>
      <c r="S240" s="8">
        <f t="shared" ca="1" si="131"/>
        <v>0</v>
      </c>
      <c r="T240" s="8">
        <f t="shared" ca="1" si="132"/>
        <v>0</v>
      </c>
      <c r="U240" s="8">
        <f t="shared" ca="1" si="133"/>
        <v>0</v>
      </c>
      <c r="V240" s="8">
        <f t="shared" ca="1" si="134"/>
        <v>0</v>
      </c>
      <c r="W240" s="11" t="str">
        <f t="shared" ca="1" si="135"/>
        <v/>
      </c>
      <c r="X240" s="11" t="str">
        <f t="shared" ca="1" si="136"/>
        <v/>
      </c>
      <c r="Y240" s="11" t="str">
        <f t="shared" ca="1" si="137"/>
        <v/>
      </c>
      <c r="Z240" s="11" t="str">
        <f t="shared" ca="1" si="138"/>
        <v/>
      </c>
      <c r="AA240" s="11" t="str">
        <f t="shared" ca="1" si="139"/>
        <v/>
      </c>
      <c r="AB240" s="47">
        <f ca="1">PlayerGameData[[#This Row],[3FGA]]+PlayerGameData[[#This Row],[2FGA]]</f>
        <v>0</v>
      </c>
      <c r="AC240" s="47">
        <f ca="1">PlayerGameData[[#This Row],[OFF REB]]+PlayerGameData[[#This Row],[DEF REB]]</f>
        <v>0</v>
      </c>
      <c r="AD240" s="8">
        <f t="shared" si="120"/>
        <v>10</v>
      </c>
      <c r="AE240" s="8" t="str">
        <f t="shared" ca="1" si="121"/>
        <v>,  - Moorcroft 1/14/2023</v>
      </c>
      <c r="AF240" s="8" t="str">
        <f t="shared" ca="1" si="140"/>
        <v/>
      </c>
      <c r="AG240" s="8" t="str">
        <f ca="1">IFERROR(IF(C240=0,"",IF(AND(VLOOKUP(PlayerGameData[[#This Row],[Opponent]],WYTeamInfo,2,FALSE)=Roster!$D$1,VLOOKUP(PlayerGameData[[#This Row],[Opponent]],WYTeamInfo,3,FALSE)=Roster!$D$2),"SR","")),"")</f>
        <v/>
      </c>
      <c r="AH240" s="8" t="str">
        <f>CONCATENATE(Roster!$D$1," ",Roster!$D$5)</f>
        <v>1A BB</v>
      </c>
      <c r="AI240" s="8" t="str">
        <f t="shared" ca="1" si="122"/>
        <v>Upton - Moorcroft 1/14/2023</v>
      </c>
      <c r="AJ240" s="8">
        <f ca="1">IFERROR(VLOOKUP(PlayerGameData[[#This Row],[School, Opponent,Game'#]],Table3[],2,FALSE),0)</f>
        <v>1</v>
      </c>
      <c r="AK240" s="8">
        <f ca="1">IF(PlayerGameData[[#This Row],[Visible]]=1,1,1000)</f>
        <v>1</v>
      </c>
      <c r="AL240" s="8">
        <f ca="1">RANK(PlayerGameData[[#This Row],[TL PTS]],PlayerGameData[TL PTS],0)+PlayerGameData[[#This Row],[VisibleOrder]]</f>
        <v>185</v>
      </c>
      <c r="AM240" s="8">
        <f ca="1">IF(COUNTIF(PlayerGameData[PointOrder],PlayerGameData[[#This Row],[PointOrder]])&gt;1,RANK(PlayerGameData[[#This Row],[FGA]],PlayerGameData[FGA],0)/100,0)+PlayerGameData[[#This Row],[PointOrder]]</f>
        <v>187.14</v>
      </c>
      <c r="AN240" s="8">
        <f ca="1">RANK(PlayerGameData[[#This Row],[PointTieBreak]],PlayerGameData[PointTieBreak],1)</f>
        <v>216</v>
      </c>
      <c r="AO240" s="8">
        <f ca="1">RANK(PlayerGameData[[#This Row],[REB]],PlayerGameData[REB],0)+PlayerGameData[[#This Row],[VisibleOrder]]</f>
        <v>192</v>
      </c>
      <c r="AP240" s="8">
        <f ca="1">IF(COUNTIF(PlayerGameData[REBOrder],PlayerGameData[[#This Row],[REBOrder]])&gt;1,PlayerGameData[[#This Row],[PointRank]]/100+PlayerGameData[[#This Row],[REBOrder]],PlayerGameData[[#This Row],[REBOrder]])</f>
        <v>194.16</v>
      </c>
      <c r="AQ240" s="8">
        <f ca="1">RANK(PlayerGameData[[#This Row],[REBTieBreak]],PlayerGameData[REBTieBreak],1)</f>
        <v>224</v>
      </c>
      <c r="AR240" s="8">
        <f ca="1">RANK(PlayerGameData[[#This Row],[AST]],PlayerGameData[AST],0)+PlayerGameData[[#This Row],[VisibleOrder]]</f>
        <v>158</v>
      </c>
      <c r="AS240" s="8">
        <f ca="1">IF(COUNTIF(PlayerGameData[ASTOrder],PlayerGameData[[#This Row],[ASTOrder]])&gt;1,PlayerGameData[[#This Row],[PointRank]]/100+PlayerGameData[[#This Row],[ASTOrder]],PlayerGameData[[#This Row],[ASTOrder]])</f>
        <v>160.16</v>
      </c>
      <c r="AT240" s="8">
        <f ca="1">RANK(PlayerGameData[[#This Row],[ASTTieBreak]],PlayerGameData[ASTTieBreak],1)</f>
        <v>221</v>
      </c>
      <c r="AU240" s="8">
        <f ca="1">RANK(PlayerGameData[[#This Row],[STL]],PlayerGameData[STL],0)+PlayerGameData[[#This Row],[VisibleOrder]]</f>
        <v>143</v>
      </c>
      <c r="AV240" s="8">
        <f ca="1">IF(COUNTIF(PlayerGameData[STLOrder],PlayerGameData[[#This Row],[STLOrder]])&gt;1,PlayerGameData[[#This Row],[PointRank]]/100+PlayerGameData[[#This Row],[STLOrder]],PlayerGameData[[#This Row],[STLOrder]])</f>
        <v>145.16</v>
      </c>
      <c r="AW240" s="8">
        <f ca="1">RANK(PlayerGameData[[#This Row],[STLTieBreak]],PlayerGameData[STLTieBreak],1)</f>
        <v>217</v>
      </c>
      <c r="AX240" s="8">
        <f ca="1">RANK(PlayerGameData[[#This Row],[BLK]],PlayerGameData[BLK],0)+PlayerGameData[[#This Row],[VisibleOrder]]</f>
        <v>32</v>
      </c>
      <c r="AY240" s="8">
        <f ca="1">IF(COUNTIF(PlayerGameData[BLKOrder],PlayerGameData[[#This Row],[BLKOrder]])&gt;1,PlayerGameData[[#This Row],[PointRank]]/100+PlayerGameData[[#This Row],[BLKOrder]],PlayerGameData[[#This Row],[BLKOrder]])</f>
        <v>34.159999999999997</v>
      </c>
      <c r="AZ240" s="8">
        <f ca="1">RANK(PlayerGameData[[#This Row],[BLKTieBreak]],PlayerGameData[BLKTieBreak],1)</f>
        <v>216</v>
      </c>
      <c r="BA240" s="11">
        <f ca="1">IFERROR(IF(PlayerGameData[[#This Row],[FGA]]&gt;$AA$5,PlayerGameData[[#This Row],[FG%*]],PlayerGameData[[#This Row],[FG%*]]*-1),-2)</f>
        <v>-2</v>
      </c>
      <c r="BB240" s="8">
        <f ca="1">RANK(PlayerGameData[[#This Row],[EligFG]],PlayerGameData[EligFG],0)+PlayerGameData[[#This Row],[VisibleOrder]]</f>
        <v>215</v>
      </c>
      <c r="BC240" s="8">
        <f ca="1">IF(COUNTIF(PlayerGameData[EligFGOrder],PlayerGameData[[#This Row],[EligFGOrder]])&gt;1,PlayerGameData[[#This Row],[PointRank]]/100+PlayerGameData[[#This Row],[EligFGOrder]],PlayerGameData[[#This Row],[EligFGOrder]])</f>
        <v>217.16</v>
      </c>
      <c r="BD240" s="8">
        <f ca="1">RANK(PlayerGameData[[#This Row],[EligFGTieBreak]],PlayerGameData[EligFGTieBreak],1)</f>
        <v>216</v>
      </c>
      <c r="BE240" s="8" t="str">
        <f>Roster!$D$3</f>
        <v>East</v>
      </c>
      <c r="BF240" s="8" t="str">
        <f>Roster!$D$2</f>
        <v>Northeast</v>
      </c>
      <c r="BG240" s="8" t="str">
        <f>Roster!$D$4</f>
        <v>North</v>
      </c>
      <c r="BH240" s="197">
        <f ca="1">IFERROR(VLOOKUP(CONCATENATE(PlayerGameData[[#This Row],[Opponent]]," ",MONTH(PlayerGameData[[#This Row],[Date]]),"/",DAY(PlayerGameData[[#This Row],[Date]]),"/",YEAR(PlayerGameData[[#This Row],[Date]])),Table35[],2,FALSE),0)</f>
        <v>1</v>
      </c>
      <c r="BI240" s="197">
        <f ca="1">IF(PlayerGameData[[#This Row],[Visible]]=1,1,1000)</f>
        <v>1</v>
      </c>
      <c r="BJ240" s="197" t="e">
        <f ca="1">_xlfn.MAXIFS(TeamGameData[Win],TeamGameData[School, Opponent,Game'#],PlayerGameData[[#This Row],[School, Opponent,Game'#]])</f>
        <v>#NAME?</v>
      </c>
      <c r="BK240" s="197" t="e">
        <f ca="1">_xlfn.MAXIFS(TeamGameData[Loss],TeamGameData[School, Opponent,Game'#],PlayerGameData[[#This Row],[School, Opponent,Game'#]])</f>
        <v>#NAME?</v>
      </c>
    </row>
    <row r="241" spans="1:63" x14ac:dyDescent="0.25">
      <c r="A241" s="8" t="str">
        <f t="shared" ca="1" si="123"/>
        <v xml:space="preserve">, </v>
      </c>
      <c r="B241" s="8" t="str">
        <f>Roster!$B$1</f>
        <v>Upton</v>
      </c>
      <c r="C241" s="8" t="str">
        <f t="shared" ca="1" si="111"/>
        <v>Moorcroft</v>
      </c>
      <c r="D241" s="10">
        <f t="shared" ca="1" si="112"/>
        <v>44940</v>
      </c>
      <c r="E241" s="8">
        <f t="shared" ca="1" si="113"/>
        <v>0</v>
      </c>
      <c r="F241" s="8">
        <f t="shared" ca="1" si="114"/>
        <v>0</v>
      </c>
      <c r="G241" s="8">
        <f t="shared" ca="1" si="115"/>
        <v>0</v>
      </c>
      <c r="H241" s="8">
        <f t="shared" ca="1" si="116"/>
        <v>0</v>
      </c>
      <c r="I241" s="8">
        <f t="shared" ca="1" si="117"/>
        <v>0</v>
      </c>
      <c r="J241" s="8">
        <f t="shared" ca="1" si="118"/>
        <v>0</v>
      </c>
      <c r="K241" s="8">
        <f t="shared" ca="1" si="119"/>
        <v>0</v>
      </c>
      <c r="L241" s="8">
        <f t="shared" ca="1" si="124"/>
        <v>0</v>
      </c>
      <c r="M241" s="8">
        <f t="shared" ca="1" si="125"/>
        <v>0</v>
      </c>
      <c r="N241" s="8">
        <f t="shared" ca="1" si="126"/>
        <v>0</v>
      </c>
      <c r="O241" s="8">
        <f t="shared" ca="1" si="127"/>
        <v>0</v>
      </c>
      <c r="P241" s="8">
        <f t="shared" ca="1" si="128"/>
        <v>0</v>
      </c>
      <c r="Q241" s="8">
        <f t="shared" ca="1" si="129"/>
        <v>0</v>
      </c>
      <c r="R241" s="8">
        <f t="shared" ca="1" si="130"/>
        <v>0</v>
      </c>
      <c r="S241" s="8">
        <f t="shared" ca="1" si="131"/>
        <v>0</v>
      </c>
      <c r="T241" s="8">
        <f t="shared" ca="1" si="132"/>
        <v>0</v>
      </c>
      <c r="U241" s="8">
        <f t="shared" ca="1" si="133"/>
        <v>0</v>
      </c>
      <c r="V241" s="8">
        <f t="shared" ca="1" si="134"/>
        <v>0</v>
      </c>
      <c r="W241" s="11" t="str">
        <f t="shared" ca="1" si="135"/>
        <v/>
      </c>
      <c r="X241" s="11" t="str">
        <f t="shared" ca="1" si="136"/>
        <v/>
      </c>
      <c r="Y241" s="11" t="str">
        <f t="shared" ca="1" si="137"/>
        <v/>
      </c>
      <c r="Z241" s="11" t="str">
        <f t="shared" ca="1" si="138"/>
        <v/>
      </c>
      <c r="AA241" s="11" t="str">
        <f t="shared" ca="1" si="139"/>
        <v/>
      </c>
      <c r="AB241" s="47">
        <f ca="1">PlayerGameData[[#This Row],[3FGA]]+PlayerGameData[[#This Row],[2FGA]]</f>
        <v>0</v>
      </c>
      <c r="AC241" s="47">
        <f ca="1">PlayerGameData[[#This Row],[OFF REB]]+PlayerGameData[[#This Row],[DEF REB]]</f>
        <v>0</v>
      </c>
      <c r="AD241" s="8">
        <f t="shared" si="120"/>
        <v>10</v>
      </c>
      <c r="AE241" s="8" t="str">
        <f t="shared" ca="1" si="121"/>
        <v>,  - Moorcroft 1/14/2023</v>
      </c>
      <c r="AF241" s="8" t="str">
        <f t="shared" ca="1" si="140"/>
        <v/>
      </c>
      <c r="AG241" s="8" t="str">
        <f ca="1">IFERROR(IF(C241=0,"",IF(AND(VLOOKUP(PlayerGameData[[#This Row],[Opponent]],WYTeamInfo,2,FALSE)=Roster!$D$1,VLOOKUP(PlayerGameData[[#This Row],[Opponent]],WYTeamInfo,3,FALSE)=Roster!$D$2),"SR","")),"")</f>
        <v/>
      </c>
      <c r="AH241" s="8" t="str">
        <f>CONCATENATE(Roster!$D$1," ",Roster!$D$5)</f>
        <v>1A BB</v>
      </c>
      <c r="AI241" s="8" t="str">
        <f t="shared" ca="1" si="122"/>
        <v>Upton - Moorcroft 1/14/2023</v>
      </c>
      <c r="AJ241" s="8">
        <f ca="1">IFERROR(VLOOKUP(PlayerGameData[[#This Row],[School, Opponent,Game'#]],Table3[],2,FALSE),0)</f>
        <v>1</v>
      </c>
      <c r="AK241" s="8">
        <f ca="1">IF(PlayerGameData[[#This Row],[Visible]]=1,1,1000)</f>
        <v>1</v>
      </c>
      <c r="AL241" s="8">
        <f ca="1">RANK(PlayerGameData[[#This Row],[TL PTS]],PlayerGameData[TL PTS],0)+PlayerGameData[[#This Row],[VisibleOrder]]</f>
        <v>185</v>
      </c>
      <c r="AM241" s="8">
        <f ca="1">IF(COUNTIF(PlayerGameData[PointOrder],PlayerGameData[[#This Row],[PointOrder]])&gt;1,RANK(PlayerGameData[[#This Row],[FGA]],PlayerGameData[FGA],0)/100,0)+PlayerGameData[[#This Row],[PointOrder]]</f>
        <v>187.14</v>
      </c>
      <c r="AN241" s="8">
        <f ca="1">RANK(PlayerGameData[[#This Row],[PointTieBreak]],PlayerGameData[PointTieBreak],1)</f>
        <v>216</v>
      </c>
      <c r="AO241" s="8">
        <f ca="1">RANK(PlayerGameData[[#This Row],[REB]],PlayerGameData[REB],0)+PlayerGameData[[#This Row],[VisibleOrder]]</f>
        <v>192</v>
      </c>
      <c r="AP241" s="8">
        <f ca="1">IF(COUNTIF(PlayerGameData[REBOrder],PlayerGameData[[#This Row],[REBOrder]])&gt;1,PlayerGameData[[#This Row],[PointRank]]/100+PlayerGameData[[#This Row],[REBOrder]],PlayerGameData[[#This Row],[REBOrder]])</f>
        <v>194.16</v>
      </c>
      <c r="AQ241" s="8">
        <f ca="1">RANK(PlayerGameData[[#This Row],[REBTieBreak]],PlayerGameData[REBTieBreak],1)</f>
        <v>224</v>
      </c>
      <c r="AR241" s="8">
        <f ca="1">RANK(PlayerGameData[[#This Row],[AST]],PlayerGameData[AST],0)+PlayerGameData[[#This Row],[VisibleOrder]]</f>
        <v>158</v>
      </c>
      <c r="AS241" s="8">
        <f ca="1">IF(COUNTIF(PlayerGameData[ASTOrder],PlayerGameData[[#This Row],[ASTOrder]])&gt;1,PlayerGameData[[#This Row],[PointRank]]/100+PlayerGameData[[#This Row],[ASTOrder]],PlayerGameData[[#This Row],[ASTOrder]])</f>
        <v>160.16</v>
      </c>
      <c r="AT241" s="8">
        <f ca="1">RANK(PlayerGameData[[#This Row],[ASTTieBreak]],PlayerGameData[ASTTieBreak],1)</f>
        <v>221</v>
      </c>
      <c r="AU241" s="8">
        <f ca="1">RANK(PlayerGameData[[#This Row],[STL]],PlayerGameData[STL],0)+PlayerGameData[[#This Row],[VisibleOrder]]</f>
        <v>143</v>
      </c>
      <c r="AV241" s="8">
        <f ca="1">IF(COUNTIF(PlayerGameData[STLOrder],PlayerGameData[[#This Row],[STLOrder]])&gt;1,PlayerGameData[[#This Row],[PointRank]]/100+PlayerGameData[[#This Row],[STLOrder]],PlayerGameData[[#This Row],[STLOrder]])</f>
        <v>145.16</v>
      </c>
      <c r="AW241" s="8">
        <f ca="1">RANK(PlayerGameData[[#This Row],[STLTieBreak]],PlayerGameData[STLTieBreak],1)</f>
        <v>217</v>
      </c>
      <c r="AX241" s="8">
        <f ca="1">RANK(PlayerGameData[[#This Row],[BLK]],PlayerGameData[BLK],0)+PlayerGameData[[#This Row],[VisibleOrder]]</f>
        <v>32</v>
      </c>
      <c r="AY241" s="8">
        <f ca="1">IF(COUNTIF(PlayerGameData[BLKOrder],PlayerGameData[[#This Row],[BLKOrder]])&gt;1,PlayerGameData[[#This Row],[PointRank]]/100+PlayerGameData[[#This Row],[BLKOrder]],PlayerGameData[[#This Row],[BLKOrder]])</f>
        <v>34.159999999999997</v>
      </c>
      <c r="AZ241" s="8">
        <f ca="1">RANK(PlayerGameData[[#This Row],[BLKTieBreak]],PlayerGameData[BLKTieBreak],1)</f>
        <v>216</v>
      </c>
      <c r="BA241" s="11">
        <f ca="1">IFERROR(IF(PlayerGameData[[#This Row],[FGA]]&gt;$AA$5,PlayerGameData[[#This Row],[FG%*]],PlayerGameData[[#This Row],[FG%*]]*-1),-2)</f>
        <v>-2</v>
      </c>
      <c r="BB241" s="8">
        <f ca="1">RANK(PlayerGameData[[#This Row],[EligFG]],PlayerGameData[EligFG],0)+PlayerGameData[[#This Row],[VisibleOrder]]</f>
        <v>215</v>
      </c>
      <c r="BC241" s="8">
        <f ca="1">IF(COUNTIF(PlayerGameData[EligFGOrder],PlayerGameData[[#This Row],[EligFGOrder]])&gt;1,PlayerGameData[[#This Row],[PointRank]]/100+PlayerGameData[[#This Row],[EligFGOrder]],PlayerGameData[[#This Row],[EligFGOrder]])</f>
        <v>217.16</v>
      </c>
      <c r="BD241" s="8">
        <f ca="1">RANK(PlayerGameData[[#This Row],[EligFGTieBreak]],PlayerGameData[EligFGTieBreak],1)</f>
        <v>216</v>
      </c>
      <c r="BE241" s="8" t="str">
        <f>Roster!$D$3</f>
        <v>East</v>
      </c>
      <c r="BF241" s="8" t="str">
        <f>Roster!$D$2</f>
        <v>Northeast</v>
      </c>
      <c r="BG241" s="8" t="str">
        <f>Roster!$D$4</f>
        <v>North</v>
      </c>
      <c r="BH241" s="197">
        <f ca="1">IFERROR(VLOOKUP(CONCATENATE(PlayerGameData[[#This Row],[Opponent]]," ",MONTH(PlayerGameData[[#This Row],[Date]]),"/",DAY(PlayerGameData[[#This Row],[Date]]),"/",YEAR(PlayerGameData[[#This Row],[Date]])),Table35[],2,FALSE),0)</f>
        <v>1</v>
      </c>
      <c r="BI241" s="197">
        <f ca="1">IF(PlayerGameData[[#This Row],[Visible]]=1,1,1000)</f>
        <v>1</v>
      </c>
      <c r="BJ241" s="197" t="e">
        <f ca="1">_xlfn.MAXIFS(TeamGameData[Win],TeamGameData[School, Opponent,Game'#],PlayerGameData[[#This Row],[School, Opponent,Game'#]])</f>
        <v>#NAME?</v>
      </c>
      <c r="BK241" s="197" t="e">
        <f ca="1">_xlfn.MAXIFS(TeamGameData[Loss],TeamGameData[School, Opponent,Game'#],PlayerGameData[[#This Row],[School, Opponent,Game'#]])</f>
        <v>#NAME?</v>
      </c>
    </row>
    <row r="242" spans="1:63" x14ac:dyDescent="0.25">
      <c r="A242" s="8" t="str">
        <f t="shared" ca="1" si="123"/>
        <v xml:space="preserve">, </v>
      </c>
      <c r="B242" s="8" t="str">
        <f>Roster!$B$1</f>
        <v>Upton</v>
      </c>
      <c r="C242" s="8" t="str">
        <f t="shared" ca="1" si="111"/>
        <v>Moorcroft</v>
      </c>
      <c r="D242" s="10">
        <f t="shared" ca="1" si="112"/>
        <v>44940</v>
      </c>
      <c r="E242" s="8">
        <f t="shared" ca="1" si="113"/>
        <v>0</v>
      </c>
      <c r="F242" s="8">
        <f t="shared" ca="1" si="114"/>
        <v>0</v>
      </c>
      <c r="G242" s="8">
        <f t="shared" ca="1" si="115"/>
        <v>0</v>
      </c>
      <c r="H242" s="8">
        <f t="shared" ca="1" si="116"/>
        <v>0</v>
      </c>
      <c r="I242" s="8">
        <f t="shared" ca="1" si="117"/>
        <v>0</v>
      </c>
      <c r="J242" s="8">
        <f t="shared" ca="1" si="118"/>
        <v>0</v>
      </c>
      <c r="K242" s="8">
        <f t="shared" ca="1" si="119"/>
        <v>0</v>
      </c>
      <c r="L242" s="8">
        <f t="shared" ca="1" si="124"/>
        <v>0</v>
      </c>
      <c r="M242" s="8">
        <f t="shared" ca="1" si="125"/>
        <v>0</v>
      </c>
      <c r="N242" s="8">
        <f t="shared" ca="1" si="126"/>
        <v>0</v>
      </c>
      <c r="O242" s="8">
        <f t="shared" ca="1" si="127"/>
        <v>0</v>
      </c>
      <c r="P242" s="8">
        <f t="shared" ca="1" si="128"/>
        <v>0</v>
      </c>
      <c r="Q242" s="8">
        <f t="shared" ca="1" si="129"/>
        <v>0</v>
      </c>
      <c r="R242" s="8">
        <f t="shared" ca="1" si="130"/>
        <v>0</v>
      </c>
      <c r="S242" s="8">
        <f t="shared" ca="1" si="131"/>
        <v>0</v>
      </c>
      <c r="T242" s="8">
        <f t="shared" ca="1" si="132"/>
        <v>0</v>
      </c>
      <c r="U242" s="8">
        <f t="shared" ca="1" si="133"/>
        <v>0</v>
      </c>
      <c r="V242" s="8">
        <f t="shared" ca="1" si="134"/>
        <v>0</v>
      </c>
      <c r="W242" s="11" t="str">
        <f t="shared" ca="1" si="135"/>
        <v/>
      </c>
      <c r="X242" s="11" t="str">
        <f t="shared" ca="1" si="136"/>
        <v/>
      </c>
      <c r="Y242" s="11" t="str">
        <f t="shared" ca="1" si="137"/>
        <v/>
      </c>
      <c r="Z242" s="11" t="str">
        <f t="shared" ca="1" si="138"/>
        <v/>
      </c>
      <c r="AA242" s="11" t="str">
        <f t="shared" ca="1" si="139"/>
        <v/>
      </c>
      <c r="AB242" s="47">
        <f ca="1">PlayerGameData[[#This Row],[3FGA]]+PlayerGameData[[#This Row],[2FGA]]</f>
        <v>0</v>
      </c>
      <c r="AC242" s="47">
        <f ca="1">PlayerGameData[[#This Row],[OFF REB]]+PlayerGameData[[#This Row],[DEF REB]]</f>
        <v>0</v>
      </c>
      <c r="AD242" s="8">
        <f t="shared" si="120"/>
        <v>10</v>
      </c>
      <c r="AE242" s="8" t="str">
        <f t="shared" ca="1" si="121"/>
        <v>,  - Moorcroft 1/14/2023</v>
      </c>
      <c r="AF242" s="8" t="str">
        <f t="shared" ca="1" si="140"/>
        <v/>
      </c>
      <c r="AG242" s="8" t="str">
        <f ca="1">IFERROR(IF(C242=0,"",IF(AND(VLOOKUP(PlayerGameData[[#This Row],[Opponent]],WYTeamInfo,2,FALSE)=Roster!$D$1,VLOOKUP(PlayerGameData[[#This Row],[Opponent]],WYTeamInfo,3,FALSE)=Roster!$D$2),"SR","")),"")</f>
        <v/>
      </c>
      <c r="AH242" s="8" t="str">
        <f>CONCATENATE(Roster!$D$1," ",Roster!$D$5)</f>
        <v>1A BB</v>
      </c>
      <c r="AI242" s="8" t="str">
        <f t="shared" ca="1" si="122"/>
        <v>Upton - Moorcroft 1/14/2023</v>
      </c>
      <c r="AJ242" s="8">
        <f ca="1">IFERROR(VLOOKUP(PlayerGameData[[#This Row],[School, Opponent,Game'#]],Table3[],2,FALSE),0)</f>
        <v>1</v>
      </c>
      <c r="AK242" s="8">
        <f ca="1">IF(PlayerGameData[[#This Row],[Visible]]=1,1,1000)</f>
        <v>1</v>
      </c>
      <c r="AL242" s="8">
        <f ca="1">RANK(PlayerGameData[[#This Row],[TL PTS]],PlayerGameData[TL PTS],0)+PlayerGameData[[#This Row],[VisibleOrder]]</f>
        <v>185</v>
      </c>
      <c r="AM242" s="8">
        <f ca="1">IF(COUNTIF(PlayerGameData[PointOrder],PlayerGameData[[#This Row],[PointOrder]])&gt;1,RANK(PlayerGameData[[#This Row],[FGA]],PlayerGameData[FGA],0)/100,0)+PlayerGameData[[#This Row],[PointOrder]]</f>
        <v>187.14</v>
      </c>
      <c r="AN242" s="8">
        <f ca="1">RANK(PlayerGameData[[#This Row],[PointTieBreak]],PlayerGameData[PointTieBreak],1)</f>
        <v>216</v>
      </c>
      <c r="AO242" s="8">
        <f ca="1">RANK(PlayerGameData[[#This Row],[REB]],PlayerGameData[REB],0)+PlayerGameData[[#This Row],[VisibleOrder]]</f>
        <v>192</v>
      </c>
      <c r="AP242" s="8">
        <f ca="1">IF(COUNTIF(PlayerGameData[REBOrder],PlayerGameData[[#This Row],[REBOrder]])&gt;1,PlayerGameData[[#This Row],[PointRank]]/100+PlayerGameData[[#This Row],[REBOrder]],PlayerGameData[[#This Row],[REBOrder]])</f>
        <v>194.16</v>
      </c>
      <c r="AQ242" s="8">
        <f ca="1">RANK(PlayerGameData[[#This Row],[REBTieBreak]],PlayerGameData[REBTieBreak],1)</f>
        <v>224</v>
      </c>
      <c r="AR242" s="8">
        <f ca="1">RANK(PlayerGameData[[#This Row],[AST]],PlayerGameData[AST],0)+PlayerGameData[[#This Row],[VisibleOrder]]</f>
        <v>158</v>
      </c>
      <c r="AS242" s="8">
        <f ca="1">IF(COUNTIF(PlayerGameData[ASTOrder],PlayerGameData[[#This Row],[ASTOrder]])&gt;1,PlayerGameData[[#This Row],[PointRank]]/100+PlayerGameData[[#This Row],[ASTOrder]],PlayerGameData[[#This Row],[ASTOrder]])</f>
        <v>160.16</v>
      </c>
      <c r="AT242" s="8">
        <f ca="1">RANK(PlayerGameData[[#This Row],[ASTTieBreak]],PlayerGameData[ASTTieBreak],1)</f>
        <v>221</v>
      </c>
      <c r="AU242" s="8">
        <f ca="1">RANK(PlayerGameData[[#This Row],[STL]],PlayerGameData[STL],0)+PlayerGameData[[#This Row],[VisibleOrder]]</f>
        <v>143</v>
      </c>
      <c r="AV242" s="8">
        <f ca="1">IF(COUNTIF(PlayerGameData[STLOrder],PlayerGameData[[#This Row],[STLOrder]])&gt;1,PlayerGameData[[#This Row],[PointRank]]/100+PlayerGameData[[#This Row],[STLOrder]],PlayerGameData[[#This Row],[STLOrder]])</f>
        <v>145.16</v>
      </c>
      <c r="AW242" s="8">
        <f ca="1">RANK(PlayerGameData[[#This Row],[STLTieBreak]],PlayerGameData[STLTieBreak],1)</f>
        <v>217</v>
      </c>
      <c r="AX242" s="8">
        <f ca="1">RANK(PlayerGameData[[#This Row],[BLK]],PlayerGameData[BLK],0)+PlayerGameData[[#This Row],[VisibleOrder]]</f>
        <v>32</v>
      </c>
      <c r="AY242" s="8">
        <f ca="1">IF(COUNTIF(PlayerGameData[BLKOrder],PlayerGameData[[#This Row],[BLKOrder]])&gt;1,PlayerGameData[[#This Row],[PointRank]]/100+PlayerGameData[[#This Row],[BLKOrder]],PlayerGameData[[#This Row],[BLKOrder]])</f>
        <v>34.159999999999997</v>
      </c>
      <c r="AZ242" s="8">
        <f ca="1">RANK(PlayerGameData[[#This Row],[BLKTieBreak]],PlayerGameData[BLKTieBreak],1)</f>
        <v>216</v>
      </c>
      <c r="BA242" s="11">
        <f ca="1">IFERROR(IF(PlayerGameData[[#This Row],[FGA]]&gt;$AA$5,PlayerGameData[[#This Row],[FG%*]],PlayerGameData[[#This Row],[FG%*]]*-1),-2)</f>
        <v>-2</v>
      </c>
      <c r="BB242" s="8">
        <f ca="1">RANK(PlayerGameData[[#This Row],[EligFG]],PlayerGameData[EligFG],0)+PlayerGameData[[#This Row],[VisibleOrder]]</f>
        <v>215</v>
      </c>
      <c r="BC242" s="8">
        <f ca="1">IF(COUNTIF(PlayerGameData[EligFGOrder],PlayerGameData[[#This Row],[EligFGOrder]])&gt;1,PlayerGameData[[#This Row],[PointRank]]/100+PlayerGameData[[#This Row],[EligFGOrder]],PlayerGameData[[#This Row],[EligFGOrder]])</f>
        <v>217.16</v>
      </c>
      <c r="BD242" s="8">
        <f ca="1">RANK(PlayerGameData[[#This Row],[EligFGTieBreak]],PlayerGameData[EligFGTieBreak],1)</f>
        <v>216</v>
      </c>
      <c r="BE242" s="8" t="str">
        <f>Roster!$D$3</f>
        <v>East</v>
      </c>
      <c r="BF242" s="8" t="str">
        <f>Roster!$D$2</f>
        <v>Northeast</v>
      </c>
      <c r="BG242" s="8" t="str">
        <f>Roster!$D$4</f>
        <v>North</v>
      </c>
      <c r="BH242" s="197">
        <f ca="1">IFERROR(VLOOKUP(CONCATENATE(PlayerGameData[[#This Row],[Opponent]]," ",MONTH(PlayerGameData[[#This Row],[Date]]),"/",DAY(PlayerGameData[[#This Row],[Date]]),"/",YEAR(PlayerGameData[[#This Row],[Date]])),Table35[],2,FALSE),0)</f>
        <v>1</v>
      </c>
      <c r="BI242" s="197">
        <f ca="1">IF(PlayerGameData[[#This Row],[Visible]]=1,1,1000)</f>
        <v>1</v>
      </c>
      <c r="BJ242" s="197" t="e">
        <f ca="1">_xlfn.MAXIFS(TeamGameData[Win],TeamGameData[School, Opponent,Game'#],PlayerGameData[[#This Row],[School, Opponent,Game'#]])</f>
        <v>#NAME?</v>
      </c>
      <c r="BK242" s="197" t="e">
        <f ca="1">_xlfn.MAXIFS(TeamGameData[Loss],TeamGameData[School, Opponent,Game'#],PlayerGameData[[#This Row],[School, Opponent,Game'#]])</f>
        <v>#NAME?</v>
      </c>
    </row>
    <row r="243" spans="1:63" x14ac:dyDescent="0.25">
      <c r="A243" s="8" t="str">
        <f t="shared" ca="1" si="123"/>
        <v xml:space="preserve">, </v>
      </c>
      <c r="B243" s="8" t="str">
        <f>Roster!$B$1</f>
        <v>Upton</v>
      </c>
      <c r="C243" s="8" t="str">
        <f t="shared" ca="1" si="111"/>
        <v>Moorcroft</v>
      </c>
      <c r="D243" s="10">
        <f t="shared" ca="1" si="112"/>
        <v>44940</v>
      </c>
      <c r="E243" s="8">
        <f t="shared" ca="1" si="113"/>
        <v>0</v>
      </c>
      <c r="F243" s="8">
        <f t="shared" ca="1" si="114"/>
        <v>0</v>
      </c>
      <c r="G243" s="8">
        <f t="shared" ca="1" si="115"/>
        <v>0</v>
      </c>
      <c r="H243" s="8">
        <f t="shared" ca="1" si="116"/>
        <v>0</v>
      </c>
      <c r="I243" s="8">
        <f t="shared" ca="1" si="117"/>
        <v>0</v>
      </c>
      <c r="J243" s="8">
        <f t="shared" ca="1" si="118"/>
        <v>0</v>
      </c>
      <c r="K243" s="8">
        <f t="shared" ca="1" si="119"/>
        <v>0</v>
      </c>
      <c r="L243" s="8">
        <f t="shared" ca="1" si="124"/>
        <v>0</v>
      </c>
      <c r="M243" s="8">
        <f t="shared" ca="1" si="125"/>
        <v>0</v>
      </c>
      <c r="N243" s="8">
        <f t="shared" ca="1" si="126"/>
        <v>0</v>
      </c>
      <c r="O243" s="8">
        <f t="shared" ca="1" si="127"/>
        <v>0</v>
      </c>
      <c r="P243" s="8">
        <f t="shared" ca="1" si="128"/>
        <v>0</v>
      </c>
      <c r="Q243" s="8">
        <f t="shared" ca="1" si="129"/>
        <v>0</v>
      </c>
      <c r="R243" s="8">
        <f t="shared" ca="1" si="130"/>
        <v>0</v>
      </c>
      <c r="S243" s="8">
        <f t="shared" ca="1" si="131"/>
        <v>0</v>
      </c>
      <c r="T243" s="8">
        <f t="shared" ca="1" si="132"/>
        <v>0</v>
      </c>
      <c r="U243" s="8">
        <f t="shared" ca="1" si="133"/>
        <v>0</v>
      </c>
      <c r="V243" s="8">
        <f t="shared" ca="1" si="134"/>
        <v>0</v>
      </c>
      <c r="W243" s="11" t="str">
        <f t="shared" ca="1" si="135"/>
        <v/>
      </c>
      <c r="X243" s="11" t="str">
        <f t="shared" ca="1" si="136"/>
        <v/>
      </c>
      <c r="Y243" s="11" t="str">
        <f t="shared" ca="1" si="137"/>
        <v/>
      </c>
      <c r="Z243" s="11" t="str">
        <f t="shared" ca="1" si="138"/>
        <v/>
      </c>
      <c r="AA243" s="11" t="str">
        <f t="shared" ca="1" si="139"/>
        <v/>
      </c>
      <c r="AB243" s="47">
        <f ca="1">PlayerGameData[[#This Row],[3FGA]]+PlayerGameData[[#This Row],[2FGA]]</f>
        <v>0</v>
      </c>
      <c r="AC243" s="47">
        <f ca="1">PlayerGameData[[#This Row],[OFF REB]]+PlayerGameData[[#This Row],[DEF REB]]</f>
        <v>0</v>
      </c>
      <c r="AD243" s="8">
        <f t="shared" si="120"/>
        <v>10</v>
      </c>
      <c r="AE243" s="8" t="str">
        <f t="shared" ca="1" si="121"/>
        <v>,  - Moorcroft 1/14/2023</v>
      </c>
      <c r="AF243" s="8" t="str">
        <f t="shared" ca="1" si="140"/>
        <v/>
      </c>
      <c r="AG243" s="8" t="str">
        <f ca="1">IFERROR(IF(C243=0,"",IF(AND(VLOOKUP(PlayerGameData[[#This Row],[Opponent]],WYTeamInfo,2,FALSE)=Roster!$D$1,VLOOKUP(PlayerGameData[[#This Row],[Opponent]],WYTeamInfo,3,FALSE)=Roster!$D$2),"SR","")),"")</f>
        <v/>
      </c>
      <c r="AH243" s="8" t="str">
        <f>CONCATENATE(Roster!$D$1," ",Roster!$D$5)</f>
        <v>1A BB</v>
      </c>
      <c r="AI243" s="8" t="str">
        <f t="shared" ca="1" si="122"/>
        <v>Upton - Moorcroft 1/14/2023</v>
      </c>
      <c r="AJ243" s="8">
        <f ca="1">IFERROR(VLOOKUP(PlayerGameData[[#This Row],[School, Opponent,Game'#]],Table3[],2,FALSE),0)</f>
        <v>1</v>
      </c>
      <c r="AK243" s="8">
        <f ca="1">IF(PlayerGameData[[#This Row],[Visible]]=1,1,1000)</f>
        <v>1</v>
      </c>
      <c r="AL243" s="8">
        <f ca="1">RANK(PlayerGameData[[#This Row],[TL PTS]],PlayerGameData[TL PTS],0)+PlayerGameData[[#This Row],[VisibleOrder]]</f>
        <v>185</v>
      </c>
      <c r="AM243" s="8">
        <f ca="1">IF(COUNTIF(PlayerGameData[PointOrder],PlayerGameData[[#This Row],[PointOrder]])&gt;1,RANK(PlayerGameData[[#This Row],[FGA]],PlayerGameData[FGA],0)/100,0)+PlayerGameData[[#This Row],[PointOrder]]</f>
        <v>187.14</v>
      </c>
      <c r="AN243" s="8">
        <f ca="1">RANK(PlayerGameData[[#This Row],[PointTieBreak]],PlayerGameData[PointTieBreak],1)</f>
        <v>216</v>
      </c>
      <c r="AO243" s="8">
        <f ca="1">RANK(PlayerGameData[[#This Row],[REB]],PlayerGameData[REB],0)+PlayerGameData[[#This Row],[VisibleOrder]]</f>
        <v>192</v>
      </c>
      <c r="AP243" s="8">
        <f ca="1">IF(COUNTIF(PlayerGameData[REBOrder],PlayerGameData[[#This Row],[REBOrder]])&gt;1,PlayerGameData[[#This Row],[PointRank]]/100+PlayerGameData[[#This Row],[REBOrder]],PlayerGameData[[#This Row],[REBOrder]])</f>
        <v>194.16</v>
      </c>
      <c r="AQ243" s="8">
        <f ca="1">RANK(PlayerGameData[[#This Row],[REBTieBreak]],PlayerGameData[REBTieBreak],1)</f>
        <v>224</v>
      </c>
      <c r="AR243" s="8">
        <f ca="1">RANK(PlayerGameData[[#This Row],[AST]],PlayerGameData[AST],0)+PlayerGameData[[#This Row],[VisibleOrder]]</f>
        <v>158</v>
      </c>
      <c r="AS243" s="8">
        <f ca="1">IF(COUNTIF(PlayerGameData[ASTOrder],PlayerGameData[[#This Row],[ASTOrder]])&gt;1,PlayerGameData[[#This Row],[PointRank]]/100+PlayerGameData[[#This Row],[ASTOrder]],PlayerGameData[[#This Row],[ASTOrder]])</f>
        <v>160.16</v>
      </c>
      <c r="AT243" s="8">
        <f ca="1">RANK(PlayerGameData[[#This Row],[ASTTieBreak]],PlayerGameData[ASTTieBreak],1)</f>
        <v>221</v>
      </c>
      <c r="AU243" s="8">
        <f ca="1">RANK(PlayerGameData[[#This Row],[STL]],PlayerGameData[STL],0)+PlayerGameData[[#This Row],[VisibleOrder]]</f>
        <v>143</v>
      </c>
      <c r="AV243" s="8">
        <f ca="1">IF(COUNTIF(PlayerGameData[STLOrder],PlayerGameData[[#This Row],[STLOrder]])&gt;1,PlayerGameData[[#This Row],[PointRank]]/100+PlayerGameData[[#This Row],[STLOrder]],PlayerGameData[[#This Row],[STLOrder]])</f>
        <v>145.16</v>
      </c>
      <c r="AW243" s="8">
        <f ca="1">RANK(PlayerGameData[[#This Row],[STLTieBreak]],PlayerGameData[STLTieBreak],1)</f>
        <v>217</v>
      </c>
      <c r="AX243" s="8">
        <f ca="1">RANK(PlayerGameData[[#This Row],[BLK]],PlayerGameData[BLK],0)+PlayerGameData[[#This Row],[VisibleOrder]]</f>
        <v>32</v>
      </c>
      <c r="AY243" s="8">
        <f ca="1">IF(COUNTIF(PlayerGameData[BLKOrder],PlayerGameData[[#This Row],[BLKOrder]])&gt;1,PlayerGameData[[#This Row],[PointRank]]/100+PlayerGameData[[#This Row],[BLKOrder]],PlayerGameData[[#This Row],[BLKOrder]])</f>
        <v>34.159999999999997</v>
      </c>
      <c r="AZ243" s="8">
        <f ca="1">RANK(PlayerGameData[[#This Row],[BLKTieBreak]],PlayerGameData[BLKTieBreak],1)</f>
        <v>216</v>
      </c>
      <c r="BA243" s="11">
        <f ca="1">IFERROR(IF(PlayerGameData[[#This Row],[FGA]]&gt;$AA$5,PlayerGameData[[#This Row],[FG%*]],PlayerGameData[[#This Row],[FG%*]]*-1),-2)</f>
        <v>-2</v>
      </c>
      <c r="BB243" s="8">
        <f ca="1">RANK(PlayerGameData[[#This Row],[EligFG]],PlayerGameData[EligFG],0)+PlayerGameData[[#This Row],[VisibleOrder]]</f>
        <v>215</v>
      </c>
      <c r="BC243" s="8">
        <f ca="1">IF(COUNTIF(PlayerGameData[EligFGOrder],PlayerGameData[[#This Row],[EligFGOrder]])&gt;1,PlayerGameData[[#This Row],[PointRank]]/100+PlayerGameData[[#This Row],[EligFGOrder]],PlayerGameData[[#This Row],[EligFGOrder]])</f>
        <v>217.16</v>
      </c>
      <c r="BD243" s="8">
        <f ca="1">RANK(PlayerGameData[[#This Row],[EligFGTieBreak]],PlayerGameData[EligFGTieBreak],1)</f>
        <v>216</v>
      </c>
      <c r="BE243" s="8" t="str">
        <f>Roster!$D$3</f>
        <v>East</v>
      </c>
      <c r="BF243" s="8" t="str">
        <f>Roster!$D$2</f>
        <v>Northeast</v>
      </c>
      <c r="BG243" s="8" t="str">
        <f>Roster!$D$4</f>
        <v>North</v>
      </c>
      <c r="BH243" s="197">
        <f ca="1">IFERROR(VLOOKUP(CONCATENATE(PlayerGameData[[#This Row],[Opponent]]," ",MONTH(PlayerGameData[[#This Row],[Date]]),"/",DAY(PlayerGameData[[#This Row],[Date]]),"/",YEAR(PlayerGameData[[#This Row],[Date]])),Table35[],2,FALSE),0)</f>
        <v>1</v>
      </c>
      <c r="BI243" s="197">
        <f ca="1">IF(PlayerGameData[[#This Row],[Visible]]=1,1,1000)</f>
        <v>1</v>
      </c>
      <c r="BJ243" s="197" t="e">
        <f ca="1">_xlfn.MAXIFS(TeamGameData[Win],TeamGameData[School, Opponent,Game'#],PlayerGameData[[#This Row],[School, Opponent,Game'#]])</f>
        <v>#NAME?</v>
      </c>
      <c r="BK243" s="197" t="e">
        <f ca="1">_xlfn.MAXIFS(TeamGameData[Loss],TeamGameData[School, Opponent,Game'#],PlayerGameData[[#This Row],[School, Opponent,Game'#]])</f>
        <v>#NAME?</v>
      </c>
    </row>
    <row r="244" spans="1:63" x14ac:dyDescent="0.25">
      <c r="A244" s="8" t="str">
        <f t="shared" ca="1" si="123"/>
        <v xml:space="preserve">, </v>
      </c>
      <c r="B244" s="8" t="str">
        <f>Roster!$B$1</f>
        <v>Upton</v>
      </c>
      <c r="C244" s="8" t="str">
        <f t="shared" ca="1" si="111"/>
        <v>Moorcroft</v>
      </c>
      <c r="D244" s="10">
        <f t="shared" ca="1" si="112"/>
        <v>44940</v>
      </c>
      <c r="E244" s="8">
        <f t="shared" ca="1" si="113"/>
        <v>0</v>
      </c>
      <c r="F244" s="8">
        <f t="shared" ca="1" si="114"/>
        <v>0</v>
      </c>
      <c r="G244" s="8">
        <f t="shared" ca="1" si="115"/>
        <v>0</v>
      </c>
      <c r="H244" s="8">
        <f t="shared" ca="1" si="116"/>
        <v>0</v>
      </c>
      <c r="I244" s="8">
        <f t="shared" ca="1" si="117"/>
        <v>0</v>
      </c>
      <c r="J244" s="8">
        <f t="shared" ca="1" si="118"/>
        <v>0</v>
      </c>
      <c r="K244" s="8">
        <f t="shared" ca="1" si="119"/>
        <v>0</v>
      </c>
      <c r="L244" s="8">
        <f t="shared" ca="1" si="124"/>
        <v>0</v>
      </c>
      <c r="M244" s="8">
        <f t="shared" ca="1" si="125"/>
        <v>0</v>
      </c>
      <c r="N244" s="8">
        <f t="shared" ca="1" si="126"/>
        <v>0</v>
      </c>
      <c r="O244" s="8">
        <f t="shared" ca="1" si="127"/>
        <v>0</v>
      </c>
      <c r="P244" s="8">
        <f t="shared" ca="1" si="128"/>
        <v>0</v>
      </c>
      <c r="Q244" s="8">
        <f t="shared" ca="1" si="129"/>
        <v>0</v>
      </c>
      <c r="R244" s="8">
        <f t="shared" ca="1" si="130"/>
        <v>0</v>
      </c>
      <c r="S244" s="8">
        <f t="shared" ca="1" si="131"/>
        <v>0</v>
      </c>
      <c r="T244" s="8">
        <f t="shared" ca="1" si="132"/>
        <v>0</v>
      </c>
      <c r="U244" s="8">
        <f t="shared" ca="1" si="133"/>
        <v>0</v>
      </c>
      <c r="V244" s="8">
        <f t="shared" ca="1" si="134"/>
        <v>0</v>
      </c>
      <c r="W244" s="11" t="str">
        <f t="shared" ca="1" si="135"/>
        <v/>
      </c>
      <c r="X244" s="11" t="str">
        <f t="shared" ca="1" si="136"/>
        <v/>
      </c>
      <c r="Y244" s="11" t="str">
        <f t="shared" ca="1" si="137"/>
        <v/>
      </c>
      <c r="Z244" s="11" t="str">
        <f t="shared" ca="1" si="138"/>
        <v/>
      </c>
      <c r="AA244" s="11" t="str">
        <f t="shared" ca="1" si="139"/>
        <v/>
      </c>
      <c r="AB244" s="47">
        <f ca="1">PlayerGameData[[#This Row],[3FGA]]+PlayerGameData[[#This Row],[2FGA]]</f>
        <v>0</v>
      </c>
      <c r="AC244" s="47">
        <f ca="1">PlayerGameData[[#This Row],[OFF REB]]+PlayerGameData[[#This Row],[DEF REB]]</f>
        <v>0</v>
      </c>
      <c r="AD244" s="8">
        <f t="shared" si="120"/>
        <v>10</v>
      </c>
      <c r="AE244" s="8" t="str">
        <f t="shared" ca="1" si="121"/>
        <v>,  - Moorcroft 1/14/2023</v>
      </c>
      <c r="AF244" s="8" t="str">
        <f t="shared" ca="1" si="140"/>
        <v/>
      </c>
      <c r="AG244" s="8" t="str">
        <f ca="1">IFERROR(IF(C244=0,"",IF(AND(VLOOKUP(PlayerGameData[[#This Row],[Opponent]],WYTeamInfo,2,FALSE)=Roster!$D$1,VLOOKUP(PlayerGameData[[#This Row],[Opponent]],WYTeamInfo,3,FALSE)=Roster!$D$2),"SR","")),"")</f>
        <v/>
      </c>
      <c r="AH244" s="8" t="str">
        <f>CONCATENATE(Roster!$D$1," ",Roster!$D$5)</f>
        <v>1A BB</v>
      </c>
      <c r="AI244" s="8" t="str">
        <f t="shared" ca="1" si="122"/>
        <v>Upton - Moorcroft 1/14/2023</v>
      </c>
      <c r="AJ244" s="8">
        <f ca="1">IFERROR(VLOOKUP(PlayerGameData[[#This Row],[School, Opponent,Game'#]],Table3[],2,FALSE),0)</f>
        <v>1</v>
      </c>
      <c r="AK244" s="8">
        <f ca="1">IF(PlayerGameData[[#This Row],[Visible]]=1,1,1000)</f>
        <v>1</v>
      </c>
      <c r="AL244" s="8">
        <f ca="1">RANK(PlayerGameData[[#This Row],[TL PTS]],PlayerGameData[TL PTS],0)+PlayerGameData[[#This Row],[VisibleOrder]]</f>
        <v>185</v>
      </c>
      <c r="AM244" s="8">
        <f ca="1">IF(COUNTIF(PlayerGameData[PointOrder],PlayerGameData[[#This Row],[PointOrder]])&gt;1,RANK(PlayerGameData[[#This Row],[FGA]],PlayerGameData[FGA],0)/100,0)+PlayerGameData[[#This Row],[PointOrder]]</f>
        <v>187.14</v>
      </c>
      <c r="AN244" s="8">
        <f ca="1">RANK(PlayerGameData[[#This Row],[PointTieBreak]],PlayerGameData[PointTieBreak],1)</f>
        <v>216</v>
      </c>
      <c r="AO244" s="8">
        <f ca="1">RANK(PlayerGameData[[#This Row],[REB]],PlayerGameData[REB],0)+PlayerGameData[[#This Row],[VisibleOrder]]</f>
        <v>192</v>
      </c>
      <c r="AP244" s="8">
        <f ca="1">IF(COUNTIF(PlayerGameData[REBOrder],PlayerGameData[[#This Row],[REBOrder]])&gt;1,PlayerGameData[[#This Row],[PointRank]]/100+PlayerGameData[[#This Row],[REBOrder]],PlayerGameData[[#This Row],[REBOrder]])</f>
        <v>194.16</v>
      </c>
      <c r="AQ244" s="8">
        <f ca="1">RANK(PlayerGameData[[#This Row],[REBTieBreak]],PlayerGameData[REBTieBreak],1)</f>
        <v>224</v>
      </c>
      <c r="AR244" s="8">
        <f ca="1">RANK(PlayerGameData[[#This Row],[AST]],PlayerGameData[AST],0)+PlayerGameData[[#This Row],[VisibleOrder]]</f>
        <v>158</v>
      </c>
      <c r="AS244" s="8">
        <f ca="1">IF(COUNTIF(PlayerGameData[ASTOrder],PlayerGameData[[#This Row],[ASTOrder]])&gt;1,PlayerGameData[[#This Row],[PointRank]]/100+PlayerGameData[[#This Row],[ASTOrder]],PlayerGameData[[#This Row],[ASTOrder]])</f>
        <v>160.16</v>
      </c>
      <c r="AT244" s="8">
        <f ca="1">RANK(PlayerGameData[[#This Row],[ASTTieBreak]],PlayerGameData[ASTTieBreak],1)</f>
        <v>221</v>
      </c>
      <c r="AU244" s="8">
        <f ca="1">RANK(PlayerGameData[[#This Row],[STL]],PlayerGameData[STL],0)+PlayerGameData[[#This Row],[VisibleOrder]]</f>
        <v>143</v>
      </c>
      <c r="AV244" s="8">
        <f ca="1">IF(COUNTIF(PlayerGameData[STLOrder],PlayerGameData[[#This Row],[STLOrder]])&gt;1,PlayerGameData[[#This Row],[PointRank]]/100+PlayerGameData[[#This Row],[STLOrder]],PlayerGameData[[#This Row],[STLOrder]])</f>
        <v>145.16</v>
      </c>
      <c r="AW244" s="8">
        <f ca="1">RANK(PlayerGameData[[#This Row],[STLTieBreak]],PlayerGameData[STLTieBreak],1)</f>
        <v>217</v>
      </c>
      <c r="AX244" s="8">
        <f ca="1">RANK(PlayerGameData[[#This Row],[BLK]],PlayerGameData[BLK],0)+PlayerGameData[[#This Row],[VisibleOrder]]</f>
        <v>32</v>
      </c>
      <c r="AY244" s="8">
        <f ca="1">IF(COUNTIF(PlayerGameData[BLKOrder],PlayerGameData[[#This Row],[BLKOrder]])&gt;1,PlayerGameData[[#This Row],[PointRank]]/100+PlayerGameData[[#This Row],[BLKOrder]],PlayerGameData[[#This Row],[BLKOrder]])</f>
        <v>34.159999999999997</v>
      </c>
      <c r="AZ244" s="8">
        <f ca="1">RANK(PlayerGameData[[#This Row],[BLKTieBreak]],PlayerGameData[BLKTieBreak],1)</f>
        <v>216</v>
      </c>
      <c r="BA244" s="11">
        <f ca="1">IFERROR(IF(PlayerGameData[[#This Row],[FGA]]&gt;$AA$5,PlayerGameData[[#This Row],[FG%*]],PlayerGameData[[#This Row],[FG%*]]*-1),-2)</f>
        <v>-2</v>
      </c>
      <c r="BB244" s="8">
        <f ca="1">RANK(PlayerGameData[[#This Row],[EligFG]],PlayerGameData[EligFG],0)+PlayerGameData[[#This Row],[VisibleOrder]]</f>
        <v>215</v>
      </c>
      <c r="BC244" s="8">
        <f ca="1">IF(COUNTIF(PlayerGameData[EligFGOrder],PlayerGameData[[#This Row],[EligFGOrder]])&gt;1,PlayerGameData[[#This Row],[PointRank]]/100+PlayerGameData[[#This Row],[EligFGOrder]],PlayerGameData[[#This Row],[EligFGOrder]])</f>
        <v>217.16</v>
      </c>
      <c r="BD244" s="8">
        <f ca="1">RANK(PlayerGameData[[#This Row],[EligFGTieBreak]],PlayerGameData[EligFGTieBreak],1)</f>
        <v>216</v>
      </c>
      <c r="BE244" s="8" t="str">
        <f>Roster!$D$3</f>
        <v>East</v>
      </c>
      <c r="BF244" s="8" t="str">
        <f>Roster!$D$2</f>
        <v>Northeast</v>
      </c>
      <c r="BG244" s="8" t="str">
        <f>Roster!$D$4</f>
        <v>North</v>
      </c>
      <c r="BH244" s="197">
        <f ca="1">IFERROR(VLOOKUP(CONCATENATE(PlayerGameData[[#This Row],[Opponent]]," ",MONTH(PlayerGameData[[#This Row],[Date]]),"/",DAY(PlayerGameData[[#This Row],[Date]]),"/",YEAR(PlayerGameData[[#This Row],[Date]])),Table35[],2,FALSE),0)</f>
        <v>1</v>
      </c>
      <c r="BI244" s="197">
        <f ca="1">IF(PlayerGameData[[#This Row],[Visible]]=1,1,1000)</f>
        <v>1</v>
      </c>
      <c r="BJ244" s="197" t="e">
        <f ca="1">_xlfn.MAXIFS(TeamGameData[Win],TeamGameData[School, Opponent,Game'#],PlayerGameData[[#This Row],[School, Opponent,Game'#]])</f>
        <v>#NAME?</v>
      </c>
      <c r="BK244" s="197" t="e">
        <f ca="1">_xlfn.MAXIFS(TeamGameData[Loss],TeamGameData[School, Opponent,Game'#],PlayerGameData[[#This Row],[School, Opponent,Game'#]])</f>
        <v>#NAME?</v>
      </c>
    </row>
    <row r="245" spans="1:63" x14ac:dyDescent="0.25">
      <c r="A245" s="8" t="str">
        <f t="shared" ca="1" si="123"/>
        <v xml:space="preserve">, </v>
      </c>
      <c r="B245" s="8" t="str">
        <f>Roster!$B$1</f>
        <v>Upton</v>
      </c>
      <c r="C245" s="8" t="str">
        <f t="shared" ca="1" si="111"/>
        <v>Moorcroft</v>
      </c>
      <c r="D245" s="10">
        <f t="shared" ca="1" si="112"/>
        <v>44940</v>
      </c>
      <c r="E245" s="8">
        <f t="shared" ca="1" si="113"/>
        <v>0</v>
      </c>
      <c r="F245" s="8">
        <f t="shared" ca="1" si="114"/>
        <v>0</v>
      </c>
      <c r="G245" s="8">
        <f t="shared" ca="1" si="115"/>
        <v>0</v>
      </c>
      <c r="H245" s="8">
        <f t="shared" ca="1" si="116"/>
        <v>0</v>
      </c>
      <c r="I245" s="8">
        <f t="shared" ca="1" si="117"/>
        <v>0</v>
      </c>
      <c r="J245" s="8">
        <f t="shared" ca="1" si="118"/>
        <v>0</v>
      </c>
      <c r="K245" s="8">
        <f t="shared" ca="1" si="119"/>
        <v>0</v>
      </c>
      <c r="L245" s="8">
        <f t="shared" ca="1" si="124"/>
        <v>0</v>
      </c>
      <c r="M245" s="8">
        <f t="shared" ca="1" si="125"/>
        <v>0</v>
      </c>
      <c r="N245" s="8">
        <f t="shared" ca="1" si="126"/>
        <v>0</v>
      </c>
      <c r="O245" s="8">
        <f t="shared" ca="1" si="127"/>
        <v>0</v>
      </c>
      <c r="P245" s="8">
        <f t="shared" ca="1" si="128"/>
        <v>0</v>
      </c>
      <c r="Q245" s="8">
        <f t="shared" ca="1" si="129"/>
        <v>0</v>
      </c>
      <c r="R245" s="8">
        <f t="shared" ca="1" si="130"/>
        <v>0</v>
      </c>
      <c r="S245" s="8">
        <f t="shared" ca="1" si="131"/>
        <v>0</v>
      </c>
      <c r="T245" s="8">
        <f t="shared" ca="1" si="132"/>
        <v>0</v>
      </c>
      <c r="U245" s="8">
        <f t="shared" ca="1" si="133"/>
        <v>0</v>
      </c>
      <c r="V245" s="8">
        <f t="shared" ca="1" si="134"/>
        <v>0</v>
      </c>
      <c r="W245" s="11" t="str">
        <f t="shared" ca="1" si="135"/>
        <v/>
      </c>
      <c r="X245" s="11" t="str">
        <f t="shared" ca="1" si="136"/>
        <v/>
      </c>
      <c r="Y245" s="11" t="str">
        <f t="shared" ca="1" si="137"/>
        <v/>
      </c>
      <c r="Z245" s="11" t="str">
        <f t="shared" ca="1" si="138"/>
        <v/>
      </c>
      <c r="AA245" s="11" t="str">
        <f t="shared" ca="1" si="139"/>
        <v/>
      </c>
      <c r="AB245" s="47">
        <f ca="1">PlayerGameData[[#This Row],[3FGA]]+PlayerGameData[[#This Row],[2FGA]]</f>
        <v>0</v>
      </c>
      <c r="AC245" s="47">
        <f ca="1">PlayerGameData[[#This Row],[OFF REB]]+PlayerGameData[[#This Row],[DEF REB]]</f>
        <v>0</v>
      </c>
      <c r="AD245" s="8">
        <f t="shared" si="120"/>
        <v>10</v>
      </c>
      <c r="AE245" s="8" t="str">
        <f t="shared" ca="1" si="121"/>
        <v>,  - Moorcroft 1/14/2023</v>
      </c>
      <c r="AF245" s="8" t="str">
        <f t="shared" ca="1" si="140"/>
        <v/>
      </c>
      <c r="AG245" s="8" t="str">
        <f ca="1">IFERROR(IF(C245=0,"",IF(AND(VLOOKUP(PlayerGameData[[#This Row],[Opponent]],WYTeamInfo,2,FALSE)=Roster!$D$1,VLOOKUP(PlayerGameData[[#This Row],[Opponent]],WYTeamInfo,3,FALSE)=Roster!$D$2),"SR","")),"")</f>
        <v/>
      </c>
      <c r="AH245" s="8" t="str">
        <f>CONCATENATE(Roster!$D$1," ",Roster!$D$5)</f>
        <v>1A BB</v>
      </c>
      <c r="AI245" s="8" t="str">
        <f t="shared" ca="1" si="122"/>
        <v>Upton - Moorcroft 1/14/2023</v>
      </c>
      <c r="AJ245" s="8">
        <f ca="1">IFERROR(VLOOKUP(PlayerGameData[[#This Row],[School, Opponent,Game'#]],Table3[],2,FALSE),0)</f>
        <v>1</v>
      </c>
      <c r="AK245" s="8">
        <f ca="1">IF(PlayerGameData[[#This Row],[Visible]]=1,1,1000)</f>
        <v>1</v>
      </c>
      <c r="AL245" s="8">
        <f ca="1">RANK(PlayerGameData[[#This Row],[TL PTS]],PlayerGameData[TL PTS],0)+PlayerGameData[[#This Row],[VisibleOrder]]</f>
        <v>185</v>
      </c>
      <c r="AM245" s="8">
        <f ca="1">IF(COUNTIF(PlayerGameData[PointOrder],PlayerGameData[[#This Row],[PointOrder]])&gt;1,RANK(PlayerGameData[[#This Row],[FGA]],PlayerGameData[FGA],0)/100,0)+PlayerGameData[[#This Row],[PointOrder]]</f>
        <v>187.14</v>
      </c>
      <c r="AN245" s="8">
        <f ca="1">RANK(PlayerGameData[[#This Row],[PointTieBreak]],PlayerGameData[PointTieBreak],1)</f>
        <v>216</v>
      </c>
      <c r="AO245" s="8">
        <f ca="1">RANK(PlayerGameData[[#This Row],[REB]],PlayerGameData[REB],0)+PlayerGameData[[#This Row],[VisibleOrder]]</f>
        <v>192</v>
      </c>
      <c r="AP245" s="8">
        <f ca="1">IF(COUNTIF(PlayerGameData[REBOrder],PlayerGameData[[#This Row],[REBOrder]])&gt;1,PlayerGameData[[#This Row],[PointRank]]/100+PlayerGameData[[#This Row],[REBOrder]],PlayerGameData[[#This Row],[REBOrder]])</f>
        <v>194.16</v>
      </c>
      <c r="AQ245" s="8">
        <f ca="1">RANK(PlayerGameData[[#This Row],[REBTieBreak]],PlayerGameData[REBTieBreak],1)</f>
        <v>224</v>
      </c>
      <c r="AR245" s="8">
        <f ca="1">RANK(PlayerGameData[[#This Row],[AST]],PlayerGameData[AST],0)+PlayerGameData[[#This Row],[VisibleOrder]]</f>
        <v>158</v>
      </c>
      <c r="AS245" s="8">
        <f ca="1">IF(COUNTIF(PlayerGameData[ASTOrder],PlayerGameData[[#This Row],[ASTOrder]])&gt;1,PlayerGameData[[#This Row],[PointRank]]/100+PlayerGameData[[#This Row],[ASTOrder]],PlayerGameData[[#This Row],[ASTOrder]])</f>
        <v>160.16</v>
      </c>
      <c r="AT245" s="8">
        <f ca="1">RANK(PlayerGameData[[#This Row],[ASTTieBreak]],PlayerGameData[ASTTieBreak],1)</f>
        <v>221</v>
      </c>
      <c r="AU245" s="8">
        <f ca="1">RANK(PlayerGameData[[#This Row],[STL]],PlayerGameData[STL],0)+PlayerGameData[[#This Row],[VisibleOrder]]</f>
        <v>143</v>
      </c>
      <c r="AV245" s="8">
        <f ca="1">IF(COUNTIF(PlayerGameData[STLOrder],PlayerGameData[[#This Row],[STLOrder]])&gt;1,PlayerGameData[[#This Row],[PointRank]]/100+PlayerGameData[[#This Row],[STLOrder]],PlayerGameData[[#This Row],[STLOrder]])</f>
        <v>145.16</v>
      </c>
      <c r="AW245" s="8">
        <f ca="1">RANK(PlayerGameData[[#This Row],[STLTieBreak]],PlayerGameData[STLTieBreak],1)</f>
        <v>217</v>
      </c>
      <c r="AX245" s="8">
        <f ca="1">RANK(PlayerGameData[[#This Row],[BLK]],PlayerGameData[BLK],0)+PlayerGameData[[#This Row],[VisibleOrder]]</f>
        <v>32</v>
      </c>
      <c r="AY245" s="8">
        <f ca="1">IF(COUNTIF(PlayerGameData[BLKOrder],PlayerGameData[[#This Row],[BLKOrder]])&gt;1,PlayerGameData[[#This Row],[PointRank]]/100+PlayerGameData[[#This Row],[BLKOrder]],PlayerGameData[[#This Row],[BLKOrder]])</f>
        <v>34.159999999999997</v>
      </c>
      <c r="AZ245" s="8">
        <f ca="1">RANK(PlayerGameData[[#This Row],[BLKTieBreak]],PlayerGameData[BLKTieBreak],1)</f>
        <v>216</v>
      </c>
      <c r="BA245" s="11">
        <f ca="1">IFERROR(IF(PlayerGameData[[#This Row],[FGA]]&gt;$AA$5,PlayerGameData[[#This Row],[FG%*]],PlayerGameData[[#This Row],[FG%*]]*-1),-2)</f>
        <v>-2</v>
      </c>
      <c r="BB245" s="8">
        <f ca="1">RANK(PlayerGameData[[#This Row],[EligFG]],PlayerGameData[EligFG],0)+PlayerGameData[[#This Row],[VisibleOrder]]</f>
        <v>215</v>
      </c>
      <c r="BC245" s="8">
        <f ca="1">IF(COUNTIF(PlayerGameData[EligFGOrder],PlayerGameData[[#This Row],[EligFGOrder]])&gt;1,PlayerGameData[[#This Row],[PointRank]]/100+PlayerGameData[[#This Row],[EligFGOrder]],PlayerGameData[[#This Row],[EligFGOrder]])</f>
        <v>217.16</v>
      </c>
      <c r="BD245" s="8">
        <f ca="1">RANK(PlayerGameData[[#This Row],[EligFGTieBreak]],PlayerGameData[EligFGTieBreak],1)</f>
        <v>216</v>
      </c>
      <c r="BE245" s="8" t="str">
        <f>Roster!$D$3</f>
        <v>East</v>
      </c>
      <c r="BF245" s="8" t="str">
        <f>Roster!$D$2</f>
        <v>Northeast</v>
      </c>
      <c r="BG245" s="8" t="str">
        <f>Roster!$D$4</f>
        <v>North</v>
      </c>
      <c r="BH245" s="197">
        <f ca="1">IFERROR(VLOOKUP(CONCATENATE(PlayerGameData[[#This Row],[Opponent]]," ",MONTH(PlayerGameData[[#This Row],[Date]]),"/",DAY(PlayerGameData[[#This Row],[Date]]),"/",YEAR(PlayerGameData[[#This Row],[Date]])),Table35[],2,FALSE),0)</f>
        <v>1</v>
      </c>
      <c r="BI245" s="197">
        <f ca="1">IF(PlayerGameData[[#This Row],[Visible]]=1,1,1000)</f>
        <v>1</v>
      </c>
      <c r="BJ245" s="197" t="e">
        <f ca="1">_xlfn.MAXIFS(TeamGameData[Win],TeamGameData[School, Opponent,Game'#],PlayerGameData[[#This Row],[School, Opponent,Game'#]])</f>
        <v>#NAME?</v>
      </c>
      <c r="BK245" s="197" t="e">
        <f ca="1">_xlfn.MAXIFS(TeamGameData[Loss],TeamGameData[School, Opponent,Game'#],PlayerGameData[[#This Row],[School, Opponent,Game'#]])</f>
        <v>#NAME?</v>
      </c>
    </row>
    <row r="246" spans="1:63" x14ac:dyDescent="0.25">
      <c r="A246" s="8" t="str">
        <f t="shared" ca="1" si="123"/>
        <v xml:space="preserve">Team, </v>
      </c>
      <c r="B246" s="8" t="str">
        <f>Roster!$B$1</f>
        <v>Upton</v>
      </c>
      <c r="C246" s="8" t="str">
        <f t="shared" ca="1" si="111"/>
        <v>Moorcroft</v>
      </c>
      <c r="D246" s="10">
        <f t="shared" ca="1" si="112"/>
        <v>44940</v>
      </c>
      <c r="E246" s="8">
        <f t="shared" ca="1" si="113"/>
        <v>0</v>
      </c>
      <c r="F246" s="8">
        <f t="shared" ca="1" si="114"/>
        <v>0</v>
      </c>
      <c r="G246" s="8">
        <f t="shared" ca="1" si="115"/>
        <v>0</v>
      </c>
      <c r="H246" s="8">
        <f t="shared" ca="1" si="116"/>
        <v>0</v>
      </c>
      <c r="I246" s="8">
        <f t="shared" ca="1" si="117"/>
        <v>0</v>
      </c>
      <c r="J246" s="8">
        <f t="shared" ca="1" si="118"/>
        <v>0</v>
      </c>
      <c r="K246" s="8">
        <f t="shared" ca="1" si="119"/>
        <v>0</v>
      </c>
      <c r="L246" s="8">
        <f t="shared" ca="1" si="124"/>
        <v>0</v>
      </c>
      <c r="M246" s="8">
        <f t="shared" ca="1" si="125"/>
        <v>0</v>
      </c>
      <c r="N246" s="8">
        <f t="shared" ca="1" si="126"/>
        <v>0</v>
      </c>
      <c r="O246" s="8">
        <f t="shared" ca="1" si="127"/>
        <v>0</v>
      </c>
      <c r="P246" s="8">
        <f t="shared" ca="1" si="128"/>
        <v>0</v>
      </c>
      <c r="Q246" s="8">
        <f t="shared" ca="1" si="129"/>
        <v>0</v>
      </c>
      <c r="R246" s="8">
        <f t="shared" ca="1" si="130"/>
        <v>0</v>
      </c>
      <c r="S246" s="8">
        <f t="shared" ca="1" si="131"/>
        <v>0</v>
      </c>
      <c r="T246" s="8">
        <f t="shared" ca="1" si="132"/>
        <v>0</v>
      </c>
      <c r="U246" s="8">
        <f t="shared" ca="1" si="133"/>
        <v>0</v>
      </c>
      <c r="V246" s="8">
        <f t="shared" ca="1" si="134"/>
        <v>0</v>
      </c>
      <c r="W246" s="11" t="str">
        <f t="shared" ca="1" si="135"/>
        <v/>
      </c>
      <c r="X246" s="11" t="str">
        <f t="shared" ca="1" si="136"/>
        <v/>
      </c>
      <c r="Y246" s="11" t="str">
        <f t="shared" ca="1" si="137"/>
        <v/>
      </c>
      <c r="Z246" s="11" t="str">
        <f t="shared" ca="1" si="138"/>
        <v/>
      </c>
      <c r="AA246" s="11" t="str">
        <f t="shared" ca="1" si="139"/>
        <v/>
      </c>
      <c r="AB246" s="47">
        <f ca="1">PlayerGameData[[#This Row],[3FGA]]+PlayerGameData[[#This Row],[2FGA]]</f>
        <v>0</v>
      </c>
      <c r="AC246" s="47">
        <f ca="1">PlayerGameData[[#This Row],[OFF REB]]+PlayerGameData[[#This Row],[DEF REB]]</f>
        <v>0</v>
      </c>
      <c r="AD246" s="8">
        <f t="shared" si="120"/>
        <v>10</v>
      </c>
      <c r="AE246" s="8" t="str">
        <f t="shared" ca="1" si="121"/>
        <v>Team,  - Moorcroft 1/14/2023</v>
      </c>
      <c r="AF246" s="8" t="str">
        <f t="shared" ca="1" si="140"/>
        <v/>
      </c>
      <c r="AG246" s="8" t="str">
        <f ca="1">IFERROR(IF(C246=0,"",IF(AND(VLOOKUP(PlayerGameData[[#This Row],[Opponent]],WYTeamInfo,2,FALSE)=Roster!$D$1,VLOOKUP(PlayerGameData[[#This Row],[Opponent]],WYTeamInfo,3,FALSE)=Roster!$D$2),"SR","")),"")</f>
        <v/>
      </c>
      <c r="AH246" s="8" t="str">
        <f>CONCATENATE(Roster!$D$1," ",Roster!$D$5)</f>
        <v>1A BB</v>
      </c>
      <c r="AI246" s="8" t="str">
        <f t="shared" ca="1" si="122"/>
        <v>Upton - Moorcroft 1/14/2023</v>
      </c>
      <c r="AJ246" s="8">
        <f ca="1">IFERROR(VLOOKUP(PlayerGameData[[#This Row],[School, Opponent,Game'#]],Table3[],2,FALSE),0)</f>
        <v>1</v>
      </c>
      <c r="AK246" s="8">
        <f ca="1">IF(PlayerGameData[[#This Row],[Visible]]=1,1,1000)</f>
        <v>1</v>
      </c>
      <c r="AL246" s="8">
        <f ca="1">RANK(PlayerGameData[[#This Row],[TL PTS]],PlayerGameData[TL PTS],0)+PlayerGameData[[#This Row],[VisibleOrder]]</f>
        <v>185</v>
      </c>
      <c r="AM246" s="8">
        <f ca="1">IF(COUNTIF(PlayerGameData[PointOrder],PlayerGameData[[#This Row],[PointOrder]])&gt;1,RANK(PlayerGameData[[#This Row],[FGA]],PlayerGameData[FGA],0)/100,0)+PlayerGameData[[#This Row],[PointOrder]]</f>
        <v>187.14</v>
      </c>
      <c r="AN246" s="8">
        <f ca="1">RANK(PlayerGameData[[#This Row],[PointTieBreak]],PlayerGameData[PointTieBreak],1)</f>
        <v>216</v>
      </c>
      <c r="AO246" s="8">
        <f ca="1">RANK(PlayerGameData[[#This Row],[REB]],PlayerGameData[REB],0)+PlayerGameData[[#This Row],[VisibleOrder]]</f>
        <v>192</v>
      </c>
      <c r="AP246" s="8">
        <f ca="1">IF(COUNTIF(PlayerGameData[REBOrder],PlayerGameData[[#This Row],[REBOrder]])&gt;1,PlayerGameData[[#This Row],[PointRank]]/100+PlayerGameData[[#This Row],[REBOrder]],PlayerGameData[[#This Row],[REBOrder]])</f>
        <v>194.16</v>
      </c>
      <c r="AQ246" s="8">
        <f ca="1">RANK(PlayerGameData[[#This Row],[REBTieBreak]],PlayerGameData[REBTieBreak],1)</f>
        <v>224</v>
      </c>
      <c r="AR246" s="8">
        <f ca="1">RANK(PlayerGameData[[#This Row],[AST]],PlayerGameData[AST],0)+PlayerGameData[[#This Row],[VisibleOrder]]</f>
        <v>158</v>
      </c>
      <c r="AS246" s="8">
        <f ca="1">IF(COUNTIF(PlayerGameData[ASTOrder],PlayerGameData[[#This Row],[ASTOrder]])&gt;1,PlayerGameData[[#This Row],[PointRank]]/100+PlayerGameData[[#This Row],[ASTOrder]],PlayerGameData[[#This Row],[ASTOrder]])</f>
        <v>160.16</v>
      </c>
      <c r="AT246" s="8">
        <f ca="1">RANK(PlayerGameData[[#This Row],[ASTTieBreak]],PlayerGameData[ASTTieBreak],1)</f>
        <v>221</v>
      </c>
      <c r="AU246" s="8">
        <f ca="1">RANK(PlayerGameData[[#This Row],[STL]],PlayerGameData[STL],0)+PlayerGameData[[#This Row],[VisibleOrder]]</f>
        <v>143</v>
      </c>
      <c r="AV246" s="8">
        <f ca="1">IF(COUNTIF(PlayerGameData[STLOrder],PlayerGameData[[#This Row],[STLOrder]])&gt;1,PlayerGameData[[#This Row],[PointRank]]/100+PlayerGameData[[#This Row],[STLOrder]],PlayerGameData[[#This Row],[STLOrder]])</f>
        <v>145.16</v>
      </c>
      <c r="AW246" s="8">
        <f ca="1">RANK(PlayerGameData[[#This Row],[STLTieBreak]],PlayerGameData[STLTieBreak],1)</f>
        <v>217</v>
      </c>
      <c r="AX246" s="8">
        <f ca="1">RANK(PlayerGameData[[#This Row],[BLK]],PlayerGameData[BLK],0)+PlayerGameData[[#This Row],[VisibleOrder]]</f>
        <v>32</v>
      </c>
      <c r="AY246" s="8">
        <f ca="1">IF(COUNTIF(PlayerGameData[BLKOrder],PlayerGameData[[#This Row],[BLKOrder]])&gt;1,PlayerGameData[[#This Row],[PointRank]]/100+PlayerGameData[[#This Row],[BLKOrder]],PlayerGameData[[#This Row],[BLKOrder]])</f>
        <v>34.159999999999997</v>
      </c>
      <c r="AZ246" s="8">
        <f ca="1">RANK(PlayerGameData[[#This Row],[BLKTieBreak]],PlayerGameData[BLKTieBreak],1)</f>
        <v>216</v>
      </c>
      <c r="BA246" s="11">
        <f ca="1">IFERROR(IF(PlayerGameData[[#This Row],[FGA]]&gt;$AA$5,PlayerGameData[[#This Row],[FG%*]],PlayerGameData[[#This Row],[FG%*]]*-1),-2)</f>
        <v>-2</v>
      </c>
      <c r="BB246" s="8">
        <f ca="1">RANK(PlayerGameData[[#This Row],[EligFG]],PlayerGameData[EligFG],0)+PlayerGameData[[#This Row],[VisibleOrder]]</f>
        <v>215</v>
      </c>
      <c r="BC246" s="8">
        <f ca="1">IF(COUNTIF(PlayerGameData[EligFGOrder],PlayerGameData[[#This Row],[EligFGOrder]])&gt;1,PlayerGameData[[#This Row],[PointRank]]/100+PlayerGameData[[#This Row],[EligFGOrder]],PlayerGameData[[#This Row],[EligFGOrder]])</f>
        <v>217.16</v>
      </c>
      <c r="BD246" s="8">
        <f ca="1">RANK(PlayerGameData[[#This Row],[EligFGTieBreak]],PlayerGameData[EligFGTieBreak],1)</f>
        <v>216</v>
      </c>
      <c r="BE246" s="8" t="str">
        <f>Roster!$D$3</f>
        <v>East</v>
      </c>
      <c r="BF246" s="8" t="str">
        <f>Roster!$D$2</f>
        <v>Northeast</v>
      </c>
      <c r="BG246" s="8" t="str">
        <f>Roster!$D$4</f>
        <v>North</v>
      </c>
      <c r="BH246" s="197">
        <f ca="1">IFERROR(VLOOKUP(CONCATENATE(PlayerGameData[[#This Row],[Opponent]]," ",MONTH(PlayerGameData[[#This Row],[Date]]),"/",DAY(PlayerGameData[[#This Row],[Date]]),"/",YEAR(PlayerGameData[[#This Row],[Date]])),Table35[],2,FALSE),0)</f>
        <v>1</v>
      </c>
      <c r="BI246" s="197">
        <f ca="1">IF(PlayerGameData[[#This Row],[Visible]]=1,1,1000)</f>
        <v>1</v>
      </c>
      <c r="BJ246" s="197" t="e">
        <f ca="1">_xlfn.MAXIFS(TeamGameData[Win],TeamGameData[School, Opponent,Game'#],PlayerGameData[[#This Row],[School, Opponent,Game'#]])</f>
        <v>#NAME?</v>
      </c>
      <c r="BK246" s="197" t="e">
        <f ca="1">_xlfn.MAXIFS(TeamGameData[Loss],TeamGameData[School, Opponent,Game'#],PlayerGameData[[#This Row],[School, Opponent,Game'#]])</f>
        <v>#NAME?</v>
      </c>
    </row>
    <row r="247" spans="1:63" x14ac:dyDescent="0.25">
      <c r="A247" s="8" t="str">
        <f t="shared" ca="1" si="123"/>
        <v>Landon Butler, 1</v>
      </c>
      <c r="B247" s="8" t="str">
        <f>Roster!$B$1</f>
        <v>Upton</v>
      </c>
      <c r="C247" s="8" t="str">
        <f t="shared" ca="1" si="111"/>
        <v>Arvada Clearmont</v>
      </c>
      <c r="D247" s="10">
        <f t="shared" ca="1" si="112"/>
        <v>44946</v>
      </c>
      <c r="E247" s="8">
        <f t="shared" ca="1" si="113"/>
        <v>1</v>
      </c>
      <c r="F247" s="8">
        <f t="shared" ca="1" si="114"/>
        <v>0</v>
      </c>
      <c r="G247" s="8">
        <f t="shared" ca="1" si="115"/>
        <v>12</v>
      </c>
      <c r="H247" s="8">
        <f t="shared" ca="1" si="116"/>
        <v>2</v>
      </c>
      <c r="I247" s="8">
        <f t="shared" ca="1" si="117"/>
        <v>6</v>
      </c>
      <c r="J247" s="8">
        <f t="shared" ca="1" si="118"/>
        <v>0</v>
      </c>
      <c r="K247" s="8">
        <f t="shared" ca="1" si="119"/>
        <v>1</v>
      </c>
      <c r="L247" s="8">
        <f t="shared" ca="1" si="124"/>
        <v>0</v>
      </c>
      <c r="M247" s="8">
        <f t="shared" ca="1" si="125"/>
        <v>0</v>
      </c>
      <c r="N247" s="8">
        <f t="shared" ca="1" si="126"/>
        <v>0</v>
      </c>
      <c r="O247" s="8">
        <f t="shared" ca="1" si="127"/>
        <v>0</v>
      </c>
      <c r="P247" s="8">
        <f t="shared" ca="1" si="128"/>
        <v>0</v>
      </c>
      <c r="Q247" s="8">
        <f t="shared" ca="1" si="129"/>
        <v>2</v>
      </c>
      <c r="R247" s="8">
        <f t="shared" ca="1" si="130"/>
        <v>0</v>
      </c>
      <c r="S247" s="8">
        <f t="shared" ca="1" si="131"/>
        <v>2</v>
      </c>
      <c r="T247" s="8">
        <f t="shared" ca="1" si="132"/>
        <v>1</v>
      </c>
      <c r="U247" s="8">
        <f t="shared" ca="1" si="133"/>
        <v>0</v>
      </c>
      <c r="V247" s="8">
        <f t="shared" ca="1" si="134"/>
        <v>6</v>
      </c>
      <c r="W247" s="11">
        <f t="shared" ca="1" si="135"/>
        <v>0.33333333333333331</v>
      </c>
      <c r="X247" s="11">
        <f t="shared" ca="1" si="136"/>
        <v>0</v>
      </c>
      <c r="Y247" s="11" t="str">
        <f t="shared" ca="1" si="137"/>
        <v/>
      </c>
      <c r="Z247" s="11">
        <f t="shared" ca="1" si="138"/>
        <v>0.2857142857142857</v>
      </c>
      <c r="AA247" s="11">
        <f t="shared" ca="1" si="139"/>
        <v>0.42857142857142855</v>
      </c>
      <c r="AB247" s="47">
        <f ca="1">PlayerGameData[[#This Row],[3FGA]]+PlayerGameData[[#This Row],[2FGA]]</f>
        <v>7</v>
      </c>
      <c r="AC247" s="47">
        <f ca="1">PlayerGameData[[#This Row],[OFF REB]]+PlayerGameData[[#This Row],[DEF REB]]</f>
        <v>0</v>
      </c>
      <c r="AD247" s="8">
        <f t="shared" si="120"/>
        <v>11</v>
      </c>
      <c r="AE247" s="8" t="str">
        <f t="shared" ca="1" si="121"/>
        <v>Landon Butler, 1 - Arvada Clearmont 1/20/2023</v>
      </c>
      <c r="AF247" s="8" t="str">
        <f t="shared" ca="1" si="140"/>
        <v>R</v>
      </c>
      <c r="AG247" s="8" t="str">
        <f ca="1">IFERROR(IF(C247=0,"",IF(AND(VLOOKUP(PlayerGameData[[#This Row],[Opponent]],WYTeamInfo,2,FALSE)=Roster!$D$1,VLOOKUP(PlayerGameData[[#This Row],[Opponent]],WYTeamInfo,3,FALSE)=Roster!$D$2),"SR","")),"")</f>
        <v>SR</v>
      </c>
      <c r="AH247" s="8" t="str">
        <f>CONCATENATE(Roster!$D$1," ",Roster!$D$5)</f>
        <v>1A BB</v>
      </c>
      <c r="AI247" s="8" t="str">
        <f t="shared" ca="1" si="122"/>
        <v>Upton - Arvada Clearmont 1/20/2023</v>
      </c>
      <c r="AJ247" s="8">
        <f ca="1">IFERROR(VLOOKUP(PlayerGameData[[#This Row],[School, Opponent,Game'#]],Table3[],2,FALSE),0)</f>
        <v>1</v>
      </c>
      <c r="AK247" s="8">
        <f ca="1">IF(PlayerGameData[[#This Row],[Visible]]=1,1,1000)</f>
        <v>1</v>
      </c>
      <c r="AL247" s="8">
        <f ca="1">RANK(PlayerGameData[[#This Row],[TL PTS]],PlayerGameData[TL PTS],0)+PlayerGameData[[#This Row],[VisibleOrder]]</f>
        <v>102</v>
      </c>
      <c r="AM247" s="8">
        <f ca="1">IF(COUNTIF(PlayerGameData[PointOrder],PlayerGameData[[#This Row],[PointOrder]])&gt;1,RANK(PlayerGameData[[#This Row],[FGA]],PlayerGameData[FGA],0)/100,0)+PlayerGameData[[#This Row],[PointOrder]]</f>
        <v>102.93</v>
      </c>
      <c r="AN247" s="8">
        <f ca="1">RANK(PlayerGameData[[#This Row],[PointTieBreak]],PlayerGameData[PointTieBreak],1)</f>
        <v>102</v>
      </c>
      <c r="AO247" s="8">
        <f ca="1">RANK(PlayerGameData[[#This Row],[REB]],PlayerGameData[REB],0)+PlayerGameData[[#This Row],[VisibleOrder]]</f>
        <v>192</v>
      </c>
      <c r="AP247" s="8">
        <f ca="1">IF(COUNTIF(PlayerGameData[REBOrder],PlayerGameData[[#This Row],[REBOrder]])&gt;1,PlayerGameData[[#This Row],[PointRank]]/100+PlayerGameData[[#This Row],[REBOrder]],PlayerGameData[[#This Row],[REBOrder]])</f>
        <v>193.02</v>
      </c>
      <c r="AQ247" s="8">
        <f ca="1">RANK(PlayerGameData[[#This Row],[REBTieBreak]],PlayerGameData[REBTieBreak],1)</f>
        <v>193</v>
      </c>
      <c r="AR247" s="8">
        <f ca="1">RANK(PlayerGameData[[#This Row],[AST]],PlayerGameData[AST],0)+PlayerGameData[[#This Row],[VisibleOrder]]</f>
        <v>158</v>
      </c>
      <c r="AS247" s="8">
        <f ca="1">IF(COUNTIF(PlayerGameData[ASTOrder],PlayerGameData[[#This Row],[ASTOrder]])&gt;1,PlayerGameData[[#This Row],[PointRank]]/100+PlayerGameData[[#This Row],[ASTOrder]],PlayerGameData[[#This Row],[ASTOrder]])</f>
        <v>159.02000000000001</v>
      </c>
      <c r="AT247" s="8">
        <f ca="1">RANK(PlayerGameData[[#This Row],[ASTTieBreak]],PlayerGameData[ASTTieBreak],1)</f>
        <v>166</v>
      </c>
      <c r="AU247" s="8">
        <f ca="1">RANK(PlayerGameData[[#This Row],[STL]],PlayerGameData[STL],0)+PlayerGameData[[#This Row],[VisibleOrder]]</f>
        <v>48</v>
      </c>
      <c r="AV247" s="8">
        <f ca="1">IF(COUNTIF(PlayerGameData[STLOrder],PlayerGameData[[#This Row],[STLOrder]])&gt;1,PlayerGameData[[#This Row],[PointRank]]/100+PlayerGameData[[#This Row],[STLOrder]],PlayerGameData[[#This Row],[STLOrder]])</f>
        <v>49.02</v>
      </c>
      <c r="AW247" s="8">
        <f ca="1">RANK(PlayerGameData[[#This Row],[STLTieBreak]],PlayerGameData[STLTieBreak],1)</f>
        <v>70</v>
      </c>
      <c r="AX247" s="8">
        <f ca="1">RANK(PlayerGameData[[#This Row],[BLK]],PlayerGameData[BLK],0)+PlayerGameData[[#This Row],[VisibleOrder]]</f>
        <v>32</v>
      </c>
      <c r="AY247" s="8">
        <f ca="1">IF(COUNTIF(PlayerGameData[BLKOrder],PlayerGameData[[#This Row],[BLKOrder]])&gt;1,PlayerGameData[[#This Row],[PointRank]]/100+PlayerGameData[[#This Row],[BLKOrder]],PlayerGameData[[#This Row],[BLKOrder]])</f>
        <v>33.020000000000003</v>
      </c>
      <c r="AZ247" s="8">
        <f ca="1">RANK(PlayerGameData[[#This Row],[BLKTieBreak]],PlayerGameData[BLKTieBreak],1)</f>
        <v>109</v>
      </c>
      <c r="BA247" s="11">
        <f ca="1">IFERROR(IF(PlayerGameData[[#This Row],[FGA]]&gt;$AA$5,PlayerGameData[[#This Row],[FG%*]],PlayerGameData[[#This Row],[FG%*]]*-1),-2)</f>
        <v>0.2857142857142857</v>
      </c>
      <c r="BB247" s="8">
        <f ca="1">RANK(PlayerGameData[[#This Row],[EligFG]],PlayerGameData[EligFG],0)+PlayerGameData[[#This Row],[VisibleOrder]]</f>
        <v>90</v>
      </c>
      <c r="BC247" s="8">
        <f ca="1">IF(COUNTIF(PlayerGameData[EligFGOrder],PlayerGameData[[#This Row],[EligFGOrder]])&gt;1,PlayerGameData[[#This Row],[PointRank]]/100+PlayerGameData[[#This Row],[EligFGOrder]],PlayerGameData[[#This Row],[EligFGOrder]])</f>
        <v>91.02</v>
      </c>
      <c r="BD247" s="8">
        <f ca="1">RANK(PlayerGameData[[#This Row],[EligFGTieBreak]],PlayerGameData[EligFGTieBreak],1)</f>
        <v>89</v>
      </c>
      <c r="BE247" s="8" t="str">
        <f>Roster!$D$3</f>
        <v>East</v>
      </c>
      <c r="BF247" s="8" t="str">
        <f>Roster!$D$2</f>
        <v>Northeast</v>
      </c>
      <c r="BG247" s="8" t="str">
        <f>Roster!$D$4</f>
        <v>North</v>
      </c>
      <c r="BH247" s="197">
        <f ca="1">IFERROR(VLOOKUP(CONCATENATE(PlayerGameData[[#This Row],[Opponent]]," ",MONTH(PlayerGameData[[#This Row],[Date]]),"/",DAY(PlayerGameData[[#This Row],[Date]]),"/",YEAR(PlayerGameData[[#This Row],[Date]])),Table35[],2,FALSE),0)</f>
        <v>1</v>
      </c>
      <c r="BI247" s="197">
        <f ca="1">IF(PlayerGameData[[#This Row],[Visible]]=1,1,1000)</f>
        <v>1</v>
      </c>
      <c r="BJ247" s="197" t="e">
        <f ca="1">_xlfn.MAXIFS(TeamGameData[Win],TeamGameData[School, Opponent,Game'#],PlayerGameData[[#This Row],[School, Opponent,Game'#]])</f>
        <v>#NAME?</v>
      </c>
      <c r="BK247" s="197" t="e">
        <f ca="1">_xlfn.MAXIFS(TeamGameData[Loss],TeamGameData[School, Opponent,Game'#],PlayerGameData[[#This Row],[School, Opponent,Game'#]])</f>
        <v>#NAME?</v>
      </c>
    </row>
    <row r="248" spans="1:63" x14ac:dyDescent="0.25">
      <c r="A248" s="8" t="str">
        <f t="shared" ca="1" si="123"/>
        <v>Logan Timberman, 3</v>
      </c>
      <c r="B248" s="8" t="str">
        <f>Roster!$B$1</f>
        <v>Upton</v>
      </c>
      <c r="C248" s="8" t="str">
        <f t="shared" ca="1" si="111"/>
        <v>Arvada Clearmont</v>
      </c>
      <c r="D248" s="10">
        <f t="shared" ca="1" si="112"/>
        <v>44946</v>
      </c>
      <c r="E248" s="8">
        <f t="shared" ca="1" si="113"/>
        <v>1</v>
      </c>
      <c r="F248" s="8">
        <f t="shared" ca="1" si="114"/>
        <v>1</v>
      </c>
      <c r="G248" s="8">
        <f t="shared" ca="1" si="115"/>
        <v>18</v>
      </c>
      <c r="H248" s="8">
        <f t="shared" ca="1" si="116"/>
        <v>1</v>
      </c>
      <c r="I248" s="8">
        <f t="shared" ca="1" si="117"/>
        <v>6</v>
      </c>
      <c r="J248" s="8">
        <f t="shared" ca="1" si="118"/>
        <v>3</v>
      </c>
      <c r="K248" s="8">
        <f t="shared" ca="1" si="119"/>
        <v>4</v>
      </c>
      <c r="L248" s="8">
        <f t="shared" ca="1" si="124"/>
        <v>1</v>
      </c>
      <c r="M248" s="8">
        <f t="shared" ca="1" si="125"/>
        <v>1</v>
      </c>
      <c r="N248" s="8">
        <f t="shared" ca="1" si="126"/>
        <v>3</v>
      </c>
      <c r="O248" s="8">
        <f t="shared" ca="1" si="127"/>
        <v>2</v>
      </c>
      <c r="P248" s="8">
        <f t="shared" ca="1" si="128"/>
        <v>5</v>
      </c>
      <c r="Q248" s="8">
        <f t="shared" ca="1" si="129"/>
        <v>7</v>
      </c>
      <c r="R248" s="8">
        <f t="shared" ca="1" si="130"/>
        <v>0</v>
      </c>
      <c r="S248" s="8">
        <f t="shared" ca="1" si="131"/>
        <v>0</v>
      </c>
      <c r="T248" s="8">
        <f t="shared" ca="1" si="132"/>
        <v>0</v>
      </c>
      <c r="U248" s="8">
        <f t="shared" ca="1" si="133"/>
        <v>0</v>
      </c>
      <c r="V248" s="8">
        <f t="shared" ca="1" si="134"/>
        <v>10</v>
      </c>
      <c r="W248" s="11">
        <f t="shared" ca="1" si="135"/>
        <v>0.16666666666666666</v>
      </c>
      <c r="X248" s="11">
        <f t="shared" ca="1" si="136"/>
        <v>0.75</v>
      </c>
      <c r="Y248" s="11">
        <f t="shared" ca="1" si="137"/>
        <v>1</v>
      </c>
      <c r="Z248" s="11">
        <f t="shared" ca="1" si="138"/>
        <v>0.4</v>
      </c>
      <c r="AA248" s="11">
        <f t="shared" ca="1" si="139"/>
        <v>0.45</v>
      </c>
      <c r="AB248" s="47">
        <f ca="1">PlayerGameData[[#This Row],[3FGA]]+PlayerGameData[[#This Row],[2FGA]]</f>
        <v>10</v>
      </c>
      <c r="AC248" s="47">
        <f ca="1">PlayerGameData[[#This Row],[OFF REB]]+PlayerGameData[[#This Row],[DEF REB]]</f>
        <v>5</v>
      </c>
      <c r="AD248" s="8">
        <f t="shared" si="120"/>
        <v>11</v>
      </c>
      <c r="AE248" s="8" t="str">
        <f t="shared" ca="1" si="121"/>
        <v>Logan Timberman, 3 - Arvada Clearmont 1/20/2023</v>
      </c>
      <c r="AF248" s="8" t="str">
        <f t="shared" ca="1" si="140"/>
        <v>R</v>
      </c>
      <c r="AG248" s="8" t="str">
        <f ca="1">IFERROR(IF(C248=0,"",IF(AND(VLOOKUP(PlayerGameData[[#This Row],[Opponent]],WYTeamInfo,2,FALSE)=Roster!$D$1,VLOOKUP(PlayerGameData[[#This Row],[Opponent]],WYTeamInfo,3,FALSE)=Roster!$D$2),"SR","")),"")</f>
        <v>SR</v>
      </c>
      <c r="AH248" s="8" t="str">
        <f>CONCATENATE(Roster!$D$1," ",Roster!$D$5)</f>
        <v>1A BB</v>
      </c>
      <c r="AI248" s="8" t="str">
        <f t="shared" ca="1" si="122"/>
        <v>Upton - Arvada Clearmont 1/20/2023</v>
      </c>
      <c r="AJ248" s="8">
        <f ca="1">IFERROR(VLOOKUP(PlayerGameData[[#This Row],[School, Opponent,Game'#]],Table3[],2,FALSE),0)</f>
        <v>1</v>
      </c>
      <c r="AK248" s="8">
        <f ca="1">IF(PlayerGameData[[#This Row],[Visible]]=1,1,1000)</f>
        <v>1</v>
      </c>
      <c r="AL248" s="8">
        <f ca="1">RANK(PlayerGameData[[#This Row],[TL PTS]],PlayerGameData[TL PTS],0)+PlayerGameData[[#This Row],[VisibleOrder]]</f>
        <v>66</v>
      </c>
      <c r="AM248" s="8">
        <f ca="1">IF(COUNTIF(PlayerGameData[PointOrder],PlayerGameData[[#This Row],[PointOrder]])&gt;1,RANK(PlayerGameData[[#This Row],[FGA]],PlayerGameData[FGA],0)/100,0)+PlayerGameData[[#This Row],[PointOrder]]</f>
        <v>66.430000000000007</v>
      </c>
      <c r="AN248" s="8">
        <f ca="1">RANK(PlayerGameData[[#This Row],[PointTieBreak]],PlayerGameData[PointTieBreak],1)</f>
        <v>69</v>
      </c>
      <c r="AO248" s="8">
        <f ca="1">RANK(PlayerGameData[[#This Row],[REB]],PlayerGameData[REB],0)+PlayerGameData[[#This Row],[VisibleOrder]]</f>
        <v>52</v>
      </c>
      <c r="AP248" s="8">
        <f ca="1">IF(COUNTIF(PlayerGameData[REBOrder],PlayerGameData[[#This Row],[REBOrder]])&gt;1,PlayerGameData[[#This Row],[PointRank]]/100+PlayerGameData[[#This Row],[REBOrder]],PlayerGameData[[#This Row],[REBOrder]])</f>
        <v>52.69</v>
      </c>
      <c r="AQ248" s="8">
        <f ca="1">RANK(PlayerGameData[[#This Row],[REBTieBreak]],PlayerGameData[REBTieBreak],1)</f>
        <v>61</v>
      </c>
      <c r="AR248" s="8">
        <f ca="1">RANK(PlayerGameData[[#This Row],[AST]],PlayerGameData[AST],0)+PlayerGameData[[#This Row],[VisibleOrder]]</f>
        <v>14</v>
      </c>
      <c r="AS248" s="8">
        <f ca="1">IF(COUNTIF(PlayerGameData[ASTOrder],PlayerGameData[[#This Row],[ASTOrder]])&gt;1,PlayerGameData[[#This Row],[PointRank]]/100+PlayerGameData[[#This Row],[ASTOrder]],PlayerGameData[[#This Row],[ASTOrder]])</f>
        <v>14.69</v>
      </c>
      <c r="AT248" s="8">
        <f ca="1">RANK(PlayerGameData[[#This Row],[ASTTieBreak]],PlayerGameData[ASTTieBreak],1)</f>
        <v>20</v>
      </c>
      <c r="AU248" s="8">
        <f ca="1">RANK(PlayerGameData[[#This Row],[STL]],PlayerGameData[STL],0)+PlayerGameData[[#This Row],[VisibleOrder]]</f>
        <v>3</v>
      </c>
      <c r="AV248" s="8">
        <f ca="1">IF(COUNTIF(PlayerGameData[STLOrder],PlayerGameData[[#This Row],[STLOrder]])&gt;1,PlayerGameData[[#This Row],[PointRank]]/100+PlayerGameData[[#This Row],[STLOrder]],PlayerGameData[[#This Row],[STLOrder]])</f>
        <v>3</v>
      </c>
      <c r="AW248" s="8">
        <f ca="1">RANK(PlayerGameData[[#This Row],[STLTieBreak]],PlayerGameData[STLTieBreak],1)</f>
        <v>2</v>
      </c>
      <c r="AX248" s="8">
        <f ca="1">RANK(PlayerGameData[[#This Row],[BLK]],PlayerGameData[BLK],0)+PlayerGameData[[#This Row],[VisibleOrder]]</f>
        <v>32</v>
      </c>
      <c r="AY248" s="8">
        <f ca="1">IF(COUNTIF(PlayerGameData[BLKOrder],PlayerGameData[[#This Row],[BLKOrder]])&gt;1,PlayerGameData[[#This Row],[PointRank]]/100+PlayerGameData[[#This Row],[BLKOrder]],PlayerGameData[[#This Row],[BLKOrder]])</f>
        <v>32.69</v>
      </c>
      <c r="AZ248" s="8">
        <f ca="1">RANK(PlayerGameData[[#This Row],[BLKTieBreak]],PlayerGameData[BLKTieBreak],1)</f>
        <v>86</v>
      </c>
      <c r="BA248" s="11">
        <f ca="1">IFERROR(IF(PlayerGameData[[#This Row],[FGA]]&gt;$AA$5,PlayerGameData[[#This Row],[FG%*]],PlayerGameData[[#This Row],[FG%*]]*-1),-2)</f>
        <v>0.4</v>
      </c>
      <c r="BB248" s="8">
        <f ca="1">RANK(PlayerGameData[[#This Row],[EligFG]],PlayerGameData[EligFG],0)+PlayerGameData[[#This Row],[VisibleOrder]]</f>
        <v>68</v>
      </c>
      <c r="BC248" s="8">
        <f ca="1">IF(COUNTIF(PlayerGameData[EligFGOrder],PlayerGameData[[#This Row],[EligFGOrder]])&gt;1,PlayerGameData[[#This Row],[PointRank]]/100+PlayerGameData[[#This Row],[EligFGOrder]],PlayerGameData[[#This Row],[EligFGOrder]])</f>
        <v>68.69</v>
      </c>
      <c r="BD248" s="8">
        <f ca="1">RANK(PlayerGameData[[#This Row],[EligFGTieBreak]],PlayerGameData[EligFGTieBreak],1)</f>
        <v>70</v>
      </c>
      <c r="BE248" s="8" t="str">
        <f>Roster!$D$3</f>
        <v>East</v>
      </c>
      <c r="BF248" s="8" t="str">
        <f>Roster!$D$2</f>
        <v>Northeast</v>
      </c>
      <c r="BG248" s="8" t="str">
        <f>Roster!$D$4</f>
        <v>North</v>
      </c>
      <c r="BH248" s="197">
        <f ca="1">IFERROR(VLOOKUP(CONCATENATE(PlayerGameData[[#This Row],[Opponent]]," ",MONTH(PlayerGameData[[#This Row],[Date]]),"/",DAY(PlayerGameData[[#This Row],[Date]]),"/",YEAR(PlayerGameData[[#This Row],[Date]])),Table35[],2,FALSE),0)</f>
        <v>1</v>
      </c>
      <c r="BI248" s="197">
        <f ca="1">IF(PlayerGameData[[#This Row],[Visible]]=1,1,1000)</f>
        <v>1</v>
      </c>
      <c r="BJ248" s="197" t="e">
        <f ca="1">_xlfn.MAXIFS(TeamGameData[Win],TeamGameData[School, Opponent,Game'#],PlayerGameData[[#This Row],[School, Opponent,Game'#]])</f>
        <v>#NAME?</v>
      </c>
      <c r="BK248" s="197" t="e">
        <f ca="1">_xlfn.MAXIFS(TeamGameData[Loss],TeamGameData[School, Opponent,Game'#],PlayerGameData[[#This Row],[School, Opponent,Game'#]])</f>
        <v>#NAME?</v>
      </c>
    </row>
    <row r="249" spans="1:63" x14ac:dyDescent="0.25">
      <c r="A249" s="8" t="str">
        <f t="shared" ca="1" si="123"/>
        <v>Chase Mills, 5</v>
      </c>
      <c r="B249" s="8" t="str">
        <f>Roster!$B$1</f>
        <v>Upton</v>
      </c>
      <c r="C249" s="8" t="str">
        <f t="shared" ca="1" si="111"/>
        <v>Arvada Clearmont</v>
      </c>
      <c r="D249" s="10">
        <f t="shared" ca="1" si="112"/>
        <v>44946</v>
      </c>
      <c r="E249" s="8">
        <f t="shared" ca="1" si="113"/>
        <v>0</v>
      </c>
      <c r="F249" s="8">
        <f t="shared" ca="1" si="114"/>
        <v>0</v>
      </c>
      <c r="G249" s="8">
        <f t="shared" ca="1" si="115"/>
        <v>0</v>
      </c>
      <c r="H249" s="8">
        <f t="shared" ca="1" si="116"/>
        <v>0</v>
      </c>
      <c r="I249" s="8">
        <f t="shared" ca="1" si="117"/>
        <v>0</v>
      </c>
      <c r="J249" s="8">
        <f t="shared" ca="1" si="118"/>
        <v>0</v>
      </c>
      <c r="K249" s="8">
        <f t="shared" ca="1" si="119"/>
        <v>0</v>
      </c>
      <c r="L249" s="8">
        <f t="shared" ca="1" si="124"/>
        <v>0</v>
      </c>
      <c r="M249" s="8">
        <f t="shared" ca="1" si="125"/>
        <v>0</v>
      </c>
      <c r="N249" s="8">
        <f t="shared" ca="1" si="126"/>
        <v>0</v>
      </c>
      <c r="O249" s="8">
        <f t="shared" ca="1" si="127"/>
        <v>0</v>
      </c>
      <c r="P249" s="8">
        <f t="shared" ca="1" si="128"/>
        <v>0</v>
      </c>
      <c r="Q249" s="8">
        <f t="shared" ca="1" si="129"/>
        <v>0</v>
      </c>
      <c r="R249" s="8">
        <f t="shared" ca="1" si="130"/>
        <v>0</v>
      </c>
      <c r="S249" s="8">
        <f t="shared" ca="1" si="131"/>
        <v>0</v>
      </c>
      <c r="T249" s="8">
        <f t="shared" ca="1" si="132"/>
        <v>0</v>
      </c>
      <c r="U249" s="8">
        <f t="shared" ca="1" si="133"/>
        <v>0</v>
      </c>
      <c r="V249" s="8">
        <f t="shared" ca="1" si="134"/>
        <v>0</v>
      </c>
      <c r="W249" s="11" t="str">
        <f t="shared" ca="1" si="135"/>
        <v/>
      </c>
      <c r="X249" s="11" t="str">
        <f t="shared" ca="1" si="136"/>
        <v/>
      </c>
      <c r="Y249" s="11" t="str">
        <f t="shared" ca="1" si="137"/>
        <v/>
      </c>
      <c r="Z249" s="11" t="str">
        <f t="shared" ca="1" si="138"/>
        <v/>
      </c>
      <c r="AA249" s="11" t="str">
        <f t="shared" ca="1" si="139"/>
        <v/>
      </c>
      <c r="AB249" s="47">
        <f ca="1">PlayerGameData[[#This Row],[3FGA]]+PlayerGameData[[#This Row],[2FGA]]</f>
        <v>0</v>
      </c>
      <c r="AC249" s="47">
        <f ca="1">PlayerGameData[[#This Row],[OFF REB]]+PlayerGameData[[#This Row],[DEF REB]]</f>
        <v>0</v>
      </c>
      <c r="AD249" s="8">
        <f t="shared" si="120"/>
        <v>11</v>
      </c>
      <c r="AE249" s="8" t="str">
        <f t="shared" ca="1" si="121"/>
        <v>Chase Mills, 5 - Arvada Clearmont 1/20/2023</v>
      </c>
      <c r="AF249" s="8" t="str">
        <f t="shared" ca="1" si="140"/>
        <v>R</v>
      </c>
      <c r="AG249" s="8" t="str">
        <f ca="1">IFERROR(IF(C249=0,"",IF(AND(VLOOKUP(PlayerGameData[[#This Row],[Opponent]],WYTeamInfo,2,FALSE)=Roster!$D$1,VLOOKUP(PlayerGameData[[#This Row],[Opponent]],WYTeamInfo,3,FALSE)=Roster!$D$2),"SR","")),"")</f>
        <v>SR</v>
      </c>
      <c r="AH249" s="8" t="str">
        <f>CONCATENATE(Roster!$D$1," ",Roster!$D$5)</f>
        <v>1A BB</v>
      </c>
      <c r="AI249" s="8" t="str">
        <f t="shared" ca="1" si="122"/>
        <v>Upton - Arvada Clearmont 1/20/2023</v>
      </c>
      <c r="AJ249" s="8">
        <f ca="1">IFERROR(VLOOKUP(PlayerGameData[[#This Row],[School, Opponent,Game'#]],Table3[],2,FALSE),0)</f>
        <v>1</v>
      </c>
      <c r="AK249" s="8">
        <f ca="1">IF(PlayerGameData[[#This Row],[Visible]]=1,1,1000)</f>
        <v>1</v>
      </c>
      <c r="AL249" s="8">
        <f ca="1">RANK(PlayerGameData[[#This Row],[TL PTS]],PlayerGameData[TL PTS],0)+PlayerGameData[[#This Row],[VisibleOrder]]</f>
        <v>185</v>
      </c>
      <c r="AM249" s="8">
        <f ca="1">IF(COUNTIF(PlayerGameData[PointOrder],PlayerGameData[[#This Row],[PointOrder]])&gt;1,RANK(PlayerGameData[[#This Row],[FGA]],PlayerGameData[FGA],0)/100,0)+PlayerGameData[[#This Row],[PointOrder]]</f>
        <v>187.14</v>
      </c>
      <c r="AN249" s="8">
        <f ca="1">RANK(PlayerGameData[[#This Row],[PointTieBreak]],PlayerGameData[PointTieBreak],1)</f>
        <v>216</v>
      </c>
      <c r="AO249" s="8">
        <f ca="1">RANK(PlayerGameData[[#This Row],[REB]],PlayerGameData[REB],0)+PlayerGameData[[#This Row],[VisibleOrder]]</f>
        <v>192</v>
      </c>
      <c r="AP249" s="8">
        <f ca="1">IF(COUNTIF(PlayerGameData[REBOrder],PlayerGameData[[#This Row],[REBOrder]])&gt;1,PlayerGameData[[#This Row],[PointRank]]/100+PlayerGameData[[#This Row],[REBOrder]],PlayerGameData[[#This Row],[REBOrder]])</f>
        <v>194.16</v>
      </c>
      <c r="AQ249" s="8">
        <f ca="1">RANK(PlayerGameData[[#This Row],[REBTieBreak]],PlayerGameData[REBTieBreak],1)</f>
        <v>224</v>
      </c>
      <c r="AR249" s="8">
        <f ca="1">RANK(PlayerGameData[[#This Row],[AST]],PlayerGameData[AST],0)+PlayerGameData[[#This Row],[VisibleOrder]]</f>
        <v>158</v>
      </c>
      <c r="AS249" s="8">
        <f ca="1">IF(COUNTIF(PlayerGameData[ASTOrder],PlayerGameData[[#This Row],[ASTOrder]])&gt;1,PlayerGameData[[#This Row],[PointRank]]/100+PlayerGameData[[#This Row],[ASTOrder]],PlayerGameData[[#This Row],[ASTOrder]])</f>
        <v>160.16</v>
      </c>
      <c r="AT249" s="8">
        <f ca="1">RANK(PlayerGameData[[#This Row],[ASTTieBreak]],PlayerGameData[ASTTieBreak],1)</f>
        <v>221</v>
      </c>
      <c r="AU249" s="8">
        <f ca="1">RANK(PlayerGameData[[#This Row],[STL]],PlayerGameData[STL],0)+PlayerGameData[[#This Row],[VisibleOrder]]</f>
        <v>143</v>
      </c>
      <c r="AV249" s="8">
        <f ca="1">IF(COUNTIF(PlayerGameData[STLOrder],PlayerGameData[[#This Row],[STLOrder]])&gt;1,PlayerGameData[[#This Row],[PointRank]]/100+PlayerGameData[[#This Row],[STLOrder]],PlayerGameData[[#This Row],[STLOrder]])</f>
        <v>145.16</v>
      </c>
      <c r="AW249" s="8">
        <f ca="1">RANK(PlayerGameData[[#This Row],[STLTieBreak]],PlayerGameData[STLTieBreak],1)</f>
        <v>217</v>
      </c>
      <c r="AX249" s="8">
        <f ca="1">RANK(PlayerGameData[[#This Row],[BLK]],PlayerGameData[BLK],0)+PlayerGameData[[#This Row],[VisibleOrder]]</f>
        <v>32</v>
      </c>
      <c r="AY249" s="8">
        <f ca="1">IF(COUNTIF(PlayerGameData[BLKOrder],PlayerGameData[[#This Row],[BLKOrder]])&gt;1,PlayerGameData[[#This Row],[PointRank]]/100+PlayerGameData[[#This Row],[BLKOrder]],PlayerGameData[[#This Row],[BLKOrder]])</f>
        <v>34.159999999999997</v>
      </c>
      <c r="AZ249" s="8">
        <f ca="1">RANK(PlayerGameData[[#This Row],[BLKTieBreak]],PlayerGameData[BLKTieBreak],1)</f>
        <v>216</v>
      </c>
      <c r="BA249" s="11">
        <f ca="1">IFERROR(IF(PlayerGameData[[#This Row],[FGA]]&gt;$AA$5,PlayerGameData[[#This Row],[FG%*]],PlayerGameData[[#This Row],[FG%*]]*-1),-2)</f>
        <v>-2</v>
      </c>
      <c r="BB249" s="8">
        <f ca="1">RANK(PlayerGameData[[#This Row],[EligFG]],PlayerGameData[EligFG],0)+PlayerGameData[[#This Row],[VisibleOrder]]</f>
        <v>215</v>
      </c>
      <c r="BC249" s="8">
        <f ca="1">IF(COUNTIF(PlayerGameData[EligFGOrder],PlayerGameData[[#This Row],[EligFGOrder]])&gt;1,PlayerGameData[[#This Row],[PointRank]]/100+PlayerGameData[[#This Row],[EligFGOrder]],PlayerGameData[[#This Row],[EligFGOrder]])</f>
        <v>217.16</v>
      </c>
      <c r="BD249" s="8">
        <f ca="1">RANK(PlayerGameData[[#This Row],[EligFGTieBreak]],PlayerGameData[EligFGTieBreak],1)</f>
        <v>216</v>
      </c>
      <c r="BE249" s="8" t="str">
        <f>Roster!$D$3</f>
        <v>East</v>
      </c>
      <c r="BF249" s="8" t="str">
        <f>Roster!$D$2</f>
        <v>Northeast</v>
      </c>
      <c r="BG249" s="8" t="str">
        <f>Roster!$D$4</f>
        <v>North</v>
      </c>
      <c r="BH249" s="197">
        <f ca="1">IFERROR(VLOOKUP(CONCATENATE(PlayerGameData[[#This Row],[Opponent]]," ",MONTH(PlayerGameData[[#This Row],[Date]]),"/",DAY(PlayerGameData[[#This Row],[Date]]),"/",YEAR(PlayerGameData[[#This Row],[Date]])),Table35[],2,FALSE),0)</f>
        <v>1</v>
      </c>
      <c r="BI249" s="197">
        <f ca="1">IF(PlayerGameData[[#This Row],[Visible]]=1,1,1000)</f>
        <v>1</v>
      </c>
      <c r="BJ249" s="197" t="e">
        <f ca="1">_xlfn.MAXIFS(TeamGameData[Win],TeamGameData[School, Opponent,Game'#],PlayerGameData[[#This Row],[School, Opponent,Game'#]])</f>
        <v>#NAME?</v>
      </c>
      <c r="BK249" s="197" t="e">
        <f ca="1">_xlfn.MAXIFS(TeamGameData[Loss],TeamGameData[School, Opponent,Game'#],PlayerGameData[[#This Row],[School, Opponent,Game'#]])</f>
        <v>#NAME?</v>
      </c>
    </row>
    <row r="250" spans="1:63" x14ac:dyDescent="0.25">
      <c r="A250" s="8" t="str">
        <f t="shared" ca="1" si="123"/>
        <v>Rhett Watt, 10</v>
      </c>
      <c r="B250" s="8" t="str">
        <f>Roster!$B$1</f>
        <v>Upton</v>
      </c>
      <c r="C250" s="8" t="str">
        <f t="shared" ca="1" si="111"/>
        <v>Arvada Clearmont</v>
      </c>
      <c r="D250" s="10">
        <f t="shared" ca="1" si="112"/>
        <v>44946</v>
      </c>
      <c r="E250" s="8">
        <f t="shared" ca="1" si="113"/>
        <v>1</v>
      </c>
      <c r="F250" s="8">
        <f t="shared" ca="1" si="114"/>
        <v>1</v>
      </c>
      <c r="G250" s="8">
        <f t="shared" ca="1" si="115"/>
        <v>15</v>
      </c>
      <c r="H250" s="8">
        <f t="shared" ca="1" si="116"/>
        <v>0</v>
      </c>
      <c r="I250" s="8">
        <f t="shared" ca="1" si="117"/>
        <v>4</v>
      </c>
      <c r="J250" s="8">
        <f t="shared" ca="1" si="118"/>
        <v>6</v>
      </c>
      <c r="K250" s="8">
        <f t="shared" ca="1" si="119"/>
        <v>8</v>
      </c>
      <c r="L250" s="8">
        <f t="shared" ca="1" si="124"/>
        <v>1</v>
      </c>
      <c r="M250" s="8">
        <f t="shared" ca="1" si="125"/>
        <v>2</v>
      </c>
      <c r="N250" s="8">
        <f t="shared" ca="1" si="126"/>
        <v>3</v>
      </c>
      <c r="O250" s="8">
        <f t="shared" ca="1" si="127"/>
        <v>2</v>
      </c>
      <c r="P250" s="8">
        <f t="shared" ca="1" si="128"/>
        <v>6</v>
      </c>
      <c r="Q250" s="8">
        <f t="shared" ca="1" si="129"/>
        <v>4</v>
      </c>
      <c r="R250" s="8">
        <f t="shared" ca="1" si="130"/>
        <v>0</v>
      </c>
      <c r="S250" s="8">
        <f t="shared" ca="1" si="131"/>
        <v>0</v>
      </c>
      <c r="T250" s="8">
        <f t="shared" ca="1" si="132"/>
        <v>0</v>
      </c>
      <c r="U250" s="8">
        <f t="shared" ca="1" si="133"/>
        <v>0</v>
      </c>
      <c r="V250" s="8">
        <f t="shared" ca="1" si="134"/>
        <v>13</v>
      </c>
      <c r="W250" s="11">
        <f t="shared" ca="1" si="135"/>
        <v>0</v>
      </c>
      <c r="X250" s="11">
        <f t="shared" ca="1" si="136"/>
        <v>0.75</v>
      </c>
      <c r="Y250" s="11">
        <f t="shared" ca="1" si="137"/>
        <v>0.5</v>
      </c>
      <c r="Z250" s="11">
        <f t="shared" ca="1" si="138"/>
        <v>0.5</v>
      </c>
      <c r="AA250" s="11">
        <f t="shared" ca="1" si="139"/>
        <v>0.5</v>
      </c>
      <c r="AB250" s="47">
        <f ca="1">PlayerGameData[[#This Row],[3FGA]]+PlayerGameData[[#This Row],[2FGA]]</f>
        <v>12</v>
      </c>
      <c r="AC250" s="47">
        <f ca="1">PlayerGameData[[#This Row],[OFF REB]]+PlayerGameData[[#This Row],[DEF REB]]</f>
        <v>5</v>
      </c>
      <c r="AD250" s="8">
        <f t="shared" si="120"/>
        <v>11</v>
      </c>
      <c r="AE250" s="8" t="str">
        <f t="shared" ca="1" si="121"/>
        <v>Rhett Watt, 10 - Arvada Clearmont 1/20/2023</v>
      </c>
      <c r="AF250" s="8" t="str">
        <f t="shared" ca="1" si="140"/>
        <v>R</v>
      </c>
      <c r="AG250" s="8" t="str">
        <f ca="1">IFERROR(IF(C250=0,"",IF(AND(VLOOKUP(PlayerGameData[[#This Row],[Opponent]],WYTeamInfo,2,FALSE)=Roster!$D$1,VLOOKUP(PlayerGameData[[#This Row],[Opponent]],WYTeamInfo,3,FALSE)=Roster!$D$2),"SR","")),"")</f>
        <v>SR</v>
      </c>
      <c r="AH250" s="8" t="str">
        <f>CONCATENATE(Roster!$D$1," ",Roster!$D$5)</f>
        <v>1A BB</v>
      </c>
      <c r="AI250" s="8" t="str">
        <f t="shared" ca="1" si="122"/>
        <v>Upton - Arvada Clearmont 1/20/2023</v>
      </c>
      <c r="AJ250" s="8">
        <f ca="1">IFERROR(VLOOKUP(PlayerGameData[[#This Row],[School, Opponent,Game'#]],Table3[],2,FALSE),0)</f>
        <v>1</v>
      </c>
      <c r="AK250" s="8">
        <f ca="1">IF(PlayerGameData[[#This Row],[Visible]]=1,1,1000)</f>
        <v>1</v>
      </c>
      <c r="AL250" s="8">
        <f ca="1">RANK(PlayerGameData[[#This Row],[TL PTS]],PlayerGameData[TL PTS],0)+PlayerGameData[[#This Row],[VisibleOrder]]</f>
        <v>45</v>
      </c>
      <c r="AM250" s="8">
        <f ca="1">IF(COUNTIF(PlayerGameData[PointOrder],PlayerGameData[[#This Row],[PointOrder]])&gt;1,RANK(PlayerGameData[[#This Row],[FGA]],PlayerGameData[FGA],0)/100,0)+PlayerGameData[[#This Row],[PointOrder]]</f>
        <v>45.25</v>
      </c>
      <c r="AN250" s="8">
        <f ca="1">RANK(PlayerGameData[[#This Row],[PointTieBreak]],PlayerGameData[PointTieBreak],1)</f>
        <v>44</v>
      </c>
      <c r="AO250" s="8">
        <f ca="1">RANK(PlayerGameData[[#This Row],[REB]],PlayerGameData[REB],0)+PlayerGameData[[#This Row],[VisibleOrder]]</f>
        <v>52</v>
      </c>
      <c r="AP250" s="8">
        <f ca="1">IF(COUNTIF(PlayerGameData[REBOrder],PlayerGameData[[#This Row],[REBOrder]])&gt;1,PlayerGameData[[#This Row],[PointRank]]/100+PlayerGameData[[#This Row],[REBOrder]],PlayerGameData[[#This Row],[REBOrder]])</f>
        <v>52.44</v>
      </c>
      <c r="AQ250" s="8">
        <f ca="1">RANK(PlayerGameData[[#This Row],[REBTieBreak]],PlayerGameData[REBTieBreak],1)</f>
        <v>58</v>
      </c>
      <c r="AR250" s="8">
        <f ca="1">RANK(PlayerGameData[[#This Row],[AST]],PlayerGameData[AST],0)+PlayerGameData[[#This Row],[VisibleOrder]]</f>
        <v>7</v>
      </c>
      <c r="AS250" s="8">
        <f ca="1">IF(COUNTIF(PlayerGameData[ASTOrder],PlayerGameData[[#This Row],[ASTOrder]])&gt;1,PlayerGameData[[#This Row],[PointRank]]/100+PlayerGameData[[#This Row],[ASTOrder]],PlayerGameData[[#This Row],[ASTOrder]])</f>
        <v>7.44</v>
      </c>
      <c r="AT250" s="8">
        <f ca="1">RANK(PlayerGameData[[#This Row],[ASTTieBreak]],PlayerGameData[ASTTieBreak],1)</f>
        <v>8</v>
      </c>
      <c r="AU250" s="8">
        <f ca="1">RANK(PlayerGameData[[#This Row],[STL]],PlayerGameData[STL],0)+PlayerGameData[[#This Row],[VisibleOrder]]</f>
        <v>10</v>
      </c>
      <c r="AV250" s="8">
        <f ca="1">IF(COUNTIF(PlayerGameData[STLOrder],PlayerGameData[[#This Row],[STLOrder]])&gt;1,PlayerGameData[[#This Row],[PointRank]]/100+PlayerGameData[[#This Row],[STLOrder]],PlayerGameData[[#This Row],[STLOrder]])</f>
        <v>10.44</v>
      </c>
      <c r="AW250" s="8">
        <f ca="1">RANK(PlayerGameData[[#This Row],[STLTieBreak]],PlayerGameData[STLTieBreak],1)</f>
        <v>17</v>
      </c>
      <c r="AX250" s="8">
        <f ca="1">RANK(PlayerGameData[[#This Row],[BLK]],PlayerGameData[BLK],0)+PlayerGameData[[#This Row],[VisibleOrder]]</f>
        <v>32</v>
      </c>
      <c r="AY250" s="8">
        <f ca="1">IF(COUNTIF(PlayerGameData[BLKOrder],PlayerGameData[[#This Row],[BLKOrder]])&gt;1,PlayerGameData[[#This Row],[PointRank]]/100+PlayerGameData[[#This Row],[BLKOrder]],PlayerGameData[[#This Row],[BLKOrder]])</f>
        <v>32.44</v>
      </c>
      <c r="AZ250" s="8">
        <f ca="1">RANK(PlayerGameData[[#This Row],[BLKTieBreak]],PlayerGameData[BLKTieBreak],1)</f>
        <v>65</v>
      </c>
      <c r="BA250" s="11">
        <f ca="1">IFERROR(IF(PlayerGameData[[#This Row],[FGA]]&gt;$AA$5,PlayerGameData[[#This Row],[FG%*]],PlayerGameData[[#This Row],[FG%*]]*-1),-2)</f>
        <v>0.5</v>
      </c>
      <c r="BB250" s="8">
        <f ca="1">RANK(PlayerGameData[[#This Row],[EligFG]],PlayerGameData[EligFG],0)+PlayerGameData[[#This Row],[VisibleOrder]]</f>
        <v>39</v>
      </c>
      <c r="BC250" s="8">
        <f ca="1">IF(COUNTIF(PlayerGameData[EligFGOrder],PlayerGameData[[#This Row],[EligFGOrder]])&gt;1,PlayerGameData[[#This Row],[PointRank]]/100+PlayerGameData[[#This Row],[EligFGOrder]],PlayerGameData[[#This Row],[EligFGOrder]])</f>
        <v>39.44</v>
      </c>
      <c r="BD250" s="8">
        <f ca="1">RANK(PlayerGameData[[#This Row],[EligFGTieBreak]],PlayerGameData[EligFGTieBreak],1)</f>
        <v>43</v>
      </c>
      <c r="BE250" s="8" t="str">
        <f>Roster!$D$3</f>
        <v>East</v>
      </c>
      <c r="BF250" s="8" t="str">
        <f>Roster!$D$2</f>
        <v>Northeast</v>
      </c>
      <c r="BG250" s="8" t="str">
        <f>Roster!$D$4</f>
        <v>North</v>
      </c>
      <c r="BH250" s="197">
        <f ca="1">IFERROR(VLOOKUP(CONCATENATE(PlayerGameData[[#This Row],[Opponent]]," ",MONTH(PlayerGameData[[#This Row],[Date]]),"/",DAY(PlayerGameData[[#This Row],[Date]]),"/",YEAR(PlayerGameData[[#This Row],[Date]])),Table35[],2,FALSE),0)</f>
        <v>1</v>
      </c>
      <c r="BI250" s="197">
        <f ca="1">IF(PlayerGameData[[#This Row],[Visible]]=1,1,1000)</f>
        <v>1</v>
      </c>
      <c r="BJ250" s="197" t="e">
        <f ca="1">_xlfn.MAXIFS(TeamGameData[Win],TeamGameData[School, Opponent,Game'#],PlayerGameData[[#This Row],[School, Opponent,Game'#]])</f>
        <v>#NAME?</v>
      </c>
      <c r="BK250" s="197" t="e">
        <f ca="1">_xlfn.MAXIFS(TeamGameData[Loss],TeamGameData[School, Opponent,Game'#],PlayerGameData[[#This Row],[School, Opponent,Game'#]])</f>
        <v>#NAME?</v>
      </c>
    </row>
    <row r="251" spans="1:63" x14ac:dyDescent="0.25">
      <c r="A251" s="8" t="str">
        <f t="shared" ca="1" si="123"/>
        <v>Keith Coburn, 11</v>
      </c>
      <c r="B251" s="8" t="str">
        <f>Roster!$B$1</f>
        <v>Upton</v>
      </c>
      <c r="C251" s="8" t="str">
        <f t="shared" ca="1" si="111"/>
        <v>Arvada Clearmont</v>
      </c>
      <c r="D251" s="10">
        <f t="shared" ca="1" si="112"/>
        <v>44946</v>
      </c>
      <c r="E251" s="8">
        <f t="shared" ca="1" si="113"/>
        <v>1</v>
      </c>
      <c r="F251" s="8">
        <f t="shared" ca="1" si="114"/>
        <v>0</v>
      </c>
      <c r="G251" s="8">
        <f t="shared" ca="1" si="115"/>
        <v>9</v>
      </c>
      <c r="H251" s="8">
        <f t="shared" ca="1" si="116"/>
        <v>0</v>
      </c>
      <c r="I251" s="8">
        <f t="shared" ca="1" si="117"/>
        <v>0</v>
      </c>
      <c r="J251" s="8">
        <f t="shared" ca="1" si="118"/>
        <v>2</v>
      </c>
      <c r="K251" s="8">
        <f t="shared" ca="1" si="119"/>
        <v>2</v>
      </c>
      <c r="L251" s="8">
        <f t="shared" ca="1" si="124"/>
        <v>0</v>
      </c>
      <c r="M251" s="8">
        <f t="shared" ca="1" si="125"/>
        <v>0</v>
      </c>
      <c r="N251" s="8">
        <f t="shared" ca="1" si="126"/>
        <v>0</v>
      </c>
      <c r="O251" s="8">
        <f t="shared" ca="1" si="127"/>
        <v>0</v>
      </c>
      <c r="P251" s="8">
        <f t="shared" ca="1" si="128"/>
        <v>0</v>
      </c>
      <c r="Q251" s="8">
        <f t="shared" ca="1" si="129"/>
        <v>0</v>
      </c>
      <c r="R251" s="8">
        <f t="shared" ca="1" si="130"/>
        <v>0</v>
      </c>
      <c r="S251" s="8">
        <f t="shared" ca="1" si="131"/>
        <v>2</v>
      </c>
      <c r="T251" s="8">
        <f t="shared" ca="1" si="132"/>
        <v>0</v>
      </c>
      <c r="U251" s="8">
        <f t="shared" ca="1" si="133"/>
        <v>0</v>
      </c>
      <c r="V251" s="8">
        <f t="shared" ca="1" si="134"/>
        <v>4</v>
      </c>
      <c r="W251" s="11" t="str">
        <f t="shared" ca="1" si="135"/>
        <v/>
      </c>
      <c r="X251" s="11">
        <f t="shared" ca="1" si="136"/>
        <v>1</v>
      </c>
      <c r="Y251" s="11" t="str">
        <f t="shared" ca="1" si="137"/>
        <v/>
      </c>
      <c r="Z251" s="11">
        <f t="shared" ca="1" si="138"/>
        <v>1</v>
      </c>
      <c r="AA251" s="11">
        <f t="shared" ca="1" si="139"/>
        <v>1</v>
      </c>
      <c r="AB251" s="47">
        <f ca="1">PlayerGameData[[#This Row],[3FGA]]+PlayerGameData[[#This Row],[2FGA]]</f>
        <v>2</v>
      </c>
      <c r="AC251" s="47">
        <f ca="1">PlayerGameData[[#This Row],[OFF REB]]+PlayerGameData[[#This Row],[DEF REB]]</f>
        <v>0</v>
      </c>
      <c r="AD251" s="8">
        <f t="shared" si="120"/>
        <v>11</v>
      </c>
      <c r="AE251" s="8" t="str">
        <f t="shared" ca="1" si="121"/>
        <v>Keith Coburn, 11 - Arvada Clearmont 1/20/2023</v>
      </c>
      <c r="AF251" s="8" t="str">
        <f t="shared" ca="1" si="140"/>
        <v>R</v>
      </c>
      <c r="AG251" s="8" t="str">
        <f ca="1">IFERROR(IF(C251=0,"",IF(AND(VLOOKUP(PlayerGameData[[#This Row],[Opponent]],WYTeamInfo,2,FALSE)=Roster!$D$1,VLOOKUP(PlayerGameData[[#This Row],[Opponent]],WYTeamInfo,3,FALSE)=Roster!$D$2),"SR","")),"")</f>
        <v>SR</v>
      </c>
      <c r="AH251" s="8" t="str">
        <f>CONCATENATE(Roster!$D$1," ",Roster!$D$5)</f>
        <v>1A BB</v>
      </c>
      <c r="AI251" s="8" t="str">
        <f t="shared" ca="1" si="122"/>
        <v>Upton - Arvada Clearmont 1/20/2023</v>
      </c>
      <c r="AJ251" s="8">
        <f ca="1">IFERROR(VLOOKUP(PlayerGameData[[#This Row],[School, Opponent,Game'#]],Table3[],2,FALSE),0)</f>
        <v>1</v>
      </c>
      <c r="AK251" s="8">
        <f ca="1">IF(PlayerGameData[[#This Row],[Visible]]=1,1,1000)</f>
        <v>1</v>
      </c>
      <c r="AL251" s="8">
        <f ca="1">RANK(PlayerGameData[[#This Row],[TL PTS]],PlayerGameData[TL PTS],0)+PlayerGameData[[#This Row],[VisibleOrder]]</f>
        <v>118</v>
      </c>
      <c r="AM251" s="8">
        <f ca="1">IF(COUNTIF(PlayerGameData[PointOrder],PlayerGameData[[#This Row],[PointOrder]])&gt;1,RANK(PlayerGameData[[#This Row],[FGA]],PlayerGameData[FGA],0)/100,0)+PlayerGameData[[#This Row],[PointOrder]]</f>
        <v>119.61</v>
      </c>
      <c r="AN251" s="8">
        <f ca="1">RANK(PlayerGameData[[#This Row],[PointTieBreak]],PlayerGameData[PointTieBreak],1)</f>
        <v>131</v>
      </c>
      <c r="AO251" s="8">
        <f ca="1">RANK(PlayerGameData[[#This Row],[REB]],PlayerGameData[REB],0)+PlayerGameData[[#This Row],[VisibleOrder]]</f>
        <v>192</v>
      </c>
      <c r="AP251" s="8">
        <f ca="1">IF(COUNTIF(PlayerGameData[REBOrder],PlayerGameData[[#This Row],[REBOrder]])&gt;1,PlayerGameData[[#This Row],[PointRank]]/100+PlayerGameData[[#This Row],[REBOrder]],PlayerGameData[[#This Row],[REBOrder]])</f>
        <v>193.31</v>
      </c>
      <c r="AQ251" s="8">
        <f ca="1">RANK(PlayerGameData[[#This Row],[REBTieBreak]],PlayerGameData[REBTieBreak],1)</f>
        <v>194</v>
      </c>
      <c r="AR251" s="8">
        <f ca="1">RANK(PlayerGameData[[#This Row],[AST]],PlayerGameData[AST],0)+PlayerGameData[[#This Row],[VisibleOrder]]</f>
        <v>158</v>
      </c>
      <c r="AS251" s="8">
        <f ca="1">IF(COUNTIF(PlayerGameData[ASTOrder],PlayerGameData[[#This Row],[ASTOrder]])&gt;1,PlayerGameData[[#This Row],[PointRank]]/100+PlayerGameData[[#This Row],[ASTOrder]],PlayerGameData[[#This Row],[ASTOrder]])</f>
        <v>159.31</v>
      </c>
      <c r="AT251" s="8">
        <f ca="1">RANK(PlayerGameData[[#This Row],[ASTTieBreak]],PlayerGameData[ASTTieBreak],1)</f>
        <v>172</v>
      </c>
      <c r="AU251" s="8">
        <f ca="1">RANK(PlayerGameData[[#This Row],[STL]],PlayerGameData[STL],0)+PlayerGameData[[#This Row],[VisibleOrder]]</f>
        <v>143</v>
      </c>
      <c r="AV251" s="8">
        <f ca="1">IF(COUNTIF(PlayerGameData[STLOrder],PlayerGameData[[#This Row],[STLOrder]])&gt;1,PlayerGameData[[#This Row],[PointRank]]/100+PlayerGameData[[#This Row],[STLOrder]],PlayerGameData[[#This Row],[STLOrder]])</f>
        <v>144.31</v>
      </c>
      <c r="AW251" s="8">
        <f ca="1">RANK(PlayerGameData[[#This Row],[STLTieBreak]],PlayerGameData[STLTieBreak],1)</f>
        <v>163</v>
      </c>
      <c r="AX251" s="8">
        <f ca="1">RANK(PlayerGameData[[#This Row],[BLK]],PlayerGameData[BLK],0)+PlayerGameData[[#This Row],[VisibleOrder]]</f>
        <v>32</v>
      </c>
      <c r="AY251" s="8">
        <f ca="1">IF(COUNTIF(PlayerGameData[BLKOrder],PlayerGameData[[#This Row],[BLKOrder]])&gt;1,PlayerGameData[[#This Row],[PointRank]]/100+PlayerGameData[[#This Row],[BLKOrder]],PlayerGameData[[#This Row],[BLKOrder]])</f>
        <v>33.31</v>
      </c>
      <c r="AZ251" s="8">
        <f ca="1">RANK(PlayerGameData[[#This Row],[BLKTieBreak]],PlayerGameData[BLKTieBreak],1)</f>
        <v>135</v>
      </c>
      <c r="BA251" s="11">
        <f ca="1">IFERROR(IF(PlayerGameData[[#This Row],[FGA]]&gt;$AA$5,PlayerGameData[[#This Row],[FG%*]],PlayerGameData[[#This Row],[FG%*]]*-1),-2)</f>
        <v>-1</v>
      </c>
      <c r="BB251" s="8">
        <f ca="1">RANK(PlayerGameData[[#This Row],[EligFG]],PlayerGameData[EligFG],0)+PlayerGameData[[#This Row],[VisibleOrder]]</f>
        <v>203</v>
      </c>
      <c r="BC251" s="8">
        <f ca="1">IF(COUNTIF(PlayerGameData[EligFGOrder],PlayerGameData[[#This Row],[EligFGOrder]])&gt;1,PlayerGameData[[#This Row],[PointRank]]/100+PlayerGameData[[#This Row],[EligFGOrder]],PlayerGameData[[#This Row],[EligFGOrder]])</f>
        <v>204.31</v>
      </c>
      <c r="BD251" s="8">
        <f ca="1">RANK(PlayerGameData[[#This Row],[EligFGTieBreak]],PlayerGameData[EligFGTieBreak],1)</f>
        <v>204</v>
      </c>
      <c r="BE251" s="8" t="str">
        <f>Roster!$D$3</f>
        <v>East</v>
      </c>
      <c r="BF251" s="8" t="str">
        <f>Roster!$D$2</f>
        <v>Northeast</v>
      </c>
      <c r="BG251" s="8" t="str">
        <f>Roster!$D$4</f>
        <v>North</v>
      </c>
      <c r="BH251" s="197">
        <f ca="1">IFERROR(VLOOKUP(CONCATENATE(PlayerGameData[[#This Row],[Opponent]]," ",MONTH(PlayerGameData[[#This Row],[Date]]),"/",DAY(PlayerGameData[[#This Row],[Date]]),"/",YEAR(PlayerGameData[[#This Row],[Date]])),Table35[],2,FALSE),0)</f>
        <v>1</v>
      </c>
      <c r="BI251" s="197">
        <f ca="1">IF(PlayerGameData[[#This Row],[Visible]]=1,1,1000)</f>
        <v>1</v>
      </c>
      <c r="BJ251" s="197" t="e">
        <f ca="1">_xlfn.MAXIFS(TeamGameData[Win],TeamGameData[School, Opponent,Game'#],PlayerGameData[[#This Row],[School, Opponent,Game'#]])</f>
        <v>#NAME?</v>
      </c>
      <c r="BK251" s="197" t="e">
        <f ca="1">_xlfn.MAXIFS(TeamGameData[Loss],TeamGameData[School, Opponent,Game'#],PlayerGameData[[#This Row],[School, Opponent,Game'#]])</f>
        <v>#NAME?</v>
      </c>
    </row>
    <row r="252" spans="1:63" x14ac:dyDescent="0.25">
      <c r="A252" s="8" t="str">
        <f t="shared" ca="1" si="123"/>
        <v>Carson Barritt, 14</v>
      </c>
      <c r="B252" s="8" t="str">
        <f>Roster!$B$1</f>
        <v>Upton</v>
      </c>
      <c r="C252" s="8" t="str">
        <f t="shared" ca="1" si="111"/>
        <v>Arvada Clearmont</v>
      </c>
      <c r="D252" s="10">
        <f t="shared" ca="1" si="112"/>
        <v>44946</v>
      </c>
      <c r="E252" s="8">
        <f t="shared" ca="1" si="113"/>
        <v>1</v>
      </c>
      <c r="F252" s="8">
        <f t="shared" ca="1" si="114"/>
        <v>0</v>
      </c>
      <c r="G252" s="8">
        <f t="shared" ca="1" si="115"/>
        <v>5</v>
      </c>
      <c r="H252" s="8">
        <f t="shared" ca="1" si="116"/>
        <v>0</v>
      </c>
      <c r="I252" s="8">
        <f t="shared" ca="1" si="117"/>
        <v>1</v>
      </c>
      <c r="J252" s="8">
        <f t="shared" ca="1" si="118"/>
        <v>0</v>
      </c>
      <c r="K252" s="8">
        <f t="shared" ca="1" si="119"/>
        <v>1</v>
      </c>
      <c r="L252" s="8">
        <f t="shared" ca="1" si="124"/>
        <v>0</v>
      </c>
      <c r="M252" s="8">
        <f t="shared" ca="1" si="125"/>
        <v>0</v>
      </c>
      <c r="N252" s="8">
        <f t="shared" ca="1" si="126"/>
        <v>0</v>
      </c>
      <c r="O252" s="8">
        <f t="shared" ca="1" si="127"/>
        <v>1</v>
      </c>
      <c r="P252" s="8">
        <f t="shared" ca="1" si="128"/>
        <v>0</v>
      </c>
      <c r="Q252" s="8">
        <f t="shared" ca="1" si="129"/>
        <v>0</v>
      </c>
      <c r="R252" s="8">
        <f t="shared" ca="1" si="130"/>
        <v>0</v>
      </c>
      <c r="S252" s="8">
        <f t="shared" ca="1" si="131"/>
        <v>1</v>
      </c>
      <c r="T252" s="8">
        <f t="shared" ca="1" si="132"/>
        <v>0</v>
      </c>
      <c r="U252" s="8">
        <f t="shared" ca="1" si="133"/>
        <v>0</v>
      </c>
      <c r="V252" s="8">
        <f t="shared" ca="1" si="134"/>
        <v>0</v>
      </c>
      <c r="W252" s="11">
        <f t="shared" ca="1" si="135"/>
        <v>0</v>
      </c>
      <c r="X252" s="11">
        <f t="shared" ca="1" si="136"/>
        <v>0</v>
      </c>
      <c r="Y252" s="11" t="str">
        <f t="shared" ca="1" si="137"/>
        <v/>
      </c>
      <c r="Z252" s="11">
        <f t="shared" ca="1" si="138"/>
        <v>0</v>
      </c>
      <c r="AA252" s="11">
        <f t="shared" ca="1" si="139"/>
        <v>0</v>
      </c>
      <c r="AB252" s="47">
        <f ca="1">PlayerGameData[[#This Row],[3FGA]]+PlayerGameData[[#This Row],[2FGA]]</f>
        <v>2</v>
      </c>
      <c r="AC252" s="47">
        <f ca="1">PlayerGameData[[#This Row],[OFF REB]]+PlayerGameData[[#This Row],[DEF REB]]</f>
        <v>1</v>
      </c>
      <c r="AD252" s="8">
        <f t="shared" si="120"/>
        <v>11</v>
      </c>
      <c r="AE252" s="8" t="str">
        <f t="shared" ca="1" si="121"/>
        <v>Carson Barritt, 14 - Arvada Clearmont 1/20/2023</v>
      </c>
      <c r="AF252" s="8" t="str">
        <f t="shared" ca="1" si="140"/>
        <v>R</v>
      </c>
      <c r="AG252" s="8" t="str">
        <f ca="1">IFERROR(IF(C252=0,"",IF(AND(VLOOKUP(PlayerGameData[[#This Row],[Opponent]],WYTeamInfo,2,FALSE)=Roster!$D$1,VLOOKUP(PlayerGameData[[#This Row],[Opponent]],WYTeamInfo,3,FALSE)=Roster!$D$2),"SR","")),"")</f>
        <v>SR</v>
      </c>
      <c r="AH252" s="8" t="str">
        <f>CONCATENATE(Roster!$D$1," ",Roster!$D$5)</f>
        <v>1A BB</v>
      </c>
      <c r="AI252" s="8" t="str">
        <f t="shared" ca="1" si="122"/>
        <v>Upton - Arvada Clearmont 1/20/2023</v>
      </c>
      <c r="AJ252" s="8">
        <f ca="1">IFERROR(VLOOKUP(PlayerGameData[[#This Row],[School, Opponent,Game'#]],Table3[],2,FALSE),0)</f>
        <v>1</v>
      </c>
      <c r="AK252" s="8">
        <f ca="1">IF(PlayerGameData[[#This Row],[Visible]]=1,1,1000)</f>
        <v>1</v>
      </c>
      <c r="AL252" s="8">
        <f ca="1">RANK(PlayerGameData[[#This Row],[TL PTS]],PlayerGameData[TL PTS],0)+PlayerGameData[[#This Row],[VisibleOrder]]</f>
        <v>185</v>
      </c>
      <c r="AM252" s="8">
        <f ca="1">IF(COUNTIF(PlayerGameData[PointOrder],PlayerGameData[[#This Row],[PointOrder]])&gt;1,RANK(PlayerGameData[[#This Row],[FGA]],PlayerGameData[FGA],0)/100,0)+PlayerGameData[[#This Row],[PointOrder]]</f>
        <v>186.61</v>
      </c>
      <c r="AN252" s="8">
        <f ca="1">RANK(PlayerGameData[[#This Row],[PointTieBreak]],PlayerGameData[PointTieBreak],1)</f>
        <v>191</v>
      </c>
      <c r="AO252" s="8">
        <f ca="1">RANK(PlayerGameData[[#This Row],[REB]],PlayerGameData[REB],0)+PlayerGameData[[#This Row],[VisibleOrder]]</f>
        <v>163</v>
      </c>
      <c r="AP252" s="8">
        <f ca="1">IF(COUNTIF(PlayerGameData[REBOrder],PlayerGameData[[#This Row],[REBOrder]])&gt;1,PlayerGameData[[#This Row],[PointRank]]/100+PlayerGameData[[#This Row],[REBOrder]],PlayerGameData[[#This Row],[REBOrder]])</f>
        <v>164.91</v>
      </c>
      <c r="AQ252" s="8">
        <f ca="1">RANK(PlayerGameData[[#This Row],[REBTieBreak]],PlayerGameData[REBTieBreak],1)</f>
        <v>181</v>
      </c>
      <c r="AR252" s="8">
        <f ca="1">RANK(PlayerGameData[[#This Row],[AST]],PlayerGameData[AST],0)+PlayerGameData[[#This Row],[VisibleOrder]]</f>
        <v>158</v>
      </c>
      <c r="AS252" s="8">
        <f ca="1">IF(COUNTIF(PlayerGameData[ASTOrder],PlayerGameData[[#This Row],[ASTOrder]])&gt;1,PlayerGameData[[#This Row],[PointRank]]/100+PlayerGameData[[#This Row],[ASTOrder]],PlayerGameData[[#This Row],[ASTOrder]])</f>
        <v>159.91</v>
      </c>
      <c r="AT252" s="8">
        <f ca="1">RANK(PlayerGameData[[#This Row],[ASTTieBreak]],PlayerGameData[ASTTieBreak],1)</f>
        <v>205</v>
      </c>
      <c r="AU252" s="8">
        <f ca="1">RANK(PlayerGameData[[#This Row],[STL]],PlayerGameData[STL],0)+PlayerGameData[[#This Row],[VisibleOrder]]</f>
        <v>143</v>
      </c>
      <c r="AV252" s="8">
        <f ca="1">IF(COUNTIF(PlayerGameData[STLOrder],PlayerGameData[[#This Row],[STLOrder]])&gt;1,PlayerGameData[[#This Row],[PointRank]]/100+PlayerGameData[[#This Row],[STLOrder]],PlayerGameData[[#This Row],[STLOrder]])</f>
        <v>144.91</v>
      </c>
      <c r="AW252" s="8">
        <f ca="1">RANK(PlayerGameData[[#This Row],[STLTieBreak]],PlayerGameData[STLTieBreak],1)</f>
        <v>197</v>
      </c>
      <c r="AX252" s="8">
        <f ca="1">RANK(PlayerGameData[[#This Row],[BLK]],PlayerGameData[BLK],0)+PlayerGameData[[#This Row],[VisibleOrder]]</f>
        <v>32</v>
      </c>
      <c r="AY252" s="8">
        <f ca="1">IF(COUNTIF(PlayerGameData[BLKOrder],PlayerGameData[[#This Row],[BLKOrder]])&gt;1,PlayerGameData[[#This Row],[PointRank]]/100+PlayerGameData[[#This Row],[BLKOrder]],PlayerGameData[[#This Row],[BLKOrder]])</f>
        <v>33.909999999999997</v>
      </c>
      <c r="AZ252" s="8">
        <f ca="1">RANK(PlayerGameData[[#This Row],[BLKTieBreak]],PlayerGameData[BLKTieBreak],1)</f>
        <v>192</v>
      </c>
      <c r="BA252" s="11">
        <f ca="1">IFERROR(IF(PlayerGameData[[#This Row],[FGA]]&gt;$AA$5,PlayerGameData[[#This Row],[FG%*]],PlayerGameData[[#This Row],[FG%*]]*-1),-2)</f>
        <v>0</v>
      </c>
      <c r="BB252" s="8">
        <f ca="1">RANK(PlayerGameData[[#This Row],[EligFG]],PlayerGameData[EligFG],0)+PlayerGameData[[#This Row],[VisibleOrder]]</f>
        <v>117</v>
      </c>
      <c r="BC252" s="8">
        <f ca="1">IF(COUNTIF(PlayerGameData[EligFGOrder],PlayerGameData[[#This Row],[EligFGOrder]])&gt;1,PlayerGameData[[#This Row],[PointRank]]/100+PlayerGameData[[#This Row],[EligFGOrder]],PlayerGameData[[#This Row],[EligFGOrder]])</f>
        <v>118.91</v>
      </c>
      <c r="BD252" s="8">
        <f ca="1">RANK(PlayerGameData[[#This Row],[EligFGTieBreak]],PlayerGameData[EligFGTieBreak],1)</f>
        <v>133</v>
      </c>
      <c r="BE252" s="8" t="str">
        <f>Roster!$D$3</f>
        <v>East</v>
      </c>
      <c r="BF252" s="8" t="str">
        <f>Roster!$D$2</f>
        <v>Northeast</v>
      </c>
      <c r="BG252" s="8" t="str">
        <f>Roster!$D$4</f>
        <v>North</v>
      </c>
      <c r="BH252" s="197">
        <f ca="1">IFERROR(VLOOKUP(CONCATENATE(PlayerGameData[[#This Row],[Opponent]]," ",MONTH(PlayerGameData[[#This Row],[Date]]),"/",DAY(PlayerGameData[[#This Row],[Date]]),"/",YEAR(PlayerGameData[[#This Row],[Date]])),Table35[],2,FALSE),0)</f>
        <v>1</v>
      </c>
      <c r="BI252" s="197">
        <f ca="1">IF(PlayerGameData[[#This Row],[Visible]]=1,1,1000)</f>
        <v>1</v>
      </c>
      <c r="BJ252" s="197" t="e">
        <f ca="1">_xlfn.MAXIFS(TeamGameData[Win],TeamGameData[School, Opponent,Game'#],PlayerGameData[[#This Row],[School, Opponent,Game'#]])</f>
        <v>#NAME?</v>
      </c>
      <c r="BK252" s="197" t="e">
        <f ca="1">_xlfn.MAXIFS(TeamGameData[Loss],TeamGameData[School, Opponent,Game'#],PlayerGameData[[#This Row],[School, Opponent,Game'#]])</f>
        <v>#NAME?</v>
      </c>
    </row>
    <row r="253" spans="1:63" x14ac:dyDescent="0.25">
      <c r="A253" s="8" t="str">
        <f t="shared" ca="1" si="123"/>
        <v>Ben Carpenter, 21</v>
      </c>
      <c r="B253" s="8" t="str">
        <f>Roster!$B$1</f>
        <v>Upton</v>
      </c>
      <c r="C253" s="8" t="str">
        <f t="shared" ca="1" si="111"/>
        <v>Arvada Clearmont</v>
      </c>
      <c r="D253" s="10">
        <f t="shared" ca="1" si="112"/>
        <v>44946</v>
      </c>
      <c r="E253" s="8">
        <f t="shared" ca="1" si="113"/>
        <v>1</v>
      </c>
      <c r="F253" s="8">
        <f t="shared" ca="1" si="114"/>
        <v>0</v>
      </c>
      <c r="G253" s="8">
        <f t="shared" ca="1" si="115"/>
        <v>5</v>
      </c>
      <c r="H253" s="8">
        <f t="shared" ca="1" si="116"/>
        <v>0</v>
      </c>
      <c r="I253" s="8">
        <f t="shared" ca="1" si="117"/>
        <v>0</v>
      </c>
      <c r="J253" s="8">
        <f t="shared" ca="1" si="118"/>
        <v>0</v>
      </c>
      <c r="K253" s="8">
        <f t="shared" ca="1" si="119"/>
        <v>3</v>
      </c>
      <c r="L253" s="8">
        <f t="shared" ca="1" si="124"/>
        <v>0</v>
      </c>
      <c r="M253" s="8">
        <f t="shared" ca="1" si="125"/>
        <v>0</v>
      </c>
      <c r="N253" s="8">
        <f t="shared" ca="1" si="126"/>
        <v>1</v>
      </c>
      <c r="O253" s="8">
        <f t="shared" ca="1" si="127"/>
        <v>2</v>
      </c>
      <c r="P253" s="8">
        <f t="shared" ca="1" si="128"/>
        <v>0</v>
      </c>
      <c r="Q253" s="8">
        <f t="shared" ca="1" si="129"/>
        <v>0</v>
      </c>
      <c r="R253" s="8">
        <f t="shared" ca="1" si="130"/>
        <v>0</v>
      </c>
      <c r="S253" s="8">
        <f t="shared" ca="1" si="131"/>
        <v>0</v>
      </c>
      <c r="T253" s="8">
        <f t="shared" ca="1" si="132"/>
        <v>1</v>
      </c>
      <c r="U253" s="8">
        <f t="shared" ca="1" si="133"/>
        <v>0</v>
      </c>
      <c r="V253" s="8">
        <f t="shared" ca="1" si="134"/>
        <v>0</v>
      </c>
      <c r="W253" s="11" t="str">
        <f t="shared" ca="1" si="135"/>
        <v/>
      </c>
      <c r="X253" s="11">
        <f t="shared" ca="1" si="136"/>
        <v>0</v>
      </c>
      <c r="Y253" s="11" t="str">
        <f t="shared" ca="1" si="137"/>
        <v/>
      </c>
      <c r="Z253" s="11">
        <f t="shared" ca="1" si="138"/>
        <v>0</v>
      </c>
      <c r="AA253" s="11">
        <f t="shared" ca="1" si="139"/>
        <v>0</v>
      </c>
      <c r="AB253" s="47">
        <f ca="1">PlayerGameData[[#This Row],[3FGA]]+PlayerGameData[[#This Row],[2FGA]]</f>
        <v>3</v>
      </c>
      <c r="AC253" s="47">
        <f ca="1">PlayerGameData[[#This Row],[OFF REB]]+PlayerGameData[[#This Row],[DEF REB]]</f>
        <v>3</v>
      </c>
      <c r="AD253" s="8">
        <f t="shared" si="120"/>
        <v>11</v>
      </c>
      <c r="AE253" s="8" t="str">
        <f t="shared" ca="1" si="121"/>
        <v>Ben Carpenter, 21 - Arvada Clearmont 1/20/2023</v>
      </c>
      <c r="AF253" s="8" t="str">
        <f t="shared" ca="1" si="140"/>
        <v>R</v>
      </c>
      <c r="AG253" s="8" t="str">
        <f ca="1">IFERROR(IF(C253=0,"",IF(AND(VLOOKUP(PlayerGameData[[#This Row],[Opponent]],WYTeamInfo,2,FALSE)=Roster!$D$1,VLOOKUP(PlayerGameData[[#This Row],[Opponent]],WYTeamInfo,3,FALSE)=Roster!$D$2),"SR","")),"")</f>
        <v>SR</v>
      </c>
      <c r="AH253" s="8" t="str">
        <f>CONCATENATE(Roster!$D$1," ",Roster!$D$5)</f>
        <v>1A BB</v>
      </c>
      <c r="AI253" s="8" t="str">
        <f t="shared" ca="1" si="122"/>
        <v>Upton - Arvada Clearmont 1/20/2023</v>
      </c>
      <c r="AJ253" s="8">
        <f ca="1">IFERROR(VLOOKUP(PlayerGameData[[#This Row],[School, Opponent,Game'#]],Table3[],2,FALSE),0)</f>
        <v>1</v>
      </c>
      <c r="AK253" s="8">
        <f ca="1">IF(PlayerGameData[[#This Row],[Visible]]=1,1,1000)</f>
        <v>1</v>
      </c>
      <c r="AL253" s="8">
        <f ca="1">RANK(PlayerGameData[[#This Row],[TL PTS]],PlayerGameData[TL PTS],0)+PlayerGameData[[#This Row],[VisibleOrder]]</f>
        <v>185</v>
      </c>
      <c r="AM253" s="8">
        <f ca="1">IF(COUNTIF(PlayerGameData[PointOrder],PlayerGameData[[#This Row],[PointOrder]])&gt;1,RANK(PlayerGameData[[#This Row],[FGA]],PlayerGameData[FGA],0)/100,0)+PlayerGameData[[#This Row],[PointOrder]]</f>
        <v>186.4</v>
      </c>
      <c r="AN253" s="8">
        <f ca="1">RANK(PlayerGameData[[#This Row],[PointTieBreak]],PlayerGameData[PointTieBreak],1)</f>
        <v>187</v>
      </c>
      <c r="AO253" s="8">
        <f ca="1">RANK(PlayerGameData[[#This Row],[REB]],PlayerGameData[REB],0)+PlayerGameData[[#This Row],[VisibleOrder]]</f>
        <v>108</v>
      </c>
      <c r="AP253" s="8">
        <f ca="1">IF(COUNTIF(PlayerGameData[REBOrder],PlayerGameData[[#This Row],[REBOrder]])&gt;1,PlayerGameData[[#This Row],[PointRank]]/100+PlayerGameData[[#This Row],[REBOrder]],PlayerGameData[[#This Row],[REBOrder]])</f>
        <v>109.87</v>
      </c>
      <c r="AQ253" s="8">
        <f ca="1">RANK(PlayerGameData[[#This Row],[REBTieBreak]],PlayerGameData[REBTieBreak],1)</f>
        <v>133</v>
      </c>
      <c r="AR253" s="8">
        <f ca="1">RANK(PlayerGameData[[#This Row],[AST]],PlayerGameData[AST],0)+PlayerGameData[[#This Row],[VisibleOrder]]</f>
        <v>158</v>
      </c>
      <c r="AS253" s="8">
        <f ca="1">IF(COUNTIF(PlayerGameData[ASTOrder],PlayerGameData[[#This Row],[ASTOrder]])&gt;1,PlayerGameData[[#This Row],[PointRank]]/100+PlayerGameData[[#This Row],[ASTOrder]],PlayerGameData[[#This Row],[ASTOrder]])</f>
        <v>159.87</v>
      </c>
      <c r="AT253" s="8">
        <f ca="1">RANK(PlayerGameData[[#This Row],[ASTTieBreak]],PlayerGameData[ASTTieBreak],1)</f>
        <v>203</v>
      </c>
      <c r="AU253" s="8">
        <f ca="1">RANK(PlayerGameData[[#This Row],[STL]],PlayerGameData[STL],0)+PlayerGameData[[#This Row],[VisibleOrder]]</f>
        <v>143</v>
      </c>
      <c r="AV253" s="8">
        <f ca="1">IF(COUNTIF(PlayerGameData[STLOrder],PlayerGameData[[#This Row],[STLOrder]])&gt;1,PlayerGameData[[#This Row],[PointRank]]/100+PlayerGameData[[#This Row],[STLOrder]],PlayerGameData[[#This Row],[STLOrder]])</f>
        <v>144.87</v>
      </c>
      <c r="AW253" s="8">
        <f ca="1">RANK(PlayerGameData[[#This Row],[STLTieBreak]],PlayerGameData[STLTieBreak],1)</f>
        <v>196</v>
      </c>
      <c r="AX253" s="8">
        <f ca="1">RANK(PlayerGameData[[#This Row],[BLK]],PlayerGameData[BLK],0)+PlayerGameData[[#This Row],[VisibleOrder]]</f>
        <v>32</v>
      </c>
      <c r="AY253" s="8">
        <f ca="1">IF(COUNTIF(PlayerGameData[BLKOrder],PlayerGameData[[#This Row],[BLKOrder]])&gt;1,PlayerGameData[[#This Row],[PointRank]]/100+PlayerGameData[[#This Row],[BLKOrder]],PlayerGameData[[#This Row],[BLKOrder]])</f>
        <v>33.869999999999997</v>
      </c>
      <c r="AZ253" s="8">
        <f ca="1">RANK(PlayerGameData[[#This Row],[BLKTieBreak]],PlayerGameData[BLKTieBreak],1)</f>
        <v>188</v>
      </c>
      <c r="BA253" s="11">
        <f ca="1">IFERROR(IF(PlayerGameData[[#This Row],[FGA]]&gt;$AA$5,PlayerGameData[[#This Row],[FG%*]],PlayerGameData[[#This Row],[FG%*]]*-1),-2)</f>
        <v>0</v>
      </c>
      <c r="BB253" s="8">
        <f ca="1">RANK(PlayerGameData[[#This Row],[EligFG]],PlayerGameData[EligFG],0)+PlayerGameData[[#This Row],[VisibleOrder]]</f>
        <v>117</v>
      </c>
      <c r="BC253" s="8">
        <f ca="1">IF(COUNTIF(PlayerGameData[EligFGOrder],PlayerGameData[[#This Row],[EligFGOrder]])&gt;1,PlayerGameData[[#This Row],[PointRank]]/100+PlayerGameData[[#This Row],[EligFGOrder]],PlayerGameData[[#This Row],[EligFGOrder]])</f>
        <v>118.87</v>
      </c>
      <c r="BD253" s="8">
        <f ca="1">RANK(PlayerGameData[[#This Row],[EligFGTieBreak]],PlayerGameData[EligFGTieBreak],1)</f>
        <v>129</v>
      </c>
      <c r="BE253" s="8" t="str">
        <f>Roster!$D$3</f>
        <v>East</v>
      </c>
      <c r="BF253" s="8" t="str">
        <f>Roster!$D$2</f>
        <v>Northeast</v>
      </c>
      <c r="BG253" s="8" t="str">
        <f>Roster!$D$4</f>
        <v>North</v>
      </c>
      <c r="BH253" s="197">
        <f ca="1">IFERROR(VLOOKUP(CONCATENATE(PlayerGameData[[#This Row],[Opponent]]," ",MONTH(PlayerGameData[[#This Row],[Date]]),"/",DAY(PlayerGameData[[#This Row],[Date]]),"/",YEAR(PlayerGameData[[#This Row],[Date]])),Table35[],2,FALSE),0)</f>
        <v>1</v>
      </c>
      <c r="BI253" s="197">
        <f ca="1">IF(PlayerGameData[[#This Row],[Visible]]=1,1,1000)</f>
        <v>1</v>
      </c>
      <c r="BJ253" s="197" t="e">
        <f ca="1">_xlfn.MAXIFS(TeamGameData[Win],TeamGameData[School, Opponent,Game'#],PlayerGameData[[#This Row],[School, Opponent,Game'#]])</f>
        <v>#NAME?</v>
      </c>
      <c r="BK253" s="197" t="e">
        <f ca="1">_xlfn.MAXIFS(TeamGameData[Loss],TeamGameData[School, Opponent,Game'#],PlayerGameData[[#This Row],[School, Opponent,Game'#]])</f>
        <v>#NAME?</v>
      </c>
    </row>
    <row r="254" spans="1:63" x14ac:dyDescent="0.25">
      <c r="A254" s="8" t="str">
        <f t="shared" ca="1" si="123"/>
        <v>Ethan Schiller, 23</v>
      </c>
      <c r="B254" s="8" t="str">
        <f>Roster!$B$1</f>
        <v>Upton</v>
      </c>
      <c r="C254" s="8" t="str">
        <f t="shared" ca="1" si="111"/>
        <v>Arvada Clearmont</v>
      </c>
      <c r="D254" s="10">
        <f t="shared" ca="1" si="112"/>
        <v>44946</v>
      </c>
      <c r="E254" s="8">
        <f t="shared" ca="1" si="113"/>
        <v>1</v>
      </c>
      <c r="F254" s="8">
        <f t="shared" ca="1" si="114"/>
        <v>1</v>
      </c>
      <c r="G254" s="8">
        <f t="shared" ca="1" si="115"/>
        <v>14</v>
      </c>
      <c r="H254" s="8">
        <f t="shared" ca="1" si="116"/>
        <v>0</v>
      </c>
      <c r="I254" s="8">
        <f t="shared" ca="1" si="117"/>
        <v>2</v>
      </c>
      <c r="J254" s="8">
        <f t="shared" ca="1" si="118"/>
        <v>7</v>
      </c>
      <c r="K254" s="8">
        <f t="shared" ca="1" si="119"/>
        <v>8</v>
      </c>
      <c r="L254" s="8">
        <f t="shared" ca="1" si="124"/>
        <v>0</v>
      </c>
      <c r="M254" s="8">
        <f t="shared" ca="1" si="125"/>
        <v>3</v>
      </c>
      <c r="N254" s="8">
        <f t="shared" ca="1" si="126"/>
        <v>4</v>
      </c>
      <c r="O254" s="8">
        <f t="shared" ca="1" si="127"/>
        <v>1</v>
      </c>
      <c r="P254" s="8">
        <f t="shared" ca="1" si="128"/>
        <v>2</v>
      </c>
      <c r="Q254" s="8">
        <f t="shared" ca="1" si="129"/>
        <v>2</v>
      </c>
      <c r="R254" s="8">
        <f t="shared" ca="1" si="130"/>
        <v>0</v>
      </c>
      <c r="S254" s="8">
        <f t="shared" ca="1" si="131"/>
        <v>0</v>
      </c>
      <c r="T254" s="8">
        <f t="shared" ca="1" si="132"/>
        <v>0</v>
      </c>
      <c r="U254" s="8">
        <f t="shared" ca="1" si="133"/>
        <v>0</v>
      </c>
      <c r="V254" s="8">
        <f t="shared" ca="1" si="134"/>
        <v>14</v>
      </c>
      <c r="W254" s="11">
        <f t="shared" ca="1" si="135"/>
        <v>0</v>
      </c>
      <c r="X254" s="11">
        <f t="shared" ca="1" si="136"/>
        <v>0.875</v>
      </c>
      <c r="Y254" s="11">
        <f t="shared" ca="1" si="137"/>
        <v>0</v>
      </c>
      <c r="Z254" s="11">
        <f t="shared" ca="1" si="138"/>
        <v>0.7</v>
      </c>
      <c r="AA254" s="11">
        <f t="shared" ca="1" si="139"/>
        <v>0.7</v>
      </c>
      <c r="AB254" s="47">
        <f ca="1">PlayerGameData[[#This Row],[3FGA]]+PlayerGameData[[#This Row],[2FGA]]</f>
        <v>10</v>
      </c>
      <c r="AC254" s="47">
        <f ca="1">PlayerGameData[[#This Row],[OFF REB]]+PlayerGameData[[#This Row],[DEF REB]]</f>
        <v>5</v>
      </c>
      <c r="AD254" s="8">
        <f t="shared" si="120"/>
        <v>11</v>
      </c>
      <c r="AE254" s="8" t="str">
        <f t="shared" ca="1" si="121"/>
        <v>Ethan Schiller, 23 - Arvada Clearmont 1/20/2023</v>
      </c>
      <c r="AF254" s="8" t="str">
        <f t="shared" ca="1" si="140"/>
        <v>R</v>
      </c>
      <c r="AG254" s="8" t="str">
        <f ca="1">IFERROR(IF(C254=0,"",IF(AND(VLOOKUP(PlayerGameData[[#This Row],[Opponent]],WYTeamInfo,2,FALSE)=Roster!$D$1,VLOOKUP(PlayerGameData[[#This Row],[Opponent]],WYTeamInfo,3,FALSE)=Roster!$D$2),"SR","")),"")</f>
        <v>SR</v>
      </c>
      <c r="AH254" s="8" t="str">
        <f>CONCATENATE(Roster!$D$1," ",Roster!$D$5)</f>
        <v>1A BB</v>
      </c>
      <c r="AI254" s="8" t="str">
        <f t="shared" ca="1" si="122"/>
        <v>Upton - Arvada Clearmont 1/20/2023</v>
      </c>
      <c r="AJ254" s="8">
        <f ca="1">IFERROR(VLOOKUP(PlayerGameData[[#This Row],[School, Opponent,Game'#]],Table3[],2,FALSE),0)</f>
        <v>1</v>
      </c>
      <c r="AK254" s="8">
        <f ca="1">IF(PlayerGameData[[#This Row],[Visible]]=1,1,1000)</f>
        <v>1</v>
      </c>
      <c r="AL254" s="8">
        <f ca="1">RANK(PlayerGameData[[#This Row],[TL PTS]],PlayerGameData[TL PTS],0)+PlayerGameData[[#This Row],[VisibleOrder]]</f>
        <v>36</v>
      </c>
      <c r="AM254" s="8">
        <f ca="1">IF(COUNTIF(PlayerGameData[PointOrder],PlayerGameData[[#This Row],[PointOrder]])&gt;1,RANK(PlayerGameData[[#This Row],[FGA]],PlayerGameData[FGA],0)/100,0)+PlayerGameData[[#This Row],[PointOrder]]</f>
        <v>36.43</v>
      </c>
      <c r="AN254" s="8">
        <f ca="1">RANK(PlayerGameData[[#This Row],[PointTieBreak]],PlayerGameData[PointTieBreak],1)</f>
        <v>39</v>
      </c>
      <c r="AO254" s="8">
        <f ca="1">RANK(PlayerGameData[[#This Row],[REB]],PlayerGameData[REB],0)+PlayerGameData[[#This Row],[VisibleOrder]]</f>
        <v>52</v>
      </c>
      <c r="AP254" s="8">
        <f ca="1">IF(COUNTIF(PlayerGameData[REBOrder],PlayerGameData[[#This Row],[REBOrder]])&gt;1,PlayerGameData[[#This Row],[PointRank]]/100+PlayerGameData[[#This Row],[REBOrder]],PlayerGameData[[#This Row],[REBOrder]])</f>
        <v>52.39</v>
      </c>
      <c r="AQ254" s="8">
        <f ca="1">RANK(PlayerGameData[[#This Row],[REBTieBreak]],PlayerGameData[REBTieBreak],1)</f>
        <v>57</v>
      </c>
      <c r="AR254" s="8">
        <f ca="1">RANK(PlayerGameData[[#This Row],[AST]],PlayerGameData[AST],0)+PlayerGameData[[#This Row],[VisibleOrder]]</f>
        <v>69</v>
      </c>
      <c r="AS254" s="8">
        <f ca="1">IF(COUNTIF(PlayerGameData[ASTOrder],PlayerGameData[[#This Row],[ASTOrder]])&gt;1,PlayerGameData[[#This Row],[PointRank]]/100+PlayerGameData[[#This Row],[ASTOrder]],PlayerGameData[[#This Row],[ASTOrder]])</f>
        <v>69.39</v>
      </c>
      <c r="AT254" s="8">
        <f ca="1">RANK(PlayerGameData[[#This Row],[ASTTieBreak]],PlayerGameData[ASTTieBreak],1)</f>
        <v>77</v>
      </c>
      <c r="AU254" s="8">
        <f ca="1">RANK(PlayerGameData[[#This Row],[STL]],PlayerGameData[STL],0)+PlayerGameData[[#This Row],[VisibleOrder]]</f>
        <v>48</v>
      </c>
      <c r="AV254" s="8">
        <f ca="1">IF(COUNTIF(PlayerGameData[STLOrder],PlayerGameData[[#This Row],[STLOrder]])&gt;1,PlayerGameData[[#This Row],[PointRank]]/100+PlayerGameData[[#This Row],[STLOrder]],PlayerGameData[[#This Row],[STLOrder]])</f>
        <v>48.39</v>
      </c>
      <c r="AW254" s="8">
        <f ca="1">RANK(PlayerGameData[[#This Row],[STLTieBreak]],PlayerGameData[STLTieBreak],1)</f>
        <v>51</v>
      </c>
      <c r="AX254" s="8">
        <f ca="1">RANK(PlayerGameData[[#This Row],[BLK]],PlayerGameData[BLK],0)+PlayerGameData[[#This Row],[VisibleOrder]]</f>
        <v>32</v>
      </c>
      <c r="AY254" s="8">
        <f ca="1">IF(COUNTIF(PlayerGameData[BLKOrder],PlayerGameData[[#This Row],[BLKOrder]])&gt;1,PlayerGameData[[#This Row],[PointRank]]/100+PlayerGameData[[#This Row],[BLKOrder]],PlayerGameData[[#This Row],[BLKOrder]])</f>
        <v>32.39</v>
      </c>
      <c r="AZ254" s="8">
        <f ca="1">RANK(PlayerGameData[[#This Row],[BLKTieBreak]],PlayerGameData[BLKTieBreak],1)</f>
        <v>61</v>
      </c>
      <c r="BA254" s="11">
        <f ca="1">IFERROR(IF(PlayerGameData[[#This Row],[FGA]]&gt;$AA$5,PlayerGameData[[#This Row],[FG%*]],PlayerGameData[[#This Row],[FG%*]]*-1),-2)</f>
        <v>0.7</v>
      </c>
      <c r="BB254" s="8">
        <f ca="1">RANK(PlayerGameData[[#This Row],[EligFG]],PlayerGameData[EligFG],0)+PlayerGameData[[#This Row],[VisibleOrder]]</f>
        <v>11</v>
      </c>
      <c r="BC254" s="8">
        <f ca="1">IF(COUNTIF(PlayerGameData[EligFGOrder],PlayerGameData[[#This Row],[EligFGOrder]])&gt;1,PlayerGameData[[#This Row],[PointRank]]/100+PlayerGameData[[#This Row],[EligFGOrder]],PlayerGameData[[#This Row],[EligFGOrder]])</f>
        <v>11.39</v>
      </c>
      <c r="BD254" s="8">
        <f ca="1">RANK(PlayerGameData[[#This Row],[EligFGTieBreak]],PlayerGameData[EligFGTieBreak],1)</f>
        <v>11</v>
      </c>
      <c r="BE254" s="8" t="str">
        <f>Roster!$D$3</f>
        <v>East</v>
      </c>
      <c r="BF254" s="8" t="str">
        <f>Roster!$D$2</f>
        <v>Northeast</v>
      </c>
      <c r="BG254" s="8" t="str">
        <f>Roster!$D$4</f>
        <v>North</v>
      </c>
      <c r="BH254" s="197">
        <f ca="1">IFERROR(VLOOKUP(CONCATENATE(PlayerGameData[[#This Row],[Opponent]]," ",MONTH(PlayerGameData[[#This Row],[Date]]),"/",DAY(PlayerGameData[[#This Row],[Date]]),"/",YEAR(PlayerGameData[[#This Row],[Date]])),Table35[],2,FALSE),0)</f>
        <v>1</v>
      </c>
      <c r="BI254" s="197">
        <f ca="1">IF(PlayerGameData[[#This Row],[Visible]]=1,1,1000)</f>
        <v>1</v>
      </c>
      <c r="BJ254" s="197" t="e">
        <f ca="1">_xlfn.MAXIFS(TeamGameData[Win],TeamGameData[School, Opponent,Game'#],PlayerGameData[[#This Row],[School, Opponent,Game'#]])</f>
        <v>#NAME?</v>
      </c>
      <c r="BK254" s="197" t="e">
        <f ca="1">_xlfn.MAXIFS(TeamGameData[Loss],TeamGameData[School, Opponent,Game'#],PlayerGameData[[#This Row],[School, Opponent,Game'#]])</f>
        <v>#NAME?</v>
      </c>
    </row>
    <row r="255" spans="1:63" x14ac:dyDescent="0.25">
      <c r="A255" s="8" t="str">
        <f t="shared" ca="1" si="123"/>
        <v>Bridger Bruce, 25</v>
      </c>
      <c r="B255" s="8" t="str">
        <f>Roster!$B$1</f>
        <v>Upton</v>
      </c>
      <c r="C255" s="8" t="str">
        <f t="shared" ca="1" si="111"/>
        <v>Arvada Clearmont</v>
      </c>
      <c r="D255" s="10">
        <f t="shared" ca="1" si="112"/>
        <v>44946</v>
      </c>
      <c r="E255" s="8">
        <f t="shared" ca="1" si="113"/>
        <v>1</v>
      </c>
      <c r="F255" s="8">
        <f t="shared" ca="1" si="114"/>
        <v>1</v>
      </c>
      <c r="G255" s="8">
        <f t="shared" ca="1" si="115"/>
        <v>13</v>
      </c>
      <c r="H255" s="8">
        <f t="shared" ca="1" si="116"/>
        <v>0</v>
      </c>
      <c r="I255" s="8">
        <f t="shared" ca="1" si="117"/>
        <v>1</v>
      </c>
      <c r="J255" s="8">
        <f t="shared" ca="1" si="118"/>
        <v>0</v>
      </c>
      <c r="K255" s="8">
        <f t="shared" ca="1" si="119"/>
        <v>0</v>
      </c>
      <c r="L255" s="8">
        <f t="shared" ca="1" si="124"/>
        <v>0</v>
      </c>
      <c r="M255" s="8">
        <f t="shared" ca="1" si="125"/>
        <v>0</v>
      </c>
      <c r="N255" s="8">
        <f t="shared" ca="1" si="126"/>
        <v>2</v>
      </c>
      <c r="O255" s="8">
        <f t="shared" ca="1" si="127"/>
        <v>0</v>
      </c>
      <c r="P255" s="8">
        <f t="shared" ca="1" si="128"/>
        <v>2</v>
      </c>
      <c r="Q255" s="8">
        <f t="shared" ca="1" si="129"/>
        <v>0</v>
      </c>
      <c r="R255" s="8">
        <f t="shared" ca="1" si="130"/>
        <v>0</v>
      </c>
      <c r="S255" s="8">
        <f t="shared" ca="1" si="131"/>
        <v>1</v>
      </c>
      <c r="T255" s="8">
        <f t="shared" ca="1" si="132"/>
        <v>2</v>
      </c>
      <c r="U255" s="8">
        <f t="shared" ca="1" si="133"/>
        <v>0</v>
      </c>
      <c r="V255" s="8">
        <f t="shared" ca="1" si="134"/>
        <v>0</v>
      </c>
      <c r="W255" s="11">
        <f t="shared" ca="1" si="135"/>
        <v>0</v>
      </c>
      <c r="X255" s="11" t="str">
        <f t="shared" ca="1" si="136"/>
        <v/>
      </c>
      <c r="Y255" s="11" t="str">
        <f t="shared" ca="1" si="137"/>
        <v/>
      </c>
      <c r="Z255" s="11">
        <f t="shared" ca="1" si="138"/>
        <v>0</v>
      </c>
      <c r="AA255" s="11">
        <f t="shared" ca="1" si="139"/>
        <v>0</v>
      </c>
      <c r="AB255" s="47">
        <f ca="1">PlayerGameData[[#This Row],[3FGA]]+PlayerGameData[[#This Row],[2FGA]]</f>
        <v>1</v>
      </c>
      <c r="AC255" s="47">
        <f ca="1">PlayerGameData[[#This Row],[OFF REB]]+PlayerGameData[[#This Row],[DEF REB]]</f>
        <v>2</v>
      </c>
      <c r="AD255" s="8">
        <f t="shared" si="120"/>
        <v>11</v>
      </c>
      <c r="AE255" s="8" t="str">
        <f t="shared" ca="1" si="121"/>
        <v>Bridger Bruce, 25 - Arvada Clearmont 1/20/2023</v>
      </c>
      <c r="AF255" s="8" t="str">
        <f t="shared" ca="1" si="140"/>
        <v>R</v>
      </c>
      <c r="AG255" s="8" t="str">
        <f ca="1">IFERROR(IF(C255=0,"",IF(AND(VLOOKUP(PlayerGameData[[#This Row],[Opponent]],WYTeamInfo,2,FALSE)=Roster!$D$1,VLOOKUP(PlayerGameData[[#This Row],[Opponent]],WYTeamInfo,3,FALSE)=Roster!$D$2),"SR","")),"")</f>
        <v>SR</v>
      </c>
      <c r="AH255" s="8" t="str">
        <f>CONCATENATE(Roster!$D$1," ",Roster!$D$5)</f>
        <v>1A BB</v>
      </c>
      <c r="AI255" s="8" t="str">
        <f t="shared" ca="1" si="122"/>
        <v>Upton - Arvada Clearmont 1/20/2023</v>
      </c>
      <c r="AJ255" s="8">
        <f ca="1">IFERROR(VLOOKUP(PlayerGameData[[#This Row],[School, Opponent,Game'#]],Table3[],2,FALSE),0)</f>
        <v>1</v>
      </c>
      <c r="AK255" s="8">
        <f ca="1">IF(PlayerGameData[[#This Row],[Visible]]=1,1,1000)</f>
        <v>1</v>
      </c>
      <c r="AL255" s="8">
        <f ca="1">RANK(PlayerGameData[[#This Row],[TL PTS]],PlayerGameData[TL PTS],0)+PlayerGameData[[#This Row],[VisibleOrder]]</f>
        <v>185</v>
      </c>
      <c r="AM255" s="8">
        <f ca="1">IF(COUNTIF(PlayerGameData[PointOrder],PlayerGameData[[#This Row],[PointOrder]])&gt;1,RANK(PlayerGameData[[#This Row],[FGA]],PlayerGameData[FGA],0)/100,0)+PlayerGameData[[#This Row],[PointOrder]]</f>
        <v>186.82</v>
      </c>
      <c r="AN255" s="8">
        <f ca="1">RANK(PlayerGameData[[#This Row],[PointTieBreak]],PlayerGameData[PointTieBreak],1)</f>
        <v>196</v>
      </c>
      <c r="AO255" s="8">
        <f ca="1">RANK(PlayerGameData[[#This Row],[REB]],PlayerGameData[REB],0)+PlayerGameData[[#This Row],[VisibleOrder]]</f>
        <v>137</v>
      </c>
      <c r="AP255" s="8">
        <f ca="1">IF(COUNTIF(PlayerGameData[REBOrder],PlayerGameData[[#This Row],[REBOrder]])&gt;1,PlayerGameData[[#This Row],[PointRank]]/100+PlayerGameData[[#This Row],[REBOrder]],PlayerGameData[[#This Row],[REBOrder]])</f>
        <v>138.96</v>
      </c>
      <c r="AQ255" s="8">
        <f ca="1">RANK(PlayerGameData[[#This Row],[REBTieBreak]],PlayerGameData[REBTieBreak],1)</f>
        <v>157</v>
      </c>
      <c r="AR255" s="8">
        <f ca="1">RANK(PlayerGameData[[#This Row],[AST]],PlayerGameData[AST],0)+PlayerGameData[[#This Row],[VisibleOrder]]</f>
        <v>69</v>
      </c>
      <c r="AS255" s="8">
        <f ca="1">IF(COUNTIF(PlayerGameData[ASTOrder],PlayerGameData[[#This Row],[ASTOrder]])&gt;1,PlayerGameData[[#This Row],[PointRank]]/100+PlayerGameData[[#This Row],[ASTOrder]],PlayerGameData[[#This Row],[ASTOrder]])</f>
        <v>70.959999999999994</v>
      </c>
      <c r="AT255" s="8">
        <f ca="1">RANK(PlayerGameData[[#This Row],[ASTTieBreak]],PlayerGameData[ASTTieBreak],1)</f>
        <v>112</v>
      </c>
      <c r="AU255" s="8">
        <f ca="1">RANK(PlayerGameData[[#This Row],[STL]],PlayerGameData[STL],0)+PlayerGameData[[#This Row],[VisibleOrder]]</f>
        <v>143</v>
      </c>
      <c r="AV255" s="8">
        <f ca="1">IF(COUNTIF(PlayerGameData[STLOrder],PlayerGameData[[#This Row],[STLOrder]])&gt;1,PlayerGameData[[#This Row],[PointRank]]/100+PlayerGameData[[#This Row],[STLOrder]],PlayerGameData[[#This Row],[STLOrder]])</f>
        <v>144.96</v>
      </c>
      <c r="AW255" s="8">
        <f ca="1">RANK(PlayerGameData[[#This Row],[STLTieBreak]],PlayerGameData[STLTieBreak],1)</f>
        <v>200</v>
      </c>
      <c r="AX255" s="8">
        <f ca="1">RANK(PlayerGameData[[#This Row],[BLK]],PlayerGameData[BLK],0)+PlayerGameData[[#This Row],[VisibleOrder]]</f>
        <v>32</v>
      </c>
      <c r="AY255" s="8">
        <f ca="1">IF(COUNTIF(PlayerGameData[BLKOrder],PlayerGameData[[#This Row],[BLKOrder]])&gt;1,PlayerGameData[[#This Row],[PointRank]]/100+PlayerGameData[[#This Row],[BLKOrder]],PlayerGameData[[#This Row],[BLKOrder]])</f>
        <v>33.96</v>
      </c>
      <c r="AZ255" s="8">
        <f ca="1">RANK(PlayerGameData[[#This Row],[BLKTieBreak]],PlayerGameData[BLKTieBreak],1)</f>
        <v>196</v>
      </c>
      <c r="BA255" s="11">
        <f ca="1">IFERROR(IF(PlayerGameData[[#This Row],[FGA]]&gt;$AA$5,PlayerGameData[[#This Row],[FG%*]],PlayerGameData[[#This Row],[FG%*]]*-1),-2)</f>
        <v>0</v>
      </c>
      <c r="BB255" s="8">
        <f ca="1">RANK(PlayerGameData[[#This Row],[EligFG]],PlayerGameData[EligFG],0)+PlayerGameData[[#This Row],[VisibleOrder]]</f>
        <v>117</v>
      </c>
      <c r="BC255" s="8">
        <f ca="1">IF(COUNTIF(PlayerGameData[EligFGOrder],PlayerGameData[[#This Row],[EligFGOrder]])&gt;1,PlayerGameData[[#This Row],[PointRank]]/100+PlayerGameData[[#This Row],[EligFGOrder]],PlayerGameData[[#This Row],[EligFGOrder]])</f>
        <v>118.96</v>
      </c>
      <c r="BD255" s="8">
        <f ca="1">RANK(PlayerGameData[[#This Row],[EligFGTieBreak]],PlayerGameData[EligFGTieBreak],1)</f>
        <v>138</v>
      </c>
      <c r="BE255" s="8" t="str">
        <f>Roster!$D$3</f>
        <v>East</v>
      </c>
      <c r="BF255" s="8" t="str">
        <f>Roster!$D$2</f>
        <v>Northeast</v>
      </c>
      <c r="BG255" s="8" t="str">
        <f>Roster!$D$4</f>
        <v>North</v>
      </c>
      <c r="BH255" s="197">
        <f ca="1">IFERROR(VLOOKUP(CONCATENATE(PlayerGameData[[#This Row],[Opponent]]," ",MONTH(PlayerGameData[[#This Row],[Date]]),"/",DAY(PlayerGameData[[#This Row],[Date]]),"/",YEAR(PlayerGameData[[#This Row],[Date]])),Table35[],2,FALSE),0)</f>
        <v>1</v>
      </c>
      <c r="BI255" s="197">
        <f ca="1">IF(PlayerGameData[[#This Row],[Visible]]=1,1,1000)</f>
        <v>1</v>
      </c>
      <c r="BJ255" s="197" t="e">
        <f ca="1">_xlfn.MAXIFS(TeamGameData[Win],TeamGameData[School, Opponent,Game'#],PlayerGameData[[#This Row],[School, Opponent,Game'#]])</f>
        <v>#NAME?</v>
      </c>
      <c r="BK255" s="197" t="e">
        <f ca="1">_xlfn.MAXIFS(TeamGameData[Loss],TeamGameData[School, Opponent,Game'#],PlayerGameData[[#This Row],[School, Opponent,Game'#]])</f>
        <v>#NAME?</v>
      </c>
    </row>
    <row r="256" spans="1:63" x14ac:dyDescent="0.25">
      <c r="A256" s="8" t="str">
        <f t="shared" ca="1" si="123"/>
        <v>Kailer Duarte, 31</v>
      </c>
      <c r="B256" s="8" t="str">
        <f>Roster!$B$1</f>
        <v>Upton</v>
      </c>
      <c r="C256" s="8" t="str">
        <f t="shared" ca="1" si="111"/>
        <v>Arvada Clearmont</v>
      </c>
      <c r="D256" s="10">
        <f t="shared" ca="1" si="112"/>
        <v>44946</v>
      </c>
      <c r="E256" s="8">
        <f t="shared" ca="1" si="113"/>
        <v>1</v>
      </c>
      <c r="F256" s="8">
        <f t="shared" ca="1" si="114"/>
        <v>1</v>
      </c>
      <c r="G256" s="8">
        <f t="shared" ca="1" si="115"/>
        <v>13</v>
      </c>
      <c r="H256" s="8">
        <f t="shared" ca="1" si="116"/>
        <v>2</v>
      </c>
      <c r="I256" s="8">
        <f t="shared" ca="1" si="117"/>
        <v>5</v>
      </c>
      <c r="J256" s="8">
        <f t="shared" ca="1" si="118"/>
        <v>1</v>
      </c>
      <c r="K256" s="8">
        <f t="shared" ca="1" si="119"/>
        <v>2</v>
      </c>
      <c r="L256" s="8">
        <f t="shared" ca="1" si="124"/>
        <v>0</v>
      </c>
      <c r="M256" s="8">
        <f t="shared" ca="1" si="125"/>
        <v>0</v>
      </c>
      <c r="N256" s="8">
        <f t="shared" ca="1" si="126"/>
        <v>1</v>
      </c>
      <c r="O256" s="8">
        <f t="shared" ca="1" si="127"/>
        <v>4</v>
      </c>
      <c r="P256" s="8">
        <f t="shared" ca="1" si="128"/>
        <v>0</v>
      </c>
      <c r="Q256" s="8">
        <f t="shared" ca="1" si="129"/>
        <v>1</v>
      </c>
      <c r="R256" s="8">
        <f t="shared" ca="1" si="130"/>
        <v>1</v>
      </c>
      <c r="S256" s="8">
        <f t="shared" ca="1" si="131"/>
        <v>0</v>
      </c>
      <c r="T256" s="8">
        <f t="shared" ca="1" si="132"/>
        <v>3</v>
      </c>
      <c r="U256" s="8">
        <f t="shared" ca="1" si="133"/>
        <v>0</v>
      </c>
      <c r="V256" s="8">
        <f t="shared" ca="1" si="134"/>
        <v>8</v>
      </c>
      <c r="W256" s="11">
        <f t="shared" ca="1" si="135"/>
        <v>0.4</v>
      </c>
      <c r="X256" s="11">
        <f t="shared" ca="1" si="136"/>
        <v>0.5</v>
      </c>
      <c r="Y256" s="11" t="str">
        <f t="shared" ca="1" si="137"/>
        <v/>
      </c>
      <c r="Z256" s="11">
        <f t="shared" ca="1" si="138"/>
        <v>0.42857142857142855</v>
      </c>
      <c r="AA256" s="11">
        <f t="shared" ca="1" si="139"/>
        <v>0.5714285714285714</v>
      </c>
      <c r="AB256" s="47">
        <f ca="1">PlayerGameData[[#This Row],[3FGA]]+PlayerGameData[[#This Row],[2FGA]]</f>
        <v>7</v>
      </c>
      <c r="AC256" s="47">
        <f ca="1">PlayerGameData[[#This Row],[OFF REB]]+PlayerGameData[[#This Row],[DEF REB]]</f>
        <v>5</v>
      </c>
      <c r="AD256" s="8">
        <f t="shared" si="120"/>
        <v>11</v>
      </c>
      <c r="AE256" s="8" t="str">
        <f t="shared" ca="1" si="121"/>
        <v>Kailer Duarte, 31 - Arvada Clearmont 1/20/2023</v>
      </c>
      <c r="AF256" s="8" t="str">
        <f t="shared" ca="1" si="140"/>
        <v>R</v>
      </c>
      <c r="AG256" s="8" t="str">
        <f ca="1">IFERROR(IF(C256=0,"",IF(AND(VLOOKUP(PlayerGameData[[#This Row],[Opponent]],WYTeamInfo,2,FALSE)=Roster!$D$1,VLOOKUP(PlayerGameData[[#This Row],[Opponent]],WYTeamInfo,3,FALSE)=Roster!$D$2),"SR","")),"")</f>
        <v>SR</v>
      </c>
      <c r="AH256" s="8" t="str">
        <f>CONCATENATE(Roster!$D$1," ",Roster!$D$5)</f>
        <v>1A BB</v>
      </c>
      <c r="AI256" s="8" t="str">
        <f t="shared" ca="1" si="122"/>
        <v>Upton - Arvada Clearmont 1/20/2023</v>
      </c>
      <c r="AJ256" s="8">
        <f ca="1">IFERROR(VLOOKUP(PlayerGameData[[#This Row],[School, Opponent,Game'#]],Table3[],2,FALSE),0)</f>
        <v>1</v>
      </c>
      <c r="AK256" s="8">
        <f ca="1">IF(PlayerGameData[[#This Row],[Visible]]=1,1,1000)</f>
        <v>1</v>
      </c>
      <c r="AL256" s="8">
        <f ca="1">RANK(PlayerGameData[[#This Row],[TL PTS]],PlayerGameData[TL PTS],0)+PlayerGameData[[#This Row],[VisibleOrder]]</f>
        <v>82</v>
      </c>
      <c r="AM256" s="8">
        <f ca="1">IF(COUNTIF(PlayerGameData[PointOrder],PlayerGameData[[#This Row],[PointOrder]])&gt;1,RANK(PlayerGameData[[#This Row],[FGA]],PlayerGameData[FGA],0)/100,0)+PlayerGameData[[#This Row],[PointOrder]]</f>
        <v>82.93</v>
      </c>
      <c r="AN256" s="8">
        <f ca="1">RANK(PlayerGameData[[#This Row],[PointTieBreak]],PlayerGameData[PointTieBreak],1)</f>
        <v>88</v>
      </c>
      <c r="AO256" s="8">
        <f ca="1">RANK(PlayerGameData[[#This Row],[REB]],PlayerGameData[REB],0)+PlayerGameData[[#This Row],[VisibleOrder]]</f>
        <v>52</v>
      </c>
      <c r="AP256" s="8">
        <f ca="1">IF(COUNTIF(PlayerGameData[REBOrder],PlayerGameData[[#This Row],[REBOrder]])&gt;1,PlayerGameData[[#This Row],[PointRank]]/100+PlayerGameData[[#This Row],[REBOrder]],PlayerGameData[[#This Row],[REBOrder]])</f>
        <v>52.88</v>
      </c>
      <c r="AQ256" s="8">
        <f ca="1">RANK(PlayerGameData[[#This Row],[REBTieBreak]],PlayerGameData[REBTieBreak],1)</f>
        <v>64</v>
      </c>
      <c r="AR256" s="8">
        <f ca="1">RANK(PlayerGameData[[#This Row],[AST]],PlayerGameData[AST],0)+PlayerGameData[[#This Row],[VisibleOrder]]</f>
        <v>158</v>
      </c>
      <c r="AS256" s="8">
        <f ca="1">IF(COUNTIF(PlayerGameData[ASTOrder],PlayerGameData[[#This Row],[ASTOrder]])&gt;1,PlayerGameData[[#This Row],[PointRank]]/100+PlayerGameData[[#This Row],[ASTOrder]],PlayerGameData[[#This Row],[ASTOrder]])</f>
        <v>158.88</v>
      </c>
      <c r="AT256" s="8">
        <f ca="1">RANK(PlayerGameData[[#This Row],[ASTTieBreak]],PlayerGameData[ASTTieBreak],1)</f>
        <v>163</v>
      </c>
      <c r="AU256" s="8">
        <f ca="1">RANK(PlayerGameData[[#This Row],[STL]],PlayerGameData[STL],0)+PlayerGameData[[#This Row],[VisibleOrder]]</f>
        <v>84</v>
      </c>
      <c r="AV256" s="8">
        <f ca="1">IF(COUNTIF(PlayerGameData[STLOrder],PlayerGameData[[#This Row],[STLOrder]])&gt;1,PlayerGameData[[#This Row],[PointRank]]/100+PlayerGameData[[#This Row],[STLOrder]],PlayerGameData[[#This Row],[STLOrder]])</f>
        <v>84.88</v>
      </c>
      <c r="AW256" s="8">
        <f ca="1">RANK(PlayerGameData[[#This Row],[STLTieBreak]],PlayerGameData[STLTieBreak],1)</f>
        <v>102</v>
      </c>
      <c r="AX256" s="8">
        <f ca="1">RANK(PlayerGameData[[#This Row],[BLK]],PlayerGameData[BLK],0)+PlayerGameData[[#This Row],[VisibleOrder]]</f>
        <v>11</v>
      </c>
      <c r="AY256" s="8">
        <f ca="1">IF(COUNTIF(PlayerGameData[BLKOrder],PlayerGameData[[#This Row],[BLKOrder]])&gt;1,PlayerGameData[[#This Row],[PointRank]]/100+PlayerGameData[[#This Row],[BLKOrder]],PlayerGameData[[#This Row],[BLKOrder]])</f>
        <v>11.88</v>
      </c>
      <c r="AZ256" s="8">
        <f ca="1">RANK(PlayerGameData[[#This Row],[BLKTieBreak]],PlayerGameData[BLKTieBreak],1)</f>
        <v>23</v>
      </c>
      <c r="BA256" s="11">
        <f ca="1">IFERROR(IF(PlayerGameData[[#This Row],[FGA]]&gt;$AA$5,PlayerGameData[[#This Row],[FG%*]],PlayerGameData[[#This Row],[FG%*]]*-1),-2)</f>
        <v>0.42857142857142855</v>
      </c>
      <c r="BB256" s="8">
        <f ca="1">RANK(PlayerGameData[[#This Row],[EligFG]],PlayerGameData[EligFG],0)+PlayerGameData[[#This Row],[VisibleOrder]]</f>
        <v>63</v>
      </c>
      <c r="BC256" s="8">
        <f ca="1">IF(COUNTIF(PlayerGameData[EligFGOrder],PlayerGameData[[#This Row],[EligFGOrder]])&gt;1,PlayerGameData[[#This Row],[PointRank]]/100+PlayerGameData[[#This Row],[EligFGOrder]],PlayerGameData[[#This Row],[EligFGOrder]])</f>
        <v>63.88</v>
      </c>
      <c r="BD256" s="8">
        <f ca="1">RANK(PlayerGameData[[#This Row],[EligFGTieBreak]],PlayerGameData[EligFGTieBreak],1)</f>
        <v>62</v>
      </c>
      <c r="BE256" s="8" t="str">
        <f>Roster!$D$3</f>
        <v>East</v>
      </c>
      <c r="BF256" s="8" t="str">
        <f>Roster!$D$2</f>
        <v>Northeast</v>
      </c>
      <c r="BG256" s="8" t="str">
        <f>Roster!$D$4</f>
        <v>North</v>
      </c>
      <c r="BH256" s="197">
        <f ca="1">IFERROR(VLOOKUP(CONCATENATE(PlayerGameData[[#This Row],[Opponent]]," ",MONTH(PlayerGameData[[#This Row],[Date]]),"/",DAY(PlayerGameData[[#This Row],[Date]]),"/",YEAR(PlayerGameData[[#This Row],[Date]])),Table35[],2,FALSE),0)</f>
        <v>1</v>
      </c>
      <c r="BI256" s="197">
        <f ca="1">IF(PlayerGameData[[#This Row],[Visible]]=1,1,1000)</f>
        <v>1</v>
      </c>
      <c r="BJ256" s="197" t="e">
        <f ca="1">_xlfn.MAXIFS(TeamGameData[Win],TeamGameData[School, Opponent,Game'#],PlayerGameData[[#This Row],[School, Opponent,Game'#]])</f>
        <v>#NAME?</v>
      </c>
      <c r="BK256" s="197" t="e">
        <f ca="1">_xlfn.MAXIFS(TeamGameData[Loss],TeamGameData[School, Opponent,Game'#],PlayerGameData[[#This Row],[School, Opponent,Game'#]])</f>
        <v>#NAME?</v>
      </c>
    </row>
    <row r="257" spans="1:63" x14ac:dyDescent="0.25">
      <c r="A257" s="8" t="str">
        <f t="shared" ca="1" si="123"/>
        <v>Matt Stirmel, 33</v>
      </c>
      <c r="B257" s="8" t="str">
        <f>Roster!$B$1</f>
        <v>Upton</v>
      </c>
      <c r="C257" s="8" t="str">
        <f t="shared" ca="1" si="111"/>
        <v>Arvada Clearmont</v>
      </c>
      <c r="D257" s="10">
        <f t="shared" ca="1" si="112"/>
        <v>44946</v>
      </c>
      <c r="E257" s="8">
        <f t="shared" ca="1" si="113"/>
        <v>1</v>
      </c>
      <c r="F257" s="8">
        <f t="shared" ca="1" si="114"/>
        <v>0</v>
      </c>
      <c r="G257" s="8">
        <f t="shared" ca="1" si="115"/>
        <v>6</v>
      </c>
      <c r="H257" s="8">
        <f t="shared" ca="1" si="116"/>
        <v>0</v>
      </c>
      <c r="I257" s="8">
        <f t="shared" ca="1" si="117"/>
        <v>0</v>
      </c>
      <c r="J257" s="8">
        <f t="shared" ca="1" si="118"/>
        <v>0</v>
      </c>
      <c r="K257" s="8">
        <f t="shared" ca="1" si="119"/>
        <v>1</v>
      </c>
      <c r="L257" s="8">
        <f t="shared" ca="1" si="124"/>
        <v>1</v>
      </c>
      <c r="M257" s="8">
        <f t="shared" ca="1" si="125"/>
        <v>2</v>
      </c>
      <c r="N257" s="8">
        <f t="shared" ca="1" si="126"/>
        <v>0</v>
      </c>
      <c r="O257" s="8">
        <f t="shared" ca="1" si="127"/>
        <v>1</v>
      </c>
      <c r="P257" s="8">
        <f t="shared" ca="1" si="128"/>
        <v>0</v>
      </c>
      <c r="Q257" s="8">
        <f t="shared" ca="1" si="129"/>
        <v>0</v>
      </c>
      <c r="R257" s="8">
        <f t="shared" ca="1" si="130"/>
        <v>0</v>
      </c>
      <c r="S257" s="8">
        <f t="shared" ca="1" si="131"/>
        <v>2</v>
      </c>
      <c r="T257" s="8">
        <f t="shared" ca="1" si="132"/>
        <v>2</v>
      </c>
      <c r="U257" s="8">
        <f t="shared" ca="1" si="133"/>
        <v>0</v>
      </c>
      <c r="V257" s="8">
        <f t="shared" ca="1" si="134"/>
        <v>1</v>
      </c>
      <c r="W257" s="11" t="str">
        <f t="shared" ca="1" si="135"/>
        <v/>
      </c>
      <c r="X257" s="11">
        <f t="shared" ca="1" si="136"/>
        <v>0</v>
      </c>
      <c r="Y257" s="11">
        <f t="shared" ca="1" si="137"/>
        <v>0.5</v>
      </c>
      <c r="Z257" s="11">
        <f t="shared" ca="1" si="138"/>
        <v>0</v>
      </c>
      <c r="AA257" s="11">
        <f t="shared" ca="1" si="139"/>
        <v>0</v>
      </c>
      <c r="AB257" s="47">
        <f ca="1">PlayerGameData[[#This Row],[3FGA]]+PlayerGameData[[#This Row],[2FGA]]</f>
        <v>1</v>
      </c>
      <c r="AC257" s="47">
        <f ca="1">PlayerGameData[[#This Row],[OFF REB]]+PlayerGameData[[#This Row],[DEF REB]]</f>
        <v>1</v>
      </c>
      <c r="AD257" s="8">
        <f t="shared" si="120"/>
        <v>11</v>
      </c>
      <c r="AE257" s="8" t="str">
        <f t="shared" ca="1" si="121"/>
        <v>Matt Stirmel, 33 - Arvada Clearmont 1/20/2023</v>
      </c>
      <c r="AF257" s="8" t="str">
        <f t="shared" ca="1" si="140"/>
        <v>R</v>
      </c>
      <c r="AG257" s="8" t="str">
        <f ca="1">IFERROR(IF(C257=0,"",IF(AND(VLOOKUP(PlayerGameData[[#This Row],[Opponent]],WYTeamInfo,2,FALSE)=Roster!$D$1,VLOOKUP(PlayerGameData[[#This Row],[Opponent]],WYTeamInfo,3,FALSE)=Roster!$D$2),"SR","")),"")</f>
        <v>SR</v>
      </c>
      <c r="AH257" s="8" t="str">
        <f>CONCATENATE(Roster!$D$1," ",Roster!$D$5)</f>
        <v>1A BB</v>
      </c>
      <c r="AI257" s="8" t="str">
        <f t="shared" ca="1" si="122"/>
        <v>Upton - Arvada Clearmont 1/20/2023</v>
      </c>
      <c r="AJ257" s="8">
        <f ca="1">IFERROR(VLOOKUP(PlayerGameData[[#This Row],[School, Opponent,Game'#]],Table3[],2,FALSE),0)</f>
        <v>1</v>
      </c>
      <c r="AK257" s="8">
        <f ca="1">IF(PlayerGameData[[#This Row],[Visible]]=1,1,1000)</f>
        <v>1</v>
      </c>
      <c r="AL257" s="8">
        <f ca="1">RANK(PlayerGameData[[#This Row],[TL PTS]],PlayerGameData[TL PTS],0)+PlayerGameData[[#This Row],[VisibleOrder]]</f>
        <v>176</v>
      </c>
      <c r="AM257" s="8">
        <f ca="1">IF(COUNTIF(PlayerGameData[PointOrder],PlayerGameData[[#This Row],[PointOrder]])&gt;1,RANK(PlayerGameData[[#This Row],[FGA]],PlayerGameData[FGA],0)/100,0)+PlayerGameData[[#This Row],[PointOrder]]</f>
        <v>177.82</v>
      </c>
      <c r="AN257" s="8">
        <f ca="1">RANK(PlayerGameData[[#This Row],[PointTieBreak]],PlayerGameData[PointTieBreak],1)</f>
        <v>180</v>
      </c>
      <c r="AO257" s="8">
        <f ca="1">RANK(PlayerGameData[[#This Row],[REB]],PlayerGameData[REB],0)+PlayerGameData[[#This Row],[VisibleOrder]]</f>
        <v>163</v>
      </c>
      <c r="AP257" s="8">
        <f ca="1">IF(COUNTIF(PlayerGameData[REBOrder],PlayerGameData[[#This Row],[REBOrder]])&gt;1,PlayerGameData[[#This Row],[PointRank]]/100+PlayerGameData[[#This Row],[REBOrder]],PlayerGameData[[#This Row],[REBOrder]])</f>
        <v>164.8</v>
      </c>
      <c r="AQ257" s="8">
        <f ca="1">RANK(PlayerGameData[[#This Row],[REBTieBreak]],PlayerGameData[REBTieBreak],1)</f>
        <v>180</v>
      </c>
      <c r="AR257" s="8">
        <f ca="1">RANK(PlayerGameData[[#This Row],[AST]],PlayerGameData[AST],0)+PlayerGameData[[#This Row],[VisibleOrder]]</f>
        <v>158</v>
      </c>
      <c r="AS257" s="8">
        <f ca="1">IF(COUNTIF(PlayerGameData[ASTOrder],PlayerGameData[[#This Row],[ASTOrder]])&gt;1,PlayerGameData[[#This Row],[PointRank]]/100+PlayerGameData[[#This Row],[ASTOrder]],PlayerGameData[[#This Row],[ASTOrder]])</f>
        <v>159.80000000000001</v>
      </c>
      <c r="AT257" s="8">
        <f ca="1">RANK(PlayerGameData[[#This Row],[ASTTieBreak]],PlayerGameData[ASTTieBreak],1)</f>
        <v>196</v>
      </c>
      <c r="AU257" s="8">
        <f ca="1">RANK(PlayerGameData[[#This Row],[STL]],PlayerGameData[STL],0)+PlayerGameData[[#This Row],[VisibleOrder]]</f>
        <v>143</v>
      </c>
      <c r="AV257" s="8">
        <f ca="1">IF(COUNTIF(PlayerGameData[STLOrder],PlayerGameData[[#This Row],[STLOrder]])&gt;1,PlayerGameData[[#This Row],[PointRank]]/100+PlayerGameData[[#This Row],[STLOrder]],PlayerGameData[[#This Row],[STLOrder]])</f>
        <v>144.80000000000001</v>
      </c>
      <c r="AW257" s="8">
        <f ca="1">RANK(PlayerGameData[[#This Row],[STLTieBreak]],PlayerGameData[STLTieBreak],1)</f>
        <v>190</v>
      </c>
      <c r="AX257" s="8">
        <f ca="1">RANK(PlayerGameData[[#This Row],[BLK]],PlayerGameData[BLK],0)+PlayerGameData[[#This Row],[VisibleOrder]]</f>
        <v>32</v>
      </c>
      <c r="AY257" s="8">
        <f ca="1">IF(COUNTIF(PlayerGameData[BLKOrder],PlayerGameData[[#This Row],[BLKOrder]])&gt;1,PlayerGameData[[#This Row],[PointRank]]/100+PlayerGameData[[#This Row],[BLKOrder]],PlayerGameData[[#This Row],[BLKOrder]])</f>
        <v>33.799999999999997</v>
      </c>
      <c r="AZ257" s="8">
        <f ca="1">RANK(PlayerGameData[[#This Row],[BLKTieBreak]],PlayerGameData[BLKTieBreak],1)</f>
        <v>181</v>
      </c>
      <c r="BA257" s="11">
        <f ca="1">IFERROR(IF(PlayerGameData[[#This Row],[FGA]]&gt;$AA$5,PlayerGameData[[#This Row],[FG%*]],PlayerGameData[[#This Row],[FG%*]]*-1),-2)</f>
        <v>0</v>
      </c>
      <c r="BB257" s="8">
        <f ca="1">RANK(PlayerGameData[[#This Row],[EligFG]],PlayerGameData[EligFG],0)+PlayerGameData[[#This Row],[VisibleOrder]]</f>
        <v>117</v>
      </c>
      <c r="BC257" s="8">
        <f ca="1">IF(COUNTIF(PlayerGameData[EligFGOrder],PlayerGameData[[#This Row],[EligFGOrder]])&gt;1,PlayerGameData[[#This Row],[PointRank]]/100+PlayerGameData[[#This Row],[EligFGOrder]],PlayerGameData[[#This Row],[EligFGOrder]])</f>
        <v>118.8</v>
      </c>
      <c r="BD257" s="8">
        <f ca="1">RANK(PlayerGameData[[#This Row],[EligFGTieBreak]],PlayerGameData[EligFGTieBreak],1)</f>
        <v>123</v>
      </c>
      <c r="BE257" s="8" t="str">
        <f>Roster!$D$3</f>
        <v>East</v>
      </c>
      <c r="BF257" s="8" t="str">
        <f>Roster!$D$2</f>
        <v>Northeast</v>
      </c>
      <c r="BG257" s="8" t="str">
        <f>Roster!$D$4</f>
        <v>North</v>
      </c>
      <c r="BH257" s="197">
        <f ca="1">IFERROR(VLOOKUP(CONCATENATE(PlayerGameData[[#This Row],[Opponent]]," ",MONTH(PlayerGameData[[#This Row],[Date]]),"/",DAY(PlayerGameData[[#This Row],[Date]]),"/",YEAR(PlayerGameData[[#This Row],[Date]])),Table35[],2,FALSE),0)</f>
        <v>1</v>
      </c>
      <c r="BI257" s="197">
        <f ca="1">IF(PlayerGameData[[#This Row],[Visible]]=1,1,1000)</f>
        <v>1</v>
      </c>
      <c r="BJ257" s="197" t="e">
        <f ca="1">_xlfn.MAXIFS(TeamGameData[Win],TeamGameData[School, Opponent,Game'#],PlayerGameData[[#This Row],[School, Opponent,Game'#]])</f>
        <v>#NAME?</v>
      </c>
      <c r="BK257" s="197" t="e">
        <f ca="1">_xlfn.MAXIFS(TeamGameData[Loss],TeamGameData[School, Opponent,Game'#],PlayerGameData[[#This Row],[School, Opponent,Game'#]])</f>
        <v>#NAME?</v>
      </c>
    </row>
    <row r="258" spans="1:63" x14ac:dyDescent="0.25">
      <c r="A258" s="8" t="str">
        <f t="shared" ca="1" si="123"/>
        <v>Jacob McNutt, 34</v>
      </c>
      <c r="B258" s="8" t="str">
        <f>Roster!$B$1</f>
        <v>Upton</v>
      </c>
      <c r="C258" s="8" t="str">
        <f t="shared" ca="1" si="111"/>
        <v>Arvada Clearmont</v>
      </c>
      <c r="D258" s="10">
        <f t="shared" ca="1" si="112"/>
        <v>44946</v>
      </c>
      <c r="E258" s="8">
        <f t="shared" ca="1" si="113"/>
        <v>0</v>
      </c>
      <c r="F258" s="8">
        <f t="shared" ca="1" si="114"/>
        <v>0</v>
      </c>
      <c r="G258" s="8">
        <f t="shared" ca="1" si="115"/>
        <v>0</v>
      </c>
      <c r="H258" s="8">
        <f t="shared" ca="1" si="116"/>
        <v>0</v>
      </c>
      <c r="I258" s="8">
        <f t="shared" ca="1" si="117"/>
        <v>0</v>
      </c>
      <c r="J258" s="8">
        <f t="shared" ca="1" si="118"/>
        <v>0</v>
      </c>
      <c r="K258" s="8">
        <f t="shared" ca="1" si="119"/>
        <v>0</v>
      </c>
      <c r="L258" s="8">
        <f t="shared" ca="1" si="124"/>
        <v>0</v>
      </c>
      <c r="M258" s="8">
        <f t="shared" ca="1" si="125"/>
        <v>0</v>
      </c>
      <c r="N258" s="8">
        <f t="shared" ca="1" si="126"/>
        <v>0</v>
      </c>
      <c r="O258" s="8">
        <f t="shared" ca="1" si="127"/>
        <v>0</v>
      </c>
      <c r="P258" s="8">
        <f t="shared" ca="1" si="128"/>
        <v>0</v>
      </c>
      <c r="Q258" s="8">
        <f t="shared" ca="1" si="129"/>
        <v>0</v>
      </c>
      <c r="R258" s="8">
        <f t="shared" ca="1" si="130"/>
        <v>0</v>
      </c>
      <c r="S258" s="8">
        <f t="shared" ca="1" si="131"/>
        <v>0</v>
      </c>
      <c r="T258" s="8">
        <f t="shared" ca="1" si="132"/>
        <v>0</v>
      </c>
      <c r="U258" s="8">
        <f t="shared" ca="1" si="133"/>
        <v>0</v>
      </c>
      <c r="V258" s="8">
        <f t="shared" ca="1" si="134"/>
        <v>0</v>
      </c>
      <c r="W258" s="11" t="str">
        <f t="shared" ca="1" si="135"/>
        <v/>
      </c>
      <c r="X258" s="11" t="str">
        <f t="shared" ca="1" si="136"/>
        <v/>
      </c>
      <c r="Y258" s="11" t="str">
        <f t="shared" ca="1" si="137"/>
        <v/>
      </c>
      <c r="Z258" s="11" t="str">
        <f t="shared" ca="1" si="138"/>
        <v/>
      </c>
      <c r="AA258" s="11" t="str">
        <f t="shared" ca="1" si="139"/>
        <v/>
      </c>
      <c r="AB258" s="47">
        <f ca="1">PlayerGameData[[#This Row],[3FGA]]+PlayerGameData[[#This Row],[2FGA]]</f>
        <v>0</v>
      </c>
      <c r="AC258" s="47">
        <f ca="1">PlayerGameData[[#This Row],[OFF REB]]+PlayerGameData[[#This Row],[DEF REB]]</f>
        <v>0</v>
      </c>
      <c r="AD258" s="8">
        <f t="shared" si="120"/>
        <v>11</v>
      </c>
      <c r="AE258" s="8" t="str">
        <f t="shared" ca="1" si="121"/>
        <v>Jacob McNutt, 34 - Arvada Clearmont 1/20/2023</v>
      </c>
      <c r="AF258" s="8" t="str">
        <f t="shared" ca="1" si="140"/>
        <v>R</v>
      </c>
      <c r="AG258" s="8" t="str">
        <f ca="1">IFERROR(IF(C258=0,"",IF(AND(VLOOKUP(PlayerGameData[[#This Row],[Opponent]],WYTeamInfo,2,FALSE)=Roster!$D$1,VLOOKUP(PlayerGameData[[#This Row],[Opponent]],WYTeamInfo,3,FALSE)=Roster!$D$2),"SR","")),"")</f>
        <v>SR</v>
      </c>
      <c r="AH258" s="8" t="str">
        <f>CONCATENATE(Roster!$D$1," ",Roster!$D$5)</f>
        <v>1A BB</v>
      </c>
      <c r="AI258" s="8" t="str">
        <f t="shared" ca="1" si="122"/>
        <v>Upton - Arvada Clearmont 1/20/2023</v>
      </c>
      <c r="AJ258" s="8">
        <f ca="1">IFERROR(VLOOKUP(PlayerGameData[[#This Row],[School, Opponent,Game'#]],Table3[],2,FALSE),0)</f>
        <v>1</v>
      </c>
      <c r="AK258" s="8">
        <f ca="1">IF(PlayerGameData[[#This Row],[Visible]]=1,1,1000)</f>
        <v>1</v>
      </c>
      <c r="AL258" s="8">
        <f ca="1">RANK(PlayerGameData[[#This Row],[TL PTS]],PlayerGameData[TL PTS],0)+PlayerGameData[[#This Row],[VisibleOrder]]</f>
        <v>185</v>
      </c>
      <c r="AM258" s="8">
        <f ca="1">IF(COUNTIF(PlayerGameData[PointOrder],PlayerGameData[[#This Row],[PointOrder]])&gt;1,RANK(PlayerGameData[[#This Row],[FGA]],PlayerGameData[FGA],0)/100,0)+PlayerGameData[[#This Row],[PointOrder]]</f>
        <v>187.14</v>
      </c>
      <c r="AN258" s="8">
        <f ca="1">RANK(PlayerGameData[[#This Row],[PointTieBreak]],PlayerGameData[PointTieBreak],1)</f>
        <v>216</v>
      </c>
      <c r="AO258" s="8">
        <f ca="1">RANK(PlayerGameData[[#This Row],[REB]],PlayerGameData[REB],0)+PlayerGameData[[#This Row],[VisibleOrder]]</f>
        <v>192</v>
      </c>
      <c r="AP258" s="8">
        <f ca="1">IF(COUNTIF(PlayerGameData[REBOrder],PlayerGameData[[#This Row],[REBOrder]])&gt;1,PlayerGameData[[#This Row],[PointRank]]/100+PlayerGameData[[#This Row],[REBOrder]],PlayerGameData[[#This Row],[REBOrder]])</f>
        <v>194.16</v>
      </c>
      <c r="AQ258" s="8">
        <f ca="1">RANK(PlayerGameData[[#This Row],[REBTieBreak]],PlayerGameData[REBTieBreak],1)</f>
        <v>224</v>
      </c>
      <c r="AR258" s="8">
        <f ca="1">RANK(PlayerGameData[[#This Row],[AST]],PlayerGameData[AST],0)+PlayerGameData[[#This Row],[VisibleOrder]]</f>
        <v>158</v>
      </c>
      <c r="AS258" s="8">
        <f ca="1">IF(COUNTIF(PlayerGameData[ASTOrder],PlayerGameData[[#This Row],[ASTOrder]])&gt;1,PlayerGameData[[#This Row],[PointRank]]/100+PlayerGameData[[#This Row],[ASTOrder]],PlayerGameData[[#This Row],[ASTOrder]])</f>
        <v>160.16</v>
      </c>
      <c r="AT258" s="8">
        <f ca="1">RANK(PlayerGameData[[#This Row],[ASTTieBreak]],PlayerGameData[ASTTieBreak],1)</f>
        <v>221</v>
      </c>
      <c r="AU258" s="8">
        <f ca="1">RANK(PlayerGameData[[#This Row],[STL]],PlayerGameData[STL],0)+PlayerGameData[[#This Row],[VisibleOrder]]</f>
        <v>143</v>
      </c>
      <c r="AV258" s="8">
        <f ca="1">IF(COUNTIF(PlayerGameData[STLOrder],PlayerGameData[[#This Row],[STLOrder]])&gt;1,PlayerGameData[[#This Row],[PointRank]]/100+PlayerGameData[[#This Row],[STLOrder]],PlayerGameData[[#This Row],[STLOrder]])</f>
        <v>145.16</v>
      </c>
      <c r="AW258" s="8">
        <f ca="1">RANK(PlayerGameData[[#This Row],[STLTieBreak]],PlayerGameData[STLTieBreak],1)</f>
        <v>217</v>
      </c>
      <c r="AX258" s="8">
        <f ca="1">RANK(PlayerGameData[[#This Row],[BLK]],PlayerGameData[BLK],0)+PlayerGameData[[#This Row],[VisibleOrder]]</f>
        <v>32</v>
      </c>
      <c r="AY258" s="8">
        <f ca="1">IF(COUNTIF(PlayerGameData[BLKOrder],PlayerGameData[[#This Row],[BLKOrder]])&gt;1,PlayerGameData[[#This Row],[PointRank]]/100+PlayerGameData[[#This Row],[BLKOrder]],PlayerGameData[[#This Row],[BLKOrder]])</f>
        <v>34.159999999999997</v>
      </c>
      <c r="AZ258" s="8">
        <f ca="1">RANK(PlayerGameData[[#This Row],[BLKTieBreak]],PlayerGameData[BLKTieBreak],1)</f>
        <v>216</v>
      </c>
      <c r="BA258" s="11">
        <f ca="1">IFERROR(IF(PlayerGameData[[#This Row],[FGA]]&gt;$AA$5,PlayerGameData[[#This Row],[FG%*]],PlayerGameData[[#This Row],[FG%*]]*-1),-2)</f>
        <v>-2</v>
      </c>
      <c r="BB258" s="8">
        <f ca="1">RANK(PlayerGameData[[#This Row],[EligFG]],PlayerGameData[EligFG],0)+PlayerGameData[[#This Row],[VisibleOrder]]</f>
        <v>215</v>
      </c>
      <c r="BC258" s="8">
        <f ca="1">IF(COUNTIF(PlayerGameData[EligFGOrder],PlayerGameData[[#This Row],[EligFGOrder]])&gt;1,PlayerGameData[[#This Row],[PointRank]]/100+PlayerGameData[[#This Row],[EligFGOrder]],PlayerGameData[[#This Row],[EligFGOrder]])</f>
        <v>217.16</v>
      </c>
      <c r="BD258" s="8">
        <f ca="1">RANK(PlayerGameData[[#This Row],[EligFGTieBreak]],PlayerGameData[EligFGTieBreak],1)</f>
        <v>216</v>
      </c>
      <c r="BE258" s="8" t="str">
        <f>Roster!$D$3</f>
        <v>East</v>
      </c>
      <c r="BF258" s="8" t="str">
        <f>Roster!$D$2</f>
        <v>Northeast</v>
      </c>
      <c r="BG258" s="8" t="str">
        <f>Roster!$D$4</f>
        <v>North</v>
      </c>
      <c r="BH258" s="197">
        <f ca="1">IFERROR(VLOOKUP(CONCATENATE(PlayerGameData[[#This Row],[Opponent]]," ",MONTH(PlayerGameData[[#This Row],[Date]]),"/",DAY(PlayerGameData[[#This Row],[Date]]),"/",YEAR(PlayerGameData[[#This Row],[Date]])),Table35[],2,FALSE),0)</f>
        <v>1</v>
      </c>
      <c r="BI258" s="197">
        <f ca="1">IF(PlayerGameData[[#This Row],[Visible]]=1,1,1000)</f>
        <v>1</v>
      </c>
      <c r="BJ258" s="197" t="e">
        <f ca="1">_xlfn.MAXIFS(TeamGameData[Win],TeamGameData[School, Opponent,Game'#],PlayerGameData[[#This Row],[School, Opponent,Game'#]])</f>
        <v>#NAME?</v>
      </c>
      <c r="BK258" s="197" t="e">
        <f ca="1">_xlfn.MAXIFS(TeamGameData[Loss],TeamGameData[School, Opponent,Game'#],PlayerGameData[[#This Row],[School, Opponent,Game'#]])</f>
        <v>#NAME?</v>
      </c>
    </row>
    <row r="259" spans="1:63" x14ac:dyDescent="0.25">
      <c r="A259" s="8" t="str">
        <f t="shared" ca="1" si="123"/>
        <v>Ryan Baker, 35</v>
      </c>
      <c r="B259" s="8" t="str">
        <f>Roster!$B$1</f>
        <v>Upton</v>
      </c>
      <c r="C259" s="8" t="str">
        <f t="shared" ca="1" si="111"/>
        <v>Arvada Clearmont</v>
      </c>
      <c r="D259" s="10">
        <f t="shared" ca="1" si="112"/>
        <v>44946</v>
      </c>
      <c r="E259" s="8">
        <f t="shared" ca="1" si="113"/>
        <v>1</v>
      </c>
      <c r="F259" s="8">
        <f t="shared" ca="1" si="114"/>
        <v>0</v>
      </c>
      <c r="G259" s="8">
        <f t="shared" ca="1" si="115"/>
        <v>16</v>
      </c>
      <c r="H259" s="8">
        <f t="shared" ca="1" si="116"/>
        <v>0</v>
      </c>
      <c r="I259" s="8">
        <f t="shared" ca="1" si="117"/>
        <v>0</v>
      </c>
      <c r="J259" s="8">
        <f t="shared" ca="1" si="118"/>
        <v>2</v>
      </c>
      <c r="K259" s="8">
        <f t="shared" ca="1" si="119"/>
        <v>4</v>
      </c>
      <c r="L259" s="8">
        <f t="shared" ca="1" si="124"/>
        <v>0</v>
      </c>
      <c r="M259" s="8">
        <f t="shared" ca="1" si="125"/>
        <v>2</v>
      </c>
      <c r="N259" s="8">
        <f t="shared" ca="1" si="126"/>
        <v>7</v>
      </c>
      <c r="O259" s="8">
        <f t="shared" ca="1" si="127"/>
        <v>3</v>
      </c>
      <c r="P259" s="8">
        <f t="shared" ca="1" si="128"/>
        <v>1</v>
      </c>
      <c r="Q259" s="8">
        <f t="shared" ca="1" si="129"/>
        <v>1</v>
      </c>
      <c r="R259" s="8">
        <f t="shared" ca="1" si="130"/>
        <v>0</v>
      </c>
      <c r="S259" s="8">
        <f t="shared" ca="1" si="131"/>
        <v>1</v>
      </c>
      <c r="T259" s="8">
        <f t="shared" ca="1" si="132"/>
        <v>1</v>
      </c>
      <c r="U259" s="8">
        <f t="shared" ca="1" si="133"/>
        <v>0</v>
      </c>
      <c r="V259" s="8">
        <f t="shared" ca="1" si="134"/>
        <v>4</v>
      </c>
      <c r="W259" s="11" t="str">
        <f t="shared" ca="1" si="135"/>
        <v/>
      </c>
      <c r="X259" s="11">
        <f t="shared" ca="1" si="136"/>
        <v>0.5</v>
      </c>
      <c r="Y259" s="11">
        <f t="shared" ca="1" si="137"/>
        <v>0</v>
      </c>
      <c r="Z259" s="11">
        <f t="shared" ca="1" si="138"/>
        <v>0.5</v>
      </c>
      <c r="AA259" s="11">
        <f t="shared" ca="1" si="139"/>
        <v>0.5</v>
      </c>
      <c r="AB259" s="47">
        <f ca="1">PlayerGameData[[#This Row],[3FGA]]+PlayerGameData[[#This Row],[2FGA]]</f>
        <v>4</v>
      </c>
      <c r="AC259" s="47">
        <f ca="1">PlayerGameData[[#This Row],[OFF REB]]+PlayerGameData[[#This Row],[DEF REB]]</f>
        <v>10</v>
      </c>
      <c r="AD259" s="8">
        <f t="shared" si="120"/>
        <v>11</v>
      </c>
      <c r="AE259" s="8" t="str">
        <f t="shared" ca="1" si="121"/>
        <v>Ryan Baker, 35 - Arvada Clearmont 1/20/2023</v>
      </c>
      <c r="AF259" s="8" t="str">
        <f t="shared" ca="1" si="140"/>
        <v>R</v>
      </c>
      <c r="AG259" s="8" t="str">
        <f ca="1">IFERROR(IF(C259=0,"",IF(AND(VLOOKUP(PlayerGameData[[#This Row],[Opponent]],WYTeamInfo,2,FALSE)=Roster!$D$1,VLOOKUP(PlayerGameData[[#This Row],[Opponent]],WYTeamInfo,3,FALSE)=Roster!$D$2),"SR","")),"")</f>
        <v>SR</v>
      </c>
      <c r="AH259" s="8" t="str">
        <f>CONCATENATE(Roster!$D$1," ",Roster!$D$5)</f>
        <v>1A BB</v>
      </c>
      <c r="AI259" s="8" t="str">
        <f t="shared" ca="1" si="122"/>
        <v>Upton - Arvada Clearmont 1/20/2023</v>
      </c>
      <c r="AJ259" s="8">
        <f ca="1">IFERROR(VLOOKUP(PlayerGameData[[#This Row],[School, Opponent,Game'#]],Table3[],2,FALSE),0)</f>
        <v>1</v>
      </c>
      <c r="AK259" s="8">
        <f ca="1">IF(PlayerGameData[[#This Row],[Visible]]=1,1,1000)</f>
        <v>1</v>
      </c>
      <c r="AL259" s="8">
        <f ca="1">RANK(PlayerGameData[[#This Row],[TL PTS]],PlayerGameData[TL PTS],0)+PlayerGameData[[#This Row],[VisibleOrder]]</f>
        <v>118</v>
      </c>
      <c r="AM259" s="8">
        <f ca="1">IF(COUNTIF(PlayerGameData[PointOrder],PlayerGameData[[#This Row],[PointOrder]])&gt;1,RANK(PlayerGameData[[#This Row],[FGA]],PlayerGameData[FGA],0)/100,0)+PlayerGameData[[#This Row],[PointOrder]]</f>
        <v>119.27</v>
      </c>
      <c r="AN259" s="8">
        <f ca="1">RANK(PlayerGameData[[#This Row],[PointTieBreak]],PlayerGameData[PointTieBreak],1)</f>
        <v>125</v>
      </c>
      <c r="AO259" s="8">
        <f ca="1">RANK(PlayerGameData[[#This Row],[REB]],PlayerGameData[REB],0)+PlayerGameData[[#This Row],[VisibleOrder]]</f>
        <v>6</v>
      </c>
      <c r="AP259" s="8">
        <f ca="1">IF(COUNTIF(PlayerGameData[REBOrder],PlayerGameData[[#This Row],[REBOrder]])&gt;1,PlayerGameData[[#This Row],[PointRank]]/100+PlayerGameData[[#This Row],[REBOrder]],PlayerGameData[[#This Row],[REBOrder]])</f>
        <v>7.25</v>
      </c>
      <c r="AQ259" s="8">
        <f ca="1">RANK(PlayerGameData[[#This Row],[REBTieBreak]],PlayerGameData[REBTieBreak],1)</f>
        <v>11</v>
      </c>
      <c r="AR259" s="8">
        <f ca="1">RANK(PlayerGameData[[#This Row],[AST]],PlayerGameData[AST],0)+PlayerGameData[[#This Row],[VisibleOrder]]</f>
        <v>115</v>
      </c>
      <c r="AS259" s="8">
        <f ca="1">IF(COUNTIF(PlayerGameData[ASTOrder],PlayerGameData[[#This Row],[ASTOrder]])&gt;1,PlayerGameData[[#This Row],[PointRank]]/100+PlayerGameData[[#This Row],[ASTOrder]],PlayerGameData[[#This Row],[ASTOrder]])</f>
        <v>116.25</v>
      </c>
      <c r="AT259" s="8">
        <f ca="1">RANK(PlayerGameData[[#This Row],[ASTTieBreak]],PlayerGameData[ASTTieBreak],1)</f>
        <v>137</v>
      </c>
      <c r="AU259" s="8">
        <f ca="1">RANK(PlayerGameData[[#This Row],[STL]],PlayerGameData[STL],0)+PlayerGameData[[#This Row],[VisibleOrder]]</f>
        <v>84</v>
      </c>
      <c r="AV259" s="8">
        <f ca="1">IF(COUNTIF(PlayerGameData[STLOrder],PlayerGameData[[#This Row],[STLOrder]])&gt;1,PlayerGameData[[#This Row],[PointRank]]/100+PlayerGameData[[#This Row],[STLOrder]],PlayerGameData[[#This Row],[STLOrder]])</f>
        <v>85.25</v>
      </c>
      <c r="AW259" s="8">
        <f ca="1">RANK(PlayerGameData[[#This Row],[STLTieBreak]],PlayerGameData[STLTieBreak],1)</f>
        <v>118</v>
      </c>
      <c r="AX259" s="8">
        <f ca="1">RANK(PlayerGameData[[#This Row],[BLK]],PlayerGameData[BLK],0)+PlayerGameData[[#This Row],[VisibleOrder]]</f>
        <v>32</v>
      </c>
      <c r="AY259" s="8">
        <f ca="1">IF(COUNTIF(PlayerGameData[BLKOrder],PlayerGameData[[#This Row],[BLKOrder]])&gt;1,PlayerGameData[[#This Row],[PointRank]]/100+PlayerGameData[[#This Row],[BLKOrder]],PlayerGameData[[#This Row],[BLKOrder]])</f>
        <v>33.25</v>
      </c>
      <c r="AZ259" s="8">
        <f ca="1">RANK(PlayerGameData[[#This Row],[BLKTieBreak]],PlayerGameData[BLKTieBreak],1)</f>
        <v>129</v>
      </c>
      <c r="BA259" s="11">
        <f ca="1">IFERROR(IF(PlayerGameData[[#This Row],[FGA]]&gt;$AA$5,PlayerGameData[[#This Row],[FG%*]],PlayerGameData[[#This Row],[FG%*]]*-1),-2)</f>
        <v>-0.5</v>
      </c>
      <c r="BB259" s="8">
        <f ca="1">RANK(PlayerGameData[[#This Row],[EligFG]],PlayerGameData[EligFG],0)+PlayerGameData[[#This Row],[VisibleOrder]]</f>
        <v>182</v>
      </c>
      <c r="BC259" s="8">
        <f ca="1">IF(COUNTIF(PlayerGameData[EligFGOrder],PlayerGameData[[#This Row],[EligFGOrder]])&gt;1,PlayerGameData[[#This Row],[PointRank]]/100+PlayerGameData[[#This Row],[EligFGOrder]],PlayerGameData[[#This Row],[EligFGOrder]])</f>
        <v>183.25</v>
      </c>
      <c r="BD259" s="8">
        <f ca="1">RANK(PlayerGameData[[#This Row],[EligFGTieBreak]],PlayerGameData[EligFGTieBreak],1)</f>
        <v>181</v>
      </c>
      <c r="BE259" s="8" t="str">
        <f>Roster!$D$3</f>
        <v>East</v>
      </c>
      <c r="BF259" s="8" t="str">
        <f>Roster!$D$2</f>
        <v>Northeast</v>
      </c>
      <c r="BG259" s="8" t="str">
        <f>Roster!$D$4</f>
        <v>North</v>
      </c>
      <c r="BH259" s="197">
        <f ca="1">IFERROR(VLOOKUP(CONCATENATE(PlayerGameData[[#This Row],[Opponent]]," ",MONTH(PlayerGameData[[#This Row],[Date]]),"/",DAY(PlayerGameData[[#This Row],[Date]]),"/",YEAR(PlayerGameData[[#This Row],[Date]])),Table35[],2,FALSE),0)</f>
        <v>1</v>
      </c>
      <c r="BI259" s="197">
        <f ca="1">IF(PlayerGameData[[#This Row],[Visible]]=1,1,1000)</f>
        <v>1</v>
      </c>
      <c r="BJ259" s="197" t="e">
        <f ca="1">_xlfn.MAXIFS(TeamGameData[Win],TeamGameData[School, Opponent,Game'#],PlayerGameData[[#This Row],[School, Opponent,Game'#]])</f>
        <v>#NAME?</v>
      </c>
      <c r="BK259" s="197" t="e">
        <f ca="1">_xlfn.MAXIFS(TeamGameData[Loss],TeamGameData[School, Opponent,Game'#],PlayerGameData[[#This Row],[School, Opponent,Game'#]])</f>
        <v>#NAME?</v>
      </c>
    </row>
    <row r="260" spans="1:63" x14ac:dyDescent="0.25">
      <c r="A260" s="8" t="str">
        <f t="shared" ca="1" si="123"/>
        <v xml:space="preserve">, </v>
      </c>
      <c r="B260" s="8" t="str">
        <f>Roster!$B$1</f>
        <v>Upton</v>
      </c>
      <c r="C260" s="8" t="str">
        <f t="shared" ca="1" si="111"/>
        <v>Arvada Clearmont</v>
      </c>
      <c r="D260" s="10">
        <f t="shared" ca="1" si="112"/>
        <v>44946</v>
      </c>
      <c r="E260" s="8">
        <f t="shared" ca="1" si="113"/>
        <v>0</v>
      </c>
      <c r="F260" s="8">
        <f t="shared" ca="1" si="114"/>
        <v>0</v>
      </c>
      <c r="G260" s="8">
        <f t="shared" ca="1" si="115"/>
        <v>0</v>
      </c>
      <c r="H260" s="8">
        <f t="shared" ca="1" si="116"/>
        <v>0</v>
      </c>
      <c r="I260" s="8">
        <f t="shared" ca="1" si="117"/>
        <v>0</v>
      </c>
      <c r="J260" s="8">
        <f t="shared" ca="1" si="118"/>
        <v>0</v>
      </c>
      <c r="K260" s="8">
        <f t="shared" ca="1" si="119"/>
        <v>0</v>
      </c>
      <c r="L260" s="8">
        <f t="shared" ca="1" si="124"/>
        <v>0</v>
      </c>
      <c r="M260" s="8">
        <f t="shared" ca="1" si="125"/>
        <v>0</v>
      </c>
      <c r="N260" s="8">
        <f t="shared" ca="1" si="126"/>
        <v>0</v>
      </c>
      <c r="O260" s="8">
        <f t="shared" ca="1" si="127"/>
        <v>0</v>
      </c>
      <c r="P260" s="8">
        <f t="shared" ca="1" si="128"/>
        <v>0</v>
      </c>
      <c r="Q260" s="8">
        <f t="shared" ca="1" si="129"/>
        <v>0</v>
      </c>
      <c r="R260" s="8">
        <f t="shared" ca="1" si="130"/>
        <v>0</v>
      </c>
      <c r="S260" s="8">
        <f t="shared" ca="1" si="131"/>
        <v>0</v>
      </c>
      <c r="T260" s="8">
        <f t="shared" ca="1" si="132"/>
        <v>0</v>
      </c>
      <c r="U260" s="8">
        <f t="shared" ca="1" si="133"/>
        <v>0</v>
      </c>
      <c r="V260" s="8">
        <f t="shared" ca="1" si="134"/>
        <v>0</v>
      </c>
      <c r="W260" s="11" t="str">
        <f t="shared" ca="1" si="135"/>
        <v/>
      </c>
      <c r="X260" s="11" t="str">
        <f t="shared" ca="1" si="136"/>
        <v/>
      </c>
      <c r="Y260" s="11" t="str">
        <f t="shared" ca="1" si="137"/>
        <v/>
      </c>
      <c r="Z260" s="11" t="str">
        <f t="shared" ca="1" si="138"/>
        <v/>
      </c>
      <c r="AA260" s="11" t="str">
        <f t="shared" ca="1" si="139"/>
        <v/>
      </c>
      <c r="AB260" s="47">
        <f ca="1">PlayerGameData[[#This Row],[3FGA]]+PlayerGameData[[#This Row],[2FGA]]</f>
        <v>0</v>
      </c>
      <c r="AC260" s="47">
        <f ca="1">PlayerGameData[[#This Row],[OFF REB]]+PlayerGameData[[#This Row],[DEF REB]]</f>
        <v>0</v>
      </c>
      <c r="AD260" s="8">
        <f t="shared" si="120"/>
        <v>11</v>
      </c>
      <c r="AE260" s="8" t="str">
        <f t="shared" ca="1" si="121"/>
        <v>,  - Arvada Clearmont 1/20/2023</v>
      </c>
      <c r="AF260" s="8" t="str">
        <f t="shared" ca="1" si="140"/>
        <v>R</v>
      </c>
      <c r="AG260" s="8" t="str">
        <f ca="1">IFERROR(IF(C260=0,"",IF(AND(VLOOKUP(PlayerGameData[[#This Row],[Opponent]],WYTeamInfo,2,FALSE)=Roster!$D$1,VLOOKUP(PlayerGameData[[#This Row],[Opponent]],WYTeamInfo,3,FALSE)=Roster!$D$2),"SR","")),"")</f>
        <v>SR</v>
      </c>
      <c r="AH260" s="8" t="str">
        <f>CONCATENATE(Roster!$D$1," ",Roster!$D$5)</f>
        <v>1A BB</v>
      </c>
      <c r="AI260" s="8" t="str">
        <f t="shared" ca="1" si="122"/>
        <v>Upton - Arvada Clearmont 1/20/2023</v>
      </c>
      <c r="AJ260" s="8">
        <f ca="1">IFERROR(VLOOKUP(PlayerGameData[[#This Row],[School, Opponent,Game'#]],Table3[],2,FALSE),0)</f>
        <v>1</v>
      </c>
      <c r="AK260" s="8">
        <f ca="1">IF(PlayerGameData[[#This Row],[Visible]]=1,1,1000)</f>
        <v>1</v>
      </c>
      <c r="AL260" s="8">
        <f ca="1">RANK(PlayerGameData[[#This Row],[TL PTS]],PlayerGameData[TL PTS],0)+PlayerGameData[[#This Row],[VisibleOrder]]</f>
        <v>185</v>
      </c>
      <c r="AM260" s="8">
        <f ca="1">IF(COUNTIF(PlayerGameData[PointOrder],PlayerGameData[[#This Row],[PointOrder]])&gt;1,RANK(PlayerGameData[[#This Row],[FGA]],PlayerGameData[FGA],0)/100,0)+PlayerGameData[[#This Row],[PointOrder]]</f>
        <v>187.14</v>
      </c>
      <c r="AN260" s="8">
        <f ca="1">RANK(PlayerGameData[[#This Row],[PointTieBreak]],PlayerGameData[PointTieBreak],1)</f>
        <v>216</v>
      </c>
      <c r="AO260" s="8">
        <f ca="1">RANK(PlayerGameData[[#This Row],[REB]],PlayerGameData[REB],0)+PlayerGameData[[#This Row],[VisibleOrder]]</f>
        <v>192</v>
      </c>
      <c r="AP260" s="8">
        <f ca="1">IF(COUNTIF(PlayerGameData[REBOrder],PlayerGameData[[#This Row],[REBOrder]])&gt;1,PlayerGameData[[#This Row],[PointRank]]/100+PlayerGameData[[#This Row],[REBOrder]],PlayerGameData[[#This Row],[REBOrder]])</f>
        <v>194.16</v>
      </c>
      <c r="AQ260" s="8">
        <f ca="1">RANK(PlayerGameData[[#This Row],[REBTieBreak]],PlayerGameData[REBTieBreak],1)</f>
        <v>224</v>
      </c>
      <c r="AR260" s="8">
        <f ca="1">RANK(PlayerGameData[[#This Row],[AST]],PlayerGameData[AST],0)+PlayerGameData[[#This Row],[VisibleOrder]]</f>
        <v>158</v>
      </c>
      <c r="AS260" s="8">
        <f ca="1">IF(COUNTIF(PlayerGameData[ASTOrder],PlayerGameData[[#This Row],[ASTOrder]])&gt;1,PlayerGameData[[#This Row],[PointRank]]/100+PlayerGameData[[#This Row],[ASTOrder]],PlayerGameData[[#This Row],[ASTOrder]])</f>
        <v>160.16</v>
      </c>
      <c r="AT260" s="8">
        <f ca="1">RANK(PlayerGameData[[#This Row],[ASTTieBreak]],PlayerGameData[ASTTieBreak],1)</f>
        <v>221</v>
      </c>
      <c r="AU260" s="8">
        <f ca="1">RANK(PlayerGameData[[#This Row],[STL]],PlayerGameData[STL],0)+PlayerGameData[[#This Row],[VisibleOrder]]</f>
        <v>143</v>
      </c>
      <c r="AV260" s="8">
        <f ca="1">IF(COUNTIF(PlayerGameData[STLOrder],PlayerGameData[[#This Row],[STLOrder]])&gt;1,PlayerGameData[[#This Row],[PointRank]]/100+PlayerGameData[[#This Row],[STLOrder]],PlayerGameData[[#This Row],[STLOrder]])</f>
        <v>145.16</v>
      </c>
      <c r="AW260" s="8">
        <f ca="1">RANK(PlayerGameData[[#This Row],[STLTieBreak]],PlayerGameData[STLTieBreak],1)</f>
        <v>217</v>
      </c>
      <c r="AX260" s="8">
        <f ca="1">RANK(PlayerGameData[[#This Row],[BLK]],PlayerGameData[BLK],0)+PlayerGameData[[#This Row],[VisibleOrder]]</f>
        <v>32</v>
      </c>
      <c r="AY260" s="8">
        <f ca="1">IF(COUNTIF(PlayerGameData[BLKOrder],PlayerGameData[[#This Row],[BLKOrder]])&gt;1,PlayerGameData[[#This Row],[PointRank]]/100+PlayerGameData[[#This Row],[BLKOrder]],PlayerGameData[[#This Row],[BLKOrder]])</f>
        <v>34.159999999999997</v>
      </c>
      <c r="AZ260" s="8">
        <f ca="1">RANK(PlayerGameData[[#This Row],[BLKTieBreak]],PlayerGameData[BLKTieBreak],1)</f>
        <v>216</v>
      </c>
      <c r="BA260" s="11">
        <f ca="1">IFERROR(IF(PlayerGameData[[#This Row],[FGA]]&gt;$AA$5,PlayerGameData[[#This Row],[FG%*]],PlayerGameData[[#This Row],[FG%*]]*-1),-2)</f>
        <v>-2</v>
      </c>
      <c r="BB260" s="8">
        <f ca="1">RANK(PlayerGameData[[#This Row],[EligFG]],PlayerGameData[EligFG],0)+PlayerGameData[[#This Row],[VisibleOrder]]</f>
        <v>215</v>
      </c>
      <c r="BC260" s="8">
        <f ca="1">IF(COUNTIF(PlayerGameData[EligFGOrder],PlayerGameData[[#This Row],[EligFGOrder]])&gt;1,PlayerGameData[[#This Row],[PointRank]]/100+PlayerGameData[[#This Row],[EligFGOrder]],PlayerGameData[[#This Row],[EligFGOrder]])</f>
        <v>217.16</v>
      </c>
      <c r="BD260" s="8">
        <f ca="1">RANK(PlayerGameData[[#This Row],[EligFGTieBreak]],PlayerGameData[EligFGTieBreak],1)</f>
        <v>216</v>
      </c>
      <c r="BE260" s="8" t="str">
        <f>Roster!$D$3</f>
        <v>East</v>
      </c>
      <c r="BF260" s="8" t="str">
        <f>Roster!$D$2</f>
        <v>Northeast</v>
      </c>
      <c r="BG260" s="8" t="str">
        <f>Roster!$D$4</f>
        <v>North</v>
      </c>
      <c r="BH260" s="197">
        <f ca="1">IFERROR(VLOOKUP(CONCATENATE(PlayerGameData[[#This Row],[Opponent]]," ",MONTH(PlayerGameData[[#This Row],[Date]]),"/",DAY(PlayerGameData[[#This Row],[Date]]),"/",YEAR(PlayerGameData[[#This Row],[Date]])),Table35[],2,FALSE),0)</f>
        <v>1</v>
      </c>
      <c r="BI260" s="197">
        <f ca="1">IF(PlayerGameData[[#This Row],[Visible]]=1,1,1000)</f>
        <v>1</v>
      </c>
      <c r="BJ260" s="197" t="e">
        <f ca="1">_xlfn.MAXIFS(TeamGameData[Win],TeamGameData[School, Opponent,Game'#],PlayerGameData[[#This Row],[School, Opponent,Game'#]])</f>
        <v>#NAME?</v>
      </c>
      <c r="BK260" s="197" t="e">
        <f ca="1">_xlfn.MAXIFS(TeamGameData[Loss],TeamGameData[School, Opponent,Game'#],PlayerGameData[[#This Row],[School, Opponent,Game'#]])</f>
        <v>#NAME?</v>
      </c>
    </row>
    <row r="261" spans="1:63" x14ac:dyDescent="0.25">
      <c r="A261" s="8" t="str">
        <f t="shared" ca="1" si="123"/>
        <v xml:space="preserve">, </v>
      </c>
      <c r="B261" s="8" t="str">
        <f>Roster!$B$1</f>
        <v>Upton</v>
      </c>
      <c r="C261" s="8" t="str">
        <f t="shared" ca="1" si="111"/>
        <v>Arvada Clearmont</v>
      </c>
      <c r="D261" s="10">
        <f t="shared" ca="1" si="112"/>
        <v>44946</v>
      </c>
      <c r="E261" s="8">
        <f t="shared" ca="1" si="113"/>
        <v>0</v>
      </c>
      <c r="F261" s="8">
        <f t="shared" ca="1" si="114"/>
        <v>0</v>
      </c>
      <c r="G261" s="8">
        <f t="shared" ca="1" si="115"/>
        <v>0</v>
      </c>
      <c r="H261" s="8">
        <f t="shared" ca="1" si="116"/>
        <v>0</v>
      </c>
      <c r="I261" s="8">
        <f t="shared" ca="1" si="117"/>
        <v>0</v>
      </c>
      <c r="J261" s="8">
        <f t="shared" ca="1" si="118"/>
        <v>0</v>
      </c>
      <c r="K261" s="8">
        <f t="shared" ca="1" si="119"/>
        <v>0</v>
      </c>
      <c r="L261" s="8">
        <f t="shared" ca="1" si="124"/>
        <v>0</v>
      </c>
      <c r="M261" s="8">
        <f t="shared" ca="1" si="125"/>
        <v>0</v>
      </c>
      <c r="N261" s="8">
        <f t="shared" ca="1" si="126"/>
        <v>0</v>
      </c>
      <c r="O261" s="8">
        <f t="shared" ca="1" si="127"/>
        <v>0</v>
      </c>
      <c r="P261" s="8">
        <f t="shared" ca="1" si="128"/>
        <v>0</v>
      </c>
      <c r="Q261" s="8">
        <f t="shared" ca="1" si="129"/>
        <v>0</v>
      </c>
      <c r="R261" s="8">
        <f t="shared" ca="1" si="130"/>
        <v>0</v>
      </c>
      <c r="S261" s="8">
        <f t="shared" ca="1" si="131"/>
        <v>0</v>
      </c>
      <c r="T261" s="8">
        <f t="shared" ca="1" si="132"/>
        <v>0</v>
      </c>
      <c r="U261" s="8">
        <f t="shared" ca="1" si="133"/>
        <v>0</v>
      </c>
      <c r="V261" s="8">
        <f t="shared" ca="1" si="134"/>
        <v>0</v>
      </c>
      <c r="W261" s="11" t="str">
        <f t="shared" ca="1" si="135"/>
        <v/>
      </c>
      <c r="X261" s="11" t="str">
        <f t="shared" ca="1" si="136"/>
        <v/>
      </c>
      <c r="Y261" s="11" t="str">
        <f t="shared" ca="1" si="137"/>
        <v/>
      </c>
      <c r="Z261" s="11" t="str">
        <f t="shared" ca="1" si="138"/>
        <v/>
      </c>
      <c r="AA261" s="11" t="str">
        <f t="shared" ca="1" si="139"/>
        <v/>
      </c>
      <c r="AB261" s="47">
        <f ca="1">PlayerGameData[[#This Row],[3FGA]]+PlayerGameData[[#This Row],[2FGA]]</f>
        <v>0</v>
      </c>
      <c r="AC261" s="47">
        <f ca="1">PlayerGameData[[#This Row],[OFF REB]]+PlayerGameData[[#This Row],[DEF REB]]</f>
        <v>0</v>
      </c>
      <c r="AD261" s="8">
        <f t="shared" si="120"/>
        <v>11</v>
      </c>
      <c r="AE261" s="8" t="str">
        <f t="shared" ca="1" si="121"/>
        <v>,  - Arvada Clearmont 1/20/2023</v>
      </c>
      <c r="AF261" s="8" t="str">
        <f t="shared" ca="1" si="140"/>
        <v>R</v>
      </c>
      <c r="AG261" s="8" t="str">
        <f ca="1">IFERROR(IF(C261=0,"",IF(AND(VLOOKUP(PlayerGameData[[#This Row],[Opponent]],WYTeamInfo,2,FALSE)=Roster!$D$1,VLOOKUP(PlayerGameData[[#This Row],[Opponent]],WYTeamInfo,3,FALSE)=Roster!$D$2),"SR","")),"")</f>
        <v>SR</v>
      </c>
      <c r="AH261" s="8" t="str">
        <f>CONCATENATE(Roster!$D$1," ",Roster!$D$5)</f>
        <v>1A BB</v>
      </c>
      <c r="AI261" s="8" t="str">
        <f t="shared" ca="1" si="122"/>
        <v>Upton - Arvada Clearmont 1/20/2023</v>
      </c>
      <c r="AJ261" s="8">
        <f ca="1">IFERROR(VLOOKUP(PlayerGameData[[#This Row],[School, Opponent,Game'#]],Table3[],2,FALSE),0)</f>
        <v>1</v>
      </c>
      <c r="AK261" s="8">
        <f ca="1">IF(PlayerGameData[[#This Row],[Visible]]=1,1,1000)</f>
        <v>1</v>
      </c>
      <c r="AL261" s="8">
        <f ca="1">RANK(PlayerGameData[[#This Row],[TL PTS]],PlayerGameData[TL PTS],0)+PlayerGameData[[#This Row],[VisibleOrder]]</f>
        <v>185</v>
      </c>
      <c r="AM261" s="8">
        <f ca="1">IF(COUNTIF(PlayerGameData[PointOrder],PlayerGameData[[#This Row],[PointOrder]])&gt;1,RANK(PlayerGameData[[#This Row],[FGA]],PlayerGameData[FGA],0)/100,0)+PlayerGameData[[#This Row],[PointOrder]]</f>
        <v>187.14</v>
      </c>
      <c r="AN261" s="8">
        <f ca="1">RANK(PlayerGameData[[#This Row],[PointTieBreak]],PlayerGameData[PointTieBreak],1)</f>
        <v>216</v>
      </c>
      <c r="AO261" s="8">
        <f ca="1">RANK(PlayerGameData[[#This Row],[REB]],PlayerGameData[REB],0)+PlayerGameData[[#This Row],[VisibleOrder]]</f>
        <v>192</v>
      </c>
      <c r="AP261" s="8">
        <f ca="1">IF(COUNTIF(PlayerGameData[REBOrder],PlayerGameData[[#This Row],[REBOrder]])&gt;1,PlayerGameData[[#This Row],[PointRank]]/100+PlayerGameData[[#This Row],[REBOrder]],PlayerGameData[[#This Row],[REBOrder]])</f>
        <v>194.16</v>
      </c>
      <c r="AQ261" s="8">
        <f ca="1">RANK(PlayerGameData[[#This Row],[REBTieBreak]],PlayerGameData[REBTieBreak],1)</f>
        <v>224</v>
      </c>
      <c r="AR261" s="8">
        <f ca="1">RANK(PlayerGameData[[#This Row],[AST]],PlayerGameData[AST],0)+PlayerGameData[[#This Row],[VisibleOrder]]</f>
        <v>158</v>
      </c>
      <c r="AS261" s="8">
        <f ca="1">IF(COUNTIF(PlayerGameData[ASTOrder],PlayerGameData[[#This Row],[ASTOrder]])&gt;1,PlayerGameData[[#This Row],[PointRank]]/100+PlayerGameData[[#This Row],[ASTOrder]],PlayerGameData[[#This Row],[ASTOrder]])</f>
        <v>160.16</v>
      </c>
      <c r="AT261" s="8">
        <f ca="1">RANK(PlayerGameData[[#This Row],[ASTTieBreak]],PlayerGameData[ASTTieBreak],1)</f>
        <v>221</v>
      </c>
      <c r="AU261" s="8">
        <f ca="1">RANK(PlayerGameData[[#This Row],[STL]],PlayerGameData[STL],0)+PlayerGameData[[#This Row],[VisibleOrder]]</f>
        <v>143</v>
      </c>
      <c r="AV261" s="8">
        <f ca="1">IF(COUNTIF(PlayerGameData[STLOrder],PlayerGameData[[#This Row],[STLOrder]])&gt;1,PlayerGameData[[#This Row],[PointRank]]/100+PlayerGameData[[#This Row],[STLOrder]],PlayerGameData[[#This Row],[STLOrder]])</f>
        <v>145.16</v>
      </c>
      <c r="AW261" s="8">
        <f ca="1">RANK(PlayerGameData[[#This Row],[STLTieBreak]],PlayerGameData[STLTieBreak],1)</f>
        <v>217</v>
      </c>
      <c r="AX261" s="8">
        <f ca="1">RANK(PlayerGameData[[#This Row],[BLK]],PlayerGameData[BLK],0)+PlayerGameData[[#This Row],[VisibleOrder]]</f>
        <v>32</v>
      </c>
      <c r="AY261" s="8">
        <f ca="1">IF(COUNTIF(PlayerGameData[BLKOrder],PlayerGameData[[#This Row],[BLKOrder]])&gt;1,PlayerGameData[[#This Row],[PointRank]]/100+PlayerGameData[[#This Row],[BLKOrder]],PlayerGameData[[#This Row],[BLKOrder]])</f>
        <v>34.159999999999997</v>
      </c>
      <c r="AZ261" s="8">
        <f ca="1">RANK(PlayerGameData[[#This Row],[BLKTieBreak]],PlayerGameData[BLKTieBreak],1)</f>
        <v>216</v>
      </c>
      <c r="BA261" s="11">
        <f ca="1">IFERROR(IF(PlayerGameData[[#This Row],[FGA]]&gt;$AA$5,PlayerGameData[[#This Row],[FG%*]],PlayerGameData[[#This Row],[FG%*]]*-1),-2)</f>
        <v>-2</v>
      </c>
      <c r="BB261" s="8">
        <f ca="1">RANK(PlayerGameData[[#This Row],[EligFG]],PlayerGameData[EligFG],0)+PlayerGameData[[#This Row],[VisibleOrder]]</f>
        <v>215</v>
      </c>
      <c r="BC261" s="8">
        <f ca="1">IF(COUNTIF(PlayerGameData[EligFGOrder],PlayerGameData[[#This Row],[EligFGOrder]])&gt;1,PlayerGameData[[#This Row],[PointRank]]/100+PlayerGameData[[#This Row],[EligFGOrder]],PlayerGameData[[#This Row],[EligFGOrder]])</f>
        <v>217.16</v>
      </c>
      <c r="BD261" s="8">
        <f ca="1">RANK(PlayerGameData[[#This Row],[EligFGTieBreak]],PlayerGameData[EligFGTieBreak],1)</f>
        <v>216</v>
      </c>
      <c r="BE261" s="8" t="str">
        <f>Roster!$D$3</f>
        <v>East</v>
      </c>
      <c r="BF261" s="8" t="str">
        <f>Roster!$D$2</f>
        <v>Northeast</v>
      </c>
      <c r="BG261" s="8" t="str">
        <f>Roster!$D$4</f>
        <v>North</v>
      </c>
      <c r="BH261" s="197">
        <f ca="1">IFERROR(VLOOKUP(CONCATENATE(PlayerGameData[[#This Row],[Opponent]]," ",MONTH(PlayerGameData[[#This Row],[Date]]),"/",DAY(PlayerGameData[[#This Row],[Date]]),"/",YEAR(PlayerGameData[[#This Row],[Date]])),Table35[],2,FALSE),0)</f>
        <v>1</v>
      </c>
      <c r="BI261" s="197">
        <f ca="1">IF(PlayerGameData[[#This Row],[Visible]]=1,1,1000)</f>
        <v>1</v>
      </c>
      <c r="BJ261" s="197" t="e">
        <f ca="1">_xlfn.MAXIFS(TeamGameData[Win],TeamGameData[School, Opponent,Game'#],PlayerGameData[[#This Row],[School, Opponent,Game'#]])</f>
        <v>#NAME?</v>
      </c>
      <c r="BK261" s="197" t="e">
        <f ca="1">_xlfn.MAXIFS(TeamGameData[Loss],TeamGameData[School, Opponent,Game'#],PlayerGameData[[#This Row],[School, Opponent,Game'#]])</f>
        <v>#NAME?</v>
      </c>
    </row>
    <row r="262" spans="1:63" x14ac:dyDescent="0.25">
      <c r="A262" s="8" t="str">
        <f t="shared" ca="1" si="123"/>
        <v xml:space="preserve">, </v>
      </c>
      <c r="B262" s="8" t="str">
        <f>Roster!$B$1</f>
        <v>Upton</v>
      </c>
      <c r="C262" s="8" t="str">
        <f t="shared" ca="1" si="111"/>
        <v>Arvada Clearmont</v>
      </c>
      <c r="D262" s="10">
        <f t="shared" ca="1" si="112"/>
        <v>44946</v>
      </c>
      <c r="E262" s="8">
        <f t="shared" ca="1" si="113"/>
        <v>0</v>
      </c>
      <c r="F262" s="8">
        <f t="shared" ca="1" si="114"/>
        <v>0</v>
      </c>
      <c r="G262" s="8">
        <f t="shared" ca="1" si="115"/>
        <v>0</v>
      </c>
      <c r="H262" s="8">
        <f t="shared" ca="1" si="116"/>
        <v>0</v>
      </c>
      <c r="I262" s="8">
        <f t="shared" ca="1" si="117"/>
        <v>0</v>
      </c>
      <c r="J262" s="8">
        <f t="shared" ca="1" si="118"/>
        <v>0</v>
      </c>
      <c r="K262" s="8">
        <f t="shared" ca="1" si="119"/>
        <v>0</v>
      </c>
      <c r="L262" s="8">
        <f t="shared" ca="1" si="124"/>
        <v>0</v>
      </c>
      <c r="M262" s="8">
        <f t="shared" ca="1" si="125"/>
        <v>0</v>
      </c>
      <c r="N262" s="8">
        <f t="shared" ca="1" si="126"/>
        <v>0</v>
      </c>
      <c r="O262" s="8">
        <f t="shared" ca="1" si="127"/>
        <v>0</v>
      </c>
      <c r="P262" s="8">
        <f t="shared" ca="1" si="128"/>
        <v>0</v>
      </c>
      <c r="Q262" s="8">
        <f t="shared" ca="1" si="129"/>
        <v>0</v>
      </c>
      <c r="R262" s="8">
        <f t="shared" ca="1" si="130"/>
        <v>0</v>
      </c>
      <c r="S262" s="8">
        <f t="shared" ca="1" si="131"/>
        <v>0</v>
      </c>
      <c r="T262" s="8">
        <f t="shared" ca="1" si="132"/>
        <v>0</v>
      </c>
      <c r="U262" s="8">
        <f t="shared" ca="1" si="133"/>
        <v>0</v>
      </c>
      <c r="V262" s="8">
        <f t="shared" ca="1" si="134"/>
        <v>0</v>
      </c>
      <c r="W262" s="11" t="str">
        <f t="shared" ca="1" si="135"/>
        <v/>
      </c>
      <c r="X262" s="11" t="str">
        <f t="shared" ca="1" si="136"/>
        <v/>
      </c>
      <c r="Y262" s="11" t="str">
        <f t="shared" ca="1" si="137"/>
        <v/>
      </c>
      <c r="Z262" s="11" t="str">
        <f t="shared" ca="1" si="138"/>
        <v/>
      </c>
      <c r="AA262" s="11" t="str">
        <f t="shared" ca="1" si="139"/>
        <v/>
      </c>
      <c r="AB262" s="47">
        <f ca="1">PlayerGameData[[#This Row],[3FGA]]+PlayerGameData[[#This Row],[2FGA]]</f>
        <v>0</v>
      </c>
      <c r="AC262" s="47">
        <f ca="1">PlayerGameData[[#This Row],[OFF REB]]+PlayerGameData[[#This Row],[DEF REB]]</f>
        <v>0</v>
      </c>
      <c r="AD262" s="8">
        <f t="shared" si="120"/>
        <v>11</v>
      </c>
      <c r="AE262" s="8" t="str">
        <f t="shared" ca="1" si="121"/>
        <v>,  - Arvada Clearmont 1/20/2023</v>
      </c>
      <c r="AF262" s="8" t="str">
        <f t="shared" ca="1" si="140"/>
        <v>R</v>
      </c>
      <c r="AG262" s="8" t="str">
        <f ca="1">IFERROR(IF(C262=0,"",IF(AND(VLOOKUP(PlayerGameData[[#This Row],[Opponent]],WYTeamInfo,2,FALSE)=Roster!$D$1,VLOOKUP(PlayerGameData[[#This Row],[Opponent]],WYTeamInfo,3,FALSE)=Roster!$D$2),"SR","")),"")</f>
        <v>SR</v>
      </c>
      <c r="AH262" s="8" t="str">
        <f>CONCATENATE(Roster!$D$1," ",Roster!$D$5)</f>
        <v>1A BB</v>
      </c>
      <c r="AI262" s="8" t="str">
        <f t="shared" ca="1" si="122"/>
        <v>Upton - Arvada Clearmont 1/20/2023</v>
      </c>
      <c r="AJ262" s="8">
        <f ca="1">IFERROR(VLOOKUP(PlayerGameData[[#This Row],[School, Opponent,Game'#]],Table3[],2,FALSE),0)</f>
        <v>1</v>
      </c>
      <c r="AK262" s="8">
        <f ca="1">IF(PlayerGameData[[#This Row],[Visible]]=1,1,1000)</f>
        <v>1</v>
      </c>
      <c r="AL262" s="8">
        <f ca="1">RANK(PlayerGameData[[#This Row],[TL PTS]],PlayerGameData[TL PTS],0)+PlayerGameData[[#This Row],[VisibleOrder]]</f>
        <v>185</v>
      </c>
      <c r="AM262" s="8">
        <f ca="1">IF(COUNTIF(PlayerGameData[PointOrder],PlayerGameData[[#This Row],[PointOrder]])&gt;1,RANK(PlayerGameData[[#This Row],[FGA]],PlayerGameData[FGA],0)/100,0)+PlayerGameData[[#This Row],[PointOrder]]</f>
        <v>187.14</v>
      </c>
      <c r="AN262" s="8">
        <f ca="1">RANK(PlayerGameData[[#This Row],[PointTieBreak]],PlayerGameData[PointTieBreak],1)</f>
        <v>216</v>
      </c>
      <c r="AO262" s="8">
        <f ca="1">RANK(PlayerGameData[[#This Row],[REB]],PlayerGameData[REB],0)+PlayerGameData[[#This Row],[VisibleOrder]]</f>
        <v>192</v>
      </c>
      <c r="AP262" s="8">
        <f ca="1">IF(COUNTIF(PlayerGameData[REBOrder],PlayerGameData[[#This Row],[REBOrder]])&gt;1,PlayerGameData[[#This Row],[PointRank]]/100+PlayerGameData[[#This Row],[REBOrder]],PlayerGameData[[#This Row],[REBOrder]])</f>
        <v>194.16</v>
      </c>
      <c r="AQ262" s="8">
        <f ca="1">RANK(PlayerGameData[[#This Row],[REBTieBreak]],PlayerGameData[REBTieBreak],1)</f>
        <v>224</v>
      </c>
      <c r="AR262" s="8">
        <f ca="1">RANK(PlayerGameData[[#This Row],[AST]],PlayerGameData[AST],0)+PlayerGameData[[#This Row],[VisibleOrder]]</f>
        <v>158</v>
      </c>
      <c r="AS262" s="8">
        <f ca="1">IF(COUNTIF(PlayerGameData[ASTOrder],PlayerGameData[[#This Row],[ASTOrder]])&gt;1,PlayerGameData[[#This Row],[PointRank]]/100+PlayerGameData[[#This Row],[ASTOrder]],PlayerGameData[[#This Row],[ASTOrder]])</f>
        <v>160.16</v>
      </c>
      <c r="AT262" s="8">
        <f ca="1">RANK(PlayerGameData[[#This Row],[ASTTieBreak]],PlayerGameData[ASTTieBreak],1)</f>
        <v>221</v>
      </c>
      <c r="AU262" s="8">
        <f ca="1">RANK(PlayerGameData[[#This Row],[STL]],PlayerGameData[STL],0)+PlayerGameData[[#This Row],[VisibleOrder]]</f>
        <v>143</v>
      </c>
      <c r="AV262" s="8">
        <f ca="1">IF(COUNTIF(PlayerGameData[STLOrder],PlayerGameData[[#This Row],[STLOrder]])&gt;1,PlayerGameData[[#This Row],[PointRank]]/100+PlayerGameData[[#This Row],[STLOrder]],PlayerGameData[[#This Row],[STLOrder]])</f>
        <v>145.16</v>
      </c>
      <c r="AW262" s="8">
        <f ca="1">RANK(PlayerGameData[[#This Row],[STLTieBreak]],PlayerGameData[STLTieBreak],1)</f>
        <v>217</v>
      </c>
      <c r="AX262" s="8">
        <f ca="1">RANK(PlayerGameData[[#This Row],[BLK]],PlayerGameData[BLK],0)+PlayerGameData[[#This Row],[VisibleOrder]]</f>
        <v>32</v>
      </c>
      <c r="AY262" s="8">
        <f ca="1">IF(COUNTIF(PlayerGameData[BLKOrder],PlayerGameData[[#This Row],[BLKOrder]])&gt;1,PlayerGameData[[#This Row],[PointRank]]/100+PlayerGameData[[#This Row],[BLKOrder]],PlayerGameData[[#This Row],[BLKOrder]])</f>
        <v>34.159999999999997</v>
      </c>
      <c r="AZ262" s="8">
        <f ca="1">RANK(PlayerGameData[[#This Row],[BLKTieBreak]],PlayerGameData[BLKTieBreak],1)</f>
        <v>216</v>
      </c>
      <c r="BA262" s="11">
        <f ca="1">IFERROR(IF(PlayerGameData[[#This Row],[FGA]]&gt;$AA$5,PlayerGameData[[#This Row],[FG%*]],PlayerGameData[[#This Row],[FG%*]]*-1),-2)</f>
        <v>-2</v>
      </c>
      <c r="BB262" s="8">
        <f ca="1">RANK(PlayerGameData[[#This Row],[EligFG]],PlayerGameData[EligFG],0)+PlayerGameData[[#This Row],[VisibleOrder]]</f>
        <v>215</v>
      </c>
      <c r="BC262" s="8">
        <f ca="1">IF(COUNTIF(PlayerGameData[EligFGOrder],PlayerGameData[[#This Row],[EligFGOrder]])&gt;1,PlayerGameData[[#This Row],[PointRank]]/100+PlayerGameData[[#This Row],[EligFGOrder]],PlayerGameData[[#This Row],[EligFGOrder]])</f>
        <v>217.16</v>
      </c>
      <c r="BD262" s="8">
        <f ca="1">RANK(PlayerGameData[[#This Row],[EligFGTieBreak]],PlayerGameData[EligFGTieBreak],1)</f>
        <v>216</v>
      </c>
      <c r="BE262" s="8" t="str">
        <f>Roster!$D$3</f>
        <v>East</v>
      </c>
      <c r="BF262" s="8" t="str">
        <f>Roster!$D$2</f>
        <v>Northeast</v>
      </c>
      <c r="BG262" s="8" t="str">
        <f>Roster!$D$4</f>
        <v>North</v>
      </c>
      <c r="BH262" s="197">
        <f ca="1">IFERROR(VLOOKUP(CONCATENATE(PlayerGameData[[#This Row],[Opponent]]," ",MONTH(PlayerGameData[[#This Row],[Date]]),"/",DAY(PlayerGameData[[#This Row],[Date]]),"/",YEAR(PlayerGameData[[#This Row],[Date]])),Table35[],2,FALSE),0)</f>
        <v>1</v>
      </c>
      <c r="BI262" s="197">
        <f ca="1">IF(PlayerGameData[[#This Row],[Visible]]=1,1,1000)</f>
        <v>1</v>
      </c>
      <c r="BJ262" s="197" t="e">
        <f ca="1">_xlfn.MAXIFS(TeamGameData[Win],TeamGameData[School, Opponent,Game'#],PlayerGameData[[#This Row],[School, Opponent,Game'#]])</f>
        <v>#NAME?</v>
      </c>
      <c r="BK262" s="197" t="e">
        <f ca="1">_xlfn.MAXIFS(TeamGameData[Loss],TeamGameData[School, Opponent,Game'#],PlayerGameData[[#This Row],[School, Opponent,Game'#]])</f>
        <v>#NAME?</v>
      </c>
    </row>
    <row r="263" spans="1:63" x14ac:dyDescent="0.25">
      <c r="A263" s="8" t="str">
        <f t="shared" ca="1" si="123"/>
        <v xml:space="preserve">, </v>
      </c>
      <c r="B263" s="8" t="str">
        <f>Roster!$B$1</f>
        <v>Upton</v>
      </c>
      <c r="C263" s="8" t="str">
        <f t="shared" ref="C263:C326" ca="1" si="141">INDIRECT("'game1 ("&amp;$AD263&amp;")'!$b$3")</f>
        <v>Arvada Clearmont</v>
      </c>
      <c r="D263" s="10">
        <f t="shared" ref="D263:D326" ca="1" si="142">INDIRECT("'game1 ("&amp;$AD263&amp;")'!$m$4")</f>
        <v>44946</v>
      </c>
      <c r="E263" s="8">
        <f t="shared" ref="E263:E326" ca="1" si="143">INDIRECT("'game1 ("&amp;$AD263&amp;")'!"&amp;ADDRESS(ROW(A$7)+MOD(ROW(A263)-7,24),COLUMN(D263)))</f>
        <v>0</v>
      </c>
      <c r="F263" s="8">
        <f t="shared" ref="F263:F326" ca="1" si="144">IF(INDIRECT("'game1 ("&amp;$AD263&amp;")'!"&amp;ADDRESS(ROW(B$7)+MOD(ROW(B263)-7,24),COLUMN(C263)))="s",1,0)</f>
        <v>0</v>
      </c>
      <c r="G263" s="8">
        <f t="shared" ref="G263:G326" ca="1" si="145">INDIRECT("'game1 ("&amp;$AD263&amp;")'!"&amp;ADDRESS(ROW(B$7)+MOD(ROW(B263)-7,24),COLUMN(E263)))</f>
        <v>0</v>
      </c>
      <c r="H263" s="8">
        <f t="shared" ref="H263:H326" ca="1" si="146">INDIRECT("'game1 ("&amp;$AD263&amp;")'!"&amp;ADDRESS(ROW(B$7)+MOD(ROW(B263)-7,24),COLUMN(F263)))</f>
        <v>0</v>
      </c>
      <c r="I263" s="8">
        <f t="shared" ref="I263:I326" ca="1" si="147">INDIRECT("'game1 ("&amp;$AD263&amp;")'!"&amp;ADDRESS(ROW(C$7)+MOD(ROW(C263)-7,24),COLUMN(G263)))</f>
        <v>0</v>
      </c>
      <c r="J263" s="8">
        <f t="shared" ref="J263:J326" ca="1" si="148">INDIRECT("'game1 ("&amp;$AD263&amp;")'!"&amp;ADDRESS(ROW(D$7)+MOD(ROW(D263)-7,24),COLUMN(H263)))</f>
        <v>0</v>
      </c>
      <c r="K263" s="8">
        <f t="shared" ref="K263:K326" ca="1" si="149">INDIRECT("'game1 ("&amp;$AD263&amp;")'!"&amp;ADDRESS(ROW(E$7)+MOD(ROW(E263)-7,24),COLUMN(I263)))</f>
        <v>0</v>
      </c>
      <c r="L263" s="8">
        <f t="shared" ca="1" si="124"/>
        <v>0</v>
      </c>
      <c r="M263" s="8">
        <f t="shared" ca="1" si="125"/>
        <v>0</v>
      </c>
      <c r="N263" s="8">
        <f t="shared" ca="1" si="126"/>
        <v>0</v>
      </c>
      <c r="O263" s="8">
        <f t="shared" ca="1" si="127"/>
        <v>0</v>
      </c>
      <c r="P263" s="8">
        <f t="shared" ca="1" si="128"/>
        <v>0</v>
      </c>
      <c r="Q263" s="8">
        <f t="shared" ca="1" si="129"/>
        <v>0</v>
      </c>
      <c r="R263" s="8">
        <f t="shared" ca="1" si="130"/>
        <v>0</v>
      </c>
      <c r="S263" s="8">
        <f t="shared" ca="1" si="131"/>
        <v>0</v>
      </c>
      <c r="T263" s="8">
        <f t="shared" ca="1" si="132"/>
        <v>0</v>
      </c>
      <c r="U263" s="8">
        <f t="shared" ca="1" si="133"/>
        <v>0</v>
      </c>
      <c r="V263" s="8">
        <f t="shared" ca="1" si="134"/>
        <v>0</v>
      </c>
      <c r="W263" s="11" t="str">
        <f t="shared" ca="1" si="135"/>
        <v/>
      </c>
      <c r="X263" s="11" t="str">
        <f t="shared" ca="1" si="136"/>
        <v/>
      </c>
      <c r="Y263" s="11" t="str">
        <f t="shared" ca="1" si="137"/>
        <v/>
      </c>
      <c r="Z263" s="11" t="str">
        <f t="shared" ca="1" si="138"/>
        <v/>
      </c>
      <c r="AA263" s="11" t="str">
        <f t="shared" ca="1" si="139"/>
        <v/>
      </c>
      <c r="AB263" s="47">
        <f ca="1">PlayerGameData[[#This Row],[3FGA]]+PlayerGameData[[#This Row],[2FGA]]</f>
        <v>0</v>
      </c>
      <c r="AC263" s="47">
        <f ca="1">PlayerGameData[[#This Row],[OFF REB]]+PlayerGameData[[#This Row],[DEF REB]]</f>
        <v>0</v>
      </c>
      <c r="AD263" s="8">
        <f t="shared" ref="AD263:AD326" si="150">INT((ROW(A263)-7)/24)+1</f>
        <v>11</v>
      </c>
      <c r="AE263" s="8" t="str">
        <f t="shared" ref="AE263:AE326" ca="1" si="151">CONCATENATE(A263," - ",C263," ",MONTH(D263),"/",DAY(D263),"/",YEAR(D263))</f>
        <v>,  - Arvada Clearmont 1/20/2023</v>
      </c>
      <c r="AF263" s="8" t="str">
        <f t="shared" ca="1" si="140"/>
        <v>R</v>
      </c>
      <c r="AG263" s="8" t="str">
        <f ca="1">IFERROR(IF(C263=0,"",IF(AND(VLOOKUP(PlayerGameData[[#This Row],[Opponent]],WYTeamInfo,2,FALSE)=Roster!$D$1,VLOOKUP(PlayerGameData[[#This Row],[Opponent]],WYTeamInfo,3,FALSE)=Roster!$D$2),"SR","")),"")</f>
        <v>SR</v>
      </c>
      <c r="AH263" s="8" t="str">
        <f>CONCATENATE(Roster!$D$1," ",Roster!$D$5)</f>
        <v>1A BB</v>
      </c>
      <c r="AI263" s="8" t="str">
        <f t="shared" ref="AI263:AI326" ca="1" si="152">IF($C263&lt;&gt;0,CONCATENATE($B263," - ",$C263," ",MONTH($D263),"/",DAY($D263),"/",YEAR($D263)),"Blank")</f>
        <v>Upton - Arvada Clearmont 1/20/2023</v>
      </c>
      <c r="AJ263" s="8">
        <f ca="1">IFERROR(VLOOKUP(PlayerGameData[[#This Row],[School, Opponent,Game'#]],Table3[],2,FALSE),0)</f>
        <v>1</v>
      </c>
      <c r="AK263" s="8">
        <f ca="1">IF(PlayerGameData[[#This Row],[Visible]]=1,1,1000)</f>
        <v>1</v>
      </c>
      <c r="AL263" s="8">
        <f ca="1">RANK(PlayerGameData[[#This Row],[TL PTS]],PlayerGameData[TL PTS],0)+PlayerGameData[[#This Row],[VisibleOrder]]</f>
        <v>185</v>
      </c>
      <c r="AM263" s="8">
        <f ca="1">IF(COUNTIF(PlayerGameData[PointOrder],PlayerGameData[[#This Row],[PointOrder]])&gt;1,RANK(PlayerGameData[[#This Row],[FGA]],PlayerGameData[FGA],0)/100,0)+PlayerGameData[[#This Row],[PointOrder]]</f>
        <v>187.14</v>
      </c>
      <c r="AN263" s="8">
        <f ca="1">RANK(PlayerGameData[[#This Row],[PointTieBreak]],PlayerGameData[PointTieBreak],1)</f>
        <v>216</v>
      </c>
      <c r="AO263" s="8">
        <f ca="1">RANK(PlayerGameData[[#This Row],[REB]],PlayerGameData[REB],0)+PlayerGameData[[#This Row],[VisibleOrder]]</f>
        <v>192</v>
      </c>
      <c r="AP263" s="8">
        <f ca="1">IF(COUNTIF(PlayerGameData[REBOrder],PlayerGameData[[#This Row],[REBOrder]])&gt;1,PlayerGameData[[#This Row],[PointRank]]/100+PlayerGameData[[#This Row],[REBOrder]],PlayerGameData[[#This Row],[REBOrder]])</f>
        <v>194.16</v>
      </c>
      <c r="AQ263" s="8">
        <f ca="1">RANK(PlayerGameData[[#This Row],[REBTieBreak]],PlayerGameData[REBTieBreak],1)</f>
        <v>224</v>
      </c>
      <c r="AR263" s="8">
        <f ca="1">RANK(PlayerGameData[[#This Row],[AST]],PlayerGameData[AST],0)+PlayerGameData[[#This Row],[VisibleOrder]]</f>
        <v>158</v>
      </c>
      <c r="AS263" s="8">
        <f ca="1">IF(COUNTIF(PlayerGameData[ASTOrder],PlayerGameData[[#This Row],[ASTOrder]])&gt;1,PlayerGameData[[#This Row],[PointRank]]/100+PlayerGameData[[#This Row],[ASTOrder]],PlayerGameData[[#This Row],[ASTOrder]])</f>
        <v>160.16</v>
      </c>
      <c r="AT263" s="8">
        <f ca="1">RANK(PlayerGameData[[#This Row],[ASTTieBreak]],PlayerGameData[ASTTieBreak],1)</f>
        <v>221</v>
      </c>
      <c r="AU263" s="8">
        <f ca="1">RANK(PlayerGameData[[#This Row],[STL]],PlayerGameData[STL],0)+PlayerGameData[[#This Row],[VisibleOrder]]</f>
        <v>143</v>
      </c>
      <c r="AV263" s="8">
        <f ca="1">IF(COUNTIF(PlayerGameData[STLOrder],PlayerGameData[[#This Row],[STLOrder]])&gt;1,PlayerGameData[[#This Row],[PointRank]]/100+PlayerGameData[[#This Row],[STLOrder]],PlayerGameData[[#This Row],[STLOrder]])</f>
        <v>145.16</v>
      </c>
      <c r="AW263" s="8">
        <f ca="1">RANK(PlayerGameData[[#This Row],[STLTieBreak]],PlayerGameData[STLTieBreak],1)</f>
        <v>217</v>
      </c>
      <c r="AX263" s="8">
        <f ca="1">RANK(PlayerGameData[[#This Row],[BLK]],PlayerGameData[BLK],0)+PlayerGameData[[#This Row],[VisibleOrder]]</f>
        <v>32</v>
      </c>
      <c r="AY263" s="8">
        <f ca="1">IF(COUNTIF(PlayerGameData[BLKOrder],PlayerGameData[[#This Row],[BLKOrder]])&gt;1,PlayerGameData[[#This Row],[PointRank]]/100+PlayerGameData[[#This Row],[BLKOrder]],PlayerGameData[[#This Row],[BLKOrder]])</f>
        <v>34.159999999999997</v>
      </c>
      <c r="AZ263" s="8">
        <f ca="1">RANK(PlayerGameData[[#This Row],[BLKTieBreak]],PlayerGameData[BLKTieBreak],1)</f>
        <v>216</v>
      </c>
      <c r="BA263" s="11">
        <f ca="1">IFERROR(IF(PlayerGameData[[#This Row],[FGA]]&gt;$AA$5,PlayerGameData[[#This Row],[FG%*]],PlayerGameData[[#This Row],[FG%*]]*-1),-2)</f>
        <v>-2</v>
      </c>
      <c r="BB263" s="8">
        <f ca="1">RANK(PlayerGameData[[#This Row],[EligFG]],PlayerGameData[EligFG],0)+PlayerGameData[[#This Row],[VisibleOrder]]</f>
        <v>215</v>
      </c>
      <c r="BC263" s="8">
        <f ca="1">IF(COUNTIF(PlayerGameData[EligFGOrder],PlayerGameData[[#This Row],[EligFGOrder]])&gt;1,PlayerGameData[[#This Row],[PointRank]]/100+PlayerGameData[[#This Row],[EligFGOrder]],PlayerGameData[[#This Row],[EligFGOrder]])</f>
        <v>217.16</v>
      </c>
      <c r="BD263" s="8">
        <f ca="1">RANK(PlayerGameData[[#This Row],[EligFGTieBreak]],PlayerGameData[EligFGTieBreak],1)</f>
        <v>216</v>
      </c>
      <c r="BE263" s="8" t="str">
        <f>Roster!$D$3</f>
        <v>East</v>
      </c>
      <c r="BF263" s="8" t="str">
        <f>Roster!$D$2</f>
        <v>Northeast</v>
      </c>
      <c r="BG263" s="8" t="str">
        <f>Roster!$D$4</f>
        <v>North</v>
      </c>
      <c r="BH263" s="197">
        <f ca="1">IFERROR(VLOOKUP(CONCATENATE(PlayerGameData[[#This Row],[Opponent]]," ",MONTH(PlayerGameData[[#This Row],[Date]]),"/",DAY(PlayerGameData[[#This Row],[Date]]),"/",YEAR(PlayerGameData[[#This Row],[Date]])),Table35[],2,FALSE),0)</f>
        <v>1</v>
      </c>
      <c r="BI263" s="197">
        <f ca="1">IF(PlayerGameData[[#This Row],[Visible]]=1,1,1000)</f>
        <v>1</v>
      </c>
      <c r="BJ263" s="197" t="e">
        <f ca="1">_xlfn.MAXIFS(TeamGameData[Win],TeamGameData[School, Opponent,Game'#],PlayerGameData[[#This Row],[School, Opponent,Game'#]])</f>
        <v>#NAME?</v>
      </c>
      <c r="BK263" s="197" t="e">
        <f ca="1">_xlfn.MAXIFS(TeamGameData[Loss],TeamGameData[School, Opponent,Game'#],PlayerGameData[[#This Row],[School, Opponent,Game'#]])</f>
        <v>#NAME?</v>
      </c>
    </row>
    <row r="264" spans="1:63" x14ac:dyDescent="0.25">
      <c r="A264" s="8" t="str">
        <f t="shared" ref="A264:A327" ca="1" si="153">CONCATENATE(INDIRECT("Roster!B"&amp;ROW(A$7)+MOD(ROW(A264)-7,24)),", ",INDIRECT("Roster!a"&amp;ROW(A$7)+MOD(ROW(A264)-7,24)))</f>
        <v xml:space="preserve">, </v>
      </c>
      <c r="B264" s="8" t="str">
        <f>Roster!$B$1</f>
        <v>Upton</v>
      </c>
      <c r="C264" s="8" t="str">
        <f t="shared" ca="1" si="141"/>
        <v>Arvada Clearmont</v>
      </c>
      <c r="D264" s="10">
        <f t="shared" ca="1" si="142"/>
        <v>44946</v>
      </c>
      <c r="E264" s="8">
        <f t="shared" ca="1" si="143"/>
        <v>0</v>
      </c>
      <c r="F264" s="8">
        <f t="shared" ca="1" si="144"/>
        <v>0</v>
      </c>
      <c r="G264" s="8">
        <f t="shared" ca="1" si="145"/>
        <v>0</v>
      </c>
      <c r="H264" s="8">
        <f t="shared" ca="1" si="146"/>
        <v>0</v>
      </c>
      <c r="I264" s="8">
        <f t="shared" ca="1" si="147"/>
        <v>0</v>
      </c>
      <c r="J264" s="8">
        <f t="shared" ca="1" si="148"/>
        <v>0</v>
      </c>
      <c r="K264" s="8">
        <f t="shared" ca="1" si="149"/>
        <v>0</v>
      </c>
      <c r="L264" s="8">
        <f t="shared" ref="L264:L327" ca="1" si="154">INDIRECT("'game1 ("&amp;$AD264&amp;")'!"&amp;ADDRESS(ROW(G$7)+MOD(ROW(G264)-7,24),COLUMN(J264)))</f>
        <v>0</v>
      </c>
      <c r="M264" s="8">
        <f t="shared" ref="M264:M327" ca="1" si="155">INDIRECT("'game1 ("&amp;$AD264&amp;")'!"&amp;ADDRESS(ROW(H$7)+MOD(ROW(H264)-7,24),COLUMN(K264)))</f>
        <v>0</v>
      </c>
      <c r="N264" s="8">
        <f t="shared" ref="N264:N327" ca="1" si="156">INDIRECT("'game1 ("&amp;$AD264&amp;")'!"&amp;ADDRESS(ROW(I$7)+MOD(ROW(I264)-7,24),COLUMN(L264)))</f>
        <v>0</v>
      </c>
      <c r="O264" s="8">
        <f t="shared" ref="O264:O327" ca="1" si="157">INDIRECT("'game1 ("&amp;$AD264&amp;")'!"&amp;ADDRESS(ROW(J$7)+MOD(ROW(J264)-7,24),COLUMN(M264)))</f>
        <v>0</v>
      </c>
      <c r="P264" s="8">
        <f t="shared" ref="P264:P327" ca="1" si="158">INDIRECT("'game1 ("&amp;$AD264&amp;")'!"&amp;ADDRESS(ROW(K$7)+MOD(ROW(K264)-7,24),COLUMN(N264)))</f>
        <v>0</v>
      </c>
      <c r="Q264" s="8">
        <f t="shared" ref="Q264:Q327" ca="1" si="159">INDIRECT("'game1 ("&amp;$AD264&amp;")'!"&amp;ADDRESS(ROW(L$7)+MOD(ROW(L264)-7,24),COLUMN(O264)))</f>
        <v>0</v>
      </c>
      <c r="R264" s="8">
        <f t="shared" ref="R264:R327" ca="1" si="160">INDIRECT("'game1 ("&amp;$AD264&amp;")'!"&amp;ADDRESS(ROW(M$7)+MOD(ROW(M264)-7,24),COLUMN(P264)))</f>
        <v>0</v>
      </c>
      <c r="S264" s="8">
        <f t="shared" ref="S264:S327" ca="1" si="161">INDIRECT("'game1 ("&amp;$AD264&amp;")'!"&amp;ADDRESS(ROW(N$7)+MOD(ROW(N264)-7,24),COLUMN(Q264)))</f>
        <v>0</v>
      </c>
      <c r="T264" s="8">
        <f t="shared" ref="T264:T327" ca="1" si="162">INDIRECT("'game1 ("&amp;$AD264&amp;")'!"&amp;ADDRESS(ROW(O$7)+MOD(ROW(O264)-7,24),COLUMN(R264)))</f>
        <v>0</v>
      </c>
      <c r="U264" s="8">
        <f t="shared" ref="U264:U327" ca="1" si="163">INDIRECT("'game1 ("&amp;$AD264&amp;")'!"&amp;ADDRESS(ROW(P$7)+MOD(ROW(P264)-7,24),COLUMN(S264)))</f>
        <v>0</v>
      </c>
      <c r="V264" s="8">
        <f t="shared" ref="V264:V327" ca="1" si="164">INDIRECT("'game1 ("&amp;$AD264&amp;")'!"&amp;ADDRESS(ROW(Q$7)+MOD(ROW(Q264)-7,24),COLUMN(T264)))</f>
        <v>0</v>
      </c>
      <c r="W264" s="11" t="str">
        <f t="shared" ref="W264:W327" ca="1" si="165">INDIRECT("'game1 ("&amp;$AD264&amp;")'!"&amp;ADDRESS(ROW(R$7)+MOD(ROW(R264)-7,24),COLUMN(U264)))</f>
        <v/>
      </c>
      <c r="X264" s="11" t="str">
        <f t="shared" ref="X264:X327" ca="1" si="166">INDIRECT("'game1 ("&amp;$AD264&amp;")'!"&amp;ADDRESS(ROW(S$7)+MOD(ROW(S264)-7,24),COLUMN(V264)))</f>
        <v/>
      </c>
      <c r="Y264" s="11" t="str">
        <f t="shared" ref="Y264:Y327" ca="1" si="167">INDIRECT("'game1 ("&amp;$AD264&amp;")'!"&amp;ADDRESS(ROW(T$7)+MOD(ROW(T264)-7,24),COLUMN(W264)))</f>
        <v/>
      </c>
      <c r="Z264" s="11" t="str">
        <f t="shared" ref="Z264:Z327" ca="1" si="168">INDIRECT("'game1 ("&amp;$AD264&amp;")'!"&amp;ADDRESS(ROW(U$7)+MOD(ROW(U264)-7,24),COLUMN(X264)))</f>
        <v/>
      </c>
      <c r="AA264" s="11" t="str">
        <f t="shared" ref="AA264:AA327" ca="1" si="169">INDIRECT("'game1 ("&amp;$AD264&amp;")'!"&amp;ADDRESS(ROW(V$7)+MOD(ROW(V264)-7,24),COLUMN(Y264)))</f>
        <v/>
      </c>
      <c r="AB264" s="47">
        <f ca="1">PlayerGameData[[#This Row],[3FGA]]+PlayerGameData[[#This Row],[2FGA]]</f>
        <v>0</v>
      </c>
      <c r="AC264" s="47">
        <f ca="1">PlayerGameData[[#This Row],[OFF REB]]+PlayerGameData[[#This Row],[DEF REB]]</f>
        <v>0</v>
      </c>
      <c r="AD264" s="8">
        <f t="shared" si="150"/>
        <v>11</v>
      </c>
      <c r="AE264" s="8" t="str">
        <f t="shared" ca="1" si="151"/>
        <v>,  - Arvada Clearmont 1/20/2023</v>
      </c>
      <c r="AF264" s="8" t="str">
        <f t="shared" ref="AF264:AF327" ca="1" si="170">IFERROR(INDIRECT("'game1 ("&amp;$AD264&amp;")'!$a$2"),"")</f>
        <v>R</v>
      </c>
      <c r="AG264" s="8" t="str">
        <f ca="1">IFERROR(IF(C264=0,"",IF(AND(VLOOKUP(PlayerGameData[[#This Row],[Opponent]],WYTeamInfo,2,FALSE)=Roster!$D$1,VLOOKUP(PlayerGameData[[#This Row],[Opponent]],WYTeamInfo,3,FALSE)=Roster!$D$2),"SR","")),"")</f>
        <v>SR</v>
      </c>
      <c r="AH264" s="8" t="str">
        <f>CONCATENATE(Roster!$D$1," ",Roster!$D$5)</f>
        <v>1A BB</v>
      </c>
      <c r="AI264" s="8" t="str">
        <f t="shared" ca="1" si="152"/>
        <v>Upton - Arvada Clearmont 1/20/2023</v>
      </c>
      <c r="AJ264" s="8">
        <f ca="1">IFERROR(VLOOKUP(PlayerGameData[[#This Row],[School, Opponent,Game'#]],Table3[],2,FALSE),0)</f>
        <v>1</v>
      </c>
      <c r="AK264" s="8">
        <f ca="1">IF(PlayerGameData[[#This Row],[Visible]]=1,1,1000)</f>
        <v>1</v>
      </c>
      <c r="AL264" s="8">
        <f ca="1">RANK(PlayerGameData[[#This Row],[TL PTS]],PlayerGameData[TL PTS],0)+PlayerGameData[[#This Row],[VisibleOrder]]</f>
        <v>185</v>
      </c>
      <c r="AM264" s="8">
        <f ca="1">IF(COUNTIF(PlayerGameData[PointOrder],PlayerGameData[[#This Row],[PointOrder]])&gt;1,RANK(PlayerGameData[[#This Row],[FGA]],PlayerGameData[FGA],0)/100,0)+PlayerGameData[[#This Row],[PointOrder]]</f>
        <v>187.14</v>
      </c>
      <c r="AN264" s="8">
        <f ca="1">RANK(PlayerGameData[[#This Row],[PointTieBreak]],PlayerGameData[PointTieBreak],1)</f>
        <v>216</v>
      </c>
      <c r="AO264" s="8">
        <f ca="1">RANK(PlayerGameData[[#This Row],[REB]],PlayerGameData[REB],0)+PlayerGameData[[#This Row],[VisibleOrder]]</f>
        <v>192</v>
      </c>
      <c r="AP264" s="8">
        <f ca="1">IF(COUNTIF(PlayerGameData[REBOrder],PlayerGameData[[#This Row],[REBOrder]])&gt;1,PlayerGameData[[#This Row],[PointRank]]/100+PlayerGameData[[#This Row],[REBOrder]],PlayerGameData[[#This Row],[REBOrder]])</f>
        <v>194.16</v>
      </c>
      <c r="AQ264" s="8">
        <f ca="1">RANK(PlayerGameData[[#This Row],[REBTieBreak]],PlayerGameData[REBTieBreak],1)</f>
        <v>224</v>
      </c>
      <c r="AR264" s="8">
        <f ca="1">RANK(PlayerGameData[[#This Row],[AST]],PlayerGameData[AST],0)+PlayerGameData[[#This Row],[VisibleOrder]]</f>
        <v>158</v>
      </c>
      <c r="AS264" s="8">
        <f ca="1">IF(COUNTIF(PlayerGameData[ASTOrder],PlayerGameData[[#This Row],[ASTOrder]])&gt;1,PlayerGameData[[#This Row],[PointRank]]/100+PlayerGameData[[#This Row],[ASTOrder]],PlayerGameData[[#This Row],[ASTOrder]])</f>
        <v>160.16</v>
      </c>
      <c r="AT264" s="8">
        <f ca="1">RANK(PlayerGameData[[#This Row],[ASTTieBreak]],PlayerGameData[ASTTieBreak],1)</f>
        <v>221</v>
      </c>
      <c r="AU264" s="8">
        <f ca="1">RANK(PlayerGameData[[#This Row],[STL]],PlayerGameData[STL],0)+PlayerGameData[[#This Row],[VisibleOrder]]</f>
        <v>143</v>
      </c>
      <c r="AV264" s="8">
        <f ca="1">IF(COUNTIF(PlayerGameData[STLOrder],PlayerGameData[[#This Row],[STLOrder]])&gt;1,PlayerGameData[[#This Row],[PointRank]]/100+PlayerGameData[[#This Row],[STLOrder]],PlayerGameData[[#This Row],[STLOrder]])</f>
        <v>145.16</v>
      </c>
      <c r="AW264" s="8">
        <f ca="1">RANK(PlayerGameData[[#This Row],[STLTieBreak]],PlayerGameData[STLTieBreak],1)</f>
        <v>217</v>
      </c>
      <c r="AX264" s="8">
        <f ca="1">RANK(PlayerGameData[[#This Row],[BLK]],PlayerGameData[BLK],0)+PlayerGameData[[#This Row],[VisibleOrder]]</f>
        <v>32</v>
      </c>
      <c r="AY264" s="8">
        <f ca="1">IF(COUNTIF(PlayerGameData[BLKOrder],PlayerGameData[[#This Row],[BLKOrder]])&gt;1,PlayerGameData[[#This Row],[PointRank]]/100+PlayerGameData[[#This Row],[BLKOrder]],PlayerGameData[[#This Row],[BLKOrder]])</f>
        <v>34.159999999999997</v>
      </c>
      <c r="AZ264" s="8">
        <f ca="1">RANK(PlayerGameData[[#This Row],[BLKTieBreak]],PlayerGameData[BLKTieBreak],1)</f>
        <v>216</v>
      </c>
      <c r="BA264" s="11">
        <f ca="1">IFERROR(IF(PlayerGameData[[#This Row],[FGA]]&gt;$AA$5,PlayerGameData[[#This Row],[FG%*]],PlayerGameData[[#This Row],[FG%*]]*-1),-2)</f>
        <v>-2</v>
      </c>
      <c r="BB264" s="8">
        <f ca="1">RANK(PlayerGameData[[#This Row],[EligFG]],PlayerGameData[EligFG],0)+PlayerGameData[[#This Row],[VisibleOrder]]</f>
        <v>215</v>
      </c>
      <c r="BC264" s="8">
        <f ca="1">IF(COUNTIF(PlayerGameData[EligFGOrder],PlayerGameData[[#This Row],[EligFGOrder]])&gt;1,PlayerGameData[[#This Row],[PointRank]]/100+PlayerGameData[[#This Row],[EligFGOrder]],PlayerGameData[[#This Row],[EligFGOrder]])</f>
        <v>217.16</v>
      </c>
      <c r="BD264" s="8">
        <f ca="1">RANK(PlayerGameData[[#This Row],[EligFGTieBreak]],PlayerGameData[EligFGTieBreak],1)</f>
        <v>216</v>
      </c>
      <c r="BE264" s="8" t="str">
        <f>Roster!$D$3</f>
        <v>East</v>
      </c>
      <c r="BF264" s="8" t="str">
        <f>Roster!$D$2</f>
        <v>Northeast</v>
      </c>
      <c r="BG264" s="8" t="str">
        <f>Roster!$D$4</f>
        <v>North</v>
      </c>
      <c r="BH264" s="197">
        <f ca="1">IFERROR(VLOOKUP(CONCATENATE(PlayerGameData[[#This Row],[Opponent]]," ",MONTH(PlayerGameData[[#This Row],[Date]]),"/",DAY(PlayerGameData[[#This Row],[Date]]),"/",YEAR(PlayerGameData[[#This Row],[Date]])),Table35[],2,FALSE),0)</f>
        <v>1</v>
      </c>
      <c r="BI264" s="197">
        <f ca="1">IF(PlayerGameData[[#This Row],[Visible]]=1,1,1000)</f>
        <v>1</v>
      </c>
      <c r="BJ264" s="197" t="e">
        <f ca="1">_xlfn.MAXIFS(TeamGameData[Win],TeamGameData[School, Opponent,Game'#],PlayerGameData[[#This Row],[School, Opponent,Game'#]])</f>
        <v>#NAME?</v>
      </c>
      <c r="BK264" s="197" t="e">
        <f ca="1">_xlfn.MAXIFS(TeamGameData[Loss],TeamGameData[School, Opponent,Game'#],PlayerGameData[[#This Row],[School, Opponent,Game'#]])</f>
        <v>#NAME?</v>
      </c>
    </row>
    <row r="265" spans="1:63" x14ac:dyDescent="0.25">
      <c r="A265" s="8" t="str">
        <f t="shared" ca="1" si="153"/>
        <v xml:space="preserve">, </v>
      </c>
      <c r="B265" s="8" t="str">
        <f>Roster!$B$1</f>
        <v>Upton</v>
      </c>
      <c r="C265" s="8" t="str">
        <f t="shared" ca="1" si="141"/>
        <v>Arvada Clearmont</v>
      </c>
      <c r="D265" s="10">
        <f t="shared" ca="1" si="142"/>
        <v>44946</v>
      </c>
      <c r="E265" s="8">
        <f t="shared" ca="1" si="143"/>
        <v>0</v>
      </c>
      <c r="F265" s="8">
        <f t="shared" ca="1" si="144"/>
        <v>0</v>
      </c>
      <c r="G265" s="8">
        <f t="shared" ca="1" si="145"/>
        <v>0</v>
      </c>
      <c r="H265" s="8">
        <f t="shared" ca="1" si="146"/>
        <v>0</v>
      </c>
      <c r="I265" s="8">
        <f t="shared" ca="1" si="147"/>
        <v>0</v>
      </c>
      <c r="J265" s="8">
        <f t="shared" ca="1" si="148"/>
        <v>0</v>
      </c>
      <c r="K265" s="8">
        <f t="shared" ca="1" si="149"/>
        <v>0</v>
      </c>
      <c r="L265" s="8">
        <f t="shared" ca="1" si="154"/>
        <v>0</v>
      </c>
      <c r="M265" s="8">
        <f t="shared" ca="1" si="155"/>
        <v>0</v>
      </c>
      <c r="N265" s="8">
        <f t="shared" ca="1" si="156"/>
        <v>0</v>
      </c>
      <c r="O265" s="8">
        <f t="shared" ca="1" si="157"/>
        <v>0</v>
      </c>
      <c r="P265" s="8">
        <f t="shared" ca="1" si="158"/>
        <v>0</v>
      </c>
      <c r="Q265" s="8">
        <f t="shared" ca="1" si="159"/>
        <v>0</v>
      </c>
      <c r="R265" s="8">
        <f t="shared" ca="1" si="160"/>
        <v>0</v>
      </c>
      <c r="S265" s="8">
        <f t="shared" ca="1" si="161"/>
        <v>0</v>
      </c>
      <c r="T265" s="8">
        <f t="shared" ca="1" si="162"/>
        <v>0</v>
      </c>
      <c r="U265" s="8">
        <f t="shared" ca="1" si="163"/>
        <v>0</v>
      </c>
      <c r="V265" s="8">
        <f t="shared" ca="1" si="164"/>
        <v>0</v>
      </c>
      <c r="W265" s="11" t="str">
        <f t="shared" ca="1" si="165"/>
        <v/>
      </c>
      <c r="X265" s="11" t="str">
        <f t="shared" ca="1" si="166"/>
        <v/>
      </c>
      <c r="Y265" s="11" t="str">
        <f t="shared" ca="1" si="167"/>
        <v/>
      </c>
      <c r="Z265" s="11" t="str">
        <f t="shared" ca="1" si="168"/>
        <v/>
      </c>
      <c r="AA265" s="11" t="str">
        <f t="shared" ca="1" si="169"/>
        <v/>
      </c>
      <c r="AB265" s="47">
        <f ca="1">PlayerGameData[[#This Row],[3FGA]]+PlayerGameData[[#This Row],[2FGA]]</f>
        <v>0</v>
      </c>
      <c r="AC265" s="47">
        <f ca="1">PlayerGameData[[#This Row],[OFF REB]]+PlayerGameData[[#This Row],[DEF REB]]</f>
        <v>0</v>
      </c>
      <c r="AD265" s="8">
        <f t="shared" si="150"/>
        <v>11</v>
      </c>
      <c r="AE265" s="8" t="str">
        <f t="shared" ca="1" si="151"/>
        <v>,  - Arvada Clearmont 1/20/2023</v>
      </c>
      <c r="AF265" s="8" t="str">
        <f t="shared" ca="1" si="170"/>
        <v>R</v>
      </c>
      <c r="AG265" s="8" t="str">
        <f ca="1">IFERROR(IF(C265=0,"",IF(AND(VLOOKUP(PlayerGameData[[#This Row],[Opponent]],WYTeamInfo,2,FALSE)=Roster!$D$1,VLOOKUP(PlayerGameData[[#This Row],[Opponent]],WYTeamInfo,3,FALSE)=Roster!$D$2),"SR","")),"")</f>
        <v>SR</v>
      </c>
      <c r="AH265" s="8" t="str">
        <f>CONCATENATE(Roster!$D$1," ",Roster!$D$5)</f>
        <v>1A BB</v>
      </c>
      <c r="AI265" s="8" t="str">
        <f t="shared" ca="1" si="152"/>
        <v>Upton - Arvada Clearmont 1/20/2023</v>
      </c>
      <c r="AJ265" s="8">
        <f ca="1">IFERROR(VLOOKUP(PlayerGameData[[#This Row],[School, Opponent,Game'#]],Table3[],2,FALSE),0)</f>
        <v>1</v>
      </c>
      <c r="AK265" s="8">
        <f ca="1">IF(PlayerGameData[[#This Row],[Visible]]=1,1,1000)</f>
        <v>1</v>
      </c>
      <c r="AL265" s="8">
        <f ca="1">RANK(PlayerGameData[[#This Row],[TL PTS]],PlayerGameData[TL PTS],0)+PlayerGameData[[#This Row],[VisibleOrder]]</f>
        <v>185</v>
      </c>
      <c r="AM265" s="8">
        <f ca="1">IF(COUNTIF(PlayerGameData[PointOrder],PlayerGameData[[#This Row],[PointOrder]])&gt;1,RANK(PlayerGameData[[#This Row],[FGA]],PlayerGameData[FGA],0)/100,0)+PlayerGameData[[#This Row],[PointOrder]]</f>
        <v>187.14</v>
      </c>
      <c r="AN265" s="8">
        <f ca="1">RANK(PlayerGameData[[#This Row],[PointTieBreak]],PlayerGameData[PointTieBreak],1)</f>
        <v>216</v>
      </c>
      <c r="AO265" s="8">
        <f ca="1">RANK(PlayerGameData[[#This Row],[REB]],PlayerGameData[REB],0)+PlayerGameData[[#This Row],[VisibleOrder]]</f>
        <v>192</v>
      </c>
      <c r="AP265" s="8">
        <f ca="1">IF(COUNTIF(PlayerGameData[REBOrder],PlayerGameData[[#This Row],[REBOrder]])&gt;1,PlayerGameData[[#This Row],[PointRank]]/100+PlayerGameData[[#This Row],[REBOrder]],PlayerGameData[[#This Row],[REBOrder]])</f>
        <v>194.16</v>
      </c>
      <c r="AQ265" s="8">
        <f ca="1">RANK(PlayerGameData[[#This Row],[REBTieBreak]],PlayerGameData[REBTieBreak],1)</f>
        <v>224</v>
      </c>
      <c r="AR265" s="8">
        <f ca="1">RANK(PlayerGameData[[#This Row],[AST]],PlayerGameData[AST],0)+PlayerGameData[[#This Row],[VisibleOrder]]</f>
        <v>158</v>
      </c>
      <c r="AS265" s="8">
        <f ca="1">IF(COUNTIF(PlayerGameData[ASTOrder],PlayerGameData[[#This Row],[ASTOrder]])&gt;1,PlayerGameData[[#This Row],[PointRank]]/100+PlayerGameData[[#This Row],[ASTOrder]],PlayerGameData[[#This Row],[ASTOrder]])</f>
        <v>160.16</v>
      </c>
      <c r="AT265" s="8">
        <f ca="1">RANK(PlayerGameData[[#This Row],[ASTTieBreak]],PlayerGameData[ASTTieBreak],1)</f>
        <v>221</v>
      </c>
      <c r="AU265" s="8">
        <f ca="1">RANK(PlayerGameData[[#This Row],[STL]],PlayerGameData[STL],0)+PlayerGameData[[#This Row],[VisibleOrder]]</f>
        <v>143</v>
      </c>
      <c r="AV265" s="8">
        <f ca="1">IF(COUNTIF(PlayerGameData[STLOrder],PlayerGameData[[#This Row],[STLOrder]])&gt;1,PlayerGameData[[#This Row],[PointRank]]/100+PlayerGameData[[#This Row],[STLOrder]],PlayerGameData[[#This Row],[STLOrder]])</f>
        <v>145.16</v>
      </c>
      <c r="AW265" s="8">
        <f ca="1">RANK(PlayerGameData[[#This Row],[STLTieBreak]],PlayerGameData[STLTieBreak],1)</f>
        <v>217</v>
      </c>
      <c r="AX265" s="8">
        <f ca="1">RANK(PlayerGameData[[#This Row],[BLK]],PlayerGameData[BLK],0)+PlayerGameData[[#This Row],[VisibleOrder]]</f>
        <v>32</v>
      </c>
      <c r="AY265" s="8">
        <f ca="1">IF(COUNTIF(PlayerGameData[BLKOrder],PlayerGameData[[#This Row],[BLKOrder]])&gt;1,PlayerGameData[[#This Row],[PointRank]]/100+PlayerGameData[[#This Row],[BLKOrder]],PlayerGameData[[#This Row],[BLKOrder]])</f>
        <v>34.159999999999997</v>
      </c>
      <c r="AZ265" s="8">
        <f ca="1">RANK(PlayerGameData[[#This Row],[BLKTieBreak]],PlayerGameData[BLKTieBreak],1)</f>
        <v>216</v>
      </c>
      <c r="BA265" s="11">
        <f ca="1">IFERROR(IF(PlayerGameData[[#This Row],[FGA]]&gt;$AA$5,PlayerGameData[[#This Row],[FG%*]],PlayerGameData[[#This Row],[FG%*]]*-1),-2)</f>
        <v>-2</v>
      </c>
      <c r="BB265" s="8">
        <f ca="1">RANK(PlayerGameData[[#This Row],[EligFG]],PlayerGameData[EligFG],0)+PlayerGameData[[#This Row],[VisibleOrder]]</f>
        <v>215</v>
      </c>
      <c r="BC265" s="8">
        <f ca="1">IF(COUNTIF(PlayerGameData[EligFGOrder],PlayerGameData[[#This Row],[EligFGOrder]])&gt;1,PlayerGameData[[#This Row],[PointRank]]/100+PlayerGameData[[#This Row],[EligFGOrder]],PlayerGameData[[#This Row],[EligFGOrder]])</f>
        <v>217.16</v>
      </c>
      <c r="BD265" s="8">
        <f ca="1">RANK(PlayerGameData[[#This Row],[EligFGTieBreak]],PlayerGameData[EligFGTieBreak],1)</f>
        <v>216</v>
      </c>
      <c r="BE265" s="8" t="str">
        <f>Roster!$D$3</f>
        <v>East</v>
      </c>
      <c r="BF265" s="8" t="str">
        <f>Roster!$D$2</f>
        <v>Northeast</v>
      </c>
      <c r="BG265" s="8" t="str">
        <f>Roster!$D$4</f>
        <v>North</v>
      </c>
      <c r="BH265" s="197">
        <f ca="1">IFERROR(VLOOKUP(CONCATENATE(PlayerGameData[[#This Row],[Opponent]]," ",MONTH(PlayerGameData[[#This Row],[Date]]),"/",DAY(PlayerGameData[[#This Row],[Date]]),"/",YEAR(PlayerGameData[[#This Row],[Date]])),Table35[],2,FALSE),0)</f>
        <v>1</v>
      </c>
      <c r="BI265" s="197">
        <f ca="1">IF(PlayerGameData[[#This Row],[Visible]]=1,1,1000)</f>
        <v>1</v>
      </c>
      <c r="BJ265" s="197" t="e">
        <f ca="1">_xlfn.MAXIFS(TeamGameData[Win],TeamGameData[School, Opponent,Game'#],PlayerGameData[[#This Row],[School, Opponent,Game'#]])</f>
        <v>#NAME?</v>
      </c>
      <c r="BK265" s="197" t="e">
        <f ca="1">_xlfn.MAXIFS(TeamGameData[Loss],TeamGameData[School, Opponent,Game'#],PlayerGameData[[#This Row],[School, Opponent,Game'#]])</f>
        <v>#NAME?</v>
      </c>
    </row>
    <row r="266" spans="1:63" x14ac:dyDescent="0.25">
      <c r="A266" s="8" t="str">
        <f t="shared" ca="1" si="153"/>
        <v xml:space="preserve">, </v>
      </c>
      <c r="B266" s="8" t="str">
        <f>Roster!$B$1</f>
        <v>Upton</v>
      </c>
      <c r="C266" s="8" t="str">
        <f t="shared" ca="1" si="141"/>
        <v>Arvada Clearmont</v>
      </c>
      <c r="D266" s="10">
        <f t="shared" ca="1" si="142"/>
        <v>44946</v>
      </c>
      <c r="E266" s="8">
        <f t="shared" ca="1" si="143"/>
        <v>0</v>
      </c>
      <c r="F266" s="8">
        <f t="shared" ca="1" si="144"/>
        <v>0</v>
      </c>
      <c r="G266" s="8">
        <f t="shared" ca="1" si="145"/>
        <v>0</v>
      </c>
      <c r="H266" s="8">
        <f t="shared" ca="1" si="146"/>
        <v>0</v>
      </c>
      <c r="I266" s="8">
        <f t="shared" ca="1" si="147"/>
        <v>0</v>
      </c>
      <c r="J266" s="8">
        <f t="shared" ca="1" si="148"/>
        <v>0</v>
      </c>
      <c r="K266" s="8">
        <f t="shared" ca="1" si="149"/>
        <v>0</v>
      </c>
      <c r="L266" s="8">
        <f t="shared" ca="1" si="154"/>
        <v>0</v>
      </c>
      <c r="M266" s="8">
        <f t="shared" ca="1" si="155"/>
        <v>0</v>
      </c>
      <c r="N266" s="8">
        <f t="shared" ca="1" si="156"/>
        <v>0</v>
      </c>
      <c r="O266" s="8">
        <f t="shared" ca="1" si="157"/>
        <v>0</v>
      </c>
      <c r="P266" s="8">
        <f t="shared" ca="1" si="158"/>
        <v>0</v>
      </c>
      <c r="Q266" s="8">
        <f t="shared" ca="1" si="159"/>
        <v>0</v>
      </c>
      <c r="R266" s="8">
        <f t="shared" ca="1" si="160"/>
        <v>0</v>
      </c>
      <c r="S266" s="8">
        <f t="shared" ca="1" si="161"/>
        <v>0</v>
      </c>
      <c r="T266" s="8">
        <f t="shared" ca="1" si="162"/>
        <v>0</v>
      </c>
      <c r="U266" s="8">
        <f t="shared" ca="1" si="163"/>
        <v>0</v>
      </c>
      <c r="V266" s="8">
        <f t="shared" ca="1" si="164"/>
        <v>0</v>
      </c>
      <c r="W266" s="11" t="str">
        <f t="shared" ca="1" si="165"/>
        <v/>
      </c>
      <c r="X266" s="11" t="str">
        <f t="shared" ca="1" si="166"/>
        <v/>
      </c>
      <c r="Y266" s="11" t="str">
        <f t="shared" ca="1" si="167"/>
        <v/>
      </c>
      <c r="Z266" s="11" t="str">
        <f t="shared" ca="1" si="168"/>
        <v/>
      </c>
      <c r="AA266" s="11" t="str">
        <f t="shared" ca="1" si="169"/>
        <v/>
      </c>
      <c r="AB266" s="47">
        <f ca="1">PlayerGameData[[#This Row],[3FGA]]+PlayerGameData[[#This Row],[2FGA]]</f>
        <v>0</v>
      </c>
      <c r="AC266" s="47">
        <f ca="1">PlayerGameData[[#This Row],[OFF REB]]+PlayerGameData[[#This Row],[DEF REB]]</f>
        <v>0</v>
      </c>
      <c r="AD266" s="8">
        <f t="shared" si="150"/>
        <v>11</v>
      </c>
      <c r="AE266" s="8" t="str">
        <f t="shared" ca="1" si="151"/>
        <v>,  - Arvada Clearmont 1/20/2023</v>
      </c>
      <c r="AF266" s="8" t="str">
        <f t="shared" ca="1" si="170"/>
        <v>R</v>
      </c>
      <c r="AG266" s="8" t="str">
        <f ca="1">IFERROR(IF(C266=0,"",IF(AND(VLOOKUP(PlayerGameData[[#This Row],[Opponent]],WYTeamInfo,2,FALSE)=Roster!$D$1,VLOOKUP(PlayerGameData[[#This Row],[Opponent]],WYTeamInfo,3,FALSE)=Roster!$D$2),"SR","")),"")</f>
        <v>SR</v>
      </c>
      <c r="AH266" s="8" t="str">
        <f>CONCATENATE(Roster!$D$1," ",Roster!$D$5)</f>
        <v>1A BB</v>
      </c>
      <c r="AI266" s="8" t="str">
        <f t="shared" ca="1" si="152"/>
        <v>Upton - Arvada Clearmont 1/20/2023</v>
      </c>
      <c r="AJ266" s="8">
        <f ca="1">IFERROR(VLOOKUP(PlayerGameData[[#This Row],[School, Opponent,Game'#]],Table3[],2,FALSE),0)</f>
        <v>1</v>
      </c>
      <c r="AK266" s="8">
        <f ca="1">IF(PlayerGameData[[#This Row],[Visible]]=1,1,1000)</f>
        <v>1</v>
      </c>
      <c r="AL266" s="8">
        <f ca="1">RANK(PlayerGameData[[#This Row],[TL PTS]],PlayerGameData[TL PTS],0)+PlayerGameData[[#This Row],[VisibleOrder]]</f>
        <v>185</v>
      </c>
      <c r="AM266" s="8">
        <f ca="1">IF(COUNTIF(PlayerGameData[PointOrder],PlayerGameData[[#This Row],[PointOrder]])&gt;1,RANK(PlayerGameData[[#This Row],[FGA]],PlayerGameData[FGA],0)/100,0)+PlayerGameData[[#This Row],[PointOrder]]</f>
        <v>187.14</v>
      </c>
      <c r="AN266" s="8">
        <f ca="1">RANK(PlayerGameData[[#This Row],[PointTieBreak]],PlayerGameData[PointTieBreak],1)</f>
        <v>216</v>
      </c>
      <c r="AO266" s="8">
        <f ca="1">RANK(PlayerGameData[[#This Row],[REB]],PlayerGameData[REB],0)+PlayerGameData[[#This Row],[VisibleOrder]]</f>
        <v>192</v>
      </c>
      <c r="AP266" s="8">
        <f ca="1">IF(COUNTIF(PlayerGameData[REBOrder],PlayerGameData[[#This Row],[REBOrder]])&gt;1,PlayerGameData[[#This Row],[PointRank]]/100+PlayerGameData[[#This Row],[REBOrder]],PlayerGameData[[#This Row],[REBOrder]])</f>
        <v>194.16</v>
      </c>
      <c r="AQ266" s="8">
        <f ca="1">RANK(PlayerGameData[[#This Row],[REBTieBreak]],PlayerGameData[REBTieBreak],1)</f>
        <v>224</v>
      </c>
      <c r="AR266" s="8">
        <f ca="1">RANK(PlayerGameData[[#This Row],[AST]],PlayerGameData[AST],0)+PlayerGameData[[#This Row],[VisibleOrder]]</f>
        <v>158</v>
      </c>
      <c r="AS266" s="8">
        <f ca="1">IF(COUNTIF(PlayerGameData[ASTOrder],PlayerGameData[[#This Row],[ASTOrder]])&gt;1,PlayerGameData[[#This Row],[PointRank]]/100+PlayerGameData[[#This Row],[ASTOrder]],PlayerGameData[[#This Row],[ASTOrder]])</f>
        <v>160.16</v>
      </c>
      <c r="AT266" s="8">
        <f ca="1">RANK(PlayerGameData[[#This Row],[ASTTieBreak]],PlayerGameData[ASTTieBreak],1)</f>
        <v>221</v>
      </c>
      <c r="AU266" s="8">
        <f ca="1">RANK(PlayerGameData[[#This Row],[STL]],PlayerGameData[STL],0)+PlayerGameData[[#This Row],[VisibleOrder]]</f>
        <v>143</v>
      </c>
      <c r="AV266" s="8">
        <f ca="1">IF(COUNTIF(PlayerGameData[STLOrder],PlayerGameData[[#This Row],[STLOrder]])&gt;1,PlayerGameData[[#This Row],[PointRank]]/100+PlayerGameData[[#This Row],[STLOrder]],PlayerGameData[[#This Row],[STLOrder]])</f>
        <v>145.16</v>
      </c>
      <c r="AW266" s="8">
        <f ca="1">RANK(PlayerGameData[[#This Row],[STLTieBreak]],PlayerGameData[STLTieBreak],1)</f>
        <v>217</v>
      </c>
      <c r="AX266" s="8">
        <f ca="1">RANK(PlayerGameData[[#This Row],[BLK]],PlayerGameData[BLK],0)+PlayerGameData[[#This Row],[VisibleOrder]]</f>
        <v>32</v>
      </c>
      <c r="AY266" s="8">
        <f ca="1">IF(COUNTIF(PlayerGameData[BLKOrder],PlayerGameData[[#This Row],[BLKOrder]])&gt;1,PlayerGameData[[#This Row],[PointRank]]/100+PlayerGameData[[#This Row],[BLKOrder]],PlayerGameData[[#This Row],[BLKOrder]])</f>
        <v>34.159999999999997</v>
      </c>
      <c r="AZ266" s="8">
        <f ca="1">RANK(PlayerGameData[[#This Row],[BLKTieBreak]],PlayerGameData[BLKTieBreak],1)</f>
        <v>216</v>
      </c>
      <c r="BA266" s="11">
        <f ca="1">IFERROR(IF(PlayerGameData[[#This Row],[FGA]]&gt;$AA$5,PlayerGameData[[#This Row],[FG%*]],PlayerGameData[[#This Row],[FG%*]]*-1),-2)</f>
        <v>-2</v>
      </c>
      <c r="BB266" s="8">
        <f ca="1">RANK(PlayerGameData[[#This Row],[EligFG]],PlayerGameData[EligFG],0)+PlayerGameData[[#This Row],[VisibleOrder]]</f>
        <v>215</v>
      </c>
      <c r="BC266" s="8">
        <f ca="1">IF(COUNTIF(PlayerGameData[EligFGOrder],PlayerGameData[[#This Row],[EligFGOrder]])&gt;1,PlayerGameData[[#This Row],[PointRank]]/100+PlayerGameData[[#This Row],[EligFGOrder]],PlayerGameData[[#This Row],[EligFGOrder]])</f>
        <v>217.16</v>
      </c>
      <c r="BD266" s="8">
        <f ca="1">RANK(PlayerGameData[[#This Row],[EligFGTieBreak]],PlayerGameData[EligFGTieBreak],1)</f>
        <v>216</v>
      </c>
      <c r="BE266" s="8" t="str">
        <f>Roster!$D$3</f>
        <v>East</v>
      </c>
      <c r="BF266" s="8" t="str">
        <f>Roster!$D$2</f>
        <v>Northeast</v>
      </c>
      <c r="BG266" s="8" t="str">
        <f>Roster!$D$4</f>
        <v>North</v>
      </c>
      <c r="BH266" s="197">
        <f ca="1">IFERROR(VLOOKUP(CONCATENATE(PlayerGameData[[#This Row],[Opponent]]," ",MONTH(PlayerGameData[[#This Row],[Date]]),"/",DAY(PlayerGameData[[#This Row],[Date]]),"/",YEAR(PlayerGameData[[#This Row],[Date]])),Table35[],2,FALSE),0)</f>
        <v>1</v>
      </c>
      <c r="BI266" s="197">
        <f ca="1">IF(PlayerGameData[[#This Row],[Visible]]=1,1,1000)</f>
        <v>1</v>
      </c>
      <c r="BJ266" s="197" t="e">
        <f ca="1">_xlfn.MAXIFS(TeamGameData[Win],TeamGameData[School, Opponent,Game'#],PlayerGameData[[#This Row],[School, Opponent,Game'#]])</f>
        <v>#NAME?</v>
      </c>
      <c r="BK266" s="197" t="e">
        <f ca="1">_xlfn.MAXIFS(TeamGameData[Loss],TeamGameData[School, Opponent,Game'#],PlayerGameData[[#This Row],[School, Opponent,Game'#]])</f>
        <v>#NAME?</v>
      </c>
    </row>
    <row r="267" spans="1:63" x14ac:dyDescent="0.25">
      <c r="A267" s="8" t="str">
        <f t="shared" ca="1" si="153"/>
        <v xml:space="preserve">, </v>
      </c>
      <c r="B267" s="8" t="str">
        <f>Roster!$B$1</f>
        <v>Upton</v>
      </c>
      <c r="C267" s="8" t="str">
        <f t="shared" ca="1" si="141"/>
        <v>Arvada Clearmont</v>
      </c>
      <c r="D267" s="10">
        <f t="shared" ca="1" si="142"/>
        <v>44946</v>
      </c>
      <c r="E267" s="8">
        <f t="shared" ca="1" si="143"/>
        <v>0</v>
      </c>
      <c r="F267" s="8">
        <f t="shared" ca="1" si="144"/>
        <v>0</v>
      </c>
      <c r="G267" s="8">
        <f t="shared" ca="1" si="145"/>
        <v>0</v>
      </c>
      <c r="H267" s="8">
        <f t="shared" ca="1" si="146"/>
        <v>0</v>
      </c>
      <c r="I267" s="8">
        <f t="shared" ca="1" si="147"/>
        <v>0</v>
      </c>
      <c r="J267" s="8">
        <f t="shared" ca="1" si="148"/>
        <v>0</v>
      </c>
      <c r="K267" s="8">
        <f t="shared" ca="1" si="149"/>
        <v>0</v>
      </c>
      <c r="L267" s="8">
        <f t="shared" ca="1" si="154"/>
        <v>0</v>
      </c>
      <c r="M267" s="8">
        <f t="shared" ca="1" si="155"/>
        <v>0</v>
      </c>
      <c r="N267" s="8">
        <f t="shared" ca="1" si="156"/>
        <v>0</v>
      </c>
      <c r="O267" s="8">
        <f t="shared" ca="1" si="157"/>
        <v>0</v>
      </c>
      <c r="P267" s="8">
        <f t="shared" ca="1" si="158"/>
        <v>0</v>
      </c>
      <c r="Q267" s="8">
        <f t="shared" ca="1" si="159"/>
        <v>0</v>
      </c>
      <c r="R267" s="8">
        <f t="shared" ca="1" si="160"/>
        <v>0</v>
      </c>
      <c r="S267" s="8">
        <f t="shared" ca="1" si="161"/>
        <v>0</v>
      </c>
      <c r="T267" s="8">
        <f t="shared" ca="1" si="162"/>
        <v>0</v>
      </c>
      <c r="U267" s="8">
        <f t="shared" ca="1" si="163"/>
        <v>0</v>
      </c>
      <c r="V267" s="8">
        <f t="shared" ca="1" si="164"/>
        <v>0</v>
      </c>
      <c r="W267" s="11" t="str">
        <f t="shared" ca="1" si="165"/>
        <v/>
      </c>
      <c r="X267" s="11" t="str">
        <f t="shared" ca="1" si="166"/>
        <v/>
      </c>
      <c r="Y267" s="11" t="str">
        <f t="shared" ca="1" si="167"/>
        <v/>
      </c>
      <c r="Z267" s="11" t="str">
        <f t="shared" ca="1" si="168"/>
        <v/>
      </c>
      <c r="AA267" s="11" t="str">
        <f t="shared" ca="1" si="169"/>
        <v/>
      </c>
      <c r="AB267" s="47">
        <f ca="1">PlayerGameData[[#This Row],[3FGA]]+PlayerGameData[[#This Row],[2FGA]]</f>
        <v>0</v>
      </c>
      <c r="AC267" s="47">
        <f ca="1">PlayerGameData[[#This Row],[OFF REB]]+PlayerGameData[[#This Row],[DEF REB]]</f>
        <v>0</v>
      </c>
      <c r="AD267" s="8">
        <f t="shared" si="150"/>
        <v>11</v>
      </c>
      <c r="AE267" s="8" t="str">
        <f t="shared" ca="1" si="151"/>
        <v>,  - Arvada Clearmont 1/20/2023</v>
      </c>
      <c r="AF267" s="8" t="str">
        <f t="shared" ca="1" si="170"/>
        <v>R</v>
      </c>
      <c r="AG267" s="8" t="str">
        <f ca="1">IFERROR(IF(C267=0,"",IF(AND(VLOOKUP(PlayerGameData[[#This Row],[Opponent]],WYTeamInfo,2,FALSE)=Roster!$D$1,VLOOKUP(PlayerGameData[[#This Row],[Opponent]],WYTeamInfo,3,FALSE)=Roster!$D$2),"SR","")),"")</f>
        <v>SR</v>
      </c>
      <c r="AH267" s="8" t="str">
        <f>CONCATENATE(Roster!$D$1," ",Roster!$D$5)</f>
        <v>1A BB</v>
      </c>
      <c r="AI267" s="8" t="str">
        <f t="shared" ca="1" si="152"/>
        <v>Upton - Arvada Clearmont 1/20/2023</v>
      </c>
      <c r="AJ267" s="8">
        <f ca="1">IFERROR(VLOOKUP(PlayerGameData[[#This Row],[School, Opponent,Game'#]],Table3[],2,FALSE),0)</f>
        <v>1</v>
      </c>
      <c r="AK267" s="8">
        <f ca="1">IF(PlayerGameData[[#This Row],[Visible]]=1,1,1000)</f>
        <v>1</v>
      </c>
      <c r="AL267" s="8">
        <f ca="1">RANK(PlayerGameData[[#This Row],[TL PTS]],PlayerGameData[TL PTS],0)+PlayerGameData[[#This Row],[VisibleOrder]]</f>
        <v>185</v>
      </c>
      <c r="AM267" s="8">
        <f ca="1">IF(COUNTIF(PlayerGameData[PointOrder],PlayerGameData[[#This Row],[PointOrder]])&gt;1,RANK(PlayerGameData[[#This Row],[FGA]],PlayerGameData[FGA],0)/100,0)+PlayerGameData[[#This Row],[PointOrder]]</f>
        <v>187.14</v>
      </c>
      <c r="AN267" s="8">
        <f ca="1">RANK(PlayerGameData[[#This Row],[PointTieBreak]],PlayerGameData[PointTieBreak],1)</f>
        <v>216</v>
      </c>
      <c r="AO267" s="8">
        <f ca="1">RANK(PlayerGameData[[#This Row],[REB]],PlayerGameData[REB],0)+PlayerGameData[[#This Row],[VisibleOrder]]</f>
        <v>192</v>
      </c>
      <c r="AP267" s="8">
        <f ca="1">IF(COUNTIF(PlayerGameData[REBOrder],PlayerGameData[[#This Row],[REBOrder]])&gt;1,PlayerGameData[[#This Row],[PointRank]]/100+PlayerGameData[[#This Row],[REBOrder]],PlayerGameData[[#This Row],[REBOrder]])</f>
        <v>194.16</v>
      </c>
      <c r="AQ267" s="8">
        <f ca="1">RANK(PlayerGameData[[#This Row],[REBTieBreak]],PlayerGameData[REBTieBreak],1)</f>
        <v>224</v>
      </c>
      <c r="AR267" s="8">
        <f ca="1">RANK(PlayerGameData[[#This Row],[AST]],PlayerGameData[AST],0)+PlayerGameData[[#This Row],[VisibleOrder]]</f>
        <v>158</v>
      </c>
      <c r="AS267" s="8">
        <f ca="1">IF(COUNTIF(PlayerGameData[ASTOrder],PlayerGameData[[#This Row],[ASTOrder]])&gt;1,PlayerGameData[[#This Row],[PointRank]]/100+PlayerGameData[[#This Row],[ASTOrder]],PlayerGameData[[#This Row],[ASTOrder]])</f>
        <v>160.16</v>
      </c>
      <c r="AT267" s="8">
        <f ca="1">RANK(PlayerGameData[[#This Row],[ASTTieBreak]],PlayerGameData[ASTTieBreak],1)</f>
        <v>221</v>
      </c>
      <c r="AU267" s="8">
        <f ca="1">RANK(PlayerGameData[[#This Row],[STL]],PlayerGameData[STL],0)+PlayerGameData[[#This Row],[VisibleOrder]]</f>
        <v>143</v>
      </c>
      <c r="AV267" s="8">
        <f ca="1">IF(COUNTIF(PlayerGameData[STLOrder],PlayerGameData[[#This Row],[STLOrder]])&gt;1,PlayerGameData[[#This Row],[PointRank]]/100+PlayerGameData[[#This Row],[STLOrder]],PlayerGameData[[#This Row],[STLOrder]])</f>
        <v>145.16</v>
      </c>
      <c r="AW267" s="8">
        <f ca="1">RANK(PlayerGameData[[#This Row],[STLTieBreak]],PlayerGameData[STLTieBreak],1)</f>
        <v>217</v>
      </c>
      <c r="AX267" s="8">
        <f ca="1">RANK(PlayerGameData[[#This Row],[BLK]],PlayerGameData[BLK],0)+PlayerGameData[[#This Row],[VisibleOrder]]</f>
        <v>32</v>
      </c>
      <c r="AY267" s="8">
        <f ca="1">IF(COUNTIF(PlayerGameData[BLKOrder],PlayerGameData[[#This Row],[BLKOrder]])&gt;1,PlayerGameData[[#This Row],[PointRank]]/100+PlayerGameData[[#This Row],[BLKOrder]],PlayerGameData[[#This Row],[BLKOrder]])</f>
        <v>34.159999999999997</v>
      </c>
      <c r="AZ267" s="8">
        <f ca="1">RANK(PlayerGameData[[#This Row],[BLKTieBreak]],PlayerGameData[BLKTieBreak],1)</f>
        <v>216</v>
      </c>
      <c r="BA267" s="11">
        <f ca="1">IFERROR(IF(PlayerGameData[[#This Row],[FGA]]&gt;$AA$5,PlayerGameData[[#This Row],[FG%*]],PlayerGameData[[#This Row],[FG%*]]*-1),-2)</f>
        <v>-2</v>
      </c>
      <c r="BB267" s="8">
        <f ca="1">RANK(PlayerGameData[[#This Row],[EligFG]],PlayerGameData[EligFG],0)+PlayerGameData[[#This Row],[VisibleOrder]]</f>
        <v>215</v>
      </c>
      <c r="BC267" s="8">
        <f ca="1">IF(COUNTIF(PlayerGameData[EligFGOrder],PlayerGameData[[#This Row],[EligFGOrder]])&gt;1,PlayerGameData[[#This Row],[PointRank]]/100+PlayerGameData[[#This Row],[EligFGOrder]],PlayerGameData[[#This Row],[EligFGOrder]])</f>
        <v>217.16</v>
      </c>
      <c r="BD267" s="8">
        <f ca="1">RANK(PlayerGameData[[#This Row],[EligFGTieBreak]],PlayerGameData[EligFGTieBreak],1)</f>
        <v>216</v>
      </c>
      <c r="BE267" s="8" t="str">
        <f>Roster!$D$3</f>
        <v>East</v>
      </c>
      <c r="BF267" s="8" t="str">
        <f>Roster!$D$2</f>
        <v>Northeast</v>
      </c>
      <c r="BG267" s="8" t="str">
        <f>Roster!$D$4</f>
        <v>North</v>
      </c>
      <c r="BH267" s="197">
        <f ca="1">IFERROR(VLOOKUP(CONCATENATE(PlayerGameData[[#This Row],[Opponent]]," ",MONTH(PlayerGameData[[#This Row],[Date]]),"/",DAY(PlayerGameData[[#This Row],[Date]]),"/",YEAR(PlayerGameData[[#This Row],[Date]])),Table35[],2,FALSE),0)</f>
        <v>1</v>
      </c>
      <c r="BI267" s="197">
        <f ca="1">IF(PlayerGameData[[#This Row],[Visible]]=1,1,1000)</f>
        <v>1</v>
      </c>
      <c r="BJ267" s="197" t="e">
        <f ca="1">_xlfn.MAXIFS(TeamGameData[Win],TeamGameData[School, Opponent,Game'#],PlayerGameData[[#This Row],[School, Opponent,Game'#]])</f>
        <v>#NAME?</v>
      </c>
      <c r="BK267" s="197" t="e">
        <f ca="1">_xlfn.MAXIFS(TeamGameData[Loss],TeamGameData[School, Opponent,Game'#],PlayerGameData[[#This Row],[School, Opponent,Game'#]])</f>
        <v>#NAME?</v>
      </c>
    </row>
    <row r="268" spans="1:63" x14ac:dyDescent="0.25">
      <c r="A268" s="8" t="str">
        <f t="shared" ca="1" si="153"/>
        <v xml:space="preserve">, </v>
      </c>
      <c r="B268" s="8" t="str">
        <f>Roster!$B$1</f>
        <v>Upton</v>
      </c>
      <c r="C268" s="8" t="str">
        <f t="shared" ca="1" si="141"/>
        <v>Arvada Clearmont</v>
      </c>
      <c r="D268" s="10">
        <f t="shared" ca="1" si="142"/>
        <v>44946</v>
      </c>
      <c r="E268" s="8">
        <f t="shared" ca="1" si="143"/>
        <v>0</v>
      </c>
      <c r="F268" s="8">
        <f t="shared" ca="1" si="144"/>
        <v>0</v>
      </c>
      <c r="G268" s="8">
        <f t="shared" ca="1" si="145"/>
        <v>0</v>
      </c>
      <c r="H268" s="8">
        <f t="shared" ca="1" si="146"/>
        <v>0</v>
      </c>
      <c r="I268" s="8">
        <f t="shared" ca="1" si="147"/>
        <v>0</v>
      </c>
      <c r="J268" s="8">
        <f t="shared" ca="1" si="148"/>
        <v>0</v>
      </c>
      <c r="K268" s="8">
        <f t="shared" ca="1" si="149"/>
        <v>0</v>
      </c>
      <c r="L268" s="8">
        <f t="shared" ca="1" si="154"/>
        <v>0</v>
      </c>
      <c r="M268" s="8">
        <f t="shared" ca="1" si="155"/>
        <v>0</v>
      </c>
      <c r="N268" s="8">
        <f t="shared" ca="1" si="156"/>
        <v>0</v>
      </c>
      <c r="O268" s="8">
        <f t="shared" ca="1" si="157"/>
        <v>0</v>
      </c>
      <c r="P268" s="8">
        <f t="shared" ca="1" si="158"/>
        <v>0</v>
      </c>
      <c r="Q268" s="8">
        <f t="shared" ca="1" si="159"/>
        <v>0</v>
      </c>
      <c r="R268" s="8">
        <f t="shared" ca="1" si="160"/>
        <v>0</v>
      </c>
      <c r="S268" s="8">
        <f t="shared" ca="1" si="161"/>
        <v>0</v>
      </c>
      <c r="T268" s="8">
        <f t="shared" ca="1" si="162"/>
        <v>0</v>
      </c>
      <c r="U268" s="8">
        <f t="shared" ca="1" si="163"/>
        <v>0</v>
      </c>
      <c r="V268" s="8">
        <f t="shared" ca="1" si="164"/>
        <v>0</v>
      </c>
      <c r="W268" s="11" t="str">
        <f t="shared" ca="1" si="165"/>
        <v/>
      </c>
      <c r="X268" s="11" t="str">
        <f t="shared" ca="1" si="166"/>
        <v/>
      </c>
      <c r="Y268" s="11" t="str">
        <f t="shared" ca="1" si="167"/>
        <v/>
      </c>
      <c r="Z268" s="11" t="str">
        <f t="shared" ca="1" si="168"/>
        <v/>
      </c>
      <c r="AA268" s="11" t="str">
        <f t="shared" ca="1" si="169"/>
        <v/>
      </c>
      <c r="AB268" s="47">
        <f ca="1">PlayerGameData[[#This Row],[3FGA]]+PlayerGameData[[#This Row],[2FGA]]</f>
        <v>0</v>
      </c>
      <c r="AC268" s="47">
        <f ca="1">PlayerGameData[[#This Row],[OFF REB]]+PlayerGameData[[#This Row],[DEF REB]]</f>
        <v>0</v>
      </c>
      <c r="AD268" s="8">
        <f t="shared" si="150"/>
        <v>11</v>
      </c>
      <c r="AE268" s="8" t="str">
        <f t="shared" ca="1" si="151"/>
        <v>,  - Arvada Clearmont 1/20/2023</v>
      </c>
      <c r="AF268" s="8" t="str">
        <f t="shared" ca="1" si="170"/>
        <v>R</v>
      </c>
      <c r="AG268" s="8" t="str">
        <f ca="1">IFERROR(IF(C268=0,"",IF(AND(VLOOKUP(PlayerGameData[[#This Row],[Opponent]],WYTeamInfo,2,FALSE)=Roster!$D$1,VLOOKUP(PlayerGameData[[#This Row],[Opponent]],WYTeamInfo,3,FALSE)=Roster!$D$2),"SR","")),"")</f>
        <v>SR</v>
      </c>
      <c r="AH268" s="8" t="str">
        <f>CONCATENATE(Roster!$D$1," ",Roster!$D$5)</f>
        <v>1A BB</v>
      </c>
      <c r="AI268" s="8" t="str">
        <f t="shared" ca="1" si="152"/>
        <v>Upton - Arvada Clearmont 1/20/2023</v>
      </c>
      <c r="AJ268" s="8">
        <f ca="1">IFERROR(VLOOKUP(PlayerGameData[[#This Row],[School, Opponent,Game'#]],Table3[],2,FALSE),0)</f>
        <v>1</v>
      </c>
      <c r="AK268" s="8">
        <f ca="1">IF(PlayerGameData[[#This Row],[Visible]]=1,1,1000)</f>
        <v>1</v>
      </c>
      <c r="AL268" s="8">
        <f ca="1">RANK(PlayerGameData[[#This Row],[TL PTS]],PlayerGameData[TL PTS],0)+PlayerGameData[[#This Row],[VisibleOrder]]</f>
        <v>185</v>
      </c>
      <c r="AM268" s="8">
        <f ca="1">IF(COUNTIF(PlayerGameData[PointOrder],PlayerGameData[[#This Row],[PointOrder]])&gt;1,RANK(PlayerGameData[[#This Row],[FGA]],PlayerGameData[FGA],0)/100,0)+PlayerGameData[[#This Row],[PointOrder]]</f>
        <v>187.14</v>
      </c>
      <c r="AN268" s="8">
        <f ca="1">RANK(PlayerGameData[[#This Row],[PointTieBreak]],PlayerGameData[PointTieBreak],1)</f>
        <v>216</v>
      </c>
      <c r="AO268" s="8">
        <f ca="1">RANK(PlayerGameData[[#This Row],[REB]],PlayerGameData[REB],0)+PlayerGameData[[#This Row],[VisibleOrder]]</f>
        <v>192</v>
      </c>
      <c r="AP268" s="8">
        <f ca="1">IF(COUNTIF(PlayerGameData[REBOrder],PlayerGameData[[#This Row],[REBOrder]])&gt;1,PlayerGameData[[#This Row],[PointRank]]/100+PlayerGameData[[#This Row],[REBOrder]],PlayerGameData[[#This Row],[REBOrder]])</f>
        <v>194.16</v>
      </c>
      <c r="AQ268" s="8">
        <f ca="1">RANK(PlayerGameData[[#This Row],[REBTieBreak]],PlayerGameData[REBTieBreak],1)</f>
        <v>224</v>
      </c>
      <c r="AR268" s="8">
        <f ca="1">RANK(PlayerGameData[[#This Row],[AST]],PlayerGameData[AST],0)+PlayerGameData[[#This Row],[VisibleOrder]]</f>
        <v>158</v>
      </c>
      <c r="AS268" s="8">
        <f ca="1">IF(COUNTIF(PlayerGameData[ASTOrder],PlayerGameData[[#This Row],[ASTOrder]])&gt;1,PlayerGameData[[#This Row],[PointRank]]/100+PlayerGameData[[#This Row],[ASTOrder]],PlayerGameData[[#This Row],[ASTOrder]])</f>
        <v>160.16</v>
      </c>
      <c r="AT268" s="8">
        <f ca="1">RANK(PlayerGameData[[#This Row],[ASTTieBreak]],PlayerGameData[ASTTieBreak],1)</f>
        <v>221</v>
      </c>
      <c r="AU268" s="8">
        <f ca="1">RANK(PlayerGameData[[#This Row],[STL]],PlayerGameData[STL],0)+PlayerGameData[[#This Row],[VisibleOrder]]</f>
        <v>143</v>
      </c>
      <c r="AV268" s="8">
        <f ca="1">IF(COUNTIF(PlayerGameData[STLOrder],PlayerGameData[[#This Row],[STLOrder]])&gt;1,PlayerGameData[[#This Row],[PointRank]]/100+PlayerGameData[[#This Row],[STLOrder]],PlayerGameData[[#This Row],[STLOrder]])</f>
        <v>145.16</v>
      </c>
      <c r="AW268" s="8">
        <f ca="1">RANK(PlayerGameData[[#This Row],[STLTieBreak]],PlayerGameData[STLTieBreak],1)</f>
        <v>217</v>
      </c>
      <c r="AX268" s="8">
        <f ca="1">RANK(PlayerGameData[[#This Row],[BLK]],PlayerGameData[BLK],0)+PlayerGameData[[#This Row],[VisibleOrder]]</f>
        <v>32</v>
      </c>
      <c r="AY268" s="8">
        <f ca="1">IF(COUNTIF(PlayerGameData[BLKOrder],PlayerGameData[[#This Row],[BLKOrder]])&gt;1,PlayerGameData[[#This Row],[PointRank]]/100+PlayerGameData[[#This Row],[BLKOrder]],PlayerGameData[[#This Row],[BLKOrder]])</f>
        <v>34.159999999999997</v>
      </c>
      <c r="AZ268" s="8">
        <f ca="1">RANK(PlayerGameData[[#This Row],[BLKTieBreak]],PlayerGameData[BLKTieBreak],1)</f>
        <v>216</v>
      </c>
      <c r="BA268" s="11">
        <f ca="1">IFERROR(IF(PlayerGameData[[#This Row],[FGA]]&gt;$AA$5,PlayerGameData[[#This Row],[FG%*]],PlayerGameData[[#This Row],[FG%*]]*-1),-2)</f>
        <v>-2</v>
      </c>
      <c r="BB268" s="8">
        <f ca="1">RANK(PlayerGameData[[#This Row],[EligFG]],PlayerGameData[EligFG],0)+PlayerGameData[[#This Row],[VisibleOrder]]</f>
        <v>215</v>
      </c>
      <c r="BC268" s="8">
        <f ca="1">IF(COUNTIF(PlayerGameData[EligFGOrder],PlayerGameData[[#This Row],[EligFGOrder]])&gt;1,PlayerGameData[[#This Row],[PointRank]]/100+PlayerGameData[[#This Row],[EligFGOrder]],PlayerGameData[[#This Row],[EligFGOrder]])</f>
        <v>217.16</v>
      </c>
      <c r="BD268" s="8">
        <f ca="1">RANK(PlayerGameData[[#This Row],[EligFGTieBreak]],PlayerGameData[EligFGTieBreak],1)</f>
        <v>216</v>
      </c>
      <c r="BE268" s="8" t="str">
        <f>Roster!$D$3</f>
        <v>East</v>
      </c>
      <c r="BF268" s="8" t="str">
        <f>Roster!$D$2</f>
        <v>Northeast</v>
      </c>
      <c r="BG268" s="8" t="str">
        <f>Roster!$D$4</f>
        <v>North</v>
      </c>
      <c r="BH268" s="197">
        <f ca="1">IFERROR(VLOOKUP(CONCATENATE(PlayerGameData[[#This Row],[Opponent]]," ",MONTH(PlayerGameData[[#This Row],[Date]]),"/",DAY(PlayerGameData[[#This Row],[Date]]),"/",YEAR(PlayerGameData[[#This Row],[Date]])),Table35[],2,FALSE),0)</f>
        <v>1</v>
      </c>
      <c r="BI268" s="197">
        <f ca="1">IF(PlayerGameData[[#This Row],[Visible]]=1,1,1000)</f>
        <v>1</v>
      </c>
      <c r="BJ268" s="197" t="e">
        <f ca="1">_xlfn.MAXIFS(TeamGameData[Win],TeamGameData[School, Opponent,Game'#],PlayerGameData[[#This Row],[School, Opponent,Game'#]])</f>
        <v>#NAME?</v>
      </c>
      <c r="BK268" s="197" t="e">
        <f ca="1">_xlfn.MAXIFS(TeamGameData[Loss],TeamGameData[School, Opponent,Game'#],PlayerGameData[[#This Row],[School, Opponent,Game'#]])</f>
        <v>#NAME?</v>
      </c>
    </row>
    <row r="269" spans="1:63" x14ac:dyDescent="0.25">
      <c r="A269" s="8" t="str">
        <f t="shared" ca="1" si="153"/>
        <v xml:space="preserve">, </v>
      </c>
      <c r="B269" s="8" t="str">
        <f>Roster!$B$1</f>
        <v>Upton</v>
      </c>
      <c r="C269" s="8" t="str">
        <f t="shared" ca="1" si="141"/>
        <v>Arvada Clearmont</v>
      </c>
      <c r="D269" s="10">
        <f t="shared" ca="1" si="142"/>
        <v>44946</v>
      </c>
      <c r="E269" s="8">
        <f t="shared" ca="1" si="143"/>
        <v>0</v>
      </c>
      <c r="F269" s="8">
        <f t="shared" ca="1" si="144"/>
        <v>0</v>
      </c>
      <c r="G269" s="8">
        <f t="shared" ca="1" si="145"/>
        <v>0</v>
      </c>
      <c r="H269" s="8">
        <f t="shared" ca="1" si="146"/>
        <v>0</v>
      </c>
      <c r="I269" s="8">
        <f t="shared" ca="1" si="147"/>
        <v>0</v>
      </c>
      <c r="J269" s="8">
        <f t="shared" ca="1" si="148"/>
        <v>0</v>
      </c>
      <c r="K269" s="8">
        <f t="shared" ca="1" si="149"/>
        <v>0</v>
      </c>
      <c r="L269" s="8">
        <f t="shared" ca="1" si="154"/>
        <v>0</v>
      </c>
      <c r="M269" s="8">
        <f t="shared" ca="1" si="155"/>
        <v>0</v>
      </c>
      <c r="N269" s="8">
        <f t="shared" ca="1" si="156"/>
        <v>0</v>
      </c>
      <c r="O269" s="8">
        <f t="shared" ca="1" si="157"/>
        <v>0</v>
      </c>
      <c r="P269" s="8">
        <f t="shared" ca="1" si="158"/>
        <v>0</v>
      </c>
      <c r="Q269" s="8">
        <f t="shared" ca="1" si="159"/>
        <v>0</v>
      </c>
      <c r="R269" s="8">
        <f t="shared" ca="1" si="160"/>
        <v>0</v>
      </c>
      <c r="S269" s="8">
        <f t="shared" ca="1" si="161"/>
        <v>0</v>
      </c>
      <c r="T269" s="8">
        <f t="shared" ca="1" si="162"/>
        <v>0</v>
      </c>
      <c r="U269" s="8">
        <f t="shared" ca="1" si="163"/>
        <v>0</v>
      </c>
      <c r="V269" s="8">
        <f t="shared" ca="1" si="164"/>
        <v>0</v>
      </c>
      <c r="W269" s="11" t="str">
        <f t="shared" ca="1" si="165"/>
        <v/>
      </c>
      <c r="X269" s="11" t="str">
        <f t="shared" ca="1" si="166"/>
        <v/>
      </c>
      <c r="Y269" s="11" t="str">
        <f t="shared" ca="1" si="167"/>
        <v/>
      </c>
      <c r="Z269" s="11" t="str">
        <f t="shared" ca="1" si="168"/>
        <v/>
      </c>
      <c r="AA269" s="11" t="str">
        <f t="shared" ca="1" si="169"/>
        <v/>
      </c>
      <c r="AB269" s="47">
        <f ca="1">PlayerGameData[[#This Row],[3FGA]]+PlayerGameData[[#This Row],[2FGA]]</f>
        <v>0</v>
      </c>
      <c r="AC269" s="47">
        <f ca="1">PlayerGameData[[#This Row],[OFF REB]]+PlayerGameData[[#This Row],[DEF REB]]</f>
        <v>0</v>
      </c>
      <c r="AD269" s="8">
        <f t="shared" si="150"/>
        <v>11</v>
      </c>
      <c r="AE269" s="8" t="str">
        <f t="shared" ca="1" si="151"/>
        <v>,  - Arvada Clearmont 1/20/2023</v>
      </c>
      <c r="AF269" s="8" t="str">
        <f t="shared" ca="1" si="170"/>
        <v>R</v>
      </c>
      <c r="AG269" s="8" t="str">
        <f ca="1">IFERROR(IF(C269=0,"",IF(AND(VLOOKUP(PlayerGameData[[#This Row],[Opponent]],WYTeamInfo,2,FALSE)=Roster!$D$1,VLOOKUP(PlayerGameData[[#This Row],[Opponent]],WYTeamInfo,3,FALSE)=Roster!$D$2),"SR","")),"")</f>
        <v>SR</v>
      </c>
      <c r="AH269" s="8" t="str">
        <f>CONCATENATE(Roster!$D$1," ",Roster!$D$5)</f>
        <v>1A BB</v>
      </c>
      <c r="AI269" s="8" t="str">
        <f t="shared" ca="1" si="152"/>
        <v>Upton - Arvada Clearmont 1/20/2023</v>
      </c>
      <c r="AJ269" s="8">
        <f ca="1">IFERROR(VLOOKUP(PlayerGameData[[#This Row],[School, Opponent,Game'#]],Table3[],2,FALSE),0)</f>
        <v>1</v>
      </c>
      <c r="AK269" s="8">
        <f ca="1">IF(PlayerGameData[[#This Row],[Visible]]=1,1,1000)</f>
        <v>1</v>
      </c>
      <c r="AL269" s="8">
        <f ca="1">RANK(PlayerGameData[[#This Row],[TL PTS]],PlayerGameData[TL PTS],0)+PlayerGameData[[#This Row],[VisibleOrder]]</f>
        <v>185</v>
      </c>
      <c r="AM269" s="8">
        <f ca="1">IF(COUNTIF(PlayerGameData[PointOrder],PlayerGameData[[#This Row],[PointOrder]])&gt;1,RANK(PlayerGameData[[#This Row],[FGA]],PlayerGameData[FGA],0)/100,0)+PlayerGameData[[#This Row],[PointOrder]]</f>
        <v>187.14</v>
      </c>
      <c r="AN269" s="8">
        <f ca="1">RANK(PlayerGameData[[#This Row],[PointTieBreak]],PlayerGameData[PointTieBreak],1)</f>
        <v>216</v>
      </c>
      <c r="AO269" s="8">
        <f ca="1">RANK(PlayerGameData[[#This Row],[REB]],PlayerGameData[REB],0)+PlayerGameData[[#This Row],[VisibleOrder]]</f>
        <v>192</v>
      </c>
      <c r="AP269" s="8">
        <f ca="1">IF(COUNTIF(PlayerGameData[REBOrder],PlayerGameData[[#This Row],[REBOrder]])&gt;1,PlayerGameData[[#This Row],[PointRank]]/100+PlayerGameData[[#This Row],[REBOrder]],PlayerGameData[[#This Row],[REBOrder]])</f>
        <v>194.16</v>
      </c>
      <c r="AQ269" s="8">
        <f ca="1">RANK(PlayerGameData[[#This Row],[REBTieBreak]],PlayerGameData[REBTieBreak],1)</f>
        <v>224</v>
      </c>
      <c r="AR269" s="8">
        <f ca="1">RANK(PlayerGameData[[#This Row],[AST]],PlayerGameData[AST],0)+PlayerGameData[[#This Row],[VisibleOrder]]</f>
        <v>158</v>
      </c>
      <c r="AS269" s="8">
        <f ca="1">IF(COUNTIF(PlayerGameData[ASTOrder],PlayerGameData[[#This Row],[ASTOrder]])&gt;1,PlayerGameData[[#This Row],[PointRank]]/100+PlayerGameData[[#This Row],[ASTOrder]],PlayerGameData[[#This Row],[ASTOrder]])</f>
        <v>160.16</v>
      </c>
      <c r="AT269" s="8">
        <f ca="1">RANK(PlayerGameData[[#This Row],[ASTTieBreak]],PlayerGameData[ASTTieBreak],1)</f>
        <v>221</v>
      </c>
      <c r="AU269" s="8">
        <f ca="1">RANK(PlayerGameData[[#This Row],[STL]],PlayerGameData[STL],0)+PlayerGameData[[#This Row],[VisibleOrder]]</f>
        <v>143</v>
      </c>
      <c r="AV269" s="8">
        <f ca="1">IF(COUNTIF(PlayerGameData[STLOrder],PlayerGameData[[#This Row],[STLOrder]])&gt;1,PlayerGameData[[#This Row],[PointRank]]/100+PlayerGameData[[#This Row],[STLOrder]],PlayerGameData[[#This Row],[STLOrder]])</f>
        <v>145.16</v>
      </c>
      <c r="AW269" s="8">
        <f ca="1">RANK(PlayerGameData[[#This Row],[STLTieBreak]],PlayerGameData[STLTieBreak],1)</f>
        <v>217</v>
      </c>
      <c r="AX269" s="8">
        <f ca="1">RANK(PlayerGameData[[#This Row],[BLK]],PlayerGameData[BLK],0)+PlayerGameData[[#This Row],[VisibleOrder]]</f>
        <v>32</v>
      </c>
      <c r="AY269" s="8">
        <f ca="1">IF(COUNTIF(PlayerGameData[BLKOrder],PlayerGameData[[#This Row],[BLKOrder]])&gt;1,PlayerGameData[[#This Row],[PointRank]]/100+PlayerGameData[[#This Row],[BLKOrder]],PlayerGameData[[#This Row],[BLKOrder]])</f>
        <v>34.159999999999997</v>
      </c>
      <c r="AZ269" s="8">
        <f ca="1">RANK(PlayerGameData[[#This Row],[BLKTieBreak]],PlayerGameData[BLKTieBreak],1)</f>
        <v>216</v>
      </c>
      <c r="BA269" s="11">
        <f ca="1">IFERROR(IF(PlayerGameData[[#This Row],[FGA]]&gt;$AA$5,PlayerGameData[[#This Row],[FG%*]],PlayerGameData[[#This Row],[FG%*]]*-1),-2)</f>
        <v>-2</v>
      </c>
      <c r="BB269" s="8">
        <f ca="1">RANK(PlayerGameData[[#This Row],[EligFG]],PlayerGameData[EligFG],0)+PlayerGameData[[#This Row],[VisibleOrder]]</f>
        <v>215</v>
      </c>
      <c r="BC269" s="8">
        <f ca="1">IF(COUNTIF(PlayerGameData[EligFGOrder],PlayerGameData[[#This Row],[EligFGOrder]])&gt;1,PlayerGameData[[#This Row],[PointRank]]/100+PlayerGameData[[#This Row],[EligFGOrder]],PlayerGameData[[#This Row],[EligFGOrder]])</f>
        <v>217.16</v>
      </c>
      <c r="BD269" s="8">
        <f ca="1">RANK(PlayerGameData[[#This Row],[EligFGTieBreak]],PlayerGameData[EligFGTieBreak],1)</f>
        <v>216</v>
      </c>
      <c r="BE269" s="8" t="str">
        <f>Roster!$D$3</f>
        <v>East</v>
      </c>
      <c r="BF269" s="8" t="str">
        <f>Roster!$D$2</f>
        <v>Northeast</v>
      </c>
      <c r="BG269" s="8" t="str">
        <f>Roster!$D$4</f>
        <v>North</v>
      </c>
      <c r="BH269" s="197">
        <f ca="1">IFERROR(VLOOKUP(CONCATENATE(PlayerGameData[[#This Row],[Opponent]]," ",MONTH(PlayerGameData[[#This Row],[Date]]),"/",DAY(PlayerGameData[[#This Row],[Date]]),"/",YEAR(PlayerGameData[[#This Row],[Date]])),Table35[],2,FALSE),0)</f>
        <v>1</v>
      </c>
      <c r="BI269" s="197">
        <f ca="1">IF(PlayerGameData[[#This Row],[Visible]]=1,1,1000)</f>
        <v>1</v>
      </c>
      <c r="BJ269" s="197" t="e">
        <f ca="1">_xlfn.MAXIFS(TeamGameData[Win],TeamGameData[School, Opponent,Game'#],PlayerGameData[[#This Row],[School, Opponent,Game'#]])</f>
        <v>#NAME?</v>
      </c>
      <c r="BK269" s="197" t="e">
        <f ca="1">_xlfn.MAXIFS(TeamGameData[Loss],TeamGameData[School, Opponent,Game'#],PlayerGameData[[#This Row],[School, Opponent,Game'#]])</f>
        <v>#NAME?</v>
      </c>
    </row>
    <row r="270" spans="1:63" x14ac:dyDescent="0.25">
      <c r="A270" s="8" t="str">
        <f t="shared" ca="1" si="153"/>
        <v xml:space="preserve">Team, </v>
      </c>
      <c r="B270" s="8" t="str">
        <f>Roster!$B$1</f>
        <v>Upton</v>
      </c>
      <c r="C270" s="8" t="str">
        <f t="shared" ca="1" si="141"/>
        <v>Arvada Clearmont</v>
      </c>
      <c r="D270" s="10">
        <f t="shared" ca="1" si="142"/>
        <v>44946</v>
      </c>
      <c r="E270" s="8">
        <f t="shared" ca="1" si="143"/>
        <v>0</v>
      </c>
      <c r="F270" s="8">
        <f t="shared" ca="1" si="144"/>
        <v>0</v>
      </c>
      <c r="G270" s="8">
        <f t="shared" ca="1" si="145"/>
        <v>0</v>
      </c>
      <c r="H270" s="8">
        <f t="shared" ca="1" si="146"/>
        <v>0</v>
      </c>
      <c r="I270" s="8">
        <f t="shared" ca="1" si="147"/>
        <v>0</v>
      </c>
      <c r="J270" s="8">
        <f t="shared" ca="1" si="148"/>
        <v>0</v>
      </c>
      <c r="K270" s="8">
        <f t="shared" ca="1" si="149"/>
        <v>0</v>
      </c>
      <c r="L270" s="8">
        <f t="shared" ca="1" si="154"/>
        <v>0</v>
      </c>
      <c r="M270" s="8">
        <f t="shared" ca="1" si="155"/>
        <v>0</v>
      </c>
      <c r="N270" s="8">
        <f t="shared" ca="1" si="156"/>
        <v>0</v>
      </c>
      <c r="O270" s="8">
        <f t="shared" ca="1" si="157"/>
        <v>0</v>
      </c>
      <c r="P270" s="8">
        <f t="shared" ca="1" si="158"/>
        <v>0</v>
      </c>
      <c r="Q270" s="8">
        <f t="shared" ca="1" si="159"/>
        <v>0</v>
      </c>
      <c r="R270" s="8">
        <f t="shared" ca="1" si="160"/>
        <v>0</v>
      </c>
      <c r="S270" s="8">
        <f t="shared" ca="1" si="161"/>
        <v>0</v>
      </c>
      <c r="T270" s="8">
        <f t="shared" ca="1" si="162"/>
        <v>0</v>
      </c>
      <c r="U270" s="8">
        <f t="shared" ca="1" si="163"/>
        <v>0</v>
      </c>
      <c r="V270" s="8">
        <f t="shared" ca="1" si="164"/>
        <v>0</v>
      </c>
      <c r="W270" s="11" t="str">
        <f t="shared" ca="1" si="165"/>
        <v/>
      </c>
      <c r="X270" s="11" t="str">
        <f t="shared" ca="1" si="166"/>
        <v/>
      </c>
      <c r="Y270" s="11" t="str">
        <f t="shared" ca="1" si="167"/>
        <v/>
      </c>
      <c r="Z270" s="11" t="str">
        <f t="shared" ca="1" si="168"/>
        <v/>
      </c>
      <c r="AA270" s="11" t="str">
        <f t="shared" ca="1" si="169"/>
        <v/>
      </c>
      <c r="AB270" s="47">
        <f ca="1">PlayerGameData[[#This Row],[3FGA]]+PlayerGameData[[#This Row],[2FGA]]</f>
        <v>0</v>
      </c>
      <c r="AC270" s="47">
        <f ca="1">PlayerGameData[[#This Row],[OFF REB]]+PlayerGameData[[#This Row],[DEF REB]]</f>
        <v>0</v>
      </c>
      <c r="AD270" s="8">
        <f t="shared" si="150"/>
        <v>11</v>
      </c>
      <c r="AE270" s="8" t="str">
        <f t="shared" ca="1" si="151"/>
        <v>Team,  - Arvada Clearmont 1/20/2023</v>
      </c>
      <c r="AF270" s="8" t="str">
        <f t="shared" ca="1" si="170"/>
        <v>R</v>
      </c>
      <c r="AG270" s="8" t="str">
        <f ca="1">IFERROR(IF(C270=0,"",IF(AND(VLOOKUP(PlayerGameData[[#This Row],[Opponent]],WYTeamInfo,2,FALSE)=Roster!$D$1,VLOOKUP(PlayerGameData[[#This Row],[Opponent]],WYTeamInfo,3,FALSE)=Roster!$D$2),"SR","")),"")</f>
        <v>SR</v>
      </c>
      <c r="AH270" s="8" t="str">
        <f>CONCATENATE(Roster!$D$1," ",Roster!$D$5)</f>
        <v>1A BB</v>
      </c>
      <c r="AI270" s="8" t="str">
        <f t="shared" ca="1" si="152"/>
        <v>Upton - Arvada Clearmont 1/20/2023</v>
      </c>
      <c r="AJ270" s="8">
        <f ca="1">IFERROR(VLOOKUP(PlayerGameData[[#This Row],[School, Opponent,Game'#]],Table3[],2,FALSE),0)</f>
        <v>1</v>
      </c>
      <c r="AK270" s="8">
        <f ca="1">IF(PlayerGameData[[#This Row],[Visible]]=1,1,1000)</f>
        <v>1</v>
      </c>
      <c r="AL270" s="8">
        <f ca="1">RANK(PlayerGameData[[#This Row],[TL PTS]],PlayerGameData[TL PTS],0)+PlayerGameData[[#This Row],[VisibleOrder]]</f>
        <v>185</v>
      </c>
      <c r="AM270" s="8">
        <f ca="1">IF(COUNTIF(PlayerGameData[PointOrder],PlayerGameData[[#This Row],[PointOrder]])&gt;1,RANK(PlayerGameData[[#This Row],[FGA]],PlayerGameData[FGA],0)/100,0)+PlayerGameData[[#This Row],[PointOrder]]</f>
        <v>187.14</v>
      </c>
      <c r="AN270" s="8">
        <f ca="1">RANK(PlayerGameData[[#This Row],[PointTieBreak]],PlayerGameData[PointTieBreak],1)</f>
        <v>216</v>
      </c>
      <c r="AO270" s="8">
        <f ca="1">RANK(PlayerGameData[[#This Row],[REB]],PlayerGameData[REB],0)+PlayerGameData[[#This Row],[VisibleOrder]]</f>
        <v>192</v>
      </c>
      <c r="AP270" s="8">
        <f ca="1">IF(COUNTIF(PlayerGameData[REBOrder],PlayerGameData[[#This Row],[REBOrder]])&gt;1,PlayerGameData[[#This Row],[PointRank]]/100+PlayerGameData[[#This Row],[REBOrder]],PlayerGameData[[#This Row],[REBOrder]])</f>
        <v>194.16</v>
      </c>
      <c r="AQ270" s="8">
        <f ca="1">RANK(PlayerGameData[[#This Row],[REBTieBreak]],PlayerGameData[REBTieBreak],1)</f>
        <v>224</v>
      </c>
      <c r="AR270" s="8">
        <f ca="1">RANK(PlayerGameData[[#This Row],[AST]],PlayerGameData[AST],0)+PlayerGameData[[#This Row],[VisibleOrder]]</f>
        <v>158</v>
      </c>
      <c r="AS270" s="8">
        <f ca="1">IF(COUNTIF(PlayerGameData[ASTOrder],PlayerGameData[[#This Row],[ASTOrder]])&gt;1,PlayerGameData[[#This Row],[PointRank]]/100+PlayerGameData[[#This Row],[ASTOrder]],PlayerGameData[[#This Row],[ASTOrder]])</f>
        <v>160.16</v>
      </c>
      <c r="AT270" s="8">
        <f ca="1">RANK(PlayerGameData[[#This Row],[ASTTieBreak]],PlayerGameData[ASTTieBreak],1)</f>
        <v>221</v>
      </c>
      <c r="AU270" s="8">
        <f ca="1">RANK(PlayerGameData[[#This Row],[STL]],PlayerGameData[STL],0)+PlayerGameData[[#This Row],[VisibleOrder]]</f>
        <v>143</v>
      </c>
      <c r="AV270" s="8">
        <f ca="1">IF(COUNTIF(PlayerGameData[STLOrder],PlayerGameData[[#This Row],[STLOrder]])&gt;1,PlayerGameData[[#This Row],[PointRank]]/100+PlayerGameData[[#This Row],[STLOrder]],PlayerGameData[[#This Row],[STLOrder]])</f>
        <v>145.16</v>
      </c>
      <c r="AW270" s="8">
        <f ca="1">RANK(PlayerGameData[[#This Row],[STLTieBreak]],PlayerGameData[STLTieBreak],1)</f>
        <v>217</v>
      </c>
      <c r="AX270" s="8">
        <f ca="1">RANK(PlayerGameData[[#This Row],[BLK]],PlayerGameData[BLK],0)+PlayerGameData[[#This Row],[VisibleOrder]]</f>
        <v>32</v>
      </c>
      <c r="AY270" s="8">
        <f ca="1">IF(COUNTIF(PlayerGameData[BLKOrder],PlayerGameData[[#This Row],[BLKOrder]])&gt;1,PlayerGameData[[#This Row],[PointRank]]/100+PlayerGameData[[#This Row],[BLKOrder]],PlayerGameData[[#This Row],[BLKOrder]])</f>
        <v>34.159999999999997</v>
      </c>
      <c r="AZ270" s="8">
        <f ca="1">RANK(PlayerGameData[[#This Row],[BLKTieBreak]],PlayerGameData[BLKTieBreak],1)</f>
        <v>216</v>
      </c>
      <c r="BA270" s="11">
        <f ca="1">IFERROR(IF(PlayerGameData[[#This Row],[FGA]]&gt;$AA$5,PlayerGameData[[#This Row],[FG%*]],PlayerGameData[[#This Row],[FG%*]]*-1),-2)</f>
        <v>-2</v>
      </c>
      <c r="BB270" s="8">
        <f ca="1">RANK(PlayerGameData[[#This Row],[EligFG]],PlayerGameData[EligFG],0)+PlayerGameData[[#This Row],[VisibleOrder]]</f>
        <v>215</v>
      </c>
      <c r="BC270" s="8">
        <f ca="1">IF(COUNTIF(PlayerGameData[EligFGOrder],PlayerGameData[[#This Row],[EligFGOrder]])&gt;1,PlayerGameData[[#This Row],[PointRank]]/100+PlayerGameData[[#This Row],[EligFGOrder]],PlayerGameData[[#This Row],[EligFGOrder]])</f>
        <v>217.16</v>
      </c>
      <c r="BD270" s="8">
        <f ca="1">RANK(PlayerGameData[[#This Row],[EligFGTieBreak]],PlayerGameData[EligFGTieBreak],1)</f>
        <v>216</v>
      </c>
      <c r="BE270" s="8" t="str">
        <f>Roster!$D$3</f>
        <v>East</v>
      </c>
      <c r="BF270" s="8" t="str">
        <f>Roster!$D$2</f>
        <v>Northeast</v>
      </c>
      <c r="BG270" s="8" t="str">
        <f>Roster!$D$4</f>
        <v>North</v>
      </c>
      <c r="BH270" s="197">
        <f ca="1">IFERROR(VLOOKUP(CONCATENATE(PlayerGameData[[#This Row],[Opponent]]," ",MONTH(PlayerGameData[[#This Row],[Date]]),"/",DAY(PlayerGameData[[#This Row],[Date]]),"/",YEAR(PlayerGameData[[#This Row],[Date]])),Table35[],2,FALSE),0)</f>
        <v>1</v>
      </c>
      <c r="BI270" s="197">
        <f ca="1">IF(PlayerGameData[[#This Row],[Visible]]=1,1,1000)</f>
        <v>1</v>
      </c>
      <c r="BJ270" s="197" t="e">
        <f ca="1">_xlfn.MAXIFS(TeamGameData[Win],TeamGameData[School, Opponent,Game'#],PlayerGameData[[#This Row],[School, Opponent,Game'#]])</f>
        <v>#NAME?</v>
      </c>
      <c r="BK270" s="197" t="e">
        <f ca="1">_xlfn.MAXIFS(TeamGameData[Loss],TeamGameData[School, Opponent,Game'#],PlayerGameData[[#This Row],[School, Opponent,Game'#]])</f>
        <v>#NAME?</v>
      </c>
    </row>
    <row r="271" spans="1:63" x14ac:dyDescent="0.25">
      <c r="A271" s="8" t="str">
        <f t="shared" ca="1" si="153"/>
        <v>Landon Butler, 1</v>
      </c>
      <c r="B271" s="8" t="str">
        <f>Roster!$B$1</f>
        <v>Upton</v>
      </c>
      <c r="C271" s="8" t="str">
        <f t="shared" ca="1" si="141"/>
        <v>Kaycee</v>
      </c>
      <c r="D271" s="10">
        <f t="shared" ca="1" si="142"/>
        <v>44947</v>
      </c>
      <c r="E271" s="8">
        <f t="shared" ca="1" si="143"/>
        <v>1</v>
      </c>
      <c r="F271" s="8">
        <f t="shared" ca="1" si="144"/>
        <v>0</v>
      </c>
      <c r="G271" s="8">
        <f t="shared" ca="1" si="145"/>
        <v>1</v>
      </c>
      <c r="H271" s="8">
        <f t="shared" ca="1" si="146"/>
        <v>0</v>
      </c>
      <c r="I271" s="8">
        <f t="shared" ca="1" si="147"/>
        <v>0</v>
      </c>
      <c r="J271" s="8">
        <f t="shared" ca="1" si="148"/>
        <v>0</v>
      </c>
      <c r="K271" s="8">
        <f t="shared" ca="1" si="149"/>
        <v>0</v>
      </c>
      <c r="L271" s="8">
        <f t="shared" ca="1" si="154"/>
        <v>0</v>
      </c>
      <c r="M271" s="8">
        <f t="shared" ca="1" si="155"/>
        <v>0</v>
      </c>
      <c r="N271" s="8">
        <f t="shared" ca="1" si="156"/>
        <v>0</v>
      </c>
      <c r="O271" s="8">
        <f t="shared" ca="1" si="157"/>
        <v>0</v>
      </c>
      <c r="P271" s="8">
        <f t="shared" ca="1" si="158"/>
        <v>0</v>
      </c>
      <c r="Q271" s="8">
        <f t="shared" ca="1" si="159"/>
        <v>0</v>
      </c>
      <c r="R271" s="8">
        <f t="shared" ca="1" si="160"/>
        <v>0</v>
      </c>
      <c r="S271" s="8">
        <f t="shared" ca="1" si="161"/>
        <v>1</v>
      </c>
      <c r="T271" s="8">
        <f t="shared" ca="1" si="162"/>
        <v>0</v>
      </c>
      <c r="U271" s="8">
        <f t="shared" ca="1" si="163"/>
        <v>0</v>
      </c>
      <c r="V271" s="8">
        <f t="shared" ca="1" si="164"/>
        <v>0</v>
      </c>
      <c r="W271" s="11" t="str">
        <f t="shared" ca="1" si="165"/>
        <v/>
      </c>
      <c r="X271" s="11" t="str">
        <f t="shared" ca="1" si="166"/>
        <v/>
      </c>
      <c r="Y271" s="11" t="str">
        <f t="shared" ca="1" si="167"/>
        <v/>
      </c>
      <c r="Z271" s="11" t="str">
        <f t="shared" ca="1" si="168"/>
        <v/>
      </c>
      <c r="AA271" s="11" t="str">
        <f t="shared" ca="1" si="169"/>
        <v/>
      </c>
      <c r="AB271" s="47">
        <f ca="1">PlayerGameData[[#This Row],[3FGA]]+PlayerGameData[[#This Row],[2FGA]]</f>
        <v>0</v>
      </c>
      <c r="AC271" s="47">
        <f ca="1">PlayerGameData[[#This Row],[OFF REB]]+PlayerGameData[[#This Row],[DEF REB]]</f>
        <v>0</v>
      </c>
      <c r="AD271" s="8">
        <f t="shared" si="150"/>
        <v>12</v>
      </c>
      <c r="AE271" s="8" t="str">
        <f t="shared" ca="1" si="151"/>
        <v>Landon Butler, 1 - Kaycee 1/21/2023</v>
      </c>
      <c r="AF271" s="8" t="str">
        <f t="shared" ca="1" si="170"/>
        <v>R</v>
      </c>
      <c r="AG271" s="8" t="str">
        <f ca="1">IFERROR(IF(C271=0,"",IF(AND(VLOOKUP(PlayerGameData[[#This Row],[Opponent]],WYTeamInfo,2,FALSE)=Roster!$D$1,VLOOKUP(PlayerGameData[[#This Row],[Opponent]],WYTeamInfo,3,FALSE)=Roster!$D$2),"SR","")),"")</f>
        <v>SR</v>
      </c>
      <c r="AH271" s="8" t="str">
        <f>CONCATENATE(Roster!$D$1," ",Roster!$D$5)</f>
        <v>1A BB</v>
      </c>
      <c r="AI271" s="8" t="str">
        <f t="shared" ca="1" si="152"/>
        <v>Upton - Kaycee 1/21/2023</v>
      </c>
      <c r="AJ271" s="8">
        <f ca="1">IFERROR(VLOOKUP(PlayerGameData[[#This Row],[School, Opponent,Game'#]],Table3[],2,FALSE),0)</f>
        <v>1</v>
      </c>
      <c r="AK271" s="8">
        <f ca="1">IF(PlayerGameData[[#This Row],[Visible]]=1,1,1000)</f>
        <v>1</v>
      </c>
      <c r="AL271" s="8">
        <f ca="1">RANK(PlayerGameData[[#This Row],[TL PTS]],PlayerGameData[TL PTS],0)+PlayerGameData[[#This Row],[VisibleOrder]]</f>
        <v>185</v>
      </c>
      <c r="AM271" s="8">
        <f ca="1">IF(COUNTIF(PlayerGameData[PointOrder],PlayerGameData[[#This Row],[PointOrder]])&gt;1,RANK(PlayerGameData[[#This Row],[FGA]],PlayerGameData[FGA],0)/100,0)+PlayerGameData[[#This Row],[PointOrder]]</f>
        <v>187.14</v>
      </c>
      <c r="AN271" s="8">
        <f ca="1">RANK(PlayerGameData[[#This Row],[PointTieBreak]],PlayerGameData[PointTieBreak],1)</f>
        <v>216</v>
      </c>
      <c r="AO271" s="8">
        <f ca="1">RANK(PlayerGameData[[#This Row],[REB]],PlayerGameData[REB],0)+PlayerGameData[[#This Row],[VisibleOrder]]</f>
        <v>192</v>
      </c>
      <c r="AP271" s="8">
        <f ca="1">IF(COUNTIF(PlayerGameData[REBOrder],PlayerGameData[[#This Row],[REBOrder]])&gt;1,PlayerGameData[[#This Row],[PointRank]]/100+PlayerGameData[[#This Row],[REBOrder]],PlayerGameData[[#This Row],[REBOrder]])</f>
        <v>194.16</v>
      </c>
      <c r="AQ271" s="8">
        <f ca="1">RANK(PlayerGameData[[#This Row],[REBTieBreak]],PlayerGameData[REBTieBreak],1)</f>
        <v>224</v>
      </c>
      <c r="AR271" s="8">
        <f ca="1">RANK(PlayerGameData[[#This Row],[AST]],PlayerGameData[AST],0)+PlayerGameData[[#This Row],[VisibleOrder]]</f>
        <v>158</v>
      </c>
      <c r="AS271" s="8">
        <f ca="1">IF(COUNTIF(PlayerGameData[ASTOrder],PlayerGameData[[#This Row],[ASTOrder]])&gt;1,PlayerGameData[[#This Row],[PointRank]]/100+PlayerGameData[[#This Row],[ASTOrder]],PlayerGameData[[#This Row],[ASTOrder]])</f>
        <v>160.16</v>
      </c>
      <c r="AT271" s="8">
        <f ca="1">RANK(PlayerGameData[[#This Row],[ASTTieBreak]],PlayerGameData[ASTTieBreak],1)</f>
        <v>221</v>
      </c>
      <c r="AU271" s="8">
        <f ca="1">RANK(PlayerGameData[[#This Row],[STL]],PlayerGameData[STL],0)+PlayerGameData[[#This Row],[VisibleOrder]]</f>
        <v>143</v>
      </c>
      <c r="AV271" s="8">
        <f ca="1">IF(COUNTIF(PlayerGameData[STLOrder],PlayerGameData[[#This Row],[STLOrder]])&gt;1,PlayerGameData[[#This Row],[PointRank]]/100+PlayerGameData[[#This Row],[STLOrder]],PlayerGameData[[#This Row],[STLOrder]])</f>
        <v>145.16</v>
      </c>
      <c r="AW271" s="8">
        <f ca="1">RANK(PlayerGameData[[#This Row],[STLTieBreak]],PlayerGameData[STLTieBreak],1)</f>
        <v>217</v>
      </c>
      <c r="AX271" s="8">
        <f ca="1">RANK(PlayerGameData[[#This Row],[BLK]],PlayerGameData[BLK],0)+PlayerGameData[[#This Row],[VisibleOrder]]</f>
        <v>32</v>
      </c>
      <c r="AY271" s="8">
        <f ca="1">IF(COUNTIF(PlayerGameData[BLKOrder],PlayerGameData[[#This Row],[BLKOrder]])&gt;1,PlayerGameData[[#This Row],[PointRank]]/100+PlayerGameData[[#This Row],[BLKOrder]],PlayerGameData[[#This Row],[BLKOrder]])</f>
        <v>34.159999999999997</v>
      </c>
      <c r="AZ271" s="8">
        <f ca="1">RANK(PlayerGameData[[#This Row],[BLKTieBreak]],PlayerGameData[BLKTieBreak],1)</f>
        <v>216</v>
      </c>
      <c r="BA271" s="11">
        <f ca="1">IFERROR(IF(PlayerGameData[[#This Row],[FGA]]&gt;$AA$5,PlayerGameData[[#This Row],[FG%*]],PlayerGameData[[#This Row],[FG%*]]*-1),-2)</f>
        <v>-2</v>
      </c>
      <c r="BB271" s="8">
        <f ca="1">RANK(PlayerGameData[[#This Row],[EligFG]],PlayerGameData[EligFG],0)+PlayerGameData[[#This Row],[VisibleOrder]]</f>
        <v>215</v>
      </c>
      <c r="BC271" s="8">
        <f ca="1">IF(COUNTIF(PlayerGameData[EligFGOrder],PlayerGameData[[#This Row],[EligFGOrder]])&gt;1,PlayerGameData[[#This Row],[PointRank]]/100+PlayerGameData[[#This Row],[EligFGOrder]],PlayerGameData[[#This Row],[EligFGOrder]])</f>
        <v>217.16</v>
      </c>
      <c r="BD271" s="8">
        <f ca="1">RANK(PlayerGameData[[#This Row],[EligFGTieBreak]],PlayerGameData[EligFGTieBreak],1)</f>
        <v>216</v>
      </c>
      <c r="BE271" s="8" t="str">
        <f>Roster!$D$3</f>
        <v>East</v>
      </c>
      <c r="BF271" s="8" t="str">
        <f>Roster!$D$2</f>
        <v>Northeast</v>
      </c>
      <c r="BG271" s="8" t="str">
        <f>Roster!$D$4</f>
        <v>North</v>
      </c>
      <c r="BH271" s="197">
        <f ca="1">IFERROR(VLOOKUP(CONCATENATE(PlayerGameData[[#This Row],[Opponent]]," ",MONTH(PlayerGameData[[#This Row],[Date]]),"/",DAY(PlayerGameData[[#This Row],[Date]]),"/",YEAR(PlayerGameData[[#This Row],[Date]])),Table35[],2,FALSE),0)</f>
        <v>1</v>
      </c>
      <c r="BI271" s="197">
        <f ca="1">IF(PlayerGameData[[#This Row],[Visible]]=1,1,1000)</f>
        <v>1</v>
      </c>
      <c r="BJ271" s="197" t="e">
        <f ca="1">_xlfn.MAXIFS(TeamGameData[Win],TeamGameData[School, Opponent,Game'#],PlayerGameData[[#This Row],[School, Opponent,Game'#]])</f>
        <v>#NAME?</v>
      </c>
      <c r="BK271" s="197" t="e">
        <f ca="1">_xlfn.MAXIFS(TeamGameData[Loss],TeamGameData[School, Opponent,Game'#],PlayerGameData[[#This Row],[School, Opponent,Game'#]])</f>
        <v>#NAME?</v>
      </c>
    </row>
    <row r="272" spans="1:63" x14ac:dyDescent="0.25">
      <c r="A272" s="8" t="str">
        <f t="shared" ca="1" si="153"/>
        <v>Logan Timberman, 3</v>
      </c>
      <c r="B272" s="8" t="str">
        <f>Roster!$B$1</f>
        <v>Upton</v>
      </c>
      <c r="C272" s="8" t="str">
        <f t="shared" ca="1" si="141"/>
        <v>Kaycee</v>
      </c>
      <c r="D272" s="10">
        <f t="shared" ca="1" si="142"/>
        <v>44947</v>
      </c>
      <c r="E272" s="8">
        <f t="shared" ca="1" si="143"/>
        <v>1</v>
      </c>
      <c r="F272" s="8">
        <f t="shared" ca="1" si="144"/>
        <v>1</v>
      </c>
      <c r="G272" s="8">
        <f t="shared" ca="1" si="145"/>
        <v>28</v>
      </c>
      <c r="H272" s="8">
        <f t="shared" ca="1" si="146"/>
        <v>4</v>
      </c>
      <c r="I272" s="8">
        <f t="shared" ca="1" si="147"/>
        <v>6</v>
      </c>
      <c r="J272" s="8">
        <f t="shared" ca="1" si="148"/>
        <v>0</v>
      </c>
      <c r="K272" s="8">
        <f t="shared" ca="1" si="149"/>
        <v>2</v>
      </c>
      <c r="L272" s="8">
        <f t="shared" ca="1" si="154"/>
        <v>3</v>
      </c>
      <c r="M272" s="8">
        <f t="shared" ca="1" si="155"/>
        <v>6</v>
      </c>
      <c r="N272" s="8">
        <f t="shared" ca="1" si="156"/>
        <v>2</v>
      </c>
      <c r="O272" s="8">
        <f t="shared" ca="1" si="157"/>
        <v>1</v>
      </c>
      <c r="P272" s="8">
        <f t="shared" ca="1" si="158"/>
        <v>1</v>
      </c>
      <c r="Q272" s="8">
        <f t="shared" ca="1" si="159"/>
        <v>1</v>
      </c>
      <c r="R272" s="8">
        <f t="shared" ca="1" si="160"/>
        <v>0</v>
      </c>
      <c r="S272" s="8">
        <f t="shared" ca="1" si="161"/>
        <v>2</v>
      </c>
      <c r="T272" s="8">
        <f t="shared" ca="1" si="162"/>
        <v>0</v>
      </c>
      <c r="U272" s="8">
        <f t="shared" ca="1" si="163"/>
        <v>1</v>
      </c>
      <c r="V272" s="8">
        <f t="shared" ca="1" si="164"/>
        <v>15</v>
      </c>
      <c r="W272" s="11">
        <f t="shared" ca="1" si="165"/>
        <v>0.66666666666666663</v>
      </c>
      <c r="X272" s="11">
        <f t="shared" ca="1" si="166"/>
        <v>0</v>
      </c>
      <c r="Y272" s="11">
        <f t="shared" ca="1" si="167"/>
        <v>0.5</v>
      </c>
      <c r="Z272" s="11">
        <f t="shared" ca="1" si="168"/>
        <v>0.5</v>
      </c>
      <c r="AA272" s="11">
        <f t="shared" ca="1" si="169"/>
        <v>0.75</v>
      </c>
      <c r="AB272" s="47">
        <f ca="1">PlayerGameData[[#This Row],[3FGA]]+PlayerGameData[[#This Row],[2FGA]]</f>
        <v>8</v>
      </c>
      <c r="AC272" s="47">
        <f ca="1">PlayerGameData[[#This Row],[OFF REB]]+PlayerGameData[[#This Row],[DEF REB]]</f>
        <v>3</v>
      </c>
      <c r="AD272" s="8">
        <f t="shared" si="150"/>
        <v>12</v>
      </c>
      <c r="AE272" s="8" t="str">
        <f t="shared" ca="1" si="151"/>
        <v>Logan Timberman, 3 - Kaycee 1/21/2023</v>
      </c>
      <c r="AF272" s="8" t="str">
        <f t="shared" ca="1" si="170"/>
        <v>R</v>
      </c>
      <c r="AG272" s="8" t="str">
        <f ca="1">IFERROR(IF(C272=0,"",IF(AND(VLOOKUP(PlayerGameData[[#This Row],[Opponent]],WYTeamInfo,2,FALSE)=Roster!$D$1,VLOOKUP(PlayerGameData[[#This Row],[Opponent]],WYTeamInfo,3,FALSE)=Roster!$D$2),"SR","")),"")</f>
        <v>SR</v>
      </c>
      <c r="AH272" s="8" t="str">
        <f>CONCATENATE(Roster!$D$1," ",Roster!$D$5)</f>
        <v>1A BB</v>
      </c>
      <c r="AI272" s="8" t="str">
        <f t="shared" ca="1" si="152"/>
        <v>Upton - Kaycee 1/21/2023</v>
      </c>
      <c r="AJ272" s="8">
        <f ca="1">IFERROR(VLOOKUP(PlayerGameData[[#This Row],[School, Opponent,Game'#]],Table3[],2,FALSE),0)</f>
        <v>1</v>
      </c>
      <c r="AK272" s="8">
        <f ca="1">IF(PlayerGameData[[#This Row],[Visible]]=1,1,1000)</f>
        <v>1</v>
      </c>
      <c r="AL272" s="8">
        <f ca="1">RANK(PlayerGameData[[#This Row],[TL PTS]],PlayerGameData[TL PTS],0)+PlayerGameData[[#This Row],[VisibleOrder]]</f>
        <v>30</v>
      </c>
      <c r="AM272" s="8">
        <f ca="1">IF(COUNTIF(PlayerGameData[PointOrder],PlayerGameData[[#This Row],[PointOrder]])&gt;1,RANK(PlayerGameData[[#This Row],[FGA]],PlayerGameData[FGA],0)/100,0)+PlayerGameData[[#This Row],[PointOrder]]</f>
        <v>30.76</v>
      </c>
      <c r="AN272" s="8">
        <f ca="1">RANK(PlayerGameData[[#This Row],[PointTieBreak]],PlayerGameData[PointTieBreak],1)</f>
        <v>33</v>
      </c>
      <c r="AO272" s="8">
        <f ca="1">RANK(PlayerGameData[[#This Row],[REB]],PlayerGameData[REB],0)+PlayerGameData[[#This Row],[VisibleOrder]]</f>
        <v>108</v>
      </c>
      <c r="AP272" s="8">
        <f ca="1">IF(COUNTIF(PlayerGameData[REBOrder],PlayerGameData[[#This Row],[REBOrder]])&gt;1,PlayerGameData[[#This Row],[PointRank]]/100+PlayerGameData[[#This Row],[REBOrder]],PlayerGameData[[#This Row],[REBOrder]])</f>
        <v>108.33</v>
      </c>
      <c r="AQ272" s="8">
        <f ca="1">RANK(PlayerGameData[[#This Row],[REBTieBreak]],PlayerGameData[REBTieBreak],1)</f>
        <v>109</v>
      </c>
      <c r="AR272" s="8">
        <f ca="1">RANK(PlayerGameData[[#This Row],[AST]],PlayerGameData[AST],0)+PlayerGameData[[#This Row],[VisibleOrder]]</f>
        <v>115</v>
      </c>
      <c r="AS272" s="8">
        <f ca="1">IF(COUNTIF(PlayerGameData[ASTOrder],PlayerGameData[[#This Row],[ASTOrder]])&gt;1,PlayerGameData[[#This Row],[PointRank]]/100+PlayerGameData[[#This Row],[ASTOrder]],PlayerGameData[[#This Row],[ASTOrder]])</f>
        <v>115.33</v>
      </c>
      <c r="AT272" s="8">
        <f ca="1">RANK(PlayerGameData[[#This Row],[ASTTieBreak]],PlayerGameData[ASTTieBreak],1)</f>
        <v>116</v>
      </c>
      <c r="AU272" s="8">
        <f ca="1">RANK(PlayerGameData[[#This Row],[STL]],PlayerGameData[STL],0)+PlayerGameData[[#This Row],[VisibleOrder]]</f>
        <v>84</v>
      </c>
      <c r="AV272" s="8">
        <f ca="1">IF(COUNTIF(PlayerGameData[STLOrder],PlayerGameData[[#This Row],[STLOrder]])&gt;1,PlayerGameData[[#This Row],[PointRank]]/100+PlayerGameData[[#This Row],[STLOrder]],PlayerGameData[[#This Row],[STLOrder]])</f>
        <v>84.33</v>
      </c>
      <c r="AW272" s="8">
        <f ca="1">RANK(PlayerGameData[[#This Row],[STLTieBreak]],PlayerGameData[STLTieBreak],1)</f>
        <v>88</v>
      </c>
      <c r="AX272" s="8">
        <f ca="1">RANK(PlayerGameData[[#This Row],[BLK]],PlayerGameData[BLK],0)+PlayerGameData[[#This Row],[VisibleOrder]]</f>
        <v>32</v>
      </c>
      <c r="AY272" s="8">
        <f ca="1">IF(COUNTIF(PlayerGameData[BLKOrder],PlayerGameData[[#This Row],[BLKOrder]])&gt;1,PlayerGameData[[#This Row],[PointRank]]/100+PlayerGameData[[#This Row],[BLKOrder]],PlayerGameData[[#This Row],[BLKOrder]])</f>
        <v>32.33</v>
      </c>
      <c r="AZ272" s="8">
        <f ca="1">RANK(PlayerGameData[[#This Row],[BLKTieBreak]],PlayerGameData[BLKTieBreak],1)</f>
        <v>56</v>
      </c>
      <c r="BA272" s="11">
        <f ca="1">IFERROR(IF(PlayerGameData[[#This Row],[FGA]]&gt;$AA$5,PlayerGameData[[#This Row],[FG%*]],PlayerGameData[[#This Row],[FG%*]]*-1),-2)</f>
        <v>0.5</v>
      </c>
      <c r="BB272" s="8">
        <f ca="1">RANK(PlayerGameData[[#This Row],[EligFG]],PlayerGameData[EligFG],0)+PlayerGameData[[#This Row],[VisibleOrder]]</f>
        <v>39</v>
      </c>
      <c r="BC272" s="8">
        <f ca="1">IF(COUNTIF(PlayerGameData[EligFGOrder],PlayerGameData[[#This Row],[EligFGOrder]])&gt;1,PlayerGameData[[#This Row],[PointRank]]/100+PlayerGameData[[#This Row],[EligFGOrder]],PlayerGameData[[#This Row],[EligFGOrder]])</f>
        <v>39.33</v>
      </c>
      <c r="BD272" s="8">
        <f ca="1">RANK(PlayerGameData[[#This Row],[EligFGTieBreak]],PlayerGameData[EligFGTieBreak],1)</f>
        <v>41</v>
      </c>
      <c r="BE272" s="8" t="str">
        <f>Roster!$D$3</f>
        <v>East</v>
      </c>
      <c r="BF272" s="8" t="str">
        <f>Roster!$D$2</f>
        <v>Northeast</v>
      </c>
      <c r="BG272" s="8" t="str">
        <f>Roster!$D$4</f>
        <v>North</v>
      </c>
      <c r="BH272" s="197">
        <f ca="1">IFERROR(VLOOKUP(CONCATENATE(PlayerGameData[[#This Row],[Opponent]]," ",MONTH(PlayerGameData[[#This Row],[Date]]),"/",DAY(PlayerGameData[[#This Row],[Date]]),"/",YEAR(PlayerGameData[[#This Row],[Date]])),Table35[],2,FALSE),0)</f>
        <v>1</v>
      </c>
      <c r="BI272" s="197">
        <f ca="1">IF(PlayerGameData[[#This Row],[Visible]]=1,1,1000)</f>
        <v>1</v>
      </c>
      <c r="BJ272" s="197" t="e">
        <f ca="1">_xlfn.MAXIFS(TeamGameData[Win],TeamGameData[School, Opponent,Game'#],PlayerGameData[[#This Row],[School, Opponent,Game'#]])</f>
        <v>#NAME?</v>
      </c>
      <c r="BK272" s="197" t="e">
        <f ca="1">_xlfn.MAXIFS(TeamGameData[Loss],TeamGameData[School, Opponent,Game'#],PlayerGameData[[#This Row],[School, Opponent,Game'#]])</f>
        <v>#NAME?</v>
      </c>
    </row>
    <row r="273" spans="1:63" x14ac:dyDescent="0.25">
      <c r="A273" s="8" t="str">
        <f t="shared" ca="1" si="153"/>
        <v>Chase Mills, 5</v>
      </c>
      <c r="B273" s="8" t="str">
        <f>Roster!$B$1</f>
        <v>Upton</v>
      </c>
      <c r="C273" s="8" t="str">
        <f t="shared" ca="1" si="141"/>
        <v>Kaycee</v>
      </c>
      <c r="D273" s="10">
        <f t="shared" ca="1" si="142"/>
        <v>44947</v>
      </c>
      <c r="E273" s="8">
        <f t="shared" ca="1" si="143"/>
        <v>1</v>
      </c>
      <c r="F273" s="8">
        <f t="shared" ca="1" si="144"/>
        <v>0</v>
      </c>
      <c r="G273" s="8">
        <f t="shared" ca="1" si="145"/>
        <v>17</v>
      </c>
      <c r="H273" s="8">
        <f t="shared" ca="1" si="146"/>
        <v>3</v>
      </c>
      <c r="I273" s="8">
        <f t="shared" ca="1" si="147"/>
        <v>4</v>
      </c>
      <c r="J273" s="8">
        <f t="shared" ca="1" si="148"/>
        <v>2</v>
      </c>
      <c r="K273" s="8">
        <f t="shared" ca="1" si="149"/>
        <v>5</v>
      </c>
      <c r="L273" s="8">
        <f t="shared" ca="1" si="154"/>
        <v>0</v>
      </c>
      <c r="M273" s="8">
        <f t="shared" ca="1" si="155"/>
        <v>0</v>
      </c>
      <c r="N273" s="8">
        <f t="shared" ca="1" si="156"/>
        <v>1</v>
      </c>
      <c r="O273" s="8">
        <f t="shared" ca="1" si="157"/>
        <v>1</v>
      </c>
      <c r="P273" s="8">
        <f t="shared" ca="1" si="158"/>
        <v>2</v>
      </c>
      <c r="Q273" s="8">
        <f t="shared" ca="1" si="159"/>
        <v>4</v>
      </c>
      <c r="R273" s="8">
        <f t="shared" ca="1" si="160"/>
        <v>0</v>
      </c>
      <c r="S273" s="8">
        <f t="shared" ca="1" si="161"/>
        <v>2</v>
      </c>
      <c r="T273" s="8">
        <f t="shared" ca="1" si="162"/>
        <v>1</v>
      </c>
      <c r="U273" s="8">
        <f t="shared" ca="1" si="163"/>
        <v>0</v>
      </c>
      <c r="V273" s="8">
        <f t="shared" ca="1" si="164"/>
        <v>13</v>
      </c>
      <c r="W273" s="11">
        <f t="shared" ca="1" si="165"/>
        <v>0.75</v>
      </c>
      <c r="X273" s="11">
        <f t="shared" ca="1" si="166"/>
        <v>0.4</v>
      </c>
      <c r="Y273" s="11" t="str">
        <f t="shared" ca="1" si="167"/>
        <v/>
      </c>
      <c r="Z273" s="11">
        <f t="shared" ca="1" si="168"/>
        <v>0.55555555555555558</v>
      </c>
      <c r="AA273" s="11">
        <f t="shared" ca="1" si="169"/>
        <v>0.72222222222222221</v>
      </c>
      <c r="AB273" s="47">
        <f ca="1">PlayerGameData[[#This Row],[3FGA]]+PlayerGameData[[#This Row],[2FGA]]</f>
        <v>9</v>
      </c>
      <c r="AC273" s="47">
        <f ca="1">PlayerGameData[[#This Row],[OFF REB]]+PlayerGameData[[#This Row],[DEF REB]]</f>
        <v>2</v>
      </c>
      <c r="AD273" s="8">
        <f t="shared" si="150"/>
        <v>12</v>
      </c>
      <c r="AE273" s="8" t="str">
        <f t="shared" ca="1" si="151"/>
        <v>Chase Mills, 5 - Kaycee 1/21/2023</v>
      </c>
      <c r="AF273" s="8" t="str">
        <f t="shared" ca="1" si="170"/>
        <v>R</v>
      </c>
      <c r="AG273" s="8" t="str">
        <f ca="1">IFERROR(IF(C273=0,"",IF(AND(VLOOKUP(PlayerGameData[[#This Row],[Opponent]],WYTeamInfo,2,FALSE)=Roster!$D$1,VLOOKUP(PlayerGameData[[#This Row],[Opponent]],WYTeamInfo,3,FALSE)=Roster!$D$2),"SR","")),"")</f>
        <v>SR</v>
      </c>
      <c r="AH273" s="8" t="str">
        <f>CONCATENATE(Roster!$D$1," ",Roster!$D$5)</f>
        <v>1A BB</v>
      </c>
      <c r="AI273" s="8" t="str">
        <f t="shared" ca="1" si="152"/>
        <v>Upton - Kaycee 1/21/2023</v>
      </c>
      <c r="AJ273" s="8">
        <f ca="1">IFERROR(VLOOKUP(PlayerGameData[[#This Row],[School, Opponent,Game'#]],Table3[],2,FALSE),0)</f>
        <v>1</v>
      </c>
      <c r="AK273" s="8">
        <f ca="1">IF(PlayerGameData[[#This Row],[Visible]]=1,1,1000)</f>
        <v>1</v>
      </c>
      <c r="AL273" s="8">
        <f ca="1">RANK(PlayerGameData[[#This Row],[TL PTS]],PlayerGameData[TL PTS],0)+PlayerGameData[[#This Row],[VisibleOrder]]</f>
        <v>45</v>
      </c>
      <c r="AM273" s="8">
        <f ca="1">IF(COUNTIF(PlayerGameData[PointOrder],PlayerGameData[[#This Row],[PointOrder]])&gt;1,RANK(PlayerGameData[[#This Row],[FGA]],PlayerGameData[FGA],0)/100,0)+PlayerGameData[[#This Row],[PointOrder]]</f>
        <v>45.59</v>
      </c>
      <c r="AN273" s="8">
        <f ca="1">RANK(PlayerGameData[[#This Row],[PointTieBreak]],PlayerGameData[PointTieBreak],1)</f>
        <v>48</v>
      </c>
      <c r="AO273" s="8">
        <f ca="1">RANK(PlayerGameData[[#This Row],[REB]],PlayerGameData[REB],0)+PlayerGameData[[#This Row],[VisibleOrder]]</f>
        <v>137</v>
      </c>
      <c r="AP273" s="8">
        <f ca="1">IF(COUNTIF(PlayerGameData[REBOrder],PlayerGameData[[#This Row],[REBOrder]])&gt;1,PlayerGameData[[#This Row],[PointRank]]/100+PlayerGameData[[#This Row],[REBOrder]],PlayerGameData[[#This Row],[REBOrder]])</f>
        <v>137.47999999999999</v>
      </c>
      <c r="AQ273" s="8">
        <f ca="1">RANK(PlayerGameData[[#This Row],[REBTieBreak]],PlayerGameData[REBTieBreak],1)</f>
        <v>139</v>
      </c>
      <c r="AR273" s="8">
        <f ca="1">RANK(PlayerGameData[[#This Row],[AST]],PlayerGameData[AST],0)+PlayerGameData[[#This Row],[VisibleOrder]]</f>
        <v>69</v>
      </c>
      <c r="AS273" s="8">
        <f ca="1">IF(COUNTIF(PlayerGameData[ASTOrder],PlayerGameData[[#This Row],[ASTOrder]])&gt;1,PlayerGameData[[#This Row],[PointRank]]/100+PlayerGameData[[#This Row],[ASTOrder]],PlayerGameData[[#This Row],[ASTOrder]])</f>
        <v>69.48</v>
      </c>
      <c r="AT273" s="8">
        <f ca="1">RANK(PlayerGameData[[#This Row],[ASTTieBreak]],PlayerGameData[ASTTieBreak],1)</f>
        <v>79</v>
      </c>
      <c r="AU273" s="8">
        <f ca="1">RANK(PlayerGameData[[#This Row],[STL]],PlayerGameData[STL],0)+PlayerGameData[[#This Row],[VisibleOrder]]</f>
        <v>10</v>
      </c>
      <c r="AV273" s="8">
        <f ca="1">IF(COUNTIF(PlayerGameData[STLOrder],PlayerGameData[[#This Row],[STLOrder]])&gt;1,PlayerGameData[[#This Row],[PointRank]]/100+PlayerGameData[[#This Row],[STLOrder]],PlayerGameData[[#This Row],[STLOrder]])</f>
        <v>10.48</v>
      </c>
      <c r="AW273" s="8">
        <f ca="1">RANK(PlayerGameData[[#This Row],[STLTieBreak]],PlayerGameData[STLTieBreak],1)</f>
        <v>19</v>
      </c>
      <c r="AX273" s="8">
        <f ca="1">RANK(PlayerGameData[[#This Row],[BLK]],PlayerGameData[BLK],0)+PlayerGameData[[#This Row],[VisibleOrder]]</f>
        <v>32</v>
      </c>
      <c r="AY273" s="8">
        <f ca="1">IF(COUNTIF(PlayerGameData[BLKOrder],PlayerGameData[[#This Row],[BLKOrder]])&gt;1,PlayerGameData[[#This Row],[PointRank]]/100+PlayerGameData[[#This Row],[BLKOrder]],PlayerGameData[[#This Row],[BLKOrder]])</f>
        <v>32.479999999999997</v>
      </c>
      <c r="AZ273" s="8">
        <f ca="1">RANK(PlayerGameData[[#This Row],[BLKTieBreak]],PlayerGameData[BLKTieBreak],1)</f>
        <v>69</v>
      </c>
      <c r="BA273" s="11">
        <f ca="1">IFERROR(IF(PlayerGameData[[#This Row],[FGA]]&gt;$AA$5,PlayerGameData[[#This Row],[FG%*]],PlayerGameData[[#This Row],[FG%*]]*-1),-2)</f>
        <v>0.55555555555555558</v>
      </c>
      <c r="BB273" s="8">
        <f ca="1">RANK(PlayerGameData[[#This Row],[EligFG]],PlayerGameData[EligFG],0)+PlayerGameData[[#This Row],[VisibleOrder]]</f>
        <v>31</v>
      </c>
      <c r="BC273" s="8">
        <f ca="1">IF(COUNTIF(PlayerGameData[EligFGOrder],PlayerGameData[[#This Row],[EligFGOrder]])&gt;1,PlayerGameData[[#This Row],[PointRank]]/100+PlayerGameData[[#This Row],[EligFGOrder]],PlayerGameData[[#This Row],[EligFGOrder]])</f>
        <v>31.48</v>
      </c>
      <c r="BD273" s="8">
        <f ca="1">RANK(PlayerGameData[[#This Row],[EligFGTieBreak]],PlayerGameData[EligFGTieBreak],1)</f>
        <v>31</v>
      </c>
      <c r="BE273" s="8" t="str">
        <f>Roster!$D$3</f>
        <v>East</v>
      </c>
      <c r="BF273" s="8" t="str">
        <f>Roster!$D$2</f>
        <v>Northeast</v>
      </c>
      <c r="BG273" s="8" t="str">
        <f>Roster!$D$4</f>
        <v>North</v>
      </c>
      <c r="BH273" s="197">
        <f ca="1">IFERROR(VLOOKUP(CONCATENATE(PlayerGameData[[#This Row],[Opponent]]," ",MONTH(PlayerGameData[[#This Row],[Date]]),"/",DAY(PlayerGameData[[#This Row],[Date]]),"/",YEAR(PlayerGameData[[#This Row],[Date]])),Table35[],2,FALSE),0)</f>
        <v>1</v>
      </c>
      <c r="BI273" s="197">
        <f ca="1">IF(PlayerGameData[[#This Row],[Visible]]=1,1,1000)</f>
        <v>1</v>
      </c>
      <c r="BJ273" s="197" t="e">
        <f ca="1">_xlfn.MAXIFS(TeamGameData[Win],TeamGameData[School, Opponent,Game'#],PlayerGameData[[#This Row],[School, Opponent,Game'#]])</f>
        <v>#NAME?</v>
      </c>
      <c r="BK273" s="197" t="e">
        <f ca="1">_xlfn.MAXIFS(TeamGameData[Loss],TeamGameData[School, Opponent,Game'#],PlayerGameData[[#This Row],[School, Opponent,Game'#]])</f>
        <v>#NAME?</v>
      </c>
    </row>
    <row r="274" spans="1:63" x14ac:dyDescent="0.25">
      <c r="A274" s="8" t="str">
        <f t="shared" ca="1" si="153"/>
        <v>Rhett Watt, 10</v>
      </c>
      <c r="B274" s="8" t="str">
        <f>Roster!$B$1</f>
        <v>Upton</v>
      </c>
      <c r="C274" s="8" t="str">
        <f t="shared" ca="1" si="141"/>
        <v>Kaycee</v>
      </c>
      <c r="D274" s="10">
        <f t="shared" ca="1" si="142"/>
        <v>44947</v>
      </c>
      <c r="E274" s="8">
        <f t="shared" ca="1" si="143"/>
        <v>1</v>
      </c>
      <c r="F274" s="8">
        <f t="shared" ca="1" si="144"/>
        <v>1</v>
      </c>
      <c r="G274" s="8">
        <f t="shared" ca="1" si="145"/>
        <v>25</v>
      </c>
      <c r="H274" s="8">
        <f t="shared" ca="1" si="146"/>
        <v>3</v>
      </c>
      <c r="I274" s="8">
        <f t="shared" ca="1" si="147"/>
        <v>8</v>
      </c>
      <c r="J274" s="8">
        <f t="shared" ca="1" si="148"/>
        <v>1</v>
      </c>
      <c r="K274" s="8">
        <f t="shared" ca="1" si="149"/>
        <v>1</v>
      </c>
      <c r="L274" s="8">
        <f t="shared" ca="1" si="154"/>
        <v>0</v>
      </c>
      <c r="M274" s="8">
        <f t="shared" ca="1" si="155"/>
        <v>0</v>
      </c>
      <c r="N274" s="8">
        <f t="shared" ca="1" si="156"/>
        <v>0</v>
      </c>
      <c r="O274" s="8">
        <f t="shared" ca="1" si="157"/>
        <v>0</v>
      </c>
      <c r="P274" s="8">
        <f t="shared" ca="1" si="158"/>
        <v>3</v>
      </c>
      <c r="Q274" s="8">
        <f t="shared" ca="1" si="159"/>
        <v>0</v>
      </c>
      <c r="R274" s="8">
        <f t="shared" ca="1" si="160"/>
        <v>0</v>
      </c>
      <c r="S274" s="8">
        <f t="shared" ca="1" si="161"/>
        <v>1</v>
      </c>
      <c r="T274" s="8">
        <f t="shared" ca="1" si="162"/>
        <v>0</v>
      </c>
      <c r="U274" s="8">
        <f t="shared" ca="1" si="163"/>
        <v>0</v>
      </c>
      <c r="V274" s="8">
        <f t="shared" ca="1" si="164"/>
        <v>11</v>
      </c>
      <c r="W274" s="11">
        <f t="shared" ca="1" si="165"/>
        <v>0.375</v>
      </c>
      <c r="X274" s="11">
        <f t="shared" ca="1" si="166"/>
        <v>1</v>
      </c>
      <c r="Y274" s="11" t="str">
        <f t="shared" ca="1" si="167"/>
        <v/>
      </c>
      <c r="Z274" s="11">
        <f t="shared" ca="1" si="168"/>
        <v>0.44444444444444442</v>
      </c>
      <c r="AA274" s="11">
        <f t="shared" ca="1" si="169"/>
        <v>0.61111111111111116</v>
      </c>
      <c r="AB274" s="47">
        <f ca="1">PlayerGameData[[#This Row],[3FGA]]+PlayerGameData[[#This Row],[2FGA]]</f>
        <v>9</v>
      </c>
      <c r="AC274" s="47">
        <f ca="1">PlayerGameData[[#This Row],[OFF REB]]+PlayerGameData[[#This Row],[DEF REB]]</f>
        <v>0</v>
      </c>
      <c r="AD274" s="8">
        <f t="shared" si="150"/>
        <v>12</v>
      </c>
      <c r="AE274" s="8" t="str">
        <f t="shared" ca="1" si="151"/>
        <v>Rhett Watt, 10 - Kaycee 1/21/2023</v>
      </c>
      <c r="AF274" s="8" t="str">
        <f t="shared" ca="1" si="170"/>
        <v>R</v>
      </c>
      <c r="AG274" s="8" t="str">
        <f ca="1">IFERROR(IF(C274=0,"",IF(AND(VLOOKUP(PlayerGameData[[#This Row],[Opponent]],WYTeamInfo,2,FALSE)=Roster!$D$1,VLOOKUP(PlayerGameData[[#This Row],[Opponent]],WYTeamInfo,3,FALSE)=Roster!$D$2),"SR","")),"")</f>
        <v>SR</v>
      </c>
      <c r="AH274" s="8" t="str">
        <f>CONCATENATE(Roster!$D$1," ",Roster!$D$5)</f>
        <v>1A BB</v>
      </c>
      <c r="AI274" s="8" t="str">
        <f t="shared" ca="1" si="152"/>
        <v>Upton - Kaycee 1/21/2023</v>
      </c>
      <c r="AJ274" s="8">
        <f ca="1">IFERROR(VLOOKUP(PlayerGameData[[#This Row],[School, Opponent,Game'#]],Table3[],2,FALSE),0)</f>
        <v>1</v>
      </c>
      <c r="AK274" s="8">
        <f ca="1">IF(PlayerGameData[[#This Row],[Visible]]=1,1,1000)</f>
        <v>1</v>
      </c>
      <c r="AL274" s="8">
        <f ca="1">RANK(PlayerGameData[[#This Row],[TL PTS]],PlayerGameData[TL PTS],0)+PlayerGameData[[#This Row],[VisibleOrder]]</f>
        <v>58</v>
      </c>
      <c r="AM274" s="8">
        <f ca="1">IF(COUNTIF(PlayerGameData[PointOrder],PlayerGameData[[#This Row],[PointOrder]])&gt;1,RANK(PlayerGameData[[#This Row],[FGA]],PlayerGameData[FGA],0)/100,0)+PlayerGameData[[#This Row],[PointOrder]]</f>
        <v>58.59</v>
      </c>
      <c r="AN274" s="8">
        <f ca="1">RANK(PlayerGameData[[#This Row],[PointTieBreak]],PlayerGameData[PointTieBreak],1)</f>
        <v>62</v>
      </c>
      <c r="AO274" s="8">
        <f ca="1">RANK(PlayerGameData[[#This Row],[REB]],PlayerGameData[REB],0)+PlayerGameData[[#This Row],[VisibleOrder]]</f>
        <v>192</v>
      </c>
      <c r="AP274" s="8">
        <f ca="1">IF(COUNTIF(PlayerGameData[REBOrder],PlayerGameData[[#This Row],[REBOrder]])&gt;1,PlayerGameData[[#This Row],[PointRank]]/100+PlayerGameData[[#This Row],[REBOrder]],PlayerGameData[[#This Row],[REBOrder]])</f>
        <v>192.62</v>
      </c>
      <c r="AQ274" s="8">
        <f ca="1">RANK(PlayerGameData[[#This Row],[REBTieBreak]],PlayerGameData[REBTieBreak],1)</f>
        <v>191</v>
      </c>
      <c r="AR274" s="8">
        <f ca="1">RANK(PlayerGameData[[#This Row],[AST]],PlayerGameData[AST],0)+PlayerGameData[[#This Row],[VisibleOrder]]</f>
        <v>39</v>
      </c>
      <c r="AS274" s="8">
        <f ca="1">IF(COUNTIF(PlayerGameData[ASTOrder],PlayerGameData[[#This Row],[ASTOrder]])&gt;1,PlayerGameData[[#This Row],[PointRank]]/100+PlayerGameData[[#This Row],[ASTOrder]],PlayerGameData[[#This Row],[ASTOrder]])</f>
        <v>39.619999999999997</v>
      </c>
      <c r="AT274" s="8">
        <f ca="1">RANK(PlayerGameData[[#This Row],[ASTTieBreak]],PlayerGameData[ASTTieBreak],1)</f>
        <v>46</v>
      </c>
      <c r="AU274" s="8">
        <f ca="1">RANK(PlayerGameData[[#This Row],[STL]],PlayerGameData[STL],0)+PlayerGameData[[#This Row],[VisibleOrder]]</f>
        <v>143</v>
      </c>
      <c r="AV274" s="8">
        <f ca="1">IF(COUNTIF(PlayerGameData[STLOrder],PlayerGameData[[#This Row],[STLOrder]])&gt;1,PlayerGameData[[#This Row],[PointRank]]/100+PlayerGameData[[#This Row],[STLOrder]],PlayerGameData[[#This Row],[STLOrder]])</f>
        <v>143.62</v>
      </c>
      <c r="AW274" s="8">
        <f ca="1">RANK(PlayerGameData[[#This Row],[STLTieBreak]],PlayerGameData[STLTieBreak],1)</f>
        <v>152</v>
      </c>
      <c r="AX274" s="8">
        <f ca="1">RANK(PlayerGameData[[#This Row],[BLK]],PlayerGameData[BLK],0)+PlayerGameData[[#This Row],[VisibleOrder]]</f>
        <v>32</v>
      </c>
      <c r="AY274" s="8">
        <f ca="1">IF(COUNTIF(PlayerGameData[BLKOrder],PlayerGameData[[#This Row],[BLKOrder]])&gt;1,PlayerGameData[[#This Row],[PointRank]]/100+PlayerGameData[[#This Row],[BLKOrder]],PlayerGameData[[#This Row],[BLKOrder]])</f>
        <v>32.619999999999997</v>
      </c>
      <c r="AZ274" s="8">
        <f ca="1">RANK(PlayerGameData[[#This Row],[BLKTieBreak]],PlayerGameData[BLKTieBreak],1)</f>
        <v>79</v>
      </c>
      <c r="BA274" s="11">
        <f ca="1">IFERROR(IF(PlayerGameData[[#This Row],[FGA]]&gt;$AA$5,PlayerGameData[[#This Row],[FG%*]],PlayerGameData[[#This Row],[FG%*]]*-1),-2)</f>
        <v>0.44444444444444442</v>
      </c>
      <c r="BB274" s="8">
        <f ca="1">RANK(PlayerGameData[[#This Row],[EligFG]],PlayerGameData[EligFG],0)+PlayerGameData[[#This Row],[VisibleOrder]]</f>
        <v>56</v>
      </c>
      <c r="BC274" s="8">
        <f ca="1">IF(COUNTIF(PlayerGameData[EligFGOrder],PlayerGameData[[#This Row],[EligFGOrder]])&gt;1,PlayerGameData[[#This Row],[PointRank]]/100+PlayerGameData[[#This Row],[EligFGOrder]],PlayerGameData[[#This Row],[EligFGOrder]])</f>
        <v>56.62</v>
      </c>
      <c r="BD274" s="8">
        <f ca="1">RANK(PlayerGameData[[#This Row],[EligFGTieBreak]],PlayerGameData[EligFGTieBreak],1)</f>
        <v>57</v>
      </c>
      <c r="BE274" s="8" t="str">
        <f>Roster!$D$3</f>
        <v>East</v>
      </c>
      <c r="BF274" s="8" t="str">
        <f>Roster!$D$2</f>
        <v>Northeast</v>
      </c>
      <c r="BG274" s="8" t="str">
        <f>Roster!$D$4</f>
        <v>North</v>
      </c>
      <c r="BH274" s="197">
        <f ca="1">IFERROR(VLOOKUP(CONCATENATE(PlayerGameData[[#This Row],[Opponent]]," ",MONTH(PlayerGameData[[#This Row],[Date]]),"/",DAY(PlayerGameData[[#This Row],[Date]]),"/",YEAR(PlayerGameData[[#This Row],[Date]])),Table35[],2,FALSE),0)</f>
        <v>1</v>
      </c>
      <c r="BI274" s="197">
        <f ca="1">IF(PlayerGameData[[#This Row],[Visible]]=1,1,1000)</f>
        <v>1</v>
      </c>
      <c r="BJ274" s="197" t="e">
        <f ca="1">_xlfn.MAXIFS(TeamGameData[Win],TeamGameData[School, Opponent,Game'#],PlayerGameData[[#This Row],[School, Opponent,Game'#]])</f>
        <v>#NAME?</v>
      </c>
      <c r="BK274" s="197" t="e">
        <f ca="1">_xlfn.MAXIFS(TeamGameData[Loss],TeamGameData[School, Opponent,Game'#],PlayerGameData[[#This Row],[School, Opponent,Game'#]])</f>
        <v>#NAME?</v>
      </c>
    </row>
    <row r="275" spans="1:63" x14ac:dyDescent="0.25">
      <c r="A275" s="8" t="str">
        <f t="shared" ca="1" si="153"/>
        <v>Keith Coburn, 11</v>
      </c>
      <c r="B275" s="8" t="str">
        <f>Roster!$B$1</f>
        <v>Upton</v>
      </c>
      <c r="C275" s="8" t="str">
        <f t="shared" ca="1" si="141"/>
        <v>Kaycee</v>
      </c>
      <c r="D275" s="10">
        <f t="shared" ca="1" si="142"/>
        <v>44947</v>
      </c>
      <c r="E275" s="8">
        <f t="shared" ca="1" si="143"/>
        <v>1</v>
      </c>
      <c r="F275" s="8">
        <f t="shared" ca="1" si="144"/>
        <v>0</v>
      </c>
      <c r="G275" s="8">
        <f t="shared" ca="1" si="145"/>
        <v>1</v>
      </c>
      <c r="H275" s="8">
        <f t="shared" ca="1" si="146"/>
        <v>0</v>
      </c>
      <c r="I275" s="8">
        <f t="shared" ca="1" si="147"/>
        <v>0</v>
      </c>
      <c r="J275" s="8">
        <f t="shared" ca="1" si="148"/>
        <v>0</v>
      </c>
      <c r="K275" s="8">
        <f t="shared" ca="1" si="149"/>
        <v>0</v>
      </c>
      <c r="L275" s="8">
        <f t="shared" ca="1" si="154"/>
        <v>0</v>
      </c>
      <c r="M275" s="8">
        <f t="shared" ca="1" si="155"/>
        <v>0</v>
      </c>
      <c r="N275" s="8">
        <f t="shared" ca="1" si="156"/>
        <v>0</v>
      </c>
      <c r="O275" s="8">
        <f t="shared" ca="1" si="157"/>
        <v>0</v>
      </c>
      <c r="P275" s="8">
        <f t="shared" ca="1" si="158"/>
        <v>0</v>
      </c>
      <c r="Q275" s="8">
        <f t="shared" ca="1" si="159"/>
        <v>0</v>
      </c>
      <c r="R275" s="8">
        <f t="shared" ca="1" si="160"/>
        <v>0</v>
      </c>
      <c r="S275" s="8">
        <f t="shared" ca="1" si="161"/>
        <v>0</v>
      </c>
      <c r="T275" s="8">
        <f t="shared" ca="1" si="162"/>
        <v>0</v>
      </c>
      <c r="U275" s="8">
        <f t="shared" ca="1" si="163"/>
        <v>0</v>
      </c>
      <c r="V275" s="8">
        <f t="shared" ca="1" si="164"/>
        <v>0</v>
      </c>
      <c r="W275" s="11" t="str">
        <f t="shared" ca="1" si="165"/>
        <v/>
      </c>
      <c r="X275" s="11" t="str">
        <f t="shared" ca="1" si="166"/>
        <v/>
      </c>
      <c r="Y275" s="11" t="str">
        <f t="shared" ca="1" si="167"/>
        <v/>
      </c>
      <c r="Z275" s="11" t="str">
        <f t="shared" ca="1" si="168"/>
        <v/>
      </c>
      <c r="AA275" s="11" t="str">
        <f t="shared" ca="1" si="169"/>
        <v/>
      </c>
      <c r="AB275" s="47">
        <f ca="1">PlayerGameData[[#This Row],[3FGA]]+PlayerGameData[[#This Row],[2FGA]]</f>
        <v>0</v>
      </c>
      <c r="AC275" s="47">
        <f ca="1">PlayerGameData[[#This Row],[OFF REB]]+PlayerGameData[[#This Row],[DEF REB]]</f>
        <v>0</v>
      </c>
      <c r="AD275" s="8">
        <f t="shared" si="150"/>
        <v>12</v>
      </c>
      <c r="AE275" s="8" t="str">
        <f t="shared" ca="1" si="151"/>
        <v>Keith Coburn, 11 - Kaycee 1/21/2023</v>
      </c>
      <c r="AF275" s="8" t="str">
        <f t="shared" ca="1" si="170"/>
        <v>R</v>
      </c>
      <c r="AG275" s="8" t="str">
        <f ca="1">IFERROR(IF(C275=0,"",IF(AND(VLOOKUP(PlayerGameData[[#This Row],[Opponent]],WYTeamInfo,2,FALSE)=Roster!$D$1,VLOOKUP(PlayerGameData[[#This Row],[Opponent]],WYTeamInfo,3,FALSE)=Roster!$D$2),"SR","")),"")</f>
        <v>SR</v>
      </c>
      <c r="AH275" s="8" t="str">
        <f>CONCATENATE(Roster!$D$1," ",Roster!$D$5)</f>
        <v>1A BB</v>
      </c>
      <c r="AI275" s="8" t="str">
        <f t="shared" ca="1" si="152"/>
        <v>Upton - Kaycee 1/21/2023</v>
      </c>
      <c r="AJ275" s="8">
        <f ca="1">IFERROR(VLOOKUP(PlayerGameData[[#This Row],[School, Opponent,Game'#]],Table3[],2,FALSE),0)</f>
        <v>1</v>
      </c>
      <c r="AK275" s="8">
        <f ca="1">IF(PlayerGameData[[#This Row],[Visible]]=1,1,1000)</f>
        <v>1</v>
      </c>
      <c r="AL275" s="8">
        <f ca="1">RANK(PlayerGameData[[#This Row],[TL PTS]],PlayerGameData[TL PTS],0)+PlayerGameData[[#This Row],[VisibleOrder]]</f>
        <v>185</v>
      </c>
      <c r="AM275" s="8">
        <f ca="1">IF(COUNTIF(PlayerGameData[PointOrder],PlayerGameData[[#This Row],[PointOrder]])&gt;1,RANK(PlayerGameData[[#This Row],[FGA]],PlayerGameData[FGA],0)/100,0)+PlayerGameData[[#This Row],[PointOrder]]</f>
        <v>187.14</v>
      </c>
      <c r="AN275" s="8">
        <f ca="1">RANK(PlayerGameData[[#This Row],[PointTieBreak]],PlayerGameData[PointTieBreak],1)</f>
        <v>216</v>
      </c>
      <c r="AO275" s="8">
        <f ca="1">RANK(PlayerGameData[[#This Row],[REB]],PlayerGameData[REB],0)+PlayerGameData[[#This Row],[VisibleOrder]]</f>
        <v>192</v>
      </c>
      <c r="AP275" s="8">
        <f ca="1">IF(COUNTIF(PlayerGameData[REBOrder],PlayerGameData[[#This Row],[REBOrder]])&gt;1,PlayerGameData[[#This Row],[PointRank]]/100+PlayerGameData[[#This Row],[REBOrder]],PlayerGameData[[#This Row],[REBOrder]])</f>
        <v>194.16</v>
      </c>
      <c r="AQ275" s="8">
        <f ca="1">RANK(PlayerGameData[[#This Row],[REBTieBreak]],PlayerGameData[REBTieBreak],1)</f>
        <v>224</v>
      </c>
      <c r="AR275" s="8">
        <f ca="1">RANK(PlayerGameData[[#This Row],[AST]],PlayerGameData[AST],0)+PlayerGameData[[#This Row],[VisibleOrder]]</f>
        <v>158</v>
      </c>
      <c r="AS275" s="8">
        <f ca="1">IF(COUNTIF(PlayerGameData[ASTOrder],PlayerGameData[[#This Row],[ASTOrder]])&gt;1,PlayerGameData[[#This Row],[PointRank]]/100+PlayerGameData[[#This Row],[ASTOrder]],PlayerGameData[[#This Row],[ASTOrder]])</f>
        <v>160.16</v>
      </c>
      <c r="AT275" s="8">
        <f ca="1">RANK(PlayerGameData[[#This Row],[ASTTieBreak]],PlayerGameData[ASTTieBreak],1)</f>
        <v>221</v>
      </c>
      <c r="AU275" s="8">
        <f ca="1">RANK(PlayerGameData[[#This Row],[STL]],PlayerGameData[STL],0)+PlayerGameData[[#This Row],[VisibleOrder]]</f>
        <v>143</v>
      </c>
      <c r="AV275" s="8">
        <f ca="1">IF(COUNTIF(PlayerGameData[STLOrder],PlayerGameData[[#This Row],[STLOrder]])&gt;1,PlayerGameData[[#This Row],[PointRank]]/100+PlayerGameData[[#This Row],[STLOrder]],PlayerGameData[[#This Row],[STLOrder]])</f>
        <v>145.16</v>
      </c>
      <c r="AW275" s="8">
        <f ca="1">RANK(PlayerGameData[[#This Row],[STLTieBreak]],PlayerGameData[STLTieBreak],1)</f>
        <v>217</v>
      </c>
      <c r="AX275" s="8">
        <f ca="1">RANK(PlayerGameData[[#This Row],[BLK]],PlayerGameData[BLK],0)+PlayerGameData[[#This Row],[VisibleOrder]]</f>
        <v>32</v>
      </c>
      <c r="AY275" s="8">
        <f ca="1">IF(COUNTIF(PlayerGameData[BLKOrder],PlayerGameData[[#This Row],[BLKOrder]])&gt;1,PlayerGameData[[#This Row],[PointRank]]/100+PlayerGameData[[#This Row],[BLKOrder]],PlayerGameData[[#This Row],[BLKOrder]])</f>
        <v>34.159999999999997</v>
      </c>
      <c r="AZ275" s="8">
        <f ca="1">RANK(PlayerGameData[[#This Row],[BLKTieBreak]],PlayerGameData[BLKTieBreak],1)</f>
        <v>216</v>
      </c>
      <c r="BA275" s="11">
        <f ca="1">IFERROR(IF(PlayerGameData[[#This Row],[FGA]]&gt;$AA$5,PlayerGameData[[#This Row],[FG%*]],PlayerGameData[[#This Row],[FG%*]]*-1),-2)</f>
        <v>-2</v>
      </c>
      <c r="BB275" s="8">
        <f ca="1">RANK(PlayerGameData[[#This Row],[EligFG]],PlayerGameData[EligFG],0)+PlayerGameData[[#This Row],[VisibleOrder]]</f>
        <v>215</v>
      </c>
      <c r="BC275" s="8">
        <f ca="1">IF(COUNTIF(PlayerGameData[EligFGOrder],PlayerGameData[[#This Row],[EligFGOrder]])&gt;1,PlayerGameData[[#This Row],[PointRank]]/100+PlayerGameData[[#This Row],[EligFGOrder]],PlayerGameData[[#This Row],[EligFGOrder]])</f>
        <v>217.16</v>
      </c>
      <c r="BD275" s="8">
        <f ca="1">RANK(PlayerGameData[[#This Row],[EligFGTieBreak]],PlayerGameData[EligFGTieBreak],1)</f>
        <v>216</v>
      </c>
      <c r="BE275" s="8" t="str">
        <f>Roster!$D$3</f>
        <v>East</v>
      </c>
      <c r="BF275" s="8" t="str">
        <f>Roster!$D$2</f>
        <v>Northeast</v>
      </c>
      <c r="BG275" s="8" t="str">
        <f>Roster!$D$4</f>
        <v>North</v>
      </c>
      <c r="BH275" s="197">
        <f ca="1">IFERROR(VLOOKUP(CONCATENATE(PlayerGameData[[#This Row],[Opponent]]," ",MONTH(PlayerGameData[[#This Row],[Date]]),"/",DAY(PlayerGameData[[#This Row],[Date]]),"/",YEAR(PlayerGameData[[#This Row],[Date]])),Table35[],2,FALSE),0)</f>
        <v>1</v>
      </c>
      <c r="BI275" s="197">
        <f ca="1">IF(PlayerGameData[[#This Row],[Visible]]=1,1,1000)</f>
        <v>1</v>
      </c>
      <c r="BJ275" s="197" t="e">
        <f ca="1">_xlfn.MAXIFS(TeamGameData[Win],TeamGameData[School, Opponent,Game'#],PlayerGameData[[#This Row],[School, Opponent,Game'#]])</f>
        <v>#NAME?</v>
      </c>
      <c r="BK275" s="197" t="e">
        <f ca="1">_xlfn.MAXIFS(TeamGameData[Loss],TeamGameData[School, Opponent,Game'#],PlayerGameData[[#This Row],[School, Opponent,Game'#]])</f>
        <v>#NAME?</v>
      </c>
    </row>
    <row r="276" spans="1:63" x14ac:dyDescent="0.25">
      <c r="A276" s="8" t="str">
        <f t="shared" ca="1" si="153"/>
        <v>Carson Barritt, 14</v>
      </c>
      <c r="B276" s="8" t="str">
        <f>Roster!$B$1</f>
        <v>Upton</v>
      </c>
      <c r="C276" s="8" t="str">
        <f t="shared" ca="1" si="141"/>
        <v>Kaycee</v>
      </c>
      <c r="D276" s="10">
        <f t="shared" ca="1" si="142"/>
        <v>44947</v>
      </c>
      <c r="E276" s="8">
        <f t="shared" ca="1" si="143"/>
        <v>0</v>
      </c>
      <c r="F276" s="8">
        <f t="shared" ca="1" si="144"/>
        <v>0</v>
      </c>
      <c r="G276" s="8">
        <f t="shared" ca="1" si="145"/>
        <v>0</v>
      </c>
      <c r="H276" s="8">
        <f t="shared" ca="1" si="146"/>
        <v>0</v>
      </c>
      <c r="I276" s="8">
        <f t="shared" ca="1" si="147"/>
        <v>0</v>
      </c>
      <c r="J276" s="8">
        <f t="shared" ca="1" si="148"/>
        <v>0</v>
      </c>
      <c r="K276" s="8">
        <f t="shared" ca="1" si="149"/>
        <v>0</v>
      </c>
      <c r="L276" s="8">
        <f t="shared" ca="1" si="154"/>
        <v>0</v>
      </c>
      <c r="M276" s="8">
        <f t="shared" ca="1" si="155"/>
        <v>0</v>
      </c>
      <c r="N276" s="8">
        <f t="shared" ca="1" si="156"/>
        <v>0</v>
      </c>
      <c r="O276" s="8">
        <f t="shared" ca="1" si="157"/>
        <v>0</v>
      </c>
      <c r="P276" s="8">
        <f t="shared" ca="1" si="158"/>
        <v>0</v>
      </c>
      <c r="Q276" s="8">
        <f t="shared" ca="1" si="159"/>
        <v>0</v>
      </c>
      <c r="R276" s="8">
        <f t="shared" ca="1" si="160"/>
        <v>0</v>
      </c>
      <c r="S276" s="8">
        <f t="shared" ca="1" si="161"/>
        <v>0</v>
      </c>
      <c r="T276" s="8">
        <f t="shared" ca="1" si="162"/>
        <v>0</v>
      </c>
      <c r="U276" s="8">
        <f t="shared" ca="1" si="163"/>
        <v>0</v>
      </c>
      <c r="V276" s="8">
        <f t="shared" ca="1" si="164"/>
        <v>0</v>
      </c>
      <c r="W276" s="11" t="str">
        <f t="shared" ca="1" si="165"/>
        <v/>
      </c>
      <c r="X276" s="11" t="str">
        <f t="shared" ca="1" si="166"/>
        <v/>
      </c>
      <c r="Y276" s="11" t="str">
        <f t="shared" ca="1" si="167"/>
        <v/>
      </c>
      <c r="Z276" s="11" t="str">
        <f t="shared" ca="1" si="168"/>
        <v/>
      </c>
      <c r="AA276" s="11" t="str">
        <f t="shared" ca="1" si="169"/>
        <v/>
      </c>
      <c r="AB276" s="47">
        <f ca="1">PlayerGameData[[#This Row],[3FGA]]+PlayerGameData[[#This Row],[2FGA]]</f>
        <v>0</v>
      </c>
      <c r="AC276" s="47">
        <f ca="1">PlayerGameData[[#This Row],[OFF REB]]+PlayerGameData[[#This Row],[DEF REB]]</f>
        <v>0</v>
      </c>
      <c r="AD276" s="8">
        <f t="shared" si="150"/>
        <v>12</v>
      </c>
      <c r="AE276" s="8" t="str">
        <f t="shared" ca="1" si="151"/>
        <v>Carson Barritt, 14 - Kaycee 1/21/2023</v>
      </c>
      <c r="AF276" s="8" t="str">
        <f t="shared" ca="1" si="170"/>
        <v>R</v>
      </c>
      <c r="AG276" s="8" t="str">
        <f ca="1">IFERROR(IF(C276=0,"",IF(AND(VLOOKUP(PlayerGameData[[#This Row],[Opponent]],WYTeamInfo,2,FALSE)=Roster!$D$1,VLOOKUP(PlayerGameData[[#This Row],[Opponent]],WYTeamInfo,3,FALSE)=Roster!$D$2),"SR","")),"")</f>
        <v>SR</v>
      </c>
      <c r="AH276" s="8" t="str">
        <f>CONCATENATE(Roster!$D$1," ",Roster!$D$5)</f>
        <v>1A BB</v>
      </c>
      <c r="AI276" s="8" t="str">
        <f t="shared" ca="1" si="152"/>
        <v>Upton - Kaycee 1/21/2023</v>
      </c>
      <c r="AJ276" s="8">
        <f ca="1">IFERROR(VLOOKUP(PlayerGameData[[#This Row],[School, Opponent,Game'#]],Table3[],2,FALSE),0)</f>
        <v>1</v>
      </c>
      <c r="AK276" s="8">
        <f ca="1">IF(PlayerGameData[[#This Row],[Visible]]=1,1,1000)</f>
        <v>1</v>
      </c>
      <c r="AL276" s="8">
        <f ca="1">RANK(PlayerGameData[[#This Row],[TL PTS]],PlayerGameData[TL PTS],0)+PlayerGameData[[#This Row],[VisibleOrder]]</f>
        <v>185</v>
      </c>
      <c r="AM276" s="8">
        <f ca="1">IF(COUNTIF(PlayerGameData[PointOrder],PlayerGameData[[#This Row],[PointOrder]])&gt;1,RANK(PlayerGameData[[#This Row],[FGA]],PlayerGameData[FGA],0)/100,0)+PlayerGameData[[#This Row],[PointOrder]]</f>
        <v>187.14</v>
      </c>
      <c r="AN276" s="8">
        <f ca="1">RANK(PlayerGameData[[#This Row],[PointTieBreak]],PlayerGameData[PointTieBreak],1)</f>
        <v>216</v>
      </c>
      <c r="AO276" s="8">
        <f ca="1">RANK(PlayerGameData[[#This Row],[REB]],PlayerGameData[REB],0)+PlayerGameData[[#This Row],[VisibleOrder]]</f>
        <v>192</v>
      </c>
      <c r="AP276" s="8">
        <f ca="1">IF(COUNTIF(PlayerGameData[REBOrder],PlayerGameData[[#This Row],[REBOrder]])&gt;1,PlayerGameData[[#This Row],[PointRank]]/100+PlayerGameData[[#This Row],[REBOrder]],PlayerGameData[[#This Row],[REBOrder]])</f>
        <v>194.16</v>
      </c>
      <c r="AQ276" s="8">
        <f ca="1">RANK(PlayerGameData[[#This Row],[REBTieBreak]],PlayerGameData[REBTieBreak],1)</f>
        <v>224</v>
      </c>
      <c r="AR276" s="8">
        <f ca="1">RANK(PlayerGameData[[#This Row],[AST]],PlayerGameData[AST],0)+PlayerGameData[[#This Row],[VisibleOrder]]</f>
        <v>158</v>
      </c>
      <c r="AS276" s="8">
        <f ca="1">IF(COUNTIF(PlayerGameData[ASTOrder],PlayerGameData[[#This Row],[ASTOrder]])&gt;1,PlayerGameData[[#This Row],[PointRank]]/100+PlayerGameData[[#This Row],[ASTOrder]],PlayerGameData[[#This Row],[ASTOrder]])</f>
        <v>160.16</v>
      </c>
      <c r="AT276" s="8">
        <f ca="1">RANK(PlayerGameData[[#This Row],[ASTTieBreak]],PlayerGameData[ASTTieBreak],1)</f>
        <v>221</v>
      </c>
      <c r="AU276" s="8">
        <f ca="1">RANK(PlayerGameData[[#This Row],[STL]],PlayerGameData[STL],0)+PlayerGameData[[#This Row],[VisibleOrder]]</f>
        <v>143</v>
      </c>
      <c r="AV276" s="8">
        <f ca="1">IF(COUNTIF(PlayerGameData[STLOrder],PlayerGameData[[#This Row],[STLOrder]])&gt;1,PlayerGameData[[#This Row],[PointRank]]/100+PlayerGameData[[#This Row],[STLOrder]],PlayerGameData[[#This Row],[STLOrder]])</f>
        <v>145.16</v>
      </c>
      <c r="AW276" s="8">
        <f ca="1">RANK(PlayerGameData[[#This Row],[STLTieBreak]],PlayerGameData[STLTieBreak],1)</f>
        <v>217</v>
      </c>
      <c r="AX276" s="8">
        <f ca="1">RANK(PlayerGameData[[#This Row],[BLK]],PlayerGameData[BLK],0)+PlayerGameData[[#This Row],[VisibleOrder]]</f>
        <v>32</v>
      </c>
      <c r="AY276" s="8">
        <f ca="1">IF(COUNTIF(PlayerGameData[BLKOrder],PlayerGameData[[#This Row],[BLKOrder]])&gt;1,PlayerGameData[[#This Row],[PointRank]]/100+PlayerGameData[[#This Row],[BLKOrder]],PlayerGameData[[#This Row],[BLKOrder]])</f>
        <v>34.159999999999997</v>
      </c>
      <c r="AZ276" s="8">
        <f ca="1">RANK(PlayerGameData[[#This Row],[BLKTieBreak]],PlayerGameData[BLKTieBreak],1)</f>
        <v>216</v>
      </c>
      <c r="BA276" s="11">
        <f ca="1">IFERROR(IF(PlayerGameData[[#This Row],[FGA]]&gt;$AA$5,PlayerGameData[[#This Row],[FG%*]],PlayerGameData[[#This Row],[FG%*]]*-1),-2)</f>
        <v>-2</v>
      </c>
      <c r="BB276" s="8">
        <f ca="1">RANK(PlayerGameData[[#This Row],[EligFG]],PlayerGameData[EligFG],0)+PlayerGameData[[#This Row],[VisibleOrder]]</f>
        <v>215</v>
      </c>
      <c r="BC276" s="8">
        <f ca="1">IF(COUNTIF(PlayerGameData[EligFGOrder],PlayerGameData[[#This Row],[EligFGOrder]])&gt;1,PlayerGameData[[#This Row],[PointRank]]/100+PlayerGameData[[#This Row],[EligFGOrder]],PlayerGameData[[#This Row],[EligFGOrder]])</f>
        <v>217.16</v>
      </c>
      <c r="BD276" s="8">
        <f ca="1">RANK(PlayerGameData[[#This Row],[EligFGTieBreak]],PlayerGameData[EligFGTieBreak],1)</f>
        <v>216</v>
      </c>
      <c r="BE276" s="8" t="str">
        <f>Roster!$D$3</f>
        <v>East</v>
      </c>
      <c r="BF276" s="8" t="str">
        <f>Roster!$D$2</f>
        <v>Northeast</v>
      </c>
      <c r="BG276" s="8" t="str">
        <f>Roster!$D$4</f>
        <v>North</v>
      </c>
      <c r="BH276" s="197">
        <f ca="1">IFERROR(VLOOKUP(CONCATENATE(PlayerGameData[[#This Row],[Opponent]]," ",MONTH(PlayerGameData[[#This Row],[Date]]),"/",DAY(PlayerGameData[[#This Row],[Date]]),"/",YEAR(PlayerGameData[[#This Row],[Date]])),Table35[],2,FALSE),0)</f>
        <v>1</v>
      </c>
      <c r="BI276" s="197">
        <f ca="1">IF(PlayerGameData[[#This Row],[Visible]]=1,1,1000)</f>
        <v>1</v>
      </c>
      <c r="BJ276" s="197" t="e">
        <f ca="1">_xlfn.MAXIFS(TeamGameData[Win],TeamGameData[School, Opponent,Game'#],PlayerGameData[[#This Row],[School, Opponent,Game'#]])</f>
        <v>#NAME?</v>
      </c>
      <c r="BK276" s="197" t="e">
        <f ca="1">_xlfn.MAXIFS(TeamGameData[Loss],TeamGameData[School, Opponent,Game'#],PlayerGameData[[#This Row],[School, Opponent,Game'#]])</f>
        <v>#NAME?</v>
      </c>
    </row>
    <row r="277" spans="1:63" x14ac:dyDescent="0.25">
      <c r="A277" s="8" t="str">
        <f t="shared" ca="1" si="153"/>
        <v>Ben Carpenter, 21</v>
      </c>
      <c r="B277" s="8" t="str">
        <f>Roster!$B$1</f>
        <v>Upton</v>
      </c>
      <c r="C277" s="8" t="str">
        <f t="shared" ca="1" si="141"/>
        <v>Kaycee</v>
      </c>
      <c r="D277" s="10">
        <f t="shared" ca="1" si="142"/>
        <v>44947</v>
      </c>
      <c r="E277" s="8">
        <f t="shared" ca="1" si="143"/>
        <v>0</v>
      </c>
      <c r="F277" s="8">
        <f t="shared" ca="1" si="144"/>
        <v>0</v>
      </c>
      <c r="G277" s="8">
        <f t="shared" ca="1" si="145"/>
        <v>0</v>
      </c>
      <c r="H277" s="8">
        <f t="shared" ca="1" si="146"/>
        <v>0</v>
      </c>
      <c r="I277" s="8">
        <f t="shared" ca="1" si="147"/>
        <v>0</v>
      </c>
      <c r="J277" s="8">
        <f t="shared" ca="1" si="148"/>
        <v>0</v>
      </c>
      <c r="K277" s="8">
        <f t="shared" ca="1" si="149"/>
        <v>0</v>
      </c>
      <c r="L277" s="8">
        <f t="shared" ca="1" si="154"/>
        <v>0</v>
      </c>
      <c r="M277" s="8">
        <f t="shared" ca="1" si="155"/>
        <v>0</v>
      </c>
      <c r="N277" s="8">
        <f t="shared" ca="1" si="156"/>
        <v>0</v>
      </c>
      <c r="O277" s="8">
        <f t="shared" ca="1" si="157"/>
        <v>0</v>
      </c>
      <c r="P277" s="8">
        <f t="shared" ca="1" si="158"/>
        <v>0</v>
      </c>
      <c r="Q277" s="8">
        <f t="shared" ca="1" si="159"/>
        <v>0</v>
      </c>
      <c r="R277" s="8">
        <f t="shared" ca="1" si="160"/>
        <v>0</v>
      </c>
      <c r="S277" s="8">
        <f t="shared" ca="1" si="161"/>
        <v>0</v>
      </c>
      <c r="T277" s="8">
        <f t="shared" ca="1" si="162"/>
        <v>0</v>
      </c>
      <c r="U277" s="8">
        <f t="shared" ca="1" si="163"/>
        <v>0</v>
      </c>
      <c r="V277" s="8">
        <f t="shared" ca="1" si="164"/>
        <v>0</v>
      </c>
      <c r="W277" s="11" t="str">
        <f t="shared" ca="1" si="165"/>
        <v/>
      </c>
      <c r="X277" s="11" t="str">
        <f t="shared" ca="1" si="166"/>
        <v/>
      </c>
      <c r="Y277" s="11" t="str">
        <f t="shared" ca="1" si="167"/>
        <v/>
      </c>
      <c r="Z277" s="11" t="str">
        <f t="shared" ca="1" si="168"/>
        <v/>
      </c>
      <c r="AA277" s="11" t="str">
        <f t="shared" ca="1" si="169"/>
        <v/>
      </c>
      <c r="AB277" s="47">
        <f ca="1">PlayerGameData[[#This Row],[3FGA]]+PlayerGameData[[#This Row],[2FGA]]</f>
        <v>0</v>
      </c>
      <c r="AC277" s="47">
        <f ca="1">PlayerGameData[[#This Row],[OFF REB]]+PlayerGameData[[#This Row],[DEF REB]]</f>
        <v>0</v>
      </c>
      <c r="AD277" s="8">
        <f t="shared" si="150"/>
        <v>12</v>
      </c>
      <c r="AE277" s="8" t="str">
        <f t="shared" ca="1" si="151"/>
        <v>Ben Carpenter, 21 - Kaycee 1/21/2023</v>
      </c>
      <c r="AF277" s="8" t="str">
        <f t="shared" ca="1" si="170"/>
        <v>R</v>
      </c>
      <c r="AG277" s="8" t="str">
        <f ca="1">IFERROR(IF(C277=0,"",IF(AND(VLOOKUP(PlayerGameData[[#This Row],[Opponent]],WYTeamInfo,2,FALSE)=Roster!$D$1,VLOOKUP(PlayerGameData[[#This Row],[Opponent]],WYTeamInfo,3,FALSE)=Roster!$D$2),"SR","")),"")</f>
        <v>SR</v>
      </c>
      <c r="AH277" s="8" t="str">
        <f>CONCATENATE(Roster!$D$1," ",Roster!$D$5)</f>
        <v>1A BB</v>
      </c>
      <c r="AI277" s="8" t="str">
        <f t="shared" ca="1" si="152"/>
        <v>Upton - Kaycee 1/21/2023</v>
      </c>
      <c r="AJ277" s="8">
        <f ca="1">IFERROR(VLOOKUP(PlayerGameData[[#This Row],[School, Opponent,Game'#]],Table3[],2,FALSE),0)</f>
        <v>1</v>
      </c>
      <c r="AK277" s="8">
        <f ca="1">IF(PlayerGameData[[#This Row],[Visible]]=1,1,1000)</f>
        <v>1</v>
      </c>
      <c r="AL277" s="8">
        <f ca="1">RANK(PlayerGameData[[#This Row],[TL PTS]],PlayerGameData[TL PTS],0)+PlayerGameData[[#This Row],[VisibleOrder]]</f>
        <v>185</v>
      </c>
      <c r="AM277" s="8">
        <f ca="1">IF(COUNTIF(PlayerGameData[PointOrder],PlayerGameData[[#This Row],[PointOrder]])&gt;1,RANK(PlayerGameData[[#This Row],[FGA]],PlayerGameData[FGA],0)/100,0)+PlayerGameData[[#This Row],[PointOrder]]</f>
        <v>187.14</v>
      </c>
      <c r="AN277" s="8">
        <f ca="1">RANK(PlayerGameData[[#This Row],[PointTieBreak]],PlayerGameData[PointTieBreak],1)</f>
        <v>216</v>
      </c>
      <c r="AO277" s="8">
        <f ca="1">RANK(PlayerGameData[[#This Row],[REB]],PlayerGameData[REB],0)+PlayerGameData[[#This Row],[VisibleOrder]]</f>
        <v>192</v>
      </c>
      <c r="AP277" s="8">
        <f ca="1">IF(COUNTIF(PlayerGameData[REBOrder],PlayerGameData[[#This Row],[REBOrder]])&gt;1,PlayerGameData[[#This Row],[PointRank]]/100+PlayerGameData[[#This Row],[REBOrder]],PlayerGameData[[#This Row],[REBOrder]])</f>
        <v>194.16</v>
      </c>
      <c r="AQ277" s="8">
        <f ca="1">RANK(PlayerGameData[[#This Row],[REBTieBreak]],PlayerGameData[REBTieBreak],1)</f>
        <v>224</v>
      </c>
      <c r="AR277" s="8">
        <f ca="1">RANK(PlayerGameData[[#This Row],[AST]],PlayerGameData[AST],0)+PlayerGameData[[#This Row],[VisibleOrder]]</f>
        <v>158</v>
      </c>
      <c r="AS277" s="8">
        <f ca="1">IF(COUNTIF(PlayerGameData[ASTOrder],PlayerGameData[[#This Row],[ASTOrder]])&gt;1,PlayerGameData[[#This Row],[PointRank]]/100+PlayerGameData[[#This Row],[ASTOrder]],PlayerGameData[[#This Row],[ASTOrder]])</f>
        <v>160.16</v>
      </c>
      <c r="AT277" s="8">
        <f ca="1">RANK(PlayerGameData[[#This Row],[ASTTieBreak]],PlayerGameData[ASTTieBreak],1)</f>
        <v>221</v>
      </c>
      <c r="AU277" s="8">
        <f ca="1">RANK(PlayerGameData[[#This Row],[STL]],PlayerGameData[STL],0)+PlayerGameData[[#This Row],[VisibleOrder]]</f>
        <v>143</v>
      </c>
      <c r="AV277" s="8">
        <f ca="1">IF(COUNTIF(PlayerGameData[STLOrder],PlayerGameData[[#This Row],[STLOrder]])&gt;1,PlayerGameData[[#This Row],[PointRank]]/100+PlayerGameData[[#This Row],[STLOrder]],PlayerGameData[[#This Row],[STLOrder]])</f>
        <v>145.16</v>
      </c>
      <c r="AW277" s="8">
        <f ca="1">RANK(PlayerGameData[[#This Row],[STLTieBreak]],PlayerGameData[STLTieBreak],1)</f>
        <v>217</v>
      </c>
      <c r="AX277" s="8">
        <f ca="1">RANK(PlayerGameData[[#This Row],[BLK]],PlayerGameData[BLK],0)+PlayerGameData[[#This Row],[VisibleOrder]]</f>
        <v>32</v>
      </c>
      <c r="AY277" s="8">
        <f ca="1">IF(COUNTIF(PlayerGameData[BLKOrder],PlayerGameData[[#This Row],[BLKOrder]])&gt;1,PlayerGameData[[#This Row],[PointRank]]/100+PlayerGameData[[#This Row],[BLKOrder]],PlayerGameData[[#This Row],[BLKOrder]])</f>
        <v>34.159999999999997</v>
      </c>
      <c r="AZ277" s="8">
        <f ca="1">RANK(PlayerGameData[[#This Row],[BLKTieBreak]],PlayerGameData[BLKTieBreak],1)</f>
        <v>216</v>
      </c>
      <c r="BA277" s="11">
        <f ca="1">IFERROR(IF(PlayerGameData[[#This Row],[FGA]]&gt;$AA$5,PlayerGameData[[#This Row],[FG%*]],PlayerGameData[[#This Row],[FG%*]]*-1),-2)</f>
        <v>-2</v>
      </c>
      <c r="BB277" s="8">
        <f ca="1">RANK(PlayerGameData[[#This Row],[EligFG]],PlayerGameData[EligFG],0)+PlayerGameData[[#This Row],[VisibleOrder]]</f>
        <v>215</v>
      </c>
      <c r="BC277" s="8">
        <f ca="1">IF(COUNTIF(PlayerGameData[EligFGOrder],PlayerGameData[[#This Row],[EligFGOrder]])&gt;1,PlayerGameData[[#This Row],[PointRank]]/100+PlayerGameData[[#This Row],[EligFGOrder]],PlayerGameData[[#This Row],[EligFGOrder]])</f>
        <v>217.16</v>
      </c>
      <c r="BD277" s="8">
        <f ca="1">RANK(PlayerGameData[[#This Row],[EligFGTieBreak]],PlayerGameData[EligFGTieBreak],1)</f>
        <v>216</v>
      </c>
      <c r="BE277" s="8" t="str">
        <f>Roster!$D$3</f>
        <v>East</v>
      </c>
      <c r="BF277" s="8" t="str">
        <f>Roster!$D$2</f>
        <v>Northeast</v>
      </c>
      <c r="BG277" s="8" t="str">
        <f>Roster!$D$4</f>
        <v>North</v>
      </c>
      <c r="BH277" s="197">
        <f ca="1">IFERROR(VLOOKUP(CONCATENATE(PlayerGameData[[#This Row],[Opponent]]," ",MONTH(PlayerGameData[[#This Row],[Date]]),"/",DAY(PlayerGameData[[#This Row],[Date]]),"/",YEAR(PlayerGameData[[#This Row],[Date]])),Table35[],2,FALSE),0)</f>
        <v>1</v>
      </c>
      <c r="BI277" s="197">
        <f ca="1">IF(PlayerGameData[[#This Row],[Visible]]=1,1,1000)</f>
        <v>1</v>
      </c>
      <c r="BJ277" s="197" t="e">
        <f ca="1">_xlfn.MAXIFS(TeamGameData[Win],TeamGameData[School, Opponent,Game'#],PlayerGameData[[#This Row],[School, Opponent,Game'#]])</f>
        <v>#NAME?</v>
      </c>
      <c r="BK277" s="197" t="e">
        <f ca="1">_xlfn.MAXIFS(TeamGameData[Loss],TeamGameData[School, Opponent,Game'#],PlayerGameData[[#This Row],[School, Opponent,Game'#]])</f>
        <v>#NAME?</v>
      </c>
    </row>
    <row r="278" spans="1:63" x14ac:dyDescent="0.25">
      <c r="A278" s="8" t="str">
        <f t="shared" ca="1" si="153"/>
        <v>Ethan Schiller, 23</v>
      </c>
      <c r="B278" s="8" t="str">
        <f>Roster!$B$1</f>
        <v>Upton</v>
      </c>
      <c r="C278" s="8" t="str">
        <f t="shared" ca="1" si="141"/>
        <v>Kaycee</v>
      </c>
      <c r="D278" s="10">
        <f t="shared" ca="1" si="142"/>
        <v>44947</v>
      </c>
      <c r="E278" s="8">
        <f t="shared" ca="1" si="143"/>
        <v>1</v>
      </c>
      <c r="F278" s="8">
        <f t="shared" ca="1" si="144"/>
        <v>1</v>
      </c>
      <c r="G278" s="8">
        <f t="shared" ca="1" si="145"/>
        <v>28</v>
      </c>
      <c r="H278" s="8">
        <f t="shared" ca="1" si="146"/>
        <v>0</v>
      </c>
      <c r="I278" s="8">
        <f t="shared" ca="1" si="147"/>
        <v>1</v>
      </c>
      <c r="J278" s="8">
        <f t="shared" ca="1" si="148"/>
        <v>4</v>
      </c>
      <c r="K278" s="8">
        <f t="shared" ca="1" si="149"/>
        <v>8</v>
      </c>
      <c r="L278" s="8">
        <f t="shared" ca="1" si="154"/>
        <v>2</v>
      </c>
      <c r="M278" s="8">
        <f t="shared" ca="1" si="155"/>
        <v>4</v>
      </c>
      <c r="N278" s="8">
        <f t="shared" ca="1" si="156"/>
        <v>3</v>
      </c>
      <c r="O278" s="8">
        <f t="shared" ca="1" si="157"/>
        <v>3</v>
      </c>
      <c r="P278" s="8">
        <f t="shared" ca="1" si="158"/>
        <v>3</v>
      </c>
      <c r="Q278" s="8">
        <f t="shared" ca="1" si="159"/>
        <v>2</v>
      </c>
      <c r="R278" s="8">
        <f t="shared" ca="1" si="160"/>
        <v>0</v>
      </c>
      <c r="S278" s="8">
        <f t="shared" ca="1" si="161"/>
        <v>4</v>
      </c>
      <c r="T278" s="8">
        <f t="shared" ca="1" si="162"/>
        <v>2</v>
      </c>
      <c r="U278" s="8">
        <f t="shared" ca="1" si="163"/>
        <v>0</v>
      </c>
      <c r="V278" s="8">
        <f t="shared" ca="1" si="164"/>
        <v>10</v>
      </c>
      <c r="W278" s="11">
        <f t="shared" ca="1" si="165"/>
        <v>0</v>
      </c>
      <c r="X278" s="11">
        <f t="shared" ca="1" si="166"/>
        <v>0.5</v>
      </c>
      <c r="Y278" s="11">
        <f t="shared" ca="1" si="167"/>
        <v>0.5</v>
      </c>
      <c r="Z278" s="11">
        <f t="shared" ca="1" si="168"/>
        <v>0.44444444444444442</v>
      </c>
      <c r="AA278" s="11">
        <f t="shared" ca="1" si="169"/>
        <v>0.44444444444444442</v>
      </c>
      <c r="AB278" s="47">
        <f ca="1">PlayerGameData[[#This Row],[3FGA]]+PlayerGameData[[#This Row],[2FGA]]</f>
        <v>9</v>
      </c>
      <c r="AC278" s="47">
        <f ca="1">PlayerGameData[[#This Row],[OFF REB]]+PlayerGameData[[#This Row],[DEF REB]]</f>
        <v>6</v>
      </c>
      <c r="AD278" s="8">
        <f t="shared" si="150"/>
        <v>12</v>
      </c>
      <c r="AE278" s="8" t="str">
        <f t="shared" ca="1" si="151"/>
        <v>Ethan Schiller, 23 - Kaycee 1/21/2023</v>
      </c>
      <c r="AF278" s="8" t="str">
        <f t="shared" ca="1" si="170"/>
        <v>R</v>
      </c>
      <c r="AG278" s="8" t="str">
        <f ca="1">IFERROR(IF(C278=0,"",IF(AND(VLOOKUP(PlayerGameData[[#This Row],[Opponent]],WYTeamInfo,2,FALSE)=Roster!$D$1,VLOOKUP(PlayerGameData[[#This Row],[Opponent]],WYTeamInfo,3,FALSE)=Roster!$D$2),"SR","")),"")</f>
        <v>SR</v>
      </c>
      <c r="AH278" s="8" t="str">
        <f>CONCATENATE(Roster!$D$1," ",Roster!$D$5)</f>
        <v>1A BB</v>
      </c>
      <c r="AI278" s="8" t="str">
        <f t="shared" ca="1" si="152"/>
        <v>Upton - Kaycee 1/21/2023</v>
      </c>
      <c r="AJ278" s="8">
        <f ca="1">IFERROR(VLOOKUP(PlayerGameData[[#This Row],[School, Opponent,Game'#]],Table3[],2,FALSE),0)</f>
        <v>1</v>
      </c>
      <c r="AK278" s="8">
        <f ca="1">IF(PlayerGameData[[#This Row],[Visible]]=1,1,1000)</f>
        <v>1</v>
      </c>
      <c r="AL278" s="8">
        <f ca="1">RANK(PlayerGameData[[#This Row],[TL PTS]],PlayerGameData[TL PTS],0)+PlayerGameData[[#This Row],[VisibleOrder]]</f>
        <v>66</v>
      </c>
      <c r="AM278" s="8">
        <f ca="1">IF(COUNTIF(PlayerGameData[PointOrder],PlayerGameData[[#This Row],[PointOrder]])&gt;1,RANK(PlayerGameData[[#This Row],[FGA]],PlayerGameData[FGA],0)/100,0)+PlayerGameData[[#This Row],[PointOrder]]</f>
        <v>66.59</v>
      </c>
      <c r="AN278" s="8">
        <f ca="1">RANK(PlayerGameData[[#This Row],[PointTieBreak]],PlayerGameData[PointTieBreak],1)</f>
        <v>70</v>
      </c>
      <c r="AO278" s="8">
        <f ca="1">RANK(PlayerGameData[[#This Row],[REB]],PlayerGameData[REB],0)+PlayerGameData[[#This Row],[VisibleOrder]]</f>
        <v>38</v>
      </c>
      <c r="AP278" s="8">
        <f ca="1">IF(COUNTIF(PlayerGameData[REBOrder],PlayerGameData[[#This Row],[REBOrder]])&gt;1,PlayerGameData[[#This Row],[PointRank]]/100+PlayerGameData[[#This Row],[REBOrder]],PlayerGameData[[#This Row],[REBOrder]])</f>
        <v>38.700000000000003</v>
      </c>
      <c r="AQ278" s="8">
        <f ca="1">RANK(PlayerGameData[[#This Row],[REBTieBreak]],PlayerGameData[REBTieBreak],1)</f>
        <v>43</v>
      </c>
      <c r="AR278" s="8">
        <f ca="1">RANK(PlayerGameData[[#This Row],[AST]],PlayerGameData[AST],0)+PlayerGameData[[#This Row],[VisibleOrder]]</f>
        <v>39</v>
      </c>
      <c r="AS278" s="8">
        <f ca="1">IF(COUNTIF(PlayerGameData[ASTOrder],PlayerGameData[[#This Row],[ASTOrder]])&gt;1,PlayerGameData[[#This Row],[PointRank]]/100+PlayerGameData[[#This Row],[ASTOrder]],PlayerGameData[[#This Row],[ASTOrder]])</f>
        <v>39.700000000000003</v>
      </c>
      <c r="AT278" s="8">
        <f ca="1">RANK(PlayerGameData[[#This Row],[ASTTieBreak]],PlayerGameData[ASTTieBreak],1)</f>
        <v>50</v>
      </c>
      <c r="AU278" s="8">
        <f ca="1">RANK(PlayerGameData[[#This Row],[STL]],PlayerGameData[STL],0)+PlayerGameData[[#This Row],[VisibleOrder]]</f>
        <v>48</v>
      </c>
      <c r="AV278" s="8">
        <f ca="1">IF(COUNTIF(PlayerGameData[STLOrder],PlayerGameData[[#This Row],[STLOrder]])&gt;1,PlayerGameData[[#This Row],[PointRank]]/100+PlayerGameData[[#This Row],[STLOrder]],PlayerGameData[[#This Row],[STLOrder]])</f>
        <v>48.7</v>
      </c>
      <c r="AW278" s="8">
        <f ca="1">RANK(PlayerGameData[[#This Row],[STLTieBreak]],PlayerGameData[STLTieBreak],1)</f>
        <v>60</v>
      </c>
      <c r="AX278" s="8">
        <f ca="1">RANK(PlayerGameData[[#This Row],[BLK]],PlayerGameData[BLK],0)+PlayerGameData[[#This Row],[VisibleOrder]]</f>
        <v>32</v>
      </c>
      <c r="AY278" s="8">
        <f ca="1">IF(COUNTIF(PlayerGameData[BLKOrder],PlayerGameData[[#This Row],[BLKOrder]])&gt;1,PlayerGameData[[#This Row],[PointRank]]/100+PlayerGameData[[#This Row],[BLKOrder]],PlayerGameData[[#This Row],[BLKOrder]])</f>
        <v>32.700000000000003</v>
      </c>
      <c r="AZ278" s="8">
        <f ca="1">RANK(PlayerGameData[[#This Row],[BLKTieBreak]],PlayerGameData[BLKTieBreak],1)</f>
        <v>87</v>
      </c>
      <c r="BA278" s="11">
        <f ca="1">IFERROR(IF(PlayerGameData[[#This Row],[FGA]]&gt;$AA$5,PlayerGameData[[#This Row],[FG%*]],PlayerGameData[[#This Row],[FG%*]]*-1),-2)</f>
        <v>0.44444444444444442</v>
      </c>
      <c r="BB278" s="8">
        <f ca="1">RANK(PlayerGameData[[#This Row],[EligFG]],PlayerGameData[EligFG],0)+PlayerGameData[[#This Row],[VisibleOrder]]</f>
        <v>56</v>
      </c>
      <c r="BC278" s="8">
        <f ca="1">IF(COUNTIF(PlayerGameData[EligFGOrder],PlayerGameData[[#This Row],[EligFGOrder]])&gt;1,PlayerGameData[[#This Row],[PointRank]]/100+PlayerGameData[[#This Row],[EligFGOrder]],PlayerGameData[[#This Row],[EligFGOrder]])</f>
        <v>56.7</v>
      </c>
      <c r="BD278" s="8">
        <f ca="1">RANK(PlayerGameData[[#This Row],[EligFGTieBreak]],PlayerGameData[EligFGTieBreak],1)</f>
        <v>58</v>
      </c>
      <c r="BE278" s="8" t="str">
        <f>Roster!$D$3</f>
        <v>East</v>
      </c>
      <c r="BF278" s="8" t="str">
        <f>Roster!$D$2</f>
        <v>Northeast</v>
      </c>
      <c r="BG278" s="8" t="str">
        <f>Roster!$D$4</f>
        <v>North</v>
      </c>
      <c r="BH278" s="197">
        <f ca="1">IFERROR(VLOOKUP(CONCATENATE(PlayerGameData[[#This Row],[Opponent]]," ",MONTH(PlayerGameData[[#This Row],[Date]]),"/",DAY(PlayerGameData[[#This Row],[Date]]),"/",YEAR(PlayerGameData[[#This Row],[Date]])),Table35[],2,FALSE),0)</f>
        <v>1</v>
      </c>
      <c r="BI278" s="197">
        <f ca="1">IF(PlayerGameData[[#This Row],[Visible]]=1,1,1000)</f>
        <v>1</v>
      </c>
      <c r="BJ278" s="197" t="e">
        <f ca="1">_xlfn.MAXIFS(TeamGameData[Win],TeamGameData[School, Opponent,Game'#],PlayerGameData[[#This Row],[School, Opponent,Game'#]])</f>
        <v>#NAME?</v>
      </c>
      <c r="BK278" s="197" t="e">
        <f ca="1">_xlfn.MAXIFS(TeamGameData[Loss],TeamGameData[School, Opponent,Game'#],PlayerGameData[[#This Row],[School, Opponent,Game'#]])</f>
        <v>#NAME?</v>
      </c>
    </row>
    <row r="279" spans="1:63" x14ac:dyDescent="0.25">
      <c r="A279" s="8" t="str">
        <f t="shared" ca="1" si="153"/>
        <v>Bridger Bruce, 25</v>
      </c>
      <c r="B279" s="8" t="str">
        <f>Roster!$B$1</f>
        <v>Upton</v>
      </c>
      <c r="C279" s="8" t="str">
        <f t="shared" ca="1" si="141"/>
        <v>Kaycee</v>
      </c>
      <c r="D279" s="10">
        <f t="shared" ca="1" si="142"/>
        <v>44947</v>
      </c>
      <c r="E279" s="8">
        <f t="shared" ca="1" si="143"/>
        <v>1</v>
      </c>
      <c r="F279" s="8">
        <f t="shared" ca="1" si="144"/>
        <v>1</v>
      </c>
      <c r="G279" s="8">
        <f t="shared" ca="1" si="145"/>
        <v>22</v>
      </c>
      <c r="H279" s="8">
        <f t="shared" ca="1" si="146"/>
        <v>0</v>
      </c>
      <c r="I279" s="8">
        <f t="shared" ca="1" si="147"/>
        <v>2</v>
      </c>
      <c r="J279" s="8">
        <f t="shared" ca="1" si="148"/>
        <v>0</v>
      </c>
      <c r="K279" s="8">
        <f t="shared" ca="1" si="149"/>
        <v>1</v>
      </c>
      <c r="L279" s="8">
        <f t="shared" ca="1" si="154"/>
        <v>0</v>
      </c>
      <c r="M279" s="8">
        <f t="shared" ca="1" si="155"/>
        <v>0</v>
      </c>
      <c r="N279" s="8">
        <f t="shared" ca="1" si="156"/>
        <v>1</v>
      </c>
      <c r="O279" s="8">
        <f t="shared" ca="1" si="157"/>
        <v>5</v>
      </c>
      <c r="P279" s="8">
        <f t="shared" ca="1" si="158"/>
        <v>4</v>
      </c>
      <c r="Q279" s="8">
        <f t="shared" ca="1" si="159"/>
        <v>1</v>
      </c>
      <c r="R279" s="8">
        <f t="shared" ca="1" si="160"/>
        <v>0</v>
      </c>
      <c r="S279" s="8">
        <f t="shared" ca="1" si="161"/>
        <v>2</v>
      </c>
      <c r="T279" s="8">
        <f t="shared" ca="1" si="162"/>
        <v>1</v>
      </c>
      <c r="U279" s="8">
        <f t="shared" ca="1" si="163"/>
        <v>1</v>
      </c>
      <c r="V279" s="8">
        <f t="shared" ca="1" si="164"/>
        <v>0</v>
      </c>
      <c r="W279" s="11">
        <f t="shared" ca="1" si="165"/>
        <v>0</v>
      </c>
      <c r="X279" s="11">
        <f t="shared" ca="1" si="166"/>
        <v>0</v>
      </c>
      <c r="Y279" s="11" t="str">
        <f t="shared" ca="1" si="167"/>
        <v/>
      </c>
      <c r="Z279" s="11">
        <f t="shared" ca="1" si="168"/>
        <v>0</v>
      </c>
      <c r="AA279" s="11">
        <f t="shared" ca="1" si="169"/>
        <v>0</v>
      </c>
      <c r="AB279" s="47">
        <f ca="1">PlayerGameData[[#This Row],[3FGA]]+PlayerGameData[[#This Row],[2FGA]]</f>
        <v>3</v>
      </c>
      <c r="AC279" s="47">
        <f ca="1">PlayerGameData[[#This Row],[OFF REB]]+PlayerGameData[[#This Row],[DEF REB]]</f>
        <v>6</v>
      </c>
      <c r="AD279" s="8">
        <f t="shared" si="150"/>
        <v>12</v>
      </c>
      <c r="AE279" s="8" t="str">
        <f t="shared" ca="1" si="151"/>
        <v>Bridger Bruce, 25 - Kaycee 1/21/2023</v>
      </c>
      <c r="AF279" s="8" t="str">
        <f t="shared" ca="1" si="170"/>
        <v>R</v>
      </c>
      <c r="AG279" s="8" t="str">
        <f ca="1">IFERROR(IF(C279=0,"",IF(AND(VLOOKUP(PlayerGameData[[#This Row],[Opponent]],WYTeamInfo,2,FALSE)=Roster!$D$1,VLOOKUP(PlayerGameData[[#This Row],[Opponent]],WYTeamInfo,3,FALSE)=Roster!$D$2),"SR","")),"")</f>
        <v>SR</v>
      </c>
      <c r="AH279" s="8" t="str">
        <f>CONCATENATE(Roster!$D$1," ",Roster!$D$5)</f>
        <v>1A BB</v>
      </c>
      <c r="AI279" s="8" t="str">
        <f t="shared" ca="1" si="152"/>
        <v>Upton - Kaycee 1/21/2023</v>
      </c>
      <c r="AJ279" s="8">
        <f ca="1">IFERROR(VLOOKUP(PlayerGameData[[#This Row],[School, Opponent,Game'#]],Table3[],2,FALSE),0)</f>
        <v>1</v>
      </c>
      <c r="AK279" s="8">
        <f ca="1">IF(PlayerGameData[[#This Row],[Visible]]=1,1,1000)</f>
        <v>1</v>
      </c>
      <c r="AL279" s="8">
        <f ca="1">RANK(PlayerGameData[[#This Row],[TL PTS]],PlayerGameData[TL PTS],0)+PlayerGameData[[#This Row],[VisibleOrder]]</f>
        <v>185</v>
      </c>
      <c r="AM279" s="8">
        <f ca="1">IF(COUNTIF(PlayerGameData[PointOrder],PlayerGameData[[#This Row],[PointOrder]])&gt;1,RANK(PlayerGameData[[#This Row],[FGA]],PlayerGameData[FGA],0)/100,0)+PlayerGameData[[#This Row],[PointOrder]]</f>
        <v>186.4</v>
      </c>
      <c r="AN279" s="8">
        <f ca="1">RANK(PlayerGameData[[#This Row],[PointTieBreak]],PlayerGameData[PointTieBreak],1)</f>
        <v>187</v>
      </c>
      <c r="AO279" s="8">
        <f ca="1">RANK(PlayerGameData[[#This Row],[REB]],PlayerGameData[REB],0)+PlayerGameData[[#This Row],[VisibleOrder]]</f>
        <v>38</v>
      </c>
      <c r="AP279" s="8">
        <f ca="1">IF(COUNTIF(PlayerGameData[REBOrder],PlayerGameData[[#This Row],[REBOrder]])&gt;1,PlayerGameData[[#This Row],[PointRank]]/100+PlayerGameData[[#This Row],[REBOrder]],PlayerGameData[[#This Row],[REBOrder]])</f>
        <v>39.869999999999997</v>
      </c>
      <c r="AQ279" s="8">
        <f ca="1">RANK(PlayerGameData[[#This Row],[REBTieBreak]],PlayerGameData[REBTieBreak],1)</f>
        <v>49</v>
      </c>
      <c r="AR279" s="8">
        <f ca="1">RANK(PlayerGameData[[#This Row],[AST]],PlayerGameData[AST],0)+PlayerGameData[[#This Row],[VisibleOrder]]</f>
        <v>24</v>
      </c>
      <c r="AS279" s="8">
        <f ca="1">IF(COUNTIF(PlayerGameData[ASTOrder],PlayerGameData[[#This Row],[ASTOrder]])&gt;1,PlayerGameData[[#This Row],[PointRank]]/100+PlayerGameData[[#This Row],[ASTOrder]],PlayerGameData[[#This Row],[ASTOrder]])</f>
        <v>25.87</v>
      </c>
      <c r="AT279" s="8">
        <f ca="1">RANK(PlayerGameData[[#This Row],[ASTTieBreak]],PlayerGameData[ASTTieBreak],1)</f>
        <v>37</v>
      </c>
      <c r="AU279" s="8">
        <f ca="1">RANK(PlayerGameData[[#This Row],[STL]],PlayerGameData[STL],0)+PlayerGameData[[#This Row],[VisibleOrder]]</f>
        <v>84</v>
      </c>
      <c r="AV279" s="8">
        <f ca="1">IF(COUNTIF(PlayerGameData[STLOrder],PlayerGameData[[#This Row],[STLOrder]])&gt;1,PlayerGameData[[#This Row],[PointRank]]/100+PlayerGameData[[#This Row],[STLOrder]],PlayerGameData[[#This Row],[STLOrder]])</f>
        <v>85.87</v>
      </c>
      <c r="AW279" s="8">
        <f ca="1">RANK(PlayerGameData[[#This Row],[STLTieBreak]],PlayerGameData[STLTieBreak],1)</f>
        <v>135</v>
      </c>
      <c r="AX279" s="8">
        <f ca="1">RANK(PlayerGameData[[#This Row],[BLK]],PlayerGameData[BLK],0)+PlayerGameData[[#This Row],[VisibleOrder]]</f>
        <v>32</v>
      </c>
      <c r="AY279" s="8">
        <f ca="1">IF(COUNTIF(PlayerGameData[BLKOrder],PlayerGameData[[#This Row],[BLKOrder]])&gt;1,PlayerGameData[[#This Row],[PointRank]]/100+PlayerGameData[[#This Row],[BLKOrder]],PlayerGameData[[#This Row],[BLKOrder]])</f>
        <v>33.869999999999997</v>
      </c>
      <c r="AZ279" s="8">
        <f ca="1">RANK(PlayerGameData[[#This Row],[BLKTieBreak]],PlayerGameData[BLKTieBreak],1)</f>
        <v>188</v>
      </c>
      <c r="BA279" s="11">
        <f ca="1">IFERROR(IF(PlayerGameData[[#This Row],[FGA]]&gt;$AA$5,PlayerGameData[[#This Row],[FG%*]],PlayerGameData[[#This Row],[FG%*]]*-1),-2)</f>
        <v>0</v>
      </c>
      <c r="BB279" s="8">
        <f ca="1">RANK(PlayerGameData[[#This Row],[EligFG]],PlayerGameData[EligFG],0)+PlayerGameData[[#This Row],[VisibleOrder]]</f>
        <v>117</v>
      </c>
      <c r="BC279" s="8">
        <f ca="1">IF(COUNTIF(PlayerGameData[EligFGOrder],PlayerGameData[[#This Row],[EligFGOrder]])&gt;1,PlayerGameData[[#This Row],[PointRank]]/100+PlayerGameData[[#This Row],[EligFGOrder]],PlayerGameData[[#This Row],[EligFGOrder]])</f>
        <v>118.87</v>
      </c>
      <c r="BD279" s="8">
        <f ca="1">RANK(PlayerGameData[[#This Row],[EligFGTieBreak]],PlayerGameData[EligFGTieBreak],1)</f>
        <v>129</v>
      </c>
      <c r="BE279" s="8" t="str">
        <f>Roster!$D$3</f>
        <v>East</v>
      </c>
      <c r="BF279" s="8" t="str">
        <f>Roster!$D$2</f>
        <v>Northeast</v>
      </c>
      <c r="BG279" s="8" t="str">
        <f>Roster!$D$4</f>
        <v>North</v>
      </c>
      <c r="BH279" s="197">
        <f ca="1">IFERROR(VLOOKUP(CONCATENATE(PlayerGameData[[#This Row],[Opponent]]," ",MONTH(PlayerGameData[[#This Row],[Date]]),"/",DAY(PlayerGameData[[#This Row],[Date]]),"/",YEAR(PlayerGameData[[#This Row],[Date]])),Table35[],2,FALSE),0)</f>
        <v>1</v>
      </c>
      <c r="BI279" s="197">
        <f ca="1">IF(PlayerGameData[[#This Row],[Visible]]=1,1,1000)</f>
        <v>1</v>
      </c>
      <c r="BJ279" s="197" t="e">
        <f ca="1">_xlfn.MAXIFS(TeamGameData[Win],TeamGameData[School, Opponent,Game'#],PlayerGameData[[#This Row],[School, Opponent,Game'#]])</f>
        <v>#NAME?</v>
      </c>
      <c r="BK279" s="197" t="e">
        <f ca="1">_xlfn.MAXIFS(TeamGameData[Loss],TeamGameData[School, Opponent,Game'#],PlayerGameData[[#This Row],[School, Opponent,Game'#]])</f>
        <v>#NAME?</v>
      </c>
    </row>
    <row r="280" spans="1:63" x14ac:dyDescent="0.25">
      <c r="A280" s="8" t="str">
        <f t="shared" ca="1" si="153"/>
        <v>Kailer Duarte, 31</v>
      </c>
      <c r="B280" s="8" t="str">
        <f>Roster!$B$1</f>
        <v>Upton</v>
      </c>
      <c r="C280" s="8" t="str">
        <f t="shared" ca="1" si="141"/>
        <v>Kaycee</v>
      </c>
      <c r="D280" s="10">
        <f t="shared" ca="1" si="142"/>
        <v>44947</v>
      </c>
      <c r="E280" s="8">
        <f t="shared" ca="1" si="143"/>
        <v>1</v>
      </c>
      <c r="F280" s="8">
        <f t="shared" ca="1" si="144"/>
        <v>1</v>
      </c>
      <c r="G280" s="8">
        <f t="shared" ca="1" si="145"/>
        <v>22</v>
      </c>
      <c r="H280" s="8">
        <f t="shared" ca="1" si="146"/>
        <v>0</v>
      </c>
      <c r="I280" s="8">
        <f t="shared" ca="1" si="147"/>
        <v>3</v>
      </c>
      <c r="J280" s="8">
        <f t="shared" ca="1" si="148"/>
        <v>1</v>
      </c>
      <c r="K280" s="8">
        <f t="shared" ca="1" si="149"/>
        <v>5</v>
      </c>
      <c r="L280" s="8">
        <f t="shared" ca="1" si="154"/>
        <v>0</v>
      </c>
      <c r="M280" s="8">
        <f t="shared" ca="1" si="155"/>
        <v>2</v>
      </c>
      <c r="N280" s="8">
        <f t="shared" ca="1" si="156"/>
        <v>1</v>
      </c>
      <c r="O280" s="8">
        <f t="shared" ca="1" si="157"/>
        <v>3</v>
      </c>
      <c r="P280" s="8">
        <f t="shared" ca="1" si="158"/>
        <v>3</v>
      </c>
      <c r="Q280" s="8">
        <f t="shared" ca="1" si="159"/>
        <v>1</v>
      </c>
      <c r="R280" s="8">
        <f t="shared" ca="1" si="160"/>
        <v>0</v>
      </c>
      <c r="S280" s="8">
        <f t="shared" ca="1" si="161"/>
        <v>0</v>
      </c>
      <c r="T280" s="8">
        <f t="shared" ca="1" si="162"/>
        <v>1</v>
      </c>
      <c r="U280" s="8">
        <f t="shared" ca="1" si="163"/>
        <v>0</v>
      </c>
      <c r="V280" s="8">
        <f t="shared" ca="1" si="164"/>
        <v>2</v>
      </c>
      <c r="W280" s="11">
        <f t="shared" ca="1" si="165"/>
        <v>0</v>
      </c>
      <c r="X280" s="11">
        <f t="shared" ca="1" si="166"/>
        <v>0.2</v>
      </c>
      <c r="Y280" s="11">
        <f t="shared" ca="1" si="167"/>
        <v>0</v>
      </c>
      <c r="Z280" s="11">
        <f t="shared" ca="1" si="168"/>
        <v>0.125</v>
      </c>
      <c r="AA280" s="11">
        <f t="shared" ca="1" si="169"/>
        <v>0.125</v>
      </c>
      <c r="AB280" s="47">
        <f ca="1">PlayerGameData[[#This Row],[3FGA]]+PlayerGameData[[#This Row],[2FGA]]</f>
        <v>8</v>
      </c>
      <c r="AC280" s="47">
        <f ca="1">PlayerGameData[[#This Row],[OFF REB]]+PlayerGameData[[#This Row],[DEF REB]]</f>
        <v>4</v>
      </c>
      <c r="AD280" s="8">
        <f t="shared" si="150"/>
        <v>12</v>
      </c>
      <c r="AE280" s="8" t="str">
        <f t="shared" ca="1" si="151"/>
        <v>Kailer Duarte, 31 - Kaycee 1/21/2023</v>
      </c>
      <c r="AF280" s="8" t="str">
        <f t="shared" ca="1" si="170"/>
        <v>R</v>
      </c>
      <c r="AG280" s="8" t="str">
        <f ca="1">IFERROR(IF(C280=0,"",IF(AND(VLOOKUP(PlayerGameData[[#This Row],[Opponent]],WYTeamInfo,2,FALSE)=Roster!$D$1,VLOOKUP(PlayerGameData[[#This Row],[Opponent]],WYTeamInfo,3,FALSE)=Roster!$D$2),"SR","")),"")</f>
        <v>SR</v>
      </c>
      <c r="AH280" s="8" t="str">
        <f>CONCATENATE(Roster!$D$1," ",Roster!$D$5)</f>
        <v>1A BB</v>
      </c>
      <c r="AI280" s="8" t="str">
        <f t="shared" ca="1" si="152"/>
        <v>Upton - Kaycee 1/21/2023</v>
      </c>
      <c r="AJ280" s="8">
        <f ca="1">IFERROR(VLOOKUP(PlayerGameData[[#This Row],[School, Opponent,Game'#]],Table3[],2,FALSE),0)</f>
        <v>1</v>
      </c>
      <c r="AK280" s="8">
        <f ca="1">IF(PlayerGameData[[#This Row],[Visible]]=1,1,1000)</f>
        <v>1</v>
      </c>
      <c r="AL280" s="8">
        <f ca="1">RANK(PlayerGameData[[#This Row],[TL PTS]],PlayerGameData[TL PTS],0)+PlayerGameData[[#This Row],[VisibleOrder]]</f>
        <v>152</v>
      </c>
      <c r="AM280" s="8">
        <f ca="1">IF(COUNTIF(PlayerGameData[PointOrder],PlayerGameData[[#This Row],[PointOrder]])&gt;1,RANK(PlayerGameData[[#This Row],[FGA]],PlayerGameData[FGA],0)/100,0)+PlayerGameData[[#This Row],[PointOrder]]</f>
        <v>152.76</v>
      </c>
      <c r="AN280" s="8">
        <f ca="1">RANK(PlayerGameData[[#This Row],[PointTieBreak]],PlayerGameData[PointTieBreak],1)</f>
        <v>152</v>
      </c>
      <c r="AO280" s="8">
        <f ca="1">RANK(PlayerGameData[[#This Row],[REB]],PlayerGameData[REB],0)+PlayerGameData[[#This Row],[VisibleOrder]]</f>
        <v>79</v>
      </c>
      <c r="AP280" s="8">
        <f ca="1">IF(COUNTIF(PlayerGameData[REBOrder],PlayerGameData[[#This Row],[REBOrder]])&gt;1,PlayerGameData[[#This Row],[PointRank]]/100+PlayerGameData[[#This Row],[REBOrder]],PlayerGameData[[#This Row],[REBOrder]])</f>
        <v>80.52</v>
      </c>
      <c r="AQ280" s="8">
        <f ca="1">RANK(PlayerGameData[[#This Row],[REBTieBreak]],PlayerGameData[REBTieBreak],1)</f>
        <v>104</v>
      </c>
      <c r="AR280" s="8">
        <f ca="1">RANK(PlayerGameData[[#This Row],[AST]],PlayerGameData[AST],0)+PlayerGameData[[#This Row],[VisibleOrder]]</f>
        <v>39</v>
      </c>
      <c r="AS280" s="8">
        <f ca="1">IF(COUNTIF(PlayerGameData[ASTOrder],PlayerGameData[[#This Row],[ASTOrder]])&gt;1,PlayerGameData[[#This Row],[PointRank]]/100+PlayerGameData[[#This Row],[ASTOrder]],PlayerGameData[[#This Row],[ASTOrder]])</f>
        <v>40.520000000000003</v>
      </c>
      <c r="AT280" s="8">
        <f ca="1">RANK(PlayerGameData[[#This Row],[ASTTieBreak]],PlayerGameData[ASTTieBreak],1)</f>
        <v>63</v>
      </c>
      <c r="AU280" s="8">
        <f ca="1">RANK(PlayerGameData[[#This Row],[STL]],PlayerGameData[STL],0)+PlayerGameData[[#This Row],[VisibleOrder]]</f>
        <v>84</v>
      </c>
      <c r="AV280" s="8">
        <f ca="1">IF(COUNTIF(PlayerGameData[STLOrder],PlayerGameData[[#This Row],[STLOrder]])&gt;1,PlayerGameData[[#This Row],[PointRank]]/100+PlayerGameData[[#This Row],[STLOrder]],PlayerGameData[[#This Row],[STLOrder]])</f>
        <v>85.52</v>
      </c>
      <c r="AW280" s="8">
        <f ca="1">RANK(PlayerGameData[[#This Row],[STLTieBreak]],PlayerGameData[STLTieBreak],1)</f>
        <v>124</v>
      </c>
      <c r="AX280" s="8">
        <f ca="1">RANK(PlayerGameData[[#This Row],[BLK]],PlayerGameData[BLK],0)+PlayerGameData[[#This Row],[VisibleOrder]]</f>
        <v>32</v>
      </c>
      <c r="AY280" s="8">
        <f ca="1">IF(COUNTIF(PlayerGameData[BLKOrder],PlayerGameData[[#This Row],[BLKOrder]])&gt;1,PlayerGameData[[#This Row],[PointRank]]/100+PlayerGameData[[#This Row],[BLKOrder]],PlayerGameData[[#This Row],[BLKOrder]])</f>
        <v>33.520000000000003</v>
      </c>
      <c r="AZ280" s="8">
        <f ca="1">RANK(PlayerGameData[[#This Row],[BLKTieBreak]],PlayerGameData[BLKTieBreak],1)</f>
        <v>155</v>
      </c>
      <c r="BA280" s="11">
        <f ca="1">IFERROR(IF(PlayerGameData[[#This Row],[FGA]]&gt;$AA$5,PlayerGameData[[#This Row],[FG%*]],PlayerGameData[[#This Row],[FG%*]]*-1),-2)</f>
        <v>0.125</v>
      </c>
      <c r="BB280" s="8">
        <f ca="1">RANK(PlayerGameData[[#This Row],[EligFG]],PlayerGameData[EligFG],0)+PlayerGameData[[#This Row],[VisibleOrder]]</f>
        <v>110</v>
      </c>
      <c r="BC280" s="8">
        <f ca="1">IF(COUNTIF(PlayerGameData[EligFGOrder],PlayerGameData[[#This Row],[EligFGOrder]])&gt;1,PlayerGameData[[#This Row],[PointRank]]/100+PlayerGameData[[#This Row],[EligFGOrder]],PlayerGameData[[#This Row],[EligFGOrder]])</f>
        <v>111.52</v>
      </c>
      <c r="BD280" s="8">
        <f ca="1">RANK(PlayerGameData[[#This Row],[EligFGTieBreak]],PlayerGameData[EligFGTieBreak],1)</f>
        <v>111</v>
      </c>
      <c r="BE280" s="8" t="str">
        <f>Roster!$D$3</f>
        <v>East</v>
      </c>
      <c r="BF280" s="8" t="str">
        <f>Roster!$D$2</f>
        <v>Northeast</v>
      </c>
      <c r="BG280" s="8" t="str">
        <f>Roster!$D$4</f>
        <v>North</v>
      </c>
      <c r="BH280" s="197">
        <f ca="1">IFERROR(VLOOKUP(CONCATENATE(PlayerGameData[[#This Row],[Opponent]]," ",MONTH(PlayerGameData[[#This Row],[Date]]),"/",DAY(PlayerGameData[[#This Row],[Date]]),"/",YEAR(PlayerGameData[[#This Row],[Date]])),Table35[],2,FALSE),0)</f>
        <v>1</v>
      </c>
      <c r="BI280" s="197">
        <f ca="1">IF(PlayerGameData[[#This Row],[Visible]]=1,1,1000)</f>
        <v>1</v>
      </c>
      <c r="BJ280" s="197" t="e">
        <f ca="1">_xlfn.MAXIFS(TeamGameData[Win],TeamGameData[School, Opponent,Game'#],PlayerGameData[[#This Row],[School, Opponent,Game'#]])</f>
        <v>#NAME?</v>
      </c>
      <c r="BK280" s="197" t="e">
        <f ca="1">_xlfn.MAXIFS(TeamGameData[Loss],TeamGameData[School, Opponent,Game'#],PlayerGameData[[#This Row],[School, Opponent,Game'#]])</f>
        <v>#NAME?</v>
      </c>
    </row>
    <row r="281" spans="1:63" x14ac:dyDescent="0.25">
      <c r="A281" s="8" t="str">
        <f t="shared" ca="1" si="153"/>
        <v>Matt Stirmel, 33</v>
      </c>
      <c r="B281" s="8" t="str">
        <f>Roster!$B$1</f>
        <v>Upton</v>
      </c>
      <c r="C281" s="8" t="str">
        <f t="shared" ca="1" si="141"/>
        <v>Kaycee</v>
      </c>
      <c r="D281" s="10">
        <f t="shared" ca="1" si="142"/>
        <v>44947</v>
      </c>
      <c r="E281" s="8">
        <f t="shared" ca="1" si="143"/>
        <v>0</v>
      </c>
      <c r="F281" s="8">
        <f t="shared" ca="1" si="144"/>
        <v>0</v>
      </c>
      <c r="G281" s="8">
        <f t="shared" ca="1" si="145"/>
        <v>0</v>
      </c>
      <c r="H281" s="8">
        <f t="shared" ca="1" si="146"/>
        <v>0</v>
      </c>
      <c r="I281" s="8">
        <f t="shared" ca="1" si="147"/>
        <v>0</v>
      </c>
      <c r="J281" s="8">
        <f t="shared" ca="1" si="148"/>
        <v>0</v>
      </c>
      <c r="K281" s="8">
        <f t="shared" ca="1" si="149"/>
        <v>0</v>
      </c>
      <c r="L281" s="8">
        <f t="shared" ca="1" si="154"/>
        <v>0</v>
      </c>
      <c r="M281" s="8">
        <f t="shared" ca="1" si="155"/>
        <v>0</v>
      </c>
      <c r="N281" s="8">
        <f t="shared" ca="1" si="156"/>
        <v>0</v>
      </c>
      <c r="O281" s="8">
        <f t="shared" ca="1" si="157"/>
        <v>0</v>
      </c>
      <c r="P281" s="8">
        <f t="shared" ca="1" si="158"/>
        <v>0</v>
      </c>
      <c r="Q281" s="8">
        <f t="shared" ca="1" si="159"/>
        <v>0</v>
      </c>
      <c r="R281" s="8">
        <f t="shared" ca="1" si="160"/>
        <v>0</v>
      </c>
      <c r="S281" s="8">
        <f t="shared" ca="1" si="161"/>
        <v>0</v>
      </c>
      <c r="T281" s="8">
        <f t="shared" ca="1" si="162"/>
        <v>0</v>
      </c>
      <c r="U281" s="8">
        <f t="shared" ca="1" si="163"/>
        <v>0</v>
      </c>
      <c r="V281" s="8">
        <f t="shared" ca="1" si="164"/>
        <v>0</v>
      </c>
      <c r="W281" s="11" t="str">
        <f t="shared" ca="1" si="165"/>
        <v/>
      </c>
      <c r="X281" s="11" t="str">
        <f t="shared" ca="1" si="166"/>
        <v/>
      </c>
      <c r="Y281" s="11" t="str">
        <f t="shared" ca="1" si="167"/>
        <v/>
      </c>
      <c r="Z281" s="11" t="str">
        <f t="shared" ca="1" si="168"/>
        <v/>
      </c>
      <c r="AA281" s="11" t="str">
        <f t="shared" ca="1" si="169"/>
        <v/>
      </c>
      <c r="AB281" s="47">
        <f ca="1">PlayerGameData[[#This Row],[3FGA]]+PlayerGameData[[#This Row],[2FGA]]</f>
        <v>0</v>
      </c>
      <c r="AC281" s="47">
        <f ca="1">PlayerGameData[[#This Row],[OFF REB]]+PlayerGameData[[#This Row],[DEF REB]]</f>
        <v>0</v>
      </c>
      <c r="AD281" s="8">
        <f t="shared" si="150"/>
        <v>12</v>
      </c>
      <c r="AE281" s="8" t="str">
        <f t="shared" ca="1" si="151"/>
        <v>Matt Stirmel, 33 - Kaycee 1/21/2023</v>
      </c>
      <c r="AF281" s="8" t="str">
        <f t="shared" ca="1" si="170"/>
        <v>R</v>
      </c>
      <c r="AG281" s="8" t="str">
        <f ca="1">IFERROR(IF(C281=0,"",IF(AND(VLOOKUP(PlayerGameData[[#This Row],[Opponent]],WYTeamInfo,2,FALSE)=Roster!$D$1,VLOOKUP(PlayerGameData[[#This Row],[Opponent]],WYTeamInfo,3,FALSE)=Roster!$D$2),"SR","")),"")</f>
        <v>SR</v>
      </c>
      <c r="AH281" s="8" t="str">
        <f>CONCATENATE(Roster!$D$1," ",Roster!$D$5)</f>
        <v>1A BB</v>
      </c>
      <c r="AI281" s="8" t="str">
        <f t="shared" ca="1" si="152"/>
        <v>Upton - Kaycee 1/21/2023</v>
      </c>
      <c r="AJ281" s="8">
        <f ca="1">IFERROR(VLOOKUP(PlayerGameData[[#This Row],[School, Opponent,Game'#]],Table3[],2,FALSE),0)</f>
        <v>1</v>
      </c>
      <c r="AK281" s="8">
        <f ca="1">IF(PlayerGameData[[#This Row],[Visible]]=1,1,1000)</f>
        <v>1</v>
      </c>
      <c r="AL281" s="8">
        <f ca="1">RANK(PlayerGameData[[#This Row],[TL PTS]],PlayerGameData[TL PTS],0)+PlayerGameData[[#This Row],[VisibleOrder]]</f>
        <v>185</v>
      </c>
      <c r="AM281" s="8">
        <f ca="1">IF(COUNTIF(PlayerGameData[PointOrder],PlayerGameData[[#This Row],[PointOrder]])&gt;1,RANK(PlayerGameData[[#This Row],[FGA]],PlayerGameData[FGA],0)/100,0)+PlayerGameData[[#This Row],[PointOrder]]</f>
        <v>187.14</v>
      </c>
      <c r="AN281" s="8">
        <f ca="1">RANK(PlayerGameData[[#This Row],[PointTieBreak]],PlayerGameData[PointTieBreak],1)</f>
        <v>216</v>
      </c>
      <c r="AO281" s="8">
        <f ca="1">RANK(PlayerGameData[[#This Row],[REB]],PlayerGameData[REB],0)+PlayerGameData[[#This Row],[VisibleOrder]]</f>
        <v>192</v>
      </c>
      <c r="AP281" s="8">
        <f ca="1">IF(COUNTIF(PlayerGameData[REBOrder],PlayerGameData[[#This Row],[REBOrder]])&gt;1,PlayerGameData[[#This Row],[PointRank]]/100+PlayerGameData[[#This Row],[REBOrder]],PlayerGameData[[#This Row],[REBOrder]])</f>
        <v>194.16</v>
      </c>
      <c r="AQ281" s="8">
        <f ca="1">RANK(PlayerGameData[[#This Row],[REBTieBreak]],PlayerGameData[REBTieBreak],1)</f>
        <v>224</v>
      </c>
      <c r="AR281" s="8">
        <f ca="1">RANK(PlayerGameData[[#This Row],[AST]],PlayerGameData[AST],0)+PlayerGameData[[#This Row],[VisibleOrder]]</f>
        <v>158</v>
      </c>
      <c r="AS281" s="8">
        <f ca="1">IF(COUNTIF(PlayerGameData[ASTOrder],PlayerGameData[[#This Row],[ASTOrder]])&gt;1,PlayerGameData[[#This Row],[PointRank]]/100+PlayerGameData[[#This Row],[ASTOrder]],PlayerGameData[[#This Row],[ASTOrder]])</f>
        <v>160.16</v>
      </c>
      <c r="AT281" s="8">
        <f ca="1">RANK(PlayerGameData[[#This Row],[ASTTieBreak]],PlayerGameData[ASTTieBreak],1)</f>
        <v>221</v>
      </c>
      <c r="AU281" s="8">
        <f ca="1">RANK(PlayerGameData[[#This Row],[STL]],PlayerGameData[STL],0)+PlayerGameData[[#This Row],[VisibleOrder]]</f>
        <v>143</v>
      </c>
      <c r="AV281" s="8">
        <f ca="1">IF(COUNTIF(PlayerGameData[STLOrder],PlayerGameData[[#This Row],[STLOrder]])&gt;1,PlayerGameData[[#This Row],[PointRank]]/100+PlayerGameData[[#This Row],[STLOrder]],PlayerGameData[[#This Row],[STLOrder]])</f>
        <v>145.16</v>
      </c>
      <c r="AW281" s="8">
        <f ca="1">RANK(PlayerGameData[[#This Row],[STLTieBreak]],PlayerGameData[STLTieBreak],1)</f>
        <v>217</v>
      </c>
      <c r="AX281" s="8">
        <f ca="1">RANK(PlayerGameData[[#This Row],[BLK]],PlayerGameData[BLK],0)+PlayerGameData[[#This Row],[VisibleOrder]]</f>
        <v>32</v>
      </c>
      <c r="AY281" s="8">
        <f ca="1">IF(COUNTIF(PlayerGameData[BLKOrder],PlayerGameData[[#This Row],[BLKOrder]])&gt;1,PlayerGameData[[#This Row],[PointRank]]/100+PlayerGameData[[#This Row],[BLKOrder]],PlayerGameData[[#This Row],[BLKOrder]])</f>
        <v>34.159999999999997</v>
      </c>
      <c r="AZ281" s="8">
        <f ca="1">RANK(PlayerGameData[[#This Row],[BLKTieBreak]],PlayerGameData[BLKTieBreak],1)</f>
        <v>216</v>
      </c>
      <c r="BA281" s="11">
        <f ca="1">IFERROR(IF(PlayerGameData[[#This Row],[FGA]]&gt;$AA$5,PlayerGameData[[#This Row],[FG%*]],PlayerGameData[[#This Row],[FG%*]]*-1),-2)</f>
        <v>-2</v>
      </c>
      <c r="BB281" s="8">
        <f ca="1">RANK(PlayerGameData[[#This Row],[EligFG]],PlayerGameData[EligFG],0)+PlayerGameData[[#This Row],[VisibleOrder]]</f>
        <v>215</v>
      </c>
      <c r="BC281" s="8">
        <f ca="1">IF(COUNTIF(PlayerGameData[EligFGOrder],PlayerGameData[[#This Row],[EligFGOrder]])&gt;1,PlayerGameData[[#This Row],[PointRank]]/100+PlayerGameData[[#This Row],[EligFGOrder]],PlayerGameData[[#This Row],[EligFGOrder]])</f>
        <v>217.16</v>
      </c>
      <c r="BD281" s="8">
        <f ca="1">RANK(PlayerGameData[[#This Row],[EligFGTieBreak]],PlayerGameData[EligFGTieBreak],1)</f>
        <v>216</v>
      </c>
      <c r="BE281" s="8" t="str">
        <f>Roster!$D$3</f>
        <v>East</v>
      </c>
      <c r="BF281" s="8" t="str">
        <f>Roster!$D$2</f>
        <v>Northeast</v>
      </c>
      <c r="BG281" s="8" t="str">
        <f>Roster!$D$4</f>
        <v>North</v>
      </c>
      <c r="BH281" s="197">
        <f ca="1">IFERROR(VLOOKUP(CONCATENATE(PlayerGameData[[#This Row],[Opponent]]," ",MONTH(PlayerGameData[[#This Row],[Date]]),"/",DAY(PlayerGameData[[#This Row],[Date]]),"/",YEAR(PlayerGameData[[#This Row],[Date]])),Table35[],2,FALSE),0)</f>
        <v>1</v>
      </c>
      <c r="BI281" s="197">
        <f ca="1">IF(PlayerGameData[[#This Row],[Visible]]=1,1,1000)</f>
        <v>1</v>
      </c>
      <c r="BJ281" s="197" t="e">
        <f ca="1">_xlfn.MAXIFS(TeamGameData[Win],TeamGameData[School, Opponent,Game'#],PlayerGameData[[#This Row],[School, Opponent,Game'#]])</f>
        <v>#NAME?</v>
      </c>
      <c r="BK281" s="197" t="e">
        <f ca="1">_xlfn.MAXIFS(TeamGameData[Loss],TeamGameData[School, Opponent,Game'#],PlayerGameData[[#This Row],[School, Opponent,Game'#]])</f>
        <v>#NAME?</v>
      </c>
    </row>
    <row r="282" spans="1:63" x14ac:dyDescent="0.25">
      <c r="A282" s="8" t="str">
        <f t="shared" ca="1" si="153"/>
        <v>Jacob McNutt, 34</v>
      </c>
      <c r="B282" s="8" t="str">
        <f>Roster!$B$1</f>
        <v>Upton</v>
      </c>
      <c r="C282" s="8" t="str">
        <f t="shared" ca="1" si="141"/>
        <v>Kaycee</v>
      </c>
      <c r="D282" s="10">
        <f t="shared" ca="1" si="142"/>
        <v>44947</v>
      </c>
      <c r="E282" s="8">
        <f t="shared" ca="1" si="143"/>
        <v>1</v>
      </c>
      <c r="F282" s="8">
        <f t="shared" ca="1" si="144"/>
        <v>0</v>
      </c>
      <c r="G282" s="8">
        <f t="shared" ca="1" si="145"/>
        <v>1</v>
      </c>
      <c r="H282" s="8">
        <f t="shared" ca="1" si="146"/>
        <v>0</v>
      </c>
      <c r="I282" s="8">
        <f t="shared" ca="1" si="147"/>
        <v>1</v>
      </c>
      <c r="J282" s="8">
        <f t="shared" ca="1" si="148"/>
        <v>0</v>
      </c>
      <c r="K282" s="8">
        <f t="shared" ca="1" si="149"/>
        <v>0</v>
      </c>
      <c r="L282" s="8">
        <f t="shared" ca="1" si="154"/>
        <v>0</v>
      </c>
      <c r="M282" s="8">
        <f t="shared" ca="1" si="155"/>
        <v>0</v>
      </c>
      <c r="N282" s="8">
        <f t="shared" ca="1" si="156"/>
        <v>0</v>
      </c>
      <c r="O282" s="8">
        <f t="shared" ca="1" si="157"/>
        <v>0</v>
      </c>
      <c r="P282" s="8">
        <f t="shared" ca="1" si="158"/>
        <v>0</v>
      </c>
      <c r="Q282" s="8">
        <f t="shared" ca="1" si="159"/>
        <v>0</v>
      </c>
      <c r="R282" s="8">
        <f t="shared" ca="1" si="160"/>
        <v>0</v>
      </c>
      <c r="S282" s="8">
        <f t="shared" ca="1" si="161"/>
        <v>0</v>
      </c>
      <c r="T282" s="8">
        <f t="shared" ca="1" si="162"/>
        <v>0</v>
      </c>
      <c r="U282" s="8">
        <f t="shared" ca="1" si="163"/>
        <v>0</v>
      </c>
      <c r="V282" s="8">
        <f t="shared" ca="1" si="164"/>
        <v>0</v>
      </c>
      <c r="W282" s="11">
        <f t="shared" ca="1" si="165"/>
        <v>0</v>
      </c>
      <c r="X282" s="11" t="str">
        <f t="shared" ca="1" si="166"/>
        <v/>
      </c>
      <c r="Y282" s="11" t="str">
        <f t="shared" ca="1" si="167"/>
        <v/>
      </c>
      <c r="Z282" s="11">
        <f t="shared" ca="1" si="168"/>
        <v>0</v>
      </c>
      <c r="AA282" s="11">
        <f t="shared" ca="1" si="169"/>
        <v>0</v>
      </c>
      <c r="AB282" s="47">
        <f ca="1">PlayerGameData[[#This Row],[3FGA]]+PlayerGameData[[#This Row],[2FGA]]</f>
        <v>1</v>
      </c>
      <c r="AC282" s="47">
        <f ca="1">PlayerGameData[[#This Row],[OFF REB]]+PlayerGameData[[#This Row],[DEF REB]]</f>
        <v>0</v>
      </c>
      <c r="AD282" s="8">
        <f t="shared" si="150"/>
        <v>12</v>
      </c>
      <c r="AE282" s="8" t="str">
        <f t="shared" ca="1" si="151"/>
        <v>Jacob McNutt, 34 - Kaycee 1/21/2023</v>
      </c>
      <c r="AF282" s="8" t="str">
        <f t="shared" ca="1" si="170"/>
        <v>R</v>
      </c>
      <c r="AG282" s="8" t="str">
        <f ca="1">IFERROR(IF(C282=0,"",IF(AND(VLOOKUP(PlayerGameData[[#This Row],[Opponent]],WYTeamInfo,2,FALSE)=Roster!$D$1,VLOOKUP(PlayerGameData[[#This Row],[Opponent]],WYTeamInfo,3,FALSE)=Roster!$D$2),"SR","")),"")</f>
        <v>SR</v>
      </c>
      <c r="AH282" s="8" t="str">
        <f>CONCATENATE(Roster!$D$1," ",Roster!$D$5)</f>
        <v>1A BB</v>
      </c>
      <c r="AI282" s="8" t="str">
        <f t="shared" ca="1" si="152"/>
        <v>Upton - Kaycee 1/21/2023</v>
      </c>
      <c r="AJ282" s="8">
        <f ca="1">IFERROR(VLOOKUP(PlayerGameData[[#This Row],[School, Opponent,Game'#]],Table3[],2,FALSE),0)</f>
        <v>1</v>
      </c>
      <c r="AK282" s="8">
        <f ca="1">IF(PlayerGameData[[#This Row],[Visible]]=1,1,1000)</f>
        <v>1</v>
      </c>
      <c r="AL282" s="8">
        <f ca="1">RANK(PlayerGameData[[#This Row],[TL PTS]],PlayerGameData[TL PTS],0)+PlayerGameData[[#This Row],[VisibleOrder]]</f>
        <v>185</v>
      </c>
      <c r="AM282" s="8">
        <f ca="1">IF(COUNTIF(PlayerGameData[PointOrder],PlayerGameData[[#This Row],[PointOrder]])&gt;1,RANK(PlayerGameData[[#This Row],[FGA]],PlayerGameData[FGA],0)/100,0)+PlayerGameData[[#This Row],[PointOrder]]</f>
        <v>186.82</v>
      </c>
      <c r="AN282" s="8">
        <f ca="1">RANK(PlayerGameData[[#This Row],[PointTieBreak]],PlayerGameData[PointTieBreak],1)</f>
        <v>196</v>
      </c>
      <c r="AO282" s="8">
        <f ca="1">RANK(PlayerGameData[[#This Row],[REB]],PlayerGameData[REB],0)+PlayerGameData[[#This Row],[VisibleOrder]]</f>
        <v>192</v>
      </c>
      <c r="AP282" s="8">
        <f ca="1">IF(COUNTIF(PlayerGameData[REBOrder],PlayerGameData[[#This Row],[REBOrder]])&gt;1,PlayerGameData[[#This Row],[PointRank]]/100+PlayerGameData[[#This Row],[REBOrder]],PlayerGameData[[#This Row],[REBOrder]])</f>
        <v>193.96</v>
      </c>
      <c r="AQ282" s="8">
        <f ca="1">RANK(PlayerGameData[[#This Row],[REBTieBreak]],PlayerGameData[REBTieBreak],1)</f>
        <v>213</v>
      </c>
      <c r="AR282" s="8">
        <f ca="1">RANK(PlayerGameData[[#This Row],[AST]],PlayerGameData[AST],0)+PlayerGameData[[#This Row],[VisibleOrder]]</f>
        <v>158</v>
      </c>
      <c r="AS282" s="8">
        <f ca="1">IF(COUNTIF(PlayerGameData[ASTOrder],PlayerGameData[[#This Row],[ASTOrder]])&gt;1,PlayerGameData[[#This Row],[PointRank]]/100+PlayerGameData[[#This Row],[ASTOrder]],PlayerGameData[[#This Row],[ASTOrder]])</f>
        <v>159.96</v>
      </c>
      <c r="AT282" s="8">
        <f ca="1">RANK(PlayerGameData[[#This Row],[ASTTieBreak]],PlayerGameData[ASTTieBreak],1)</f>
        <v>208</v>
      </c>
      <c r="AU282" s="8">
        <f ca="1">RANK(PlayerGameData[[#This Row],[STL]],PlayerGameData[STL],0)+PlayerGameData[[#This Row],[VisibleOrder]]</f>
        <v>143</v>
      </c>
      <c r="AV282" s="8">
        <f ca="1">IF(COUNTIF(PlayerGameData[STLOrder],PlayerGameData[[#This Row],[STLOrder]])&gt;1,PlayerGameData[[#This Row],[PointRank]]/100+PlayerGameData[[#This Row],[STLOrder]],PlayerGameData[[#This Row],[STLOrder]])</f>
        <v>144.96</v>
      </c>
      <c r="AW282" s="8">
        <f ca="1">RANK(PlayerGameData[[#This Row],[STLTieBreak]],PlayerGameData[STLTieBreak],1)</f>
        <v>200</v>
      </c>
      <c r="AX282" s="8">
        <f ca="1">RANK(PlayerGameData[[#This Row],[BLK]],PlayerGameData[BLK],0)+PlayerGameData[[#This Row],[VisibleOrder]]</f>
        <v>32</v>
      </c>
      <c r="AY282" s="8">
        <f ca="1">IF(COUNTIF(PlayerGameData[BLKOrder],PlayerGameData[[#This Row],[BLKOrder]])&gt;1,PlayerGameData[[#This Row],[PointRank]]/100+PlayerGameData[[#This Row],[BLKOrder]],PlayerGameData[[#This Row],[BLKOrder]])</f>
        <v>33.96</v>
      </c>
      <c r="AZ282" s="8">
        <f ca="1">RANK(PlayerGameData[[#This Row],[BLKTieBreak]],PlayerGameData[BLKTieBreak],1)</f>
        <v>196</v>
      </c>
      <c r="BA282" s="11">
        <f ca="1">IFERROR(IF(PlayerGameData[[#This Row],[FGA]]&gt;$AA$5,PlayerGameData[[#This Row],[FG%*]],PlayerGameData[[#This Row],[FG%*]]*-1),-2)</f>
        <v>0</v>
      </c>
      <c r="BB282" s="8">
        <f ca="1">RANK(PlayerGameData[[#This Row],[EligFG]],PlayerGameData[EligFG],0)+PlayerGameData[[#This Row],[VisibleOrder]]</f>
        <v>117</v>
      </c>
      <c r="BC282" s="8">
        <f ca="1">IF(COUNTIF(PlayerGameData[EligFGOrder],PlayerGameData[[#This Row],[EligFGOrder]])&gt;1,PlayerGameData[[#This Row],[PointRank]]/100+PlayerGameData[[#This Row],[EligFGOrder]],PlayerGameData[[#This Row],[EligFGOrder]])</f>
        <v>118.96</v>
      </c>
      <c r="BD282" s="8">
        <f ca="1">RANK(PlayerGameData[[#This Row],[EligFGTieBreak]],PlayerGameData[EligFGTieBreak],1)</f>
        <v>138</v>
      </c>
      <c r="BE282" s="8" t="str">
        <f>Roster!$D$3</f>
        <v>East</v>
      </c>
      <c r="BF282" s="8" t="str">
        <f>Roster!$D$2</f>
        <v>Northeast</v>
      </c>
      <c r="BG282" s="8" t="str">
        <f>Roster!$D$4</f>
        <v>North</v>
      </c>
      <c r="BH282" s="197">
        <f ca="1">IFERROR(VLOOKUP(CONCATENATE(PlayerGameData[[#This Row],[Opponent]]," ",MONTH(PlayerGameData[[#This Row],[Date]]),"/",DAY(PlayerGameData[[#This Row],[Date]]),"/",YEAR(PlayerGameData[[#This Row],[Date]])),Table35[],2,FALSE),0)</f>
        <v>1</v>
      </c>
      <c r="BI282" s="197">
        <f ca="1">IF(PlayerGameData[[#This Row],[Visible]]=1,1,1000)</f>
        <v>1</v>
      </c>
      <c r="BJ282" s="197" t="e">
        <f ca="1">_xlfn.MAXIFS(TeamGameData[Win],TeamGameData[School, Opponent,Game'#],PlayerGameData[[#This Row],[School, Opponent,Game'#]])</f>
        <v>#NAME?</v>
      </c>
      <c r="BK282" s="197" t="e">
        <f ca="1">_xlfn.MAXIFS(TeamGameData[Loss],TeamGameData[School, Opponent,Game'#],PlayerGameData[[#This Row],[School, Opponent,Game'#]])</f>
        <v>#NAME?</v>
      </c>
    </row>
    <row r="283" spans="1:63" x14ac:dyDescent="0.25">
      <c r="A283" s="8" t="str">
        <f t="shared" ca="1" si="153"/>
        <v>Ryan Baker, 35</v>
      </c>
      <c r="B283" s="8" t="str">
        <f>Roster!$B$1</f>
        <v>Upton</v>
      </c>
      <c r="C283" s="8" t="str">
        <f t="shared" ca="1" si="141"/>
        <v>Kaycee</v>
      </c>
      <c r="D283" s="10">
        <f t="shared" ca="1" si="142"/>
        <v>44947</v>
      </c>
      <c r="E283" s="8">
        <f t="shared" ca="1" si="143"/>
        <v>1</v>
      </c>
      <c r="F283" s="8">
        <f t="shared" ca="1" si="144"/>
        <v>0</v>
      </c>
      <c r="G283" s="8">
        <f t="shared" ca="1" si="145"/>
        <v>15</v>
      </c>
      <c r="H283" s="8">
        <f t="shared" ca="1" si="146"/>
        <v>1</v>
      </c>
      <c r="I283" s="8">
        <f t="shared" ca="1" si="147"/>
        <v>3</v>
      </c>
      <c r="J283" s="8">
        <f t="shared" ca="1" si="148"/>
        <v>0</v>
      </c>
      <c r="K283" s="8">
        <f t="shared" ca="1" si="149"/>
        <v>0</v>
      </c>
      <c r="L283" s="8">
        <f t="shared" ca="1" si="154"/>
        <v>2</v>
      </c>
      <c r="M283" s="8">
        <f t="shared" ca="1" si="155"/>
        <v>4</v>
      </c>
      <c r="N283" s="8">
        <f t="shared" ca="1" si="156"/>
        <v>2</v>
      </c>
      <c r="O283" s="8">
        <f t="shared" ca="1" si="157"/>
        <v>2</v>
      </c>
      <c r="P283" s="8">
        <f t="shared" ca="1" si="158"/>
        <v>0</v>
      </c>
      <c r="Q283" s="8">
        <f t="shared" ca="1" si="159"/>
        <v>2</v>
      </c>
      <c r="R283" s="8">
        <f t="shared" ca="1" si="160"/>
        <v>0</v>
      </c>
      <c r="S283" s="8">
        <f t="shared" ca="1" si="161"/>
        <v>1</v>
      </c>
      <c r="T283" s="8">
        <f t="shared" ca="1" si="162"/>
        <v>1</v>
      </c>
      <c r="U283" s="8">
        <f t="shared" ca="1" si="163"/>
        <v>0</v>
      </c>
      <c r="V283" s="8">
        <f t="shared" ca="1" si="164"/>
        <v>5</v>
      </c>
      <c r="W283" s="11">
        <f t="shared" ca="1" si="165"/>
        <v>0.33333333333333331</v>
      </c>
      <c r="X283" s="11" t="str">
        <f t="shared" ca="1" si="166"/>
        <v/>
      </c>
      <c r="Y283" s="11">
        <f t="shared" ca="1" si="167"/>
        <v>0.5</v>
      </c>
      <c r="Z283" s="11">
        <f t="shared" ca="1" si="168"/>
        <v>0.33333333333333331</v>
      </c>
      <c r="AA283" s="11">
        <f t="shared" ca="1" si="169"/>
        <v>0.5</v>
      </c>
      <c r="AB283" s="47">
        <f ca="1">PlayerGameData[[#This Row],[3FGA]]+PlayerGameData[[#This Row],[2FGA]]</f>
        <v>3</v>
      </c>
      <c r="AC283" s="47">
        <f ca="1">PlayerGameData[[#This Row],[OFF REB]]+PlayerGameData[[#This Row],[DEF REB]]</f>
        <v>4</v>
      </c>
      <c r="AD283" s="8">
        <f t="shared" si="150"/>
        <v>12</v>
      </c>
      <c r="AE283" s="8" t="str">
        <f t="shared" ca="1" si="151"/>
        <v>Ryan Baker, 35 - Kaycee 1/21/2023</v>
      </c>
      <c r="AF283" s="8" t="str">
        <f t="shared" ca="1" si="170"/>
        <v>R</v>
      </c>
      <c r="AG283" s="8" t="str">
        <f ca="1">IFERROR(IF(C283=0,"",IF(AND(VLOOKUP(PlayerGameData[[#This Row],[Opponent]],WYTeamInfo,2,FALSE)=Roster!$D$1,VLOOKUP(PlayerGameData[[#This Row],[Opponent]],WYTeamInfo,3,FALSE)=Roster!$D$2),"SR","")),"")</f>
        <v>SR</v>
      </c>
      <c r="AH283" s="8" t="str">
        <f>CONCATENATE(Roster!$D$1," ",Roster!$D$5)</f>
        <v>1A BB</v>
      </c>
      <c r="AI283" s="8" t="str">
        <f t="shared" ca="1" si="152"/>
        <v>Upton - Kaycee 1/21/2023</v>
      </c>
      <c r="AJ283" s="8">
        <f ca="1">IFERROR(VLOOKUP(PlayerGameData[[#This Row],[School, Opponent,Game'#]],Table3[],2,FALSE),0)</f>
        <v>1</v>
      </c>
      <c r="AK283" s="8">
        <f ca="1">IF(PlayerGameData[[#This Row],[Visible]]=1,1,1000)</f>
        <v>1</v>
      </c>
      <c r="AL283" s="8">
        <f ca="1">RANK(PlayerGameData[[#This Row],[TL PTS]],PlayerGameData[TL PTS],0)+PlayerGameData[[#This Row],[VisibleOrder]]</f>
        <v>110</v>
      </c>
      <c r="AM283" s="8">
        <f ca="1">IF(COUNTIF(PlayerGameData[PointOrder],PlayerGameData[[#This Row],[PointOrder]])&gt;1,RANK(PlayerGameData[[#This Row],[FGA]],PlayerGameData[FGA],0)/100,0)+PlayerGameData[[#This Row],[PointOrder]]</f>
        <v>111.4</v>
      </c>
      <c r="AN283" s="8">
        <f ca="1">RANK(PlayerGameData[[#This Row],[PointTieBreak]],PlayerGameData[PointTieBreak],1)</f>
        <v>114</v>
      </c>
      <c r="AO283" s="8">
        <f ca="1">RANK(PlayerGameData[[#This Row],[REB]],PlayerGameData[REB],0)+PlayerGameData[[#This Row],[VisibleOrder]]</f>
        <v>79</v>
      </c>
      <c r="AP283" s="8">
        <f ca="1">IF(COUNTIF(PlayerGameData[REBOrder],PlayerGameData[[#This Row],[REBOrder]])&gt;1,PlayerGameData[[#This Row],[PointRank]]/100+PlayerGameData[[#This Row],[REBOrder]],PlayerGameData[[#This Row],[REBOrder]])</f>
        <v>80.14</v>
      </c>
      <c r="AQ283" s="8">
        <f ca="1">RANK(PlayerGameData[[#This Row],[REBTieBreak]],PlayerGameData[REBTieBreak],1)</f>
        <v>98</v>
      </c>
      <c r="AR283" s="8">
        <f ca="1">RANK(PlayerGameData[[#This Row],[AST]],PlayerGameData[AST],0)+PlayerGameData[[#This Row],[VisibleOrder]]</f>
        <v>158</v>
      </c>
      <c r="AS283" s="8">
        <f ca="1">IF(COUNTIF(PlayerGameData[ASTOrder],PlayerGameData[[#This Row],[ASTOrder]])&gt;1,PlayerGameData[[#This Row],[PointRank]]/100+PlayerGameData[[#This Row],[ASTOrder]],PlayerGameData[[#This Row],[ASTOrder]])</f>
        <v>159.13999999999999</v>
      </c>
      <c r="AT283" s="8">
        <f ca="1">RANK(PlayerGameData[[#This Row],[ASTTieBreak]],PlayerGameData[ASTTieBreak],1)</f>
        <v>168</v>
      </c>
      <c r="AU283" s="8">
        <f ca="1">RANK(PlayerGameData[[#This Row],[STL]],PlayerGameData[STL],0)+PlayerGameData[[#This Row],[VisibleOrder]]</f>
        <v>48</v>
      </c>
      <c r="AV283" s="8">
        <f ca="1">IF(COUNTIF(PlayerGameData[STLOrder],PlayerGameData[[#This Row],[STLOrder]])&gt;1,PlayerGameData[[#This Row],[PointRank]]/100+PlayerGameData[[#This Row],[STLOrder]],PlayerGameData[[#This Row],[STLOrder]])</f>
        <v>49.14</v>
      </c>
      <c r="AW283" s="8">
        <f ca="1">RANK(PlayerGameData[[#This Row],[STLTieBreak]],PlayerGameData[STLTieBreak],1)</f>
        <v>72</v>
      </c>
      <c r="AX283" s="8">
        <f ca="1">RANK(PlayerGameData[[#This Row],[BLK]],PlayerGameData[BLK],0)+PlayerGameData[[#This Row],[VisibleOrder]]</f>
        <v>32</v>
      </c>
      <c r="AY283" s="8">
        <f ca="1">IF(COUNTIF(PlayerGameData[BLKOrder],PlayerGameData[[#This Row],[BLKOrder]])&gt;1,PlayerGameData[[#This Row],[PointRank]]/100+PlayerGameData[[#This Row],[BLKOrder]],PlayerGameData[[#This Row],[BLKOrder]])</f>
        <v>33.14</v>
      </c>
      <c r="AZ283" s="8">
        <f ca="1">RANK(PlayerGameData[[#This Row],[BLKTieBreak]],PlayerGameData[BLKTieBreak],1)</f>
        <v>119</v>
      </c>
      <c r="BA283" s="11">
        <f ca="1">IFERROR(IF(PlayerGameData[[#This Row],[FGA]]&gt;$AA$5,PlayerGameData[[#This Row],[FG%*]],PlayerGameData[[#This Row],[FG%*]]*-1),-2)</f>
        <v>-0.33333333333333331</v>
      </c>
      <c r="BB283" s="8">
        <f ca="1">RANK(PlayerGameData[[#This Row],[EligFG]],PlayerGameData[EligFG],0)+PlayerGameData[[#This Row],[VisibleOrder]]</f>
        <v>164</v>
      </c>
      <c r="BC283" s="8">
        <f ca="1">IF(COUNTIF(PlayerGameData[EligFGOrder],PlayerGameData[[#This Row],[EligFGOrder]])&gt;1,PlayerGameData[[#This Row],[PointRank]]/100+PlayerGameData[[#This Row],[EligFGOrder]],PlayerGameData[[#This Row],[EligFGOrder]])</f>
        <v>165.14</v>
      </c>
      <c r="BD283" s="8">
        <f ca="1">RANK(PlayerGameData[[#This Row],[EligFGTieBreak]],PlayerGameData[EligFGTieBreak],1)</f>
        <v>163</v>
      </c>
      <c r="BE283" s="8" t="str">
        <f>Roster!$D$3</f>
        <v>East</v>
      </c>
      <c r="BF283" s="8" t="str">
        <f>Roster!$D$2</f>
        <v>Northeast</v>
      </c>
      <c r="BG283" s="8" t="str">
        <f>Roster!$D$4</f>
        <v>North</v>
      </c>
      <c r="BH283" s="197">
        <f ca="1">IFERROR(VLOOKUP(CONCATENATE(PlayerGameData[[#This Row],[Opponent]]," ",MONTH(PlayerGameData[[#This Row],[Date]]),"/",DAY(PlayerGameData[[#This Row],[Date]]),"/",YEAR(PlayerGameData[[#This Row],[Date]])),Table35[],2,FALSE),0)</f>
        <v>1</v>
      </c>
      <c r="BI283" s="197">
        <f ca="1">IF(PlayerGameData[[#This Row],[Visible]]=1,1,1000)</f>
        <v>1</v>
      </c>
      <c r="BJ283" s="197" t="e">
        <f ca="1">_xlfn.MAXIFS(TeamGameData[Win],TeamGameData[School, Opponent,Game'#],PlayerGameData[[#This Row],[School, Opponent,Game'#]])</f>
        <v>#NAME?</v>
      </c>
      <c r="BK283" s="197" t="e">
        <f ca="1">_xlfn.MAXIFS(TeamGameData[Loss],TeamGameData[School, Opponent,Game'#],PlayerGameData[[#This Row],[School, Opponent,Game'#]])</f>
        <v>#NAME?</v>
      </c>
    </row>
    <row r="284" spans="1:63" x14ac:dyDescent="0.25">
      <c r="A284" s="8" t="str">
        <f t="shared" ca="1" si="153"/>
        <v xml:space="preserve">, </v>
      </c>
      <c r="B284" s="8" t="str">
        <f>Roster!$B$1</f>
        <v>Upton</v>
      </c>
      <c r="C284" s="8" t="str">
        <f t="shared" ca="1" si="141"/>
        <v>Kaycee</v>
      </c>
      <c r="D284" s="10">
        <f t="shared" ca="1" si="142"/>
        <v>44947</v>
      </c>
      <c r="E284" s="8">
        <f t="shared" ca="1" si="143"/>
        <v>0</v>
      </c>
      <c r="F284" s="8">
        <f t="shared" ca="1" si="144"/>
        <v>0</v>
      </c>
      <c r="G284" s="8">
        <f t="shared" ca="1" si="145"/>
        <v>0</v>
      </c>
      <c r="H284" s="8">
        <f t="shared" ca="1" si="146"/>
        <v>0</v>
      </c>
      <c r="I284" s="8">
        <f t="shared" ca="1" si="147"/>
        <v>0</v>
      </c>
      <c r="J284" s="8">
        <f t="shared" ca="1" si="148"/>
        <v>0</v>
      </c>
      <c r="K284" s="8">
        <f t="shared" ca="1" si="149"/>
        <v>0</v>
      </c>
      <c r="L284" s="8">
        <f t="shared" ca="1" si="154"/>
        <v>0</v>
      </c>
      <c r="M284" s="8">
        <f t="shared" ca="1" si="155"/>
        <v>0</v>
      </c>
      <c r="N284" s="8">
        <f t="shared" ca="1" si="156"/>
        <v>0</v>
      </c>
      <c r="O284" s="8">
        <f t="shared" ca="1" si="157"/>
        <v>0</v>
      </c>
      <c r="P284" s="8">
        <f t="shared" ca="1" si="158"/>
        <v>0</v>
      </c>
      <c r="Q284" s="8">
        <f t="shared" ca="1" si="159"/>
        <v>0</v>
      </c>
      <c r="R284" s="8">
        <f t="shared" ca="1" si="160"/>
        <v>0</v>
      </c>
      <c r="S284" s="8">
        <f t="shared" ca="1" si="161"/>
        <v>0</v>
      </c>
      <c r="T284" s="8">
        <f t="shared" ca="1" si="162"/>
        <v>0</v>
      </c>
      <c r="U284" s="8">
        <f t="shared" ca="1" si="163"/>
        <v>0</v>
      </c>
      <c r="V284" s="8">
        <f t="shared" ca="1" si="164"/>
        <v>0</v>
      </c>
      <c r="W284" s="11" t="str">
        <f t="shared" ca="1" si="165"/>
        <v/>
      </c>
      <c r="X284" s="11" t="str">
        <f t="shared" ca="1" si="166"/>
        <v/>
      </c>
      <c r="Y284" s="11" t="str">
        <f t="shared" ca="1" si="167"/>
        <v/>
      </c>
      <c r="Z284" s="11" t="str">
        <f t="shared" ca="1" si="168"/>
        <v/>
      </c>
      <c r="AA284" s="11" t="str">
        <f t="shared" ca="1" si="169"/>
        <v/>
      </c>
      <c r="AB284" s="47">
        <f ca="1">PlayerGameData[[#This Row],[3FGA]]+PlayerGameData[[#This Row],[2FGA]]</f>
        <v>0</v>
      </c>
      <c r="AC284" s="47">
        <f ca="1">PlayerGameData[[#This Row],[OFF REB]]+PlayerGameData[[#This Row],[DEF REB]]</f>
        <v>0</v>
      </c>
      <c r="AD284" s="8">
        <f t="shared" si="150"/>
        <v>12</v>
      </c>
      <c r="AE284" s="8" t="str">
        <f t="shared" ca="1" si="151"/>
        <v>,  - Kaycee 1/21/2023</v>
      </c>
      <c r="AF284" s="8" t="str">
        <f t="shared" ca="1" si="170"/>
        <v>R</v>
      </c>
      <c r="AG284" s="8" t="str">
        <f ca="1">IFERROR(IF(C284=0,"",IF(AND(VLOOKUP(PlayerGameData[[#This Row],[Opponent]],WYTeamInfo,2,FALSE)=Roster!$D$1,VLOOKUP(PlayerGameData[[#This Row],[Opponent]],WYTeamInfo,3,FALSE)=Roster!$D$2),"SR","")),"")</f>
        <v>SR</v>
      </c>
      <c r="AH284" s="8" t="str">
        <f>CONCATENATE(Roster!$D$1," ",Roster!$D$5)</f>
        <v>1A BB</v>
      </c>
      <c r="AI284" s="8" t="str">
        <f t="shared" ca="1" si="152"/>
        <v>Upton - Kaycee 1/21/2023</v>
      </c>
      <c r="AJ284" s="8">
        <f ca="1">IFERROR(VLOOKUP(PlayerGameData[[#This Row],[School, Opponent,Game'#]],Table3[],2,FALSE),0)</f>
        <v>1</v>
      </c>
      <c r="AK284" s="8">
        <f ca="1">IF(PlayerGameData[[#This Row],[Visible]]=1,1,1000)</f>
        <v>1</v>
      </c>
      <c r="AL284" s="8">
        <f ca="1">RANK(PlayerGameData[[#This Row],[TL PTS]],PlayerGameData[TL PTS],0)+PlayerGameData[[#This Row],[VisibleOrder]]</f>
        <v>185</v>
      </c>
      <c r="AM284" s="8">
        <f ca="1">IF(COUNTIF(PlayerGameData[PointOrder],PlayerGameData[[#This Row],[PointOrder]])&gt;1,RANK(PlayerGameData[[#This Row],[FGA]],PlayerGameData[FGA],0)/100,0)+PlayerGameData[[#This Row],[PointOrder]]</f>
        <v>187.14</v>
      </c>
      <c r="AN284" s="8">
        <f ca="1">RANK(PlayerGameData[[#This Row],[PointTieBreak]],PlayerGameData[PointTieBreak],1)</f>
        <v>216</v>
      </c>
      <c r="AO284" s="8">
        <f ca="1">RANK(PlayerGameData[[#This Row],[REB]],PlayerGameData[REB],0)+PlayerGameData[[#This Row],[VisibleOrder]]</f>
        <v>192</v>
      </c>
      <c r="AP284" s="8">
        <f ca="1">IF(COUNTIF(PlayerGameData[REBOrder],PlayerGameData[[#This Row],[REBOrder]])&gt;1,PlayerGameData[[#This Row],[PointRank]]/100+PlayerGameData[[#This Row],[REBOrder]],PlayerGameData[[#This Row],[REBOrder]])</f>
        <v>194.16</v>
      </c>
      <c r="AQ284" s="8">
        <f ca="1">RANK(PlayerGameData[[#This Row],[REBTieBreak]],PlayerGameData[REBTieBreak],1)</f>
        <v>224</v>
      </c>
      <c r="AR284" s="8">
        <f ca="1">RANK(PlayerGameData[[#This Row],[AST]],PlayerGameData[AST],0)+PlayerGameData[[#This Row],[VisibleOrder]]</f>
        <v>158</v>
      </c>
      <c r="AS284" s="8">
        <f ca="1">IF(COUNTIF(PlayerGameData[ASTOrder],PlayerGameData[[#This Row],[ASTOrder]])&gt;1,PlayerGameData[[#This Row],[PointRank]]/100+PlayerGameData[[#This Row],[ASTOrder]],PlayerGameData[[#This Row],[ASTOrder]])</f>
        <v>160.16</v>
      </c>
      <c r="AT284" s="8">
        <f ca="1">RANK(PlayerGameData[[#This Row],[ASTTieBreak]],PlayerGameData[ASTTieBreak],1)</f>
        <v>221</v>
      </c>
      <c r="AU284" s="8">
        <f ca="1">RANK(PlayerGameData[[#This Row],[STL]],PlayerGameData[STL],0)+PlayerGameData[[#This Row],[VisibleOrder]]</f>
        <v>143</v>
      </c>
      <c r="AV284" s="8">
        <f ca="1">IF(COUNTIF(PlayerGameData[STLOrder],PlayerGameData[[#This Row],[STLOrder]])&gt;1,PlayerGameData[[#This Row],[PointRank]]/100+PlayerGameData[[#This Row],[STLOrder]],PlayerGameData[[#This Row],[STLOrder]])</f>
        <v>145.16</v>
      </c>
      <c r="AW284" s="8">
        <f ca="1">RANK(PlayerGameData[[#This Row],[STLTieBreak]],PlayerGameData[STLTieBreak],1)</f>
        <v>217</v>
      </c>
      <c r="AX284" s="8">
        <f ca="1">RANK(PlayerGameData[[#This Row],[BLK]],PlayerGameData[BLK],0)+PlayerGameData[[#This Row],[VisibleOrder]]</f>
        <v>32</v>
      </c>
      <c r="AY284" s="8">
        <f ca="1">IF(COUNTIF(PlayerGameData[BLKOrder],PlayerGameData[[#This Row],[BLKOrder]])&gt;1,PlayerGameData[[#This Row],[PointRank]]/100+PlayerGameData[[#This Row],[BLKOrder]],PlayerGameData[[#This Row],[BLKOrder]])</f>
        <v>34.159999999999997</v>
      </c>
      <c r="AZ284" s="8">
        <f ca="1">RANK(PlayerGameData[[#This Row],[BLKTieBreak]],PlayerGameData[BLKTieBreak],1)</f>
        <v>216</v>
      </c>
      <c r="BA284" s="11">
        <f ca="1">IFERROR(IF(PlayerGameData[[#This Row],[FGA]]&gt;$AA$5,PlayerGameData[[#This Row],[FG%*]],PlayerGameData[[#This Row],[FG%*]]*-1),-2)</f>
        <v>-2</v>
      </c>
      <c r="BB284" s="8">
        <f ca="1">RANK(PlayerGameData[[#This Row],[EligFG]],PlayerGameData[EligFG],0)+PlayerGameData[[#This Row],[VisibleOrder]]</f>
        <v>215</v>
      </c>
      <c r="BC284" s="8">
        <f ca="1">IF(COUNTIF(PlayerGameData[EligFGOrder],PlayerGameData[[#This Row],[EligFGOrder]])&gt;1,PlayerGameData[[#This Row],[PointRank]]/100+PlayerGameData[[#This Row],[EligFGOrder]],PlayerGameData[[#This Row],[EligFGOrder]])</f>
        <v>217.16</v>
      </c>
      <c r="BD284" s="8">
        <f ca="1">RANK(PlayerGameData[[#This Row],[EligFGTieBreak]],PlayerGameData[EligFGTieBreak],1)</f>
        <v>216</v>
      </c>
      <c r="BE284" s="8" t="str">
        <f>Roster!$D$3</f>
        <v>East</v>
      </c>
      <c r="BF284" s="8" t="str">
        <f>Roster!$D$2</f>
        <v>Northeast</v>
      </c>
      <c r="BG284" s="8" t="str">
        <f>Roster!$D$4</f>
        <v>North</v>
      </c>
      <c r="BH284" s="197">
        <f ca="1">IFERROR(VLOOKUP(CONCATENATE(PlayerGameData[[#This Row],[Opponent]]," ",MONTH(PlayerGameData[[#This Row],[Date]]),"/",DAY(PlayerGameData[[#This Row],[Date]]),"/",YEAR(PlayerGameData[[#This Row],[Date]])),Table35[],2,FALSE),0)</f>
        <v>1</v>
      </c>
      <c r="BI284" s="197">
        <f ca="1">IF(PlayerGameData[[#This Row],[Visible]]=1,1,1000)</f>
        <v>1</v>
      </c>
      <c r="BJ284" s="197" t="e">
        <f ca="1">_xlfn.MAXIFS(TeamGameData[Win],TeamGameData[School, Opponent,Game'#],PlayerGameData[[#This Row],[School, Opponent,Game'#]])</f>
        <v>#NAME?</v>
      </c>
      <c r="BK284" s="197" t="e">
        <f ca="1">_xlfn.MAXIFS(TeamGameData[Loss],TeamGameData[School, Opponent,Game'#],PlayerGameData[[#This Row],[School, Opponent,Game'#]])</f>
        <v>#NAME?</v>
      </c>
    </row>
    <row r="285" spans="1:63" x14ac:dyDescent="0.25">
      <c r="A285" s="8" t="str">
        <f t="shared" ca="1" si="153"/>
        <v xml:space="preserve">, </v>
      </c>
      <c r="B285" s="8" t="str">
        <f>Roster!$B$1</f>
        <v>Upton</v>
      </c>
      <c r="C285" s="8" t="str">
        <f t="shared" ca="1" si="141"/>
        <v>Kaycee</v>
      </c>
      <c r="D285" s="10">
        <f t="shared" ca="1" si="142"/>
        <v>44947</v>
      </c>
      <c r="E285" s="8">
        <f t="shared" ca="1" si="143"/>
        <v>0</v>
      </c>
      <c r="F285" s="8">
        <f t="shared" ca="1" si="144"/>
        <v>0</v>
      </c>
      <c r="G285" s="8">
        <f t="shared" ca="1" si="145"/>
        <v>0</v>
      </c>
      <c r="H285" s="8">
        <f t="shared" ca="1" si="146"/>
        <v>0</v>
      </c>
      <c r="I285" s="8">
        <f t="shared" ca="1" si="147"/>
        <v>0</v>
      </c>
      <c r="J285" s="8">
        <f t="shared" ca="1" si="148"/>
        <v>0</v>
      </c>
      <c r="K285" s="8">
        <f t="shared" ca="1" si="149"/>
        <v>0</v>
      </c>
      <c r="L285" s="8">
        <f t="shared" ca="1" si="154"/>
        <v>0</v>
      </c>
      <c r="M285" s="8">
        <f t="shared" ca="1" si="155"/>
        <v>0</v>
      </c>
      <c r="N285" s="8">
        <f t="shared" ca="1" si="156"/>
        <v>0</v>
      </c>
      <c r="O285" s="8">
        <f t="shared" ca="1" si="157"/>
        <v>0</v>
      </c>
      <c r="P285" s="8">
        <f t="shared" ca="1" si="158"/>
        <v>0</v>
      </c>
      <c r="Q285" s="8">
        <f t="shared" ca="1" si="159"/>
        <v>0</v>
      </c>
      <c r="R285" s="8">
        <f t="shared" ca="1" si="160"/>
        <v>0</v>
      </c>
      <c r="S285" s="8">
        <f t="shared" ca="1" si="161"/>
        <v>0</v>
      </c>
      <c r="T285" s="8">
        <f t="shared" ca="1" si="162"/>
        <v>0</v>
      </c>
      <c r="U285" s="8">
        <f t="shared" ca="1" si="163"/>
        <v>0</v>
      </c>
      <c r="V285" s="8">
        <f t="shared" ca="1" si="164"/>
        <v>0</v>
      </c>
      <c r="W285" s="11" t="str">
        <f t="shared" ca="1" si="165"/>
        <v/>
      </c>
      <c r="X285" s="11" t="str">
        <f t="shared" ca="1" si="166"/>
        <v/>
      </c>
      <c r="Y285" s="11" t="str">
        <f t="shared" ca="1" si="167"/>
        <v/>
      </c>
      <c r="Z285" s="11" t="str">
        <f t="shared" ca="1" si="168"/>
        <v/>
      </c>
      <c r="AA285" s="11" t="str">
        <f t="shared" ca="1" si="169"/>
        <v/>
      </c>
      <c r="AB285" s="47">
        <f ca="1">PlayerGameData[[#This Row],[3FGA]]+PlayerGameData[[#This Row],[2FGA]]</f>
        <v>0</v>
      </c>
      <c r="AC285" s="47">
        <f ca="1">PlayerGameData[[#This Row],[OFF REB]]+PlayerGameData[[#This Row],[DEF REB]]</f>
        <v>0</v>
      </c>
      <c r="AD285" s="8">
        <f t="shared" si="150"/>
        <v>12</v>
      </c>
      <c r="AE285" s="8" t="str">
        <f t="shared" ca="1" si="151"/>
        <v>,  - Kaycee 1/21/2023</v>
      </c>
      <c r="AF285" s="8" t="str">
        <f t="shared" ca="1" si="170"/>
        <v>R</v>
      </c>
      <c r="AG285" s="8" t="str">
        <f ca="1">IFERROR(IF(C285=0,"",IF(AND(VLOOKUP(PlayerGameData[[#This Row],[Opponent]],WYTeamInfo,2,FALSE)=Roster!$D$1,VLOOKUP(PlayerGameData[[#This Row],[Opponent]],WYTeamInfo,3,FALSE)=Roster!$D$2),"SR","")),"")</f>
        <v>SR</v>
      </c>
      <c r="AH285" s="8" t="str">
        <f>CONCATENATE(Roster!$D$1," ",Roster!$D$5)</f>
        <v>1A BB</v>
      </c>
      <c r="AI285" s="8" t="str">
        <f t="shared" ca="1" si="152"/>
        <v>Upton - Kaycee 1/21/2023</v>
      </c>
      <c r="AJ285" s="8">
        <f ca="1">IFERROR(VLOOKUP(PlayerGameData[[#This Row],[School, Opponent,Game'#]],Table3[],2,FALSE),0)</f>
        <v>1</v>
      </c>
      <c r="AK285" s="8">
        <f ca="1">IF(PlayerGameData[[#This Row],[Visible]]=1,1,1000)</f>
        <v>1</v>
      </c>
      <c r="AL285" s="8">
        <f ca="1">RANK(PlayerGameData[[#This Row],[TL PTS]],PlayerGameData[TL PTS],0)+PlayerGameData[[#This Row],[VisibleOrder]]</f>
        <v>185</v>
      </c>
      <c r="AM285" s="8">
        <f ca="1">IF(COUNTIF(PlayerGameData[PointOrder],PlayerGameData[[#This Row],[PointOrder]])&gt;1,RANK(PlayerGameData[[#This Row],[FGA]],PlayerGameData[FGA],0)/100,0)+PlayerGameData[[#This Row],[PointOrder]]</f>
        <v>187.14</v>
      </c>
      <c r="AN285" s="8">
        <f ca="1">RANK(PlayerGameData[[#This Row],[PointTieBreak]],PlayerGameData[PointTieBreak],1)</f>
        <v>216</v>
      </c>
      <c r="AO285" s="8">
        <f ca="1">RANK(PlayerGameData[[#This Row],[REB]],PlayerGameData[REB],0)+PlayerGameData[[#This Row],[VisibleOrder]]</f>
        <v>192</v>
      </c>
      <c r="AP285" s="8">
        <f ca="1">IF(COUNTIF(PlayerGameData[REBOrder],PlayerGameData[[#This Row],[REBOrder]])&gt;1,PlayerGameData[[#This Row],[PointRank]]/100+PlayerGameData[[#This Row],[REBOrder]],PlayerGameData[[#This Row],[REBOrder]])</f>
        <v>194.16</v>
      </c>
      <c r="AQ285" s="8">
        <f ca="1">RANK(PlayerGameData[[#This Row],[REBTieBreak]],PlayerGameData[REBTieBreak],1)</f>
        <v>224</v>
      </c>
      <c r="AR285" s="8">
        <f ca="1">RANK(PlayerGameData[[#This Row],[AST]],PlayerGameData[AST],0)+PlayerGameData[[#This Row],[VisibleOrder]]</f>
        <v>158</v>
      </c>
      <c r="AS285" s="8">
        <f ca="1">IF(COUNTIF(PlayerGameData[ASTOrder],PlayerGameData[[#This Row],[ASTOrder]])&gt;1,PlayerGameData[[#This Row],[PointRank]]/100+PlayerGameData[[#This Row],[ASTOrder]],PlayerGameData[[#This Row],[ASTOrder]])</f>
        <v>160.16</v>
      </c>
      <c r="AT285" s="8">
        <f ca="1">RANK(PlayerGameData[[#This Row],[ASTTieBreak]],PlayerGameData[ASTTieBreak],1)</f>
        <v>221</v>
      </c>
      <c r="AU285" s="8">
        <f ca="1">RANK(PlayerGameData[[#This Row],[STL]],PlayerGameData[STL],0)+PlayerGameData[[#This Row],[VisibleOrder]]</f>
        <v>143</v>
      </c>
      <c r="AV285" s="8">
        <f ca="1">IF(COUNTIF(PlayerGameData[STLOrder],PlayerGameData[[#This Row],[STLOrder]])&gt;1,PlayerGameData[[#This Row],[PointRank]]/100+PlayerGameData[[#This Row],[STLOrder]],PlayerGameData[[#This Row],[STLOrder]])</f>
        <v>145.16</v>
      </c>
      <c r="AW285" s="8">
        <f ca="1">RANK(PlayerGameData[[#This Row],[STLTieBreak]],PlayerGameData[STLTieBreak],1)</f>
        <v>217</v>
      </c>
      <c r="AX285" s="8">
        <f ca="1">RANK(PlayerGameData[[#This Row],[BLK]],PlayerGameData[BLK],0)+PlayerGameData[[#This Row],[VisibleOrder]]</f>
        <v>32</v>
      </c>
      <c r="AY285" s="8">
        <f ca="1">IF(COUNTIF(PlayerGameData[BLKOrder],PlayerGameData[[#This Row],[BLKOrder]])&gt;1,PlayerGameData[[#This Row],[PointRank]]/100+PlayerGameData[[#This Row],[BLKOrder]],PlayerGameData[[#This Row],[BLKOrder]])</f>
        <v>34.159999999999997</v>
      </c>
      <c r="AZ285" s="8">
        <f ca="1">RANK(PlayerGameData[[#This Row],[BLKTieBreak]],PlayerGameData[BLKTieBreak],1)</f>
        <v>216</v>
      </c>
      <c r="BA285" s="11">
        <f ca="1">IFERROR(IF(PlayerGameData[[#This Row],[FGA]]&gt;$AA$5,PlayerGameData[[#This Row],[FG%*]],PlayerGameData[[#This Row],[FG%*]]*-1),-2)</f>
        <v>-2</v>
      </c>
      <c r="BB285" s="8">
        <f ca="1">RANK(PlayerGameData[[#This Row],[EligFG]],PlayerGameData[EligFG],0)+PlayerGameData[[#This Row],[VisibleOrder]]</f>
        <v>215</v>
      </c>
      <c r="BC285" s="8">
        <f ca="1">IF(COUNTIF(PlayerGameData[EligFGOrder],PlayerGameData[[#This Row],[EligFGOrder]])&gt;1,PlayerGameData[[#This Row],[PointRank]]/100+PlayerGameData[[#This Row],[EligFGOrder]],PlayerGameData[[#This Row],[EligFGOrder]])</f>
        <v>217.16</v>
      </c>
      <c r="BD285" s="8">
        <f ca="1">RANK(PlayerGameData[[#This Row],[EligFGTieBreak]],PlayerGameData[EligFGTieBreak],1)</f>
        <v>216</v>
      </c>
      <c r="BE285" s="8" t="str">
        <f>Roster!$D$3</f>
        <v>East</v>
      </c>
      <c r="BF285" s="8" t="str">
        <f>Roster!$D$2</f>
        <v>Northeast</v>
      </c>
      <c r="BG285" s="8" t="str">
        <f>Roster!$D$4</f>
        <v>North</v>
      </c>
      <c r="BH285" s="197">
        <f ca="1">IFERROR(VLOOKUP(CONCATENATE(PlayerGameData[[#This Row],[Opponent]]," ",MONTH(PlayerGameData[[#This Row],[Date]]),"/",DAY(PlayerGameData[[#This Row],[Date]]),"/",YEAR(PlayerGameData[[#This Row],[Date]])),Table35[],2,FALSE),0)</f>
        <v>1</v>
      </c>
      <c r="BI285" s="197">
        <f ca="1">IF(PlayerGameData[[#This Row],[Visible]]=1,1,1000)</f>
        <v>1</v>
      </c>
      <c r="BJ285" s="197" t="e">
        <f ca="1">_xlfn.MAXIFS(TeamGameData[Win],TeamGameData[School, Opponent,Game'#],PlayerGameData[[#This Row],[School, Opponent,Game'#]])</f>
        <v>#NAME?</v>
      </c>
      <c r="BK285" s="197" t="e">
        <f ca="1">_xlfn.MAXIFS(TeamGameData[Loss],TeamGameData[School, Opponent,Game'#],PlayerGameData[[#This Row],[School, Opponent,Game'#]])</f>
        <v>#NAME?</v>
      </c>
    </row>
    <row r="286" spans="1:63" x14ac:dyDescent="0.25">
      <c r="A286" s="8" t="str">
        <f t="shared" ca="1" si="153"/>
        <v xml:space="preserve">, </v>
      </c>
      <c r="B286" s="8" t="str">
        <f>Roster!$B$1</f>
        <v>Upton</v>
      </c>
      <c r="C286" s="8" t="str">
        <f t="shared" ca="1" si="141"/>
        <v>Kaycee</v>
      </c>
      <c r="D286" s="10">
        <f t="shared" ca="1" si="142"/>
        <v>44947</v>
      </c>
      <c r="E286" s="8">
        <f t="shared" ca="1" si="143"/>
        <v>0</v>
      </c>
      <c r="F286" s="8">
        <f t="shared" ca="1" si="144"/>
        <v>0</v>
      </c>
      <c r="G286" s="8">
        <f t="shared" ca="1" si="145"/>
        <v>0</v>
      </c>
      <c r="H286" s="8">
        <f t="shared" ca="1" si="146"/>
        <v>0</v>
      </c>
      <c r="I286" s="8">
        <f t="shared" ca="1" si="147"/>
        <v>0</v>
      </c>
      <c r="J286" s="8">
        <f t="shared" ca="1" si="148"/>
        <v>0</v>
      </c>
      <c r="K286" s="8">
        <f t="shared" ca="1" si="149"/>
        <v>0</v>
      </c>
      <c r="L286" s="8">
        <f t="shared" ca="1" si="154"/>
        <v>0</v>
      </c>
      <c r="M286" s="8">
        <f t="shared" ca="1" si="155"/>
        <v>0</v>
      </c>
      <c r="N286" s="8">
        <f t="shared" ca="1" si="156"/>
        <v>0</v>
      </c>
      <c r="O286" s="8">
        <f t="shared" ca="1" si="157"/>
        <v>0</v>
      </c>
      <c r="P286" s="8">
        <f t="shared" ca="1" si="158"/>
        <v>0</v>
      </c>
      <c r="Q286" s="8">
        <f t="shared" ca="1" si="159"/>
        <v>0</v>
      </c>
      <c r="R286" s="8">
        <f t="shared" ca="1" si="160"/>
        <v>0</v>
      </c>
      <c r="S286" s="8">
        <f t="shared" ca="1" si="161"/>
        <v>0</v>
      </c>
      <c r="T286" s="8">
        <f t="shared" ca="1" si="162"/>
        <v>0</v>
      </c>
      <c r="U286" s="8">
        <f t="shared" ca="1" si="163"/>
        <v>0</v>
      </c>
      <c r="V286" s="8">
        <f t="shared" ca="1" si="164"/>
        <v>0</v>
      </c>
      <c r="W286" s="11" t="str">
        <f t="shared" ca="1" si="165"/>
        <v/>
      </c>
      <c r="X286" s="11" t="str">
        <f t="shared" ca="1" si="166"/>
        <v/>
      </c>
      <c r="Y286" s="11" t="str">
        <f t="shared" ca="1" si="167"/>
        <v/>
      </c>
      <c r="Z286" s="11" t="str">
        <f t="shared" ca="1" si="168"/>
        <v/>
      </c>
      <c r="AA286" s="11" t="str">
        <f t="shared" ca="1" si="169"/>
        <v/>
      </c>
      <c r="AB286" s="47">
        <f ca="1">PlayerGameData[[#This Row],[3FGA]]+PlayerGameData[[#This Row],[2FGA]]</f>
        <v>0</v>
      </c>
      <c r="AC286" s="47">
        <f ca="1">PlayerGameData[[#This Row],[OFF REB]]+PlayerGameData[[#This Row],[DEF REB]]</f>
        <v>0</v>
      </c>
      <c r="AD286" s="8">
        <f t="shared" si="150"/>
        <v>12</v>
      </c>
      <c r="AE286" s="8" t="str">
        <f t="shared" ca="1" si="151"/>
        <v>,  - Kaycee 1/21/2023</v>
      </c>
      <c r="AF286" s="8" t="str">
        <f t="shared" ca="1" si="170"/>
        <v>R</v>
      </c>
      <c r="AG286" s="8" t="str">
        <f ca="1">IFERROR(IF(C286=0,"",IF(AND(VLOOKUP(PlayerGameData[[#This Row],[Opponent]],WYTeamInfo,2,FALSE)=Roster!$D$1,VLOOKUP(PlayerGameData[[#This Row],[Opponent]],WYTeamInfo,3,FALSE)=Roster!$D$2),"SR","")),"")</f>
        <v>SR</v>
      </c>
      <c r="AH286" s="8" t="str">
        <f>CONCATENATE(Roster!$D$1," ",Roster!$D$5)</f>
        <v>1A BB</v>
      </c>
      <c r="AI286" s="8" t="str">
        <f t="shared" ca="1" si="152"/>
        <v>Upton - Kaycee 1/21/2023</v>
      </c>
      <c r="AJ286" s="8">
        <f ca="1">IFERROR(VLOOKUP(PlayerGameData[[#This Row],[School, Opponent,Game'#]],Table3[],2,FALSE),0)</f>
        <v>1</v>
      </c>
      <c r="AK286" s="8">
        <f ca="1">IF(PlayerGameData[[#This Row],[Visible]]=1,1,1000)</f>
        <v>1</v>
      </c>
      <c r="AL286" s="8">
        <f ca="1">RANK(PlayerGameData[[#This Row],[TL PTS]],PlayerGameData[TL PTS],0)+PlayerGameData[[#This Row],[VisibleOrder]]</f>
        <v>185</v>
      </c>
      <c r="AM286" s="8">
        <f ca="1">IF(COUNTIF(PlayerGameData[PointOrder],PlayerGameData[[#This Row],[PointOrder]])&gt;1,RANK(PlayerGameData[[#This Row],[FGA]],PlayerGameData[FGA],0)/100,0)+PlayerGameData[[#This Row],[PointOrder]]</f>
        <v>187.14</v>
      </c>
      <c r="AN286" s="8">
        <f ca="1">RANK(PlayerGameData[[#This Row],[PointTieBreak]],PlayerGameData[PointTieBreak],1)</f>
        <v>216</v>
      </c>
      <c r="AO286" s="8">
        <f ca="1">RANK(PlayerGameData[[#This Row],[REB]],PlayerGameData[REB],0)+PlayerGameData[[#This Row],[VisibleOrder]]</f>
        <v>192</v>
      </c>
      <c r="AP286" s="8">
        <f ca="1">IF(COUNTIF(PlayerGameData[REBOrder],PlayerGameData[[#This Row],[REBOrder]])&gt;1,PlayerGameData[[#This Row],[PointRank]]/100+PlayerGameData[[#This Row],[REBOrder]],PlayerGameData[[#This Row],[REBOrder]])</f>
        <v>194.16</v>
      </c>
      <c r="AQ286" s="8">
        <f ca="1">RANK(PlayerGameData[[#This Row],[REBTieBreak]],PlayerGameData[REBTieBreak],1)</f>
        <v>224</v>
      </c>
      <c r="AR286" s="8">
        <f ca="1">RANK(PlayerGameData[[#This Row],[AST]],PlayerGameData[AST],0)+PlayerGameData[[#This Row],[VisibleOrder]]</f>
        <v>158</v>
      </c>
      <c r="AS286" s="8">
        <f ca="1">IF(COUNTIF(PlayerGameData[ASTOrder],PlayerGameData[[#This Row],[ASTOrder]])&gt;1,PlayerGameData[[#This Row],[PointRank]]/100+PlayerGameData[[#This Row],[ASTOrder]],PlayerGameData[[#This Row],[ASTOrder]])</f>
        <v>160.16</v>
      </c>
      <c r="AT286" s="8">
        <f ca="1">RANK(PlayerGameData[[#This Row],[ASTTieBreak]],PlayerGameData[ASTTieBreak],1)</f>
        <v>221</v>
      </c>
      <c r="AU286" s="8">
        <f ca="1">RANK(PlayerGameData[[#This Row],[STL]],PlayerGameData[STL],0)+PlayerGameData[[#This Row],[VisibleOrder]]</f>
        <v>143</v>
      </c>
      <c r="AV286" s="8">
        <f ca="1">IF(COUNTIF(PlayerGameData[STLOrder],PlayerGameData[[#This Row],[STLOrder]])&gt;1,PlayerGameData[[#This Row],[PointRank]]/100+PlayerGameData[[#This Row],[STLOrder]],PlayerGameData[[#This Row],[STLOrder]])</f>
        <v>145.16</v>
      </c>
      <c r="AW286" s="8">
        <f ca="1">RANK(PlayerGameData[[#This Row],[STLTieBreak]],PlayerGameData[STLTieBreak],1)</f>
        <v>217</v>
      </c>
      <c r="AX286" s="8">
        <f ca="1">RANK(PlayerGameData[[#This Row],[BLK]],PlayerGameData[BLK],0)+PlayerGameData[[#This Row],[VisibleOrder]]</f>
        <v>32</v>
      </c>
      <c r="AY286" s="8">
        <f ca="1">IF(COUNTIF(PlayerGameData[BLKOrder],PlayerGameData[[#This Row],[BLKOrder]])&gt;1,PlayerGameData[[#This Row],[PointRank]]/100+PlayerGameData[[#This Row],[BLKOrder]],PlayerGameData[[#This Row],[BLKOrder]])</f>
        <v>34.159999999999997</v>
      </c>
      <c r="AZ286" s="8">
        <f ca="1">RANK(PlayerGameData[[#This Row],[BLKTieBreak]],PlayerGameData[BLKTieBreak],1)</f>
        <v>216</v>
      </c>
      <c r="BA286" s="11">
        <f ca="1">IFERROR(IF(PlayerGameData[[#This Row],[FGA]]&gt;$AA$5,PlayerGameData[[#This Row],[FG%*]],PlayerGameData[[#This Row],[FG%*]]*-1),-2)</f>
        <v>-2</v>
      </c>
      <c r="BB286" s="8">
        <f ca="1">RANK(PlayerGameData[[#This Row],[EligFG]],PlayerGameData[EligFG],0)+PlayerGameData[[#This Row],[VisibleOrder]]</f>
        <v>215</v>
      </c>
      <c r="BC286" s="8">
        <f ca="1">IF(COUNTIF(PlayerGameData[EligFGOrder],PlayerGameData[[#This Row],[EligFGOrder]])&gt;1,PlayerGameData[[#This Row],[PointRank]]/100+PlayerGameData[[#This Row],[EligFGOrder]],PlayerGameData[[#This Row],[EligFGOrder]])</f>
        <v>217.16</v>
      </c>
      <c r="BD286" s="8">
        <f ca="1">RANK(PlayerGameData[[#This Row],[EligFGTieBreak]],PlayerGameData[EligFGTieBreak],1)</f>
        <v>216</v>
      </c>
      <c r="BE286" s="8" t="str">
        <f>Roster!$D$3</f>
        <v>East</v>
      </c>
      <c r="BF286" s="8" t="str">
        <f>Roster!$D$2</f>
        <v>Northeast</v>
      </c>
      <c r="BG286" s="8" t="str">
        <f>Roster!$D$4</f>
        <v>North</v>
      </c>
      <c r="BH286" s="197">
        <f ca="1">IFERROR(VLOOKUP(CONCATENATE(PlayerGameData[[#This Row],[Opponent]]," ",MONTH(PlayerGameData[[#This Row],[Date]]),"/",DAY(PlayerGameData[[#This Row],[Date]]),"/",YEAR(PlayerGameData[[#This Row],[Date]])),Table35[],2,FALSE),0)</f>
        <v>1</v>
      </c>
      <c r="BI286" s="197">
        <f ca="1">IF(PlayerGameData[[#This Row],[Visible]]=1,1,1000)</f>
        <v>1</v>
      </c>
      <c r="BJ286" s="197" t="e">
        <f ca="1">_xlfn.MAXIFS(TeamGameData[Win],TeamGameData[School, Opponent,Game'#],PlayerGameData[[#This Row],[School, Opponent,Game'#]])</f>
        <v>#NAME?</v>
      </c>
      <c r="BK286" s="197" t="e">
        <f ca="1">_xlfn.MAXIFS(TeamGameData[Loss],TeamGameData[School, Opponent,Game'#],PlayerGameData[[#This Row],[School, Opponent,Game'#]])</f>
        <v>#NAME?</v>
      </c>
    </row>
    <row r="287" spans="1:63" x14ac:dyDescent="0.25">
      <c r="A287" s="8" t="str">
        <f t="shared" ca="1" si="153"/>
        <v xml:space="preserve">, </v>
      </c>
      <c r="B287" s="8" t="str">
        <f>Roster!$B$1</f>
        <v>Upton</v>
      </c>
      <c r="C287" s="8" t="str">
        <f t="shared" ca="1" si="141"/>
        <v>Kaycee</v>
      </c>
      <c r="D287" s="10">
        <f t="shared" ca="1" si="142"/>
        <v>44947</v>
      </c>
      <c r="E287" s="8">
        <f t="shared" ca="1" si="143"/>
        <v>0</v>
      </c>
      <c r="F287" s="8">
        <f t="shared" ca="1" si="144"/>
        <v>0</v>
      </c>
      <c r="G287" s="8">
        <f t="shared" ca="1" si="145"/>
        <v>0</v>
      </c>
      <c r="H287" s="8">
        <f t="shared" ca="1" si="146"/>
        <v>0</v>
      </c>
      <c r="I287" s="8">
        <f t="shared" ca="1" si="147"/>
        <v>0</v>
      </c>
      <c r="J287" s="8">
        <f t="shared" ca="1" si="148"/>
        <v>0</v>
      </c>
      <c r="K287" s="8">
        <f t="shared" ca="1" si="149"/>
        <v>0</v>
      </c>
      <c r="L287" s="8">
        <f t="shared" ca="1" si="154"/>
        <v>0</v>
      </c>
      <c r="M287" s="8">
        <f t="shared" ca="1" si="155"/>
        <v>0</v>
      </c>
      <c r="N287" s="8">
        <f t="shared" ca="1" si="156"/>
        <v>0</v>
      </c>
      <c r="O287" s="8">
        <f t="shared" ca="1" si="157"/>
        <v>0</v>
      </c>
      <c r="P287" s="8">
        <f t="shared" ca="1" si="158"/>
        <v>0</v>
      </c>
      <c r="Q287" s="8">
        <f t="shared" ca="1" si="159"/>
        <v>0</v>
      </c>
      <c r="R287" s="8">
        <f t="shared" ca="1" si="160"/>
        <v>0</v>
      </c>
      <c r="S287" s="8">
        <f t="shared" ca="1" si="161"/>
        <v>0</v>
      </c>
      <c r="T287" s="8">
        <f t="shared" ca="1" si="162"/>
        <v>0</v>
      </c>
      <c r="U287" s="8">
        <f t="shared" ca="1" si="163"/>
        <v>0</v>
      </c>
      <c r="V287" s="8">
        <f t="shared" ca="1" si="164"/>
        <v>0</v>
      </c>
      <c r="W287" s="11" t="str">
        <f t="shared" ca="1" si="165"/>
        <v/>
      </c>
      <c r="X287" s="11" t="str">
        <f t="shared" ca="1" si="166"/>
        <v/>
      </c>
      <c r="Y287" s="11" t="str">
        <f t="shared" ca="1" si="167"/>
        <v/>
      </c>
      <c r="Z287" s="11" t="str">
        <f t="shared" ca="1" si="168"/>
        <v/>
      </c>
      <c r="AA287" s="11" t="str">
        <f t="shared" ca="1" si="169"/>
        <v/>
      </c>
      <c r="AB287" s="47">
        <f ca="1">PlayerGameData[[#This Row],[3FGA]]+PlayerGameData[[#This Row],[2FGA]]</f>
        <v>0</v>
      </c>
      <c r="AC287" s="47">
        <f ca="1">PlayerGameData[[#This Row],[OFF REB]]+PlayerGameData[[#This Row],[DEF REB]]</f>
        <v>0</v>
      </c>
      <c r="AD287" s="8">
        <f t="shared" si="150"/>
        <v>12</v>
      </c>
      <c r="AE287" s="8" t="str">
        <f t="shared" ca="1" si="151"/>
        <v>,  - Kaycee 1/21/2023</v>
      </c>
      <c r="AF287" s="8" t="str">
        <f t="shared" ca="1" si="170"/>
        <v>R</v>
      </c>
      <c r="AG287" s="8" t="str">
        <f ca="1">IFERROR(IF(C287=0,"",IF(AND(VLOOKUP(PlayerGameData[[#This Row],[Opponent]],WYTeamInfo,2,FALSE)=Roster!$D$1,VLOOKUP(PlayerGameData[[#This Row],[Opponent]],WYTeamInfo,3,FALSE)=Roster!$D$2),"SR","")),"")</f>
        <v>SR</v>
      </c>
      <c r="AH287" s="8" t="str">
        <f>CONCATENATE(Roster!$D$1," ",Roster!$D$5)</f>
        <v>1A BB</v>
      </c>
      <c r="AI287" s="8" t="str">
        <f t="shared" ca="1" si="152"/>
        <v>Upton - Kaycee 1/21/2023</v>
      </c>
      <c r="AJ287" s="8">
        <f ca="1">IFERROR(VLOOKUP(PlayerGameData[[#This Row],[School, Opponent,Game'#]],Table3[],2,FALSE),0)</f>
        <v>1</v>
      </c>
      <c r="AK287" s="8">
        <f ca="1">IF(PlayerGameData[[#This Row],[Visible]]=1,1,1000)</f>
        <v>1</v>
      </c>
      <c r="AL287" s="8">
        <f ca="1">RANK(PlayerGameData[[#This Row],[TL PTS]],PlayerGameData[TL PTS],0)+PlayerGameData[[#This Row],[VisibleOrder]]</f>
        <v>185</v>
      </c>
      <c r="AM287" s="8">
        <f ca="1">IF(COUNTIF(PlayerGameData[PointOrder],PlayerGameData[[#This Row],[PointOrder]])&gt;1,RANK(PlayerGameData[[#This Row],[FGA]],PlayerGameData[FGA],0)/100,0)+PlayerGameData[[#This Row],[PointOrder]]</f>
        <v>187.14</v>
      </c>
      <c r="AN287" s="8">
        <f ca="1">RANK(PlayerGameData[[#This Row],[PointTieBreak]],PlayerGameData[PointTieBreak],1)</f>
        <v>216</v>
      </c>
      <c r="AO287" s="8">
        <f ca="1">RANK(PlayerGameData[[#This Row],[REB]],PlayerGameData[REB],0)+PlayerGameData[[#This Row],[VisibleOrder]]</f>
        <v>192</v>
      </c>
      <c r="AP287" s="8">
        <f ca="1">IF(COUNTIF(PlayerGameData[REBOrder],PlayerGameData[[#This Row],[REBOrder]])&gt;1,PlayerGameData[[#This Row],[PointRank]]/100+PlayerGameData[[#This Row],[REBOrder]],PlayerGameData[[#This Row],[REBOrder]])</f>
        <v>194.16</v>
      </c>
      <c r="AQ287" s="8">
        <f ca="1">RANK(PlayerGameData[[#This Row],[REBTieBreak]],PlayerGameData[REBTieBreak],1)</f>
        <v>224</v>
      </c>
      <c r="AR287" s="8">
        <f ca="1">RANK(PlayerGameData[[#This Row],[AST]],PlayerGameData[AST],0)+PlayerGameData[[#This Row],[VisibleOrder]]</f>
        <v>158</v>
      </c>
      <c r="AS287" s="8">
        <f ca="1">IF(COUNTIF(PlayerGameData[ASTOrder],PlayerGameData[[#This Row],[ASTOrder]])&gt;1,PlayerGameData[[#This Row],[PointRank]]/100+PlayerGameData[[#This Row],[ASTOrder]],PlayerGameData[[#This Row],[ASTOrder]])</f>
        <v>160.16</v>
      </c>
      <c r="AT287" s="8">
        <f ca="1">RANK(PlayerGameData[[#This Row],[ASTTieBreak]],PlayerGameData[ASTTieBreak],1)</f>
        <v>221</v>
      </c>
      <c r="AU287" s="8">
        <f ca="1">RANK(PlayerGameData[[#This Row],[STL]],PlayerGameData[STL],0)+PlayerGameData[[#This Row],[VisibleOrder]]</f>
        <v>143</v>
      </c>
      <c r="AV287" s="8">
        <f ca="1">IF(COUNTIF(PlayerGameData[STLOrder],PlayerGameData[[#This Row],[STLOrder]])&gt;1,PlayerGameData[[#This Row],[PointRank]]/100+PlayerGameData[[#This Row],[STLOrder]],PlayerGameData[[#This Row],[STLOrder]])</f>
        <v>145.16</v>
      </c>
      <c r="AW287" s="8">
        <f ca="1">RANK(PlayerGameData[[#This Row],[STLTieBreak]],PlayerGameData[STLTieBreak],1)</f>
        <v>217</v>
      </c>
      <c r="AX287" s="8">
        <f ca="1">RANK(PlayerGameData[[#This Row],[BLK]],PlayerGameData[BLK],0)+PlayerGameData[[#This Row],[VisibleOrder]]</f>
        <v>32</v>
      </c>
      <c r="AY287" s="8">
        <f ca="1">IF(COUNTIF(PlayerGameData[BLKOrder],PlayerGameData[[#This Row],[BLKOrder]])&gt;1,PlayerGameData[[#This Row],[PointRank]]/100+PlayerGameData[[#This Row],[BLKOrder]],PlayerGameData[[#This Row],[BLKOrder]])</f>
        <v>34.159999999999997</v>
      </c>
      <c r="AZ287" s="8">
        <f ca="1">RANK(PlayerGameData[[#This Row],[BLKTieBreak]],PlayerGameData[BLKTieBreak],1)</f>
        <v>216</v>
      </c>
      <c r="BA287" s="11">
        <f ca="1">IFERROR(IF(PlayerGameData[[#This Row],[FGA]]&gt;$AA$5,PlayerGameData[[#This Row],[FG%*]],PlayerGameData[[#This Row],[FG%*]]*-1),-2)</f>
        <v>-2</v>
      </c>
      <c r="BB287" s="8">
        <f ca="1">RANK(PlayerGameData[[#This Row],[EligFG]],PlayerGameData[EligFG],0)+PlayerGameData[[#This Row],[VisibleOrder]]</f>
        <v>215</v>
      </c>
      <c r="BC287" s="8">
        <f ca="1">IF(COUNTIF(PlayerGameData[EligFGOrder],PlayerGameData[[#This Row],[EligFGOrder]])&gt;1,PlayerGameData[[#This Row],[PointRank]]/100+PlayerGameData[[#This Row],[EligFGOrder]],PlayerGameData[[#This Row],[EligFGOrder]])</f>
        <v>217.16</v>
      </c>
      <c r="BD287" s="8">
        <f ca="1">RANK(PlayerGameData[[#This Row],[EligFGTieBreak]],PlayerGameData[EligFGTieBreak],1)</f>
        <v>216</v>
      </c>
      <c r="BE287" s="8" t="str">
        <f>Roster!$D$3</f>
        <v>East</v>
      </c>
      <c r="BF287" s="8" t="str">
        <f>Roster!$D$2</f>
        <v>Northeast</v>
      </c>
      <c r="BG287" s="8" t="str">
        <f>Roster!$D$4</f>
        <v>North</v>
      </c>
      <c r="BH287" s="197">
        <f ca="1">IFERROR(VLOOKUP(CONCATENATE(PlayerGameData[[#This Row],[Opponent]]," ",MONTH(PlayerGameData[[#This Row],[Date]]),"/",DAY(PlayerGameData[[#This Row],[Date]]),"/",YEAR(PlayerGameData[[#This Row],[Date]])),Table35[],2,FALSE),0)</f>
        <v>1</v>
      </c>
      <c r="BI287" s="197">
        <f ca="1">IF(PlayerGameData[[#This Row],[Visible]]=1,1,1000)</f>
        <v>1</v>
      </c>
      <c r="BJ287" s="197" t="e">
        <f ca="1">_xlfn.MAXIFS(TeamGameData[Win],TeamGameData[School, Opponent,Game'#],PlayerGameData[[#This Row],[School, Opponent,Game'#]])</f>
        <v>#NAME?</v>
      </c>
      <c r="BK287" s="197" t="e">
        <f ca="1">_xlfn.MAXIFS(TeamGameData[Loss],TeamGameData[School, Opponent,Game'#],PlayerGameData[[#This Row],[School, Opponent,Game'#]])</f>
        <v>#NAME?</v>
      </c>
    </row>
    <row r="288" spans="1:63" x14ac:dyDescent="0.25">
      <c r="A288" s="8" t="str">
        <f t="shared" ca="1" si="153"/>
        <v xml:space="preserve">, </v>
      </c>
      <c r="B288" s="8" t="str">
        <f>Roster!$B$1</f>
        <v>Upton</v>
      </c>
      <c r="C288" s="8" t="str">
        <f t="shared" ca="1" si="141"/>
        <v>Kaycee</v>
      </c>
      <c r="D288" s="10">
        <f t="shared" ca="1" si="142"/>
        <v>44947</v>
      </c>
      <c r="E288" s="8">
        <f t="shared" ca="1" si="143"/>
        <v>0</v>
      </c>
      <c r="F288" s="8">
        <f t="shared" ca="1" si="144"/>
        <v>0</v>
      </c>
      <c r="G288" s="8">
        <f t="shared" ca="1" si="145"/>
        <v>0</v>
      </c>
      <c r="H288" s="8">
        <f t="shared" ca="1" si="146"/>
        <v>0</v>
      </c>
      <c r="I288" s="8">
        <f t="shared" ca="1" si="147"/>
        <v>0</v>
      </c>
      <c r="J288" s="8">
        <f t="shared" ca="1" si="148"/>
        <v>0</v>
      </c>
      <c r="K288" s="8">
        <f t="shared" ca="1" si="149"/>
        <v>0</v>
      </c>
      <c r="L288" s="8">
        <f t="shared" ca="1" si="154"/>
        <v>0</v>
      </c>
      <c r="M288" s="8">
        <f t="shared" ca="1" si="155"/>
        <v>0</v>
      </c>
      <c r="N288" s="8">
        <f t="shared" ca="1" si="156"/>
        <v>0</v>
      </c>
      <c r="O288" s="8">
        <f t="shared" ca="1" si="157"/>
        <v>0</v>
      </c>
      <c r="P288" s="8">
        <f t="shared" ca="1" si="158"/>
        <v>0</v>
      </c>
      <c r="Q288" s="8">
        <f t="shared" ca="1" si="159"/>
        <v>0</v>
      </c>
      <c r="R288" s="8">
        <f t="shared" ca="1" si="160"/>
        <v>0</v>
      </c>
      <c r="S288" s="8">
        <f t="shared" ca="1" si="161"/>
        <v>0</v>
      </c>
      <c r="T288" s="8">
        <f t="shared" ca="1" si="162"/>
        <v>0</v>
      </c>
      <c r="U288" s="8">
        <f t="shared" ca="1" si="163"/>
        <v>0</v>
      </c>
      <c r="V288" s="8">
        <f t="shared" ca="1" si="164"/>
        <v>0</v>
      </c>
      <c r="W288" s="11" t="str">
        <f t="shared" ca="1" si="165"/>
        <v/>
      </c>
      <c r="X288" s="11" t="str">
        <f t="shared" ca="1" si="166"/>
        <v/>
      </c>
      <c r="Y288" s="11" t="str">
        <f t="shared" ca="1" si="167"/>
        <v/>
      </c>
      <c r="Z288" s="11" t="str">
        <f t="shared" ca="1" si="168"/>
        <v/>
      </c>
      <c r="AA288" s="11" t="str">
        <f t="shared" ca="1" si="169"/>
        <v/>
      </c>
      <c r="AB288" s="47">
        <f ca="1">PlayerGameData[[#This Row],[3FGA]]+PlayerGameData[[#This Row],[2FGA]]</f>
        <v>0</v>
      </c>
      <c r="AC288" s="47">
        <f ca="1">PlayerGameData[[#This Row],[OFF REB]]+PlayerGameData[[#This Row],[DEF REB]]</f>
        <v>0</v>
      </c>
      <c r="AD288" s="8">
        <f t="shared" si="150"/>
        <v>12</v>
      </c>
      <c r="AE288" s="8" t="str">
        <f t="shared" ca="1" si="151"/>
        <v>,  - Kaycee 1/21/2023</v>
      </c>
      <c r="AF288" s="8" t="str">
        <f t="shared" ca="1" si="170"/>
        <v>R</v>
      </c>
      <c r="AG288" s="8" t="str">
        <f ca="1">IFERROR(IF(C288=0,"",IF(AND(VLOOKUP(PlayerGameData[[#This Row],[Opponent]],WYTeamInfo,2,FALSE)=Roster!$D$1,VLOOKUP(PlayerGameData[[#This Row],[Opponent]],WYTeamInfo,3,FALSE)=Roster!$D$2),"SR","")),"")</f>
        <v>SR</v>
      </c>
      <c r="AH288" s="8" t="str">
        <f>CONCATENATE(Roster!$D$1," ",Roster!$D$5)</f>
        <v>1A BB</v>
      </c>
      <c r="AI288" s="8" t="str">
        <f t="shared" ca="1" si="152"/>
        <v>Upton - Kaycee 1/21/2023</v>
      </c>
      <c r="AJ288" s="8">
        <f ca="1">IFERROR(VLOOKUP(PlayerGameData[[#This Row],[School, Opponent,Game'#]],Table3[],2,FALSE),0)</f>
        <v>1</v>
      </c>
      <c r="AK288" s="8">
        <f ca="1">IF(PlayerGameData[[#This Row],[Visible]]=1,1,1000)</f>
        <v>1</v>
      </c>
      <c r="AL288" s="8">
        <f ca="1">RANK(PlayerGameData[[#This Row],[TL PTS]],PlayerGameData[TL PTS],0)+PlayerGameData[[#This Row],[VisibleOrder]]</f>
        <v>185</v>
      </c>
      <c r="AM288" s="8">
        <f ca="1">IF(COUNTIF(PlayerGameData[PointOrder],PlayerGameData[[#This Row],[PointOrder]])&gt;1,RANK(PlayerGameData[[#This Row],[FGA]],PlayerGameData[FGA],0)/100,0)+PlayerGameData[[#This Row],[PointOrder]]</f>
        <v>187.14</v>
      </c>
      <c r="AN288" s="8">
        <f ca="1">RANK(PlayerGameData[[#This Row],[PointTieBreak]],PlayerGameData[PointTieBreak],1)</f>
        <v>216</v>
      </c>
      <c r="AO288" s="8">
        <f ca="1">RANK(PlayerGameData[[#This Row],[REB]],PlayerGameData[REB],0)+PlayerGameData[[#This Row],[VisibleOrder]]</f>
        <v>192</v>
      </c>
      <c r="AP288" s="8">
        <f ca="1">IF(COUNTIF(PlayerGameData[REBOrder],PlayerGameData[[#This Row],[REBOrder]])&gt;1,PlayerGameData[[#This Row],[PointRank]]/100+PlayerGameData[[#This Row],[REBOrder]],PlayerGameData[[#This Row],[REBOrder]])</f>
        <v>194.16</v>
      </c>
      <c r="AQ288" s="8">
        <f ca="1">RANK(PlayerGameData[[#This Row],[REBTieBreak]],PlayerGameData[REBTieBreak],1)</f>
        <v>224</v>
      </c>
      <c r="AR288" s="8">
        <f ca="1">RANK(PlayerGameData[[#This Row],[AST]],PlayerGameData[AST],0)+PlayerGameData[[#This Row],[VisibleOrder]]</f>
        <v>158</v>
      </c>
      <c r="AS288" s="8">
        <f ca="1">IF(COUNTIF(PlayerGameData[ASTOrder],PlayerGameData[[#This Row],[ASTOrder]])&gt;1,PlayerGameData[[#This Row],[PointRank]]/100+PlayerGameData[[#This Row],[ASTOrder]],PlayerGameData[[#This Row],[ASTOrder]])</f>
        <v>160.16</v>
      </c>
      <c r="AT288" s="8">
        <f ca="1">RANK(PlayerGameData[[#This Row],[ASTTieBreak]],PlayerGameData[ASTTieBreak],1)</f>
        <v>221</v>
      </c>
      <c r="AU288" s="8">
        <f ca="1">RANK(PlayerGameData[[#This Row],[STL]],PlayerGameData[STL],0)+PlayerGameData[[#This Row],[VisibleOrder]]</f>
        <v>143</v>
      </c>
      <c r="AV288" s="8">
        <f ca="1">IF(COUNTIF(PlayerGameData[STLOrder],PlayerGameData[[#This Row],[STLOrder]])&gt;1,PlayerGameData[[#This Row],[PointRank]]/100+PlayerGameData[[#This Row],[STLOrder]],PlayerGameData[[#This Row],[STLOrder]])</f>
        <v>145.16</v>
      </c>
      <c r="AW288" s="8">
        <f ca="1">RANK(PlayerGameData[[#This Row],[STLTieBreak]],PlayerGameData[STLTieBreak],1)</f>
        <v>217</v>
      </c>
      <c r="AX288" s="8">
        <f ca="1">RANK(PlayerGameData[[#This Row],[BLK]],PlayerGameData[BLK],0)+PlayerGameData[[#This Row],[VisibleOrder]]</f>
        <v>32</v>
      </c>
      <c r="AY288" s="8">
        <f ca="1">IF(COUNTIF(PlayerGameData[BLKOrder],PlayerGameData[[#This Row],[BLKOrder]])&gt;1,PlayerGameData[[#This Row],[PointRank]]/100+PlayerGameData[[#This Row],[BLKOrder]],PlayerGameData[[#This Row],[BLKOrder]])</f>
        <v>34.159999999999997</v>
      </c>
      <c r="AZ288" s="8">
        <f ca="1">RANK(PlayerGameData[[#This Row],[BLKTieBreak]],PlayerGameData[BLKTieBreak],1)</f>
        <v>216</v>
      </c>
      <c r="BA288" s="11">
        <f ca="1">IFERROR(IF(PlayerGameData[[#This Row],[FGA]]&gt;$AA$5,PlayerGameData[[#This Row],[FG%*]],PlayerGameData[[#This Row],[FG%*]]*-1),-2)</f>
        <v>-2</v>
      </c>
      <c r="BB288" s="8">
        <f ca="1">RANK(PlayerGameData[[#This Row],[EligFG]],PlayerGameData[EligFG],0)+PlayerGameData[[#This Row],[VisibleOrder]]</f>
        <v>215</v>
      </c>
      <c r="BC288" s="8">
        <f ca="1">IF(COUNTIF(PlayerGameData[EligFGOrder],PlayerGameData[[#This Row],[EligFGOrder]])&gt;1,PlayerGameData[[#This Row],[PointRank]]/100+PlayerGameData[[#This Row],[EligFGOrder]],PlayerGameData[[#This Row],[EligFGOrder]])</f>
        <v>217.16</v>
      </c>
      <c r="BD288" s="8">
        <f ca="1">RANK(PlayerGameData[[#This Row],[EligFGTieBreak]],PlayerGameData[EligFGTieBreak],1)</f>
        <v>216</v>
      </c>
      <c r="BE288" s="8" t="str">
        <f>Roster!$D$3</f>
        <v>East</v>
      </c>
      <c r="BF288" s="8" t="str">
        <f>Roster!$D$2</f>
        <v>Northeast</v>
      </c>
      <c r="BG288" s="8" t="str">
        <f>Roster!$D$4</f>
        <v>North</v>
      </c>
      <c r="BH288" s="197">
        <f ca="1">IFERROR(VLOOKUP(CONCATENATE(PlayerGameData[[#This Row],[Opponent]]," ",MONTH(PlayerGameData[[#This Row],[Date]]),"/",DAY(PlayerGameData[[#This Row],[Date]]),"/",YEAR(PlayerGameData[[#This Row],[Date]])),Table35[],2,FALSE),0)</f>
        <v>1</v>
      </c>
      <c r="BI288" s="197">
        <f ca="1">IF(PlayerGameData[[#This Row],[Visible]]=1,1,1000)</f>
        <v>1</v>
      </c>
      <c r="BJ288" s="197" t="e">
        <f ca="1">_xlfn.MAXIFS(TeamGameData[Win],TeamGameData[School, Opponent,Game'#],PlayerGameData[[#This Row],[School, Opponent,Game'#]])</f>
        <v>#NAME?</v>
      </c>
      <c r="BK288" s="197" t="e">
        <f ca="1">_xlfn.MAXIFS(TeamGameData[Loss],TeamGameData[School, Opponent,Game'#],PlayerGameData[[#This Row],[School, Opponent,Game'#]])</f>
        <v>#NAME?</v>
      </c>
    </row>
    <row r="289" spans="1:63" x14ac:dyDescent="0.25">
      <c r="A289" s="8" t="str">
        <f t="shared" ca="1" si="153"/>
        <v xml:space="preserve">, </v>
      </c>
      <c r="B289" s="8" t="str">
        <f>Roster!$B$1</f>
        <v>Upton</v>
      </c>
      <c r="C289" s="8" t="str">
        <f t="shared" ca="1" si="141"/>
        <v>Kaycee</v>
      </c>
      <c r="D289" s="10">
        <f t="shared" ca="1" si="142"/>
        <v>44947</v>
      </c>
      <c r="E289" s="8">
        <f t="shared" ca="1" si="143"/>
        <v>0</v>
      </c>
      <c r="F289" s="8">
        <f t="shared" ca="1" si="144"/>
        <v>0</v>
      </c>
      <c r="G289" s="8">
        <f t="shared" ca="1" si="145"/>
        <v>0</v>
      </c>
      <c r="H289" s="8">
        <f t="shared" ca="1" si="146"/>
        <v>0</v>
      </c>
      <c r="I289" s="8">
        <f t="shared" ca="1" si="147"/>
        <v>0</v>
      </c>
      <c r="J289" s="8">
        <f t="shared" ca="1" si="148"/>
        <v>0</v>
      </c>
      <c r="K289" s="8">
        <f t="shared" ca="1" si="149"/>
        <v>0</v>
      </c>
      <c r="L289" s="8">
        <f t="shared" ca="1" si="154"/>
        <v>0</v>
      </c>
      <c r="M289" s="8">
        <f t="shared" ca="1" si="155"/>
        <v>0</v>
      </c>
      <c r="N289" s="8">
        <f t="shared" ca="1" si="156"/>
        <v>0</v>
      </c>
      <c r="O289" s="8">
        <f t="shared" ca="1" si="157"/>
        <v>0</v>
      </c>
      <c r="P289" s="8">
        <f t="shared" ca="1" si="158"/>
        <v>0</v>
      </c>
      <c r="Q289" s="8">
        <f t="shared" ca="1" si="159"/>
        <v>0</v>
      </c>
      <c r="R289" s="8">
        <f t="shared" ca="1" si="160"/>
        <v>0</v>
      </c>
      <c r="S289" s="8">
        <f t="shared" ca="1" si="161"/>
        <v>0</v>
      </c>
      <c r="T289" s="8">
        <f t="shared" ca="1" si="162"/>
        <v>0</v>
      </c>
      <c r="U289" s="8">
        <f t="shared" ca="1" si="163"/>
        <v>0</v>
      </c>
      <c r="V289" s="8">
        <f t="shared" ca="1" si="164"/>
        <v>0</v>
      </c>
      <c r="W289" s="11" t="str">
        <f t="shared" ca="1" si="165"/>
        <v/>
      </c>
      <c r="X289" s="11" t="str">
        <f t="shared" ca="1" si="166"/>
        <v/>
      </c>
      <c r="Y289" s="11" t="str">
        <f t="shared" ca="1" si="167"/>
        <v/>
      </c>
      <c r="Z289" s="11" t="str">
        <f t="shared" ca="1" si="168"/>
        <v/>
      </c>
      <c r="AA289" s="11" t="str">
        <f t="shared" ca="1" si="169"/>
        <v/>
      </c>
      <c r="AB289" s="47">
        <f ca="1">PlayerGameData[[#This Row],[3FGA]]+PlayerGameData[[#This Row],[2FGA]]</f>
        <v>0</v>
      </c>
      <c r="AC289" s="47">
        <f ca="1">PlayerGameData[[#This Row],[OFF REB]]+PlayerGameData[[#This Row],[DEF REB]]</f>
        <v>0</v>
      </c>
      <c r="AD289" s="8">
        <f t="shared" si="150"/>
        <v>12</v>
      </c>
      <c r="AE289" s="8" t="str">
        <f t="shared" ca="1" si="151"/>
        <v>,  - Kaycee 1/21/2023</v>
      </c>
      <c r="AF289" s="8" t="str">
        <f t="shared" ca="1" si="170"/>
        <v>R</v>
      </c>
      <c r="AG289" s="8" t="str">
        <f ca="1">IFERROR(IF(C289=0,"",IF(AND(VLOOKUP(PlayerGameData[[#This Row],[Opponent]],WYTeamInfo,2,FALSE)=Roster!$D$1,VLOOKUP(PlayerGameData[[#This Row],[Opponent]],WYTeamInfo,3,FALSE)=Roster!$D$2),"SR","")),"")</f>
        <v>SR</v>
      </c>
      <c r="AH289" s="8" t="str">
        <f>CONCATENATE(Roster!$D$1," ",Roster!$D$5)</f>
        <v>1A BB</v>
      </c>
      <c r="AI289" s="8" t="str">
        <f t="shared" ca="1" si="152"/>
        <v>Upton - Kaycee 1/21/2023</v>
      </c>
      <c r="AJ289" s="8">
        <f ca="1">IFERROR(VLOOKUP(PlayerGameData[[#This Row],[School, Opponent,Game'#]],Table3[],2,FALSE),0)</f>
        <v>1</v>
      </c>
      <c r="AK289" s="8">
        <f ca="1">IF(PlayerGameData[[#This Row],[Visible]]=1,1,1000)</f>
        <v>1</v>
      </c>
      <c r="AL289" s="8">
        <f ca="1">RANK(PlayerGameData[[#This Row],[TL PTS]],PlayerGameData[TL PTS],0)+PlayerGameData[[#This Row],[VisibleOrder]]</f>
        <v>185</v>
      </c>
      <c r="AM289" s="8">
        <f ca="1">IF(COUNTIF(PlayerGameData[PointOrder],PlayerGameData[[#This Row],[PointOrder]])&gt;1,RANK(PlayerGameData[[#This Row],[FGA]],PlayerGameData[FGA],0)/100,0)+PlayerGameData[[#This Row],[PointOrder]]</f>
        <v>187.14</v>
      </c>
      <c r="AN289" s="8">
        <f ca="1">RANK(PlayerGameData[[#This Row],[PointTieBreak]],PlayerGameData[PointTieBreak],1)</f>
        <v>216</v>
      </c>
      <c r="AO289" s="8">
        <f ca="1">RANK(PlayerGameData[[#This Row],[REB]],PlayerGameData[REB],0)+PlayerGameData[[#This Row],[VisibleOrder]]</f>
        <v>192</v>
      </c>
      <c r="AP289" s="8">
        <f ca="1">IF(COUNTIF(PlayerGameData[REBOrder],PlayerGameData[[#This Row],[REBOrder]])&gt;1,PlayerGameData[[#This Row],[PointRank]]/100+PlayerGameData[[#This Row],[REBOrder]],PlayerGameData[[#This Row],[REBOrder]])</f>
        <v>194.16</v>
      </c>
      <c r="AQ289" s="8">
        <f ca="1">RANK(PlayerGameData[[#This Row],[REBTieBreak]],PlayerGameData[REBTieBreak],1)</f>
        <v>224</v>
      </c>
      <c r="AR289" s="8">
        <f ca="1">RANK(PlayerGameData[[#This Row],[AST]],PlayerGameData[AST],0)+PlayerGameData[[#This Row],[VisibleOrder]]</f>
        <v>158</v>
      </c>
      <c r="AS289" s="8">
        <f ca="1">IF(COUNTIF(PlayerGameData[ASTOrder],PlayerGameData[[#This Row],[ASTOrder]])&gt;1,PlayerGameData[[#This Row],[PointRank]]/100+PlayerGameData[[#This Row],[ASTOrder]],PlayerGameData[[#This Row],[ASTOrder]])</f>
        <v>160.16</v>
      </c>
      <c r="AT289" s="8">
        <f ca="1">RANK(PlayerGameData[[#This Row],[ASTTieBreak]],PlayerGameData[ASTTieBreak],1)</f>
        <v>221</v>
      </c>
      <c r="AU289" s="8">
        <f ca="1">RANK(PlayerGameData[[#This Row],[STL]],PlayerGameData[STL],0)+PlayerGameData[[#This Row],[VisibleOrder]]</f>
        <v>143</v>
      </c>
      <c r="AV289" s="8">
        <f ca="1">IF(COUNTIF(PlayerGameData[STLOrder],PlayerGameData[[#This Row],[STLOrder]])&gt;1,PlayerGameData[[#This Row],[PointRank]]/100+PlayerGameData[[#This Row],[STLOrder]],PlayerGameData[[#This Row],[STLOrder]])</f>
        <v>145.16</v>
      </c>
      <c r="AW289" s="8">
        <f ca="1">RANK(PlayerGameData[[#This Row],[STLTieBreak]],PlayerGameData[STLTieBreak],1)</f>
        <v>217</v>
      </c>
      <c r="AX289" s="8">
        <f ca="1">RANK(PlayerGameData[[#This Row],[BLK]],PlayerGameData[BLK],0)+PlayerGameData[[#This Row],[VisibleOrder]]</f>
        <v>32</v>
      </c>
      <c r="AY289" s="8">
        <f ca="1">IF(COUNTIF(PlayerGameData[BLKOrder],PlayerGameData[[#This Row],[BLKOrder]])&gt;1,PlayerGameData[[#This Row],[PointRank]]/100+PlayerGameData[[#This Row],[BLKOrder]],PlayerGameData[[#This Row],[BLKOrder]])</f>
        <v>34.159999999999997</v>
      </c>
      <c r="AZ289" s="8">
        <f ca="1">RANK(PlayerGameData[[#This Row],[BLKTieBreak]],PlayerGameData[BLKTieBreak],1)</f>
        <v>216</v>
      </c>
      <c r="BA289" s="11">
        <f ca="1">IFERROR(IF(PlayerGameData[[#This Row],[FGA]]&gt;$AA$5,PlayerGameData[[#This Row],[FG%*]],PlayerGameData[[#This Row],[FG%*]]*-1),-2)</f>
        <v>-2</v>
      </c>
      <c r="BB289" s="8">
        <f ca="1">RANK(PlayerGameData[[#This Row],[EligFG]],PlayerGameData[EligFG],0)+PlayerGameData[[#This Row],[VisibleOrder]]</f>
        <v>215</v>
      </c>
      <c r="BC289" s="8">
        <f ca="1">IF(COUNTIF(PlayerGameData[EligFGOrder],PlayerGameData[[#This Row],[EligFGOrder]])&gt;1,PlayerGameData[[#This Row],[PointRank]]/100+PlayerGameData[[#This Row],[EligFGOrder]],PlayerGameData[[#This Row],[EligFGOrder]])</f>
        <v>217.16</v>
      </c>
      <c r="BD289" s="8">
        <f ca="1">RANK(PlayerGameData[[#This Row],[EligFGTieBreak]],PlayerGameData[EligFGTieBreak],1)</f>
        <v>216</v>
      </c>
      <c r="BE289" s="8" t="str">
        <f>Roster!$D$3</f>
        <v>East</v>
      </c>
      <c r="BF289" s="8" t="str">
        <f>Roster!$D$2</f>
        <v>Northeast</v>
      </c>
      <c r="BG289" s="8" t="str">
        <f>Roster!$D$4</f>
        <v>North</v>
      </c>
      <c r="BH289" s="197">
        <f ca="1">IFERROR(VLOOKUP(CONCATENATE(PlayerGameData[[#This Row],[Opponent]]," ",MONTH(PlayerGameData[[#This Row],[Date]]),"/",DAY(PlayerGameData[[#This Row],[Date]]),"/",YEAR(PlayerGameData[[#This Row],[Date]])),Table35[],2,FALSE),0)</f>
        <v>1</v>
      </c>
      <c r="BI289" s="197">
        <f ca="1">IF(PlayerGameData[[#This Row],[Visible]]=1,1,1000)</f>
        <v>1</v>
      </c>
      <c r="BJ289" s="197" t="e">
        <f ca="1">_xlfn.MAXIFS(TeamGameData[Win],TeamGameData[School, Opponent,Game'#],PlayerGameData[[#This Row],[School, Opponent,Game'#]])</f>
        <v>#NAME?</v>
      </c>
      <c r="BK289" s="197" t="e">
        <f ca="1">_xlfn.MAXIFS(TeamGameData[Loss],TeamGameData[School, Opponent,Game'#],PlayerGameData[[#This Row],[School, Opponent,Game'#]])</f>
        <v>#NAME?</v>
      </c>
    </row>
    <row r="290" spans="1:63" x14ac:dyDescent="0.25">
      <c r="A290" s="8" t="str">
        <f t="shared" ca="1" si="153"/>
        <v xml:space="preserve">, </v>
      </c>
      <c r="B290" s="8" t="str">
        <f>Roster!$B$1</f>
        <v>Upton</v>
      </c>
      <c r="C290" s="8" t="str">
        <f t="shared" ca="1" si="141"/>
        <v>Kaycee</v>
      </c>
      <c r="D290" s="10">
        <f t="shared" ca="1" si="142"/>
        <v>44947</v>
      </c>
      <c r="E290" s="8">
        <f t="shared" ca="1" si="143"/>
        <v>0</v>
      </c>
      <c r="F290" s="8">
        <f t="shared" ca="1" si="144"/>
        <v>0</v>
      </c>
      <c r="G290" s="8">
        <f t="shared" ca="1" si="145"/>
        <v>0</v>
      </c>
      <c r="H290" s="8">
        <f t="shared" ca="1" si="146"/>
        <v>0</v>
      </c>
      <c r="I290" s="8">
        <f t="shared" ca="1" si="147"/>
        <v>0</v>
      </c>
      <c r="J290" s="8">
        <f t="shared" ca="1" si="148"/>
        <v>0</v>
      </c>
      <c r="K290" s="8">
        <f t="shared" ca="1" si="149"/>
        <v>0</v>
      </c>
      <c r="L290" s="8">
        <f t="shared" ca="1" si="154"/>
        <v>0</v>
      </c>
      <c r="M290" s="8">
        <f t="shared" ca="1" si="155"/>
        <v>0</v>
      </c>
      <c r="N290" s="8">
        <f t="shared" ca="1" si="156"/>
        <v>0</v>
      </c>
      <c r="O290" s="8">
        <f t="shared" ca="1" si="157"/>
        <v>0</v>
      </c>
      <c r="P290" s="8">
        <f t="shared" ca="1" si="158"/>
        <v>0</v>
      </c>
      <c r="Q290" s="8">
        <f t="shared" ca="1" si="159"/>
        <v>0</v>
      </c>
      <c r="R290" s="8">
        <f t="shared" ca="1" si="160"/>
        <v>0</v>
      </c>
      <c r="S290" s="8">
        <f t="shared" ca="1" si="161"/>
        <v>0</v>
      </c>
      <c r="T290" s="8">
        <f t="shared" ca="1" si="162"/>
        <v>0</v>
      </c>
      <c r="U290" s="8">
        <f t="shared" ca="1" si="163"/>
        <v>0</v>
      </c>
      <c r="V290" s="8">
        <f t="shared" ca="1" si="164"/>
        <v>0</v>
      </c>
      <c r="W290" s="11" t="str">
        <f t="shared" ca="1" si="165"/>
        <v/>
      </c>
      <c r="X290" s="11" t="str">
        <f t="shared" ca="1" si="166"/>
        <v/>
      </c>
      <c r="Y290" s="11" t="str">
        <f t="shared" ca="1" si="167"/>
        <v/>
      </c>
      <c r="Z290" s="11" t="str">
        <f t="shared" ca="1" si="168"/>
        <v/>
      </c>
      <c r="AA290" s="11" t="str">
        <f t="shared" ca="1" si="169"/>
        <v/>
      </c>
      <c r="AB290" s="47">
        <f ca="1">PlayerGameData[[#This Row],[3FGA]]+PlayerGameData[[#This Row],[2FGA]]</f>
        <v>0</v>
      </c>
      <c r="AC290" s="47">
        <f ca="1">PlayerGameData[[#This Row],[OFF REB]]+PlayerGameData[[#This Row],[DEF REB]]</f>
        <v>0</v>
      </c>
      <c r="AD290" s="8">
        <f t="shared" si="150"/>
        <v>12</v>
      </c>
      <c r="AE290" s="8" t="str">
        <f t="shared" ca="1" si="151"/>
        <v>,  - Kaycee 1/21/2023</v>
      </c>
      <c r="AF290" s="8" t="str">
        <f t="shared" ca="1" si="170"/>
        <v>R</v>
      </c>
      <c r="AG290" s="8" t="str">
        <f ca="1">IFERROR(IF(C290=0,"",IF(AND(VLOOKUP(PlayerGameData[[#This Row],[Opponent]],WYTeamInfo,2,FALSE)=Roster!$D$1,VLOOKUP(PlayerGameData[[#This Row],[Opponent]],WYTeamInfo,3,FALSE)=Roster!$D$2),"SR","")),"")</f>
        <v>SR</v>
      </c>
      <c r="AH290" s="8" t="str">
        <f>CONCATENATE(Roster!$D$1," ",Roster!$D$5)</f>
        <v>1A BB</v>
      </c>
      <c r="AI290" s="8" t="str">
        <f t="shared" ca="1" si="152"/>
        <v>Upton - Kaycee 1/21/2023</v>
      </c>
      <c r="AJ290" s="8">
        <f ca="1">IFERROR(VLOOKUP(PlayerGameData[[#This Row],[School, Opponent,Game'#]],Table3[],2,FALSE),0)</f>
        <v>1</v>
      </c>
      <c r="AK290" s="8">
        <f ca="1">IF(PlayerGameData[[#This Row],[Visible]]=1,1,1000)</f>
        <v>1</v>
      </c>
      <c r="AL290" s="8">
        <f ca="1">RANK(PlayerGameData[[#This Row],[TL PTS]],PlayerGameData[TL PTS],0)+PlayerGameData[[#This Row],[VisibleOrder]]</f>
        <v>185</v>
      </c>
      <c r="AM290" s="8">
        <f ca="1">IF(COUNTIF(PlayerGameData[PointOrder],PlayerGameData[[#This Row],[PointOrder]])&gt;1,RANK(PlayerGameData[[#This Row],[FGA]],PlayerGameData[FGA],0)/100,0)+PlayerGameData[[#This Row],[PointOrder]]</f>
        <v>187.14</v>
      </c>
      <c r="AN290" s="8">
        <f ca="1">RANK(PlayerGameData[[#This Row],[PointTieBreak]],PlayerGameData[PointTieBreak],1)</f>
        <v>216</v>
      </c>
      <c r="AO290" s="8">
        <f ca="1">RANK(PlayerGameData[[#This Row],[REB]],PlayerGameData[REB],0)+PlayerGameData[[#This Row],[VisibleOrder]]</f>
        <v>192</v>
      </c>
      <c r="AP290" s="8">
        <f ca="1">IF(COUNTIF(PlayerGameData[REBOrder],PlayerGameData[[#This Row],[REBOrder]])&gt;1,PlayerGameData[[#This Row],[PointRank]]/100+PlayerGameData[[#This Row],[REBOrder]],PlayerGameData[[#This Row],[REBOrder]])</f>
        <v>194.16</v>
      </c>
      <c r="AQ290" s="8">
        <f ca="1">RANK(PlayerGameData[[#This Row],[REBTieBreak]],PlayerGameData[REBTieBreak],1)</f>
        <v>224</v>
      </c>
      <c r="AR290" s="8">
        <f ca="1">RANK(PlayerGameData[[#This Row],[AST]],PlayerGameData[AST],0)+PlayerGameData[[#This Row],[VisibleOrder]]</f>
        <v>158</v>
      </c>
      <c r="AS290" s="8">
        <f ca="1">IF(COUNTIF(PlayerGameData[ASTOrder],PlayerGameData[[#This Row],[ASTOrder]])&gt;1,PlayerGameData[[#This Row],[PointRank]]/100+PlayerGameData[[#This Row],[ASTOrder]],PlayerGameData[[#This Row],[ASTOrder]])</f>
        <v>160.16</v>
      </c>
      <c r="AT290" s="8">
        <f ca="1">RANK(PlayerGameData[[#This Row],[ASTTieBreak]],PlayerGameData[ASTTieBreak],1)</f>
        <v>221</v>
      </c>
      <c r="AU290" s="8">
        <f ca="1">RANK(PlayerGameData[[#This Row],[STL]],PlayerGameData[STL],0)+PlayerGameData[[#This Row],[VisibleOrder]]</f>
        <v>143</v>
      </c>
      <c r="AV290" s="8">
        <f ca="1">IF(COUNTIF(PlayerGameData[STLOrder],PlayerGameData[[#This Row],[STLOrder]])&gt;1,PlayerGameData[[#This Row],[PointRank]]/100+PlayerGameData[[#This Row],[STLOrder]],PlayerGameData[[#This Row],[STLOrder]])</f>
        <v>145.16</v>
      </c>
      <c r="AW290" s="8">
        <f ca="1">RANK(PlayerGameData[[#This Row],[STLTieBreak]],PlayerGameData[STLTieBreak],1)</f>
        <v>217</v>
      </c>
      <c r="AX290" s="8">
        <f ca="1">RANK(PlayerGameData[[#This Row],[BLK]],PlayerGameData[BLK],0)+PlayerGameData[[#This Row],[VisibleOrder]]</f>
        <v>32</v>
      </c>
      <c r="AY290" s="8">
        <f ca="1">IF(COUNTIF(PlayerGameData[BLKOrder],PlayerGameData[[#This Row],[BLKOrder]])&gt;1,PlayerGameData[[#This Row],[PointRank]]/100+PlayerGameData[[#This Row],[BLKOrder]],PlayerGameData[[#This Row],[BLKOrder]])</f>
        <v>34.159999999999997</v>
      </c>
      <c r="AZ290" s="8">
        <f ca="1">RANK(PlayerGameData[[#This Row],[BLKTieBreak]],PlayerGameData[BLKTieBreak],1)</f>
        <v>216</v>
      </c>
      <c r="BA290" s="11">
        <f ca="1">IFERROR(IF(PlayerGameData[[#This Row],[FGA]]&gt;$AA$5,PlayerGameData[[#This Row],[FG%*]],PlayerGameData[[#This Row],[FG%*]]*-1),-2)</f>
        <v>-2</v>
      </c>
      <c r="BB290" s="8">
        <f ca="1">RANK(PlayerGameData[[#This Row],[EligFG]],PlayerGameData[EligFG],0)+PlayerGameData[[#This Row],[VisibleOrder]]</f>
        <v>215</v>
      </c>
      <c r="BC290" s="8">
        <f ca="1">IF(COUNTIF(PlayerGameData[EligFGOrder],PlayerGameData[[#This Row],[EligFGOrder]])&gt;1,PlayerGameData[[#This Row],[PointRank]]/100+PlayerGameData[[#This Row],[EligFGOrder]],PlayerGameData[[#This Row],[EligFGOrder]])</f>
        <v>217.16</v>
      </c>
      <c r="BD290" s="8">
        <f ca="1">RANK(PlayerGameData[[#This Row],[EligFGTieBreak]],PlayerGameData[EligFGTieBreak],1)</f>
        <v>216</v>
      </c>
      <c r="BE290" s="8" t="str">
        <f>Roster!$D$3</f>
        <v>East</v>
      </c>
      <c r="BF290" s="8" t="str">
        <f>Roster!$D$2</f>
        <v>Northeast</v>
      </c>
      <c r="BG290" s="8" t="str">
        <f>Roster!$D$4</f>
        <v>North</v>
      </c>
      <c r="BH290" s="197">
        <f ca="1">IFERROR(VLOOKUP(CONCATENATE(PlayerGameData[[#This Row],[Opponent]]," ",MONTH(PlayerGameData[[#This Row],[Date]]),"/",DAY(PlayerGameData[[#This Row],[Date]]),"/",YEAR(PlayerGameData[[#This Row],[Date]])),Table35[],2,FALSE),0)</f>
        <v>1</v>
      </c>
      <c r="BI290" s="197">
        <f ca="1">IF(PlayerGameData[[#This Row],[Visible]]=1,1,1000)</f>
        <v>1</v>
      </c>
      <c r="BJ290" s="197" t="e">
        <f ca="1">_xlfn.MAXIFS(TeamGameData[Win],TeamGameData[School, Opponent,Game'#],PlayerGameData[[#This Row],[School, Opponent,Game'#]])</f>
        <v>#NAME?</v>
      </c>
      <c r="BK290" s="197" t="e">
        <f ca="1">_xlfn.MAXIFS(TeamGameData[Loss],TeamGameData[School, Opponent,Game'#],PlayerGameData[[#This Row],[School, Opponent,Game'#]])</f>
        <v>#NAME?</v>
      </c>
    </row>
    <row r="291" spans="1:63" x14ac:dyDescent="0.25">
      <c r="A291" s="8" t="str">
        <f t="shared" ca="1" si="153"/>
        <v xml:space="preserve">, </v>
      </c>
      <c r="B291" s="8" t="str">
        <f>Roster!$B$1</f>
        <v>Upton</v>
      </c>
      <c r="C291" s="8" t="str">
        <f t="shared" ca="1" si="141"/>
        <v>Kaycee</v>
      </c>
      <c r="D291" s="10">
        <f t="shared" ca="1" si="142"/>
        <v>44947</v>
      </c>
      <c r="E291" s="8">
        <f t="shared" ca="1" si="143"/>
        <v>0</v>
      </c>
      <c r="F291" s="8">
        <f t="shared" ca="1" si="144"/>
        <v>0</v>
      </c>
      <c r="G291" s="8">
        <f t="shared" ca="1" si="145"/>
        <v>0</v>
      </c>
      <c r="H291" s="8">
        <f t="shared" ca="1" si="146"/>
        <v>0</v>
      </c>
      <c r="I291" s="8">
        <f t="shared" ca="1" si="147"/>
        <v>0</v>
      </c>
      <c r="J291" s="8">
        <f t="shared" ca="1" si="148"/>
        <v>0</v>
      </c>
      <c r="K291" s="8">
        <f t="shared" ca="1" si="149"/>
        <v>0</v>
      </c>
      <c r="L291" s="8">
        <f t="shared" ca="1" si="154"/>
        <v>0</v>
      </c>
      <c r="M291" s="8">
        <f t="shared" ca="1" si="155"/>
        <v>0</v>
      </c>
      <c r="N291" s="8">
        <f t="shared" ca="1" si="156"/>
        <v>0</v>
      </c>
      <c r="O291" s="8">
        <f t="shared" ca="1" si="157"/>
        <v>0</v>
      </c>
      <c r="P291" s="8">
        <f t="shared" ca="1" si="158"/>
        <v>0</v>
      </c>
      <c r="Q291" s="8">
        <f t="shared" ca="1" si="159"/>
        <v>0</v>
      </c>
      <c r="R291" s="8">
        <f t="shared" ca="1" si="160"/>
        <v>0</v>
      </c>
      <c r="S291" s="8">
        <f t="shared" ca="1" si="161"/>
        <v>0</v>
      </c>
      <c r="T291" s="8">
        <f t="shared" ca="1" si="162"/>
        <v>0</v>
      </c>
      <c r="U291" s="8">
        <f t="shared" ca="1" si="163"/>
        <v>0</v>
      </c>
      <c r="V291" s="8">
        <f t="shared" ca="1" si="164"/>
        <v>0</v>
      </c>
      <c r="W291" s="11" t="str">
        <f t="shared" ca="1" si="165"/>
        <v/>
      </c>
      <c r="X291" s="11" t="str">
        <f t="shared" ca="1" si="166"/>
        <v/>
      </c>
      <c r="Y291" s="11" t="str">
        <f t="shared" ca="1" si="167"/>
        <v/>
      </c>
      <c r="Z291" s="11" t="str">
        <f t="shared" ca="1" si="168"/>
        <v/>
      </c>
      <c r="AA291" s="11" t="str">
        <f t="shared" ca="1" si="169"/>
        <v/>
      </c>
      <c r="AB291" s="47">
        <f ca="1">PlayerGameData[[#This Row],[3FGA]]+PlayerGameData[[#This Row],[2FGA]]</f>
        <v>0</v>
      </c>
      <c r="AC291" s="47">
        <f ca="1">PlayerGameData[[#This Row],[OFF REB]]+PlayerGameData[[#This Row],[DEF REB]]</f>
        <v>0</v>
      </c>
      <c r="AD291" s="8">
        <f t="shared" si="150"/>
        <v>12</v>
      </c>
      <c r="AE291" s="8" t="str">
        <f t="shared" ca="1" si="151"/>
        <v>,  - Kaycee 1/21/2023</v>
      </c>
      <c r="AF291" s="8" t="str">
        <f t="shared" ca="1" si="170"/>
        <v>R</v>
      </c>
      <c r="AG291" s="8" t="str">
        <f ca="1">IFERROR(IF(C291=0,"",IF(AND(VLOOKUP(PlayerGameData[[#This Row],[Opponent]],WYTeamInfo,2,FALSE)=Roster!$D$1,VLOOKUP(PlayerGameData[[#This Row],[Opponent]],WYTeamInfo,3,FALSE)=Roster!$D$2),"SR","")),"")</f>
        <v>SR</v>
      </c>
      <c r="AH291" s="8" t="str">
        <f>CONCATENATE(Roster!$D$1," ",Roster!$D$5)</f>
        <v>1A BB</v>
      </c>
      <c r="AI291" s="8" t="str">
        <f t="shared" ca="1" si="152"/>
        <v>Upton - Kaycee 1/21/2023</v>
      </c>
      <c r="AJ291" s="8">
        <f ca="1">IFERROR(VLOOKUP(PlayerGameData[[#This Row],[School, Opponent,Game'#]],Table3[],2,FALSE),0)</f>
        <v>1</v>
      </c>
      <c r="AK291" s="8">
        <f ca="1">IF(PlayerGameData[[#This Row],[Visible]]=1,1,1000)</f>
        <v>1</v>
      </c>
      <c r="AL291" s="8">
        <f ca="1">RANK(PlayerGameData[[#This Row],[TL PTS]],PlayerGameData[TL PTS],0)+PlayerGameData[[#This Row],[VisibleOrder]]</f>
        <v>185</v>
      </c>
      <c r="AM291" s="8">
        <f ca="1">IF(COUNTIF(PlayerGameData[PointOrder],PlayerGameData[[#This Row],[PointOrder]])&gt;1,RANK(PlayerGameData[[#This Row],[FGA]],PlayerGameData[FGA],0)/100,0)+PlayerGameData[[#This Row],[PointOrder]]</f>
        <v>187.14</v>
      </c>
      <c r="AN291" s="8">
        <f ca="1">RANK(PlayerGameData[[#This Row],[PointTieBreak]],PlayerGameData[PointTieBreak],1)</f>
        <v>216</v>
      </c>
      <c r="AO291" s="8">
        <f ca="1">RANK(PlayerGameData[[#This Row],[REB]],PlayerGameData[REB],0)+PlayerGameData[[#This Row],[VisibleOrder]]</f>
        <v>192</v>
      </c>
      <c r="AP291" s="8">
        <f ca="1">IF(COUNTIF(PlayerGameData[REBOrder],PlayerGameData[[#This Row],[REBOrder]])&gt;1,PlayerGameData[[#This Row],[PointRank]]/100+PlayerGameData[[#This Row],[REBOrder]],PlayerGameData[[#This Row],[REBOrder]])</f>
        <v>194.16</v>
      </c>
      <c r="AQ291" s="8">
        <f ca="1">RANK(PlayerGameData[[#This Row],[REBTieBreak]],PlayerGameData[REBTieBreak],1)</f>
        <v>224</v>
      </c>
      <c r="AR291" s="8">
        <f ca="1">RANK(PlayerGameData[[#This Row],[AST]],PlayerGameData[AST],0)+PlayerGameData[[#This Row],[VisibleOrder]]</f>
        <v>158</v>
      </c>
      <c r="AS291" s="8">
        <f ca="1">IF(COUNTIF(PlayerGameData[ASTOrder],PlayerGameData[[#This Row],[ASTOrder]])&gt;1,PlayerGameData[[#This Row],[PointRank]]/100+PlayerGameData[[#This Row],[ASTOrder]],PlayerGameData[[#This Row],[ASTOrder]])</f>
        <v>160.16</v>
      </c>
      <c r="AT291" s="8">
        <f ca="1">RANK(PlayerGameData[[#This Row],[ASTTieBreak]],PlayerGameData[ASTTieBreak],1)</f>
        <v>221</v>
      </c>
      <c r="AU291" s="8">
        <f ca="1">RANK(PlayerGameData[[#This Row],[STL]],PlayerGameData[STL],0)+PlayerGameData[[#This Row],[VisibleOrder]]</f>
        <v>143</v>
      </c>
      <c r="AV291" s="8">
        <f ca="1">IF(COUNTIF(PlayerGameData[STLOrder],PlayerGameData[[#This Row],[STLOrder]])&gt;1,PlayerGameData[[#This Row],[PointRank]]/100+PlayerGameData[[#This Row],[STLOrder]],PlayerGameData[[#This Row],[STLOrder]])</f>
        <v>145.16</v>
      </c>
      <c r="AW291" s="8">
        <f ca="1">RANK(PlayerGameData[[#This Row],[STLTieBreak]],PlayerGameData[STLTieBreak],1)</f>
        <v>217</v>
      </c>
      <c r="AX291" s="8">
        <f ca="1">RANK(PlayerGameData[[#This Row],[BLK]],PlayerGameData[BLK],0)+PlayerGameData[[#This Row],[VisibleOrder]]</f>
        <v>32</v>
      </c>
      <c r="AY291" s="8">
        <f ca="1">IF(COUNTIF(PlayerGameData[BLKOrder],PlayerGameData[[#This Row],[BLKOrder]])&gt;1,PlayerGameData[[#This Row],[PointRank]]/100+PlayerGameData[[#This Row],[BLKOrder]],PlayerGameData[[#This Row],[BLKOrder]])</f>
        <v>34.159999999999997</v>
      </c>
      <c r="AZ291" s="8">
        <f ca="1">RANK(PlayerGameData[[#This Row],[BLKTieBreak]],PlayerGameData[BLKTieBreak],1)</f>
        <v>216</v>
      </c>
      <c r="BA291" s="11">
        <f ca="1">IFERROR(IF(PlayerGameData[[#This Row],[FGA]]&gt;$AA$5,PlayerGameData[[#This Row],[FG%*]],PlayerGameData[[#This Row],[FG%*]]*-1),-2)</f>
        <v>-2</v>
      </c>
      <c r="BB291" s="8">
        <f ca="1">RANK(PlayerGameData[[#This Row],[EligFG]],PlayerGameData[EligFG],0)+PlayerGameData[[#This Row],[VisibleOrder]]</f>
        <v>215</v>
      </c>
      <c r="BC291" s="8">
        <f ca="1">IF(COUNTIF(PlayerGameData[EligFGOrder],PlayerGameData[[#This Row],[EligFGOrder]])&gt;1,PlayerGameData[[#This Row],[PointRank]]/100+PlayerGameData[[#This Row],[EligFGOrder]],PlayerGameData[[#This Row],[EligFGOrder]])</f>
        <v>217.16</v>
      </c>
      <c r="BD291" s="8">
        <f ca="1">RANK(PlayerGameData[[#This Row],[EligFGTieBreak]],PlayerGameData[EligFGTieBreak],1)</f>
        <v>216</v>
      </c>
      <c r="BE291" s="8" t="str">
        <f>Roster!$D$3</f>
        <v>East</v>
      </c>
      <c r="BF291" s="8" t="str">
        <f>Roster!$D$2</f>
        <v>Northeast</v>
      </c>
      <c r="BG291" s="8" t="str">
        <f>Roster!$D$4</f>
        <v>North</v>
      </c>
      <c r="BH291" s="197">
        <f ca="1">IFERROR(VLOOKUP(CONCATENATE(PlayerGameData[[#This Row],[Opponent]]," ",MONTH(PlayerGameData[[#This Row],[Date]]),"/",DAY(PlayerGameData[[#This Row],[Date]]),"/",YEAR(PlayerGameData[[#This Row],[Date]])),Table35[],2,FALSE),0)</f>
        <v>1</v>
      </c>
      <c r="BI291" s="197">
        <f ca="1">IF(PlayerGameData[[#This Row],[Visible]]=1,1,1000)</f>
        <v>1</v>
      </c>
      <c r="BJ291" s="197" t="e">
        <f ca="1">_xlfn.MAXIFS(TeamGameData[Win],TeamGameData[School, Opponent,Game'#],PlayerGameData[[#This Row],[School, Opponent,Game'#]])</f>
        <v>#NAME?</v>
      </c>
      <c r="BK291" s="197" t="e">
        <f ca="1">_xlfn.MAXIFS(TeamGameData[Loss],TeamGameData[School, Opponent,Game'#],PlayerGameData[[#This Row],[School, Opponent,Game'#]])</f>
        <v>#NAME?</v>
      </c>
    </row>
    <row r="292" spans="1:63" x14ac:dyDescent="0.25">
      <c r="A292" s="8" t="str">
        <f t="shared" ca="1" si="153"/>
        <v xml:space="preserve">, </v>
      </c>
      <c r="B292" s="8" t="str">
        <f>Roster!$B$1</f>
        <v>Upton</v>
      </c>
      <c r="C292" s="8" t="str">
        <f t="shared" ca="1" si="141"/>
        <v>Kaycee</v>
      </c>
      <c r="D292" s="10">
        <f t="shared" ca="1" si="142"/>
        <v>44947</v>
      </c>
      <c r="E292" s="8">
        <f t="shared" ca="1" si="143"/>
        <v>0</v>
      </c>
      <c r="F292" s="8">
        <f t="shared" ca="1" si="144"/>
        <v>0</v>
      </c>
      <c r="G292" s="8">
        <f t="shared" ca="1" si="145"/>
        <v>0</v>
      </c>
      <c r="H292" s="8">
        <f t="shared" ca="1" si="146"/>
        <v>0</v>
      </c>
      <c r="I292" s="8">
        <f t="shared" ca="1" si="147"/>
        <v>0</v>
      </c>
      <c r="J292" s="8">
        <f t="shared" ca="1" si="148"/>
        <v>0</v>
      </c>
      <c r="K292" s="8">
        <f t="shared" ca="1" si="149"/>
        <v>0</v>
      </c>
      <c r="L292" s="8">
        <f t="shared" ca="1" si="154"/>
        <v>0</v>
      </c>
      <c r="M292" s="8">
        <f t="shared" ca="1" si="155"/>
        <v>0</v>
      </c>
      <c r="N292" s="8">
        <f t="shared" ca="1" si="156"/>
        <v>0</v>
      </c>
      <c r="O292" s="8">
        <f t="shared" ca="1" si="157"/>
        <v>0</v>
      </c>
      <c r="P292" s="8">
        <f t="shared" ca="1" si="158"/>
        <v>0</v>
      </c>
      <c r="Q292" s="8">
        <f t="shared" ca="1" si="159"/>
        <v>0</v>
      </c>
      <c r="R292" s="8">
        <f t="shared" ca="1" si="160"/>
        <v>0</v>
      </c>
      <c r="S292" s="8">
        <f t="shared" ca="1" si="161"/>
        <v>0</v>
      </c>
      <c r="T292" s="8">
        <f t="shared" ca="1" si="162"/>
        <v>0</v>
      </c>
      <c r="U292" s="8">
        <f t="shared" ca="1" si="163"/>
        <v>0</v>
      </c>
      <c r="V292" s="8">
        <f t="shared" ca="1" si="164"/>
        <v>0</v>
      </c>
      <c r="W292" s="11" t="str">
        <f t="shared" ca="1" si="165"/>
        <v/>
      </c>
      <c r="X292" s="11" t="str">
        <f t="shared" ca="1" si="166"/>
        <v/>
      </c>
      <c r="Y292" s="11" t="str">
        <f t="shared" ca="1" si="167"/>
        <v/>
      </c>
      <c r="Z292" s="11" t="str">
        <f t="shared" ca="1" si="168"/>
        <v/>
      </c>
      <c r="AA292" s="11" t="str">
        <f t="shared" ca="1" si="169"/>
        <v/>
      </c>
      <c r="AB292" s="47">
        <f ca="1">PlayerGameData[[#This Row],[3FGA]]+PlayerGameData[[#This Row],[2FGA]]</f>
        <v>0</v>
      </c>
      <c r="AC292" s="47">
        <f ca="1">PlayerGameData[[#This Row],[OFF REB]]+PlayerGameData[[#This Row],[DEF REB]]</f>
        <v>0</v>
      </c>
      <c r="AD292" s="8">
        <f t="shared" si="150"/>
        <v>12</v>
      </c>
      <c r="AE292" s="8" t="str">
        <f t="shared" ca="1" si="151"/>
        <v>,  - Kaycee 1/21/2023</v>
      </c>
      <c r="AF292" s="8" t="str">
        <f t="shared" ca="1" si="170"/>
        <v>R</v>
      </c>
      <c r="AG292" s="8" t="str">
        <f ca="1">IFERROR(IF(C292=0,"",IF(AND(VLOOKUP(PlayerGameData[[#This Row],[Opponent]],WYTeamInfo,2,FALSE)=Roster!$D$1,VLOOKUP(PlayerGameData[[#This Row],[Opponent]],WYTeamInfo,3,FALSE)=Roster!$D$2),"SR","")),"")</f>
        <v>SR</v>
      </c>
      <c r="AH292" s="8" t="str">
        <f>CONCATENATE(Roster!$D$1," ",Roster!$D$5)</f>
        <v>1A BB</v>
      </c>
      <c r="AI292" s="8" t="str">
        <f t="shared" ca="1" si="152"/>
        <v>Upton - Kaycee 1/21/2023</v>
      </c>
      <c r="AJ292" s="8">
        <f ca="1">IFERROR(VLOOKUP(PlayerGameData[[#This Row],[School, Opponent,Game'#]],Table3[],2,FALSE),0)</f>
        <v>1</v>
      </c>
      <c r="AK292" s="8">
        <f ca="1">IF(PlayerGameData[[#This Row],[Visible]]=1,1,1000)</f>
        <v>1</v>
      </c>
      <c r="AL292" s="8">
        <f ca="1">RANK(PlayerGameData[[#This Row],[TL PTS]],PlayerGameData[TL PTS],0)+PlayerGameData[[#This Row],[VisibleOrder]]</f>
        <v>185</v>
      </c>
      <c r="AM292" s="8">
        <f ca="1">IF(COUNTIF(PlayerGameData[PointOrder],PlayerGameData[[#This Row],[PointOrder]])&gt;1,RANK(PlayerGameData[[#This Row],[FGA]],PlayerGameData[FGA],0)/100,0)+PlayerGameData[[#This Row],[PointOrder]]</f>
        <v>187.14</v>
      </c>
      <c r="AN292" s="8">
        <f ca="1">RANK(PlayerGameData[[#This Row],[PointTieBreak]],PlayerGameData[PointTieBreak],1)</f>
        <v>216</v>
      </c>
      <c r="AO292" s="8">
        <f ca="1">RANK(PlayerGameData[[#This Row],[REB]],PlayerGameData[REB],0)+PlayerGameData[[#This Row],[VisibleOrder]]</f>
        <v>192</v>
      </c>
      <c r="AP292" s="8">
        <f ca="1">IF(COUNTIF(PlayerGameData[REBOrder],PlayerGameData[[#This Row],[REBOrder]])&gt;1,PlayerGameData[[#This Row],[PointRank]]/100+PlayerGameData[[#This Row],[REBOrder]],PlayerGameData[[#This Row],[REBOrder]])</f>
        <v>194.16</v>
      </c>
      <c r="AQ292" s="8">
        <f ca="1">RANK(PlayerGameData[[#This Row],[REBTieBreak]],PlayerGameData[REBTieBreak],1)</f>
        <v>224</v>
      </c>
      <c r="AR292" s="8">
        <f ca="1">RANK(PlayerGameData[[#This Row],[AST]],PlayerGameData[AST],0)+PlayerGameData[[#This Row],[VisibleOrder]]</f>
        <v>158</v>
      </c>
      <c r="AS292" s="8">
        <f ca="1">IF(COUNTIF(PlayerGameData[ASTOrder],PlayerGameData[[#This Row],[ASTOrder]])&gt;1,PlayerGameData[[#This Row],[PointRank]]/100+PlayerGameData[[#This Row],[ASTOrder]],PlayerGameData[[#This Row],[ASTOrder]])</f>
        <v>160.16</v>
      </c>
      <c r="AT292" s="8">
        <f ca="1">RANK(PlayerGameData[[#This Row],[ASTTieBreak]],PlayerGameData[ASTTieBreak],1)</f>
        <v>221</v>
      </c>
      <c r="AU292" s="8">
        <f ca="1">RANK(PlayerGameData[[#This Row],[STL]],PlayerGameData[STL],0)+PlayerGameData[[#This Row],[VisibleOrder]]</f>
        <v>143</v>
      </c>
      <c r="AV292" s="8">
        <f ca="1">IF(COUNTIF(PlayerGameData[STLOrder],PlayerGameData[[#This Row],[STLOrder]])&gt;1,PlayerGameData[[#This Row],[PointRank]]/100+PlayerGameData[[#This Row],[STLOrder]],PlayerGameData[[#This Row],[STLOrder]])</f>
        <v>145.16</v>
      </c>
      <c r="AW292" s="8">
        <f ca="1">RANK(PlayerGameData[[#This Row],[STLTieBreak]],PlayerGameData[STLTieBreak],1)</f>
        <v>217</v>
      </c>
      <c r="AX292" s="8">
        <f ca="1">RANK(PlayerGameData[[#This Row],[BLK]],PlayerGameData[BLK],0)+PlayerGameData[[#This Row],[VisibleOrder]]</f>
        <v>32</v>
      </c>
      <c r="AY292" s="8">
        <f ca="1">IF(COUNTIF(PlayerGameData[BLKOrder],PlayerGameData[[#This Row],[BLKOrder]])&gt;1,PlayerGameData[[#This Row],[PointRank]]/100+PlayerGameData[[#This Row],[BLKOrder]],PlayerGameData[[#This Row],[BLKOrder]])</f>
        <v>34.159999999999997</v>
      </c>
      <c r="AZ292" s="8">
        <f ca="1">RANK(PlayerGameData[[#This Row],[BLKTieBreak]],PlayerGameData[BLKTieBreak],1)</f>
        <v>216</v>
      </c>
      <c r="BA292" s="11">
        <f ca="1">IFERROR(IF(PlayerGameData[[#This Row],[FGA]]&gt;$AA$5,PlayerGameData[[#This Row],[FG%*]],PlayerGameData[[#This Row],[FG%*]]*-1),-2)</f>
        <v>-2</v>
      </c>
      <c r="BB292" s="8">
        <f ca="1">RANK(PlayerGameData[[#This Row],[EligFG]],PlayerGameData[EligFG],0)+PlayerGameData[[#This Row],[VisibleOrder]]</f>
        <v>215</v>
      </c>
      <c r="BC292" s="8">
        <f ca="1">IF(COUNTIF(PlayerGameData[EligFGOrder],PlayerGameData[[#This Row],[EligFGOrder]])&gt;1,PlayerGameData[[#This Row],[PointRank]]/100+PlayerGameData[[#This Row],[EligFGOrder]],PlayerGameData[[#This Row],[EligFGOrder]])</f>
        <v>217.16</v>
      </c>
      <c r="BD292" s="8">
        <f ca="1">RANK(PlayerGameData[[#This Row],[EligFGTieBreak]],PlayerGameData[EligFGTieBreak],1)</f>
        <v>216</v>
      </c>
      <c r="BE292" s="8" t="str">
        <f>Roster!$D$3</f>
        <v>East</v>
      </c>
      <c r="BF292" s="8" t="str">
        <f>Roster!$D$2</f>
        <v>Northeast</v>
      </c>
      <c r="BG292" s="8" t="str">
        <f>Roster!$D$4</f>
        <v>North</v>
      </c>
      <c r="BH292" s="197">
        <f ca="1">IFERROR(VLOOKUP(CONCATENATE(PlayerGameData[[#This Row],[Opponent]]," ",MONTH(PlayerGameData[[#This Row],[Date]]),"/",DAY(PlayerGameData[[#This Row],[Date]]),"/",YEAR(PlayerGameData[[#This Row],[Date]])),Table35[],2,FALSE),0)</f>
        <v>1</v>
      </c>
      <c r="BI292" s="197">
        <f ca="1">IF(PlayerGameData[[#This Row],[Visible]]=1,1,1000)</f>
        <v>1</v>
      </c>
      <c r="BJ292" s="197" t="e">
        <f ca="1">_xlfn.MAXIFS(TeamGameData[Win],TeamGameData[School, Opponent,Game'#],PlayerGameData[[#This Row],[School, Opponent,Game'#]])</f>
        <v>#NAME?</v>
      </c>
      <c r="BK292" s="197" t="e">
        <f ca="1">_xlfn.MAXIFS(TeamGameData[Loss],TeamGameData[School, Opponent,Game'#],PlayerGameData[[#This Row],[School, Opponent,Game'#]])</f>
        <v>#NAME?</v>
      </c>
    </row>
    <row r="293" spans="1:63" x14ac:dyDescent="0.25">
      <c r="A293" s="8" t="str">
        <f t="shared" ca="1" si="153"/>
        <v xml:space="preserve">, </v>
      </c>
      <c r="B293" s="8" t="str">
        <f>Roster!$B$1</f>
        <v>Upton</v>
      </c>
      <c r="C293" s="8" t="str">
        <f t="shared" ca="1" si="141"/>
        <v>Kaycee</v>
      </c>
      <c r="D293" s="10">
        <f t="shared" ca="1" si="142"/>
        <v>44947</v>
      </c>
      <c r="E293" s="8">
        <f t="shared" ca="1" si="143"/>
        <v>0</v>
      </c>
      <c r="F293" s="8">
        <f t="shared" ca="1" si="144"/>
        <v>0</v>
      </c>
      <c r="G293" s="8">
        <f t="shared" ca="1" si="145"/>
        <v>0</v>
      </c>
      <c r="H293" s="8">
        <f t="shared" ca="1" si="146"/>
        <v>0</v>
      </c>
      <c r="I293" s="8">
        <f t="shared" ca="1" si="147"/>
        <v>0</v>
      </c>
      <c r="J293" s="8">
        <f t="shared" ca="1" si="148"/>
        <v>0</v>
      </c>
      <c r="K293" s="8">
        <f t="shared" ca="1" si="149"/>
        <v>0</v>
      </c>
      <c r="L293" s="8">
        <f t="shared" ca="1" si="154"/>
        <v>0</v>
      </c>
      <c r="M293" s="8">
        <f t="shared" ca="1" si="155"/>
        <v>0</v>
      </c>
      <c r="N293" s="8">
        <f t="shared" ca="1" si="156"/>
        <v>0</v>
      </c>
      <c r="O293" s="8">
        <f t="shared" ca="1" si="157"/>
        <v>0</v>
      </c>
      <c r="P293" s="8">
        <f t="shared" ca="1" si="158"/>
        <v>0</v>
      </c>
      <c r="Q293" s="8">
        <f t="shared" ca="1" si="159"/>
        <v>0</v>
      </c>
      <c r="R293" s="8">
        <f t="shared" ca="1" si="160"/>
        <v>0</v>
      </c>
      <c r="S293" s="8">
        <f t="shared" ca="1" si="161"/>
        <v>0</v>
      </c>
      <c r="T293" s="8">
        <f t="shared" ca="1" si="162"/>
        <v>0</v>
      </c>
      <c r="U293" s="8">
        <f t="shared" ca="1" si="163"/>
        <v>0</v>
      </c>
      <c r="V293" s="8">
        <f t="shared" ca="1" si="164"/>
        <v>0</v>
      </c>
      <c r="W293" s="11" t="str">
        <f t="shared" ca="1" si="165"/>
        <v/>
      </c>
      <c r="X293" s="11" t="str">
        <f t="shared" ca="1" si="166"/>
        <v/>
      </c>
      <c r="Y293" s="11" t="str">
        <f t="shared" ca="1" si="167"/>
        <v/>
      </c>
      <c r="Z293" s="11" t="str">
        <f t="shared" ca="1" si="168"/>
        <v/>
      </c>
      <c r="AA293" s="11" t="str">
        <f t="shared" ca="1" si="169"/>
        <v/>
      </c>
      <c r="AB293" s="47">
        <f ca="1">PlayerGameData[[#This Row],[3FGA]]+PlayerGameData[[#This Row],[2FGA]]</f>
        <v>0</v>
      </c>
      <c r="AC293" s="47">
        <f ca="1">PlayerGameData[[#This Row],[OFF REB]]+PlayerGameData[[#This Row],[DEF REB]]</f>
        <v>0</v>
      </c>
      <c r="AD293" s="8">
        <f t="shared" si="150"/>
        <v>12</v>
      </c>
      <c r="AE293" s="8" t="str">
        <f t="shared" ca="1" si="151"/>
        <v>,  - Kaycee 1/21/2023</v>
      </c>
      <c r="AF293" s="8" t="str">
        <f t="shared" ca="1" si="170"/>
        <v>R</v>
      </c>
      <c r="AG293" s="8" t="str">
        <f ca="1">IFERROR(IF(C293=0,"",IF(AND(VLOOKUP(PlayerGameData[[#This Row],[Opponent]],WYTeamInfo,2,FALSE)=Roster!$D$1,VLOOKUP(PlayerGameData[[#This Row],[Opponent]],WYTeamInfo,3,FALSE)=Roster!$D$2),"SR","")),"")</f>
        <v>SR</v>
      </c>
      <c r="AH293" s="8" t="str">
        <f>CONCATENATE(Roster!$D$1," ",Roster!$D$5)</f>
        <v>1A BB</v>
      </c>
      <c r="AI293" s="8" t="str">
        <f t="shared" ca="1" si="152"/>
        <v>Upton - Kaycee 1/21/2023</v>
      </c>
      <c r="AJ293" s="8">
        <f ca="1">IFERROR(VLOOKUP(PlayerGameData[[#This Row],[School, Opponent,Game'#]],Table3[],2,FALSE),0)</f>
        <v>1</v>
      </c>
      <c r="AK293" s="8">
        <f ca="1">IF(PlayerGameData[[#This Row],[Visible]]=1,1,1000)</f>
        <v>1</v>
      </c>
      <c r="AL293" s="8">
        <f ca="1">RANK(PlayerGameData[[#This Row],[TL PTS]],PlayerGameData[TL PTS],0)+PlayerGameData[[#This Row],[VisibleOrder]]</f>
        <v>185</v>
      </c>
      <c r="AM293" s="8">
        <f ca="1">IF(COUNTIF(PlayerGameData[PointOrder],PlayerGameData[[#This Row],[PointOrder]])&gt;1,RANK(PlayerGameData[[#This Row],[FGA]],PlayerGameData[FGA],0)/100,0)+PlayerGameData[[#This Row],[PointOrder]]</f>
        <v>187.14</v>
      </c>
      <c r="AN293" s="8">
        <f ca="1">RANK(PlayerGameData[[#This Row],[PointTieBreak]],PlayerGameData[PointTieBreak],1)</f>
        <v>216</v>
      </c>
      <c r="AO293" s="8">
        <f ca="1">RANK(PlayerGameData[[#This Row],[REB]],PlayerGameData[REB],0)+PlayerGameData[[#This Row],[VisibleOrder]]</f>
        <v>192</v>
      </c>
      <c r="AP293" s="8">
        <f ca="1">IF(COUNTIF(PlayerGameData[REBOrder],PlayerGameData[[#This Row],[REBOrder]])&gt;1,PlayerGameData[[#This Row],[PointRank]]/100+PlayerGameData[[#This Row],[REBOrder]],PlayerGameData[[#This Row],[REBOrder]])</f>
        <v>194.16</v>
      </c>
      <c r="AQ293" s="8">
        <f ca="1">RANK(PlayerGameData[[#This Row],[REBTieBreak]],PlayerGameData[REBTieBreak],1)</f>
        <v>224</v>
      </c>
      <c r="AR293" s="8">
        <f ca="1">RANK(PlayerGameData[[#This Row],[AST]],PlayerGameData[AST],0)+PlayerGameData[[#This Row],[VisibleOrder]]</f>
        <v>158</v>
      </c>
      <c r="AS293" s="8">
        <f ca="1">IF(COUNTIF(PlayerGameData[ASTOrder],PlayerGameData[[#This Row],[ASTOrder]])&gt;1,PlayerGameData[[#This Row],[PointRank]]/100+PlayerGameData[[#This Row],[ASTOrder]],PlayerGameData[[#This Row],[ASTOrder]])</f>
        <v>160.16</v>
      </c>
      <c r="AT293" s="8">
        <f ca="1">RANK(PlayerGameData[[#This Row],[ASTTieBreak]],PlayerGameData[ASTTieBreak],1)</f>
        <v>221</v>
      </c>
      <c r="AU293" s="8">
        <f ca="1">RANK(PlayerGameData[[#This Row],[STL]],PlayerGameData[STL],0)+PlayerGameData[[#This Row],[VisibleOrder]]</f>
        <v>143</v>
      </c>
      <c r="AV293" s="8">
        <f ca="1">IF(COUNTIF(PlayerGameData[STLOrder],PlayerGameData[[#This Row],[STLOrder]])&gt;1,PlayerGameData[[#This Row],[PointRank]]/100+PlayerGameData[[#This Row],[STLOrder]],PlayerGameData[[#This Row],[STLOrder]])</f>
        <v>145.16</v>
      </c>
      <c r="AW293" s="8">
        <f ca="1">RANK(PlayerGameData[[#This Row],[STLTieBreak]],PlayerGameData[STLTieBreak],1)</f>
        <v>217</v>
      </c>
      <c r="AX293" s="8">
        <f ca="1">RANK(PlayerGameData[[#This Row],[BLK]],PlayerGameData[BLK],0)+PlayerGameData[[#This Row],[VisibleOrder]]</f>
        <v>32</v>
      </c>
      <c r="AY293" s="8">
        <f ca="1">IF(COUNTIF(PlayerGameData[BLKOrder],PlayerGameData[[#This Row],[BLKOrder]])&gt;1,PlayerGameData[[#This Row],[PointRank]]/100+PlayerGameData[[#This Row],[BLKOrder]],PlayerGameData[[#This Row],[BLKOrder]])</f>
        <v>34.159999999999997</v>
      </c>
      <c r="AZ293" s="8">
        <f ca="1">RANK(PlayerGameData[[#This Row],[BLKTieBreak]],PlayerGameData[BLKTieBreak],1)</f>
        <v>216</v>
      </c>
      <c r="BA293" s="11">
        <f ca="1">IFERROR(IF(PlayerGameData[[#This Row],[FGA]]&gt;$AA$5,PlayerGameData[[#This Row],[FG%*]],PlayerGameData[[#This Row],[FG%*]]*-1),-2)</f>
        <v>-2</v>
      </c>
      <c r="BB293" s="8">
        <f ca="1">RANK(PlayerGameData[[#This Row],[EligFG]],PlayerGameData[EligFG],0)+PlayerGameData[[#This Row],[VisibleOrder]]</f>
        <v>215</v>
      </c>
      <c r="BC293" s="8">
        <f ca="1">IF(COUNTIF(PlayerGameData[EligFGOrder],PlayerGameData[[#This Row],[EligFGOrder]])&gt;1,PlayerGameData[[#This Row],[PointRank]]/100+PlayerGameData[[#This Row],[EligFGOrder]],PlayerGameData[[#This Row],[EligFGOrder]])</f>
        <v>217.16</v>
      </c>
      <c r="BD293" s="8">
        <f ca="1">RANK(PlayerGameData[[#This Row],[EligFGTieBreak]],PlayerGameData[EligFGTieBreak],1)</f>
        <v>216</v>
      </c>
      <c r="BE293" s="8" t="str">
        <f>Roster!$D$3</f>
        <v>East</v>
      </c>
      <c r="BF293" s="8" t="str">
        <f>Roster!$D$2</f>
        <v>Northeast</v>
      </c>
      <c r="BG293" s="8" t="str">
        <f>Roster!$D$4</f>
        <v>North</v>
      </c>
      <c r="BH293" s="197">
        <f ca="1">IFERROR(VLOOKUP(CONCATENATE(PlayerGameData[[#This Row],[Opponent]]," ",MONTH(PlayerGameData[[#This Row],[Date]]),"/",DAY(PlayerGameData[[#This Row],[Date]]),"/",YEAR(PlayerGameData[[#This Row],[Date]])),Table35[],2,FALSE),0)</f>
        <v>1</v>
      </c>
      <c r="BI293" s="197">
        <f ca="1">IF(PlayerGameData[[#This Row],[Visible]]=1,1,1000)</f>
        <v>1</v>
      </c>
      <c r="BJ293" s="197" t="e">
        <f ca="1">_xlfn.MAXIFS(TeamGameData[Win],TeamGameData[School, Opponent,Game'#],PlayerGameData[[#This Row],[School, Opponent,Game'#]])</f>
        <v>#NAME?</v>
      </c>
      <c r="BK293" s="197" t="e">
        <f ca="1">_xlfn.MAXIFS(TeamGameData[Loss],TeamGameData[School, Opponent,Game'#],PlayerGameData[[#This Row],[School, Opponent,Game'#]])</f>
        <v>#NAME?</v>
      </c>
    </row>
    <row r="294" spans="1:63" x14ac:dyDescent="0.25">
      <c r="A294" s="8" t="str">
        <f t="shared" ca="1" si="153"/>
        <v xml:space="preserve">Team, </v>
      </c>
      <c r="B294" s="8" t="str">
        <f>Roster!$B$1</f>
        <v>Upton</v>
      </c>
      <c r="C294" s="8" t="str">
        <f t="shared" ca="1" si="141"/>
        <v>Kaycee</v>
      </c>
      <c r="D294" s="10">
        <f t="shared" ca="1" si="142"/>
        <v>44947</v>
      </c>
      <c r="E294" s="8">
        <f t="shared" ca="1" si="143"/>
        <v>0</v>
      </c>
      <c r="F294" s="8">
        <f t="shared" ca="1" si="144"/>
        <v>0</v>
      </c>
      <c r="G294" s="8">
        <f t="shared" ca="1" si="145"/>
        <v>0</v>
      </c>
      <c r="H294" s="8">
        <f t="shared" ca="1" si="146"/>
        <v>0</v>
      </c>
      <c r="I294" s="8">
        <f t="shared" ca="1" si="147"/>
        <v>0</v>
      </c>
      <c r="J294" s="8">
        <f t="shared" ca="1" si="148"/>
        <v>0</v>
      </c>
      <c r="K294" s="8">
        <f t="shared" ca="1" si="149"/>
        <v>0</v>
      </c>
      <c r="L294" s="8">
        <f t="shared" ca="1" si="154"/>
        <v>0</v>
      </c>
      <c r="M294" s="8">
        <f t="shared" ca="1" si="155"/>
        <v>0</v>
      </c>
      <c r="N294" s="8">
        <f t="shared" ca="1" si="156"/>
        <v>0</v>
      </c>
      <c r="O294" s="8">
        <f t="shared" ca="1" si="157"/>
        <v>0</v>
      </c>
      <c r="P294" s="8">
        <f t="shared" ca="1" si="158"/>
        <v>0</v>
      </c>
      <c r="Q294" s="8">
        <f t="shared" ca="1" si="159"/>
        <v>0</v>
      </c>
      <c r="R294" s="8">
        <f t="shared" ca="1" si="160"/>
        <v>0</v>
      </c>
      <c r="S294" s="8">
        <f t="shared" ca="1" si="161"/>
        <v>0</v>
      </c>
      <c r="T294" s="8">
        <f t="shared" ca="1" si="162"/>
        <v>0</v>
      </c>
      <c r="U294" s="8">
        <f t="shared" ca="1" si="163"/>
        <v>0</v>
      </c>
      <c r="V294" s="8">
        <f t="shared" ca="1" si="164"/>
        <v>0</v>
      </c>
      <c r="W294" s="11" t="str">
        <f t="shared" ca="1" si="165"/>
        <v/>
      </c>
      <c r="X294" s="11" t="str">
        <f t="shared" ca="1" si="166"/>
        <v/>
      </c>
      <c r="Y294" s="11" t="str">
        <f t="shared" ca="1" si="167"/>
        <v/>
      </c>
      <c r="Z294" s="11" t="str">
        <f t="shared" ca="1" si="168"/>
        <v/>
      </c>
      <c r="AA294" s="11" t="str">
        <f t="shared" ca="1" si="169"/>
        <v/>
      </c>
      <c r="AB294" s="47">
        <f ca="1">PlayerGameData[[#This Row],[3FGA]]+PlayerGameData[[#This Row],[2FGA]]</f>
        <v>0</v>
      </c>
      <c r="AC294" s="47">
        <f ca="1">PlayerGameData[[#This Row],[OFF REB]]+PlayerGameData[[#This Row],[DEF REB]]</f>
        <v>0</v>
      </c>
      <c r="AD294" s="8">
        <f t="shared" si="150"/>
        <v>12</v>
      </c>
      <c r="AE294" s="8" t="str">
        <f t="shared" ca="1" si="151"/>
        <v>Team,  - Kaycee 1/21/2023</v>
      </c>
      <c r="AF294" s="8" t="str">
        <f t="shared" ca="1" si="170"/>
        <v>R</v>
      </c>
      <c r="AG294" s="8" t="str">
        <f ca="1">IFERROR(IF(C294=0,"",IF(AND(VLOOKUP(PlayerGameData[[#This Row],[Opponent]],WYTeamInfo,2,FALSE)=Roster!$D$1,VLOOKUP(PlayerGameData[[#This Row],[Opponent]],WYTeamInfo,3,FALSE)=Roster!$D$2),"SR","")),"")</f>
        <v>SR</v>
      </c>
      <c r="AH294" s="8" t="str">
        <f>CONCATENATE(Roster!$D$1," ",Roster!$D$5)</f>
        <v>1A BB</v>
      </c>
      <c r="AI294" s="8" t="str">
        <f t="shared" ca="1" si="152"/>
        <v>Upton - Kaycee 1/21/2023</v>
      </c>
      <c r="AJ294" s="8">
        <f ca="1">IFERROR(VLOOKUP(PlayerGameData[[#This Row],[School, Opponent,Game'#]],Table3[],2,FALSE),0)</f>
        <v>1</v>
      </c>
      <c r="AK294" s="8">
        <f ca="1">IF(PlayerGameData[[#This Row],[Visible]]=1,1,1000)</f>
        <v>1</v>
      </c>
      <c r="AL294" s="8">
        <f ca="1">RANK(PlayerGameData[[#This Row],[TL PTS]],PlayerGameData[TL PTS],0)+PlayerGameData[[#This Row],[VisibleOrder]]</f>
        <v>185</v>
      </c>
      <c r="AM294" s="8">
        <f ca="1">IF(COUNTIF(PlayerGameData[PointOrder],PlayerGameData[[#This Row],[PointOrder]])&gt;1,RANK(PlayerGameData[[#This Row],[FGA]],PlayerGameData[FGA],0)/100,0)+PlayerGameData[[#This Row],[PointOrder]]</f>
        <v>187.14</v>
      </c>
      <c r="AN294" s="8">
        <f ca="1">RANK(PlayerGameData[[#This Row],[PointTieBreak]],PlayerGameData[PointTieBreak],1)</f>
        <v>216</v>
      </c>
      <c r="AO294" s="8">
        <f ca="1">RANK(PlayerGameData[[#This Row],[REB]],PlayerGameData[REB],0)+PlayerGameData[[#This Row],[VisibleOrder]]</f>
        <v>192</v>
      </c>
      <c r="AP294" s="8">
        <f ca="1">IF(COUNTIF(PlayerGameData[REBOrder],PlayerGameData[[#This Row],[REBOrder]])&gt;1,PlayerGameData[[#This Row],[PointRank]]/100+PlayerGameData[[#This Row],[REBOrder]],PlayerGameData[[#This Row],[REBOrder]])</f>
        <v>194.16</v>
      </c>
      <c r="AQ294" s="8">
        <f ca="1">RANK(PlayerGameData[[#This Row],[REBTieBreak]],PlayerGameData[REBTieBreak],1)</f>
        <v>224</v>
      </c>
      <c r="AR294" s="8">
        <f ca="1">RANK(PlayerGameData[[#This Row],[AST]],PlayerGameData[AST],0)+PlayerGameData[[#This Row],[VisibleOrder]]</f>
        <v>158</v>
      </c>
      <c r="AS294" s="8">
        <f ca="1">IF(COUNTIF(PlayerGameData[ASTOrder],PlayerGameData[[#This Row],[ASTOrder]])&gt;1,PlayerGameData[[#This Row],[PointRank]]/100+PlayerGameData[[#This Row],[ASTOrder]],PlayerGameData[[#This Row],[ASTOrder]])</f>
        <v>160.16</v>
      </c>
      <c r="AT294" s="8">
        <f ca="1">RANK(PlayerGameData[[#This Row],[ASTTieBreak]],PlayerGameData[ASTTieBreak],1)</f>
        <v>221</v>
      </c>
      <c r="AU294" s="8">
        <f ca="1">RANK(PlayerGameData[[#This Row],[STL]],PlayerGameData[STL],0)+PlayerGameData[[#This Row],[VisibleOrder]]</f>
        <v>143</v>
      </c>
      <c r="AV294" s="8">
        <f ca="1">IF(COUNTIF(PlayerGameData[STLOrder],PlayerGameData[[#This Row],[STLOrder]])&gt;1,PlayerGameData[[#This Row],[PointRank]]/100+PlayerGameData[[#This Row],[STLOrder]],PlayerGameData[[#This Row],[STLOrder]])</f>
        <v>145.16</v>
      </c>
      <c r="AW294" s="8">
        <f ca="1">RANK(PlayerGameData[[#This Row],[STLTieBreak]],PlayerGameData[STLTieBreak],1)</f>
        <v>217</v>
      </c>
      <c r="AX294" s="8">
        <f ca="1">RANK(PlayerGameData[[#This Row],[BLK]],PlayerGameData[BLK],0)+PlayerGameData[[#This Row],[VisibleOrder]]</f>
        <v>32</v>
      </c>
      <c r="AY294" s="8">
        <f ca="1">IF(COUNTIF(PlayerGameData[BLKOrder],PlayerGameData[[#This Row],[BLKOrder]])&gt;1,PlayerGameData[[#This Row],[PointRank]]/100+PlayerGameData[[#This Row],[BLKOrder]],PlayerGameData[[#This Row],[BLKOrder]])</f>
        <v>34.159999999999997</v>
      </c>
      <c r="AZ294" s="8">
        <f ca="1">RANK(PlayerGameData[[#This Row],[BLKTieBreak]],PlayerGameData[BLKTieBreak],1)</f>
        <v>216</v>
      </c>
      <c r="BA294" s="11">
        <f ca="1">IFERROR(IF(PlayerGameData[[#This Row],[FGA]]&gt;$AA$5,PlayerGameData[[#This Row],[FG%*]],PlayerGameData[[#This Row],[FG%*]]*-1),-2)</f>
        <v>-2</v>
      </c>
      <c r="BB294" s="8">
        <f ca="1">RANK(PlayerGameData[[#This Row],[EligFG]],PlayerGameData[EligFG],0)+PlayerGameData[[#This Row],[VisibleOrder]]</f>
        <v>215</v>
      </c>
      <c r="BC294" s="8">
        <f ca="1">IF(COUNTIF(PlayerGameData[EligFGOrder],PlayerGameData[[#This Row],[EligFGOrder]])&gt;1,PlayerGameData[[#This Row],[PointRank]]/100+PlayerGameData[[#This Row],[EligFGOrder]],PlayerGameData[[#This Row],[EligFGOrder]])</f>
        <v>217.16</v>
      </c>
      <c r="BD294" s="8">
        <f ca="1">RANK(PlayerGameData[[#This Row],[EligFGTieBreak]],PlayerGameData[EligFGTieBreak],1)</f>
        <v>216</v>
      </c>
      <c r="BE294" s="8" t="str">
        <f>Roster!$D$3</f>
        <v>East</v>
      </c>
      <c r="BF294" s="8" t="str">
        <f>Roster!$D$2</f>
        <v>Northeast</v>
      </c>
      <c r="BG294" s="8" t="str">
        <f>Roster!$D$4</f>
        <v>North</v>
      </c>
      <c r="BH294" s="197">
        <f ca="1">IFERROR(VLOOKUP(CONCATENATE(PlayerGameData[[#This Row],[Opponent]]," ",MONTH(PlayerGameData[[#This Row],[Date]]),"/",DAY(PlayerGameData[[#This Row],[Date]]),"/",YEAR(PlayerGameData[[#This Row],[Date]])),Table35[],2,FALSE),0)</f>
        <v>1</v>
      </c>
      <c r="BI294" s="197">
        <f ca="1">IF(PlayerGameData[[#This Row],[Visible]]=1,1,1000)</f>
        <v>1</v>
      </c>
      <c r="BJ294" s="197" t="e">
        <f ca="1">_xlfn.MAXIFS(TeamGameData[Win],TeamGameData[School, Opponent,Game'#],PlayerGameData[[#This Row],[School, Opponent,Game'#]])</f>
        <v>#NAME?</v>
      </c>
      <c r="BK294" s="197" t="e">
        <f ca="1">_xlfn.MAXIFS(TeamGameData[Loss],TeamGameData[School, Opponent,Game'#],PlayerGameData[[#This Row],[School, Opponent,Game'#]])</f>
        <v>#NAME?</v>
      </c>
    </row>
    <row r="295" spans="1:63" x14ac:dyDescent="0.25">
      <c r="A295" s="8" t="str">
        <f t="shared" ca="1" si="153"/>
        <v>Landon Butler, 1</v>
      </c>
      <c r="B295" s="8" t="str">
        <f>Roster!$B$1</f>
        <v>Upton</v>
      </c>
      <c r="C295" s="8" t="str">
        <f t="shared" ca="1" si="141"/>
        <v>Hulett</v>
      </c>
      <c r="D295" s="10">
        <f t="shared" ca="1" si="142"/>
        <v>44953</v>
      </c>
      <c r="E295" s="8">
        <f t="shared" ca="1" si="143"/>
        <v>1</v>
      </c>
      <c r="F295" s="8">
        <f t="shared" ca="1" si="144"/>
        <v>0</v>
      </c>
      <c r="G295" s="8">
        <f t="shared" ca="1" si="145"/>
        <v>3</v>
      </c>
      <c r="H295" s="8">
        <f t="shared" ca="1" si="146"/>
        <v>0</v>
      </c>
      <c r="I295" s="8">
        <f t="shared" ca="1" si="147"/>
        <v>1</v>
      </c>
      <c r="J295" s="8">
        <f t="shared" ca="1" si="148"/>
        <v>1</v>
      </c>
      <c r="K295" s="8">
        <f t="shared" ca="1" si="149"/>
        <v>1</v>
      </c>
      <c r="L295" s="8">
        <f t="shared" ca="1" si="154"/>
        <v>0</v>
      </c>
      <c r="M295" s="8">
        <f t="shared" ca="1" si="155"/>
        <v>0</v>
      </c>
      <c r="N295" s="8">
        <f t="shared" ca="1" si="156"/>
        <v>0</v>
      </c>
      <c r="O295" s="8">
        <f t="shared" ca="1" si="157"/>
        <v>0</v>
      </c>
      <c r="P295" s="8">
        <f t="shared" ca="1" si="158"/>
        <v>0</v>
      </c>
      <c r="Q295" s="8">
        <f t="shared" ca="1" si="159"/>
        <v>1</v>
      </c>
      <c r="R295" s="8">
        <f t="shared" ca="1" si="160"/>
        <v>0</v>
      </c>
      <c r="S295" s="8">
        <f t="shared" ca="1" si="161"/>
        <v>1</v>
      </c>
      <c r="T295" s="8">
        <f t="shared" ca="1" si="162"/>
        <v>0</v>
      </c>
      <c r="U295" s="8">
        <f t="shared" ca="1" si="163"/>
        <v>0</v>
      </c>
      <c r="V295" s="8">
        <f t="shared" ca="1" si="164"/>
        <v>2</v>
      </c>
      <c r="W295" s="11">
        <f t="shared" ca="1" si="165"/>
        <v>0</v>
      </c>
      <c r="X295" s="11">
        <f t="shared" ca="1" si="166"/>
        <v>1</v>
      </c>
      <c r="Y295" s="11" t="str">
        <f t="shared" ca="1" si="167"/>
        <v/>
      </c>
      <c r="Z295" s="11">
        <f t="shared" ca="1" si="168"/>
        <v>0.5</v>
      </c>
      <c r="AA295" s="11">
        <f t="shared" ca="1" si="169"/>
        <v>0.5</v>
      </c>
      <c r="AB295" s="47">
        <f ca="1">PlayerGameData[[#This Row],[3FGA]]+PlayerGameData[[#This Row],[2FGA]]</f>
        <v>2</v>
      </c>
      <c r="AC295" s="47">
        <f ca="1">PlayerGameData[[#This Row],[OFF REB]]+PlayerGameData[[#This Row],[DEF REB]]</f>
        <v>0</v>
      </c>
      <c r="AD295" s="8">
        <f t="shared" si="150"/>
        <v>13</v>
      </c>
      <c r="AE295" s="8" t="str">
        <f t="shared" ca="1" si="151"/>
        <v>Landon Butler, 1 - Hulett 1/27/2023</v>
      </c>
      <c r="AF295" s="8" t="str">
        <f t="shared" ca="1" si="170"/>
        <v>R</v>
      </c>
      <c r="AG295" s="8" t="str">
        <f ca="1">IFERROR(IF(C295=0,"",IF(AND(VLOOKUP(PlayerGameData[[#This Row],[Opponent]],WYTeamInfo,2,FALSE)=Roster!$D$1,VLOOKUP(PlayerGameData[[#This Row],[Opponent]],WYTeamInfo,3,FALSE)=Roster!$D$2),"SR","")),"")</f>
        <v>SR</v>
      </c>
      <c r="AH295" s="8" t="str">
        <f>CONCATENATE(Roster!$D$1," ",Roster!$D$5)</f>
        <v>1A BB</v>
      </c>
      <c r="AI295" s="8" t="str">
        <f t="shared" ca="1" si="152"/>
        <v>Upton - Hulett 1/27/2023</v>
      </c>
      <c r="AJ295" s="8">
        <f ca="1">IFERROR(VLOOKUP(PlayerGameData[[#This Row],[School, Opponent,Game'#]],Table3[],2,FALSE),0)</f>
        <v>1</v>
      </c>
      <c r="AK295" s="8">
        <f ca="1">IF(PlayerGameData[[#This Row],[Visible]]=1,1,1000)</f>
        <v>1</v>
      </c>
      <c r="AL295" s="8">
        <f ca="1">RANK(PlayerGameData[[#This Row],[TL PTS]],PlayerGameData[TL PTS],0)+PlayerGameData[[#This Row],[VisibleOrder]]</f>
        <v>152</v>
      </c>
      <c r="AM295" s="8">
        <f ca="1">IF(COUNTIF(PlayerGameData[PointOrder],PlayerGameData[[#This Row],[PointOrder]])&gt;1,RANK(PlayerGameData[[#This Row],[FGA]],PlayerGameData[FGA],0)/100,0)+PlayerGameData[[#This Row],[PointOrder]]</f>
        <v>153.61000000000001</v>
      </c>
      <c r="AN295" s="8">
        <f ca="1">RANK(PlayerGameData[[#This Row],[PointTieBreak]],PlayerGameData[PointTieBreak],1)</f>
        <v>163</v>
      </c>
      <c r="AO295" s="8">
        <f ca="1">RANK(PlayerGameData[[#This Row],[REB]],PlayerGameData[REB],0)+PlayerGameData[[#This Row],[VisibleOrder]]</f>
        <v>192</v>
      </c>
      <c r="AP295" s="8">
        <f ca="1">IF(COUNTIF(PlayerGameData[REBOrder],PlayerGameData[[#This Row],[REBOrder]])&gt;1,PlayerGameData[[#This Row],[PointRank]]/100+PlayerGameData[[#This Row],[REBOrder]],PlayerGameData[[#This Row],[REBOrder]])</f>
        <v>193.63</v>
      </c>
      <c r="AQ295" s="8">
        <f ca="1">RANK(PlayerGameData[[#This Row],[REBTieBreak]],PlayerGameData[REBTieBreak],1)</f>
        <v>204</v>
      </c>
      <c r="AR295" s="8">
        <f ca="1">RANK(PlayerGameData[[#This Row],[AST]],PlayerGameData[AST],0)+PlayerGameData[[#This Row],[VisibleOrder]]</f>
        <v>158</v>
      </c>
      <c r="AS295" s="8">
        <f ca="1">IF(COUNTIF(PlayerGameData[ASTOrder],PlayerGameData[[#This Row],[ASTOrder]])&gt;1,PlayerGameData[[#This Row],[PointRank]]/100+PlayerGameData[[#This Row],[ASTOrder]],PlayerGameData[[#This Row],[ASTOrder]])</f>
        <v>159.63</v>
      </c>
      <c r="AT295" s="8">
        <f ca="1">RANK(PlayerGameData[[#This Row],[ASTTieBreak]],PlayerGameData[ASTTieBreak],1)</f>
        <v>186</v>
      </c>
      <c r="AU295" s="8">
        <f ca="1">RANK(PlayerGameData[[#This Row],[STL]],PlayerGameData[STL],0)+PlayerGameData[[#This Row],[VisibleOrder]]</f>
        <v>84</v>
      </c>
      <c r="AV295" s="8">
        <f ca="1">IF(COUNTIF(PlayerGameData[STLOrder],PlayerGameData[[#This Row],[STLOrder]])&gt;1,PlayerGameData[[#This Row],[PointRank]]/100+PlayerGameData[[#This Row],[STLOrder]],PlayerGameData[[#This Row],[STLOrder]])</f>
        <v>85.63</v>
      </c>
      <c r="AW295" s="8">
        <f ca="1">RANK(PlayerGameData[[#This Row],[STLTieBreak]],PlayerGameData[STLTieBreak],1)</f>
        <v>129</v>
      </c>
      <c r="AX295" s="8">
        <f ca="1">RANK(PlayerGameData[[#This Row],[BLK]],PlayerGameData[BLK],0)+PlayerGameData[[#This Row],[VisibleOrder]]</f>
        <v>32</v>
      </c>
      <c r="AY295" s="8">
        <f ca="1">IF(COUNTIF(PlayerGameData[BLKOrder],PlayerGameData[[#This Row],[BLKOrder]])&gt;1,PlayerGameData[[#This Row],[PointRank]]/100+PlayerGameData[[#This Row],[BLKOrder]],PlayerGameData[[#This Row],[BLKOrder]])</f>
        <v>33.630000000000003</v>
      </c>
      <c r="AZ295" s="8">
        <f ca="1">RANK(PlayerGameData[[#This Row],[BLKTieBreak]],PlayerGameData[BLKTieBreak],1)</f>
        <v>164</v>
      </c>
      <c r="BA295" s="11">
        <f ca="1">IFERROR(IF(PlayerGameData[[#This Row],[FGA]]&gt;$AA$5,PlayerGameData[[#This Row],[FG%*]],PlayerGameData[[#This Row],[FG%*]]*-1),-2)</f>
        <v>-0.5</v>
      </c>
      <c r="BB295" s="8">
        <f ca="1">RANK(PlayerGameData[[#This Row],[EligFG]],PlayerGameData[EligFG],0)+PlayerGameData[[#This Row],[VisibleOrder]]</f>
        <v>182</v>
      </c>
      <c r="BC295" s="8">
        <f ca="1">IF(COUNTIF(PlayerGameData[EligFGOrder],PlayerGameData[[#This Row],[EligFGOrder]])&gt;1,PlayerGameData[[#This Row],[PointRank]]/100+PlayerGameData[[#This Row],[EligFGOrder]],PlayerGameData[[#This Row],[EligFGOrder]])</f>
        <v>183.63</v>
      </c>
      <c r="BD295" s="8">
        <f ca="1">RANK(PlayerGameData[[#This Row],[EligFGTieBreak]],PlayerGameData[EligFGTieBreak],1)</f>
        <v>188</v>
      </c>
      <c r="BE295" s="8" t="str">
        <f>Roster!$D$3</f>
        <v>East</v>
      </c>
      <c r="BF295" s="8" t="str">
        <f>Roster!$D$2</f>
        <v>Northeast</v>
      </c>
      <c r="BG295" s="8" t="str">
        <f>Roster!$D$4</f>
        <v>North</v>
      </c>
      <c r="BH295" s="197">
        <f ca="1">IFERROR(VLOOKUP(CONCATENATE(PlayerGameData[[#This Row],[Opponent]]," ",MONTH(PlayerGameData[[#This Row],[Date]]),"/",DAY(PlayerGameData[[#This Row],[Date]]),"/",YEAR(PlayerGameData[[#This Row],[Date]])),Table35[],2,FALSE),0)</f>
        <v>1</v>
      </c>
      <c r="BI295" s="197">
        <f ca="1">IF(PlayerGameData[[#This Row],[Visible]]=1,1,1000)</f>
        <v>1</v>
      </c>
      <c r="BJ295" s="197" t="e">
        <f ca="1">_xlfn.MAXIFS(TeamGameData[Win],TeamGameData[School, Opponent,Game'#],PlayerGameData[[#This Row],[School, Opponent,Game'#]])</f>
        <v>#NAME?</v>
      </c>
      <c r="BK295" s="197" t="e">
        <f ca="1">_xlfn.MAXIFS(TeamGameData[Loss],TeamGameData[School, Opponent,Game'#],PlayerGameData[[#This Row],[School, Opponent,Game'#]])</f>
        <v>#NAME?</v>
      </c>
    </row>
    <row r="296" spans="1:63" x14ac:dyDescent="0.25">
      <c r="A296" s="8" t="str">
        <f t="shared" ca="1" si="153"/>
        <v>Logan Timberman, 3</v>
      </c>
      <c r="B296" s="8" t="str">
        <f>Roster!$B$1</f>
        <v>Upton</v>
      </c>
      <c r="C296" s="8" t="str">
        <f t="shared" ca="1" si="141"/>
        <v>Hulett</v>
      </c>
      <c r="D296" s="10">
        <f t="shared" ca="1" si="142"/>
        <v>44953</v>
      </c>
      <c r="E296" s="8">
        <f t="shared" ca="1" si="143"/>
        <v>1</v>
      </c>
      <c r="F296" s="8">
        <f t="shared" ca="1" si="144"/>
        <v>1</v>
      </c>
      <c r="G296" s="8">
        <f t="shared" ca="1" si="145"/>
        <v>25</v>
      </c>
      <c r="H296" s="8">
        <f t="shared" ca="1" si="146"/>
        <v>0</v>
      </c>
      <c r="I296" s="8">
        <f t="shared" ca="1" si="147"/>
        <v>5</v>
      </c>
      <c r="J296" s="8">
        <f t="shared" ca="1" si="148"/>
        <v>1</v>
      </c>
      <c r="K296" s="8">
        <f t="shared" ca="1" si="149"/>
        <v>3</v>
      </c>
      <c r="L296" s="8">
        <f t="shared" ca="1" si="154"/>
        <v>0</v>
      </c>
      <c r="M296" s="8">
        <f t="shared" ca="1" si="155"/>
        <v>0</v>
      </c>
      <c r="N296" s="8">
        <f t="shared" ca="1" si="156"/>
        <v>1</v>
      </c>
      <c r="O296" s="8">
        <f t="shared" ca="1" si="157"/>
        <v>1</v>
      </c>
      <c r="P296" s="8">
        <f t="shared" ca="1" si="158"/>
        <v>3</v>
      </c>
      <c r="Q296" s="8">
        <f t="shared" ca="1" si="159"/>
        <v>5</v>
      </c>
      <c r="R296" s="8">
        <f t="shared" ca="1" si="160"/>
        <v>0</v>
      </c>
      <c r="S296" s="8">
        <f t="shared" ca="1" si="161"/>
        <v>2</v>
      </c>
      <c r="T296" s="8">
        <f t="shared" ca="1" si="162"/>
        <v>1</v>
      </c>
      <c r="U296" s="8">
        <f t="shared" ca="1" si="163"/>
        <v>1</v>
      </c>
      <c r="V296" s="8">
        <f t="shared" ca="1" si="164"/>
        <v>2</v>
      </c>
      <c r="W296" s="11">
        <f t="shared" ca="1" si="165"/>
        <v>0</v>
      </c>
      <c r="X296" s="11">
        <f t="shared" ca="1" si="166"/>
        <v>0.33333333333333331</v>
      </c>
      <c r="Y296" s="11" t="str">
        <f t="shared" ca="1" si="167"/>
        <v/>
      </c>
      <c r="Z296" s="11">
        <f t="shared" ca="1" si="168"/>
        <v>0.125</v>
      </c>
      <c r="AA296" s="11">
        <f t="shared" ca="1" si="169"/>
        <v>0.125</v>
      </c>
      <c r="AB296" s="47">
        <f ca="1">PlayerGameData[[#This Row],[3FGA]]+PlayerGameData[[#This Row],[2FGA]]</f>
        <v>8</v>
      </c>
      <c r="AC296" s="47">
        <f ca="1">PlayerGameData[[#This Row],[OFF REB]]+PlayerGameData[[#This Row],[DEF REB]]</f>
        <v>2</v>
      </c>
      <c r="AD296" s="8">
        <f t="shared" si="150"/>
        <v>13</v>
      </c>
      <c r="AE296" s="8" t="str">
        <f t="shared" ca="1" si="151"/>
        <v>Logan Timberman, 3 - Hulett 1/27/2023</v>
      </c>
      <c r="AF296" s="8" t="str">
        <f t="shared" ca="1" si="170"/>
        <v>R</v>
      </c>
      <c r="AG296" s="8" t="str">
        <f ca="1">IFERROR(IF(C296=0,"",IF(AND(VLOOKUP(PlayerGameData[[#This Row],[Opponent]],WYTeamInfo,2,FALSE)=Roster!$D$1,VLOOKUP(PlayerGameData[[#This Row],[Opponent]],WYTeamInfo,3,FALSE)=Roster!$D$2),"SR","")),"")</f>
        <v>SR</v>
      </c>
      <c r="AH296" s="8" t="str">
        <f>CONCATENATE(Roster!$D$1," ",Roster!$D$5)</f>
        <v>1A BB</v>
      </c>
      <c r="AI296" s="8" t="str">
        <f t="shared" ca="1" si="152"/>
        <v>Upton - Hulett 1/27/2023</v>
      </c>
      <c r="AJ296" s="8">
        <f ca="1">IFERROR(VLOOKUP(PlayerGameData[[#This Row],[School, Opponent,Game'#]],Table3[],2,FALSE),0)</f>
        <v>1</v>
      </c>
      <c r="AK296" s="8">
        <f ca="1">IF(PlayerGameData[[#This Row],[Visible]]=1,1,1000)</f>
        <v>1</v>
      </c>
      <c r="AL296" s="8">
        <f ca="1">RANK(PlayerGameData[[#This Row],[TL PTS]],PlayerGameData[TL PTS],0)+PlayerGameData[[#This Row],[VisibleOrder]]</f>
        <v>152</v>
      </c>
      <c r="AM296" s="8">
        <f ca="1">IF(COUNTIF(PlayerGameData[PointOrder],PlayerGameData[[#This Row],[PointOrder]])&gt;1,RANK(PlayerGameData[[#This Row],[FGA]],PlayerGameData[FGA],0)/100,0)+PlayerGameData[[#This Row],[PointOrder]]</f>
        <v>152.76</v>
      </c>
      <c r="AN296" s="8">
        <f ca="1">RANK(PlayerGameData[[#This Row],[PointTieBreak]],PlayerGameData[PointTieBreak],1)</f>
        <v>152</v>
      </c>
      <c r="AO296" s="8">
        <f ca="1">RANK(PlayerGameData[[#This Row],[REB]],PlayerGameData[REB],0)+PlayerGameData[[#This Row],[VisibleOrder]]</f>
        <v>137</v>
      </c>
      <c r="AP296" s="8">
        <f ca="1">IF(COUNTIF(PlayerGameData[REBOrder],PlayerGameData[[#This Row],[REBOrder]])&gt;1,PlayerGameData[[#This Row],[PointRank]]/100+PlayerGameData[[#This Row],[REBOrder]],PlayerGameData[[#This Row],[REBOrder]])</f>
        <v>138.52000000000001</v>
      </c>
      <c r="AQ296" s="8">
        <f ca="1">RANK(PlayerGameData[[#This Row],[REBTieBreak]],PlayerGameData[REBTieBreak],1)</f>
        <v>151</v>
      </c>
      <c r="AR296" s="8">
        <f ca="1">RANK(PlayerGameData[[#This Row],[AST]],PlayerGameData[AST],0)+PlayerGameData[[#This Row],[VisibleOrder]]</f>
        <v>39</v>
      </c>
      <c r="AS296" s="8">
        <f ca="1">IF(COUNTIF(PlayerGameData[ASTOrder],PlayerGameData[[#This Row],[ASTOrder]])&gt;1,PlayerGameData[[#This Row],[PointRank]]/100+PlayerGameData[[#This Row],[ASTOrder]],PlayerGameData[[#This Row],[ASTOrder]])</f>
        <v>40.520000000000003</v>
      </c>
      <c r="AT296" s="8">
        <f ca="1">RANK(PlayerGameData[[#This Row],[ASTTieBreak]],PlayerGameData[ASTTieBreak],1)</f>
        <v>63</v>
      </c>
      <c r="AU296" s="8">
        <f ca="1">RANK(PlayerGameData[[#This Row],[STL]],PlayerGameData[STL],0)+PlayerGameData[[#This Row],[VisibleOrder]]</f>
        <v>4</v>
      </c>
      <c r="AV296" s="8">
        <f ca="1">IF(COUNTIF(PlayerGameData[STLOrder],PlayerGameData[[#This Row],[STLOrder]])&gt;1,PlayerGameData[[#This Row],[PointRank]]/100+PlayerGameData[[#This Row],[STLOrder]],PlayerGameData[[#This Row],[STLOrder]])</f>
        <v>5.52</v>
      </c>
      <c r="AW296" s="8">
        <f ca="1">RANK(PlayerGameData[[#This Row],[STLTieBreak]],PlayerGameData[STLTieBreak],1)</f>
        <v>8</v>
      </c>
      <c r="AX296" s="8">
        <f ca="1">RANK(PlayerGameData[[#This Row],[BLK]],PlayerGameData[BLK],0)+PlayerGameData[[#This Row],[VisibleOrder]]</f>
        <v>32</v>
      </c>
      <c r="AY296" s="8">
        <f ca="1">IF(COUNTIF(PlayerGameData[BLKOrder],PlayerGameData[[#This Row],[BLKOrder]])&gt;1,PlayerGameData[[#This Row],[PointRank]]/100+PlayerGameData[[#This Row],[BLKOrder]],PlayerGameData[[#This Row],[BLKOrder]])</f>
        <v>33.520000000000003</v>
      </c>
      <c r="AZ296" s="8">
        <f ca="1">RANK(PlayerGameData[[#This Row],[BLKTieBreak]],PlayerGameData[BLKTieBreak],1)</f>
        <v>155</v>
      </c>
      <c r="BA296" s="11">
        <f ca="1">IFERROR(IF(PlayerGameData[[#This Row],[FGA]]&gt;$AA$5,PlayerGameData[[#This Row],[FG%*]],PlayerGameData[[#This Row],[FG%*]]*-1),-2)</f>
        <v>0.125</v>
      </c>
      <c r="BB296" s="8">
        <f ca="1">RANK(PlayerGameData[[#This Row],[EligFG]],PlayerGameData[EligFG],0)+PlayerGameData[[#This Row],[VisibleOrder]]</f>
        <v>110</v>
      </c>
      <c r="BC296" s="8">
        <f ca="1">IF(COUNTIF(PlayerGameData[EligFGOrder],PlayerGameData[[#This Row],[EligFGOrder]])&gt;1,PlayerGameData[[#This Row],[PointRank]]/100+PlayerGameData[[#This Row],[EligFGOrder]],PlayerGameData[[#This Row],[EligFGOrder]])</f>
        <v>111.52</v>
      </c>
      <c r="BD296" s="8">
        <f ca="1">RANK(PlayerGameData[[#This Row],[EligFGTieBreak]],PlayerGameData[EligFGTieBreak],1)</f>
        <v>111</v>
      </c>
      <c r="BE296" s="8" t="str">
        <f>Roster!$D$3</f>
        <v>East</v>
      </c>
      <c r="BF296" s="8" t="str">
        <f>Roster!$D$2</f>
        <v>Northeast</v>
      </c>
      <c r="BG296" s="8" t="str">
        <f>Roster!$D$4</f>
        <v>North</v>
      </c>
      <c r="BH296" s="197">
        <f ca="1">IFERROR(VLOOKUP(CONCATENATE(PlayerGameData[[#This Row],[Opponent]]," ",MONTH(PlayerGameData[[#This Row],[Date]]),"/",DAY(PlayerGameData[[#This Row],[Date]]),"/",YEAR(PlayerGameData[[#This Row],[Date]])),Table35[],2,FALSE),0)</f>
        <v>1</v>
      </c>
      <c r="BI296" s="197">
        <f ca="1">IF(PlayerGameData[[#This Row],[Visible]]=1,1,1000)</f>
        <v>1</v>
      </c>
      <c r="BJ296" s="197" t="e">
        <f ca="1">_xlfn.MAXIFS(TeamGameData[Win],TeamGameData[School, Opponent,Game'#],PlayerGameData[[#This Row],[School, Opponent,Game'#]])</f>
        <v>#NAME?</v>
      </c>
      <c r="BK296" s="197" t="e">
        <f ca="1">_xlfn.MAXIFS(TeamGameData[Loss],TeamGameData[School, Opponent,Game'#],PlayerGameData[[#This Row],[School, Opponent,Game'#]])</f>
        <v>#NAME?</v>
      </c>
    </row>
    <row r="297" spans="1:63" x14ac:dyDescent="0.25">
      <c r="A297" s="8" t="str">
        <f t="shared" ca="1" si="153"/>
        <v>Chase Mills, 5</v>
      </c>
      <c r="B297" s="8" t="str">
        <f>Roster!$B$1</f>
        <v>Upton</v>
      </c>
      <c r="C297" s="8" t="str">
        <f t="shared" ca="1" si="141"/>
        <v>Hulett</v>
      </c>
      <c r="D297" s="10">
        <f t="shared" ca="1" si="142"/>
        <v>44953</v>
      </c>
      <c r="E297" s="8">
        <f t="shared" ca="1" si="143"/>
        <v>1</v>
      </c>
      <c r="F297" s="8">
        <f t="shared" ca="1" si="144"/>
        <v>1</v>
      </c>
      <c r="G297" s="8">
        <f t="shared" ca="1" si="145"/>
        <v>30</v>
      </c>
      <c r="H297" s="8">
        <f t="shared" ca="1" si="146"/>
        <v>0</v>
      </c>
      <c r="I297" s="8">
        <f t="shared" ca="1" si="147"/>
        <v>4</v>
      </c>
      <c r="J297" s="8">
        <f t="shared" ca="1" si="148"/>
        <v>9</v>
      </c>
      <c r="K297" s="8">
        <f t="shared" ca="1" si="149"/>
        <v>12</v>
      </c>
      <c r="L297" s="8">
        <f t="shared" ca="1" si="154"/>
        <v>0</v>
      </c>
      <c r="M297" s="8">
        <f t="shared" ca="1" si="155"/>
        <v>0</v>
      </c>
      <c r="N297" s="8">
        <f t="shared" ca="1" si="156"/>
        <v>3</v>
      </c>
      <c r="O297" s="8">
        <f t="shared" ca="1" si="157"/>
        <v>1</v>
      </c>
      <c r="P297" s="8">
        <f t="shared" ca="1" si="158"/>
        <v>5</v>
      </c>
      <c r="Q297" s="8">
        <f t="shared" ca="1" si="159"/>
        <v>4</v>
      </c>
      <c r="R297" s="8">
        <f t="shared" ca="1" si="160"/>
        <v>0</v>
      </c>
      <c r="S297" s="8">
        <f t="shared" ca="1" si="161"/>
        <v>4</v>
      </c>
      <c r="T297" s="8">
        <f t="shared" ca="1" si="162"/>
        <v>1</v>
      </c>
      <c r="U297" s="8">
        <f t="shared" ca="1" si="163"/>
        <v>0</v>
      </c>
      <c r="V297" s="8">
        <f t="shared" ca="1" si="164"/>
        <v>18</v>
      </c>
      <c r="W297" s="11">
        <f t="shared" ca="1" si="165"/>
        <v>0</v>
      </c>
      <c r="X297" s="11">
        <f t="shared" ca="1" si="166"/>
        <v>0.75</v>
      </c>
      <c r="Y297" s="11" t="str">
        <f t="shared" ca="1" si="167"/>
        <v/>
      </c>
      <c r="Z297" s="11">
        <f t="shared" ca="1" si="168"/>
        <v>0.5625</v>
      </c>
      <c r="AA297" s="11">
        <f t="shared" ca="1" si="169"/>
        <v>0.5625</v>
      </c>
      <c r="AB297" s="47">
        <f ca="1">PlayerGameData[[#This Row],[3FGA]]+PlayerGameData[[#This Row],[2FGA]]</f>
        <v>16</v>
      </c>
      <c r="AC297" s="47">
        <f ca="1">PlayerGameData[[#This Row],[OFF REB]]+PlayerGameData[[#This Row],[DEF REB]]</f>
        <v>4</v>
      </c>
      <c r="AD297" s="8">
        <f t="shared" si="150"/>
        <v>13</v>
      </c>
      <c r="AE297" s="8" t="str">
        <f t="shared" ca="1" si="151"/>
        <v>Chase Mills, 5 - Hulett 1/27/2023</v>
      </c>
      <c r="AF297" s="8" t="str">
        <f t="shared" ca="1" si="170"/>
        <v>R</v>
      </c>
      <c r="AG297" s="8" t="str">
        <f ca="1">IFERROR(IF(C297=0,"",IF(AND(VLOOKUP(PlayerGameData[[#This Row],[Opponent]],WYTeamInfo,2,FALSE)=Roster!$D$1,VLOOKUP(PlayerGameData[[#This Row],[Opponent]],WYTeamInfo,3,FALSE)=Roster!$D$2),"SR","")),"")</f>
        <v>SR</v>
      </c>
      <c r="AH297" s="8" t="str">
        <f>CONCATENATE(Roster!$D$1," ",Roster!$D$5)</f>
        <v>1A BB</v>
      </c>
      <c r="AI297" s="8" t="str">
        <f t="shared" ca="1" si="152"/>
        <v>Upton - Hulett 1/27/2023</v>
      </c>
      <c r="AJ297" s="8">
        <f ca="1">IFERROR(VLOOKUP(PlayerGameData[[#This Row],[School, Opponent,Game'#]],Table3[],2,FALSE),0)</f>
        <v>1</v>
      </c>
      <c r="AK297" s="8">
        <f ca="1">IF(PlayerGameData[[#This Row],[Visible]]=1,1,1000)</f>
        <v>1</v>
      </c>
      <c r="AL297" s="8">
        <f ca="1">RANK(PlayerGameData[[#This Row],[TL PTS]],PlayerGameData[TL PTS],0)+PlayerGameData[[#This Row],[VisibleOrder]]</f>
        <v>13</v>
      </c>
      <c r="AM297" s="8">
        <f ca="1">IF(COUNTIF(PlayerGameData[PointOrder],PlayerGameData[[#This Row],[PointOrder]])&gt;1,RANK(PlayerGameData[[#This Row],[FGA]],PlayerGameData[FGA],0)/100,0)+PlayerGameData[[#This Row],[PointOrder]]</f>
        <v>13.05</v>
      </c>
      <c r="AN297" s="8">
        <f ca="1">RANK(PlayerGameData[[#This Row],[PointTieBreak]],PlayerGameData[PointTieBreak],1)</f>
        <v>12</v>
      </c>
      <c r="AO297" s="8">
        <f ca="1">RANK(PlayerGameData[[#This Row],[REB]],PlayerGameData[REB],0)+PlayerGameData[[#This Row],[VisibleOrder]]</f>
        <v>79</v>
      </c>
      <c r="AP297" s="8">
        <f ca="1">IF(COUNTIF(PlayerGameData[REBOrder],PlayerGameData[[#This Row],[REBOrder]])&gt;1,PlayerGameData[[#This Row],[PointRank]]/100+PlayerGameData[[#This Row],[REBOrder]],PlayerGameData[[#This Row],[REBOrder]])</f>
        <v>79.12</v>
      </c>
      <c r="AQ297" s="8">
        <f ca="1">RANK(PlayerGameData[[#This Row],[REBTieBreak]],PlayerGameData[REBTieBreak],1)</f>
        <v>79</v>
      </c>
      <c r="AR297" s="8">
        <f ca="1">RANK(PlayerGameData[[#This Row],[AST]],PlayerGameData[AST],0)+PlayerGameData[[#This Row],[VisibleOrder]]</f>
        <v>14</v>
      </c>
      <c r="AS297" s="8">
        <f ca="1">IF(COUNTIF(PlayerGameData[ASTOrder],PlayerGameData[[#This Row],[ASTOrder]])&gt;1,PlayerGameData[[#This Row],[PointRank]]/100+PlayerGameData[[#This Row],[ASTOrder]],PlayerGameData[[#This Row],[ASTOrder]])</f>
        <v>14.12</v>
      </c>
      <c r="AT297" s="8">
        <f ca="1">RANK(PlayerGameData[[#This Row],[ASTTieBreak]],PlayerGameData[ASTTieBreak],1)</f>
        <v>15</v>
      </c>
      <c r="AU297" s="8">
        <f ca="1">RANK(PlayerGameData[[#This Row],[STL]],PlayerGameData[STL],0)+PlayerGameData[[#This Row],[VisibleOrder]]</f>
        <v>10</v>
      </c>
      <c r="AV297" s="8">
        <f ca="1">IF(COUNTIF(PlayerGameData[STLOrder],PlayerGameData[[#This Row],[STLOrder]])&gt;1,PlayerGameData[[#This Row],[PointRank]]/100+PlayerGameData[[#This Row],[STLOrder]],PlayerGameData[[#This Row],[STLOrder]])</f>
        <v>10.119999999999999</v>
      </c>
      <c r="AW297" s="8">
        <f ca="1">RANK(PlayerGameData[[#This Row],[STLTieBreak]],PlayerGameData[STLTieBreak],1)</f>
        <v>11</v>
      </c>
      <c r="AX297" s="8">
        <f ca="1">RANK(PlayerGameData[[#This Row],[BLK]],PlayerGameData[BLK],0)+PlayerGameData[[#This Row],[VisibleOrder]]</f>
        <v>32</v>
      </c>
      <c r="AY297" s="8">
        <f ca="1">IF(COUNTIF(PlayerGameData[BLKOrder],PlayerGameData[[#This Row],[BLKOrder]])&gt;1,PlayerGameData[[#This Row],[PointRank]]/100+PlayerGameData[[#This Row],[BLKOrder]],PlayerGameData[[#This Row],[BLKOrder]])</f>
        <v>32.119999999999997</v>
      </c>
      <c r="AZ297" s="8">
        <f ca="1">RANK(PlayerGameData[[#This Row],[BLKTieBreak]],PlayerGameData[BLKTieBreak],1)</f>
        <v>40</v>
      </c>
      <c r="BA297" s="11">
        <f ca="1">IFERROR(IF(PlayerGameData[[#This Row],[FGA]]&gt;$AA$5,PlayerGameData[[#This Row],[FG%*]],PlayerGameData[[#This Row],[FG%*]]*-1),-2)</f>
        <v>0.5625</v>
      </c>
      <c r="BB297" s="8">
        <f ca="1">RANK(PlayerGameData[[#This Row],[EligFG]],PlayerGameData[EligFG],0)+PlayerGameData[[#This Row],[VisibleOrder]]</f>
        <v>30</v>
      </c>
      <c r="BC297" s="8">
        <f ca="1">IF(COUNTIF(PlayerGameData[EligFGOrder],PlayerGameData[[#This Row],[EligFGOrder]])&gt;1,PlayerGameData[[#This Row],[PointRank]]/100+PlayerGameData[[#This Row],[EligFGOrder]],PlayerGameData[[#This Row],[EligFGOrder]])</f>
        <v>30</v>
      </c>
      <c r="BD297" s="8">
        <f ca="1">RANK(PlayerGameData[[#This Row],[EligFGTieBreak]],PlayerGameData[EligFGTieBreak],1)</f>
        <v>29</v>
      </c>
      <c r="BE297" s="8" t="str">
        <f>Roster!$D$3</f>
        <v>East</v>
      </c>
      <c r="BF297" s="8" t="str">
        <f>Roster!$D$2</f>
        <v>Northeast</v>
      </c>
      <c r="BG297" s="8" t="str">
        <f>Roster!$D$4</f>
        <v>North</v>
      </c>
      <c r="BH297" s="197">
        <f ca="1">IFERROR(VLOOKUP(CONCATENATE(PlayerGameData[[#This Row],[Opponent]]," ",MONTH(PlayerGameData[[#This Row],[Date]]),"/",DAY(PlayerGameData[[#This Row],[Date]]),"/",YEAR(PlayerGameData[[#This Row],[Date]])),Table35[],2,FALSE),0)</f>
        <v>1</v>
      </c>
      <c r="BI297" s="197">
        <f ca="1">IF(PlayerGameData[[#This Row],[Visible]]=1,1,1000)</f>
        <v>1</v>
      </c>
      <c r="BJ297" s="197" t="e">
        <f ca="1">_xlfn.MAXIFS(TeamGameData[Win],TeamGameData[School, Opponent,Game'#],PlayerGameData[[#This Row],[School, Opponent,Game'#]])</f>
        <v>#NAME?</v>
      </c>
      <c r="BK297" s="197" t="e">
        <f ca="1">_xlfn.MAXIFS(TeamGameData[Loss],TeamGameData[School, Opponent,Game'#],PlayerGameData[[#This Row],[School, Opponent,Game'#]])</f>
        <v>#NAME?</v>
      </c>
    </row>
    <row r="298" spans="1:63" x14ac:dyDescent="0.25">
      <c r="A298" s="8" t="str">
        <f t="shared" ca="1" si="153"/>
        <v>Rhett Watt, 10</v>
      </c>
      <c r="B298" s="8" t="str">
        <f>Roster!$B$1</f>
        <v>Upton</v>
      </c>
      <c r="C298" s="8" t="str">
        <f t="shared" ca="1" si="141"/>
        <v>Hulett</v>
      </c>
      <c r="D298" s="10">
        <f t="shared" ca="1" si="142"/>
        <v>44953</v>
      </c>
      <c r="E298" s="8">
        <f t="shared" ca="1" si="143"/>
        <v>1</v>
      </c>
      <c r="F298" s="8">
        <f t="shared" ca="1" si="144"/>
        <v>1</v>
      </c>
      <c r="G298" s="8">
        <f t="shared" ca="1" si="145"/>
        <v>26</v>
      </c>
      <c r="H298" s="8">
        <f t="shared" ca="1" si="146"/>
        <v>2</v>
      </c>
      <c r="I298" s="8">
        <f t="shared" ca="1" si="147"/>
        <v>7</v>
      </c>
      <c r="J298" s="8">
        <f t="shared" ca="1" si="148"/>
        <v>2</v>
      </c>
      <c r="K298" s="8">
        <f t="shared" ca="1" si="149"/>
        <v>4</v>
      </c>
      <c r="L298" s="8">
        <f t="shared" ca="1" si="154"/>
        <v>0</v>
      </c>
      <c r="M298" s="8">
        <f t="shared" ca="1" si="155"/>
        <v>0</v>
      </c>
      <c r="N298" s="8">
        <f t="shared" ca="1" si="156"/>
        <v>2</v>
      </c>
      <c r="O298" s="8">
        <f t="shared" ca="1" si="157"/>
        <v>1</v>
      </c>
      <c r="P298" s="8">
        <f t="shared" ca="1" si="158"/>
        <v>3</v>
      </c>
      <c r="Q298" s="8">
        <f t="shared" ca="1" si="159"/>
        <v>1</v>
      </c>
      <c r="R298" s="8">
        <f t="shared" ca="1" si="160"/>
        <v>0</v>
      </c>
      <c r="S298" s="8">
        <f t="shared" ca="1" si="161"/>
        <v>0</v>
      </c>
      <c r="T298" s="8">
        <f t="shared" ca="1" si="162"/>
        <v>0</v>
      </c>
      <c r="U298" s="8">
        <f t="shared" ca="1" si="163"/>
        <v>0</v>
      </c>
      <c r="V298" s="8">
        <f t="shared" ca="1" si="164"/>
        <v>10</v>
      </c>
      <c r="W298" s="11">
        <f t="shared" ca="1" si="165"/>
        <v>0.2857142857142857</v>
      </c>
      <c r="X298" s="11">
        <f t="shared" ca="1" si="166"/>
        <v>0.5</v>
      </c>
      <c r="Y298" s="11" t="str">
        <f t="shared" ca="1" si="167"/>
        <v/>
      </c>
      <c r="Z298" s="11">
        <f t="shared" ca="1" si="168"/>
        <v>0.36363636363636365</v>
      </c>
      <c r="AA298" s="11">
        <f t="shared" ca="1" si="169"/>
        <v>0.45454545454545453</v>
      </c>
      <c r="AB298" s="47">
        <f ca="1">PlayerGameData[[#This Row],[3FGA]]+PlayerGameData[[#This Row],[2FGA]]</f>
        <v>11</v>
      </c>
      <c r="AC298" s="47">
        <f ca="1">PlayerGameData[[#This Row],[OFF REB]]+PlayerGameData[[#This Row],[DEF REB]]</f>
        <v>3</v>
      </c>
      <c r="AD298" s="8">
        <f t="shared" si="150"/>
        <v>13</v>
      </c>
      <c r="AE298" s="8" t="str">
        <f t="shared" ca="1" si="151"/>
        <v>Rhett Watt, 10 - Hulett 1/27/2023</v>
      </c>
      <c r="AF298" s="8" t="str">
        <f t="shared" ca="1" si="170"/>
        <v>R</v>
      </c>
      <c r="AG298" s="8" t="str">
        <f ca="1">IFERROR(IF(C298=0,"",IF(AND(VLOOKUP(PlayerGameData[[#This Row],[Opponent]],WYTeamInfo,2,FALSE)=Roster!$D$1,VLOOKUP(PlayerGameData[[#This Row],[Opponent]],WYTeamInfo,3,FALSE)=Roster!$D$2),"SR","")),"")</f>
        <v>SR</v>
      </c>
      <c r="AH298" s="8" t="str">
        <f>CONCATENATE(Roster!$D$1," ",Roster!$D$5)</f>
        <v>1A BB</v>
      </c>
      <c r="AI298" s="8" t="str">
        <f t="shared" ca="1" si="152"/>
        <v>Upton - Hulett 1/27/2023</v>
      </c>
      <c r="AJ298" s="8">
        <f ca="1">IFERROR(VLOOKUP(PlayerGameData[[#This Row],[School, Opponent,Game'#]],Table3[],2,FALSE),0)</f>
        <v>1</v>
      </c>
      <c r="AK298" s="8">
        <f ca="1">IF(PlayerGameData[[#This Row],[Visible]]=1,1,1000)</f>
        <v>1</v>
      </c>
      <c r="AL298" s="8">
        <f ca="1">RANK(PlayerGameData[[#This Row],[TL PTS]],PlayerGameData[TL PTS],0)+PlayerGameData[[#This Row],[VisibleOrder]]</f>
        <v>66</v>
      </c>
      <c r="AM298" s="8">
        <f ca="1">IF(COUNTIF(PlayerGameData[PointOrder],PlayerGameData[[#This Row],[PointOrder]])&gt;1,RANK(PlayerGameData[[#This Row],[FGA]],PlayerGameData[FGA],0)/100,0)+PlayerGameData[[#This Row],[PointOrder]]</f>
        <v>66.34</v>
      </c>
      <c r="AN298" s="8">
        <f ca="1">RANK(PlayerGameData[[#This Row],[PointTieBreak]],PlayerGameData[PointTieBreak],1)</f>
        <v>68</v>
      </c>
      <c r="AO298" s="8">
        <f ca="1">RANK(PlayerGameData[[#This Row],[REB]],PlayerGameData[REB],0)+PlayerGameData[[#This Row],[VisibleOrder]]</f>
        <v>108</v>
      </c>
      <c r="AP298" s="8">
        <f ca="1">IF(COUNTIF(PlayerGameData[REBOrder],PlayerGameData[[#This Row],[REBOrder]])&gt;1,PlayerGameData[[#This Row],[PointRank]]/100+PlayerGameData[[#This Row],[REBOrder]],PlayerGameData[[#This Row],[REBOrder]])</f>
        <v>108.68</v>
      </c>
      <c r="AQ298" s="8">
        <f ca="1">RANK(PlayerGameData[[#This Row],[REBTieBreak]],PlayerGameData[REBTieBreak],1)</f>
        <v>113</v>
      </c>
      <c r="AR298" s="8">
        <f ca="1">RANK(PlayerGameData[[#This Row],[AST]],PlayerGameData[AST],0)+PlayerGameData[[#This Row],[VisibleOrder]]</f>
        <v>39</v>
      </c>
      <c r="AS298" s="8">
        <f ca="1">IF(COUNTIF(PlayerGameData[ASTOrder],PlayerGameData[[#This Row],[ASTOrder]])&gt;1,PlayerGameData[[#This Row],[PointRank]]/100+PlayerGameData[[#This Row],[ASTOrder]],PlayerGameData[[#This Row],[ASTOrder]])</f>
        <v>39.68</v>
      </c>
      <c r="AT298" s="8">
        <f ca="1">RANK(PlayerGameData[[#This Row],[ASTTieBreak]],PlayerGameData[ASTTieBreak],1)</f>
        <v>49</v>
      </c>
      <c r="AU298" s="8">
        <f ca="1">RANK(PlayerGameData[[#This Row],[STL]],PlayerGameData[STL],0)+PlayerGameData[[#This Row],[VisibleOrder]]</f>
        <v>84</v>
      </c>
      <c r="AV298" s="8">
        <f ca="1">IF(COUNTIF(PlayerGameData[STLOrder],PlayerGameData[[#This Row],[STLOrder]])&gt;1,PlayerGameData[[#This Row],[PointRank]]/100+PlayerGameData[[#This Row],[STLOrder]],PlayerGameData[[#This Row],[STLOrder]])</f>
        <v>84.68</v>
      </c>
      <c r="AW298" s="8">
        <f ca="1">RANK(PlayerGameData[[#This Row],[STLTieBreak]],PlayerGameData[STLTieBreak],1)</f>
        <v>96</v>
      </c>
      <c r="AX298" s="8">
        <f ca="1">RANK(PlayerGameData[[#This Row],[BLK]],PlayerGameData[BLK],0)+PlayerGameData[[#This Row],[VisibleOrder]]</f>
        <v>32</v>
      </c>
      <c r="AY298" s="8">
        <f ca="1">IF(COUNTIF(PlayerGameData[BLKOrder],PlayerGameData[[#This Row],[BLKOrder]])&gt;1,PlayerGameData[[#This Row],[PointRank]]/100+PlayerGameData[[#This Row],[BLKOrder]],PlayerGameData[[#This Row],[BLKOrder]])</f>
        <v>32.68</v>
      </c>
      <c r="AZ298" s="8">
        <f ca="1">RANK(PlayerGameData[[#This Row],[BLKTieBreak]],PlayerGameData[BLKTieBreak],1)</f>
        <v>85</v>
      </c>
      <c r="BA298" s="11">
        <f ca="1">IFERROR(IF(PlayerGameData[[#This Row],[FGA]]&gt;$AA$5,PlayerGameData[[#This Row],[FG%*]],PlayerGameData[[#This Row],[FG%*]]*-1),-2)</f>
        <v>0.36363636363636365</v>
      </c>
      <c r="BB298" s="8">
        <f ca="1">RANK(PlayerGameData[[#This Row],[EligFG]],PlayerGameData[EligFG],0)+PlayerGameData[[#This Row],[VisibleOrder]]</f>
        <v>78</v>
      </c>
      <c r="BC298" s="8">
        <f ca="1">IF(COUNTIF(PlayerGameData[EligFGOrder],PlayerGameData[[#This Row],[EligFGOrder]])&gt;1,PlayerGameData[[#This Row],[PointRank]]/100+PlayerGameData[[#This Row],[EligFGOrder]],PlayerGameData[[#This Row],[EligFGOrder]])</f>
        <v>78.680000000000007</v>
      </c>
      <c r="BD298" s="8">
        <f ca="1">RANK(PlayerGameData[[#This Row],[EligFGTieBreak]],PlayerGameData[EligFGTieBreak],1)</f>
        <v>78</v>
      </c>
      <c r="BE298" s="8" t="str">
        <f>Roster!$D$3</f>
        <v>East</v>
      </c>
      <c r="BF298" s="8" t="str">
        <f>Roster!$D$2</f>
        <v>Northeast</v>
      </c>
      <c r="BG298" s="8" t="str">
        <f>Roster!$D$4</f>
        <v>North</v>
      </c>
      <c r="BH298" s="197">
        <f ca="1">IFERROR(VLOOKUP(CONCATENATE(PlayerGameData[[#This Row],[Opponent]]," ",MONTH(PlayerGameData[[#This Row],[Date]]),"/",DAY(PlayerGameData[[#This Row],[Date]]),"/",YEAR(PlayerGameData[[#This Row],[Date]])),Table35[],2,FALSE),0)</f>
        <v>1</v>
      </c>
      <c r="BI298" s="197">
        <f ca="1">IF(PlayerGameData[[#This Row],[Visible]]=1,1,1000)</f>
        <v>1</v>
      </c>
      <c r="BJ298" s="197" t="e">
        <f ca="1">_xlfn.MAXIFS(TeamGameData[Win],TeamGameData[School, Opponent,Game'#],PlayerGameData[[#This Row],[School, Opponent,Game'#]])</f>
        <v>#NAME?</v>
      </c>
      <c r="BK298" s="197" t="e">
        <f ca="1">_xlfn.MAXIFS(TeamGameData[Loss],TeamGameData[School, Opponent,Game'#],PlayerGameData[[#This Row],[School, Opponent,Game'#]])</f>
        <v>#NAME?</v>
      </c>
    </row>
    <row r="299" spans="1:63" x14ac:dyDescent="0.25">
      <c r="A299" s="8" t="str">
        <f t="shared" ca="1" si="153"/>
        <v>Keith Coburn, 11</v>
      </c>
      <c r="B299" s="8" t="str">
        <f>Roster!$B$1</f>
        <v>Upton</v>
      </c>
      <c r="C299" s="8" t="str">
        <f t="shared" ca="1" si="141"/>
        <v>Hulett</v>
      </c>
      <c r="D299" s="10">
        <f t="shared" ca="1" si="142"/>
        <v>44953</v>
      </c>
      <c r="E299" s="8">
        <f t="shared" ca="1" si="143"/>
        <v>0</v>
      </c>
      <c r="F299" s="8">
        <f t="shared" ca="1" si="144"/>
        <v>0</v>
      </c>
      <c r="G299" s="8">
        <f t="shared" ca="1" si="145"/>
        <v>0</v>
      </c>
      <c r="H299" s="8">
        <f t="shared" ca="1" si="146"/>
        <v>0</v>
      </c>
      <c r="I299" s="8">
        <f t="shared" ca="1" si="147"/>
        <v>0</v>
      </c>
      <c r="J299" s="8">
        <f t="shared" ca="1" si="148"/>
        <v>0</v>
      </c>
      <c r="K299" s="8">
        <f t="shared" ca="1" si="149"/>
        <v>0</v>
      </c>
      <c r="L299" s="8">
        <f t="shared" ca="1" si="154"/>
        <v>0</v>
      </c>
      <c r="M299" s="8">
        <f t="shared" ca="1" si="155"/>
        <v>0</v>
      </c>
      <c r="N299" s="8">
        <f t="shared" ca="1" si="156"/>
        <v>0</v>
      </c>
      <c r="O299" s="8">
        <f t="shared" ca="1" si="157"/>
        <v>0</v>
      </c>
      <c r="P299" s="8">
        <f t="shared" ca="1" si="158"/>
        <v>0</v>
      </c>
      <c r="Q299" s="8">
        <f t="shared" ca="1" si="159"/>
        <v>0</v>
      </c>
      <c r="R299" s="8">
        <f t="shared" ca="1" si="160"/>
        <v>0</v>
      </c>
      <c r="S299" s="8">
        <f t="shared" ca="1" si="161"/>
        <v>0</v>
      </c>
      <c r="T299" s="8">
        <f t="shared" ca="1" si="162"/>
        <v>0</v>
      </c>
      <c r="U299" s="8">
        <f t="shared" ca="1" si="163"/>
        <v>0</v>
      </c>
      <c r="V299" s="8">
        <f t="shared" ca="1" si="164"/>
        <v>0</v>
      </c>
      <c r="W299" s="11" t="str">
        <f t="shared" ca="1" si="165"/>
        <v/>
      </c>
      <c r="X299" s="11" t="str">
        <f t="shared" ca="1" si="166"/>
        <v/>
      </c>
      <c r="Y299" s="11" t="str">
        <f t="shared" ca="1" si="167"/>
        <v/>
      </c>
      <c r="Z299" s="11" t="str">
        <f t="shared" ca="1" si="168"/>
        <v/>
      </c>
      <c r="AA299" s="11" t="str">
        <f t="shared" ca="1" si="169"/>
        <v/>
      </c>
      <c r="AB299" s="47">
        <f ca="1">PlayerGameData[[#This Row],[3FGA]]+PlayerGameData[[#This Row],[2FGA]]</f>
        <v>0</v>
      </c>
      <c r="AC299" s="47">
        <f ca="1">PlayerGameData[[#This Row],[OFF REB]]+PlayerGameData[[#This Row],[DEF REB]]</f>
        <v>0</v>
      </c>
      <c r="AD299" s="8">
        <f t="shared" si="150"/>
        <v>13</v>
      </c>
      <c r="AE299" s="8" t="str">
        <f t="shared" ca="1" si="151"/>
        <v>Keith Coburn, 11 - Hulett 1/27/2023</v>
      </c>
      <c r="AF299" s="8" t="str">
        <f t="shared" ca="1" si="170"/>
        <v>R</v>
      </c>
      <c r="AG299" s="8" t="str">
        <f ca="1">IFERROR(IF(C299=0,"",IF(AND(VLOOKUP(PlayerGameData[[#This Row],[Opponent]],WYTeamInfo,2,FALSE)=Roster!$D$1,VLOOKUP(PlayerGameData[[#This Row],[Opponent]],WYTeamInfo,3,FALSE)=Roster!$D$2),"SR","")),"")</f>
        <v>SR</v>
      </c>
      <c r="AH299" s="8" t="str">
        <f>CONCATENATE(Roster!$D$1," ",Roster!$D$5)</f>
        <v>1A BB</v>
      </c>
      <c r="AI299" s="8" t="str">
        <f t="shared" ca="1" si="152"/>
        <v>Upton - Hulett 1/27/2023</v>
      </c>
      <c r="AJ299" s="8">
        <f ca="1">IFERROR(VLOOKUP(PlayerGameData[[#This Row],[School, Opponent,Game'#]],Table3[],2,FALSE),0)</f>
        <v>1</v>
      </c>
      <c r="AK299" s="8">
        <f ca="1">IF(PlayerGameData[[#This Row],[Visible]]=1,1,1000)</f>
        <v>1</v>
      </c>
      <c r="AL299" s="8">
        <f ca="1">RANK(PlayerGameData[[#This Row],[TL PTS]],PlayerGameData[TL PTS],0)+PlayerGameData[[#This Row],[VisibleOrder]]</f>
        <v>185</v>
      </c>
      <c r="AM299" s="8">
        <f ca="1">IF(COUNTIF(PlayerGameData[PointOrder],PlayerGameData[[#This Row],[PointOrder]])&gt;1,RANK(PlayerGameData[[#This Row],[FGA]],PlayerGameData[FGA],0)/100,0)+PlayerGameData[[#This Row],[PointOrder]]</f>
        <v>187.14</v>
      </c>
      <c r="AN299" s="8">
        <f ca="1">RANK(PlayerGameData[[#This Row],[PointTieBreak]],PlayerGameData[PointTieBreak],1)</f>
        <v>216</v>
      </c>
      <c r="AO299" s="8">
        <f ca="1">RANK(PlayerGameData[[#This Row],[REB]],PlayerGameData[REB],0)+PlayerGameData[[#This Row],[VisibleOrder]]</f>
        <v>192</v>
      </c>
      <c r="AP299" s="8">
        <f ca="1">IF(COUNTIF(PlayerGameData[REBOrder],PlayerGameData[[#This Row],[REBOrder]])&gt;1,PlayerGameData[[#This Row],[PointRank]]/100+PlayerGameData[[#This Row],[REBOrder]],PlayerGameData[[#This Row],[REBOrder]])</f>
        <v>194.16</v>
      </c>
      <c r="AQ299" s="8">
        <f ca="1">RANK(PlayerGameData[[#This Row],[REBTieBreak]],PlayerGameData[REBTieBreak],1)</f>
        <v>224</v>
      </c>
      <c r="AR299" s="8">
        <f ca="1">RANK(PlayerGameData[[#This Row],[AST]],PlayerGameData[AST],0)+PlayerGameData[[#This Row],[VisibleOrder]]</f>
        <v>158</v>
      </c>
      <c r="AS299" s="8">
        <f ca="1">IF(COUNTIF(PlayerGameData[ASTOrder],PlayerGameData[[#This Row],[ASTOrder]])&gt;1,PlayerGameData[[#This Row],[PointRank]]/100+PlayerGameData[[#This Row],[ASTOrder]],PlayerGameData[[#This Row],[ASTOrder]])</f>
        <v>160.16</v>
      </c>
      <c r="AT299" s="8">
        <f ca="1">RANK(PlayerGameData[[#This Row],[ASTTieBreak]],PlayerGameData[ASTTieBreak],1)</f>
        <v>221</v>
      </c>
      <c r="AU299" s="8">
        <f ca="1">RANK(PlayerGameData[[#This Row],[STL]],PlayerGameData[STL],0)+PlayerGameData[[#This Row],[VisibleOrder]]</f>
        <v>143</v>
      </c>
      <c r="AV299" s="8">
        <f ca="1">IF(COUNTIF(PlayerGameData[STLOrder],PlayerGameData[[#This Row],[STLOrder]])&gt;1,PlayerGameData[[#This Row],[PointRank]]/100+PlayerGameData[[#This Row],[STLOrder]],PlayerGameData[[#This Row],[STLOrder]])</f>
        <v>145.16</v>
      </c>
      <c r="AW299" s="8">
        <f ca="1">RANK(PlayerGameData[[#This Row],[STLTieBreak]],PlayerGameData[STLTieBreak],1)</f>
        <v>217</v>
      </c>
      <c r="AX299" s="8">
        <f ca="1">RANK(PlayerGameData[[#This Row],[BLK]],PlayerGameData[BLK],0)+PlayerGameData[[#This Row],[VisibleOrder]]</f>
        <v>32</v>
      </c>
      <c r="AY299" s="8">
        <f ca="1">IF(COUNTIF(PlayerGameData[BLKOrder],PlayerGameData[[#This Row],[BLKOrder]])&gt;1,PlayerGameData[[#This Row],[PointRank]]/100+PlayerGameData[[#This Row],[BLKOrder]],PlayerGameData[[#This Row],[BLKOrder]])</f>
        <v>34.159999999999997</v>
      </c>
      <c r="AZ299" s="8">
        <f ca="1">RANK(PlayerGameData[[#This Row],[BLKTieBreak]],PlayerGameData[BLKTieBreak],1)</f>
        <v>216</v>
      </c>
      <c r="BA299" s="11">
        <f ca="1">IFERROR(IF(PlayerGameData[[#This Row],[FGA]]&gt;$AA$5,PlayerGameData[[#This Row],[FG%*]],PlayerGameData[[#This Row],[FG%*]]*-1),-2)</f>
        <v>-2</v>
      </c>
      <c r="BB299" s="8">
        <f ca="1">RANK(PlayerGameData[[#This Row],[EligFG]],PlayerGameData[EligFG],0)+PlayerGameData[[#This Row],[VisibleOrder]]</f>
        <v>215</v>
      </c>
      <c r="BC299" s="8">
        <f ca="1">IF(COUNTIF(PlayerGameData[EligFGOrder],PlayerGameData[[#This Row],[EligFGOrder]])&gt;1,PlayerGameData[[#This Row],[PointRank]]/100+PlayerGameData[[#This Row],[EligFGOrder]],PlayerGameData[[#This Row],[EligFGOrder]])</f>
        <v>217.16</v>
      </c>
      <c r="BD299" s="8">
        <f ca="1">RANK(PlayerGameData[[#This Row],[EligFGTieBreak]],PlayerGameData[EligFGTieBreak],1)</f>
        <v>216</v>
      </c>
      <c r="BE299" s="8" t="str">
        <f>Roster!$D$3</f>
        <v>East</v>
      </c>
      <c r="BF299" s="8" t="str">
        <f>Roster!$D$2</f>
        <v>Northeast</v>
      </c>
      <c r="BG299" s="8" t="str">
        <f>Roster!$D$4</f>
        <v>North</v>
      </c>
      <c r="BH299" s="197">
        <f ca="1">IFERROR(VLOOKUP(CONCATENATE(PlayerGameData[[#This Row],[Opponent]]," ",MONTH(PlayerGameData[[#This Row],[Date]]),"/",DAY(PlayerGameData[[#This Row],[Date]]),"/",YEAR(PlayerGameData[[#This Row],[Date]])),Table35[],2,FALSE),0)</f>
        <v>1</v>
      </c>
      <c r="BI299" s="197">
        <f ca="1">IF(PlayerGameData[[#This Row],[Visible]]=1,1,1000)</f>
        <v>1</v>
      </c>
      <c r="BJ299" s="197" t="e">
        <f ca="1">_xlfn.MAXIFS(TeamGameData[Win],TeamGameData[School, Opponent,Game'#],PlayerGameData[[#This Row],[School, Opponent,Game'#]])</f>
        <v>#NAME?</v>
      </c>
      <c r="BK299" s="197" t="e">
        <f ca="1">_xlfn.MAXIFS(TeamGameData[Loss],TeamGameData[School, Opponent,Game'#],PlayerGameData[[#This Row],[School, Opponent,Game'#]])</f>
        <v>#NAME?</v>
      </c>
    </row>
    <row r="300" spans="1:63" x14ac:dyDescent="0.25">
      <c r="A300" s="8" t="str">
        <f t="shared" ca="1" si="153"/>
        <v>Carson Barritt, 14</v>
      </c>
      <c r="B300" s="8" t="str">
        <f>Roster!$B$1</f>
        <v>Upton</v>
      </c>
      <c r="C300" s="8" t="str">
        <f t="shared" ca="1" si="141"/>
        <v>Hulett</v>
      </c>
      <c r="D300" s="10">
        <f t="shared" ca="1" si="142"/>
        <v>44953</v>
      </c>
      <c r="E300" s="8">
        <f t="shared" ca="1" si="143"/>
        <v>1</v>
      </c>
      <c r="F300" s="8">
        <f t="shared" ca="1" si="144"/>
        <v>0</v>
      </c>
      <c r="G300" s="8">
        <f t="shared" ca="1" si="145"/>
        <v>2</v>
      </c>
      <c r="H300" s="8">
        <f t="shared" ca="1" si="146"/>
        <v>0</v>
      </c>
      <c r="I300" s="8">
        <f t="shared" ca="1" si="147"/>
        <v>0</v>
      </c>
      <c r="J300" s="8">
        <f t="shared" ca="1" si="148"/>
        <v>0</v>
      </c>
      <c r="K300" s="8">
        <f t="shared" ca="1" si="149"/>
        <v>0</v>
      </c>
      <c r="L300" s="8">
        <f t="shared" ca="1" si="154"/>
        <v>0</v>
      </c>
      <c r="M300" s="8">
        <f t="shared" ca="1" si="155"/>
        <v>0</v>
      </c>
      <c r="N300" s="8">
        <f t="shared" ca="1" si="156"/>
        <v>1</v>
      </c>
      <c r="O300" s="8">
        <f t="shared" ca="1" si="157"/>
        <v>0</v>
      </c>
      <c r="P300" s="8">
        <f t="shared" ca="1" si="158"/>
        <v>0</v>
      </c>
      <c r="Q300" s="8">
        <f t="shared" ca="1" si="159"/>
        <v>0</v>
      </c>
      <c r="R300" s="8">
        <f t="shared" ca="1" si="160"/>
        <v>0</v>
      </c>
      <c r="S300" s="8">
        <f t="shared" ca="1" si="161"/>
        <v>0</v>
      </c>
      <c r="T300" s="8">
        <f t="shared" ca="1" si="162"/>
        <v>0</v>
      </c>
      <c r="U300" s="8">
        <f t="shared" ca="1" si="163"/>
        <v>0</v>
      </c>
      <c r="V300" s="8">
        <f t="shared" ca="1" si="164"/>
        <v>0</v>
      </c>
      <c r="W300" s="11" t="str">
        <f t="shared" ca="1" si="165"/>
        <v/>
      </c>
      <c r="X300" s="11" t="str">
        <f t="shared" ca="1" si="166"/>
        <v/>
      </c>
      <c r="Y300" s="11" t="str">
        <f t="shared" ca="1" si="167"/>
        <v/>
      </c>
      <c r="Z300" s="11" t="str">
        <f t="shared" ca="1" si="168"/>
        <v/>
      </c>
      <c r="AA300" s="11" t="str">
        <f t="shared" ca="1" si="169"/>
        <v/>
      </c>
      <c r="AB300" s="47">
        <f ca="1">PlayerGameData[[#This Row],[3FGA]]+PlayerGameData[[#This Row],[2FGA]]</f>
        <v>0</v>
      </c>
      <c r="AC300" s="47">
        <f ca="1">PlayerGameData[[#This Row],[OFF REB]]+PlayerGameData[[#This Row],[DEF REB]]</f>
        <v>1</v>
      </c>
      <c r="AD300" s="8">
        <f t="shared" si="150"/>
        <v>13</v>
      </c>
      <c r="AE300" s="8" t="str">
        <f t="shared" ca="1" si="151"/>
        <v>Carson Barritt, 14 - Hulett 1/27/2023</v>
      </c>
      <c r="AF300" s="8" t="str">
        <f t="shared" ca="1" si="170"/>
        <v>R</v>
      </c>
      <c r="AG300" s="8" t="str">
        <f ca="1">IFERROR(IF(C300=0,"",IF(AND(VLOOKUP(PlayerGameData[[#This Row],[Opponent]],WYTeamInfo,2,FALSE)=Roster!$D$1,VLOOKUP(PlayerGameData[[#This Row],[Opponent]],WYTeamInfo,3,FALSE)=Roster!$D$2),"SR","")),"")</f>
        <v>SR</v>
      </c>
      <c r="AH300" s="8" t="str">
        <f>CONCATENATE(Roster!$D$1," ",Roster!$D$5)</f>
        <v>1A BB</v>
      </c>
      <c r="AI300" s="8" t="str">
        <f t="shared" ca="1" si="152"/>
        <v>Upton - Hulett 1/27/2023</v>
      </c>
      <c r="AJ300" s="8">
        <f ca="1">IFERROR(VLOOKUP(PlayerGameData[[#This Row],[School, Opponent,Game'#]],Table3[],2,FALSE),0)</f>
        <v>1</v>
      </c>
      <c r="AK300" s="8">
        <f ca="1">IF(PlayerGameData[[#This Row],[Visible]]=1,1,1000)</f>
        <v>1</v>
      </c>
      <c r="AL300" s="8">
        <f ca="1">RANK(PlayerGameData[[#This Row],[TL PTS]],PlayerGameData[TL PTS],0)+PlayerGameData[[#This Row],[VisibleOrder]]</f>
        <v>185</v>
      </c>
      <c r="AM300" s="8">
        <f ca="1">IF(COUNTIF(PlayerGameData[PointOrder],PlayerGameData[[#This Row],[PointOrder]])&gt;1,RANK(PlayerGameData[[#This Row],[FGA]],PlayerGameData[FGA],0)/100,0)+PlayerGameData[[#This Row],[PointOrder]]</f>
        <v>187.14</v>
      </c>
      <c r="AN300" s="8">
        <f ca="1">RANK(PlayerGameData[[#This Row],[PointTieBreak]],PlayerGameData[PointTieBreak],1)</f>
        <v>216</v>
      </c>
      <c r="AO300" s="8">
        <f ca="1">RANK(PlayerGameData[[#This Row],[REB]],PlayerGameData[REB],0)+PlayerGameData[[#This Row],[VisibleOrder]]</f>
        <v>163</v>
      </c>
      <c r="AP300" s="8">
        <f ca="1">IF(COUNTIF(PlayerGameData[REBOrder],PlayerGameData[[#This Row],[REBOrder]])&gt;1,PlayerGameData[[#This Row],[PointRank]]/100+PlayerGameData[[#This Row],[REBOrder]],PlayerGameData[[#This Row],[REBOrder]])</f>
        <v>165.16</v>
      </c>
      <c r="AQ300" s="8">
        <f ca="1">RANK(PlayerGameData[[#This Row],[REBTieBreak]],PlayerGameData[REBTieBreak],1)</f>
        <v>185</v>
      </c>
      <c r="AR300" s="8">
        <f ca="1">RANK(PlayerGameData[[#This Row],[AST]],PlayerGameData[AST],0)+PlayerGameData[[#This Row],[VisibleOrder]]</f>
        <v>158</v>
      </c>
      <c r="AS300" s="8">
        <f ca="1">IF(COUNTIF(PlayerGameData[ASTOrder],PlayerGameData[[#This Row],[ASTOrder]])&gt;1,PlayerGameData[[#This Row],[PointRank]]/100+PlayerGameData[[#This Row],[ASTOrder]],PlayerGameData[[#This Row],[ASTOrder]])</f>
        <v>160.16</v>
      </c>
      <c r="AT300" s="8">
        <f ca="1">RANK(PlayerGameData[[#This Row],[ASTTieBreak]],PlayerGameData[ASTTieBreak],1)</f>
        <v>221</v>
      </c>
      <c r="AU300" s="8">
        <f ca="1">RANK(PlayerGameData[[#This Row],[STL]],PlayerGameData[STL],0)+PlayerGameData[[#This Row],[VisibleOrder]]</f>
        <v>143</v>
      </c>
      <c r="AV300" s="8">
        <f ca="1">IF(COUNTIF(PlayerGameData[STLOrder],PlayerGameData[[#This Row],[STLOrder]])&gt;1,PlayerGameData[[#This Row],[PointRank]]/100+PlayerGameData[[#This Row],[STLOrder]],PlayerGameData[[#This Row],[STLOrder]])</f>
        <v>145.16</v>
      </c>
      <c r="AW300" s="8">
        <f ca="1">RANK(PlayerGameData[[#This Row],[STLTieBreak]],PlayerGameData[STLTieBreak],1)</f>
        <v>217</v>
      </c>
      <c r="AX300" s="8">
        <f ca="1">RANK(PlayerGameData[[#This Row],[BLK]],PlayerGameData[BLK],0)+PlayerGameData[[#This Row],[VisibleOrder]]</f>
        <v>32</v>
      </c>
      <c r="AY300" s="8">
        <f ca="1">IF(COUNTIF(PlayerGameData[BLKOrder],PlayerGameData[[#This Row],[BLKOrder]])&gt;1,PlayerGameData[[#This Row],[PointRank]]/100+PlayerGameData[[#This Row],[BLKOrder]],PlayerGameData[[#This Row],[BLKOrder]])</f>
        <v>34.159999999999997</v>
      </c>
      <c r="AZ300" s="8">
        <f ca="1">RANK(PlayerGameData[[#This Row],[BLKTieBreak]],PlayerGameData[BLKTieBreak],1)</f>
        <v>216</v>
      </c>
      <c r="BA300" s="11">
        <f ca="1">IFERROR(IF(PlayerGameData[[#This Row],[FGA]]&gt;$AA$5,PlayerGameData[[#This Row],[FG%*]],PlayerGameData[[#This Row],[FG%*]]*-1),-2)</f>
        <v>-2</v>
      </c>
      <c r="BB300" s="8">
        <f ca="1">RANK(PlayerGameData[[#This Row],[EligFG]],PlayerGameData[EligFG],0)+PlayerGameData[[#This Row],[VisibleOrder]]</f>
        <v>215</v>
      </c>
      <c r="BC300" s="8">
        <f ca="1">IF(COUNTIF(PlayerGameData[EligFGOrder],PlayerGameData[[#This Row],[EligFGOrder]])&gt;1,PlayerGameData[[#This Row],[PointRank]]/100+PlayerGameData[[#This Row],[EligFGOrder]],PlayerGameData[[#This Row],[EligFGOrder]])</f>
        <v>217.16</v>
      </c>
      <c r="BD300" s="8">
        <f ca="1">RANK(PlayerGameData[[#This Row],[EligFGTieBreak]],PlayerGameData[EligFGTieBreak],1)</f>
        <v>216</v>
      </c>
      <c r="BE300" s="8" t="str">
        <f>Roster!$D$3</f>
        <v>East</v>
      </c>
      <c r="BF300" s="8" t="str">
        <f>Roster!$D$2</f>
        <v>Northeast</v>
      </c>
      <c r="BG300" s="8" t="str">
        <f>Roster!$D$4</f>
        <v>North</v>
      </c>
      <c r="BH300" s="197">
        <f ca="1">IFERROR(VLOOKUP(CONCATENATE(PlayerGameData[[#This Row],[Opponent]]," ",MONTH(PlayerGameData[[#This Row],[Date]]),"/",DAY(PlayerGameData[[#This Row],[Date]]),"/",YEAR(PlayerGameData[[#This Row],[Date]])),Table35[],2,FALSE),0)</f>
        <v>1</v>
      </c>
      <c r="BI300" s="197">
        <f ca="1">IF(PlayerGameData[[#This Row],[Visible]]=1,1,1000)</f>
        <v>1</v>
      </c>
      <c r="BJ300" s="197" t="e">
        <f ca="1">_xlfn.MAXIFS(TeamGameData[Win],TeamGameData[School, Opponent,Game'#],PlayerGameData[[#This Row],[School, Opponent,Game'#]])</f>
        <v>#NAME?</v>
      </c>
      <c r="BK300" s="197" t="e">
        <f ca="1">_xlfn.MAXIFS(TeamGameData[Loss],TeamGameData[School, Opponent,Game'#],PlayerGameData[[#This Row],[School, Opponent,Game'#]])</f>
        <v>#NAME?</v>
      </c>
    </row>
    <row r="301" spans="1:63" x14ac:dyDescent="0.25">
      <c r="A301" s="8" t="str">
        <f t="shared" ca="1" si="153"/>
        <v>Ben Carpenter, 21</v>
      </c>
      <c r="B301" s="8" t="str">
        <f>Roster!$B$1</f>
        <v>Upton</v>
      </c>
      <c r="C301" s="8" t="str">
        <f t="shared" ca="1" si="141"/>
        <v>Hulett</v>
      </c>
      <c r="D301" s="10">
        <f t="shared" ca="1" si="142"/>
        <v>44953</v>
      </c>
      <c r="E301" s="8">
        <f t="shared" ca="1" si="143"/>
        <v>1</v>
      </c>
      <c r="F301" s="8">
        <f t="shared" ca="1" si="144"/>
        <v>0</v>
      </c>
      <c r="G301" s="8">
        <f t="shared" ca="1" si="145"/>
        <v>1</v>
      </c>
      <c r="H301" s="8">
        <f t="shared" ca="1" si="146"/>
        <v>0</v>
      </c>
      <c r="I301" s="8">
        <f t="shared" ca="1" si="147"/>
        <v>0</v>
      </c>
      <c r="J301" s="8">
        <f t="shared" ca="1" si="148"/>
        <v>0</v>
      </c>
      <c r="K301" s="8">
        <f t="shared" ca="1" si="149"/>
        <v>0</v>
      </c>
      <c r="L301" s="8">
        <f t="shared" ca="1" si="154"/>
        <v>0</v>
      </c>
      <c r="M301" s="8">
        <f t="shared" ca="1" si="155"/>
        <v>0</v>
      </c>
      <c r="N301" s="8">
        <f t="shared" ca="1" si="156"/>
        <v>0</v>
      </c>
      <c r="O301" s="8">
        <f t="shared" ca="1" si="157"/>
        <v>0</v>
      </c>
      <c r="P301" s="8">
        <f t="shared" ca="1" si="158"/>
        <v>0</v>
      </c>
      <c r="Q301" s="8">
        <f t="shared" ca="1" si="159"/>
        <v>0</v>
      </c>
      <c r="R301" s="8">
        <f t="shared" ca="1" si="160"/>
        <v>0</v>
      </c>
      <c r="S301" s="8">
        <f t="shared" ca="1" si="161"/>
        <v>0</v>
      </c>
      <c r="T301" s="8">
        <f t="shared" ca="1" si="162"/>
        <v>0</v>
      </c>
      <c r="U301" s="8">
        <f t="shared" ca="1" si="163"/>
        <v>0</v>
      </c>
      <c r="V301" s="8">
        <f t="shared" ca="1" si="164"/>
        <v>0</v>
      </c>
      <c r="W301" s="11" t="str">
        <f t="shared" ca="1" si="165"/>
        <v/>
      </c>
      <c r="X301" s="11" t="str">
        <f t="shared" ca="1" si="166"/>
        <v/>
      </c>
      <c r="Y301" s="11" t="str">
        <f t="shared" ca="1" si="167"/>
        <v/>
      </c>
      <c r="Z301" s="11" t="str">
        <f t="shared" ca="1" si="168"/>
        <v/>
      </c>
      <c r="AA301" s="11" t="str">
        <f t="shared" ca="1" si="169"/>
        <v/>
      </c>
      <c r="AB301" s="47">
        <f ca="1">PlayerGameData[[#This Row],[3FGA]]+PlayerGameData[[#This Row],[2FGA]]</f>
        <v>0</v>
      </c>
      <c r="AC301" s="47">
        <f ca="1">PlayerGameData[[#This Row],[OFF REB]]+PlayerGameData[[#This Row],[DEF REB]]</f>
        <v>0</v>
      </c>
      <c r="AD301" s="8">
        <f t="shared" si="150"/>
        <v>13</v>
      </c>
      <c r="AE301" s="8" t="str">
        <f t="shared" ca="1" si="151"/>
        <v>Ben Carpenter, 21 - Hulett 1/27/2023</v>
      </c>
      <c r="AF301" s="8" t="str">
        <f t="shared" ca="1" si="170"/>
        <v>R</v>
      </c>
      <c r="AG301" s="8" t="str">
        <f ca="1">IFERROR(IF(C301=0,"",IF(AND(VLOOKUP(PlayerGameData[[#This Row],[Opponent]],WYTeamInfo,2,FALSE)=Roster!$D$1,VLOOKUP(PlayerGameData[[#This Row],[Opponent]],WYTeamInfo,3,FALSE)=Roster!$D$2),"SR","")),"")</f>
        <v>SR</v>
      </c>
      <c r="AH301" s="8" t="str">
        <f>CONCATENATE(Roster!$D$1," ",Roster!$D$5)</f>
        <v>1A BB</v>
      </c>
      <c r="AI301" s="8" t="str">
        <f t="shared" ca="1" si="152"/>
        <v>Upton - Hulett 1/27/2023</v>
      </c>
      <c r="AJ301" s="8">
        <f ca="1">IFERROR(VLOOKUP(PlayerGameData[[#This Row],[School, Opponent,Game'#]],Table3[],2,FALSE),0)</f>
        <v>1</v>
      </c>
      <c r="AK301" s="8">
        <f ca="1">IF(PlayerGameData[[#This Row],[Visible]]=1,1,1000)</f>
        <v>1</v>
      </c>
      <c r="AL301" s="8">
        <f ca="1">RANK(PlayerGameData[[#This Row],[TL PTS]],PlayerGameData[TL PTS],0)+PlayerGameData[[#This Row],[VisibleOrder]]</f>
        <v>185</v>
      </c>
      <c r="AM301" s="8">
        <f ca="1">IF(COUNTIF(PlayerGameData[PointOrder],PlayerGameData[[#This Row],[PointOrder]])&gt;1,RANK(PlayerGameData[[#This Row],[FGA]],PlayerGameData[FGA],0)/100,0)+PlayerGameData[[#This Row],[PointOrder]]</f>
        <v>187.14</v>
      </c>
      <c r="AN301" s="8">
        <f ca="1">RANK(PlayerGameData[[#This Row],[PointTieBreak]],PlayerGameData[PointTieBreak],1)</f>
        <v>216</v>
      </c>
      <c r="AO301" s="8">
        <f ca="1">RANK(PlayerGameData[[#This Row],[REB]],PlayerGameData[REB],0)+PlayerGameData[[#This Row],[VisibleOrder]]</f>
        <v>192</v>
      </c>
      <c r="AP301" s="8">
        <f ca="1">IF(COUNTIF(PlayerGameData[REBOrder],PlayerGameData[[#This Row],[REBOrder]])&gt;1,PlayerGameData[[#This Row],[PointRank]]/100+PlayerGameData[[#This Row],[REBOrder]],PlayerGameData[[#This Row],[REBOrder]])</f>
        <v>194.16</v>
      </c>
      <c r="AQ301" s="8">
        <f ca="1">RANK(PlayerGameData[[#This Row],[REBTieBreak]],PlayerGameData[REBTieBreak],1)</f>
        <v>224</v>
      </c>
      <c r="AR301" s="8">
        <f ca="1">RANK(PlayerGameData[[#This Row],[AST]],PlayerGameData[AST],0)+PlayerGameData[[#This Row],[VisibleOrder]]</f>
        <v>158</v>
      </c>
      <c r="AS301" s="8">
        <f ca="1">IF(COUNTIF(PlayerGameData[ASTOrder],PlayerGameData[[#This Row],[ASTOrder]])&gt;1,PlayerGameData[[#This Row],[PointRank]]/100+PlayerGameData[[#This Row],[ASTOrder]],PlayerGameData[[#This Row],[ASTOrder]])</f>
        <v>160.16</v>
      </c>
      <c r="AT301" s="8">
        <f ca="1">RANK(PlayerGameData[[#This Row],[ASTTieBreak]],PlayerGameData[ASTTieBreak],1)</f>
        <v>221</v>
      </c>
      <c r="AU301" s="8">
        <f ca="1">RANK(PlayerGameData[[#This Row],[STL]],PlayerGameData[STL],0)+PlayerGameData[[#This Row],[VisibleOrder]]</f>
        <v>143</v>
      </c>
      <c r="AV301" s="8">
        <f ca="1">IF(COUNTIF(PlayerGameData[STLOrder],PlayerGameData[[#This Row],[STLOrder]])&gt;1,PlayerGameData[[#This Row],[PointRank]]/100+PlayerGameData[[#This Row],[STLOrder]],PlayerGameData[[#This Row],[STLOrder]])</f>
        <v>145.16</v>
      </c>
      <c r="AW301" s="8">
        <f ca="1">RANK(PlayerGameData[[#This Row],[STLTieBreak]],PlayerGameData[STLTieBreak],1)</f>
        <v>217</v>
      </c>
      <c r="AX301" s="8">
        <f ca="1">RANK(PlayerGameData[[#This Row],[BLK]],PlayerGameData[BLK],0)+PlayerGameData[[#This Row],[VisibleOrder]]</f>
        <v>32</v>
      </c>
      <c r="AY301" s="8">
        <f ca="1">IF(COUNTIF(PlayerGameData[BLKOrder],PlayerGameData[[#This Row],[BLKOrder]])&gt;1,PlayerGameData[[#This Row],[PointRank]]/100+PlayerGameData[[#This Row],[BLKOrder]],PlayerGameData[[#This Row],[BLKOrder]])</f>
        <v>34.159999999999997</v>
      </c>
      <c r="AZ301" s="8">
        <f ca="1">RANK(PlayerGameData[[#This Row],[BLKTieBreak]],PlayerGameData[BLKTieBreak],1)</f>
        <v>216</v>
      </c>
      <c r="BA301" s="11">
        <f ca="1">IFERROR(IF(PlayerGameData[[#This Row],[FGA]]&gt;$AA$5,PlayerGameData[[#This Row],[FG%*]],PlayerGameData[[#This Row],[FG%*]]*-1),-2)</f>
        <v>-2</v>
      </c>
      <c r="BB301" s="8">
        <f ca="1">RANK(PlayerGameData[[#This Row],[EligFG]],PlayerGameData[EligFG],0)+PlayerGameData[[#This Row],[VisibleOrder]]</f>
        <v>215</v>
      </c>
      <c r="BC301" s="8">
        <f ca="1">IF(COUNTIF(PlayerGameData[EligFGOrder],PlayerGameData[[#This Row],[EligFGOrder]])&gt;1,PlayerGameData[[#This Row],[PointRank]]/100+PlayerGameData[[#This Row],[EligFGOrder]],PlayerGameData[[#This Row],[EligFGOrder]])</f>
        <v>217.16</v>
      </c>
      <c r="BD301" s="8">
        <f ca="1">RANK(PlayerGameData[[#This Row],[EligFGTieBreak]],PlayerGameData[EligFGTieBreak],1)</f>
        <v>216</v>
      </c>
      <c r="BE301" s="8" t="str">
        <f>Roster!$D$3</f>
        <v>East</v>
      </c>
      <c r="BF301" s="8" t="str">
        <f>Roster!$D$2</f>
        <v>Northeast</v>
      </c>
      <c r="BG301" s="8" t="str">
        <f>Roster!$D$4</f>
        <v>North</v>
      </c>
      <c r="BH301" s="197">
        <f ca="1">IFERROR(VLOOKUP(CONCATENATE(PlayerGameData[[#This Row],[Opponent]]," ",MONTH(PlayerGameData[[#This Row],[Date]]),"/",DAY(PlayerGameData[[#This Row],[Date]]),"/",YEAR(PlayerGameData[[#This Row],[Date]])),Table35[],2,FALSE),0)</f>
        <v>1</v>
      </c>
      <c r="BI301" s="197">
        <f ca="1">IF(PlayerGameData[[#This Row],[Visible]]=1,1,1000)</f>
        <v>1</v>
      </c>
      <c r="BJ301" s="197" t="e">
        <f ca="1">_xlfn.MAXIFS(TeamGameData[Win],TeamGameData[School, Opponent,Game'#],PlayerGameData[[#This Row],[School, Opponent,Game'#]])</f>
        <v>#NAME?</v>
      </c>
      <c r="BK301" s="197" t="e">
        <f ca="1">_xlfn.MAXIFS(TeamGameData[Loss],TeamGameData[School, Opponent,Game'#],PlayerGameData[[#This Row],[School, Opponent,Game'#]])</f>
        <v>#NAME?</v>
      </c>
    </row>
    <row r="302" spans="1:63" x14ac:dyDescent="0.25">
      <c r="A302" s="8" t="str">
        <f t="shared" ca="1" si="153"/>
        <v>Ethan Schiller, 23</v>
      </c>
      <c r="B302" s="8" t="str">
        <f>Roster!$B$1</f>
        <v>Upton</v>
      </c>
      <c r="C302" s="8" t="str">
        <f t="shared" ca="1" si="141"/>
        <v>Hulett</v>
      </c>
      <c r="D302" s="10">
        <f t="shared" ca="1" si="142"/>
        <v>44953</v>
      </c>
      <c r="E302" s="8">
        <f t="shared" ca="1" si="143"/>
        <v>1</v>
      </c>
      <c r="F302" s="8">
        <f t="shared" ca="1" si="144"/>
        <v>1</v>
      </c>
      <c r="G302" s="8">
        <f t="shared" ca="1" si="145"/>
        <v>23</v>
      </c>
      <c r="H302" s="8">
        <f t="shared" ca="1" si="146"/>
        <v>2</v>
      </c>
      <c r="I302" s="8">
        <f t="shared" ca="1" si="147"/>
        <v>4</v>
      </c>
      <c r="J302" s="8">
        <f t="shared" ca="1" si="148"/>
        <v>3</v>
      </c>
      <c r="K302" s="8">
        <f t="shared" ca="1" si="149"/>
        <v>6</v>
      </c>
      <c r="L302" s="8">
        <f t="shared" ca="1" si="154"/>
        <v>1</v>
      </c>
      <c r="M302" s="8">
        <f t="shared" ca="1" si="155"/>
        <v>2</v>
      </c>
      <c r="N302" s="8">
        <f t="shared" ca="1" si="156"/>
        <v>7</v>
      </c>
      <c r="O302" s="8">
        <f t="shared" ca="1" si="157"/>
        <v>5</v>
      </c>
      <c r="P302" s="8">
        <f t="shared" ca="1" si="158"/>
        <v>1</v>
      </c>
      <c r="Q302" s="8">
        <f t="shared" ca="1" si="159"/>
        <v>4</v>
      </c>
      <c r="R302" s="8">
        <f t="shared" ca="1" si="160"/>
        <v>0</v>
      </c>
      <c r="S302" s="8">
        <f t="shared" ca="1" si="161"/>
        <v>3</v>
      </c>
      <c r="T302" s="8">
        <f t="shared" ca="1" si="162"/>
        <v>1</v>
      </c>
      <c r="U302" s="8">
        <f t="shared" ca="1" si="163"/>
        <v>0</v>
      </c>
      <c r="V302" s="8">
        <f t="shared" ca="1" si="164"/>
        <v>13</v>
      </c>
      <c r="W302" s="11">
        <f t="shared" ca="1" si="165"/>
        <v>0.5</v>
      </c>
      <c r="X302" s="11">
        <f t="shared" ca="1" si="166"/>
        <v>0.5</v>
      </c>
      <c r="Y302" s="11">
        <f t="shared" ca="1" si="167"/>
        <v>0.5</v>
      </c>
      <c r="Z302" s="11">
        <f t="shared" ca="1" si="168"/>
        <v>0.5</v>
      </c>
      <c r="AA302" s="11">
        <f t="shared" ca="1" si="169"/>
        <v>0.6</v>
      </c>
      <c r="AB302" s="47">
        <f ca="1">PlayerGameData[[#This Row],[3FGA]]+PlayerGameData[[#This Row],[2FGA]]</f>
        <v>10</v>
      </c>
      <c r="AC302" s="47">
        <f ca="1">PlayerGameData[[#This Row],[OFF REB]]+PlayerGameData[[#This Row],[DEF REB]]</f>
        <v>12</v>
      </c>
      <c r="AD302" s="8">
        <f t="shared" si="150"/>
        <v>13</v>
      </c>
      <c r="AE302" s="8" t="str">
        <f t="shared" ca="1" si="151"/>
        <v>Ethan Schiller, 23 - Hulett 1/27/2023</v>
      </c>
      <c r="AF302" s="8" t="str">
        <f t="shared" ca="1" si="170"/>
        <v>R</v>
      </c>
      <c r="AG302" s="8" t="str">
        <f ca="1">IFERROR(IF(C302=0,"",IF(AND(VLOOKUP(PlayerGameData[[#This Row],[Opponent]],WYTeamInfo,2,FALSE)=Roster!$D$1,VLOOKUP(PlayerGameData[[#This Row],[Opponent]],WYTeamInfo,3,FALSE)=Roster!$D$2),"SR","")),"")</f>
        <v>SR</v>
      </c>
      <c r="AH302" s="8" t="str">
        <f>CONCATENATE(Roster!$D$1," ",Roster!$D$5)</f>
        <v>1A BB</v>
      </c>
      <c r="AI302" s="8" t="str">
        <f t="shared" ca="1" si="152"/>
        <v>Upton - Hulett 1/27/2023</v>
      </c>
      <c r="AJ302" s="8">
        <f ca="1">IFERROR(VLOOKUP(PlayerGameData[[#This Row],[School, Opponent,Game'#]],Table3[],2,FALSE),0)</f>
        <v>1</v>
      </c>
      <c r="AK302" s="8">
        <f ca="1">IF(PlayerGameData[[#This Row],[Visible]]=1,1,1000)</f>
        <v>1</v>
      </c>
      <c r="AL302" s="8">
        <f ca="1">RANK(PlayerGameData[[#This Row],[TL PTS]],PlayerGameData[TL PTS],0)+PlayerGameData[[#This Row],[VisibleOrder]]</f>
        <v>45</v>
      </c>
      <c r="AM302" s="8">
        <f ca="1">IF(COUNTIF(PlayerGameData[PointOrder],PlayerGameData[[#This Row],[PointOrder]])&gt;1,RANK(PlayerGameData[[#This Row],[FGA]],PlayerGameData[FGA],0)/100,0)+PlayerGameData[[#This Row],[PointOrder]]</f>
        <v>45.43</v>
      </c>
      <c r="AN302" s="8">
        <f ca="1">RANK(PlayerGameData[[#This Row],[PointTieBreak]],PlayerGameData[PointTieBreak],1)</f>
        <v>46</v>
      </c>
      <c r="AO302" s="8">
        <f ca="1">RANK(PlayerGameData[[#This Row],[REB]],PlayerGameData[REB],0)+PlayerGameData[[#This Row],[VisibleOrder]]</f>
        <v>3</v>
      </c>
      <c r="AP302" s="8">
        <f ca="1">IF(COUNTIF(PlayerGameData[REBOrder],PlayerGameData[[#This Row],[REBOrder]])&gt;1,PlayerGameData[[#This Row],[PointRank]]/100+PlayerGameData[[#This Row],[REBOrder]],PlayerGameData[[#This Row],[REBOrder]])</f>
        <v>3.46</v>
      </c>
      <c r="AQ302" s="8">
        <f ca="1">RANK(PlayerGameData[[#This Row],[REBTieBreak]],PlayerGameData[REBTieBreak],1)</f>
        <v>3</v>
      </c>
      <c r="AR302" s="8">
        <f ca="1">RANK(PlayerGameData[[#This Row],[AST]],PlayerGameData[AST],0)+PlayerGameData[[#This Row],[VisibleOrder]]</f>
        <v>115</v>
      </c>
      <c r="AS302" s="8">
        <f ca="1">IF(COUNTIF(PlayerGameData[ASTOrder],PlayerGameData[[#This Row],[ASTOrder]])&gt;1,PlayerGameData[[#This Row],[PointRank]]/100+PlayerGameData[[#This Row],[ASTOrder]],PlayerGameData[[#This Row],[ASTOrder]])</f>
        <v>115.46</v>
      </c>
      <c r="AT302" s="8">
        <f ca="1">RANK(PlayerGameData[[#This Row],[ASTTieBreak]],PlayerGameData[ASTTieBreak],1)</f>
        <v>119</v>
      </c>
      <c r="AU302" s="8">
        <f ca="1">RANK(PlayerGameData[[#This Row],[STL]],PlayerGameData[STL],0)+PlayerGameData[[#This Row],[VisibleOrder]]</f>
        <v>10</v>
      </c>
      <c r="AV302" s="8">
        <f ca="1">IF(COUNTIF(PlayerGameData[STLOrder],PlayerGameData[[#This Row],[STLOrder]])&gt;1,PlayerGameData[[#This Row],[PointRank]]/100+PlayerGameData[[#This Row],[STLOrder]],PlayerGameData[[#This Row],[STLOrder]])</f>
        <v>10.46</v>
      </c>
      <c r="AW302" s="8">
        <f ca="1">RANK(PlayerGameData[[#This Row],[STLTieBreak]],PlayerGameData[STLTieBreak],1)</f>
        <v>18</v>
      </c>
      <c r="AX302" s="8">
        <f ca="1">RANK(PlayerGameData[[#This Row],[BLK]],PlayerGameData[BLK],0)+PlayerGameData[[#This Row],[VisibleOrder]]</f>
        <v>32</v>
      </c>
      <c r="AY302" s="8">
        <f ca="1">IF(COUNTIF(PlayerGameData[BLKOrder],PlayerGameData[[#This Row],[BLKOrder]])&gt;1,PlayerGameData[[#This Row],[PointRank]]/100+PlayerGameData[[#This Row],[BLKOrder]],PlayerGameData[[#This Row],[BLKOrder]])</f>
        <v>32.46</v>
      </c>
      <c r="AZ302" s="8">
        <f ca="1">RANK(PlayerGameData[[#This Row],[BLKTieBreak]],PlayerGameData[BLKTieBreak],1)</f>
        <v>67</v>
      </c>
      <c r="BA302" s="11">
        <f ca="1">IFERROR(IF(PlayerGameData[[#This Row],[FGA]]&gt;$AA$5,PlayerGameData[[#This Row],[FG%*]],PlayerGameData[[#This Row],[FG%*]]*-1),-2)</f>
        <v>0.5</v>
      </c>
      <c r="BB302" s="8">
        <f ca="1">RANK(PlayerGameData[[#This Row],[EligFG]],PlayerGameData[EligFG],0)+PlayerGameData[[#This Row],[VisibleOrder]]</f>
        <v>39</v>
      </c>
      <c r="BC302" s="8">
        <f ca="1">IF(COUNTIF(PlayerGameData[EligFGOrder],PlayerGameData[[#This Row],[EligFGOrder]])&gt;1,PlayerGameData[[#This Row],[PointRank]]/100+PlayerGameData[[#This Row],[EligFGOrder]],PlayerGameData[[#This Row],[EligFGOrder]])</f>
        <v>39.46</v>
      </c>
      <c r="BD302" s="8">
        <f ca="1">RANK(PlayerGameData[[#This Row],[EligFGTieBreak]],PlayerGameData[EligFGTieBreak],1)</f>
        <v>44</v>
      </c>
      <c r="BE302" s="8" t="str">
        <f>Roster!$D$3</f>
        <v>East</v>
      </c>
      <c r="BF302" s="8" t="str">
        <f>Roster!$D$2</f>
        <v>Northeast</v>
      </c>
      <c r="BG302" s="8" t="str">
        <f>Roster!$D$4</f>
        <v>North</v>
      </c>
      <c r="BH302" s="197">
        <f ca="1">IFERROR(VLOOKUP(CONCATENATE(PlayerGameData[[#This Row],[Opponent]]," ",MONTH(PlayerGameData[[#This Row],[Date]]),"/",DAY(PlayerGameData[[#This Row],[Date]]),"/",YEAR(PlayerGameData[[#This Row],[Date]])),Table35[],2,FALSE),0)</f>
        <v>1</v>
      </c>
      <c r="BI302" s="197">
        <f ca="1">IF(PlayerGameData[[#This Row],[Visible]]=1,1,1000)</f>
        <v>1</v>
      </c>
      <c r="BJ302" s="197" t="e">
        <f ca="1">_xlfn.MAXIFS(TeamGameData[Win],TeamGameData[School, Opponent,Game'#],PlayerGameData[[#This Row],[School, Opponent,Game'#]])</f>
        <v>#NAME?</v>
      </c>
      <c r="BK302" s="197" t="e">
        <f ca="1">_xlfn.MAXIFS(TeamGameData[Loss],TeamGameData[School, Opponent,Game'#],PlayerGameData[[#This Row],[School, Opponent,Game'#]])</f>
        <v>#NAME?</v>
      </c>
    </row>
    <row r="303" spans="1:63" x14ac:dyDescent="0.25">
      <c r="A303" s="8" t="str">
        <f t="shared" ca="1" si="153"/>
        <v>Bridger Bruce, 25</v>
      </c>
      <c r="B303" s="8" t="str">
        <f>Roster!$B$1</f>
        <v>Upton</v>
      </c>
      <c r="C303" s="8" t="str">
        <f t="shared" ca="1" si="141"/>
        <v>Hulett</v>
      </c>
      <c r="D303" s="10">
        <f t="shared" ca="1" si="142"/>
        <v>44953</v>
      </c>
      <c r="E303" s="8">
        <f t="shared" ca="1" si="143"/>
        <v>1</v>
      </c>
      <c r="F303" s="8">
        <f t="shared" ca="1" si="144"/>
        <v>0</v>
      </c>
      <c r="G303" s="8">
        <f t="shared" ca="1" si="145"/>
        <v>15</v>
      </c>
      <c r="H303" s="8">
        <f t="shared" ca="1" si="146"/>
        <v>0</v>
      </c>
      <c r="I303" s="8">
        <f t="shared" ca="1" si="147"/>
        <v>1</v>
      </c>
      <c r="J303" s="8">
        <f t="shared" ca="1" si="148"/>
        <v>1</v>
      </c>
      <c r="K303" s="8">
        <f t="shared" ca="1" si="149"/>
        <v>1</v>
      </c>
      <c r="L303" s="8">
        <f t="shared" ca="1" si="154"/>
        <v>0</v>
      </c>
      <c r="M303" s="8">
        <f t="shared" ca="1" si="155"/>
        <v>0</v>
      </c>
      <c r="N303" s="8">
        <f t="shared" ca="1" si="156"/>
        <v>0</v>
      </c>
      <c r="O303" s="8">
        <f t="shared" ca="1" si="157"/>
        <v>3</v>
      </c>
      <c r="P303" s="8">
        <f t="shared" ca="1" si="158"/>
        <v>0</v>
      </c>
      <c r="Q303" s="8">
        <f t="shared" ca="1" si="159"/>
        <v>0</v>
      </c>
      <c r="R303" s="8">
        <f t="shared" ca="1" si="160"/>
        <v>0</v>
      </c>
      <c r="S303" s="8">
        <f t="shared" ca="1" si="161"/>
        <v>0</v>
      </c>
      <c r="T303" s="8">
        <f t="shared" ca="1" si="162"/>
        <v>0</v>
      </c>
      <c r="U303" s="8">
        <f t="shared" ca="1" si="163"/>
        <v>0</v>
      </c>
      <c r="V303" s="8">
        <f t="shared" ca="1" si="164"/>
        <v>2</v>
      </c>
      <c r="W303" s="11">
        <f t="shared" ca="1" si="165"/>
        <v>0</v>
      </c>
      <c r="X303" s="11">
        <f t="shared" ca="1" si="166"/>
        <v>1</v>
      </c>
      <c r="Y303" s="11" t="str">
        <f t="shared" ca="1" si="167"/>
        <v/>
      </c>
      <c r="Z303" s="11">
        <f t="shared" ca="1" si="168"/>
        <v>0.5</v>
      </c>
      <c r="AA303" s="11">
        <f t="shared" ca="1" si="169"/>
        <v>0.5</v>
      </c>
      <c r="AB303" s="47">
        <f ca="1">PlayerGameData[[#This Row],[3FGA]]+PlayerGameData[[#This Row],[2FGA]]</f>
        <v>2</v>
      </c>
      <c r="AC303" s="47">
        <f ca="1">PlayerGameData[[#This Row],[OFF REB]]+PlayerGameData[[#This Row],[DEF REB]]</f>
        <v>3</v>
      </c>
      <c r="AD303" s="8">
        <f t="shared" si="150"/>
        <v>13</v>
      </c>
      <c r="AE303" s="8" t="str">
        <f t="shared" ca="1" si="151"/>
        <v>Bridger Bruce, 25 - Hulett 1/27/2023</v>
      </c>
      <c r="AF303" s="8" t="str">
        <f t="shared" ca="1" si="170"/>
        <v>R</v>
      </c>
      <c r="AG303" s="8" t="str">
        <f ca="1">IFERROR(IF(C303=0,"",IF(AND(VLOOKUP(PlayerGameData[[#This Row],[Opponent]],WYTeamInfo,2,FALSE)=Roster!$D$1,VLOOKUP(PlayerGameData[[#This Row],[Opponent]],WYTeamInfo,3,FALSE)=Roster!$D$2),"SR","")),"")</f>
        <v>SR</v>
      </c>
      <c r="AH303" s="8" t="str">
        <f>CONCATENATE(Roster!$D$1," ",Roster!$D$5)</f>
        <v>1A BB</v>
      </c>
      <c r="AI303" s="8" t="str">
        <f t="shared" ca="1" si="152"/>
        <v>Upton - Hulett 1/27/2023</v>
      </c>
      <c r="AJ303" s="8">
        <f ca="1">IFERROR(VLOOKUP(PlayerGameData[[#This Row],[School, Opponent,Game'#]],Table3[],2,FALSE),0)</f>
        <v>1</v>
      </c>
      <c r="AK303" s="8">
        <f ca="1">IF(PlayerGameData[[#This Row],[Visible]]=1,1,1000)</f>
        <v>1</v>
      </c>
      <c r="AL303" s="8">
        <f ca="1">RANK(PlayerGameData[[#This Row],[TL PTS]],PlayerGameData[TL PTS],0)+PlayerGameData[[#This Row],[VisibleOrder]]</f>
        <v>152</v>
      </c>
      <c r="AM303" s="8">
        <f ca="1">IF(COUNTIF(PlayerGameData[PointOrder],PlayerGameData[[#This Row],[PointOrder]])&gt;1,RANK(PlayerGameData[[#This Row],[FGA]],PlayerGameData[FGA],0)/100,0)+PlayerGameData[[#This Row],[PointOrder]]</f>
        <v>153.61000000000001</v>
      </c>
      <c r="AN303" s="8">
        <f ca="1">RANK(PlayerGameData[[#This Row],[PointTieBreak]],PlayerGameData[PointTieBreak],1)</f>
        <v>163</v>
      </c>
      <c r="AO303" s="8">
        <f ca="1">RANK(PlayerGameData[[#This Row],[REB]],PlayerGameData[REB],0)+PlayerGameData[[#This Row],[VisibleOrder]]</f>
        <v>108</v>
      </c>
      <c r="AP303" s="8">
        <f ca="1">IF(COUNTIF(PlayerGameData[REBOrder],PlayerGameData[[#This Row],[REBOrder]])&gt;1,PlayerGameData[[#This Row],[PointRank]]/100+PlayerGameData[[#This Row],[REBOrder]],PlayerGameData[[#This Row],[REBOrder]])</f>
        <v>109.63</v>
      </c>
      <c r="AQ303" s="8">
        <f ca="1">RANK(PlayerGameData[[#This Row],[REBTieBreak]],PlayerGameData[REBTieBreak],1)</f>
        <v>128</v>
      </c>
      <c r="AR303" s="8">
        <f ca="1">RANK(PlayerGameData[[#This Row],[AST]],PlayerGameData[AST],0)+PlayerGameData[[#This Row],[VisibleOrder]]</f>
        <v>158</v>
      </c>
      <c r="AS303" s="8">
        <f ca="1">IF(COUNTIF(PlayerGameData[ASTOrder],PlayerGameData[[#This Row],[ASTOrder]])&gt;1,PlayerGameData[[#This Row],[PointRank]]/100+PlayerGameData[[#This Row],[ASTOrder]],PlayerGameData[[#This Row],[ASTOrder]])</f>
        <v>159.63</v>
      </c>
      <c r="AT303" s="8">
        <f ca="1">RANK(PlayerGameData[[#This Row],[ASTTieBreak]],PlayerGameData[ASTTieBreak],1)</f>
        <v>186</v>
      </c>
      <c r="AU303" s="8">
        <f ca="1">RANK(PlayerGameData[[#This Row],[STL]],PlayerGameData[STL],0)+PlayerGameData[[#This Row],[VisibleOrder]]</f>
        <v>143</v>
      </c>
      <c r="AV303" s="8">
        <f ca="1">IF(COUNTIF(PlayerGameData[STLOrder],PlayerGameData[[#This Row],[STLOrder]])&gt;1,PlayerGameData[[#This Row],[PointRank]]/100+PlayerGameData[[#This Row],[STLOrder]],PlayerGameData[[#This Row],[STLOrder]])</f>
        <v>144.63</v>
      </c>
      <c r="AW303" s="8">
        <f ca="1">RANK(PlayerGameData[[#This Row],[STLTieBreak]],PlayerGameData[STLTieBreak],1)</f>
        <v>181</v>
      </c>
      <c r="AX303" s="8">
        <f ca="1">RANK(PlayerGameData[[#This Row],[BLK]],PlayerGameData[BLK],0)+PlayerGameData[[#This Row],[VisibleOrder]]</f>
        <v>32</v>
      </c>
      <c r="AY303" s="8">
        <f ca="1">IF(COUNTIF(PlayerGameData[BLKOrder],PlayerGameData[[#This Row],[BLKOrder]])&gt;1,PlayerGameData[[#This Row],[PointRank]]/100+PlayerGameData[[#This Row],[BLKOrder]],PlayerGameData[[#This Row],[BLKOrder]])</f>
        <v>33.630000000000003</v>
      </c>
      <c r="AZ303" s="8">
        <f ca="1">RANK(PlayerGameData[[#This Row],[BLKTieBreak]],PlayerGameData[BLKTieBreak],1)</f>
        <v>164</v>
      </c>
      <c r="BA303" s="11">
        <f ca="1">IFERROR(IF(PlayerGameData[[#This Row],[FGA]]&gt;$AA$5,PlayerGameData[[#This Row],[FG%*]],PlayerGameData[[#This Row],[FG%*]]*-1),-2)</f>
        <v>-0.5</v>
      </c>
      <c r="BB303" s="8">
        <f ca="1">RANK(PlayerGameData[[#This Row],[EligFG]],PlayerGameData[EligFG],0)+PlayerGameData[[#This Row],[VisibleOrder]]</f>
        <v>182</v>
      </c>
      <c r="BC303" s="8">
        <f ca="1">IF(COUNTIF(PlayerGameData[EligFGOrder],PlayerGameData[[#This Row],[EligFGOrder]])&gt;1,PlayerGameData[[#This Row],[PointRank]]/100+PlayerGameData[[#This Row],[EligFGOrder]],PlayerGameData[[#This Row],[EligFGOrder]])</f>
        <v>183.63</v>
      </c>
      <c r="BD303" s="8">
        <f ca="1">RANK(PlayerGameData[[#This Row],[EligFGTieBreak]],PlayerGameData[EligFGTieBreak],1)</f>
        <v>188</v>
      </c>
      <c r="BE303" s="8" t="str">
        <f>Roster!$D$3</f>
        <v>East</v>
      </c>
      <c r="BF303" s="8" t="str">
        <f>Roster!$D$2</f>
        <v>Northeast</v>
      </c>
      <c r="BG303" s="8" t="str">
        <f>Roster!$D$4</f>
        <v>North</v>
      </c>
      <c r="BH303" s="197">
        <f ca="1">IFERROR(VLOOKUP(CONCATENATE(PlayerGameData[[#This Row],[Opponent]]," ",MONTH(PlayerGameData[[#This Row],[Date]]),"/",DAY(PlayerGameData[[#This Row],[Date]]),"/",YEAR(PlayerGameData[[#This Row],[Date]])),Table35[],2,FALSE),0)</f>
        <v>1</v>
      </c>
      <c r="BI303" s="197">
        <f ca="1">IF(PlayerGameData[[#This Row],[Visible]]=1,1,1000)</f>
        <v>1</v>
      </c>
      <c r="BJ303" s="197" t="e">
        <f ca="1">_xlfn.MAXIFS(TeamGameData[Win],TeamGameData[School, Opponent,Game'#],PlayerGameData[[#This Row],[School, Opponent,Game'#]])</f>
        <v>#NAME?</v>
      </c>
      <c r="BK303" s="197" t="e">
        <f ca="1">_xlfn.MAXIFS(TeamGameData[Loss],TeamGameData[School, Opponent,Game'#],PlayerGameData[[#This Row],[School, Opponent,Game'#]])</f>
        <v>#NAME?</v>
      </c>
    </row>
    <row r="304" spans="1:63" x14ac:dyDescent="0.25">
      <c r="A304" s="8" t="str">
        <f t="shared" ca="1" si="153"/>
        <v>Kailer Duarte, 31</v>
      </c>
      <c r="B304" s="8" t="str">
        <f>Roster!$B$1</f>
        <v>Upton</v>
      </c>
      <c r="C304" s="8" t="str">
        <f t="shared" ca="1" si="141"/>
        <v>Hulett</v>
      </c>
      <c r="D304" s="10">
        <f t="shared" ca="1" si="142"/>
        <v>44953</v>
      </c>
      <c r="E304" s="8">
        <f t="shared" ca="1" si="143"/>
        <v>1</v>
      </c>
      <c r="F304" s="8">
        <f t="shared" ca="1" si="144"/>
        <v>1</v>
      </c>
      <c r="G304" s="8">
        <f t="shared" ca="1" si="145"/>
        <v>24</v>
      </c>
      <c r="H304" s="8">
        <f t="shared" ca="1" si="146"/>
        <v>3</v>
      </c>
      <c r="I304" s="8">
        <f t="shared" ca="1" si="147"/>
        <v>4</v>
      </c>
      <c r="J304" s="8">
        <f t="shared" ca="1" si="148"/>
        <v>3</v>
      </c>
      <c r="K304" s="8">
        <f t="shared" ca="1" si="149"/>
        <v>6</v>
      </c>
      <c r="L304" s="8">
        <f t="shared" ca="1" si="154"/>
        <v>0</v>
      </c>
      <c r="M304" s="8">
        <f t="shared" ca="1" si="155"/>
        <v>0</v>
      </c>
      <c r="N304" s="8">
        <f t="shared" ca="1" si="156"/>
        <v>3</v>
      </c>
      <c r="O304" s="8">
        <f t="shared" ca="1" si="157"/>
        <v>3</v>
      </c>
      <c r="P304" s="8">
        <f t="shared" ca="1" si="158"/>
        <v>4</v>
      </c>
      <c r="Q304" s="8">
        <f t="shared" ca="1" si="159"/>
        <v>3</v>
      </c>
      <c r="R304" s="8">
        <f t="shared" ca="1" si="160"/>
        <v>0</v>
      </c>
      <c r="S304" s="8">
        <f t="shared" ca="1" si="161"/>
        <v>1</v>
      </c>
      <c r="T304" s="8">
        <f t="shared" ca="1" si="162"/>
        <v>2</v>
      </c>
      <c r="U304" s="8">
        <f t="shared" ca="1" si="163"/>
        <v>1</v>
      </c>
      <c r="V304" s="8">
        <f t="shared" ca="1" si="164"/>
        <v>15</v>
      </c>
      <c r="W304" s="11">
        <f t="shared" ca="1" si="165"/>
        <v>0.75</v>
      </c>
      <c r="X304" s="11">
        <f t="shared" ca="1" si="166"/>
        <v>0.5</v>
      </c>
      <c r="Y304" s="11" t="str">
        <f t="shared" ca="1" si="167"/>
        <v/>
      </c>
      <c r="Z304" s="11">
        <f t="shared" ca="1" si="168"/>
        <v>0.6</v>
      </c>
      <c r="AA304" s="11">
        <f t="shared" ca="1" si="169"/>
        <v>0.75</v>
      </c>
      <c r="AB304" s="47">
        <f ca="1">PlayerGameData[[#This Row],[3FGA]]+PlayerGameData[[#This Row],[2FGA]]</f>
        <v>10</v>
      </c>
      <c r="AC304" s="47">
        <f ca="1">PlayerGameData[[#This Row],[OFF REB]]+PlayerGameData[[#This Row],[DEF REB]]</f>
        <v>6</v>
      </c>
      <c r="AD304" s="8">
        <f t="shared" si="150"/>
        <v>13</v>
      </c>
      <c r="AE304" s="8" t="str">
        <f t="shared" ca="1" si="151"/>
        <v>Kailer Duarte, 31 - Hulett 1/27/2023</v>
      </c>
      <c r="AF304" s="8" t="str">
        <f t="shared" ca="1" si="170"/>
        <v>R</v>
      </c>
      <c r="AG304" s="8" t="str">
        <f ca="1">IFERROR(IF(C304=0,"",IF(AND(VLOOKUP(PlayerGameData[[#This Row],[Opponent]],WYTeamInfo,2,FALSE)=Roster!$D$1,VLOOKUP(PlayerGameData[[#This Row],[Opponent]],WYTeamInfo,3,FALSE)=Roster!$D$2),"SR","")),"")</f>
        <v>SR</v>
      </c>
      <c r="AH304" s="8" t="str">
        <f>CONCATENATE(Roster!$D$1," ",Roster!$D$5)</f>
        <v>1A BB</v>
      </c>
      <c r="AI304" s="8" t="str">
        <f t="shared" ca="1" si="152"/>
        <v>Upton - Hulett 1/27/2023</v>
      </c>
      <c r="AJ304" s="8">
        <f ca="1">IFERROR(VLOOKUP(PlayerGameData[[#This Row],[School, Opponent,Game'#]],Table3[],2,FALSE),0)</f>
        <v>1</v>
      </c>
      <c r="AK304" s="8">
        <f ca="1">IF(PlayerGameData[[#This Row],[Visible]]=1,1,1000)</f>
        <v>1</v>
      </c>
      <c r="AL304" s="8">
        <f ca="1">RANK(PlayerGameData[[#This Row],[TL PTS]],PlayerGameData[TL PTS],0)+PlayerGameData[[#This Row],[VisibleOrder]]</f>
        <v>30</v>
      </c>
      <c r="AM304" s="8">
        <f ca="1">IF(COUNTIF(PlayerGameData[PointOrder],PlayerGameData[[#This Row],[PointOrder]])&gt;1,RANK(PlayerGameData[[#This Row],[FGA]],PlayerGameData[FGA],0)/100,0)+PlayerGameData[[#This Row],[PointOrder]]</f>
        <v>30.43</v>
      </c>
      <c r="AN304" s="8">
        <f ca="1">RANK(PlayerGameData[[#This Row],[PointTieBreak]],PlayerGameData[PointTieBreak],1)</f>
        <v>31</v>
      </c>
      <c r="AO304" s="8">
        <f ca="1">RANK(PlayerGameData[[#This Row],[REB]],PlayerGameData[REB],0)+PlayerGameData[[#This Row],[VisibleOrder]]</f>
        <v>38</v>
      </c>
      <c r="AP304" s="8">
        <f ca="1">IF(COUNTIF(PlayerGameData[REBOrder],PlayerGameData[[#This Row],[REBOrder]])&gt;1,PlayerGameData[[#This Row],[PointRank]]/100+PlayerGameData[[#This Row],[REBOrder]],PlayerGameData[[#This Row],[REBOrder]])</f>
        <v>38.31</v>
      </c>
      <c r="AQ304" s="8">
        <f ca="1">RANK(PlayerGameData[[#This Row],[REBTieBreak]],PlayerGameData[REBTieBreak],1)</f>
        <v>40</v>
      </c>
      <c r="AR304" s="8">
        <f ca="1">RANK(PlayerGameData[[#This Row],[AST]],PlayerGameData[AST],0)+PlayerGameData[[#This Row],[VisibleOrder]]</f>
        <v>24</v>
      </c>
      <c r="AS304" s="8">
        <f ca="1">IF(COUNTIF(PlayerGameData[ASTOrder],PlayerGameData[[#This Row],[ASTOrder]])&gt;1,PlayerGameData[[#This Row],[PointRank]]/100+PlayerGameData[[#This Row],[ASTOrder]],PlayerGameData[[#This Row],[ASTOrder]])</f>
        <v>24.31</v>
      </c>
      <c r="AT304" s="8">
        <f ca="1">RANK(PlayerGameData[[#This Row],[ASTTieBreak]],PlayerGameData[ASTTieBreak],1)</f>
        <v>28</v>
      </c>
      <c r="AU304" s="8">
        <f ca="1">RANK(PlayerGameData[[#This Row],[STL]],PlayerGameData[STL],0)+PlayerGameData[[#This Row],[VisibleOrder]]</f>
        <v>26</v>
      </c>
      <c r="AV304" s="8">
        <f ca="1">IF(COUNTIF(PlayerGameData[STLOrder],PlayerGameData[[#This Row],[STLOrder]])&gt;1,PlayerGameData[[#This Row],[PointRank]]/100+PlayerGameData[[#This Row],[STLOrder]],PlayerGameData[[#This Row],[STLOrder]])</f>
        <v>26.31</v>
      </c>
      <c r="AW304" s="8">
        <f ca="1">RANK(PlayerGameData[[#This Row],[STLTieBreak]],PlayerGameData[STLTieBreak],1)</f>
        <v>30</v>
      </c>
      <c r="AX304" s="8">
        <f ca="1">RANK(PlayerGameData[[#This Row],[BLK]],PlayerGameData[BLK],0)+PlayerGameData[[#This Row],[VisibleOrder]]</f>
        <v>32</v>
      </c>
      <c r="AY304" s="8">
        <f ca="1">IF(COUNTIF(PlayerGameData[BLKOrder],PlayerGameData[[#This Row],[BLKOrder]])&gt;1,PlayerGameData[[#This Row],[PointRank]]/100+PlayerGameData[[#This Row],[BLKOrder]],PlayerGameData[[#This Row],[BLKOrder]])</f>
        <v>32.31</v>
      </c>
      <c r="AZ304" s="8">
        <f ca="1">RANK(PlayerGameData[[#This Row],[BLKTieBreak]],PlayerGameData[BLKTieBreak],1)</f>
        <v>55</v>
      </c>
      <c r="BA304" s="11">
        <f ca="1">IFERROR(IF(PlayerGameData[[#This Row],[FGA]]&gt;$AA$5,PlayerGameData[[#This Row],[FG%*]],PlayerGameData[[#This Row],[FG%*]]*-1),-2)</f>
        <v>0.6</v>
      </c>
      <c r="BB304" s="8">
        <f ca="1">RANK(PlayerGameData[[#This Row],[EligFG]],PlayerGameData[EligFG],0)+PlayerGameData[[#This Row],[VisibleOrder]]</f>
        <v>21</v>
      </c>
      <c r="BC304" s="8">
        <f ca="1">IF(COUNTIF(PlayerGameData[EligFGOrder],PlayerGameData[[#This Row],[EligFGOrder]])&gt;1,PlayerGameData[[#This Row],[PointRank]]/100+PlayerGameData[[#This Row],[EligFGOrder]],PlayerGameData[[#This Row],[EligFGOrder]])</f>
        <v>21.31</v>
      </c>
      <c r="BD304" s="8">
        <f ca="1">RANK(PlayerGameData[[#This Row],[EligFGTieBreak]],PlayerGameData[EligFGTieBreak],1)</f>
        <v>22</v>
      </c>
      <c r="BE304" s="8" t="str">
        <f>Roster!$D$3</f>
        <v>East</v>
      </c>
      <c r="BF304" s="8" t="str">
        <f>Roster!$D$2</f>
        <v>Northeast</v>
      </c>
      <c r="BG304" s="8" t="str">
        <f>Roster!$D$4</f>
        <v>North</v>
      </c>
      <c r="BH304" s="197">
        <f ca="1">IFERROR(VLOOKUP(CONCATENATE(PlayerGameData[[#This Row],[Opponent]]," ",MONTH(PlayerGameData[[#This Row],[Date]]),"/",DAY(PlayerGameData[[#This Row],[Date]]),"/",YEAR(PlayerGameData[[#This Row],[Date]])),Table35[],2,FALSE),0)</f>
        <v>1</v>
      </c>
      <c r="BI304" s="197">
        <f ca="1">IF(PlayerGameData[[#This Row],[Visible]]=1,1,1000)</f>
        <v>1</v>
      </c>
      <c r="BJ304" s="197" t="e">
        <f ca="1">_xlfn.MAXIFS(TeamGameData[Win],TeamGameData[School, Opponent,Game'#],PlayerGameData[[#This Row],[School, Opponent,Game'#]])</f>
        <v>#NAME?</v>
      </c>
      <c r="BK304" s="197" t="e">
        <f ca="1">_xlfn.MAXIFS(TeamGameData[Loss],TeamGameData[School, Opponent,Game'#],PlayerGameData[[#This Row],[School, Opponent,Game'#]])</f>
        <v>#NAME?</v>
      </c>
    </row>
    <row r="305" spans="1:63" x14ac:dyDescent="0.25">
      <c r="A305" s="8" t="str">
        <f t="shared" ca="1" si="153"/>
        <v>Matt Stirmel, 33</v>
      </c>
      <c r="B305" s="8" t="str">
        <f>Roster!$B$1</f>
        <v>Upton</v>
      </c>
      <c r="C305" s="8" t="str">
        <f t="shared" ca="1" si="141"/>
        <v>Hulett</v>
      </c>
      <c r="D305" s="10">
        <f t="shared" ca="1" si="142"/>
        <v>44953</v>
      </c>
      <c r="E305" s="8">
        <f t="shared" ca="1" si="143"/>
        <v>1</v>
      </c>
      <c r="F305" s="8">
        <f t="shared" ca="1" si="144"/>
        <v>0</v>
      </c>
      <c r="G305" s="8">
        <f t="shared" ca="1" si="145"/>
        <v>1</v>
      </c>
      <c r="H305" s="8">
        <f t="shared" ca="1" si="146"/>
        <v>0</v>
      </c>
      <c r="I305" s="8">
        <f t="shared" ca="1" si="147"/>
        <v>0</v>
      </c>
      <c r="J305" s="8">
        <f t="shared" ca="1" si="148"/>
        <v>0</v>
      </c>
      <c r="K305" s="8">
        <f t="shared" ca="1" si="149"/>
        <v>0</v>
      </c>
      <c r="L305" s="8">
        <f t="shared" ca="1" si="154"/>
        <v>0</v>
      </c>
      <c r="M305" s="8">
        <f t="shared" ca="1" si="155"/>
        <v>0</v>
      </c>
      <c r="N305" s="8">
        <f t="shared" ca="1" si="156"/>
        <v>0</v>
      </c>
      <c r="O305" s="8">
        <f t="shared" ca="1" si="157"/>
        <v>0</v>
      </c>
      <c r="P305" s="8">
        <f t="shared" ca="1" si="158"/>
        <v>0</v>
      </c>
      <c r="Q305" s="8">
        <f t="shared" ca="1" si="159"/>
        <v>0</v>
      </c>
      <c r="R305" s="8">
        <f t="shared" ca="1" si="160"/>
        <v>0</v>
      </c>
      <c r="S305" s="8">
        <f t="shared" ca="1" si="161"/>
        <v>0</v>
      </c>
      <c r="T305" s="8">
        <f t="shared" ca="1" si="162"/>
        <v>0</v>
      </c>
      <c r="U305" s="8">
        <f t="shared" ca="1" si="163"/>
        <v>0</v>
      </c>
      <c r="V305" s="8">
        <f t="shared" ca="1" si="164"/>
        <v>0</v>
      </c>
      <c r="W305" s="11" t="str">
        <f t="shared" ca="1" si="165"/>
        <v/>
      </c>
      <c r="X305" s="11" t="str">
        <f t="shared" ca="1" si="166"/>
        <v/>
      </c>
      <c r="Y305" s="11" t="str">
        <f t="shared" ca="1" si="167"/>
        <v/>
      </c>
      <c r="Z305" s="11" t="str">
        <f t="shared" ca="1" si="168"/>
        <v/>
      </c>
      <c r="AA305" s="11" t="str">
        <f t="shared" ca="1" si="169"/>
        <v/>
      </c>
      <c r="AB305" s="47">
        <f ca="1">PlayerGameData[[#This Row],[3FGA]]+PlayerGameData[[#This Row],[2FGA]]</f>
        <v>0</v>
      </c>
      <c r="AC305" s="47">
        <f ca="1">PlayerGameData[[#This Row],[OFF REB]]+PlayerGameData[[#This Row],[DEF REB]]</f>
        <v>0</v>
      </c>
      <c r="AD305" s="8">
        <f t="shared" si="150"/>
        <v>13</v>
      </c>
      <c r="AE305" s="8" t="str">
        <f t="shared" ca="1" si="151"/>
        <v>Matt Stirmel, 33 - Hulett 1/27/2023</v>
      </c>
      <c r="AF305" s="8" t="str">
        <f t="shared" ca="1" si="170"/>
        <v>R</v>
      </c>
      <c r="AG305" s="8" t="str">
        <f ca="1">IFERROR(IF(C305=0,"",IF(AND(VLOOKUP(PlayerGameData[[#This Row],[Opponent]],WYTeamInfo,2,FALSE)=Roster!$D$1,VLOOKUP(PlayerGameData[[#This Row],[Opponent]],WYTeamInfo,3,FALSE)=Roster!$D$2),"SR","")),"")</f>
        <v>SR</v>
      </c>
      <c r="AH305" s="8" t="str">
        <f>CONCATENATE(Roster!$D$1," ",Roster!$D$5)</f>
        <v>1A BB</v>
      </c>
      <c r="AI305" s="8" t="str">
        <f t="shared" ca="1" si="152"/>
        <v>Upton - Hulett 1/27/2023</v>
      </c>
      <c r="AJ305" s="8">
        <f ca="1">IFERROR(VLOOKUP(PlayerGameData[[#This Row],[School, Opponent,Game'#]],Table3[],2,FALSE),0)</f>
        <v>1</v>
      </c>
      <c r="AK305" s="8">
        <f ca="1">IF(PlayerGameData[[#This Row],[Visible]]=1,1,1000)</f>
        <v>1</v>
      </c>
      <c r="AL305" s="8">
        <f ca="1">RANK(PlayerGameData[[#This Row],[TL PTS]],PlayerGameData[TL PTS],0)+PlayerGameData[[#This Row],[VisibleOrder]]</f>
        <v>185</v>
      </c>
      <c r="AM305" s="8">
        <f ca="1">IF(COUNTIF(PlayerGameData[PointOrder],PlayerGameData[[#This Row],[PointOrder]])&gt;1,RANK(PlayerGameData[[#This Row],[FGA]],PlayerGameData[FGA],0)/100,0)+PlayerGameData[[#This Row],[PointOrder]]</f>
        <v>187.14</v>
      </c>
      <c r="AN305" s="8">
        <f ca="1">RANK(PlayerGameData[[#This Row],[PointTieBreak]],PlayerGameData[PointTieBreak],1)</f>
        <v>216</v>
      </c>
      <c r="AO305" s="8">
        <f ca="1">RANK(PlayerGameData[[#This Row],[REB]],PlayerGameData[REB],0)+PlayerGameData[[#This Row],[VisibleOrder]]</f>
        <v>192</v>
      </c>
      <c r="AP305" s="8">
        <f ca="1">IF(COUNTIF(PlayerGameData[REBOrder],PlayerGameData[[#This Row],[REBOrder]])&gt;1,PlayerGameData[[#This Row],[PointRank]]/100+PlayerGameData[[#This Row],[REBOrder]],PlayerGameData[[#This Row],[REBOrder]])</f>
        <v>194.16</v>
      </c>
      <c r="AQ305" s="8">
        <f ca="1">RANK(PlayerGameData[[#This Row],[REBTieBreak]],PlayerGameData[REBTieBreak],1)</f>
        <v>224</v>
      </c>
      <c r="AR305" s="8">
        <f ca="1">RANK(PlayerGameData[[#This Row],[AST]],PlayerGameData[AST],0)+PlayerGameData[[#This Row],[VisibleOrder]]</f>
        <v>158</v>
      </c>
      <c r="AS305" s="8">
        <f ca="1">IF(COUNTIF(PlayerGameData[ASTOrder],PlayerGameData[[#This Row],[ASTOrder]])&gt;1,PlayerGameData[[#This Row],[PointRank]]/100+PlayerGameData[[#This Row],[ASTOrder]],PlayerGameData[[#This Row],[ASTOrder]])</f>
        <v>160.16</v>
      </c>
      <c r="AT305" s="8">
        <f ca="1">RANK(PlayerGameData[[#This Row],[ASTTieBreak]],PlayerGameData[ASTTieBreak],1)</f>
        <v>221</v>
      </c>
      <c r="AU305" s="8">
        <f ca="1">RANK(PlayerGameData[[#This Row],[STL]],PlayerGameData[STL],0)+PlayerGameData[[#This Row],[VisibleOrder]]</f>
        <v>143</v>
      </c>
      <c r="AV305" s="8">
        <f ca="1">IF(COUNTIF(PlayerGameData[STLOrder],PlayerGameData[[#This Row],[STLOrder]])&gt;1,PlayerGameData[[#This Row],[PointRank]]/100+PlayerGameData[[#This Row],[STLOrder]],PlayerGameData[[#This Row],[STLOrder]])</f>
        <v>145.16</v>
      </c>
      <c r="AW305" s="8">
        <f ca="1">RANK(PlayerGameData[[#This Row],[STLTieBreak]],PlayerGameData[STLTieBreak],1)</f>
        <v>217</v>
      </c>
      <c r="AX305" s="8">
        <f ca="1">RANK(PlayerGameData[[#This Row],[BLK]],PlayerGameData[BLK],0)+PlayerGameData[[#This Row],[VisibleOrder]]</f>
        <v>32</v>
      </c>
      <c r="AY305" s="8">
        <f ca="1">IF(COUNTIF(PlayerGameData[BLKOrder],PlayerGameData[[#This Row],[BLKOrder]])&gt;1,PlayerGameData[[#This Row],[PointRank]]/100+PlayerGameData[[#This Row],[BLKOrder]],PlayerGameData[[#This Row],[BLKOrder]])</f>
        <v>34.159999999999997</v>
      </c>
      <c r="AZ305" s="8">
        <f ca="1">RANK(PlayerGameData[[#This Row],[BLKTieBreak]],PlayerGameData[BLKTieBreak],1)</f>
        <v>216</v>
      </c>
      <c r="BA305" s="11">
        <f ca="1">IFERROR(IF(PlayerGameData[[#This Row],[FGA]]&gt;$AA$5,PlayerGameData[[#This Row],[FG%*]],PlayerGameData[[#This Row],[FG%*]]*-1),-2)</f>
        <v>-2</v>
      </c>
      <c r="BB305" s="8">
        <f ca="1">RANK(PlayerGameData[[#This Row],[EligFG]],PlayerGameData[EligFG],0)+PlayerGameData[[#This Row],[VisibleOrder]]</f>
        <v>215</v>
      </c>
      <c r="BC305" s="8">
        <f ca="1">IF(COUNTIF(PlayerGameData[EligFGOrder],PlayerGameData[[#This Row],[EligFGOrder]])&gt;1,PlayerGameData[[#This Row],[PointRank]]/100+PlayerGameData[[#This Row],[EligFGOrder]],PlayerGameData[[#This Row],[EligFGOrder]])</f>
        <v>217.16</v>
      </c>
      <c r="BD305" s="8">
        <f ca="1">RANK(PlayerGameData[[#This Row],[EligFGTieBreak]],PlayerGameData[EligFGTieBreak],1)</f>
        <v>216</v>
      </c>
      <c r="BE305" s="8" t="str">
        <f>Roster!$D$3</f>
        <v>East</v>
      </c>
      <c r="BF305" s="8" t="str">
        <f>Roster!$D$2</f>
        <v>Northeast</v>
      </c>
      <c r="BG305" s="8" t="str">
        <f>Roster!$D$4</f>
        <v>North</v>
      </c>
      <c r="BH305" s="197">
        <f ca="1">IFERROR(VLOOKUP(CONCATENATE(PlayerGameData[[#This Row],[Opponent]]," ",MONTH(PlayerGameData[[#This Row],[Date]]),"/",DAY(PlayerGameData[[#This Row],[Date]]),"/",YEAR(PlayerGameData[[#This Row],[Date]])),Table35[],2,FALSE),0)</f>
        <v>1</v>
      </c>
      <c r="BI305" s="197">
        <f ca="1">IF(PlayerGameData[[#This Row],[Visible]]=1,1,1000)</f>
        <v>1</v>
      </c>
      <c r="BJ305" s="197" t="e">
        <f ca="1">_xlfn.MAXIFS(TeamGameData[Win],TeamGameData[School, Opponent,Game'#],PlayerGameData[[#This Row],[School, Opponent,Game'#]])</f>
        <v>#NAME?</v>
      </c>
      <c r="BK305" s="197" t="e">
        <f ca="1">_xlfn.MAXIFS(TeamGameData[Loss],TeamGameData[School, Opponent,Game'#],PlayerGameData[[#This Row],[School, Opponent,Game'#]])</f>
        <v>#NAME?</v>
      </c>
    </row>
    <row r="306" spans="1:63" x14ac:dyDescent="0.25">
      <c r="A306" s="8" t="str">
        <f t="shared" ca="1" si="153"/>
        <v>Jacob McNutt, 34</v>
      </c>
      <c r="B306" s="8" t="str">
        <f>Roster!$B$1</f>
        <v>Upton</v>
      </c>
      <c r="C306" s="8" t="str">
        <f t="shared" ca="1" si="141"/>
        <v>Hulett</v>
      </c>
      <c r="D306" s="10">
        <f t="shared" ca="1" si="142"/>
        <v>44953</v>
      </c>
      <c r="E306" s="8">
        <f t="shared" ca="1" si="143"/>
        <v>1</v>
      </c>
      <c r="F306" s="8">
        <f t="shared" ca="1" si="144"/>
        <v>0</v>
      </c>
      <c r="G306" s="8">
        <f t="shared" ca="1" si="145"/>
        <v>1</v>
      </c>
      <c r="H306" s="8">
        <f t="shared" ca="1" si="146"/>
        <v>1</v>
      </c>
      <c r="I306" s="8">
        <f t="shared" ca="1" si="147"/>
        <v>3</v>
      </c>
      <c r="J306" s="8">
        <f t="shared" ca="1" si="148"/>
        <v>0</v>
      </c>
      <c r="K306" s="8">
        <f t="shared" ca="1" si="149"/>
        <v>0</v>
      </c>
      <c r="L306" s="8">
        <f t="shared" ca="1" si="154"/>
        <v>0</v>
      </c>
      <c r="M306" s="8">
        <f t="shared" ca="1" si="155"/>
        <v>0</v>
      </c>
      <c r="N306" s="8">
        <f t="shared" ca="1" si="156"/>
        <v>0</v>
      </c>
      <c r="O306" s="8">
        <f t="shared" ca="1" si="157"/>
        <v>0</v>
      </c>
      <c r="P306" s="8">
        <f t="shared" ca="1" si="158"/>
        <v>0</v>
      </c>
      <c r="Q306" s="8">
        <f t="shared" ca="1" si="159"/>
        <v>0</v>
      </c>
      <c r="R306" s="8">
        <f t="shared" ca="1" si="160"/>
        <v>0</v>
      </c>
      <c r="S306" s="8">
        <f t="shared" ca="1" si="161"/>
        <v>0</v>
      </c>
      <c r="T306" s="8">
        <f t="shared" ca="1" si="162"/>
        <v>0</v>
      </c>
      <c r="U306" s="8">
        <f t="shared" ca="1" si="163"/>
        <v>0</v>
      </c>
      <c r="V306" s="8">
        <f t="shared" ca="1" si="164"/>
        <v>3</v>
      </c>
      <c r="W306" s="11">
        <f t="shared" ca="1" si="165"/>
        <v>0.33333333333333331</v>
      </c>
      <c r="X306" s="11" t="str">
        <f t="shared" ca="1" si="166"/>
        <v/>
      </c>
      <c r="Y306" s="11" t="str">
        <f t="shared" ca="1" si="167"/>
        <v/>
      </c>
      <c r="Z306" s="11">
        <f t="shared" ca="1" si="168"/>
        <v>0.33333333333333331</v>
      </c>
      <c r="AA306" s="11">
        <f t="shared" ca="1" si="169"/>
        <v>0.5</v>
      </c>
      <c r="AB306" s="47">
        <f ca="1">PlayerGameData[[#This Row],[3FGA]]+PlayerGameData[[#This Row],[2FGA]]</f>
        <v>3</v>
      </c>
      <c r="AC306" s="47">
        <f ca="1">PlayerGameData[[#This Row],[OFF REB]]+PlayerGameData[[#This Row],[DEF REB]]</f>
        <v>0</v>
      </c>
      <c r="AD306" s="8">
        <f t="shared" si="150"/>
        <v>13</v>
      </c>
      <c r="AE306" s="8" t="str">
        <f t="shared" ca="1" si="151"/>
        <v>Jacob McNutt, 34 - Hulett 1/27/2023</v>
      </c>
      <c r="AF306" s="8" t="str">
        <f t="shared" ca="1" si="170"/>
        <v>R</v>
      </c>
      <c r="AG306" s="8" t="str">
        <f ca="1">IFERROR(IF(C306=0,"",IF(AND(VLOOKUP(PlayerGameData[[#This Row],[Opponent]],WYTeamInfo,2,FALSE)=Roster!$D$1,VLOOKUP(PlayerGameData[[#This Row],[Opponent]],WYTeamInfo,3,FALSE)=Roster!$D$2),"SR","")),"")</f>
        <v>SR</v>
      </c>
      <c r="AH306" s="8" t="str">
        <f>CONCATENATE(Roster!$D$1," ",Roster!$D$5)</f>
        <v>1A BB</v>
      </c>
      <c r="AI306" s="8" t="str">
        <f t="shared" ca="1" si="152"/>
        <v>Upton - Hulett 1/27/2023</v>
      </c>
      <c r="AJ306" s="8">
        <f ca="1">IFERROR(VLOOKUP(PlayerGameData[[#This Row],[School, Opponent,Game'#]],Table3[],2,FALSE),0)</f>
        <v>1</v>
      </c>
      <c r="AK306" s="8">
        <f ca="1">IF(PlayerGameData[[#This Row],[Visible]]=1,1,1000)</f>
        <v>1</v>
      </c>
      <c r="AL306" s="8">
        <f ca="1">RANK(PlayerGameData[[#This Row],[TL PTS]],PlayerGameData[TL PTS],0)+PlayerGameData[[#This Row],[VisibleOrder]]</f>
        <v>135</v>
      </c>
      <c r="AM306" s="8">
        <f ca="1">IF(COUNTIF(PlayerGameData[PointOrder],PlayerGameData[[#This Row],[PointOrder]])&gt;1,RANK(PlayerGameData[[#This Row],[FGA]],PlayerGameData[FGA],0)/100,0)+PlayerGameData[[#This Row],[PointOrder]]</f>
        <v>136.4</v>
      </c>
      <c r="AN306" s="8">
        <f ca="1">RANK(PlayerGameData[[#This Row],[PointTieBreak]],PlayerGameData[PointTieBreak],1)</f>
        <v>137</v>
      </c>
      <c r="AO306" s="8">
        <f ca="1">RANK(PlayerGameData[[#This Row],[REB]],PlayerGameData[REB],0)+PlayerGameData[[#This Row],[VisibleOrder]]</f>
        <v>192</v>
      </c>
      <c r="AP306" s="8">
        <f ca="1">IF(COUNTIF(PlayerGameData[REBOrder],PlayerGameData[[#This Row],[REBOrder]])&gt;1,PlayerGameData[[#This Row],[PointRank]]/100+PlayerGameData[[#This Row],[REBOrder]],PlayerGameData[[#This Row],[REBOrder]])</f>
        <v>193.37</v>
      </c>
      <c r="AQ306" s="8">
        <f ca="1">RANK(PlayerGameData[[#This Row],[REBTieBreak]],PlayerGameData[REBTieBreak],1)</f>
        <v>196</v>
      </c>
      <c r="AR306" s="8">
        <f ca="1">RANK(PlayerGameData[[#This Row],[AST]],PlayerGameData[AST],0)+PlayerGameData[[#This Row],[VisibleOrder]]</f>
        <v>158</v>
      </c>
      <c r="AS306" s="8">
        <f ca="1">IF(COUNTIF(PlayerGameData[ASTOrder],PlayerGameData[[#This Row],[ASTOrder]])&gt;1,PlayerGameData[[#This Row],[PointRank]]/100+PlayerGameData[[#This Row],[ASTOrder]],PlayerGameData[[#This Row],[ASTOrder]])</f>
        <v>159.37</v>
      </c>
      <c r="AT306" s="8">
        <f ca="1">RANK(PlayerGameData[[#This Row],[ASTTieBreak]],PlayerGameData[ASTTieBreak],1)</f>
        <v>174</v>
      </c>
      <c r="AU306" s="8">
        <f ca="1">RANK(PlayerGameData[[#This Row],[STL]],PlayerGameData[STL],0)+PlayerGameData[[#This Row],[VisibleOrder]]</f>
        <v>143</v>
      </c>
      <c r="AV306" s="8">
        <f ca="1">IF(COUNTIF(PlayerGameData[STLOrder],PlayerGameData[[#This Row],[STLOrder]])&gt;1,PlayerGameData[[#This Row],[PointRank]]/100+PlayerGameData[[#This Row],[STLOrder]],PlayerGameData[[#This Row],[STLOrder]])</f>
        <v>144.37</v>
      </c>
      <c r="AW306" s="8">
        <f ca="1">RANK(PlayerGameData[[#This Row],[STLTieBreak]],PlayerGameData[STLTieBreak],1)</f>
        <v>166</v>
      </c>
      <c r="AX306" s="8">
        <f ca="1">RANK(PlayerGameData[[#This Row],[BLK]],PlayerGameData[BLK],0)+PlayerGameData[[#This Row],[VisibleOrder]]</f>
        <v>32</v>
      </c>
      <c r="AY306" s="8">
        <f ca="1">IF(COUNTIF(PlayerGameData[BLKOrder],PlayerGameData[[#This Row],[BLKOrder]])&gt;1,PlayerGameData[[#This Row],[PointRank]]/100+PlayerGameData[[#This Row],[BLKOrder]],PlayerGameData[[#This Row],[BLKOrder]])</f>
        <v>33.369999999999997</v>
      </c>
      <c r="AZ306" s="8">
        <f ca="1">RANK(PlayerGameData[[#This Row],[BLKTieBreak]],PlayerGameData[BLKTieBreak],1)</f>
        <v>141</v>
      </c>
      <c r="BA306" s="11">
        <f ca="1">IFERROR(IF(PlayerGameData[[#This Row],[FGA]]&gt;$AA$5,PlayerGameData[[#This Row],[FG%*]],PlayerGameData[[#This Row],[FG%*]]*-1),-2)</f>
        <v>-0.33333333333333331</v>
      </c>
      <c r="BB306" s="8">
        <f ca="1">RANK(PlayerGameData[[#This Row],[EligFG]],PlayerGameData[EligFG],0)+PlayerGameData[[#This Row],[VisibleOrder]]</f>
        <v>164</v>
      </c>
      <c r="BC306" s="8">
        <f ca="1">IF(COUNTIF(PlayerGameData[EligFGOrder],PlayerGameData[[#This Row],[EligFGOrder]])&gt;1,PlayerGameData[[#This Row],[PointRank]]/100+PlayerGameData[[#This Row],[EligFGOrder]],PlayerGameData[[#This Row],[EligFGOrder]])</f>
        <v>165.37</v>
      </c>
      <c r="BD306" s="8">
        <f ca="1">RANK(PlayerGameData[[#This Row],[EligFGTieBreak]],PlayerGameData[EligFGTieBreak],1)</f>
        <v>164</v>
      </c>
      <c r="BE306" s="8" t="str">
        <f>Roster!$D$3</f>
        <v>East</v>
      </c>
      <c r="BF306" s="8" t="str">
        <f>Roster!$D$2</f>
        <v>Northeast</v>
      </c>
      <c r="BG306" s="8" t="str">
        <f>Roster!$D$4</f>
        <v>North</v>
      </c>
      <c r="BH306" s="197">
        <f ca="1">IFERROR(VLOOKUP(CONCATENATE(PlayerGameData[[#This Row],[Opponent]]," ",MONTH(PlayerGameData[[#This Row],[Date]]),"/",DAY(PlayerGameData[[#This Row],[Date]]),"/",YEAR(PlayerGameData[[#This Row],[Date]])),Table35[],2,FALSE),0)</f>
        <v>1</v>
      </c>
      <c r="BI306" s="197">
        <f ca="1">IF(PlayerGameData[[#This Row],[Visible]]=1,1,1000)</f>
        <v>1</v>
      </c>
      <c r="BJ306" s="197" t="e">
        <f ca="1">_xlfn.MAXIFS(TeamGameData[Win],TeamGameData[School, Opponent,Game'#],PlayerGameData[[#This Row],[School, Opponent,Game'#]])</f>
        <v>#NAME?</v>
      </c>
      <c r="BK306" s="197" t="e">
        <f ca="1">_xlfn.MAXIFS(TeamGameData[Loss],TeamGameData[School, Opponent,Game'#],PlayerGameData[[#This Row],[School, Opponent,Game'#]])</f>
        <v>#NAME?</v>
      </c>
    </row>
    <row r="307" spans="1:63" x14ac:dyDescent="0.25">
      <c r="A307" s="8" t="str">
        <f t="shared" ca="1" si="153"/>
        <v>Ryan Baker, 35</v>
      </c>
      <c r="B307" s="8" t="str">
        <f>Roster!$B$1</f>
        <v>Upton</v>
      </c>
      <c r="C307" s="8" t="str">
        <f t="shared" ca="1" si="141"/>
        <v>Hulett</v>
      </c>
      <c r="D307" s="10">
        <f t="shared" ca="1" si="142"/>
        <v>44953</v>
      </c>
      <c r="E307" s="8">
        <f t="shared" ca="1" si="143"/>
        <v>1</v>
      </c>
      <c r="F307" s="8">
        <f t="shared" ca="1" si="144"/>
        <v>0</v>
      </c>
      <c r="G307" s="8">
        <f t="shared" ca="1" si="145"/>
        <v>15</v>
      </c>
      <c r="H307" s="8">
        <f t="shared" ca="1" si="146"/>
        <v>0</v>
      </c>
      <c r="I307" s="8">
        <f t="shared" ca="1" si="147"/>
        <v>2</v>
      </c>
      <c r="J307" s="8">
        <f t="shared" ca="1" si="148"/>
        <v>1</v>
      </c>
      <c r="K307" s="8">
        <f t="shared" ca="1" si="149"/>
        <v>3</v>
      </c>
      <c r="L307" s="8">
        <f t="shared" ca="1" si="154"/>
        <v>0</v>
      </c>
      <c r="M307" s="8">
        <f t="shared" ca="1" si="155"/>
        <v>0</v>
      </c>
      <c r="N307" s="8">
        <f t="shared" ca="1" si="156"/>
        <v>3</v>
      </c>
      <c r="O307" s="8">
        <f t="shared" ca="1" si="157"/>
        <v>1</v>
      </c>
      <c r="P307" s="8">
        <f t="shared" ca="1" si="158"/>
        <v>3</v>
      </c>
      <c r="Q307" s="8">
        <f t="shared" ca="1" si="159"/>
        <v>1</v>
      </c>
      <c r="R307" s="8">
        <f t="shared" ca="1" si="160"/>
        <v>0</v>
      </c>
      <c r="S307" s="8">
        <f t="shared" ca="1" si="161"/>
        <v>2</v>
      </c>
      <c r="T307" s="8">
        <f t="shared" ca="1" si="162"/>
        <v>2</v>
      </c>
      <c r="U307" s="8">
        <f t="shared" ca="1" si="163"/>
        <v>0</v>
      </c>
      <c r="V307" s="8">
        <f t="shared" ca="1" si="164"/>
        <v>2</v>
      </c>
      <c r="W307" s="11">
        <f t="shared" ca="1" si="165"/>
        <v>0</v>
      </c>
      <c r="X307" s="11">
        <f t="shared" ca="1" si="166"/>
        <v>0.33333333333333331</v>
      </c>
      <c r="Y307" s="11" t="str">
        <f t="shared" ca="1" si="167"/>
        <v/>
      </c>
      <c r="Z307" s="11">
        <f t="shared" ca="1" si="168"/>
        <v>0.2</v>
      </c>
      <c r="AA307" s="11">
        <f t="shared" ca="1" si="169"/>
        <v>0.2</v>
      </c>
      <c r="AB307" s="47">
        <f ca="1">PlayerGameData[[#This Row],[3FGA]]+PlayerGameData[[#This Row],[2FGA]]</f>
        <v>5</v>
      </c>
      <c r="AC307" s="47">
        <f ca="1">PlayerGameData[[#This Row],[OFF REB]]+PlayerGameData[[#This Row],[DEF REB]]</f>
        <v>4</v>
      </c>
      <c r="AD307" s="8">
        <f t="shared" si="150"/>
        <v>13</v>
      </c>
      <c r="AE307" s="8" t="str">
        <f t="shared" ca="1" si="151"/>
        <v>Ryan Baker, 35 - Hulett 1/27/2023</v>
      </c>
      <c r="AF307" s="8" t="str">
        <f t="shared" ca="1" si="170"/>
        <v>R</v>
      </c>
      <c r="AG307" s="8" t="str">
        <f ca="1">IFERROR(IF(C307=0,"",IF(AND(VLOOKUP(PlayerGameData[[#This Row],[Opponent]],WYTeamInfo,2,FALSE)=Roster!$D$1,VLOOKUP(PlayerGameData[[#This Row],[Opponent]],WYTeamInfo,3,FALSE)=Roster!$D$2),"SR","")),"")</f>
        <v>SR</v>
      </c>
      <c r="AH307" s="8" t="str">
        <f>CONCATENATE(Roster!$D$1," ",Roster!$D$5)</f>
        <v>1A BB</v>
      </c>
      <c r="AI307" s="8" t="str">
        <f t="shared" ca="1" si="152"/>
        <v>Upton - Hulett 1/27/2023</v>
      </c>
      <c r="AJ307" s="8">
        <f ca="1">IFERROR(VLOOKUP(PlayerGameData[[#This Row],[School, Opponent,Game'#]],Table3[],2,FALSE),0)</f>
        <v>1</v>
      </c>
      <c r="AK307" s="8">
        <f ca="1">IF(PlayerGameData[[#This Row],[Visible]]=1,1,1000)</f>
        <v>1</v>
      </c>
      <c r="AL307" s="8">
        <f ca="1">RANK(PlayerGameData[[#This Row],[TL PTS]],PlayerGameData[TL PTS],0)+PlayerGameData[[#This Row],[VisibleOrder]]</f>
        <v>152</v>
      </c>
      <c r="AM307" s="8">
        <f ca="1">IF(COUNTIF(PlayerGameData[PointOrder],PlayerGameData[[#This Row],[PointOrder]])&gt;1,RANK(PlayerGameData[[#This Row],[FGA]],PlayerGameData[FGA],0)/100,0)+PlayerGameData[[#This Row],[PointOrder]]</f>
        <v>153.19</v>
      </c>
      <c r="AN307" s="8">
        <f ca="1">RANK(PlayerGameData[[#This Row],[PointTieBreak]],PlayerGameData[PointTieBreak],1)</f>
        <v>156</v>
      </c>
      <c r="AO307" s="8">
        <f ca="1">RANK(PlayerGameData[[#This Row],[REB]],PlayerGameData[REB],0)+PlayerGameData[[#This Row],[VisibleOrder]]</f>
        <v>79</v>
      </c>
      <c r="AP307" s="8">
        <f ca="1">IF(COUNTIF(PlayerGameData[REBOrder],PlayerGameData[[#This Row],[REBOrder]])&gt;1,PlayerGameData[[#This Row],[PointRank]]/100+PlayerGameData[[#This Row],[REBOrder]],PlayerGameData[[#This Row],[REBOrder]])</f>
        <v>80.56</v>
      </c>
      <c r="AQ307" s="8">
        <f ca="1">RANK(PlayerGameData[[#This Row],[REBTieBreak]],PlayerGameData[REBTieBreak],1)</f>
        <v>105</v>
      </c>
      <c r="AR307" s="8">
        <f ca="1">RANK(PlayerGameData[[#This Row],[AST]],PlayerGameData[AST],0)+PlayerGameData[[#This Row],[VisibleOrder]]</f>
        <v>39</v>
      </c>
      <c r="AS307" s="8">
        <f ca="1">IF(COUNTIF(PlayerGameData[ASTOrder],PlayerGameData[[#This Row],[ASTOrder]])&gt;1,PlayerGameData[[#This Row],[PointRank]]/100+PlayerGameData[[#This Row],[ASTOrder]],PlayerGameData[[#This Row],[ASTOrder]])</f>
        <v>40.56</v>
      </c>
      <c r="AT307" s="8">
        <f ca="1">RANK(PlayerGameData[[#This Row],[ASTTieBreak]],PlayerGameData[ASTTieBreak],1)</f>
        <v>66</v>
      </c>
      <c r="AU307" s="8">
        <f ca="1">RANK(PlayerGameData[[#This Row],[STL]],PlayerGameData[STL],0)+PlayerGameData[[#This Row],[VisibleOrder]]</f>
        <v>84</v>
      </c>
      <c r="AV307" s="8">
        <f ca="1">IF(COUNTIF(PlayerGameData[STLOrder],PlayerGameData[[#This Row],[STLOrder]])&gt;1,PlayerGameData[[#This Row],[PointRank]]/100+PlayerGameData[[#This Row],[STLOrder]],PlayerGameData[[#This Row],[STLOrder]])</f>
        <v>85.56</v>
      </c>
      <c r="AW307" s="8">
        <f ca="1">RANK(PlayerGameData[[#This Row],[STLTieBreak]],PlayerGameData[STLTieBreak],1)</f>
        <v>126</v>
      </c>
      <c r="AX307" s="8">
        <f ca="1">RANK(PlayerGameData[[#This Row],[BLK]],PlayerGameData[BLK],0)+PlayerGameData[[#This Row],[VisibleOrder]]</f>
        <v>32</v>
      </c>
      <c r="AY307" s="8">
        <f ca="1">IF(COUNTIF(PlayerGameData[BLKOrder],PlayerGameData[[#This Row],[BLKOrder]])&gt;1,PlayerGameData[[#This Row],[PointRank]]/100+PlayerGameData[[#This Row],[BLKOrder]],PlayerGameData[[#This Row],[BLKOrder]])</f>
        <v>33.56</v>
      </c>
      <c r="AZ307" s="8">
        <f ca="1">RANK(PlayerGameData[[#This Row],[BLKTieBreak]],PlayerGameData[BLKTieBreak],1)</f>
        <v>158</v>
      </c>
      <c r="BA307" s="11">
        <f ca="1">IFERROR(IF(PlayerGameData[[#This Row],[FGA]]&gt;$AA$5,PlayerGameData[[#This Row],[FG%*]],PlayerGameData[[#This Row],[FG%*]]*-1),-2)</f>
        <v>-0.2</v>
      </c>
      <c r="BB307" s="8">
        <f ca="1">RANK(PlayerGameData[[#This Row],[EligFG]],PlayerGameData[EligFG],0)+PlayerGameData[[#This Row],[VisibleOrder]]</f>
        <v>159</v>
      </c>
      <c r="BC307" s="8">
        <f ca="1">IF(COUNTIF(PlayerGameData[EligFGOrder],PlayerGameData[[#This Row],[EligFGOrder]])&gt;1,PlayerGameData[[#This Row],[PointRank]]/100+PlayerGameData[[#This Row],[EligFGOrder]],PlayerGameData[[#This Row],[EligFGOrder]])</f>
        <v>159</v>
      </c>
      <c r="BD307" s="8">
        <f ca="1">RANK(PlayerGameData[[#This Row],[EligFGTieBreak]],PlayerGameData[EligFGTieBreak],1)</f>
        <v>158</v>
      </c>
      <c r="BE307" s="8" t="str">
        <f>Roster!$D$3</f>
        <v>East</v>
      </c>
      <c r="BF307" s="8" t="str">
        <f>Roster!$D$2</f>
        <v>Northeast</v>
      </c>
      <c r="BG307" s="8" t="str">
        <f>Roster!$D$4</f>
        <v>North</v>
      </c>
      <c r="BH307" s="197">
        <f ca="1">IFERROR(VLOOKUP(CONCATENATE(PlayerGameData[[#This Row],[Opponent]]," ",MONTH(PlayerGameData[[#This Row],[Date]]),"/",DAY(PlayerGameData[[#This Row],[Date]]),"/",YEAR(PlayerGameData[[#This Row],[Date]])),Table35[],2,FALSE),0)</f>
        <v>1</v>
      </c>
      <c r="BI307" s="197">
        <f ca="1">IF(PlayerGameData[[#This Row],[Visible]]=1,1,1000)</f>
        <v>1</v>
      </c>
      <c r="BJ307" s="197" t="e">
        <f ca="1">_xlfn.MAXIFS(TeamGameData[Win],TeamGameData[School, Opponent,Game'#],PlayerGameData[[#This Row],[School, Opponent,Game'#]])</f>
        <v>#NAME?</v>
      </c>
      <c r="BK307" s="197" t="e">
        <f ca="1">_xlfn.MAXIFS(TeamGameData[Loss],TeamGameData[School, Opponent,Game'#],PlayerGameData[[#This Row],[School, Opponent,Game'#]])</f>
        <v>#NAME?</v>
      </c>
    </row>
    <row r="308" spans="1:63" x14ac:dyDescent="0.25">
      <c r="A308" s="8" t="str">
        <f t="shared" ca="1" si="153"/>
        <v xml:space="preserve">, </v>
      </c>
      <c r="B308" s="8" t="str">
        <f>Roster!$B$1</f>
        <v>Upton</v>
      </c>
      <c r="C308" s="8" t="str">
        <f t="shared" ca="1" si="141"/>
        <v>Hulett</v>
      </c>
      <c r="D308" s="10">
        <f t="shared" ca="1" si="142"/>
        <v>44953</v>
      </c>
      <c r="E308" s="8">
        <f t="shared" ca="1" si="143"/>
        <v>0</v>
      </c>
      <c r="F308" s="8">
        <f t="shared" ca="1" si="144"/>
        <v>0</v>
      </c>
      <c r="G308" s="8">
        <f t="shared" ca="1" si="145"/>
        <v>0</v>
      </c>
      <c r="H308" s="8">
        <f t="shared" ca="1" si="146"/>
        <v>0</v>
      </c>
      <c r="I308" s="8">
        <f t="shared" ca="1" si="147"/>
        <v>0</v>
      </c>
      <c r="J308" s="8">
        <f t="shared" ca="1" si="148"/>
        <v>0</v>
      </c>
      <c r="K308" s="8">
        <f t="shared" ca="1" si="149"/>
        <v>0</v>
      </c>
      <c r="L308" s="8">
        <f t="shared" ca="1" si="154"/>
        <v>0</v>
      </c>
      <c r="M308" s="8">
        <f t="shared" ca="1" si="155"/>
        <v>0</v>
      </c>
      <c r="N308" s="8">
        <f t="shared" ca="1" si="156"/>
        <v>0</v>
      </c>
      <c r="O308" s="8">
        <f t="shared" ca="1" si="157"/>
        <v>0</v>
      </c>
      <c r="P308" s="8">
        <f t="shared" ca="1" si="158"/>
        <v>0</v>
      </c>
      <c r="Q308" s="8">
        <f t="shared" ca="1" si="159"/>
        <v>0</v>
      </c>
      <c r="R308" s="8">
        <f t="shared" ca="1" si="160"/>
        <v>0</v>
      </c>
      <c r="S308" s="8">
        <f t="shared" ca="1" si="161"/>
        <v>0</v>
      </c>
      <c r="T308" s="8">
        <f t="shared" ca="1" si="162"/>
        <v>0</v>
      </c>
      <c r="U308" s="8">
        <f t="shared" ca="1" si="163"/>
        <v>0</v>
      </c>
      <c r="V308" s="8">
        <f t="shared" ca="1" si="164"/>
        <v>0</v>
      </c>
      <c r="W308" s="11" t="str">
        <f t="shared" ca="1" si="165"/>
        <v/>
      </c>
      <c r="X308" s="11" t="str">
        <f t="shared" ca="1" si="166"/>
        <v/>
      </c>
      <c r="Y308" s="11" t="str">
        <f t="shared" ca="1" si="167"/>
        <v/>
      </c>
      <c r="Z308" s="11" t="str">
        <f t="shared" ca="1" si="168"/>
        <v/>
      </c>
      <c r="AA308" s="11" t="str">
        <f t="shared" ca="1" si="169"/>
        <v/>
      </c>
      <c r="AB308" s="47">
        <f ca="1">PlayerGameData[[#This Row],[3FGA]]+PlayerGameData[[#This Row],[2FGA]]</f>
        <v>0</v>
      </c>
      <c r="AC308" s="47">
        <f ca="1">PlayerGameData[[#This Row],[OFF REB]]+PlayerGameData[[#This Row],[DEF REB]]</f>
        <v>0</v>
      </c>
      <c r="AD308" s="8">
        <f t="shared" si="150"/>
        <v>13</v>
      </c>
      <c r="AE308" s="8" t="str">
        <f t="shared" ca="1" si="151"/>
        <v>,  - Hulett 1/27/2023</v>
      </c>
      <c r="AF308" s="8" t="str">
        <f t="shared" ca="1" si="170"/>
        <v>R</v>
      </c>
      <c r="AG308" s="8" t="str">
        <f ca="1">IFERROR(IF(C308=0,"",IF(AND(VLOOKUP(PlayerGameData[[#This Row],[Opponent]],WYTeamInfo,2,FALSE)=Roster!$D$1,VLOOKUP(PlayerGameData[[#This Row],[Opponent]],WYTeamInfo,3,FALSE)=Roster!$D$2),"SR","")),"")</f>
        <v>SR</v>
      </c>
      <c r="AH308" s="8" t="str">
        <f>CONCATENATE(Roster!$D$1," ",Roster!$D$5)</f>
        <v>1A BB</v>
      </c>
      <c r="AI308" s="8" t="str">
        <f t="shared" ca="1" si="152"/>
        <v>Upton - Hulett 1/27/2023</v>
      </c>
      <c r="AJ308" s="8">
        <f ca="1">IFERROR(VLOOKUP(PlayerGameData[[#This Row],[School, Opponent,Game'#]],Table3[],2,FALSE),0)</f>
        <v>1</v>
      </c>
      <c r="AK308" s="8">
        <f ca="1">IF(PlayerGameData[[#This Row],[Visible]]=1,1,1000)</f>
        <v>1</v>
      </c>
      <c r="AL308" s="8">
        <f ca="1">RANK(PlayerGameData[[#This Row],[TL PTS]],PlayerGameData[TL PTS],0)+PlayerGameData[[#This Row],[VisibleOrder]]</f>
        <v>185</v>
      </c>
      <c r="AM308" s="8">
        <f ca="1">IF(COUNTIF(PlayerGameData[PointOrder],PlayerGameData[[#This Row],[PointOrder]])&gt;1,RANK(PlayerGameData[[#This Row],[FGA]],PlayerGameData[FGA],0)/100,0)+PlayerGameData[[#This Row],[PointOrder]]</f>
        <v>187.14</v>
      </c>
      <c r="AN308" s="8">
        <f ca="1">RANK(PlayerGameData[[#This Row],[PointTieBreak]],PlayerGameData[PointTieBreak],1)</f>
        <v>216</v>
      </c>
      <c r="AO308" s="8">
        <f ca="1">RANK(PlayerGameData[[#This Row],[REB]],PlayerGameData[REB],0)+PlayerGameData[[#This Row],[VisibleOrder]]</f>
        <v>192</v>
      </c>
      <c r="AP308" s="8">
        <f ca="1">IF(COUNTIF(PlayerGameData[REBOrder],PlayerGameData[[#This Row],[REBOrder]])&gt;1,PlayerGameData[[#This Row],[PointRank]]/100+PlayerGameData[[#This Row],[REBOrder]],PlayerGameData[[#This Row],[REBOrder]])</f>
        <v>194.16</v>
      </c>
      <c r="AQ308" s="8">
        <f ca="1">RANK(PlayerGameData[[#This Row],[REBTieBreak]],PlayerGameData[REBTieBreak],1)</f>
        <v>224</v>
      </c>
      <c r="AR308" s="8">
        <f ca="1">RANK(PlayerGameData[[#This Row],[AST]],PlayerGameData[AST],0)+PlayerGameData[[#This Row],[VisibleOrder]]</f>
        <v>158</v>
      </c>
      <c r="AS308" s="8">
        <f ca="1">IF(COUNTIF(PlayerGameData[ASTOrder],PlayerGameData[[#This Row],[ASTOrder]])&gt;1,PlayerGameData[[#This Row],[PointRank]]/100+PlayerGameData[[#This Row],[ASTOrder]],PlayerGameData[[#This Row],[ASTOrder]])</f>
        <v>160.16</v>
      </c>
      <c r="AT308" s="8">
        <f ca="1">RANK(PlayerGameData[[#This Row],[ASTTieBreak]],PlayerGameData[ASTTieBreak],1)</f>
        <v>221</v>
      </c>
      <c r="AU308" s="8">
        <f ca="1">RANK(PlayerGameData[[#This Row],[STL]],PlayerGameData[STL],0)+PlayerGameData[[#This Row],[VisibleOrder]]</f>
        <v>143</v>
      </c>
      <c r="AV308" s="8">
        <f ca="1">IF(COUNTIF(PlayerGameData[STLOrder],PlayerGameData[[#This Row],[STLOrder]])&gt;1,PlayerGameData[[#This Row],[PointRank]]/100+PlayerGameData[[#This Row],[STLOrder]],PlayerGameData[[#This Row],[STLOrder]])</f>
        <v>145.16</v>
      </c>
      <c r="AW308" s="8">
        <f ca="1">RANK(PlayerGameData[[#This Row],[STLTieBreak]],PlayerGameData[STLTieBreak],1)</f>
        <v>217</v>
      </c>
      <c r="AX308" s="8">
        <f ca="1">RANK(PlayerGameData[[#This Row],[BLK]],PlayerGameData[BLK],0)+PlayerGameData[[#This Row],[VisibleOrder]]</f>
        <v>32</v>
      </c>
      <c r="AY308" s="8">
        <f ca="1">IF(COUNTIF(PlayerGameData[BLKOrder],PlayerGameData[[#This Row],[BLKOrder]])&gt;1,PlayerGameData[[#This Row],[PointRank]]/100+PlayerGameData[[#This Row],[BLKOrder]],PlayerGameData[[#This Row],[BLKOrder]])</f>
        <v>34.159999999999997</v>
      </c>
      <c r="AZ308" s="8">
        <f ca="1">RANK(PlayerGameData[[#This Row],[BLKTieBreak]],PlayerGameData[BLKTieBreak],1)</f>
        <v>216</v>
      </c>
      <c r="BA308" s="11">
        <f ca="1">IFERROR(IF(PlayerGameData[[#This Row],[FGA]]&gt;$AA$5,PlayerGameData[[#This Row],[FG%*]],PlayerGameData[[#This Row],[FG%*]]*-1),-2)</f>
        <v>-2</v>
      </c>
      <c r="BB308" s="8">
        <f ca="1">RANK(PlayerGameData[[#This Row],[EligFG]],PlayerGameData[EligFG],0)+PlayerGameData[[#This Row],[VisibleOrder]]</f>
        <v>215</v>
      </c>
      <c r="BC308" s="8">
        <f ca="1">IF(COUNTIF(PlayerGameData[EligFGOrder],PlayerGameData[[#This Row],[EligFGOrder]])&gt;1,PlayerGameData[[#This Row],[PointRank]]/100+PlayerGameData[[#This Row],[EligFGOrder]],PlayerGameData[[#This Row],[EligFGOrder]])</f>
        <v>217.16</v>
      </c>
      <c r="BD308" s="8">
        <f ca="1">RANK(PlayerGameData[[#This Row],[EligFGTieBreak]],PlayerGameData[EligFGTieBreak],1)</f>
        <v>216</v>
      </c>
      <c r="BE308" s="8" t="str">
        <f>Roster!$D$3</f>
        <v>East</v>
      </c>
      <c r="BF308" s="8" t="str">
        <f>Roster!$D$2</f>
        <v>Northeast</v>
      </c>
      <c r="BG308" s="8" t="str">
        <f>Roster!$D$4</f>
        <v>North</v>
      </c>
      <c r="BH308" s="197">
        <f ca="1">IFERROR(VLOOKUP(CONCATENATE(PlayerGameData[[#This Row],[Opponent]]," ",MONTH(PlayerGameData[[#This Row],[Date]]),"/",DAY(PlayerGameData[[#This Row],[Date]]),"/",YEAR(PlayerGameData[[#This Row],[Date]])),Table35[],2,FALSE),0)</f>
        <v>1</v>
      </c>
      <c r="BI308" s="197">
        <f ca="1">IF(PlayerGameData[[#This Row],[Visible]]=1,1,1000)</f>
        <v>1</v>
      </c>
      <c r="BJ308" s="197" t="e">
        <f ca="1">_xlfn.MAXIFS(TeamGameData[Win],TeamGameData[School, Opponent,Game'#],PlayerGameData[[#This Row],[School, Opponent,Game'#]])</f>
        <v>#NAME?</v>
      </c>
      <c r="BK308" s="197" t="e">
        <f ca="1">_xlfn.MAXIFS(TeamGameData[Loss],TeamGameData[School, Opponent,Game'#],PlayerGameData[[#This Row],[School, Opponent,Game'#]])</f>
        <v>#NAME?</v>
      </c>
    </row>
    <row r="309" spans="1:63" x14ac:dyDescent="0.25">
      <c r="A309" s="8" t="str">
        <f t="shared" ca="1" si="153"/>
        <v xml:space="preserve">, </v>
      </c>
      <c r="B309" s="8" t="str">
        <f>Roster!$B$1</f>
        <v>Upton</v>
      </c>
      <c r="C309" s="8" t="str">
        <f t="shared" ca="1" si="141"/>
        <v>Hulett</v>
      </c>
      <c r="D309" s="10">
        <f t="shared" ca="1" si="142"/>
        <v>44953</v>
      </c>
      <c r="E309" s="8">
        <f t="shared" ca="1" si="143"/>
        <v>0</v>
      </c>
      <c r="F309" s="8">
        <f t="shared" ca="1" si="144"/>
        <v>0</v>
      </c>
      <c r="G309" s="8">
        <f t="shared" ca="1" si="145"/>
        <v>0</v>
      </c>
      <c r="H309" s="8">
        <f t="shared" ca="1" si="146"/>
        <v>0</v>
      </c>
      <c r="I309" s="8">
        <f t="shared" ca="1" si="147"/>
        <v>0</v>
      </c>
      <c r="J309" s="8">
        <f t="shared" ca="1" si="148"/>
        <v>0</v>
      </c>
      <c r="K309" s="8">
        <f t="shared" ca="1" si="149"/>
        <v>0</v>
      </c>
      <c r="L309" s="8">
        <f t="shared" ca="1" si="154"/>
        <v>0</v>
      </c>
      <c r="M309" s="8">
        <f t="shared" ca="1" si="155"/>
        <v>0</v>
      </c>
      <c r="N309" s="8">
        <f t="shared" ca="1" si="156"/>
        <v>0</v>
      </c>
      <c r="O309" s="8">
        <f t="shared" ca="1" si="157"/>
        <v>0</v>
      </c>
      <c r="P309" s="8">
        <f t="shared" ca="1" si="158"/>
        <v>0</v>
      </c>
      <c r="Q309" s="8">
        <f t="shared" ca="1" si="159"/>
        <v>0</v>
      </c>
      <c r="R309" s="8">
        <f t="shared" ca="1" si="160"/>
        <v>0</v>
      </c>
      <c r="S309" s="8">
        <f t="shared" ca="1" si="161"/>
        <v>0</v>
      </c>
      <c r="T309" s="8">
        <f t="shared" ca="1" si="162"/>
        <v>0</v>
      </c>
      <c r="U309" s="8">
        <f t="shared" ca="1" si="163"/>
        <v>0</v>
      </c>
      <c r="V309" s="8">
        <f t="shared" ca="1" si="164"/>
        <v>0</v>
      </c>
      <c r="W309" s="11" t="str">
        <f t="shared" ca="1" si="165"/>
        <v/>
      </c>
      <c r="X309" s="11" t="str">
        <f t="shared" ca="1" si="166"/>
        <v/>
      </c>
      <c r="Y309" s="11" t="str">
        <f t="shared" ca="1" si="167"/>
        <v/>
      </c>
      <c r="Z309" s="11" t="str">
        <f t="shared" ca="1" si="168"/>
        <v/>
      </c>
      <c r="AA309" s="11" t="str">
        <f t="shared" ca="1" si="169"/>
        <v/>
      </c>
      <c r="AB309" s="47">
        <f ca="1">PlayerGameData[[#This Row],[3FGA]]+PlayerGameData[[#This Row],[2FGA]]</f>
        <v>0</v>
      </c>
      <c r="AC309" s="47">
        <f ca="1">PlayerGameData[[#This Row],[OFF REB]]+PlayerGameData[[#This Row],[DEF REB]]</f>
        <v>0</v>
      </c>
      <c r="AD309" s="8">
        <f t="shared" si="150"/>
        <v>13</v>
      </c>
      <c r="AE309" s="8" t="str">
        <f t="shared" ca="1" si="151"/>
        <v>,  - Hulett 1/27/2023</v>
      </c>
      <c r="AF309" s="8" t="str">
        <f t="shared" ca="1" si="170"/>
        <v>R</v>
      </c>
      <c r="AG309" s="8" t="str">
        <f ca="1">IFERROR(IF(C309=0,"",IF(AND(VLOOKUP(PlayerGameData[[#This Row],[Opponent]],WYTeamInfo,2,FALSE)=Roster!$D$1,VLOOKUP(PlayerGameData[[#This Row],[Opponent]],WYTeamInfo,3,FALSE)=Roster!$D$2),"SR","")),"")</f>
        <v>SR</v>
      </c>
      <c r="AH309" s="8" t="str">
        <f>CONCATENATE(Roster!$D$1," ",Roster!$D$5)</f>
        <v>1A BB</v>
      </c>
      <c r="AI309" s="8" t="str">
        <f t="shared" ca="1" si="152"/>
        <v>Upton - Hulett 1/27/2023</v>
      </c>
      <c r="AJ309" s="8">
        <f ca="1">IFERROR(VLOOKUP(PlayerGameData[[#This Row],[School, Opponent,Game'#]],Table3[],2,FALSE),0)</f>
        <v>1</v>
      </c>
      <c r="AK309" s="8">
        <f ca="1">IF(PlayerGameData[[#This Row],[Visible]]=1,1,1000)</f>
        <v>1</v>
      </c>
      <c r="AL309" s="8">
        <f ca="1">RANK(PlayerGameData[[#This Row],[TL PTS]],PlayerGameData[TL PTS],0)+PlayerGameData[[#This Row],[VisibleOrder]]</f>
        <v>185</v>
      </c>
      <c r="AM309" s="8">
        <f ca="1">IF(COUNTIF(PlayerGameData[PointOrder],PlayerGameData[[#This Row],[PointOrder]])&gt;1,RANK(PlayerGameData[[#This Row],[FGA]],PlayerGameData[FGA],0)/100,0)+PlayerGameData[[#This Row],[PointOrder]]</f>
        <v>187.14</v>
      </c>
      <c r="AN309" s="8">
        <f ca="1">RANK(PlayerGameData[[#This Row],[PointTieBreak]],PlayerGameData[PointTieBreak],1)</f>
        <v>216</v>
      </c>
      <c r="AO309" s="8">
        <f ca="1">RANK(PlayerGameData[[#This Row],[REB]],PlayerGameData[REB],0)+PlayerGameData[[#This Row],[VisibleOrder]]</f>
        <v>192</v>
      </c>
      <c r="AP309" s="8">
        <f ca="1">IF(COUNTIF(PlayerGameData[REBOrder],PlayerGameData[[#This Row],[REBOrder]])&gt;1,PlayerGameData[[#This Row],[PointRank]]/100+PlayerGameData[[#This Row],[REBOrder]],PlayerGameData[[#This Row],[REBOrder]])</f>
        <v>194.16</v>
      </c>
      <c r="AQ309" s="8">
        <f ca="1">RANK(PlayerGameData[[#This Row],[REBTieBreak]],PlayerGameData[REBTieBreak],1)</f>
        <v>224</v>
      </c>
      <c r="AR309" s="8">
        <f ca="1">RANK(PlayerGameData[[#This Row],[AST]],PlayerGameData[AST],0)+PlayerGameData[[#This Row],[VisibleOrder]]</f>
        <v>158</v>
      </c>
      <c r="AS309" s="8">
        <f ca="1">IF(COUNTIF(PlayerGameData[ASTOrder],PlayerGameData[[#This Row],[ASTOrder]])&gt;1,PlayerGameData[[#This Row],[PointRank]]/100+PlayerGameData[[#This Row],[ASTOrder]],PlayerGameData[[#This Row],[ASTOrder]])</f>
        <v>160.16</v>
      </c>
      <c r="AT309" s="8">
        <f ca="1">RANK(PlayerGameData[[#This Row],[ASTTieBreak]],PlayerGameData[ASTTieBreak],1)</f>
        <v>221</v>
      </c>
      <c r="AU309" s="8">
        <f ca="1">RANK(PlayerGameData[[#This Row],[STL]],PlayerGameData[STL],0)+PlayerGameData[[#This Row],[VisibleOrder]]</f>
        <v>143</v>
      </c>
      <c r="AV309" s="8">
        <f ca="1">IF(COUNTIF(PlayerGameData[STLOrder],PlayerGameData[[#This Row],[STLOrder]])&gt;1,PlayerGameData[[#This Row],[PointRank]]/100+PlayerGameData[[#This Row],[STLOrder]],PlayerGameData[[#This Row],[STLOrder]])</f>
        <v>145.16</v>
      </c>
      <c r="AW309" s="8">
        <f ca="1">RANK(PlayerGameData[[#This Row],[STLTieBreak]],PlayerGameData[STLTieBreak],1)</f>
        <v>217</v>
      </c>
      <c r="AX309" s="8">
        <f ca="1">RANK(PlayerGameData[[#This Row],[BLK]],PlayerGameData[BLK],0)+PlayerGameData[[#This Row],[VisibleOrder]]</f>
        <v>32</v>
      </c>
      <c r="AY309" s="8">
        <f ca="1">IF(COUNTIF(PlayerGameData[BLKOrder],PlayerGameData[[#This Row],[BLKOrder]])&gt;1,PlayerGameData[[#This Row],[PointRank]]/100+PlayerGameData[[#This Row],[BLKOrder]],PlayerGameData[[#This Row],[BLKOrder]])</f>
        <v>34.159999999999997</v>
      </c>
      <c r="AZ309" s="8">
        <f ca="1">RANK(PlayerGameData[[#This Row],[BLKTieBreak]],PlayerGameData[BLKTieBreak],1)</f>
        <v>216</v>
      </c>
      <c r="BA309" s="11">
        <f ca="1">IFERROR(IF(PlayerGameData[[#This Row],[FGA]]&gt;$AA$5,PlayerGameData[[#This Row],[FG%*]],PlayerGameData[[#This Row],[FG%*]]*-1),-2)</f>
        <v>-2</v>
      </c>
      <c r="BB309" s="8">
        <f ca="1">RANK(PlayerGameData[[#This Row],[EligFG]],PlayerGameData[EligFG],0)+PlayerGameData[[#This Row],[VisibleOrder]]</f>
        <v>215</v>
      </c>
      <c r="BC309" s="8">
        <f ca="1">IF(COUNTIF(PlayerGameData[EligFGOrder],PlayerGameData[[#This Row],[EligFGOrder]])&gt;1,PlayerGameData[[#This Row],[PointRank]]/100+PlayerGameData[[#This Row],[EligFGOrder]],PlayerGameData[[#This Row],[EligFGOrder]])</f>
        <v>217.16</v>
      </c>
      <c r="BD309" s="8">
        <f ca="1">RANK(PlayerGameData[[#This Row],[EligFGTieBreak]],PlayerGameData[EligFGTieBreak],1)</f>
        <v>216</v>
      </c>
      <c r="BE309" s="8" t="str">
        <f>Roster!$D$3</f>
        <v>East</v>
      </c>
      <c r="BF309" s="8" t="str">
        <f>Roster!$D$2</f>
        <v>Northeast</v>
      </c>
      <c r="BG309" s="8" t="str">
        <f>Roster!$D$4</f>
        <v>North</v>
      </c>
      <c r="BH309" s="197">
        <f ca="1">IFERROR(VLOOKUP(CONCATENATE(PlayerGameData[[#This Row],[Opponent]]," ",MONTH(PlayerGameData[[#This Row],[Date]]),"/",DAY(PlayerGameData[[#This Row],[Date]]),"/",YEAR(PlayerGameData[[#This Row],[Date]])),Table35[],2,FALSE),0)</f>
        <v>1</v>
      </c>
      <c r="BI309" s="197">
        <f ca="1">IF(PlayerGameData[[#This Row],[Visible]]=1,1,1000)</f>
        <v>1</v>
      </c>
      <c r="BJ309" s="197" t="e">
        <f ca="1">_xlfn.MAXIFS(TeamGameData[Win],TeamGameData[School, Opponent,Game'#],PlayerGameData[[#This Row],[School, Opponent,Game'#]])</f>
        <v>#NAME?</v>
      </c>
      <c r="BK309" s="197" t="e">
        <f ca="1">_xlfn.MAXIFS(TeamGameData[Loss],TeamGameData[School, Opponent,Game'#],PlayerGameData[[#This Row],[School, Opponent,Game'#]])</f>
        <v>#NAME?</v>
      </c>
    </row>
    <row r="310" spans="1:63" x14ac:dyDescent="0.25">
      <c r="A310" s="8" t="str">
        <f t="shared" ca="1" si="153"/>
        <v xml:space="preserve">, </v>
      </c>
      <c r="B310" s="8" t="str">
        <f>Roster!$B$1</f>
        <v>Upton</v>
      </c>
      <c r="C310" s="8" t="str">
        <f t="shared" ca="1" si="141"/>
        <v>Hulett</v>
      </c>
      <c r="D310" s="10">
        <f t="shared" ca="1" si="142"/>
        <v>44953</v>
      </c>
      <c r="E310" s="8">
        <f t="shared" ca="1" si="143"/>
        <v>0</v>
      </c>
      <c r="F310" s="8">
        <f t="shared" ca="1" si="144"/>
        <v>0</v>
      </c>
      <c r="G310" s="8">
        <f t="shared" ca="1" si="145"/>
        <v>0</v>
      </c>
      <c r="H310" s="8">
        <f t="shared" ca="1" si="146"/>
        <v>0</v>
      </c>
      <c r="I310" s="8">
        <f t="shared" ca="1" si="147"/>
        <v>0</v>
      </c>
      <c r="J310" s="8">
        <f t="shared" ca="1" si="148"/>
        <v>0</v>
      </c>
      <c r="K310" s="8">
        <f t="shared" ca="1" si="149"/>
        <v>0</v>
      </c>
      <c r="L310" s="8">
        <f t="shared" ca="1" si="154"/>
        <v>0</v>
      </c>
      <c r="M310" s="8">
        <f t="shared" ca="1" si="155"/>
        <v>0</v>
      </c>
      <c r="N310" s="8">
        <f t="shared" ca="1" si="156"/>
        <v>0</v>
      </c>
      <c r="O310" s="8">
        <f t="shared" ca="1" si="157"/>
        <v>0</v>
      </c>
      <c r="P310" s="8">
        <f t="shared" ca="1" si="158"/>
        <v>0</v>
      </c>
      <c r="Q310" s="8">
        <f t="shared" ca="1" si="159"/>
        <v>0</v>
      </c>
      <c r="R310" s="8">
        <f t="shared" ca="1" si="160"/>
        <v>0</v>
      </c>
      <c r="S310" s="8">
        <f t="shared" ca="1" si="161"/>
        <v>0</v>
      </c>
      <c r="T310" s="8">
        <f t="shared" ca="1" si="162"/>
        <v>0</v>
      </c>
      <c r="U310" s="8">
        <f t="shared" ca="1" si="163"/>
        <v>0</v>
      </c>
      <c r="V310" s="8">
        <f t="shared" ca="1" si="164"/>
        <v>0</v>
      </c>
      <c r="W310" s="11" t="str">
        <f t="shared" ca="1" si="165"/>
        <v/>
      </c>
      <c r="X310" s="11" t="str">
        <f t="shared" ca="1" si="166"/>
        <v/>
      </c>
      <c r="Y310" s="11" t="str">
        <f t="shared" ca="1" si="167"/>
        <v/>
      </c>
      <c r="Z310" s="11" t="str">
        <f t="shared" ca="1" si="168"/>
        <v/>
      </c>
      <c r="AA310" s="11" t="str">
        <f t="shared" ca="1" si="169"/>
        <v/>
      </c>
      <c r="AB310" s="47">
        <f ca="1">PlayerGameData[[#This Row],[3FGA]]+PlayerGameData[[#This Row],[2FGA]]</f>
        <v>0</v>
      </c>
      <c r="AC310" s="47">
        <f ca="1">PlayerGameData[[#This Row],[OFF REB]]+PlayerGameData[[#This Row],[DEF REB]]</f>
        <v>0</v>
      </c>
      <c r="AD310" s="8">
        <f t="shared" si="150"/>
        <v>13</v>
      </c>
      <c r="AE310" s="8" t="str">
        <f t="shared" ca="1" si="151"/>
        <v>,  - Hulett 1/27/2023</v>
      </c>
      <c r="AF310" s="8" t="str">
        <f t="shared" ca="1" si="170"/>
        <v>R</v>
      </c>
      <c r="AG310" s="8" t="str">
        <f ca="1">IFERROR(IF(C310=0,"",IF(AND(VLOOKUP(PlayerGameData[[#This Row],[Opponent]],WYTeamInfo,2,FALSE)=Roster!$D$1,VLOOKUP(PlayerGameData[[#This Row],[Opponent]],WYTeamInfo,3,FALSE)=Roster!$D$2),"SR","")),"")</f>
        <v>SR</v>
      </c>
      <c r="AH310" s="8" t="str">
        <f>CONCATENATE(Roster!$D$1," ",Roster!$D$5)</f>
        <v>1A BB</v>
      </c>
      <c r="AI310" s="8" t="str">
        <f t="shared" ca="1" si="152"/>
        <v>Upton - Hulett 1/27/2023</v>
      </c>
      <c r="AJ310" s="8">
        <f ca="1">IFERROR(VLOOKUP(PlayerGameData[[#This Row],[School, Opponent,Game'#]],Table3[],2,FALSE),0)</f>
        <v>1</v>
      </c>
      <c r="AK310" s="8">
        <f ca="1">IF(PlayerGameData[[#This Row],[Visible]]=1,1,1000)</f>
        <v>1</v>
      </c>
      <c r="AL310" s="8">
        <f ca="1">RANK(PlayerGameData[[#This Row],[TL PTS]],PlayerGameData[TL PTS],0)+PlayerGameData[[#This Row],[VisibleOrder]]</f>
        <v>185</v>
      </c>
      <c r="AM310" s="8">
        <f ca="1">IF(COUNTIF(PlayerGameData[PointOrder],PlayerGameData[[#This Row],[PointOrder]])&gt;1,RANK(PlayerGameData[[#This Row],[FGA]],PlayerGameData[FGA],0)/100,0)+PlayerGameData[[#This Row],[PointOrder]]</f>
        <v>187.14</v>
      </c>
      <c r="AN310" s="8">
        <f ca="1">RANK(PlayerGameData[[#This Row],[PointTieBreak]],PlayerGameData[PointTieBreak],1)</f>
        <v>216</v>
      </c>
      <c r="AO310" s="8">
        <f ca="1">RANK(PlayerGameData[[#This Row],[REB]],PlayerGameData[REB],0)+PlayerGameData[[#This Row],[VisibleOrder]]</f>
        <v>192</v>
      </c>
      <c r="AP310" s="8">
        <f ca="1">IF(COUNTIF(PlayerGameData[REBOrder],PlayerGameData[[#This Row],[REBOrder]])&gt;1,PlayerGameData[[#This Row],[PointRank]]/100+PlayerGameData[[#This Row],[REBOrder]],PlayerGameData[[#This Row],[REBOrder]])</f>
        <v>194.16</v>
      </c>
      <c r="AQ310" s="8">
        <f ca="1">RANK(PlayerGameData[[#This Row],[REBTieBreak]],PlayerGameData[REBTieBreak],1)</f>
        <v>224</v>
      </c>
      <c r="AR310" s="8">
        <f ca="1">RANK(PlayerGameData[[#This Row],[AST]],PlayerGameData[AST],0)+PlayerGameData[[#This Row],[VisibleOrder]]</f>
        <v>158</v>
      </c>
      <c r="AS310" s="8">
        <f ca="1">IF(COUNTIF(PlayerGameData[ASTOrder],PlayerGameData[[#This Row],[ASTOrder]])&gt;1,PlayerGameData[[#This Row],[PointRank]]/100+PlayerGameData[[#This Row],[ASTOrder]],PlayerGameData[[#This Row],[ASTOrder]])</f>
        <v>160.16</v>
      </c>
      <c r="AT310" s="8">
        <f ca="1">RANK(PlayerGameData[[#This Row],[ASTTieBreak]],PlayerGameData[ASTTieBreak],1)</f>
        <v>221</v>
      </c>
      <c r="AU310" s="8">
        <f ca="1">RANK(PlayerGameData[[#This Row],[STL]],PlayerGameData[STL],0)+PlayerGameData[[#This Row],[VisibleOrder]]</f>
        <v>143</v>
      </c>
      <c r="AV310" s="8">
        <f ca="1">IF(COUNTIF(PlayerGameData[STLOrder],PlayerGameData[[#This Row],[STLOrder]])&gt;1,PlayerGameData[[#This Row],[PointRank]]/100+PlayerGameData[[#This Row],[STLOrder]],PlayerGameData[[#This Row],[STLOrder]])</f>
        <v>145.16</v>
      </c>
      <c r="AW310" s="8">
        <f ca="1">RANK(PlayerGameData[[#This Row],[STLTieBreak]],PlayerGameData[STLTieBreak],1)</f>
        <v>217</v>
      </c>
      <c r="AX310" s="8">
        <f ca="1">RANK(PlayerGameData[[#This Row],[BLK]],PlayerGameData[BLK],0)+PlayerGameData[[#This Row],[VisibleOrder]]</f>
        <v>32</v>
      </c>
      <c r="AY310" s="8">
        <f ca="1">IF(COUNTIF(PlayerGameData[BLKOrder],PlayerGameData[[#This Row],[BLKOrder]])&gt;1,PlayerGameData[[#This Row],[PointRank]]/100+PlayerGameData[[#This Row],[BLKOrder]],PlayerGameData[[#This Row],[BLKOrder]])</f>
        <v>34.159999999999997</v>
      </c>
      <c r="AZ310" s="8">
        <f ca="1">RANK(PlayerGameData[[#This Row],[BLKTieBreak]],PlayerGameData[BLKTieBreak],1)</f>
        <v>216</v>
      </c>
      <c r="BA310" s="11">
        <f ca="1">IFERROR(IF(PlayerGameData[[#This Row],[FGA]]&gt;$AA$5,PlayerGameData[[#This Row],[FG%*]],PlayerGameData[[#This Row],[FG%*]]*-1),-2)</f>
        <v>-2</v>
      </c>
      <c r="BB310" s="8">
        <f ca="1">RANK(PlayerGameData[[#This Row],[EligFG]],PlayerGameData[EligFG],0)+PlayerGameData[[#This Row],[VisibleOrder]]</f>
        <v>215</v>
      </c>
      <c r="BC310" s="8">
        <f ca="1">IF(COUNTIF(PlayerGameData[EligFGOrder],PlayerGameData[[#This Row],[EligFGOrder]])&gt;1,PlayerGameData[[#This Row],[PointRank]]/100+PlayerGameData[[#This Row],[EligFGOrder]],PlayerGameData[[#This Row],[EligFGOrder]])</f>
        <v>217.16</v>
      </c>
      <c r="BD310" s="8">
        <f ca="1">RANK(PlayerGameData[[#This Row],[EligFGTieBreak]],PlayerGameData[EligFGTieBreak],1)</f>
        <v>216</v>
      </c>
      <c r="BE310" s="8" t="str">
        <f>Roster!$D$3</f>
        <v>East</v>
      </c>
      <c r="BF310" s="8" t="str">
        <f>Roster!$D$2</f>
        <v>Northeast</v>
      </c>
      <c r="BG310" s="8" t="str">
        <f>Roster!$D$4</f>
        <v>North</v>
      </c>
      <c r="BH310" s="197">
        <f ca="1">IFERROR(VLOOKUP(CONCATENATE(PlayerGameData[[#This Row],[Opponent]]," ",MONTH(PlayerGameData[[#This Row],[Date]]),"/",DAY(PlayerGameData[[#This Row],[Date]]),"/",YEAR(PlayerGameData[[#This Row],[Date]])),Table35[],2,FALSE),0)</f>
        <v>1</v>
      </c>
      <c r="BI310" s="197">
        <f ca="1">IF(PlayerGameData[[#This Row],[Visible]]=1,1,1000)</f>
        <v>1</v>
      </c>
      <c r="BJ310" s="197" t="e">
        <f ca="1">_xlfn.MAXIFS(TeamGameData[Win],TeamGameData[School, Opponent,Game'#],PlayerGameData[[#This Row],[School, Opponent,Game'#]])</f>
        <v>#NAME?</v>
      </c>
      <c r="BK310" s="197" t="e">
        <f ca="1">_xlfn.MAXIFS(TeamGameData[Loss],TeamGameData[School, Opponent,Game'#],PlayerGameData[[#This Row],[School, Opponent,Game'#]])</f>
        <v>#NAME?</v>
      </c>
    </row>
    <row r="311" spans="1:63" x14ac:dyDescent="0.25">
      <c r="A311" s="8" t="str">
        <f t="shared" ca="1" si="153"/>
        <v xml:space="preserve">, </v>
      </c>
      <c r="B311" s="8" t="str">
        <f>Roster!$B$1</f>
        <v>Upton</v>
      </c>
      <c r="C311" s="8" t="str">
        <f t="shared" ca="1" si="141"/>
        <v>Hulett</v>
      </c>
      <c r="D311" s="10">
        <f t="shared" ca="1" si="142"/>
        <v>44953</v>
      </c>
      <c r="E311" s="8">
        <f t="shared" ca="1" si="143"/>
        <v>0</v>
      </c>
      <c r="F311" s="8">
        <f t="shared" ca="1" si="144"/>
        <v>0</v>
      </c>
      <c r="G311" s="8">
        <f t="shared" ca="1" si="145"/>
        <v>0</v>
      </c>
      <c r="H311" s="8">
        <f t="shared" ca="1" si="146"/>
        <v>0</v>
      </c>
      <c r="I311" s="8">
        <f t="shared" ca="1" si="147"/>
        <v>0</v>
      </c>
      <c r="J311" s="8">
        <f t="shared" ca="1" si="148"/>
        <v>0</v>
      </c>
      <c r="K311" s="8">
        <f t="shared" ca="1" si="149"/>
        <v>0</v>
      </c>
      <c r="L311" s="8">
        <f t="shared" ca="1" si="154"/>
        <v>0</v>
      </c>
      <c r="M311" s="8">
        <f t="shared" ca="1" si="155"/>
        <v>0</v>
      </c>
      <c r="N311" s="8">
        <f t="shared" ca="1" si="156"/>
        <v>0</v>
      </c>
      <c r="O311" s="8">
        <f t="shared" ca="1" si="157"/>
        <v>0</v>
      </c>
      <c r="P311" s="8">
        <f t="shared" ca="1" si="158"/>
        <v>0</v>
      </c>
      <c r="Q311" s="8">
        <f t="shared" ca="1" si="159"/>
        <v>0</v>
      </c>
      <c r="R311" s="8">
        <f t="shared" ca="1" si="160"/>
        <v>0</v>
      </c>
      <c r="S311" s="8">
        <f t="shared" ca="1" si="161"/>
        <v>0</v>
      </c>
      <c r="T311" s="8">
        <f t="shared" ca="1" si="162"/>
        <v>0</v>
      </c>
      <c r="U311" s="8">
        <f t="shared" ca="1" si="163"/>
        <v>0</v>
      </c>
      <c r="V311" s="8">
        <f t="shared" ca="1" si="164"/>
        <v>0</v>
      </c>
      <c r="W311" s="11" t="str">
        <f t="shared" ca="1" si="165"/>
        <v/>
      </c>
      <c r="X311" s="11" t="str">
        <f t="shared" ca="1" si="166"/>
        <v/>
      </c>
      <c r="Y311" s="11" t="str">
        <f t="shared" ca="1" si="167"/>
        <v/>
      </c>
      <c r="Z311" s="11" t="str">
        <f t="shared" ca="1" si="168"/>
        <v/>
      </c>
      <c r="AA311" s="11" t="str">
        <f t="shared" ca="1" si="169"/>
        <v/>
      </c>
      <c r="AB311" s="47">
        <f ca="1">PlayerGameData[[#This Row],[3FGA]]+PlayerGameData[[#This Row],[2FGA]]</f>
        <v>0</v>
      </c>
      <c r="AC311" s="47">
        <f ca="1">PlayerGameData[[#This Row],[OFF REB]]+PlayerGameData[[#This Row],[DEF REB]]</f>
        <v>0</v>
      </c>
      <c r="AD311" s="8">
        <f t="shared" si="150"/>
        <v>13</v>
      </c>
      <c r="AE311" s="8" t="str">
        <f t="shared" ca="1" si="151"/>
        <v>,  - Hulett 1/27/2023</v>
      </c>
      <c r="AF311" s="8" t="str">
        <f t="shared" ca="1" si="170"/>
        <v>R</v>
      </c>
      <c r="AG311" s="8" t="str">
        <f ca="1">IFERROR(IF(C311=0,"",IF(AND(VLOOKUP(PlayerGameData[[#This Row],[Opponent]],WYTeamInfo,2,FALSE)=Roster!$D$1,VLOOKUP(PlayerGameData[[#This Row],[Opponent]],WYTeamInfo,3,FALSE)=Roster!$D$2),"SR","")),"")</f>
        <v>SR</v>
      </c>
      <c r="AH311" s="8" t="str">
        <f>CONCATENATE(Roster!$D$1," ",Roster!$D$5)</f>
        <v>1A BB</v>
      </c>
      <c r="AI311" s="8" t="str">
        <f t="shared" ca="1" si="152"/>
        <v>Upton - Hulett 1/27/2023</v>
      </c>
      <c r="AJ311" s="8">
        <f ca="1">IFERROR(VLOOKUP(PlayerGameData[[#This Row],[School, Opponent,Game'#]],Table3[],2,FALSE),0)</f>
        <v>1</v>
      </c>
      <c r="AK311" s="8">
        <f ca="1">IF(PlayerGameData[[#This Row],[Visible]]=1,1,1000)</f>
        <v>1</v>
      </c>
      <c r="AL311" s="8">
        <f ca="1">RANK(PlayerGameData[[#This Row],[TL PTS]],PlayerGameData[TL PTS],0)+PlayerGameData[[#This Row],[VisibleOrder]]</f>
        <v>185</v>
      </c>
      <c r="AM311" s="8">
        <f ca="1">IF(COUNTIF(PlayerGameData[PointOrder],PlayerGameData[[#This Row],[PointOrder]])&gt;1,RANK(PlayerGameData[[#This Row],[FGA]],PlayerGameData[FGA],0)/100,0)+PlayerGameData[[#This Row],[PointOrder]]</f>
        <v>187.14</v>
      </c>
      <c r="AN311" s="8">
        <f ca="1">RANK(PlayerGameData[[#This Row],[PointTieBreak]],PlayerGameData[PointTieBreak],1)</f>
        <v>216</v>
      </c>
      <c r="AO311" s="8">
        <f ca="1">RANK(PlayerGameData[[#This Row],[REB]],PlayerGameData[REB],0)+PlayerGameData[[#This Row],[VisibleOrder]]</f>
        <v>192</v>
      </c>
      <c r="AP311" s="8">
        <f ca="1">IF(COUNTIF(PlayerGameData[REBOrder],PlayerGameData[[#This Row],[REBOrder]])&gt;1,PlayerGameData[[#This Row],[PointRank]]/100+PlayerGameData[[#This Row],[REBOrder]],PlayerGameData[[#This Row],[REBOrder]])</f>
        <v>194.16</v>
      </c>
      <c r="AQ311" s="8">
        <f ca="1">RANK(PlayerGameData[[#This Row],[REBTieBreak]],PlayerGameData[REBTieBreak],1)</f>
        <v>224</v>
      </c>
      <c r="AR311" s="8">
        <f ca="1">RANK(PlayerGameData[[#This Row],[AST]],PlayerGameData[AST],0)+PlayerGameData[[#This Row],[VisibleOrder]]</f>
        <v>158</v>
      </c>
      <c r="AS311" s="8">
        <f ca="1">IF(COUNTIF(PlayerGameData[ASTOrder],PlayerGameData[[#This Row],[ASTOrder]])&gt;1,PlayerGameData[[#This Row],[PointRank]]/100+PlayerGameData[[#This Row],[ASTOrder]],PlayerGameData[[#This Row],[ASTOrder]])</f>
        <v>160.16</v>
      </c>
      <c r="AT311" s="8">
        <f ca="1">RANK(PlayerGameData[[#This Row],[ASTTieBreak]],PlayerGameData[ASTTieBreak],1)</f>
        <v>221</v>
      </c>
      <c r="AU311" s="8">
        <f ca="1">RANK(PlayerGameData[[#This Row],[STL]],PlayerGameData[STL],0)+PlayerGameData[[#This Row],[VisibleOrder]]</f>
        <v>143</v>
      </c>
      <c r="AV311" s="8">
        <f ca="1">IF(COUNTIF(PlayerGameData[STLOrder],PlayerGameData[[#This Row],[STLOrder]])&gt;1,PlayerGameData[[#This Row],[PointRank]]/100+PlayerGameData[[#This Row],[STLOrder]],PlayerGameData[[#This Row],[STLOrder]])</f>
        <v>145.16</v>
      </c>
      <c r="AW311" s="8">
        <f ca="1">RANK(PlayerGameData[[#This Row],[STLTieBreak]],PlayerGameData[STLTieBreak],1)</f>
        <v>217</v>
      </c>
      <c r="AX311" s="8">
        <f ca="1">RANK(PlayerGameData[[#This Row],[BLK]],PlayerGameData[BLK],0)+PlayerGameData[[#This Row],[VisibleOrder]]</f>
        <v>32</v>
      </c>
      <c r="AY311" s="8">
        <f ca="1">IF(COUNTIF(PlayerGameData[BLKOrder],PlayerGameData[[#This Row],[BLKOrder]])&gt;1,PlayerGameData[[#This Row],[PointRank]]/100+PlayerGameData[[#This Row],[BLKOrder]],PlayerGameData[[#This Row],[BLKOrder]])</f>
        <v>34.159999999999997</v>
      </c>
      <c r="AZ311" s="8">
        <f ca="1">RANK(PlayerGameData[[#This Row],[BLKTieBreak]],PlayerGameData[BLKTieBreak],1)</f>
        <v>216</v>
      </c>
      <c r="BA311" s="11">
        <f ca="1">IFERROR(IF(PlayerGameData[[#This Row],[FGA]]&gt;$AA$5,PlayerGameData[[#This Row],[FG%*]],PlayerGameData[[#This Row],[FG%*]]*-1),-2)</f>
        <v>-2</v>
      </c>
      <c r="BB311" s="8">
        <f ca="1">RANK(PlayerGameData[[#This Row],[EligFG]],PlayerGameData[EligFG],0)+PlayerGameData[[#This Row],[VisibleOrder]]</f>
        <v>215</v>
      </c>
      <c r="BC311" s="8">
        <f ca="1">IF(COUNTIF(PlayerGameData[EligFGOrder],PlayerGameData[[#This Row],[EligFGOrder]])&gt;1,PlayerGameData[[#This Row],[PointRank]]/100+PlayerGameData[[#This Row],[EligFGOrder]],PlayerGameData[[#This Row],[EligFGOrder]])</f>
        <v>217.16</v>
      </c>
      <c r="BD311" s="8">
        <f ca="1">RANK(PlayerGameData[[#This Row],[EligFGTieBreak]],PlayerGameData[EligFGTieBreak],1)</f>
        <v>216</v>
      </c>
      <c r="BE311" s="8" t="str">
        <f>Roster!$D$3</f>
        <v>East</v>
      </c>
      <c r="BF311" s="8" t="str">
        <f>Roster!$D$2</f>
        <v>Northeast</v>
      </c>
      <c r="BG311" s="8" t="str">
        <f>Roster!$D$4</f>
        <v>North</v>
      </c>
      <c r="BH311" s="197">
        <f ca="1">IFERROR(VLOOKUP(CONCATENATE(PlayerGameData[[#This Row],[Opponent]]," ",MONTH(PlayerGameData[[#This Row],[Date]]),"/",DAY(PlayerGameData[[#This Row],[Date]]),"/",YEAR(PlayerGameData[[#This Row],[Date]])),Table35[],2,FALSE),0)</f>
        <v>1</v>
      </c>
      <c r="BI311" s="197">
        <f ca="1">IF(PlayerGameData[[#This Row],[Visible]]=1,1,1000)</f>
        <v>1</v>
      </c>
      <c r="BJ311" s="197" t="e">
        <f ca="1">_xlfn.MAXIFS(TeamGameData[Win],TeamGameData[School, Opponent,Game'#],PlayerGameData[[#This Row],[School, Opponent,Game'#]])</f>
        <v>#NAME?</v>
      </c>
      <c r="BK311" s="197" t="e">
        <f ca="1">_xlfn.MAXIFS(TeamGameData[Loss],TeamGameData[School, Opponent,Game'#],PlayerGameData[[#This Row],[School, Opponent,Game'#]])</f>
        <v>#NAME?</v>
      </c>
    </row>
    <row r="312" spans="1:63" x14ac:dyDescent="0.25">
      <c r="A312" s="8" t="str">
        <f t="shared" ca="1" si="153"/>
        <v xml:space="preserve">, </v>
      </c>
      <c r="B312" s="8" t="str">
        <f>Roster!$B$1</f>
        <v>Upton</v>
      </c>
      <c r="C312" s="8" t="str">
        <f t="shared" ca="1" si="141"/>
        <v>Hulett</v>
      </c>
      <c r="D312" s="10">
        <f t="shared" ca="1" si="142"/>
        <v>44953</v>
      </c>
      <c r="E312" s="8">
        <f t="shared" ca="1" si="143"/>
        <v>0</v>
      </c>
      <c r="F312" s="8">
        <f t="shared" ca="1" si="144"/>
        <v>0</v>
      </c>
      <c r="G312" s="8">
        <f t="shared" ca="1" si="145"/>
        <v>0</v>
      </c>
      <c r="H312" s="8">
        <f t="shared" ca="1" si="146"/>
        <v>0</v>
      </c>
      <c r="I312" s="8">
        <f t="shared" ca="1" si="147"/>
        <v>0</v>
      </c>
      <c r="J312" s="8">
        <f t="shared" ca="1" si="148"/>
        <v>0</v>
      </c>
      <c r="K312" s="8">
        <f t="shared" ca="1" si="149"/>
        <v>0</v>
      </c>
      <c r="L312" s="8">
        <f t="shared" ca="1" si="154"/>
        <v>0</v>
      </c>
      <c r="M312" s="8">
        <f t="shared" ca="1" si="155"/>
        <v>0</v>
      </c>
      <c r="N312" s="8">
        <f t="shared" ca="1" si="156"/>
        <v>0</v>
      </c>
      <c r="O312" s="8">
        <f t="shared" ca="1" si="157"/>
        <v>0</v>
      </c>
      <c r="P312" s="8">
        <f t="shared" ca="1" si="158"/>
        <v>0</v>
      </c>
      <c r="Q312" s="8">
        <f t="shared" ca="1" si="159"/>
        <v>0</v>
      </c>
      <c r="R312" s="8">
        <f t="shared" ca="1" si="160"/>
        <v>0</v>
      </c>
      <c r="S312" s="8">
        <f t="shared" ca="1" si="161"/>
        <v>0</v>
      </c>
      <c r="T312" s="8">
        <f t="shared" ca="1" si="162"/>
        <v>0</v>
      </c>
      <c r="U312" s="8">
        <f t="shared" ca="1" si="163"/>
        <v>0</v>
      </c>
      <c r="V312" s="8">
        <f t="shared" ca="1" si="164"/>
        <v>0</v>
      </c>
      <c r="W312" s="11" t="str">
        <f t="shared" ca="1" si="165"/>
        <v/>
      </c>
      <c r="X312" s="11" t="str">
        <f t="shared" ca="1" si="166"/>
        <v/>
      </c>
      <c r="Y312" s="11" t="str">
        <f t="shared" ca="1" si="167"/>
        <v/>
      </c>
      <c r="Z312" s="11" t="str">
        <f t="shared" ca="1" si="168"/>
        <v/>
      </c>
      <c r="AA312" s="11" t="str">
        <f t="shared" ca="1" si="169"/>
        <v/>
      </c>
      <c r="AB312" s="47">
        <f ca="1">PlayerGameData[[#This Row],[3FGA]]+PlayerGameData[[#This Row],[2FGA]]</f>
        <v>0</v>
      </c>
      <c r="AC312" s="47">
        <f ca="1">PlayerGameData[[#This Row],[OFF REB]]+PlayerGameData[[#This Row],[DEF REB]]</f>
        <v>0</v>
      </c>
      <c r="AD312" s="8">
        <f t="shared" si="150"/>
        <v>13</v>
      </c>
      <c r="AE312" s="8" t="str">
        <f t="shared" ca="1" si="151"/>
        <v>,  - Hulett 1/27/2023</v>
      </c>
      <c r="AF312" s="8" t="str">
        <f t="shared" ca="1" si="170"/>
        <v>R</v>
      </c>
      <c r="AG312" s="8" t="str">
        <f ca="1">IFERROR(IF(C312=0,"",IF(AND(VLOOKUP(PlayerGameData[[#This Row],[Opponent]],WYTeamInfo,2,FALSE)=Roster!$D$1,VLOOKUP(PlayerGameData[[#This Row],[Opponent]],WYTeamInfo,3,FALSE)=Roster!$D$2),"SR","")),"")</f>
        <v>SR</v>
      </c>
      <c r="AH312" s="8" t="str">
        <f>CONCATENATE(Roster!$D$1," ",Roster!$D$5)</f>
        <v>1A BB</v>
      </c>
      <c r="AI312" s="8" t="str">
        <f t="shared" ca="1" si="152"/>
        <v>Upton - Hulett 1/27/2023</v>
      </c>
      <c r="AJ312" s="8">
        <f ca="1">IFERROR(VLOOKUP(PlayerGameData[[#This Row],[School, Opponent,Game'#]],Table3[],2,FALSE),0)</f>
        <v>1</v>
      </c>
      <c r="AK312" s="8">
        <f ca="1">IF(PlayerGameData[[#This Row],[Visible]]=1,1,1000)</f>
        <v>1</v>
      </c>
      <c r="AL312" s="8">
        <f ca="1">RANK(PlayerGameData[[#This Row],[TL PTS]],PlayerGameData[TL PTS],0)+PlayerGameData[[#This Row],[VisibleOrder]]</f>
        <v>185</v>
      </c>
      <c r="AM312" s="8">
        <f ca="1">IF(COUNTIF(PlayerGameData[PointOrder],PlayerGameData[[#This Row],[PointOrder]])&gt;1,RANK(PlayerGameData[[#This Row],[FGA]],PlayerGameData[FGA],0)/100,0)+PlayerGameData[[#This Row],[PointOrder]]</f>
        <v>187.14</v>
      </c>
      <c r="AN312" s="8">
        <f ca="1">RANK(PlayerGameData[[#This Row],[PointTieBreak]],PlayerGameData[PointTieBreak],1)</f>
        <v>216</v>
      </c>
      <c r="AO312" s="8">
        <f ca="1">RANK(PlayerGameData[[#This Row],[REB]],PlayerGameData[REB],0)+PlayerGameData[[#This Row],[VisibleOrder]]</f>
        <v>192</v>
      </c>
      <c r="AP312" s="8">
        <f ca="1">IF(COUNTIF(PlayerGameData[REBOrder],PlayerGameData[[#This Row],[REBOrder]])&gt;1,PlayerGameData[[#This Row],[PointRank]]/100+PlayerGameData[[#This Row],[REBOrder]],PlayerGameData[[#This Row],[REBOrder]])</f>
        <v>194.16</v>
      </c>
      <c r="AQ312" s="8">
        <f ca="1">RANK(PlayerGameData[[#This Row],[REBTieBreak]],PlayerGameData[REBTieBreak],1)</f>
        <v>224</v>
      </c>
      <c r="AR312" s="8">
        <f ca="1">RANK(PlayerGameData[[#This Row],[AST]],PlayerGameData[AST],0)+PlayerGameData[[#This Row],[VisibleOrder]]</f>
        <v>158</v>
      </c>
      <c r="AS312" s="8">
        <f ca="1">IF(COUNTIF(PlayerGameData[ASTOrder],PlayerGameData[[#This Row],[ASTOrder]])&gt;1,PlayerGameData[[#This Row],[PointRank]]/100+PlayerGameData[[#This Row],[ASTOrder]],PlayerGameData[[#This Row],[ASTOrder]])</f>
        <v>160.16</v>
      </c>
      <c r="AT312" s="8">
        <f ca="1">RANK(PlayerGameData[[#This Row],[ASTTieBreak]],PlayerGameData[ASTTieBreak],1)</f>
        <v>221</v>
      </c>
      <c r="AU312" s="8">
        <f ca="1">RANK(PlayerGameData[[#This Row],[STL]],PlayerGameData[STL],0)+PlayerGameData[[#This Row],[VisibleOrder]]</f>
        <v>143</v>
      </c>
      <c r="AV312" s="8">
        <f ca="1">IF(COUNTIF(PlayerGameData[STLOrder],PlayerGameData[[#This Row],[STLOrder]])&gt;1,PlayerGameData[[#This Row],[PointRank]]/100+PlayerGameData[[#This Row],[STLOrder]],PlayerGameData[[#This Row],[STLOrder]])</f>
        <v>145.16</v>
      </c>
      <c r="AW312" s="8">
        <f ca="1">RANK(PlayerGameData[[#This Row],[STLTieBreak]],PlayerGameData[STLTieBreak],1)</f>
        <v>217</v>
      </c>
      <c r="AX312" s="8">
        <f ca="1">RANK(PlayerGameData[[#This Row],[BLK]],PlayerGameData[BLK],0)+PlayerGameData[[#This Row],[VisibleOrder]]</f>
        <v>32</v>
      </c>
      <c r="AY312" s="8">
        <f ca="1">IF(COUNTIF(PlayerGameData[BLKOrder],PlayerGameData[[#This Row],[BLKOrder]])&gt;1,PlayerGameData[[#This Row],[PointRank]]/100+PlayerGameData[[#This Row],[BLKOrder]],PlayerGameData[[#This Row],[BLKOrder]])</f>
        <v>34.159999999999997</v>
      </c>
      <c r="AZ312" s="8">
        <f ca="1">RANK(PlayerGameData[[#This Row],[BLKTieBreak]],PlayerGameData[BLKTieBreak],1)</f>
        <v>216</v>
      </c>
      <c r="BA312" s="11">
        <f ca="1">IFERROR(IF(PlayerGameData[[#This Row],[FGA]]&gt;$AA$5,PlayerGameData[[#This Row],[FG%*]],PlayerGameData[[#This Row],[FG%*]]*-1),-2)</f>
        <v>-2</v>
      </c>
      <c r="BB312" s="8">
        <f ca="1">RANK(PlayerGameData[[#This Row],[EligFG]],PlayerGameData[EligFG],0)+PlayerGameData[[#This Row],[VisibleOrder]]</f>
        <v>215</v>
      </c>
      <c r="BC312" s="8">
        <f ca="1">IF(COUNTIF(PlayerGameData[EligFGOrder],PlayerGameData[[#This Row],[EligFGOrder]])&gt;1,PlayerGameData[[#This Row],[PointRank]]/100+PlayerGameData[[#This Row],[EligFGOrder]],PlayerGameData[[#This Row],[EligFGOrder]])</f>
        <v>217.16</v>
      </c>
      <c r="BD312" s="8">
        <f ca="1">RANK(PlayerGameData[[#This Row],[EligFGTieBreak]],PlayerGameData[EligFGTieBreak],1)</f>
        <v>216</v>
      </c>
      <c r="BE312" s="8" t="str">
        <f>Roster!$D$3</f>
        <v>East</v>
      </c>
      <c r="BF312" s="8" t="str">
        <f>Roster!$D$2</f>
        <v>Northeast</v>
      </c>
      <c r="BG312" s="8" t="str">
        <f>Roster!$D$4</f>
        <v>North</v>
      </c>
      <c r="BH312" s="197">
        <f ca="1">IFERROR(VLOOKUP(CONCATENATE(PlayerGameData[[#This Row],[Opponent]]," ",MONTH(PlayerGameData[[#This Row],[Date]]),"/",DAY(PlayerGameData[[#This Row],[Date]]),"/",YEAR(PlayerGameData[[#This Row],[Date]])),Table35[],2,FALSE),0)</f>
        <v>1</v>
      </c>
      <c r="BI312" s="197">
        <f ca="1">IF(PlayerGameData[[#This Row],[Visible]]=1,1,1000)</f>
        <v>1</v>
      </c>
      <c r="BJ312" s="197" t="e">
        <f ca="1">_xlfn.MAXIFS(TeamGameData[Win],TeamGameData[School, Opponent,Game'#],PlayerGameData[[#This Row],[School, Opponent,Game'#]])</f>
        <v>#NAME?</v>
      </c>
      <c r="BK312" s="197" t="e">
        <f ca="1">_xlfn.MAXIFS(TeamGameData[Loss],TeamGameData[School, Opponent,Game'#],PlayerGameData[[#This Row],[School, Opponent,Game'#]])</f>
        <v>#NAME?</v>
      </c>
    </row>
    <row r="313" spans="1:63" x14ac:dyDescent="0.25">
      <c r="A313" s="8" t="str">
        <f t="shared" ca="1" si="153"/>
        <v xml:space="preserve">, </v>
      </c>
      <c r="B313" s="8" t="str">
        <f>Roster!$B$1</f>
        <v>Upton</v>
      </c>
      <c r="C313" s="8" t="str">
        <f t="shared" ca="1" si="141"/>
        <v>Hulett</v>
      </c>
      <c r="D313" s="10">
        <f t="shared" ca="1" si="142"/>
        <v>44953</v>
      </c>
      <c r="E313" s="8">
        <f t="shared" ca="1" si="143"/>
        <v>0</v>
      </c>
      <c r="F313" s="8">
        <f t="shared" ca="1" si="144"/>
        <v>0</v>
      </c>
      <c r="G313" s="8">
        <f t="shared" ca="1" si="145"/>
        <v>0</v>
      </c>
      <c r="H313" s="8">
        <f t="shared" ca="1" si="146"/>
        <v>0</v>
      </c>
      <c r="I313" s="8">
        <f t="shared" ca="1" si="147"/>
        <v>0</v>
      </c>
      <c r="J313" s="8">
        <f t="shared" ca="1" si="148"/>
        <v>0</v>
      </c>
      <c r="K313" s="8">
        <f t="shared" ca="1" si="149"/>
        <v>0</v>
      </c>
      <c r="L313" s="8">
        <f t="shared" ca="1" si="154"/>
        <v>0</v>
      </c>
      <c r="M313" s="8">
        <f t="shared" ca="1" si="155"/>
        <v>0</v>
      </c>
      <c r="N313" s="8">
        <f t="shared" ca="1" si="156"/>
        <v>0</v>
      </c>
      <c r="O313" s="8">
        <f t="shared" ca="1" si="157"/>
        <v>0</v>
      </c>
      <c r="P313" s="8">
        <f t="shared" ca="1" si="158"/>
        <v>0</v>
      </c>
      <c r="Q313" s="8">
        <f t="shared" ca="1" si="159"/>
        <v>0</v>
      </c>
      <c r="R313" s="8">
        <f t="shared" ca="1" si="160"/>
        <v>0</v>
      </c>
      <c r="S313" s="8">
        <f t="shared" ca="1" si="161"/>
        <v>0</v>
      </c>
      <c r="T313" s="8">
        <f t="shared" ca="1" si="162"/>
        <v>0</v>
      </c>
      <c r="U313" s="8">
        <f t="shared" ca="1" si="163"/>
        <v>0</v>
      </c>
      <c r="V313" s="8">
        <f t="shared" ca="1" si="164"/>
        <v>0</v>
      </c>
      <c r="W313" s="11" t="str">
        <f t="shared" ca="1" si="165"/>
        <v/>
      </c>
      <c r="X313" s="11" t="str">
        <f t="shared" ca="1" si="166"/>
        <v/>
      </c>
      <c r="Y313" s="11" t="str">
        <f t="shared" ca="1" si="167"/>
        <v/>
      </c>
      <c r="Z313" s="11" t="str">
        <f t="shared" ca="1" si="168"/>
        <v/>
      </c>
      <c r="AA313" s="11" t="str">
        <f t="shared" ca="1" si="169"/>
        <v/>
      </c>
      <c r="AB313" s="47">
        <f ca="1">PlayerGameData[[#This Row],[3FGA]]+PlayerGameData[[#This Row],[2FGA]]</f>
        <v>0</v>
      </c>
      <c r="AC313" s="47">
        <f ca="1">PlayerGameData[[#This Row],[OFF REB]]+PlayerGameData[[#This Row],[DEF REB]]</f>
        <v>0</v>
      </c>
      <c r="AD313" s="8">
        <f t="shared" si="150"/>
        <v>13</v>
      </c>
      <c r="AE313" s="8" t="str">
        <f t="shared" ca="1" si="151"/>
        <v>,  - Hulett 1/27/2023</v>
      </c>
      <c r="AF313" s="8" t="str">
        <f t="shared" ca="1" si="170"/>
        <v>R</v>
      </c>
      <c r="AG313" s="8" t="str">
        <f ca="1">IFERROR(IF(C313=0,"",IF(AND(VLOOKUP(PlayerGameData[[#This Row],[Opponent]],WYTeamInfo,2,FALSE)=Roster!$D$1,VLOOKUP(PlayerGameData[[#This Row],[Opponent]],WYTeamInfo,3,FALSE)=Roster!$D$2),"SR","")),"")</f>
        <v>SR</v>
      </c>
      <c r="AH313" s="8" t="str">
        <f>CONCATENATE(Roster!$D$1," ",Roster!$D$5)</f>
        <v>1A BB</v>
      </c>
      <c r="AI313" s="8" t="str">
        <f t="shared" ca="1" si="152"/>
        <v>Upton - Hulett 1/27/2023</v>
      </c>
      <c r="AJ313" s="8">
        <f ca="1">IFERROR(VLOOKUP(PlayerGameData[[#This Row],[School, Opponent,Game'#]],Table3[],2,FALSE),0)</f>
        <v>1</v>
      </c>
      <c r="AK313" s="8">
        <f ca="1">IF(PlayerGameData[[#This Row],[Visible]]=1,1,1000)</f>
        <v>1</v>
      </c>
      <c r="AL313" s="8">
        <f ca="1">RANK(PlayerGameData[[#This Row],[TL PTS]],PlayerGameData[TL PTS],0)+PlayerGameData[[#This Row],[VisibleOrder]]</f>
        <v>185</v>
      </c>
      <c r="AM313" s="8">
        <f ca="1">IF(COUNTIF(PlayerGameData[PointOrder],PlayerGameData[[#This Row],[PointOrder]])&gt;1,RANK(PlayerGameData[[#This Row],[FGA]],PlayerGameData[FGA],0)/100,0)+PlayerGameData[[#This Row],[PointOrder]]</f>
        <v>187.14</v>
      </c>
      <c r="AN313" s="8">
        <f ca="1">RANK(PlayerGameData[[#This Row],[PointTieBreak]],PlayerGameData[PointTieBreak],1)</f>
        <v>216</v>
      </c>
      <c r="AO313" s="8">
        <f ca="1">RANK(PlayerGameData[[#This Row],[REB]],PlayerGameData[REB],0)+PlayerGameData[[#This Row],[VisibleOrder]]</f>
        <v>192</v>
      </c>
      <c r="AP313" s="8">
        <f ca="1">IF(COUNTIF(PlayerGameData[REBOrder],PlayerGameData[[#This Row],[REBOrder]])&gt;1,PlayerGameData[[#This Row],[PointRank]]/100+PlayerGameData[[#This Row],[REBOrder]],PlayerGameData[[#This Row],[REBOrder]])</f>
        <v>194.16</v>
      </c>
      <c r="AQ313" s="8">
        <f ca="1">RANK(PlayerGameData[[#This Row],[REBTieBreak]],PlayerGameData[REBTieBreak],1)</f>
        <v>224</v>
      </c>
      <c r="AR313" s="8">
        <f ca="1">RANK(PlayerGameData[[#This Row],[AST]],PlayerGameData[AST],0)+PlayerGameData[[#This Row],[VisibleOrder]]</f>
        <v>158</v>
      </c>
      <c r="AS313" s="8">
        <f ca="1">IF(COUNTIF(PlayerGameData[ASTOrder],PlayerGameData[[#This Row],[ASTOrder]])&gt;1,PlayerGameData[[#This Row],[PointRank]]/100+PlayerGameData[[#This Row],[ASTOrder]],PlayerGameData[[#This Row],[ASTOrder]])</f>
        <v>160.16</v>
      </c>
      <c r="AT313" s="8">
        <f ca="1">RANK(PlayerGameData[[#This Row],[ASTTieBreak]],PlayerGameData[ASTTieBreak],1)</f>
        <v>221</v>
      </c>
      <c r="AU313" s="8">
        <f ca="1">RANK(PlayerGameData[[#This Row],[STL]],PlayerGameData[STL],0)+PlayerGameData[[#This Row],[VisibleOrder]]</f>
        <v>143</v>
      </c>
      <c r="AV313" s="8">
        <f ca="1">IF(COUNTIF(PlayerGameData[STLOrder],PlayerGameData[[#This Row],[STLOrder]])&gt;1,PlayerGameData[[#This Row],[PointRank]]/100+PlayerGameData[[#This Row],[STLOrder]],PlayerGameData[[#This Row],[STLOrder]])</f>
        <v>145.16</v>
      </c>
      <c r="AW313" s="8">
        <f ca="1">RANK(PlayerGameData[[#This Row],[STLTieBreak]],PlayerGameData[STLTieBreak],1)</f>
        <v>217</v>
      </c>
      <c r="AX313" s="8">
        <f ca="1">RANK(PlayerGameData[[#This Row],[BLK]],PlayerGameData[BLK],0)+PlayerGameData[[#This Row],[VisibleOrder]]</f>
        <v>32</v>
      </c>
      <c r="AY313" s="8">
        <f ca="1">IF(COUNTIF(PlayerGameData[BLKOrder],PlayerGameData[[#This Row],[BLKOrder]])&gt;1,PlayerGameData[[#This Row],[PointRank]]/100+PlayerGameData[[#This Row],[BLKOrder]],PlayerGameData[[#This Row],[BLKOrder]])</f>
        <v>34.159999999999997</v>
      </c>
      <c r="AZ313" s="8">
        <f ca="1">RANK(PlayerGameData[[#This Row],[BLKTieBreak]],PlayerGameData[BLKTieBreak],1)</f>
        <v>216</v>
      </c>
      <c r="BA313" s="11">
        <f ca="1">IFERROR(IF(PlayerGameData[[#This Row],[FGA]]&gt;$AA$5,PlayerGameData[[#This Row],[FG%*]],PlayerGameData[[#This Row],[FG%*]]*-1),-2)</f>
        <v>-2</v>
      </c>
      <c r="BB313" s="8">
        <f ca="1">RANK(PlayerGameData[[#This Row],[EligFG]],PlayerGameData[EligFG],0)+PlayerGameData[[#This Row],[VisibleOrder]]</f>
        <v>215</v>
      </c>
      <c r="BC313" s="8">
        <f ca="1">IF(COUNTIF(PlayerGameData[EligFGOrder],PlayerGameData[[#This Row],[EligFGOrder]])&gt;1,PlayerGameData[[#This Row],[PointRank]]/100+PlayerGameData[[#This Row],[EligFGOrder]],PlayerGameData[[#This Row],[EligFGOrder]])</f>
        <v>217.16</v>
      </c>
      <c r="BD313" s="8">
        <f ca="1">RANK(PlayerGameData[[#This Row],[EligFGTieBreak]],PlayerGameData[EligFGTieBreak],1)</f>
        <v>216</v>
      </c>
      <c r="BE313" s="8" t="str">
        <f>Roster!$D$3</f>
        <v>East</v>
      </c>
      <c r="BF313" s="8" t="str">
        <f>Roster!$D$2</f>
        <v>Northeast</v>
      </c>
      <c r="BG313" s="8" t="str">
        <f>Roster!$D$4</f>
        <v>North</v>
      </c>
      <c r="BH313" s="197">
        <f ca="1">IFERROR(VLOOKUP(CONCATENATE(PlayerGameData[[#This Row],[Opponent]]," ",MONTH(PlayerGameData[[#This Row],[Date]]),"/",DAY(PlayerGameData[[#This Row],[Date]]),"/",YEAR(PlayerGameData[[#This Row],[Date]])),Table35[],2,FALSE),0)</f>
        <v>1</v>
      </c>
      <c r="BI313" s="197">
        <f ca="1">IF(PlayerGameData[[#This Row],[Visible]]=1,1,1000)</f>
        <v>1</v>
      </c>
      <c r="BJ313" s="197" t="e">
        <f ca="1">_xlfn.MAXIFS(TeamGameData[Win],TeamGameData[School, Opponent,Game'#],PlayerGameData[[#This Row],[School, Opponent,Game'#]])</f>
        <v>#NAME?</v>
      </c>
      <c r="BK313" s="197" t="e">
        <f ca="1">_xlfn.MAXIFS(TeamGameData[Loss],TeamGameData[School, Opponent,Game'#],PlayerGameData[[#This Row],[School, Opponent,Game'#]])</f>
        <v>#NAME?</v>
      </c>
    </row>
    <row r="314" spans="1:63" x14ac:dyDescent="0.25">
      <c r="A314" s="8" t="str">
        <f t="shared" ca="1" si="153"/>
        <v xml:space="preserve">, </v>
      </c>
      <c r="B314" s="8" t="str">
        <f>Roster!$B$1</f>
        <v>Upton</v>
      </c>
      <c r="C314" s="8" t="str">
        <f t="shared" ca="1" si="141"/>
        <v>Hulett</v>
      </c>
      <c r="D314" s="10">
        <f t="shared" ca="1" si="142"/>
        <v>44953</v>
      </c>
      <c r="E314" s="8">
        <f t="shared" ca="1" si="143"/>
        <v>0</v>
      </c>
      <c r="F314" s="8">
        <f t="shared" ca="1" si="144"/>
        <v>0</v>
      </c>
      <c r="G314" s="8">
        <f t="shared" ca="1" si="145"/>
        <v>0</v>
      </c>
      <c r="H314" s="8">
        <f t="shared" ca="1" si="146"/>
        <v>0</v>
      </c>
      <c r="I314" s="8">
        <f t="shared" ca="1" si="147"/>
        <v>0</v>
      </c>
      <c r="J314" s="8">
        <f t="shared" ca="1" si="148"/>
        <v>0</v>
      </c>
      <c r="K314" s="8">
        <f t="shared" ca="1" si="149"/>
        <v>0</v>
      </c>
      <c r="L314" s="8">
        <f t="shared" ca="1" si="154"/>
        <v>0</v>
      </c>
      <c r="M314" s="8">
        <f t="shared" ca="1" si="155"/>
        <v>0</v>
      </c>
      <c r="N314" s="8">
        <f t="shared" ca="1" si="156"/>
        <v>0</v>
      </c>
      <c r="O314" s="8">
        <f t="shared" ca="1" si="157"/>
        <v>0</v>
      </c>
      <c r="P314" s="8">
        <f t="shared" ca="1" si="158"/>
        <v>0</v>
      </c>
      <c r="Q314" s="8">
        <f t="shared" ca="1" si="159"/>
        <v>0</v>
      </c>
      <c r="R314" s="8">
        <f t="shared" ca="1" si="160"/>
        <v>0</v>
      </c>
      <c r="S314" s="8">
        <f t="shared" ca="1" si="161"/>
        <v>0</v>
      </c>
      <c r="T314" s="8">
        <f t="shared" ca="1" si="162"/>
        <v>0</v>
      </c>
      <c r="U314" s="8">
        <f t="shared" ca="1" si="163"/>
        <v>0</v>
      </c>
      <c r="V314" s="8">
        <f t="shared" ca="1" si="164"/>
        <v>0</v>
      </c>
      <c r="W314" s="11" t="str">
        <f t="shared" ca="1" si="165"/>
        <v/>
      </c>
      <c r="X314" s="11" t="str">
        <f t="shared" ca="1" si="166"/>
        <v/>
      </c>
      <c r="Y314" s="11" t="str">
        <f t="shared" ca="1" si="167"/>
        <v/>
      </c>
      <c r="Z314" s="11" t="str">
        <f t="shared" ca="1" si="168"/>
        <v/>
      </c>
      <c r="AA314" s="11" t="str">
        <f t="shared" ca="1" si="169"/>
        <v/>
      </c>
      <c r="AB314" s="47">
        <f ca="1">PlayerGameData[[#This Row],[3FGA]]+PlayerGameData[[#This Row],[2FGA]]</f>
        <v>0</v>
      </c>
      <c r="AC314" s="47">
        <f ca="1">PlayerGameData[[#This Row],[OFF REB]]+PlayerGameData[[#This Row],[DEF REB]]</f>
        <v>0</v>
      </c>
      <c r="AD314" s="8">
        <f t="shared" si="150"/>
        <v>13</v>
      </c>
      <c r="AE314" s="8" t="str">
        <f t="shared" ca="1" si="151"/>
        <v>,  - Hulett 1/27/2023</v>
      </c>
      <c r="AF314" s="8" t="str">
        <f t="shared" ca="1" si="170"/>
        <v>R</v>
      </c>
      <c r="AG314" s="8" t="str">
        <f ca="1">IFERROR(IF(C314=0,"",IF(AND(VLOOKUP(PlayerGameData[[#This Row],[Opponent]],WYTeamInfo,2,FALSE)=Roster!$D$1,VLOOKUP(PlayerGameData[[#This Row],[Opponent]],WYTeamInfo,3,FALSE)=Roster!$D$2),"SR","")),"")</f>
        <v>SR</v>
      </c>
      <c r="AH314" s="8" t="str">
        <f>CONCATENATE(Roster!$D$1," ",Roster!$D$5)</f>
        <v>1A BB</v>
      </c>
      <c r="AI314" s="8" t="str">
        <f t="shared" ca="1" si="152"/>
        <v>Upton - Hulett 1/27/2023</v>
      </c>
      <c r="AJ314" s="8">
        <f ca="1">IFERROR(VLOOKUP(PlayerGameData[[#This Row],[School, Opponent,Game'#]],Table3[],2,FALSE),0)</f>
        <v>1</v>
      </c>
      <c r="AK314" s="8">
        <f ca="1">IF(PlayerGameData[[#This Row],[Visible]]=1,1,1000)</f>
        <v>1</v>
      </c>
      <c r="AL314" s="8">
        <f ca="1">RANK(PlayerGameData[[#This Row],[TL PTS]],PlayerGameData[TL PTS],0)+PlayerGameData[[#This Row],[VisibleOrder]]</f>
        <v>185</v>
      </c>
      <c r="AM314" s="8">
        <f ca="1">IF(COUNTIF(PlayerGameData[PointOrder],PlayerGameData[[#This Row],[PointOrder]])&gt;1,RANK(PlayerGameData[[#This Row],[FGA]],PlayerGameData[FGA],0)/100,0)+PlayerGameData[[#This Row],[PointOrder]]</f>
        <v>187.14</v>
      </c>
      <c r="AN314" s="8">
        <f ca="1">RANK(PlayerGameData[[#This Row],[PointTieBreak]],PlayerGameData[PointTieBreak],1)</f>
        <v>216</v>
      </c>
      <c r="AO314" s="8">
        <f ca="1">RANK(PlayerGameData[[#This Row],[REB]],PlayerGameData[REB],0)+PlayerGameData[[#This Row],[VisibleOrder]]</f>
        <v>192</v>
      </c>
      <c r="AP314" s="8">
        <f ca="1">IF(COUNTIF(PlayerGameData[REBOrder],PlayerGameData[[#This Row],[REBOrder]])&gt;1,PlayerGameData[[#This Row],[PointRank]]/100+PlayerGameData[[#This Row],[REBOrder]],PlayerGameData[[#This Row],[REBOrder]])</f>
        <v>194.16</v>
      </c>
      <c r="AQ314" s="8">
        <f ca="1">RANK(PlayerGameData[[#This Row],[REBTieBreak]],PlayerGameData[REBTieBreak],1)</f>
        <v>224</v>
      </c>
      <c r="AR314" s="8">
        <f ca="1">RANK(PlayerGameData[[#This Row],[AST]],PlayerGameData[AST],0)+PlayerGameData[[#This Row],[VisibleOrder]]</f>
        <v>158</v>
      </c>
      <c r="AS314" s="8">
        <f ca="1">IF(COUNTIF(PlayerGameData[ASTOrder],PlayerGameData[[#This Row],[ASTOrder]])&gt;1,PlayerGameData[[#This Row],[PointRank]]/100+PlayerGameData[[#This Row],[ASTOrder]],PlayerGameData[[#This Row],[ASTOrder]])</f>
        <v>160.16</v>
      </c>
      <c r="AT314" s="8">
        <f ca="1">RANK(PlayerGameData[[#This Row],[ASTTieBreak]],PlayerGameData[ASTTieBreak],1)</f>
        <v>221</v>
      </c>
      <c r="AU314" s="8">
        <f ca="1">RANK(PlayerGameData[[#This Row],[STL]],PlayerGameData[STL],0)+PlayerGameData[[#This Row],[VisibleOrder]]</f>
        <v>143</v>
      </c>
      <c r="AV314" s="8">
        <f ca="1">IF(COUNTIF(PlayerGameData[STLOrder],PlayerGameData[[#This Row],[STLOrder]])&gt;1,PlayerGameData[[#This Row],[PointRank]]/100+PlayerGameData[[#This Row],[STLOrder]],PlayerGameData[[#This Row],[STLOrder]])</f>
        <v>145.16</v>
      </c>
      <c r="AW314" s="8">
        <f ca="1">RANK(PlayerGameData[[#This Row],[STLTieBreak]],PlayerGameData[STLTieBreak],1)</f>
        <v>217</v>
      </c>
      <c r="AX314" s="8">
        <f ca="1">RANK(PlayerGameData[[#This Row],[BLK]],PlayerGameData[BLK],0)+PlayerGameData[[#This Row],[VisibleOrder]]</f>
        <v>32</v>
      </c>
      <c r="AY314" s="8">
        <f ca="1">IF(COUNTIF(PlayerGameData[BLKOrder],PlayerGameData[[#This Row],[BLKOrder]])&gt;1,PlayerGameData[[#This Row],[PointRank]]/100+PlayerGameData[[#This Row],[BLKOrder]],PlayerGameData[[#This Row],[BLKOrder]])</f>
        <v>34.159999999999997</v>
      </c>
      <c r="AZ314" s="8">
        <f ca="1">RANK(PlayerGameData[[#This Row],[BLKTieBreak]],PlayerGameData[BLKTieBreak],1)</f>
        <v>216</v>
      </c>
      <c r="BA314" s="11">
        <f ca="1">IFERROR(IF(PlayerGameData[[#This Row],[FGA]]&gt;$AA$5,PlayerGameData[[#This Row],[FG%*]],PlayerGameData[[#This Row],[FG%*]]*-1),-2)</f>
        <v>-2</v>
      </c>
      <c r="BB314" s="8">
        <f ca="1">RANK(PlayerGameData[[#This Row],[EligFG]],PlayerGameData[EligFG],0)+PlayerGameData[[#This Row],[VisibleOrder]]</f>
        <v>215</v>
      </c>
      <c r="BC314" s="8">
        <f ca="1">IF(COUNTIF(PlayerGameData[EligFGOrder],PlayerGameData[[#This Row],[EligFGOrder]])&gt;1,PlayerGameData[[#This Row],[PointRank]]/100+PlayerGameData[[#This Row],[EligFGOrder]],PlayerGameData[[#This Row],[EligFGOrder]])</f>
        <v>217.16</v>
      </c>
      <c r="BD314" s="8">
        <f ca="1">RANK(PlayerGameData[[#This Row],[EligFGTieBreak]],PlayerGameData[EligFGTieBreak],1)</f>
        <v>216</v>
      </c>
      <c r="BE314" s="8" t="str">
        <f>Roster!$D$3</f>
        <v>East</v>
      </c>
      <c r="BF314" s="8" t="str">
        <f>Roster!$D$2</f>
        <v>Northeast</v>
      </c>
      <c r="BG314" s="8" t="str">
        <f>Roster!$D$4</f>
        <v>North</v>
      </c>
      <c r="BH314" s="197">
        <f ca="1">IFERROR(VLOOKUP(CONCATENATE(PlayerGameData[[#This Row],[Opponent]]," ",MONTH(PlayerGameData[[#This Row],[Date]]),"/",DAY(PlayerGameData[[#This Row],[Date]]),"/",YEAR(PlayerGameData[[#This Row],[Date]])),Table35[],2,FALSE),0)</f>
        <v>1</v>
      </c>
      <c r="BI314" s="197">
        <f ca="1">IF(PlayerGameData[[#This Row],[Visible]]=1,1,1000)</f>
        <v>1</v>
      </c>
      <c r="BJ314" s="197" t="e">
        <f ca="1">_xlfn.MAXIFS(TeamGameData[Win],TeamGameData[School, Opponent,Game'#],PlayerGameData[[#This Row],[School, Opponent,Game'#]])</f>
        <v>#NAME?</v>
      </c>
      <c r="BK314" s="197" t="e">
        <f ca="1">_xlfn.MAXIFS(TeamGameData[Loss],TeamGameData[School, Opponent,Game'#],PlayerGameData[[#This Row],[School, Opponent,Game'#]])</f>
        <v>#NAME?</v>
      </c>
    </row>
    <row r="315" spans="1:63" x14ac:dyDescent="0.25">
      <c r="A315" s="8" t="str">
        <f t="shared" ca="1" si="153"/>
        <v xml:space="preserve">, </v>
      </c>
      <c r="B315" s="8" t="str">
        <f>Roster!$B$1</f>
        <v>Upton</v>
      </c>
      <c r="C315" s="8" t="str">
        <f t="shared" ca="1" si="141"/>
        <v>Hulett</v>
      </c>
      <c r="D315" s="10">
        <f t="shared" ca="1" si="142"/>
        <v>44953</v>
      </c>
      <c r="E315" s="8">
        <f t="shared" ca="1" si="143"/>
        <v>0</v>
      </c>
      <c r="F315" s="8">
        <f t="shared" ca="1" si="144"/>
        <v>0</v>
      </c>
      <c r="G315" s="8">
        <f t="shared" ca="1" si="145"/>
        <v>0</v>
      </c>
      <c r="H315" s="8">
        <f t="shared" ca="1" si="146"/>
        <v>0</v>
      </c>
      <c r="I315" s="8">
        <f t="shared" ca="1" si="147"/>
        <v>0</v>
      </c>
      <c r="J315" s="8">
        <f t="shared" ca="1" si="148"/>
        <v>0</v>
      </c>
      <c r="K315" s="8">
        <f t="shared" ca="1" si="149"/>
        <v>0</v>
      </c>
      <c r="L315" s="8">
        <f t="shared" ca="1" si="154"/>
        <v>0</v>
      </c>
      <c r="M315" s="8">
        <f t="shared" ca="1" si="155"/>
        <v>0</v>
      </c>
      <c r="N315" s="8">
        <f t="shared" ca="1" si="156"/>
        <v>0</v>
      </c>
      <c r="O315" s="8">
        <f t="shared" ca="1" si="157"/>
        <v>0</v>
      </c>
      <c r="P315" s="8">
        <f t="shared" ca="1" si="158"/>
        <v>0</v>
      </c>
      <c r="Q315" s="8">
        <f t="shared" ca="1" si="159"/>
        <v>0</v>
      </c>
      <c r="R315" s="8">
        <f t="shared" ca="1" si="160"/>
        <v>0</v>
      </c>
      <c r="S315" s="8">
        <f t="shared" ca="1" si="161"/>
        <v>0</v>
      </c>
      <c r="T315" s="8">
        <f t="shared" ca="1" si="162"/>
        <v>0</v>
      </c>
      <c r="U315" s="8">
        <f t="shared" ca="1" si="163"/>
        <v>0</v>
      </c>
      <c r="V315" s="8">
        <f t="shared" ca="1" si="164"/>
        <v>0</v>
      </c>
      <c r="W315" s="11" t="str">
        <f t="shared" ca="1" si="165"/>
        <v/>
      </c>
      <c r="X315" s="11" t="str">
        <f t="shared" ca="1" si="166"/>
        <v/>
      </c>
      <c r="Y315" s="11" t="str">
        <f t="shared" ca="1" si="167"/>
        <v/>
      </c>
      <c r="Z315" s="11" t="str">
        <f t="shared" ca="1" si="168"/>
        <v/>
      </c>
      <c r="AA315" s="11" t="str">
        <f t="shared" ca="1" si="169"/>
        <v/>
      </c>
      <c r="AB315" s="47">
        <f ca="1">PlayerGameData[[#This Row],[3FGA]]+PlayerGameData[[#This Row],[2FGA]]</f>
        <v>0</v>
      </c>
      <c r="AC315" s="47">
        <f ca="1">PlayerGameData[[#This Row],[OFF REB]]+PlayerGameData[[#This Row],[DEF REB]]</f>
        <v>0</v>
      </c>
      <c r="AD315" s="8">
        <f t="shared" si="150"/>
        <v>13</v>
      </c>
      <c r="AE315" s="8" t="str">
        <f t="shared" ca="1" si="151"/>
        <v>,  - Hulett 1/27/2023</v>
      </c>
      <c r="AF315" s="8" t="str">
        <f t="shared" ca="1" si="170"/>
        <v>R</v>
      </c>
      <c r="AG315" s="8" t="str">
        <f ca="1">IFERROR(IF(C315=0,"",IF(AND(VLOOKUP(PlayerGameData[[#This Row],[Opponent]],WYTeamInfo,2,FALSE)=Roster!$D$1,VLOOKUP(PlayerGameData[[#This Row],[Opponent]],WYTeamInfo,3,FALSE)=Roster!$D$2),"SR","")),"")</f>
        <v>SR</v>
      </c>
      <c r="AH315" s="8" t="str">
        <f>CONCATENATE(Roster!$D$1," ",Roster!$D$5)</f>
        <v>1A BB</v>
      </c>
      <c r="AI315" s="8" t="str">
        <f t="shared" ca="1" si="152"/>
        <v>Upton - Hulett 1/27/2023</v>
      </c>
      <c r="AJ315" s="8">
        <f ca="1">IFERROR(VLOOKUP(PlayerGameData[[#This Row],[School, Opponent,Game'#]],Table3[],2,FALSE),0)</f>
        <v>1</v>
      </c>
      <c r="AK315" s="8">
        <f ca="1">IF(PlayerGameData[[#This Row],[Visible]]=1,1,1000)</f>
        <v>1</v>
      </c>
      <c r="AL315" s="8">
        <f ca="1">RANK(PlayerGameData[[#This Row],[TL PTS]],PlayerGameData[TL PTS],0)+PlayerGameData[[#This Row],[VisibleOrder]]</f>
        <v>185</v>
      </c>
      <c r="AM315" s="8">
        <f ca="1">IF(COUNTIF(PlayerGameData[PointOrder],PlayerGameData[[#This Row],[PointOrder]])&gt;1,RANK(PlayerGameData[[#This Row],[FGA]],PlayerGameData[FGA],0)/100,0)+PlayerGameData[[#This Row],[PointOrder]]</f>
        <v>187.14</v>
      </c>
      <c r="AN315" s="8">
        <f ca="1">RANK(PlayerGameData[[#This Row],[PointTieBreak]],PlayerGameData[PointTieBreak],1)</f>
        <v>216</v>
      </c>
      <c r="AO315" s="8">
        <f ca="1">RANK(PlayerGameData[[#This Row],[REB]],PlayerGameData[REB],0)+PlayerGameData[[#This Row],[VisibleOrder]]</f>
        <v>192</v>
      </c>
      <c r="AP315" s="8">
        <f ca="1">IF(COUNTIF(PlayerGameData[REBOrder],PlayerGameData[[#This Row],[REBOrder]])&gt;1,PlayerGameData[[#This Row],[PointRank]]/100+PlayerGameData[[#This Row],[REBOrder]],PlayerGameData[[#This Row],[REBOrder]])</f>
        <v>194.16</v>
      </c>
      <c r="AQ315" s="8">
        <f ca="1">RANK(PlayerGameData[[#This Row],[REBTieBreak]],PlayerGameData[REBTieBreak],1)</f>
        <v>224</v>
      </c>
      <c r="AR315" s="8">
        <f ca="1">RANK(PlayerGameData[[#This Row],[AST]],PlayerGameData[AST],0)+PlayerGameData[[#This Row],[VisibleOrder]]</f>
        <v>158</v>
      </c>
      <c r="AS315" s="8">
        <f ca="1">IF(COUNTIF(PlayerGameData[ASTOrder],PlayerGameData[[#This Row],[ASTOrder]])&gt;1,PlayerGameData[[#This Row],[PointRank]]/100+PlayerGameData[[#This Row],[ASTOrder]],PlayerGameData[[#This Row],[ASTOrder]])</f>
        <v>160.16</v>
      </c>
      <c r="AT315" s="8">
        <f ca="1">RANK(PlayerGameData[[#This Row],[ASTTieBreak]],PlayerGameData[ASTTieBreak],1)</f>
        <v>221</v>
      </c>
      <c r="AU315" s="8">
        <f ca="1">RANK(PlayerGameData[[#This Row],[STL]],PlayerGameData[STL],0)+PlayerGameData[[#This Row],[VisibleOrder]]</f>
        <v>143</v>
      </c>
      <c r="AV315" s="8">
        <f ca="1">IF(COUNTIF(PlayerGameData[STLOrder],PlayerGameData[[#This Row],[STLOrder]])&gt;1,PlayerGameData[[#This Row],[PointRank]]/100+PlayerGameData[[#This Row],[STLOrder]],PlayerGameData[[#This Row],[STLOrder]])</f>
        <v>145.16</v>
      </c>
      <c r="AW315" s="8">
        <f ca="1">RANK(PlayerGameData[[#This Row],[STLTieBreak]],PlayerGameData[STLTieBreak],1)</f>
        <v>217</v>
      </c>
      <c r="AX315" s="8">
        <f ca="1">RANK(PlayerGameData[[#This Row],[BLK]],PlayerGameData[BLK],0)+PlayerGameData[[#This Row],[VisibleOrder]]</f>
        <v>32</v>
      </c>
      <c r="AY315" s="8">
        <f ca="1">IF(COUNTIF(PlayerGameData[BLKOrder],PlayerGameData[[#This Row],[BLKOrder]])&gt;1,PlayerGameData[[#This Row],[PointRank]]/100+PlayerGameData[[#This Row],[BLKOrder]],PlayerGameData[[#This Row],[BLKOrder]])</f>
        <v>34.159999999999997</v>
      </c>
      <c r="AZ315" s="8">
        <f ca="1">RANK(PlayerGameData[[#This Row],[BLKTieBreak]],PlayerGameData[BLKTieBreak],1)</f>
        <v>216</v>
      </c>
      <c r="BA315" s="11">
        <f ca="1">IFERROR(IF(PlayerGameData[[#This Row],[FGA]]&gt;$AA$5,PlayerGameData[[#This Row],[FG%*]],PlayerGameData[[#This Row],[FG%*]]*-1),-2)</f>
        <v>-2</v>
      </c>
      <c r="BB315" s="8">
        <f ca="1">RANK(PlayerGameData[[#This Row],[EligFG]],PlayerGameData[EligFG],0)+PlayerGameData[[#This Row],[VisibleOrder]]</f>
        <v>215</v>
      </c>
      <c r="BC315" s="8">
        <f ca="1">IF(COUNTIF(PlayerGameData[EligFGOrder],PlayerGameData[[#This Row],[EligFGOrder]])&gt;1,PlayerGameData[[#This Row],[PointRank]]/100+PlayerGameData[[#This Row],[EligFGOrder]],PlayerGameData[[#This Row],[EligFGOrder]])</f>
        <v>217.16</v>
      </c>
      <c r="BD315" s="8">
        <f ca="1">RANK(PlayerGameData[[#This Row],[EligFGTieBreak]],PlayerGameData[EligFGTieBreak],1)</f>
        <v>216</v>
      </c>
      <c r="BE315" s="8" t="str">
        <f>Roster!$D$3</f>
        <v>East</v>
      </c>
      <c r="BF315" s="8" t="str">
        <f>Roster!$D$2</f>
        <v>Northeast</v>
      </c>
      <c r="BG315" s="8" t="str">
        <f>Roster!$D$4</f>
        <v>North</v>
      </c>
      <c r="BH315" s="197">
        <f ca="1">IFERROR(VLOOKUP(CONCATENATE(PlayerGameData[[#This Row],[Opponent]]," ",MONTH(PlayerGameData[[#This Row],[Date]]),"/",DAY(PlayerGameData[[#This Row],[Date]]),"/",YEAR(PlayerGameData[[#This Row],[Date]])),Table35[],2,FALSE),0)</f>
        <v>1</v>
      </c>
      <c r="BI315" s="197">
        <f ca="1">IF(PlayerGameData[[#This Row],[Visible]]=1,1,1000)</f>
        <v>1</v>
      </c>
      <c r="BJ315" s="197" t="e">
        <f ca="1">_xlfn.MAXIFS(TeamGameData[Win],TeamGameData[School, Opponent,Game'#],PlayerGameData[[#This Row],[School, Opponent,Game'#]])</f>
        <v>#NAME?</v>
      </c>
      <c r="BK315" s="197" t="e">
        <f ca="1">_xlfn.MAXIFS(TeamGameData[Loss],TeamGameData[School, Opponent,Game'#],PlayerGameData[[#This Row],[School, Opponent,Game'#]])</f>
        <v>#NAME?</v>
      </c>
    </row>
    <row r="316" spans="1:63" x14ac:dyDescent="0.25">
      <c r="A316" s="8" t="str">
        <f t="shared" ca="1" si="153"/>
        <v xml:space="preserve">, </v>
      </c>
      <c r="B316" s="8" t="str">
        <f>Roster!$B$1</f>
        <v>Upton</v>
      </c>
      <c r="C316" s="8" t="str">
        <f t="shared" ca="1" si="141"/>
        <v>Hulett</v>
      </c>
      <c r="D316" s="10">
        <f t="shared" ca="1" si="142"/>
        <v>44953</v>
      </c>
      <c r="E316" s="8">
        <f t="shared" ca="1" si="143"/>
        <v>0</v>
      </c>
      <c r="F316" s="8">
        <f t="shared" ca="1" si="144"/>
        <v>0</v>
      </c>
      <c r="G316" s="8">
        <f t="shared" ca="1" si="145"/>
        <v>0</v>
      </c>
      <c r="H316" s="8">
        <f t="shared" ca="1" si="146"/>
        <v>0</v>
      </c>
      <c r="I316" s="8">
        <f t="shared" ca="1" si="147"/>
        <v>0</v>
      </c>
      <c r="J316" s="8">
        <f t="shared" ca="1" si="148"/>
        <v>0</v>
      </c>
      <c r="K316" s="8">
        <f t="shared" ca="1" si="149"/>
        <v>0</v>
      </c>
      <c r="L316" s="8">
        <f t="shared" ca="1" si="154"/>
        <v>0</v>
      </c>
      <c r="M316" s="8">
        <f t="shared" ca="1" si="155"/>
        <v>0</v>
      </c>
      <c r="N316" s="8">
        <f t="shared" ca="1" si="156"/>
        <v>0</v>
      </c>
      <c r="O316" s="8">
        <f t="shared" ca="1" si="157"/>
        <v>0</v>
      </c>
      <c r="P316" s="8">
        <f t="shared" ca="1" si="158"/>
        <v>0</v>
      </c>
      <c r="Q316" s="8">
        <f t="shared" ca="1" si="159"/>
        <v>0</v>
      </c>
      <c r="R316" s="8">
        <f t="shared" ca="1" si="160"/>
        <v>0</v>
      </c>
      <c r="S316" s="8">
        <f t="shared" ca="1" si="161"/>
        <v>0</v>
      </c>
      <c r="T316" s="8">
        <f t="shared" ca="1" si="162"/>
        <v>0</v>
      </c>
      <c r="U316" s="8">
        <f t="shared" ca="1" si="163"/>
        <v>0</v>
      </c>
      <c r="V316" s="8">
        <f t="shared" ca="1" si="164"/>
        <v>0</v>
      </c>
      <c r="W316" s="11" t="str">
        <f t="shared" ca="1" si="165"/>
        <v/>
      </c>
      <c r="X316" s="11" t="str">
        <f t="shared" ca="1" si="166"/>
        <v/>
      </c>
      <c r="Y316" s="11" t="str">
        <f t="shared" ca="1" si="167"/>
        <v/>
      </c>
      <c r="Z316" s="11" t="str">
        <f t="shared" ca="1" si="168"/>
        <v/>
      </c>
      <c r="AA316" s="11" t="str">
        <f t="shared" ca="1" si="169"/>
        <v/>
      </c>
      <c r="AB316" s="47">
        <f ca="1">PlayerGameData[[#This Row],[3FGA]]+PlayerGameData[[#This Row],[2FGA]]</f>
        <v>0</v>
      </c>
      <c r="AC316" s="47">
        <f ca="1">PlayerGameData[[#This Row],[OFF REB]]+PlayerGameData[[#This Row],[DEF REB]]</f>
        <v>0</v>
      </c>
      <c r="AD316" s="8">
        <f t="shared" si="150"/>
        <v>13</v>
      </c>
      <c r="AE316" s="8" t="str">
        <f t="shared" ca="1" si="151"/>
        <v>,  - Hulett 1/27/2023</v>
      </c>
      <c r="AF316" s="8" t="str">
        <f t="shared" ca="1" si="170"/>
        <v>R</v>
      </c>
      <c r="AG316" s="8" t="str">
        <f ca="1">IFERROR(IF(C316=0,"",IF(AND(VLOOKUP(PlayerGameData[[#This Row],[Opponent]],WYTeamInfo,2,FALSE)=Roster!$D$1,VLOOKUP(PlayerGameData[[#This Row],[Opponent]],WYTeamInfo,3,FALSE)=Roster!$D$2),"SR","")),"")</f>
        <v>SR</v>
      </c>
      <c r="AH316" s="8" t="str">
        <f>CONCATENATE(Roster!$D$1," ",Roster!$D$5)</f>
        <v>1A BB</v>
      </c>
      <c r="AI316" s="8" t="str">
        <f t="shared" ca="1" si="152"/>
        <v>Upton - Hulett 1/27/2023</v>
      </c>
      <c r="AJ316" s="8">
        <f ca="1">IFERROR(VLOOKUP(PlayerGameData[[#This Row],[School, Opponent,Game'#]],Table3[],2,FALSE),0)</f>
        <v>1</v>
      </c>
      <c r="AK316" s="8">
        <f ca="1">IF(PlayerGameData[[#This Row],[Visible]]=1,1,1000)</f>
        <v>1</v>
      </c>
      <c r="AL316" s="8">
        <f ca="1">RANK(PlayerGameData[[#This Row],[TL PTS]],PlayerGameData[TL PTS],0)+PlayerGameData[[#This Row],[VisibleOrder]]</f>
        <v>185</v>
      </c>
      <c r="AM316" s="8">
        <f ca="1">IF(COUNTIF(PlayerGameData[PointOrder],PlayerGameData[[#This Row],[PointOrder]])&gt;1,RANK(PlayerGameData[[#This Row],[FGA]],PlayerGameData[FGA],0)/100,0)+PlayerGameData[[#This Row],[PointOrder]]</f>
        <v>187.14</v>
      </c>
      <c r="AN316" s="8">
        <f ca="1">RANK(PlayerGameData[[#This Row],[PointTieBreak]],PlayerGameData[PointTieBreak],1)</f>
        <v>216</v>
      </c>
      <c r="AO316" s="8">
        <f ca="1">RANK(PlayerGameData[[#This Row],[REB]],PlayerGameData[REB],0)+PlayerGameData[[#This Row],[VisibleOrder]]</f>
        <v>192</v>
      </c>
      <c r="AP316" s="8">
        <f ca="1">IF(COUNTIF(PlayerGameData[REBOrder],PlayerGameData[[#This Row],[REBOrder]])&gt;1,PlayerGameData[[#This Row],[PointRank]]/100+PlayerGameData[[#This Row],[REBOrder]],PlayerGameData[[#This Row],[REBOrder]])</f>
        <v>194.16</v>
      </c>
      <c r="AQ316" s="8">
        <f ca="1">RANK(PlayerGameData[[#This Row],[REBTieBreak]],PlayerGameData[REBTieBreak],1)</f>
        <v>224</v>
      </c>
      <c r="AR316" s="8">
        <f ca="1">RANK(PlayerGameData[[#This Row],[AST]],PlayerGameData[AST],0)+PlayerGameData[[#This Row],[VisibleOrder]]</f>
        <v>158</v>
      </c>
      <c r="AS316" s="8">
        <f ca="1">IF(COUNTIF(PlayerGameData[ASTOrder],PlayerGameData[[#This Row],[ASTOrder]])&gt;1,PlayerGameData[[#This Row],[PointRank]]/100+PlayerGameData[[#This Row],[ASTOrder]],PlayerGameData[[#This Row],[ASTOrder]])</f>
        <v>160.16</v>
      </c>
      <c r="AT316" s="8">
        <f ca="1">RANK(PlayerGameData[[#This Row],[ASTTieBreak]],PlayerGameData[ASTTieBreak],1)</f>
        <v>221</v>
      </c>
      <c r="AU316" s="8">
        <f ca="1">RANK(PlayerGameData[[#This Row],[STL]],PlayerGameData[STL],0)+PlayerGameData[[#This Row],[VisibleOrder]]</f>
        <v>143</v>
      </c>
      <c r="AV316" s="8">
        <f ca="1">IF(COUNTIF(PlayerGameData[STLOrder],PlayerGameData[[#This Row],[STLOrder]])&gt;1,PlayerGameData[[#This Row],[PointRank]]/100+PlayerGameData[[#This Row],[STLOrder]],PlayerGameData[[#This Row],[STLOrder]])</f>
        <v>145.16</v>
      </c>
      <c r="AW316" s="8">
        <f ca="1">RANK(PlayerGameData[[#This Row],[STLTieBreak]],PlayerGameData[STLTieBreak],1)</f>
        <v>217</v>
      </c>
      <c r="AX316" s="8">
        <f ca="1">RANK(PlayerGameData[[#This Row],[BLK]],PlayerGameData[BLK],0)+PlayerGameData[[#This Row],[VisibleOrder]]</f>
        <v>32</v>
      </c>
      <c r="AY316" s="8">
        <f ca="1">IF(COUNTIF(PlayerGameData[BLKOrder],PlayerGameData[[#This Row],[BLKOrder]])&gt;1,PlayerGameData[[#This Row],[PointRank]]/100+PlayerGameData[[#This Row],[BLKOrder]],PlayerGameData[[#This Row],[BLKOrder]])</f>
        <v>34.159999999999997</v>
      </c>
      <c r="AZ316" s="8">
        <f ca="1">RANK(PlayerGameData[[#This Row],[BLKTieBreak]],PlayerGameData[BLKTieBreak],1)</f>
        <v>216</v>
      </c>
      <c r="BA316" s="11">
        <f ca="1">IFERROR(IF(PlayerGameData[[#This Row],[FGA]]&gt;$AA$5,PlayerGameData[[#This Row],[FG%*]],PlayerGameData[[#This Row],[FG%*]]*-1),-2)</f>
        <v>-2</v>
      </c>
      <c r="BB316" s="8">
        <f ca="1">RANK(PlayerGameData[[#This Row],[EligFG]],PlayerGameData[EligFG],0)+PlayerGameData[[#This Row],[VisibleOrder]]</f>
        <v>215</v>
      </c>
      <c r="BC316" s="8">
        <f ca="1">IF(COUNTIF(PlayerGameData[EligFGOrder],PlayerGameData[[#This Row],[EligFGOrder]])&gt;1,PlayerGameData[[#This Row],[PointRank]]/100+PlayerGameData[[#This Row],[EligFGOrder]],PlayerGameData[[#This Row],[EligFGOrder]])</f>
        <v>217.16</v>
      </c>
      <c r="BD316" s="8">
        <f ca="1">RANK(PlayerGameData[[#This Row],[EligFGTieBreak]],PlayerGameData[EligFGTieBreak],1)</f>
        <v>216</v>
      </c>
      <c r="BE316" s="8" t="str">
        <f>Roster!$D$3</f>
        <v>East</v>
      </c>
      <c r="BF316" s="8" t="str">
        <f>Roster!$D$2</f>
        <v>Northeast</v>
      </c>
      <c r="BG316" s="8" t="str">
        <f>Roster!$D$4</f>
        <v>North</v>
      </c>
      <c r="BH316" s="197">
        <f ca="1">IFERROR(VLOOKUP(CONCATENATE(PlayerGameData[[#This Row],[Opponent]]," ",MONTH(PlayerGameData[[#This Row],[Date]]),"/",DAY(PlayerGameData[[#This Row],[Date]]),"/",YEAR(PlayerGameData[[#This Row],[Date]])),Table35[],2,FALSE),0)</f>
        <v>1</v>
      </c>
      <c r="BI316" s="197">
        <f ca="1">IF(PlayerGameData[[#This Row],[Visible]]=1,1,1000)</f>
        <v>1</v>
      </c>
      <c r="BJ316" s="197" t="e">
        <f ca="1">_xlfn.MAXIFS(TeamGameData[Win],TeamGameData[School, Opponent,Game'#],PlayerGameData[[#This Row],[School, Opponent,Game'#]])</f>
        <v>#NAME?</v>
      </c>
      <c r="BK316" s="197" t="e">
        <f ca="1">_xlfn.MAXIFS(TeamGameData[Loss],TeamGameData[School, Opponent,Game'#],PlayerGameData[[#This Row],[School, Opponent,Game'#]])</f>
        <v>#NAME?</v>
      </c>
    </row>
    <row r="317" spans="1:63" x14ac:dyDescent="0.25">
      <c r="A317" s="8" t="str">
        <f t="shared" ca="1" si="153"/>
        <v xml:space="preserve">, </v>
      </c>
      <c r="B317" s="8" t="str">
        <f>Roster!$B$1</f>
        <v>Upton</v>
      </c>
      <c r="C317" s="8" t="str">
        <f t="shared" ca="1" si="141"/>
        <v>Hulett</v>
      </c>
      <c r="D317" s="10">
        <f t="shared" ca="1" si="142"/>
        <v>44953</v>
      </c>
      <c r="E317" s="8">
        <f t="shared" ca="1" si="143"/>
        <v>0</v>
      </c>
      <c r="F317" s="8">
        <f t="shared" ca="1" si="144"/>
        <v>0</v>
      </c>
      <c r="G317" s="8">
        <f t="shared" ca="1" si="145"/>
        <v>0</v>
      </c>
      <c r="H317" s="8">
        <f t="shared" ca="1" si="146"/>
        <v>0</v>
      </c>
      <c r="I317" s="8">
        <f t="shared" ca="1" si="147"/>
        <v>0</v>
      </c>
      <c r="J317" s="8">
        <f t="shared" ca="1" si="148"/>
        <v>0</v>
      </c>
      <c r="K317" s="8">
        <f t="shared" ca="1" si="149"/>
        <v>0</v>
      </c>
      <c r="L317" s="8">
        <f t="shared" ca="1" si="154"/>
        <v>0</v>
      </c>
      <c r="M317" s="8">
        <f t="shared" ca="1" si="155"/>
        <v>0</v>
      </c>
      <c r="N317" s="8">
        <f t="shared" ca="1" si="156"/>
        <v>0</v>
      </c>
      <c r="O317" s="8">
        <f t="shared" ca="1" si="157"/>
        <v>0</v>
      </c>
      <c r="P317" s="8">
        <f t="shared" ca="1" si="158"/>
        <v>0</v>
      </c>
      <c r="Q317" s="8">
        <f t="shared" ca="1" si="159"/>
        <v>0</v>
      </c>
      <c r="R317" s="8">
        <f t="shared" ca="1" si="160"/>
        <v>0</v>
      </c>
      <c r="S317" s="8">
        <f t="shared" ca="1" si="161"/>
        <v>0</v>
      </c>
      <c r="T317" s="8">
        <f t="shared" ca="1" si="162"/>
        <v>0</v>
      </c>
      <c r="U317" s="8">
        <f t="shared" ca="1" si="163"/>
        <v>0</v>
      </c>
      <c r="V317" s="8">
        <f t="shared" ca="1" si="164"/>
        <v>0</v>
      </c>
      <c r="W317" s="11" t="str">
        <f t="shared" ca="1" si="165"/>
        <v/>
      </c>
      <c r="X317" s="11" t="str">
        <f t="shared" ca="1" si="166"/>
        <v/>
      </c>
      <c r="Y317" s="11" t="str">
        <f t="shared" ca="1" si="167"/>
        <v/>
      </c>
      <c r="Z317" s="11" t="str">
        <f t="shared" ca="1" si="168"/>
        <v/>
      </c>
      <c r="AA317" s="11" t="str">
        <f t="shared" ca="1" si="169"/>
        <v/>
      </c>
      <c r="AB317" s="47">
        <f ca="1">PlayerGameData[[#This Row],[3FGA]]+PlayerGameData[[#This Row],[2FGA]]</f>
        <v>0</v>
      </c>
      <c r="AC317" s="47">
        <f ca="1">PlayerGameData[[#This Row],[OFF REB]]+PlayerGameData[[#This Row],[DEF REB]]</f>
        <v>0</v>
      </c>
      <c r="AD317" s="8">
        <f t="shared" si="150"/>
        <v>13</v>
      </c>
      <c r="AE317" s="8" t="str">
        <f t="shared" ca="1" si="151"/>
        <v>,  - Hulett 1/27/2023</v>
      </c>
      <c r="AF317" s="8" t="str">
        <f t="shared" ca="1" si="170"/>
        <v>R</v>
      </c>
      <c r="AG317" s="8" t="str">
        <f ca="1">IFERROR(IF(C317=0,"",IF(AND(VLOOKUP(PlayerGameData[[#This Row],[Opponent]],WYTeamInfo,2,FALSE)=Roster!$D$1,VLOOKUP(PlayerGameData[[#This Row],[Opponent]],WYTeamInfo,3,FALSE)=Roster!$D$2),"SR","")),"")</f>
        <v>SR</v>
      </c>
      <c r="AH317" s="8" t="str">
        <f>CONCATENATE(Roster!$D$1," ",Roster!$D$5)</f>
        <v>1A BB</v>
      </c>
      <c r="AI317" s="8" t="str">
        <f t="shared" ca="1" si="152"/>
        <v>Upton - Hulett 1/27/2023</v>
      </c>
      <c r="AJ317" s="8">
        <f ca="1">IFERROR(VLOOKUP(PlayerGameData[[#This Row],[School, Opponent,Game'#]],Table3[],2,FALSE),0)</f>
        <v>1</v>
      </c>
      <c r="AK317" s="8">
        <f ca="1">IF(PlayerGameData[[#This Row],[Visible]]=1,1,1000)</f>
        <v>1</v>
      </c>
      <c r="AL317" s="8">
        <f ca="1">RANK(PlayerGameData[[#This Row],[TL PTS]],PlayerGameData[TL PTS],0)+PlayerGameData[[#This Row],[VisibleOrder]]</f>
        <v>185</v>
      </c>
      <c r="AM317" s="8">
        <f ca="1">IF(COUNTIF(PlayerGameData[PointOrder],PlayerGameData[[#This Row],[PointOrder]])&gt;1,RANK(PlayerGameData[[#This Row],[FGA]],PlayerGameData[FGA],0)/100,0)+PlayerGameData[[#This Row],[PointOrder]]</f>
        <v>187.14</v>
      </c>
      <c r="AN317" s="8">
        <f ca="1">RANK(PlayerGameData[[#This Row],[PointTieBreak]],PlayerGameData[PointTieBreak],1)</f>
        <v>216</v>
      </c>
      <c r="AO317" s="8">
        <f ca="1">RANK(PlayerGameData[[#This Row],[REB]],PlayerGameData[REB],0)+PlayerGameData[[#This Row],[VisibleOrder]]</f>
        <v>192</v>
      </c>
      <c r="AP317" s="8">
        <f ca="1">IF(COUNTIF(PlayerGameData[REBOrder],PlayerGameData[[#This Row],[REBOrder]])&gt;1,PlayerGameData[[#This Row],[PointRank]]/100+PlayerGameData[[#This Row],[REBOrder]],PlayerGameData[[#This Row],[REBOrder]])</f>
        <v>194.16</v>
      </c>
      <c r="AQ317" s="8">
        <f ca="1">RANK(PlayerGameData[[#This Row],[REBTieBreak]],PlayerGameData[REBTieBreak],1)</f>
        <v>224</v>
      </c>
      <c r="AR317" s="8">
        <f ca="1">RANK(PlayerGameData[[#This Row],[AST]],PlayerGameData[AST],0)+PlayerGameData[[#This Row],[VisibleOrder]]</f>
        <v>158</v>
      </c>
      <c r="AS317" s="8">
        <f ca="1">IF(COUNTIF(PlayerGameData[ASTOrder],PlayerGameData[[#This Row],[ASTOrder]])&gt;1,PlayerGameData[[#This Row],[PointRank]]/100+PlayerGameData[[#This Row],[ASTOrder]],PlayerGameData[[#This Row],[ASTOrder]])</f>
        <v>160.16</v>
      </c>
      <c r="AT317" s="8">
        <f ca="1">RANK(PlayerGameData[[#This Row],[ASTTieBreak]],PlayerGameData[ASTTieBreak],1)</f>
        <v>221</v>
      </c>
      <c r="AU317" s="8">
        <f ca="1">RANK(PlayerGameData[[#This Row],[STL]],PlayerGameData[STL],0)+PlayerGameData[[#This Row],[VisibleOrder]]</f>
        <v>143</v>
      </c>
      <c r="AV317" s="8">
        <f ca="1">IF(COUNTIF(PlayerGameData[STLOrder],PlayerGameData[[#This Row],[STLOrder]])&gt;1,PlayerGameData[[#This Row],[PointRank]]/100+PlayerGameData[[#This Row],[STLOrder]],PlayerGameData[[#This Row],[STLOrder]])</f>
        <v>145.16</v>
      </c>
      <c r="AW317" s="8">
        <f ca="1">RANK(PlayerGameData[[#This Row],[STLTieBreak]],PlayerGameData[STLTieBreak],1)</f>
        <v>217</v>
      </c>
      <c r="AX317" s="8">
        <f ca="1">RANK(PlayerGameData[[#This Row],[BLK]],PlayerGameData[BLK],0)+PlayerGameData[[#This Row],[VisibleOrder]]</f>
        <v>32</v>
      </c>
      <c r="AY317" s="8">
        <f ca="1">IF(COUNTIF(PlayerGameData[BLKOrder],PlayerGameData[[#This Row],[BLKOrder]])&gt;1,PlayerGameData[[#This Row],[PointRank]]/100+PlayerGameData[[#This Row],[BLKOrder]],PlayerGameData[[#This Row],[BLKOrder]])</f>
        <v>34.159999999999997</v>
      </c>
      <c r="AZ317" s="8">
        <f ca="1">RANK(PlayerGameData[[#This Row],[BLKTieBreak]],PlayerGameData[BLKTieBreak],1)</f>
        <v>216</v>
      </c>
      <c r="BA317" s="11">
        <f ca="1">IFERROR(IF(PlayerGameData[[#This Row],[FGA]]&gt;$AA$5,PlayerGameData[[#This Row],[FG%*]],PlayerGameData[[#This Row],[FG%*]]*-1),-2)</f>
        <v>-2</v>
      </c>
      <c r="BB317" s="8">
        <f ca="1">RANK(PlayerGameData[[#This Row],[EligFG]],PlayerGameData[EligFG],0)+PlayerGameData[[#This Row],[VisibleOrder]]</f>
        <v>215</v>
      </c>
      <c r="BC317" s="8">
        <f ca="1">IF(COUNTIF(PlayerGameData[EligFGOrder],PlayerGameData[[#This Row],[EligFGOrder]])&gt;1,PlayerGameData[[#This Row],[PointRank]]/100+PlayerGameData[[#This Row],[EligFGOrder]],PlayerGameData[[#This Row],[EligFGOrder]])</f>
        <v>217.16</v>
      </c>
      <c r="BD317" s="8">
        <f ca="1">RANK(PlayerGameData[[#This Row],[EligFGTieBreak]],PlayerGameData[EligFGTieBreak],1)</f>
        <v>216</v>
      </c>
      <c r="BE317" s="8" t="str">
        <f>Roster!$D$3</f>
        <v>East</v>
      </c>
      <c r="BF317" s="8" t="str">
        <f>Roster!$D$2</f>
        <v>Northeast</v>
      </c>
      <c r="BG317" s="8" t="str">
        <f>Roster!$D$4</f>
        <v>North</v>
      </c>
      <c r="BH317" s="197">
        <f ca="1">IFERROR(VLOOKUP(CONCATENATE(PlayerGameData[[#This Row],[Opponent]]," ",MONTH(PlayerGameData[[#This Row],[Date]]),"/",DAY(PlayerGameData[[#This Row],[Date]]),"/",YEAR(PlayerGameData[[#This Row],[Date]])),Table35[],2,FALSE),0)</f>
        <v>1</v>
      </c>
      <c r="BI317" s="197">
        <f ca="1">IF(PlayerGameData[[#This Row],[Visible]]=1,1,1000)</f>
        <v>1</v>
      </c>
      <c r="BJ317" s="197" t="e">
        <f ca="1">_xlfn.MAXIFS(TeamGameData[Win],TeamGameData[School, Opponent,Game'#],PlayerGameData[[#This Row],[School, Opponent,Game'#]])</f>
        <v>#NAME?</v>
      </c>
      <c r="BK317" s="197" t="e">
        <f ca="1">_xlfn.MAXIFS(TeamGameData[Loss],TeamGameData[School, Opponent,Game'#],PlayerGameData[[#This Row],[School, Opponent,Game'#]])</f>
        <v>#NAME?</v>
      </c>
    </row>
    <row r="318" spans="1:63" x14ac:dyDescent="0.25">
      <c r="A318" s="8" t="str">
        <f t="shared" ca="1" si="153"/>
        <v xml:space="preserve">Team, </v>
      </c>
      <c r="B318" s="8" t="str">
        <f>Roster!$B$1</f>
        <v>Upton</v>
      </c>
      <c r="C318" s="8" t="str">
        <f t="shared" ca="1" si="141"/>
        <v>Hulett</v>
      </c>
      <c r="D318" s="10">
        <f t="shared" ca="1" si="142"/>
        <v>44953</v>
      </c>
      <c r="E318" s="8">
        <f t="shared" ca="1" si="143"/>
        <v>0</v>
      </c>
      <c r="F318" s="8">
        <f t="shared" ca="1" si="144"/>
        <v>0</v>
      </c>
      <c r="G318" s="8">
        <f t="shared" ca="1" si="145"/>
        <v>0</v>
      </c>
      <c r="H318" s="8">
        <f t="shared" ca="1" si="146"/>
        <v>0</v>
      </c>
      <c r="I318" s="8">
        <f t="shared" ca="1" si="147"/>
        <v>0</v>
      </c>
      <c r="J318" s="8">
        <f t="shared" ca="1" si="148"/>
        <v>0</v>
      </c>
      <c r="K318" s="8">
        <f t="shared" ca="1" si="149"/>
        <v>0</v>
      </c>
      <c r="L318" s="8">
        <f t="shared" ca="1" si="154"/>
        <v>0</v>
      </c>
      <c r="M318" s="8">
        <f t="shared" ca="1" si="155"/>
        <v>0</v>
      </c>
      <c r="N318" s="8">
        <f t="shared" ca="1" si="156"/>
        <v>0</v>
      </c>
      <c r="O318" s="8">
        <f t="shared" ca="1" si="157"/>
        <v>0</v>
      </c>
      <c r="P318" s="8">
        <f t="shared" ca="1" si="158"/>
        <v>0</v>
      </c>
      <c r="Q318" s="8">
        <f t="shared" ca="1" si="159"/>
        <v>0</v>
      </c>
      <c r="R318" s="8">
        <f t="shared" ca="1" si="160"/>
        <v>0</v>
      </c>
      <c r="S318" s="8">
        <f t="shared" ca="1" si="161"/>
        <v>0</v>
      </c>
      <c r="T318" s="8">
        <f t="shared" ca="1" si="162"/>
        <v>0</v>
      </c>
      <c r="U318" s="8">
        <f t="shared" ca="1" si="163"/>
        <v>0</v>
      </c>
      <c r="V318" s="8">
        <f t="shared" ca="1" si="164"/>
        <v>0</v>
      </c>
      <c r="W318" s="11" t="str">
        <f t="shared" ca="1" si="165"/>
        <v/>
      </c>
      <c r="X318" s="11" t="str">
        <f t="shared" ca="1" si="166"/>
        <v/>
      </c>
      <c r="Y318" s="11" t="str">
        <f t="shared" ca="1" si="167"/>
        <v/>
      </c>
      <c r="Z318" s="11" t="str">
        <f t="shared" ca="1" si="168"/>
        <v/>
      </c>
      <c r="AA318" s="11" t="str">
        <f t="shared" ca="1" si="169"/>
        <v/>
      </c>
      <c r="AB318" s="47">
        <f ca="1">PlayerGameData[[#This Row],[3FGA]]+PlayerGameData[[#This Row],[2FGA]]</f>
        <v>0</v>
      </c>
      <c r="AC318" s="47">
        <f ca="1">PlayerGameData[[#This Row],[OFF REB]]+PlayerGameData[[#This Row],[DEF REB]]</f>
        <v>0</v>
      </c>
      <c r="AD318" s="8">
        <f t="shared" si="150"/>
        <v>13</v>
      </c>
      <c r="AE318" s="8" t="str">
        <f t="shared" ca="1" si="151"/>
        <v>Team,  - Hulett 1/27/2023</v>
      </c>
      <c r="AF318" s="8" t="str">
        <f t="shared" ca="1" si="170"/>
        <v>R</v>
      </c>
      <c r="AG318" s="8" t="str">
        <f ca="1">IFERROR(IF(C318=0,"",IF(AND(VLOOKUP(PlayerGameData[[#This Row],[Opponent]],WYTeamInfo,2,FALSE)=Roster!$D$1,VLOOKUP(PlayerGameData[[#This Row],[Opponent]],WYTeamInfo,3,FALSE)=Roster!$D$2),"SR","")),"")</f>
        <v>SR</v>
      </c>
      <c r="AH318" s="8" t="str">
        <f>CONCATENATE(Roster!$D$1," ",Roster!$D$5)</f>
        <v>1A BB</v>
      </c>
      <c r="AI318" s="8" t="str">
        <f t="shared" ca="1" si="152"/>
        <v>Upton - Hulett 1/27/2023</v>
      </c>
      <c r="AJ318" s="8">
        <f ca="1">IFERROR(VLOOKUP(PlayerGameData[[#This Row],[School, Opponent,Game'#]],Table3[],2,FALSE),0)</f>
        <v>1</v>
      </c>
      <c r="AK318" s="8">
        <f ca="1">IF(PlayerGameData[[#This Row],[Visible]]=1,1,1000)</f>
        <v>1</v>
      </c>
      <c r="AL318" s="8">
        <f ca="1">RANK(PlayerGameData[[#This Row],[TL PTS]],PlayerGameData[TL PTS],0)+PlayerGameData[[#This Row],[VisibleOrder]]</f>
        <v>185</v>
      </c>
      <c r="AM318" s="8">
        <f ca="1">IF(COUNTIF(PlayerGameData[PointOrder],PlayerGameData[[#This Row],[PointOrder]])&gt;1,RANK(PlayerGameData[[#This Row],[FGA]],PlayerGameData[FGA],0)/100,0)+PlayerGameData[[#This Row],[PointOrder]]</f>
        <v>187.14</v>
      </c>
      <c r="AN318" s="8">
        <f ca="1">RANK(PlayerGameData[[#This Row],[PointTieBreak]],PlayerGameData[PointTieBreak],1)</f>
        <v>216</v>
      </c>
      <c r="AO318" s="8">
        <f ca="1">RANK(PlayerGameData[[#This Row],[REB]],PlayerGameData[REB],0)+PlayerGameData[[#This Row],[VisibleOrder]]</f>
        <v>192</v>
      </c>
      <c r="AP318" s="8">
        <f ca="1">IF(COUNTIF(PlayerGameData[REBOrder],PlayerGameData[[#This Row],[REBOrder]])&gt;1,PlayerGameData[[#This Row],[PointRank]]/100+PlayerGameData[[#This Row],[REBOrder]],PlayerGameData[[#This Row],[REBOrder]])</f>
        <v>194.16</v>
      </c>
      <c r="AQ318" s="8">
        <f ca="1">RANK(PlayerGameData[[#This Row],[REBTieBreak]],PlayerGameData[REBTieBreak],1)</f>
        <v>224</v>
      </c>
      <c r="AR318" s="8">
        <f ca="1">RANK(PlayerGameData[[#This Row],[AST]],PlayerGameData[AST],0)+PlayerGameData[[#This Row],[VisibleOrder]]</f>
        <v>158</v>
      </c>
      <c r="AS318" s="8">
        <f ca="1">IF(COUNTIF(PlayerGameData[ASTOrder],PlayerGameData[[#This Row],[ASTOrder]])&gt;1,PlayerGameData[[#This Row],[PointRank]]/100+PlayerGameData[[#This Row],[ASTOrder]],PlayerGameData[[#This Row],[ASTOrder]])</f>
        <v>160.16</v>
      </c>
      <c r="AT318" s="8">
        <f ca="1">RANK(PlayerGameData[[#This Row],[ASTTieBreak]],PlayerGameData[ASTTieBreak],1)</f>
        <v>221</v>
      </c>
      <c r="AU318" s="8">
        <f ca="1">RANK(PlayerGameData[[#This Row],[STL]],PlayerGameData[STL],0)+PlayerGameData[[#This Row],[VisibleOrder]]</f>
        <v>143</v>
      </c>
      <c r="AV318" s="8">
        <f ca="1">IF(COUNTIF(PlayerGameData[STLOrder],PlayerGameData[[#This Row],[STLOrder]])&gt;1,PlayerGameData[[#This Row],[PointRank]]/100+PlayerGameData[[#This Row],[STLOrder]],PlayerGameData[[#This Row],[STLOrder]])</f>
        <v>145.16</v>
      </c>
      <c r="AW318" s="8">
        <f ca="1">RANK(PlayerGameData[[#This Row],[STLTieBreak]],PlayerGameData[STLTieBreak],1)</f>
        <v>217</v>
      </c>
      <c r="AX318" s="8">
        <f ca="1">RANK(PlayerGameData[[#This Row],[BLK]],PlayerGameData[BLK],0)+PlayerGameData[[#This Row],[VisibleOrder]]</f>
        <v>32</v>
      </c>
      <c r="AY318" s="8">
        <f ca="1">IF(COUNTIF(PlayerGameData[BLKOrder],PlayerGameData[[#This Row],[BLKOrder]])&gt;1,PlayerGameData[[#This Row],[PointRank]]/100+PlayerGameData[[#This Row],[BLKOrder]],PlayerGameData[[#This Row],[BLKOrder]])</f>
        <v>34.159999999999997</v>
      </c>
      <c r="AZ318" s="8">
        <f ca="1">RANK(PlayerGameData[[#This Row],[BLKTieBreak]],PlayerGameData[BLKTieBreak],1)</f>
        <v>216</v>
      </c>
      <c r="BA318" s="11">
        <f ca="1">IFERROR(IF(PlayerGameData[[#This Row],[FGA]]&gt;$AA$5,PlayerGameData[[#This Row],[FG%*]],PlayerGameData[[#This Row],[FG%*]]*-1),-2)</f>
        <v>-2</v>
      </c>
      <c r="BB318" s="8">
        <f ca="1">RANK(PlayerGameData[[#This Row],[EligFG]],PlayerGameData[EligFG],0)+PlayerGameData[[#This Row],[VisibleOrder]]</f>
        <v>215</v>
      </c>
      <c r="BC318" s="8">
        <f ca="1">IF(COUNTIF(PlayerGameData[EligFGOrder],PlayerGameData[[#This Row],[EligFGOrder]])&gt;1,PlayerGameData[[#This Row],[PointRank]]/100+PlayerGameData[[#This Row],[EligFGOrder]],PlayerGameData[[#This Row],[EligFGOrder]])</f>
        <v>217.16</v>
      </c>
      <c r="BD318" s="8">
        <f ca="1">RANK(PlayerGameData[[#This Row],[EligFGTieBreak]],PlayerGameData[EligFGTieBreak],1)</f>
        <v>216</v>
      </c>
      <c r="BE318" s="8" t="str">
        <f>Roster!$D$3</f>
        <v>East</v>
      </c>
      <c r="BF318" s="8" t="str">
        <f>Roster!$D$2</f>
        <v>Northeast</v>
      </c>
      <c r="BG318" s="8" t="str">
        <f>Roster!$D$4</f>
        <v>North</v>
      </c>
      <c r="BH318" s="197">
        <f ca="1">IFERROR(VLOOKUP(CONCATENATE(PlayerGameData[[#This Row],[Opponent]]," ",MONTH(PlayerGameData[[#This Row],[Date]]),"/",DAY(PlayerGameData[[#This Row],[Date]]),"/",YEAR(PlayerGameData[[#This Row],[Date]])),Table35[],2,FALSE),0)</f>
        <v>1</v>
      </c>
      <c r="BI318" s="197">
        <f ca="1">IF(PlayerGameData[[#This Row],[Visible]]=1,1,1000)</f>
        <v>1</v>
      </c>
      <c r="BJ318" s="197" t="e">
        <f ca="1">_xlfn.MAXIFS(TeamGameData[Win],TeamGameData[School, Opponent,Game'#],PlayerGameData[[#This Row],[School, Opponent,Game'#]])</f>
        <v>#NAME?</v>
      </c>
      <c r="BK318" s="197" t="e">
        <f ca="1">_xlfn.MAXIFS(TeamGameData[Loss],TeamGameData[School, Opponent,Game'#],PlayerGameData[[#This Row],[School, Opponent,Game'#]])</f>
        <v>#NAME?</v>
      </c>
    </row>
    <row r="319" spans="1:63" x14ac:dyDescent="0.25">
      <c r="A319" s="8" t="str">
        <f t="shared" ca="1" si="153"/>
        <v>Landon Butler, 1</v>
      </c>
      <c r="B319" s="8" t="str">
        <f>Roster!$B$1</f>
        <v>Upton</v>
      </c>
      <c r="C319" s="8" t="str">
        <f t="shared" ca="1" si="141"/>
        <v>Thunder Basin JV</v>
      </c>
      <c r="D319" s="10">
        <f t="shared" ca="1" si="142"/>
        <v>44957</v>
      </c>
      <c r="E319" s="8">
        <f t="shared" ca="1" si="143"/>
        <v>1</v>
      </c>
      <c r="F319" s="8">
        <f t="shared" ca="1" si="144"/>
        <v>0</v>
      </c>
      <c r="G319" s="8">
        <f t="shared" ca="1" si="145"/>
        <v>1</v>
      </c>
      <c r="H319" s="8">
        <f t="shared" ca="1" si="146"/>
        <v>0</v>
      </c>
      <c r="I319" s="8">
        <f t="shared" ca="1" si="147"/>
        <v>0</v>
      </c>
      <c r="J319" s="8">
        <f t="shared" ca="1" si="148"/>
        <v>0</v>
      </c>
      <c r="K319" s="8">
        <f t="shared" ca="1" si="149"/>
        <v>0</v>
      </c>
      <c r="L319" s="8">
        <f t="shared" ca="1" si="154"/>
        <v>0</v>
      </c>
      <c r="M319" s="8">
        <f t="shared" ca="1" si="155"/>
        <v>0</v>
      </c>
      <c r="N319" s="8">
        <f t="shared" ca="1" si="156"/>
        <v>0</v>
      </c>
      <c r="O319" s="8">
        <f t="shared" ca="1" si="157"/>
        <v>0</v>
      </c>
      <c r="P319" s="8">
        <f t="shared" ca="1" si="158"/>
        <v>0</v>
      </c>
      <c r="Q319" s="8">
        <f t="shared" ca="1" si="159"/>
        <v>0</v>
      </c>
      <c r="R319" s="8">
        <f t="shared" ca="1" si="160"/>
        <v>0</v>
      </c>
      <c r="S319" s="8">
        <f t="shared" ca="1" si="161"/>
        <v>0</v>
      </c>
      <c r="T319" s="8">
        <f t="shared" ca="1" si="162"/>
        <v>0</v>
      </c>
      <c r="U319" s="8">
        <f t="shared" ca="1" si="163"/>
        <v>0</v>
      </c>
      <c r="V319" s="8">
        <f t="shared" ca="1" si="164"/>
        <v>0</v>
      </c>
      <c r="W319" s="11" t="str">
        <f t="shared" ca="1" si="165"/>
        <v/>
      </c>
      <c r="X319" s="11" t="str">
        <f t="shared" ca="1" si="166"/>
        <v/>
      </c>
      <c r="Y319" s="11" t="str">
        <f t="shared" ca="1" si="167"/>
        <v/>
      </c>
      <c r="Z319" s="11" t="str">
        <f t="shared" ca="1" si="168"/>
        <v/>
      </c>
      <c r="AA319" s="11" t="str">
        <f t="shared" ca="1" si="169"/>
        <v/>
      </c>
      <c r="AB319" s="47">
        <f ca="1">PlayerGameData[[#This Row],[3FGA]]+PlayerGameData[[#This Row],[2FGA]]</f>
        <v>0</v>
      </c>
      <c r="AC319" s="47">
        <f ca="1">PlayerGameData[[#This Row],[OFF REB]]+PlayerGameData[[#This Row],[DEF REB]]</f>
        <v>0</v>
      </c>
      <c r="AD319" s="8">
        <f t="shared" si="150"/>
        <v>14</v>
      </c>
      <c r="AE319" s="8" t="str">
        <f t="shared" ca="1" si="151"/>
        <v>Landon Butler, 1 - Thunder Basin JV 1/31/2023</v>
      </c>
      <c r="AF319" s="8" t="str">
        <f t="shared" ca="1" si="170"/>
        <v/>
      </c>
      <c r="AG319" s="8" t="str">
        <f ca="1">IFERROR(IF(C319=0,"",IF(AND(VLOOKUP(PlayerGameData[[#This Row],[Opponent]],WYTeamInfo,2,FALSE)=Roster!$D$1,VLOOKUP(PlayerGameData[[#This Row],[Opponent]],WYTeamInfo,3,FALSE)=Roster!$D$2),"SR","")),"")</f>
        <v/>
      </c>
      <c r="AH319" s="8" t="str">
        <f>CONCATENATE(Roster!$D$1," ",Roster!$D$5)</f>
        <v>1A BB</v>
      </c>
      <c r="AI319" s="8" t="str">
        <f t="shared" ca="1" si="152"/>
        <v>Upton - Thunder Basin JV 1/31/2023</v>
      </c>
      <c r="AJ319" s="8">
        <f ca="1">IFERROR(VLOOKUP(PlayerGameData[[#This Row],[School, Opponent,Game'#]],Table3[],2,FALSE),0)</f>
        <v>1</v>
      </c>
      <c r="AK319" s="8">
        <f ca="1">IF(PlayerGameData[[#This Row],[Visible]]=1,1,1000)</f>
        <v>1</v>
      </c>
      <c r="AL319" s="8">
        <f ca="1">RANK(PlayerGameData[[#This Row],[TL PTS]],PlayerGameData[TL PTS],0)+PlayerGameData[[#This Row],[VisibleOrder]]</f>
        <v>185</v>
      </c>
      <c r="AM319" s="8">
        <f ca="1">IF(COUNTIF(PlayerGameData[PointOrder],PlayerGameData[[#This Row],[PointOrder]])&gt;1,RANK(PlayerGameData[[#This Row],[FGA]],PlayerGameData[FGA],0)/100,0)+PlayerGameData[[#This Row],[PointOrder]]</f>
        <v>187.14</v>
      </c>
      <c r="AN319" s="8">
        <f ca="1">RANK(PlayerGameData[[#This Row],[PointTieBreak]],PlayerGameData[PointTieBreak],1)</f>
        <v>216</v>
      </c>
      <c r="AO319" s="8">
        <f ca="1">RANK(PlayerGameData[[#This Row],[REB]],PlayerGameData[REB],0)+PlayerGameData[[#This Row],[VisibleOrder]]</f>
        <v>192</v>
      </c>
      <c r="AP319" s="8">
        <f ca="1">IF(COUNTIF(PlayerGameData[REBOrder],PlayerGameData[[#This Row],[REBOrder]])&gt;1,PlayerGameData[[#This Row],[PointRank]]/100+PlayerGameData[[#This Row],[REBOrder]],PlayerGameData[[#This Row],[REBOrder]])</f>
        <v>194.16</v>
      </c>
      <c r="AQ319" s="8">
        <f ca="1">RANK(PlayerGameData[[#This Row],[REBTieBreak]],PlayerGameData[REBTieBreak],1)</f>
        <v>224</v>
      </c>
      <c r="AR319" s="8">
        <f ca="1">RANK(PlayerGameData[[#This Row],[AST]],PlayerGameData[AST],0)+PlayerGameData[[#This Row],[VisibleOrder]]</f>
        <v>158</v>
      </c>
      <c r="AS319" s="8">
        <f ca="1">IF(COUNTIF(PlayerGameData[ASTOrder],PlayerGameData[[#This Row],[ASTOrder]])&gt;1,PlayerGameData[[#This Row],[PointRank]]/100+PlayerGameData[[#This Row],[ASTOrder]],PlayerGameData[[#This Row],[ASTOrder]])</f>
        <v>160.16</v>
      </c>
      <c r="AT319" s="8">
        <f ca="1">RANK(PlayerGameData[[#This Row],[ASTTieBreak]],PlayerGameData[ASTTieBreak],1)</f>
        <v>221</v>
      </c>
      <c r="AU319" s="8">
        <f ca="1">RANK(PlayerGameData[[#This Row],[STL]],PlayerGameData[STL],0)+PlayerGameData[[#This Row],[VisibleOrder]]</f>
        <v>143</v>
      </c>
      <c r="AV319" s="8">
        <f ca="1">IF(COUNTIF(PlayerGameData[STLOrder],PlayerGameData[[#This Row],[STLOrder]])&gt;1,PlayerGameData[[#This Row],[PointRank]]/100+PlayerGameData[[#This Row],[STLOrder]],PlayerGameData[[#This Row],[STLOrder]])</f>
        <v>145.16</v>
      </c>
      <c r="AW319" s="8">
        <f ca="1">RANK(PlayerGameData[[#This Row],[STLTieBreak]],PlayerGameData[STLTieBreak],1)</f>
        <v>217</v>
      </c>
      <c r="AX319" s="8">
        <f ca="1">RANK(PlayerGameData[[#This Row],[BLK]],PlayerGameData[BLK],0)+PlayerGameData[[#This Row],[VisibleOrder]]</f>
        <v>32</v>
      </c>
      <c r="AY319" s="8">
        <f ca="1">IF(COUNTIF(PlayerGameData[BLKOrder],PlayerGameData[[#This Row],[BLKOrder]])&gt;1,PlayerGameData[[#This Row],[PointRank]]/100+PlayerGameData[[#This Row],[BLKOrder]],PlayerGameData[[#This Row],[BLKOrder]])</f>
        <v>34.159999999999997</v>
      </c>
      <c r="AZ319" s="8">
        <f ca="1">RANK(PlayerGameData[[#This Row],[BLKTieBreak]],PlayerGameData[BLKTieBreak],1)</f>
        <v>216</v>
      </c>
      <c r="BA319" s="11">
        <f ca="1">IFERROR(IF(PlayerGameData[[#This Row],[FGA]]&gt;$AA$5,PlayerGameData[[#This Row],[FG%*]],PlayerGameData[[#This Row],[FG%*]]*-1),-2)</f>
        <v>-2</v>
      </c>
      <c r="BB319" s="8">
        <f ca="1">RANK(PlayerGameData[[#This Row],[EligFG]],PlayerGameData[EligFG],0)+PlayerGameData[[#This Row],[VisibleOrder]]</f>
        <v>215</v>
      </c>
      <c r="BC319" s="8">
        <f ca="1">IF(COUNTIF(PlayerGameData[EligFGOrder],PlayerGameData[[#This Row],[EligFGOrder]])&gt;1,PlayerGameData[[#This Row],[PointRank]]/100+PlayerGameData[[#This Row],[EligFGOrder]],PlayerGameData[[#This Row],[EligFGOrder]])</f>
        <v>217.16</v>
      </c>
      <c r="BD319" s="8">
        <f ca="1">RANK(PlayerGameData[[#This Row],[EligFGTieBreak]],PlayerGameData[EligFGTieBreak],1)</f>
        <v>216</v>
      </c>
      <c r="BE319" s="8" t="str">
        <f>Roster!$D$3</f>
        <v>East</v>
      </c>
      <c r="BF319" s="8" t="str">
        <f>Roster!$D$2</f>
        <v>Northeast</v>
      </c>
      <c r="BG319" s="8" t="str">
        <f>Roster!$D$4</f>
        <v>North</v>
      </c>
      <c r="BH319" s="197">
        <f ca="1">IFERROR(VLOOKUP(CONCATENATE(PlayerGameData[[#This Row],[Opponent]]," ",MONTH(PlayerGameData[[#This Row],[Date]]),"/",DAY(PlayerGameData[[#This Row],[Date]]),"/",YEAR(PlayerGameData[[#This Row],[Date]])),Table35[],2,FALSE),0)</f>
        <v>1</v>
      </c>
      <c r="BI319" s="197">
        <f ca="1">IF(PlayerGameData[[#This Row],[Visible]]=1,1,1000)</f>
        <v>1</v>
      </c>
      <c r="BJ319" s="197" t="e">
        <f ca="1">_xlfn.MAXIFS(TeamGameData[Win],TeamGameData[School, Opponent,Game'#],PlayerGameData[[#This Row],[School, Opponent,Game'#]])</f>
        <v>#NAME?</v>
      </c>
      <c r="BK319" s="197" t="e">
        <f ca="1">_xlfn.MAXIFS(TeamGameData[Loss],TeamGameData[School, Opponent,Game'#],PlayerGameData[[#This Row],[School, Opponent,Game'#]])</f>
        <v>#NAME?</v>
      </c>
    </row>
    <row r="320" spans="1:63" x14ac:dyDescent="0.25">
      <c r="A320" s="8" t="str">
        <f t="shared" ca="1" si="153"/>
        <v>Logan Timberman, 3</v>
      </c>
      <c r="B320" s="8" t="str">
        <f>Roster!$B$1</f>
        <v>Upton</v>
      </c>
      <c r="C320" s="8" t="str">
        <f t="shared" ca="1" si="141"/>
        <v>Thunder Basin JV</v>
      </c>
      <c r="D320" s="10">
        <f t="shared" ca="1" si="142"/>
        <v>44957</v>
      </c>
      <c r="E320" s="8">
        <f t="shared" ca="1" si="143"/>
        <v>1</v>
      </c>
      <c r="F320" s="8">
        <f t="shared" ca="1" si="144"/>
        <v>1</v>
      </c>
      <c r="G320" s="8">
        <f t="shared" ca="1" si="145"/>
        <v>20</v>
      </c>
      <c r="H320" s="8">
        <f t="shared" ca="1" si="146"/>
        <v>0</v>
      </c>
      <c r="I320" s="8">
        <f t="shared" ca="1" si="147"/>
        <v>1</v>
      </c>
      <c r="J320" s="8">
        <f t="shared" ca="1" si="148"/>
        <v>2</v>
      </c>
      <c r="K320" s="8">
        <f t="shared" ca="1" si="149"/>
        <v>3</v>
      </c>
      <c r="L320" s="8">
        <f t="shared" ca="1" si="154"/>
        <v>0</v>
      </c>
      <c r="M320" s="8">
        <f t="shared" ca="1" si="155"/>
        <v>1</v>
      </c>
      <c r="N320" s="8">
        <f t="shared" ca="1" si="156"/>
        <v>1</v>
      </c>
      <c r="O320" s="8">
        <f t="shared" ca="1" si="157"/>
        <v>2</v>
      </c>
      <c r="P320" s="8">
        <f t="shared" ca="1" si="158"/>
        <v>0</v>
      </c>
      <c r="Q320" s="8">
        <f t="shared" ca="1" si="159"/>
        <v>2</v>
      </c>
      <c r="R320" s="8">
        <f t="shared" ca="1" si="160"/>
        <v>0</v>
      </c>
      <c r="S320" s="8">
        <f t="shared" ca="1" si="161"/>
        <v>2</v>
      </c>
      <c r="T320" s="8">
        <f t="shared" ca="1" si="162"/>
        <v>3</v>
      </c>
      <c r="U320" s="8">
        <f t="shared" ca="1" si="163"/>
        <v>0</v>
      </c>
      <c r="V320" s="8">
        <f t="shared" ca="1" si="164"/>
        <v>4</v>
      </c>
      <c r="W320" s="11">
        <f t="shared" ca="1" si="165"/>
        <v>0</v>
      </c>
      <c r="X320" s="11">
        <f t="shared" ca="1" si="166"/>
        <v>0.66666666666666663</v>
      </c>
      <c r="Y320" s="11">
        <f t="shared" ca="1" si="167"/>
        <v>0</v>
      </c>
      <c r="Z320" s="11">
        <f t="shared" ca="1" si="168"/>
        <v>0.5</v>
      </c>
      <c r="AA320" s="11">
        <f t="shared" ca="1" si="169"/>
        <v>0.5</v>
      </c>
      <c r="AB320" s="47">
        <f ca="1">PlayerGameData[[#This Row],[3FGA]]+PlayerGameData[[#This Row],[2FGA]]</f>
        <v>4</v>
      </c>
      <c r="AC320" s="47">
        <f ca="1">PlayerGameData[[#This Row],[OFF REB]]+PlayerGameData[[#This Row],[DEF REB]]</f>
        <v>3</v>
      </c>
      <c r="AD320" s="8">
        <f t="shared" si="150"/>
        <v>14</v>
      </c>
      <c r="AE320" s="8" t="str">
        <f t="shared" ca="1" si="151"/>
        <v>Logan Timberman, 3 - Thunder Basin JV 1/31/2023</v>
      </c>
      <c r="AF320" s="8" t="str">
        <f t="shared" ca="1" si="170"/>
        <v/>
      </c>
      <c r="AG320" s="8" t="str">
        <f ca="1">IFERROR(IF(C320=0,"",IF(AND(VLOOKUP(PlayerGameData[[#This Row],[Opponent]],WYTeamInfo,2,FALSE)=Roster!$D$1,VLOOKUP(PlayerGameData[[#This Row],[Opponent]],WYTeamInfo,3,FALSE)=Roster!$D$2),"SR","")),"")</f>
        <v/>
      </c>
      <c r="AH320" s="8" t="str">
        <f>CONCATENATE(Roster!$D$1," ",Roster!$D$5)</f>
        <v>1A BB</v>
      </c>
      <c r="AI320" s="8" t="str">
        <f t="shared" ca="1" si="152"/>
        <v>Upton - Thunder Basin JV 1/31/2023</v>
      </c>
      <c r="AJ320" s="8">
        <f ca="1">IFERROR(VLOOKUP(PlayerGameData[[#This Row],[School, Opponent,Game'#]],Table3[],2,FALSE),0)</f>
        <v>1</v>
      </c>
      <c r="AK320" s="8">
        <f ca="1">IF(PlayerGameData[[#This Row],[Visible]]=1,1,1000)</f>
        <v>1</v>
      </c>
      <c r="AL320" s="8">
        <f ca="1">RANK(PlayerGameData[[#This Row],[TL PTS]],PlayerGameData[TL PTS],0)+PlayerGameData[[#This Row],[VisibleOrder]]</f>
        <v>118</v>
      </c>
      <c r="AM320" s="8">
        <f ca="1">IF(COUNTIF(PlayerGameData[PointOrder],PlayerGameData[[#This Row],[PointOrder]])&gt;1,RANK(PlayerGameData[[#This Row],[FGA]],PlayerGameData[FGA],0)/100,0)+PlayerGameData[[#This Row],[PointOrder]]</f>
        <v>119.27</v>
      </c>
      <c r="AN320" s="8">
        <f ca="1">RANK(PlayerGameData[[#This Row],[PointTieBreak]],PlayerGameData[PointTieBreak],1)</f>
        <v>125</v>
      </c>
      <c r="AO320" s="8">
        <f ca="1">RANK(PlayerGameData[[#This Row],[REB]],PlayerGameData[REB],0)+PlayerGameData[[#This Row],[VisibleOrder]]</f>
        <v>108</v>
      </c>
      <c r="AP320" s="8">
        <f ca="1">IF(COUNTIF(PlayerGameData[REBOrder],PlayerGameData[[#This Row],[REBOrder]])&gt;1,PlayerGameData[[#This Row],[PointRank]]/100+PlayerGameData[[#This Row],[REBOrder]],PlayerGameData[[#This Row],[REBOrder]])</f>
        <v>109.25</v>
      </c>
      <c r="AQ320" s="8">
        <f ca="1">RANK(PlayerGameData[[#This Row],[REBTieBreak]],PlayerGameData[REBTieBreak],1)</f>
        <v>121</v>
      </c>
      <c r="AR320" s="8">
        <f ca="1">RANK(PlayerGameData[[#This Row],[AST]],PlayerGameData[AST],0)+PlayerGameData[[#This Row],[VisibleOrder]]</f>
        <v>158</v>
      </c>
      <c r="AS320" s="8">
        <f ca="1">IF(COUNTIF(PlayerGameData[ASTOrder],PlayerGameData[[#This Row],[ASTOrder]])&gt;1,PlayerGameData[[#This Row],[PointRank]]/100+PlayerGameData[[#This Row],[ASTOrder]],PlayerGameData[[#This Row],[ASTOrder]])</f>
        <v>159.25</v>
      </c>
      <c r="AT320" s="8">
        <f ca="1">RANK(PlayerGameData[[#This Row],[ASTTieBreak]],PlayerGameData[ASTTieBreak],1)</f>
        <v>171</v>
      </c>
      <c r="AU320" s="8">
        <f ca="1">RANK(PlayerGameData[[#This Row],[STL]],PlayerGameData[STL],0)+PlayerGameData[[#This Row],[VisibleOrder]]</f>
        <v>48</v>
      </c>
      <c r="AV320" s="8">
        <f ca="1">IF(COUNTIF(PlayerGameData[STLOrder],PlayerGameData[[#This Row],[STLOrder]])&gt;1,PlayerGameData[[#This Row],[PointRank]]/100+PlayerGameData[[#This Row],[STLOrder]],PlayerGameData[[#This Row],[STLOrder]])</f>
        <v>49.25</v>
      </c>
      <c r="AW320" s="8">
        <f ca="1">RANK(PlayerGameData[[#This Row],[STLTieBreak]],PlayerGameData[STLTieBreak],1)</f>
        <v>76</v>
      </c>
      <c r="AX320" s="8">
        <f ca="1">RANK(PlayerGameData[[#This Row],[BLK]],PlayerGameData[BLK],0)+PlayerGameData[[#This Row],[VisibleOrder]]</f>
        <v>32</v>
      </c>
      <c r="AY320" s="8">
        <f ca="1">IF(COUNTIF(PlayerGameData[BLKOrder],PlayerGameData[[#This Row],[BLKOrder]])&gt;1,PlayerGameData[[#This Row],[PointRank]]/100+PlayerGameData[[#This Row],[BLKOrder]],PlayerGameData[[#This Row],[BLKOrder]])</f>
        <v>33.25</v>
      </c>
      <c r="AZ320" s="8">
        <f ca="1">RANK(PlayerGameData[[#This Row],[BLKTieBreak]],PlayerGameData[BLKTieBreak],1)</f>
        <v>129</v>
      </c>
      <c r="BA320" s="11">
        <f ca="1">IFERROR(IF(PlayerGameData[[#This Row],[FGA]]&gt;$AA$5,PlayerGameData[[#This Row],[FG%*]],PlayerGameData[[#This Row],[FG%*]]*-1),-2)</f>
        <v>-0.5</v>
      </c>
      <c r="BB320" s="8">
        <f ca="1">RANK(PlayerGameData[[#This Row],[EligFG]],PlayerGameData[EligFG],0)+PlayerGameData[[#This Row],[VisibleOrder]]</f>
        <v>182</v>
      </c>
      <c r="BC320" s="8">
        <f ca="1">IF(COUNTIF(PlayerGameData[EligFGOrder],PlayerGameData[[#This Row],[EligFGOrder]])&gt;1,PlayerGameData[[#This Row],[PointRank]]/100+PlayerGameData[[#This Row],[EligFGOrder]],PlayerGameData[[#This Row],[EligFGOrder]])</f>
        <v>183.25</v>
      </c>
      <c r="BD320" s="8">
        <f ca="1">RANK(PlayerGameData[[#This Row],[EligFGTieBreak]],PlayerGameData[EligFGTieBreak],1)</f>
        <v>181</v>
      </c>
      <c r="BE320" s="8" t="str">
        <f>Roster!$D$3</f>
        <v>East</v>
      </c>
      <c r="BF320" s="8" t="str">
        <f>Roster!$D$2</f>
        <v>Northeast</v>
      </c>
      <c r="BG320" s="8" t="str">
        <f>Roster!$D$4</f>
        <v>North</v>
      </c>
      <c r="BH320" s="197">
        <f ca="1">IFERROR(VLOOKUP(CONCATENATE(PlayerGameData[[#This Row],[Opponent]]," ",MONTH(PlayerGameData[[#This Row],[Date]]),"/",DAY(PlayerGameData[[#This Row],[Date]]),"/",YEAR(PlayerGameData[[#This Row],[Date]])),Table35[],2,FALSE),0)</f>
        <v>1</v>
      </c>
      <c r="BI320" s="197">
        <f ca="1">IF(PlayerGameData[[#This Row],[Visible]]=1,1,1000)</f>
        <v>1</v>
      </c>
      <c r="BJ320" s="197" t="e">
        <f ca="1">_xlfn.MAXIFS(TeamGameData[Win],TeamGameData[School, Opponent,Game'#],PlayerGameData[[#This Row],[School, Opponent,Game'#]])</f>
        <v>#NAME?</v>
      </c>
      <c r="BK320" s="197" t="e">
        <f ca="1">_xlfn.MAXIFS(TeamGameData[Loss],TeamGameData[School, Opponent,Game'#],PlayerGameData[[#This Row],[School, Opponent,Game'#]])</f>
        <v>#NAME?</v>
      </c>
    </row>
    <row r="321" spans="1:63" x14ac:dyDescent="0.25">
      <c r="A321" s="8" t="str">
        <f t="shared" ca="1" si="153"/>
        <v>Chase Mills, 5</v>
      </c>
      <c r="B321" s="8" t="str">
        <f>Roster!$B$1</f>
        <v>Upton</v>
      </c>
      <c r="C321" s="8" t="str">
        <f t="shared" ca="1" si="141"/>
        <v>Thunder Basin JV</v>
      </c>
      <c r="D321" s="10">
        <f t="shared" ca="1" si="142"/>
        <v>44957</v>
      </c>
      <c r="E321" s="8">
        <f t="shared" ca="1" si="143"/>
        <v>1</v>
      </c>
      <c r="F321" s="8">
        <f t="shared" ca="1" si="144"/>
        <v>1</v>
      </c>
      <c r="G321" s="8">
        <f t="shared" ca="1" si="145"/>
        <v>30</v>
      </c>
      <c r="H321" s="8">
        <f t="shared" ca="1" si="146"/>
        <v>0</v>
      </c>
      <c r="I321" s="8">
        <f t="shared" ca="1" si="147"/>
        <v>3</v>
      </c>
      <c r="J321" s="8">
        <f t="shared" ca="1" si="148"/>
        <v>7</v>
      </c>
      <c r="K321" s="8">
        <f t="shared" ca="1" si="149"/>
        <v>13</v>
      </c>
      <c r="L321" s="8">
        <f t="shared" ca="1" si="154"/>
        <v>0</v>
      </c>
      <c r="M321" s="8">
        <f t="shared" ca="1" si="155"/>
        <v>2</v>
      </c>
      <c r="N321" s="8">
        <f t="shared" ca="1" si="156"/>
        <v>4</v>
      </c>
      <c r="O321" s="8">
        <f t="shared" ca="1" si="157"/>
        <v>6</v>
      </c>
      <c r="P321" s="8">
        <f t="shared" ca="1" si="158"/>
        <v>6</v>
      </c>
      <c r="Q321" s="8">
        <f t="shared" ca="1" si="159"/>
        <v>5</v>
      </c>
      <c r="R321" s="8">
        <f t="shared" ca="1" si="160"/>
        <v>0</v>
      </c>
      <c r="S321" s="8">
        <f t="shared" ca="1" si="161"/>
        <v>3</v>
      </c>
      <c r="T321" s="8">
        <f t="shared" ca="1" si="162"/>
        <v>1</v>
      </c>
      <c r="U321" s="8">
        <f t="shared" ca="1" si="163"/>
        <v>0</v>
      </c>
      <c r="V321" s="8">
        <f t="shared" ca="1" si="164"/>
        <v>14</v>
      </c>
      <c r="W321" s="11">
        <f t="shared" ca="1" si="165"/>
        <v>0</v>
      </c>
      <c r="X321" s="11">
        <f t="shared" ca="1" si="166"/>
        <v>0.53846153846153844</v>
      </c>
      <c r="Y321" s="11">
        <f t="shared" ca="1" si="167"/>
        <v>0</v>
      </c>
      <c r="Z321" s="11">
        <f t="shared" ca="1" si="168"/>
        <v>0.4375</v>
      </c>
      <c r="AA321" s="11">
        <f t="shared" ca="1" si="169"/>
        <v>0.4375</v>
      </c>
      <c r="AB321" s="47">
        <f ca="1">PlayerGameData[[#This Row],[3FGA]]+PlayerGameData[[#This Row],[2FGA]]</f>
        <v>16</v>
      </c>
      <c r="AC321" s="47">
        <f ca="1">PlayerGameData[[#This Row],[OFF REB]]+PlayerGameData[[#This Row],[DEF REB]]</f>
        <v>10</v>
      </c>
      <c r="AD321" s="8">
        <f t="shared" si="150"/>
        <v>14</v>
      </c>
      <c r="AE321" s="8" t="str">
        <f t="shared" ca="1" si="151"/>
        <v>Chase Mills, 5 - Thunder Basin JV 1/31/2023</v>
      </c>
      <c r="AF321" s="8" t="str">
        <f t="shared" ca="1" si="170"/>
        <v/>
      </c>
      <c r="AG321" s="8" t="str">
        <f ca="1">IFERROR(IF(C321=0,"",IF(AND(VLOOKUP(PlayerGameData[[#This Row],[Opponent]],WYTeamInfo,2,FALSE)=Roster!$D$1,VLOOKUP(PlayerGameData[[#This Row],[Opponent]],WYTeamInfo,3,FALSE)=Roster!$D$2),"SR","")),"")</f>
        <v/>
      </c>
      <c r="AH321" s="8" t="str">
        <f>CONCATENATE(Roster!$D$1," ",Roster!$D$5)</f>
        <v>1A BB</v>
      </c>
      <c r="AI321" s="8" t="str">
        <f t="shared" ca="1" si="152"/>
        <v>Upton - Thunder Basin JV 1/31/2023</v>
      </c>
      <c r="AJ321" s="8">
        <f ca="1">IFERROR(VLOOKUP(PlayerGameData[[#This Row],[School, Opponent,Game'#]],Table3[],2,FALSE),0)</f>
        <v>1</v>
      </c>
      <c r="AK321" s="8">
        <f ca="1">IF(PlayerGameData[[#This Row],[Visible]]=1,1,1000)</f>
        <v>1</v>
      </c>
      <c r="AL321" s="8">
        <f ca="1">RANK(PlayerGameData[[#This Row],[TL PTS]],PlayerGameData[TL PTS],0)+PlayerGameData[[#This Row],[VisibleOrder]]</f>
        <v>36</v>
      </c>
      <c r="AM321" s="8">
        <f ca="1">IF(COUNTIF(PlayerGameData[PointOrder],PlayerGameData[[#This Row],[PointOrder]])&gt;1,RANK(PlayerGameData[[#This Row],[FGA]],PlayerGameData[FGA],0)/100,0)+PlayerGameData[[#This Row],[PointOrder]]</f>
        <v>36.049999999999997</v>
      </c>
      <c r="AN321" s="8">
        <f ca="1">RANK(PlayerGameData[[#This Row],[PointTieBreak]],PlayerGameData[PointTieBreak],1)</f>
        <v>35</v>
      </c>
      <c r="AO321" s="8">
        <f ca="1">RANK(PlayerGameData[[#This Row],[REB]],PlayerGameData[REB],0)+PlayerGameData[[#This Row],[VisibleOrder]]</f>
        <v>6</v>
      </c>
      <c r="AP321" s="8">
        <f ca="1">IF(COUNTIF(PlayerGameData[REBOrder],PlayerGameData[[#This Row],[REBOrder]])&gt;1,PlayerGameData[[#This Row],[PointRank]]/100+PlayerGameData[[#This Row],[REBOrder]],PlayerGameData[[#This Row],[REBOrder]])</f>
        <v>6.35</v>
      </c>
      <c r="AQ321" s="8">
        <f ca="1">RANK(PlayerGameData[[#This Row],[REBTieBreak]],PlayerGameData[REBTieBreak],1)</f>
        <v>8</v>
      </c>
      <c r="AR321" s="8">
        <f ca="1">RANK(PlayerGameData[[#This Row],[AST]],PlayerGameData[AST],0)+PlayerGameData[[#This Row],[VisibleOrder]]</f>
        <v>7</v>
      </c>
      <c r="AS321" s="8">
        <f ca="1">IF(COUNTIF(PlayerGameData[ASTOrder],PlayerGameData[[#This Row],[ASTOrder]])&gt;1,PlayerGameData[[#This Row],[PointRank]]/100+PlayerGameData[[#This Row],[ASTOrder]],PlayerGameData[[#This Row],[ASTOrder]])</f>
        <v>7.35</v>
      </c>
      <c r="AT321" s="8">
        <f ca="1">RANK(PlayerGameData[[#This Row],[ASTTieBreak]],PlayerGameData[ASTTieBreak],1)</f>
        <v>7</v>
      </c>
      <c r="AU321" s="8">
        <f ca="1">RANK(PlayerGameData[[#This Row],[STL]],PlayerGameData[STL],0)+PlayerGameData[[#This Row],[VisibleOrder]]</f>
        <v>4</v>
      </c>
      <c r="AV321" s="8">
        <f ca="1">IF(COUNTIF(PlayerGameData[STLOrder],PlayerGameData[[#This Row],[STLOrder]])&gt;1,PlayerGameData[[#This Row],[PointRank]]/100+PlayerGameData[[#This Row],[STLOrder]],PlayerGameData[[#This Row],[STLOrder]])</f>
        <v>4.3499999999999996</v>
      </c>
      <c r="AW321" s="8">
        <f ca="1">RANK(PlayerGameData[[#This Row],[STLTieBreak]],PlayerGameData[STLTieBreak],1)</f>
        <v>5</v>
      </c>
      <c r="AX321" s="8">
        <f ca="1">RANK(PlayerGameData[[#This Row],[BLK]],PlayerGameData[BLK],0)+PlayerGameData[[#This Row],[VisibleOrder]]</f>
        <v>32</v>
      </c>
      <c r="AY321" s="8">
        <f ca="1">IF(COUNTIF(PlayerGameData[BLKOrder],PlayerGameData[[#This Row],[BLKOrder]])&gt;1,PlayerGameData[[#This Row],[PointRank]]/100+PlayerGameData[[#This Row],[BLKOrder]],PlayerGameData[[#This Row],[BLKOrder]])</f>
        <v>32.35</v>
      </c>
      <c r="AZ321" s="8">
        <f ca="1">RANK(PlayerGameData[[#This Row],[BLKTieBreak]],PlayerGameData[BLKTieBreak],1)</f>
        <v>58</v>
      </c>
      <c r="BA321" s="11">
        <f ca="1">IFERROR(IF(PlayerGameData[[#This Row],[FGA]]&gt;$AA$5,PlayerGameData[[#This Row],[FG%*]],PlayerGameData[[#This Row],[FG%*]]*-1),-2)</f>
        <v>0.4375</v>
      </c>
      <c r="BB321" s="8">
        <f ca="1">RANK(PlayerGameData[[#This Row],[EligFG]],PlayerGameData[EligFG],0)+PlayerGameData[[#This Row],[VisibleOrder]]</f>
        <v>61</v>
      </c>
      <c r="BC321" s="8">
        <f ca="1">IF(COUNTIF(PlayerGameData[EligFGOrder],PlayerGameData[[#This Row],[EligFGOrder]])&gt;1,PlayerGameData[[#This Row],[PointRank]]/100+PlayerGameData[[#This Row],[EligFGOrder]],PlayerGameData[[#This Row],[EligFGOrder]])</f>
        <v>61.35</v>
      </c>
      <c r="BD321" s="8">
        <f ca="1">RANK(PlayerGameData[[#This Row],[EligFGTieBreak]],PlayerGameData[EligFGTieBreak],1)</f>
        <v>61</v>
      </c>
      <c r="BE321" s="8" t="str">
        <f>Roster!$D$3</f>
        <v>East</v>
      </c>
      <c r="BF321" s="8" t="str">
        <f>Roster!$D$2</f>
        <v>Northeast</v>
      </c>
      <c r="BG321" s="8" t="str">
        <f>Roster!$D$4</f>
        <v>North</v>
      </c>
      <c r="BH321" s="197">
        <f ca="1">IFERROR(VLOOKUP(CONCATENATE(PlayerGameData[[#This Row],[Opponent]]," ",MONTH(PlayerGameData[[#This Row],[Date]]),"/",DAY(PlayerGameData[[#This Row],[Date]]),"/",YEAR(PlayerGameData[[#This Row],[Date]])),Table35[],2,FALSE),0)</f>
        <v>1</v>
      </c>
      <c r="BI321" s="197">
        <f ca="1">IF(PlayerGameData[[#This Row],[Visible]]=1,1,1000)</f>
        <v>1</v>
      </c>
      <c r="BJ321" s="197" t="e">
        <f ca="1">_xlfn.MAXIFS(TeamGameData[Win],TeamGameData[School, Opponent,Game'#],PlayerGameData[[#This Row],[School, Opponent,Game'#]])</f>
        <v>#NAME?</v>
      </c>
      <c r="BK321" s="197" t="e">
        <f ca="1">_xlfn.MAXIFS(TeamGameData[Loss],TeamGameData[School, Opponent,Game'#],PlayerGameData[[#This Row],[School, Opponent,Game'#]])</f>
        <v>#NAME?</v>
      </c>
    </row>
    <row r="322" spans="1:63" x14ac:dyDescent="0.25">
      <c r="A322" s="8" t="str">
        <f t="shared" ca="1" si="153"/>
        <v>Rhett Watt, 10</v>
      </c>
      <c r="B322" s="8" t="str">
        <f>Roster!$B$1</f>
        <v>Upton</v>
      </c>
      <c r="C322" s="8" t="str">
        <f t="shared" ca="1" si="141"/>
        <v>Thunder Basin JV</v>
      </c>
      <c r="D322" s="10">
        <f t="shared" ca="1" si="142"/>
        <v>44957</v>
      </c>
      <c r="E322" s="8">
        <f t="shared" ca="1" si="143"/>
        <v>1</v>
      </c>
      <c r="F322" s="8">
        <f t="shared" ca="1" si="144"/>
        <v>1</v>
      </c>
      <c r="G322" s="8">
        <f t="shared" ca="1" si="145"/>
        <v>29</v>
      </c>
      <c r="H322" s="8">
        <f t="shared" ca="1" si="146"/>
        <v>2</v>
      </c>
      <c r="I322" s="8">
        <f t="shared" ca="1" si="147"/>
        <v>5</v>
      </c>
      <c r="J322" s="8">
        <f t="shared" ca="1" si="148"/>
        <v>0</v>
      </c>
      <c r="K322" s="8">
        <f t="shared" ca="1" si="149"/>
        <v>0</v>
      </c>
      <c r="L322" s="8">
        <f t="shared" ca="1" si="154"/>
        <v>0</v>
      </c>
      <c r="M322" s="8">
        <f t="shared" ca="1" si="155"/>
        <v>0</v>
      </c>
      <c r="N322" s="8">
        <f t="shared" ca="1" si="156"/>
        <v>1</v>
      </c>
      <c r="O322" s="8">
        <f t="shared" ca="1" si="157"/>
        <v>1</v>
      </c>
      <c r="P322" s="8">
        <f t="shared" ca="1" si="158"/>
        <v>1</v>
      </c>
      <c r="Q322" s="8">
        <f t="shared" ca="1" si="159"/>
        <v>3</v>
      </c>
      <c r="R322" s="8">
        <f t="shared" ca="1" si="160"/>
        <v>0</v>
      </c>
      <c r="S322" s="8">
        <f t="shared" ca="1" si="161"/>
        <v>2</v>
      </c>
      <c r="T322" s="8">
        <f t="shared" ca="1" si="162"/>
        <v>0</v>
      </c>
      <c r="U322" s="8">
        <f t="shared" ca="1" si="163"/>
        <v>0</v>
      </c>
      <c r="V322" s="8">
        <f t="shared" ca="1" si="164"/>
        <v>6</v>
      </c>
      <c r="W322" s="11">
        <f t="shared" ca="1" si="165"/>
        <v>0.4</v>
      </c>
      <c r="X322" s="11" t="str">
        <f t="shared" ca="1" si="166"/>
        <v/>
      </c>
      <c r="Y322" s="11" t="str">
        <f t="shared" ca="1" si="167"/>
        <v/>
      </c>
      <c r="Z322" s="11">
        <f t="shared" ca="1" si="168"/>
        <v>0.4</v>
      </c>
      <c r="AA322" s="11">
        <f t="shared" ca="1" si="169"/>
        <v>0.6</v>
      </c>
      <c r="AB322" s="47">
        <f ca="1">PlayerGameData[[#This Row],[3FGA]]+PlayerGameData[[#This Row],[2FGA]]</f>
        <v>5</v>
      </c>
      <c r="AC322" s="47">
        <f ca="1">PlayerGameData[[#This Row],[OFF REB]]+PlayerGameData[[#This Row],[DEF REB]]</f>
        <v>2</v>
      </c>
      <c r="AD322" s="8">
        <f t="shared" si="150"/>
        <v>14</v>
      </c>
      <c r="AE322" s="8" t="str">
        <f t="shared" ca="1" si="151"/>
        <v>Rhett Watt, 10 - Thunder Basin JV 1/31/2023</v>
      </c>
      <c r="AF322" s="8" t="str">
        <f t="shared" ca="1" si="170"/>
        <v/>
      </c>
      <c r="AG322" s="8" t="str">
        <f ca="1">IFERROR(IF(C322=0,"",IF(AND(VLOOKUP(PlayerGameData[[#This Row],[Opponent]],WYTeamInfo,2,FALSE)=Roster!$D$1,VLOOKUP(PlayerGameData[[#This Row],[Opponent]],WYTeamInfo,3,FALSE)=Roster!$D$2),"SR","")),"")</f>
        <v/>
      </c>
      <c r="AH322" s="8" t="str">
        <f>CONCATENATE(Roster!$D$1," ",Roster!$D$5)</f>
        <v>1A BB</v>
      </c>
      <c r="AI322" s="8" t="str">
        <f t="shared" ca="1" si="152"/>
        <v>Upton - Thunder Basin JV 1/31/2023</v>
      </c>
      <c r="AJ322" s="8">
        <f ca="1">IFERROR(VLOOKUP(PlayerGameData[[#This Row],[School, Opponent,Game'#]],Table3[],2,FALSE),0)</f>
        <v>1</v>
      </c>
      <c r="AK322" s="8">
        <f ca="1">IF(PlayerGameData[[#This Row],[Visible]]=1,1,1000)</f>
        <v>1</v>
      </c>
      <c r="AL322" s="8">
        <f ca="1">RANK(PlayerGameData[[#This Row],[TL PTS]],PlayerGameData[TL PTS],0)+PlayerGameData[[#This Row],[VisibleOrder]]</f>
        <v>102</v>
      </c>
      <c r="AM322" s="8">
        <f ca="1">IF(COUNTIF(PlayerGameData[PointOrder],PlayerGameData[[#This Row],[PointOrder]])&gt;1,RANK(PlayerGameData[[#This Row],[FGA]],PlayerGameData[FGA],0)/100,0)+PlayerGameData[[#This Row],[PointOrder]]</f>
        <v>103.19</v>
      </c>
      <c r="AN322" s="8">
        <f ca="1">RANK(PlayerGameData[[#This Row],[PointTieBreak]],PlayerGameData[PointTieBreak],1)</f>
        <v>103</v>
      </c>
      <c r="AO322" s="8">
        <f ca="1">RANK(PlayerGameData[[#This Row],[REB]],PlayerGameData[REB],0)+PlayerGameData[[#This Row],[VisibleOrder]]</f>
        <v>137</v>
      </c>
      <c r="AP322" s="8">
        <f ca="1">IF(COUNTIF(PlayerGameData[REBOrder],PlayerGameData[[#This Row],[REBOrder]])&gt;1,PlayerGameData[[#This Row],[PointRank]]/100+PlayerGameData[[#This Row],[REBOrder]],PlayerGameData[[#This Row],[REBOrder]])</f>
        <v>138.03</v>
      </c>
      <c r="AQ322" s="8">
        <f ca="1">RANK(PlayerGameData[[#This Row],[REBTieBreak]],PlayerGameData[REBTieBreak],1)</f>
        <v>146</v>
      </c>
      <c r="AR322" s="8">
        <f ca="1">RANK(PlayerGameData[[#This Row],[AST]],PlayerGameData[AST],0)+PlayerGameData[[#This Row],[VisibleOrder]]</f>
        <v>115</v>
      </c>
      <c r="AS322" s="8">
        <f ca="1">IF(COUNTIF(PlayerGameData[ASTOrder],PlayerGameData[[#This Row],[ASTOrder]])&gt;1,PlayerGameData[[#This Row],[PointRank]]/100+PlayerGameData[[#This Row],[ASTOrder]],PlayerGameData[[#This Row],[ASTOrder]])</f>
        <v>116.03</v>
      </c>
      <c r="AT322" s="8">
        <f ca="1">RANK(PlayerGameData[[#This Row],[ASTTieBreak]],PlayerGameData[ASTTieBreak],1)</f>
        <v>130</v>
      </c>
      <c r="AU322" s="8">
        <f ca="1">RANK(PlayerGameData[[#This Row],[STL]],PlayerGameData[STL],0)+PlayerGameData[[#This Row],[VisibleOrder]]</f>
        <v>26</v>
      </c>
      <c r="AV322" s="8">
        <f ca="1">IF(COUNTIF(PlayerGameData[STLOrder],PlayerGameData[[#This Row],[STLOrder]])&gt;1,PlayerGameData[[#This Row],[PointRank]]/100+PlayerGameData[[#This Row],[STLOrder]],PlayerGameData[[#This Row],[STLOrder]])</f>
        <v>27.03</v>
      </c>
      <c r="AW322" s="8">
        <f ca="1">RANK(PlayerGameData[[#This Row],[STLTieBreak]],PlayerGameData[STLTieBreak],1)</f>
        <v>43</v>
      </c>
      <c r="AX322" s="8">
        <f ca="1">RANK(PlayerGameData[[#This Row],[BLK]],PlayerGameData[BLK],0)+PlayerGameData[[#This Row],[VisibleOrder]]</f>
        <v>32</v>
      </c>
      <c r="AY322" s="8">
        <f ca="1">IF(COUNTIF(PlayerGameData[BLKOrder],PlayerGameData[[#This Row],[BLKOrder]])&gt;1,PlayerGameData[[#This Row],[PointRank]]/100+PlayerGameData[[#This Row],[BLKOrder]],PlayerGameData[[#This Row],[BLKOrder]])</f>
        <v>33.03</v>
      </c>
      <c r="AZ322" s="8">
        <f ca="1">RANK(PlayerGameData[[#This Row],[BLKTieBreak]],PlayerGameData[BLKTieBreak],1)</f>
        <v>110</v>
      </c>
      <c r="BA322" s="11">
        <f ca="1">IFERROR(IF(PlayerGameData[[#This Row],[FGA]]&gt;$AA$5,PlayerGameData[[#This Row],[FG%*]],PlayerGameData[[#This Row],[FG%*]]*-1),-2)</f>
        <v>-0.4</v>
      </c>
      <c r="BB322" s="8">
        <f ca="1">RANK(PlayerGameData[[#This Row],[EligFG]],PlayerGameData[EligFG],0)+PlayerGameData[[#This Row],[VisibleOrder]]</f>
        <v>176</v>
      </c>
      <c r="BC322" s="8">
        <f ca="1">IF(COUNTIF(PlayerGameData[EligFGOrder],PlayerGameData[[#This Row],[EligFGOrder]])&gt;1,PlayerGameData[[#This Row],[PointRank]]/100+PlayerGameData[[#This Row],[EligFGOrder]],PlayerGameData[[#This Row],[EligFGOrder]])</f>
        <v>177.03</v>
      </c>
      <c r="BD322" s="8">
        <f ca="1">RANK(PlayerGameData[[#This Row],[EligFGTieBreak]],PlayerGameData[EligFGTieBreak],1)</f>
        <v>176</v>
      </c>
      <c r="BE322" s="8" t="str">
        <f>Roster!$D$3</f>
        <v>East</v>
      </c>
      <c r="BF322" s="8" t="str">
        <f>Roster!$D$2</f>
        <v>Northeast</v>
      </c>
      <c r="BG322" s="8" t="str">
        <f>Roster!$D$4</f>
        <v>North</v>
      </c>
      <c r="BH322" s="197">
        <f ca="1">IFERROR(VLOOKUP(CONCATENATE(PlayerGameData[[#This Row],[Opponent]]," ",MONTH(PlayerGameData[[#This Row],[Date]]),"/",DAY(PlayerGameData[[#This Row],[Date]]),"/",YEAR(PlayerGameData[[#This Row],[Date]])),Table35[],2,FALSE),0)</f>
        <v>1</v>
      </c>
      <c r="BI322" s="197">
        <f ca="1">IF(PlayerGameData[[#This Row],[Visible]]=1,1,1000)</f>
        <v>1</v>
      </c>
      <c r="BJ322" s="197" t="e">
        <f ca="1">_xlfn.MAXIFS(TeamGameData[Win],TeamGameData[School, Opponent,Game'#],PlayerGameData[[#This Row],[School, Opponent,Game'#]])</f>
        <v>#NAME?</v>
      </c>
      <c r="BK322" s="197" t="e">
        <f ca="1">_xlfn.MAXIFS(TeamGameData[Loss],TeamGameData[School, Opponent,Game'#],PlayerGameData[[#This Row],[School, Opponent,Game'#]])</f>
        <v>#NAME?</v>
      </c>
    </row>
    <row r="323" spans="1:63" x14ac:dyDescent="0.25">
      <c r="A323" s="8" t="str">
        <f t="shared" ca="1" si="153"/>
        <v>Keith Coburn, 11</v>
      </c>
      <c r="B323" s="8" t="str">
        <f>Roster!$B$1</f>
        <v>Upton</v>
      </c>
      <c r="C323" s="8" t="str">
        <f t="shared" ca="1" si="141"/>
        <v>Thunder Basin JV</v>
      </c>
      <c r="D323" s="10">
        <f t="shared" ca="1" si="142"/>
        <v>44957</v>
      </c>
      <c r="E323" s="8">
        <f t="shared" ca="1" si="143"/>
        <v>1</v>
      </c>
      <c r="F323" s="8">
        <f t="shared" ca="1" si="144"/>
        <v>0</v>
      </c>
      <c r="G323" s="8">
        <f t="shared" ca="1" si="145"/>
        <v>1</v>
      </c>
      <c r="H323" s="8">
        <f t="shared" ca="1" si="146"/>
        <v>0</v>
      </c>
      <c r="I323" s="8">
        <f t="shared" ca="1" si="147"/>
        <v>0</v>
      </c>
      <c r="J323" s="8">
        <f t="shared" ca="1" si="148"/>
        <v>0</v>
      </c>
      <c r="K323" s="8">
        <f t="shared" ca="1" si="149"/>
        <v>0</v>
      </c>
      <c r="L323" s="8">
        <f t="shared" ca="1" si="154"/>
        <v>0</v>
      </c>
      <c r="M323" s="8">
        <f t="shared" ca="1" si="155"/>
        <v>0</v>
      </c>
      <c r="N323" s="8">
        <f t="shared" ca="1" si="156"/>
        <v>0</v>
      </c>
      <c r="O323" s="8">
        <f t="shared" ca="1" si="157"/>
        <v>0</v>
      </c>
      <c r="P323" s="8">
        <f t="shared" ca="1" si="158"/>
        <v>0</v>
      </c>
      <c r="Q323" s="8">
        <f t="shared" ca="1" si="159"/>
        <v>0</v>
      </c>
      <c r="R323" s="8">
        <f t="shared" ca="1" si="160"/>
        <v>0</v>
      </c>
      <c r="S323" s="8">
        <f t="shared" ca="1" si="161"/>
        <v>1</v>
      </c>
      <c r="T323" s="8">
        <f t="shared" ca="1" si="162"/>
        <v>0</v>
      </c>
      <c r="U323" s="8">
        <f t="shared" ca="1" si="163"/>
        <v>0</v>
      </c>
      <c r="V323" s="8">
        <f t="shared" ca="1" si="164"/>
        <v>0</v>
      </c>
      <c r="W323" s="11" t="str">
        <f t="shared" ca="1" si="165"/>
        <v/>
      </c>
      <c r="X323" s="11" t="str">
        <f t="shared" ca="1" si="166"/>
        <v/>
      </c>
      <c r="Y323" s="11" t="str">
        <f t="shared" ca="1" si="167"/>
        <v/>
      </c>
      <c r="Z323" s="11" t="str">
        <f t="shared" ca="1" si="168"/>
        <v/>
      </c>
      <c r="AA323" s="11" t="str">
        <f t="shared" ca="1" si="169"/>
        <v/>
      </c>
      <c r="AB323" s="47">
        <f ca="1">PlayerGameData[[#This Row],[3FGA]]+PlayerGameData[[#This Row],[2FGA]]</f>
        <v>0</v>
      </c>
      <c r="AC323" s="47">
        <f ca="1">PlayerGameData[[#This Row],[OFF REB]]+PlayerGameData[[#This Row],[DEF REB]]</f>
        <v>0</v>
      </c>
      <c r="AD323" s="8">
        <f t="shared" si="150"/>
        <v>14</v>
      </c>
      <c r="AE323" s="8" t="str">
        <f t="shared" ca="1" si="151"/>
        <v>Keith Coburn, 11 - Thunder Basin JV 1/31/2023</v>
      </c>
      <c r="AF323" s="8" t="str">
        <f t="shared" ca="1" si="170"/>
        <v/>
      </c>
      <c r="AG323" s="8" t="str">
        <f ca="1">IFERROR(IF(C323=0,"",IF(AND(VLOOKUP(PlayerGameData[[#This Row],[Opponent]],WYTeamInfo,2,FALSE)=Roster!$D$1,VLOOKUP(PlayerGameData[[#This Row],[Opponent]],WYTeamInfo,3,FALSE)=Roster!$D$2),"SR","")),"")</f>
        <v/>
      </c>
      <c r="AH323" s="8" t="str">
        <f>CONCATENATE(Roster!$D$1," ",Roster!$D$5)</f>
        <v>1A BB</v>
      </c>
      <c r="AI323" s="8" t="str">
        <f t="shared" ca="1" si="152"/>
        <v>Upton - Thunder Basin JV 1/31/2023</v>
      </c>
      <c r="AJ323" s="8">
        <f ca="1">IFERROR(VLOOKUP(PlayerGameData[[#This Row],[School, Opponent,Game'#]],Table3[],2,FALSE),0)</f>
        <v>1</v>
      </c>
      <c r="AK323" s="8">
        <f ca="1">IF(PlayerGameData[[#This Row],[Visible]]=1,1,1000)</f>
        <v>1</v>
      </c>
      <c r="AL323" s="8">
        <f ca="1">RANK(PlayerGameData[[#This Row],[TL PTS]],PlayerGameData[TL PTS],0)+PlayerGameData[[#This Row],[VisibleOrder]]</f>
        <v>185</v>
      </c>
      <c r="AM323" s="8">
        <f ca="1">IF(COUNTIF(PlayerGameData[PointOrder],PlayerGameData[[#This Row],[PointOrder]])&gt;1,RANK(PlayerGameData[[#This Row],[FGA]],PlayerGameData[FGA],0)/100,0)+PlayerGameData[[#This Row],[PointOrder]]</f>
        <v>187.14</v>
      </c>
      <c r="AN323" s="8">
        <f ca="1">RANK(PlayerGameData[[#This Row],[PointTieBreak]],PlayerGameData[PointTieBreak],1)</f>
        <v>216</v>
      </c>
      <c r="AO323" s="8">
        <f ca="1">RANK(PlayerGameData[[#This Row],[REB]],PlayerGameData[REB],0)+PlayerGameData[[#This Row],[VisibleOrder]]</f>
        <v>192</v>
      </c>
      <c r="AP323" s="8">
        <f ca="1">IF(COUNTIF(PlayerGameData[REBOrder],PlayerGameData[[#This Row],[REBOrder]])&gt;1,PlayerGameData[[#This Row],[PointRank]]/100+PlayerGameData[[#This Row],[REBOrder]],PlayerGameData[[#This Row],[REBOrder]])</f>
        <v>194.16</v>
      </c>
      <c r="AQ323" s="8">
        <f ca="1">RANK(PlayerGameData[[#This Row],[REBTieBreak]],PlayerGameData[REBTieBreak],1)</f>
        <v>224</v>
      </c>
      <c r="AR323" s="8">
        <f ca="1">RANK(PlayerGameData[[#This Row],[AST]],PlayerGameData[AST],0)+PlayerGameData[[#This Row],[VisibleOrder]]</f>
        <v>158</v>
      </c>
      <c r="AS323" s="8">
        <f ca="1">IF(COUNTIF(PlayerGameData[ASTOrder],PlayerGameData[[#This Row],[ASTOrder]])&gt;1,PlayerGameData[[#This Row],[PointRank]]/100+PlayerGameData[[#This Row],[ASTOrder]],PlayerGameData[[#This Row],[ASTOrder]])</f>
        <v>160.16</v>
      </c>
      <c r="AT323" s="8">
        <f ca="1">RANK(PlayerGameData[[#This Row],[ASTTieBreak]],PlayerGameData[ASTTieBreak],1)</f>
        <v>221</v>
      </c>
      <c r="AU323" s="8">
        <f ca="1">RANK(PlayerGameData[[#This Row],[STL]],PlayerGameData[STL],0)+PlayerGameData[[#This Row],[VisibleOrder]]</f>
        <v>143</v>
      </c>
      <c r="AV323" s="8">
        <f ca="1">IF(COUNTIF(PlayerGameData[STLOrder],PlayerGameData[[#This Row],[STLOrder]])&gt;1,PlayerGameData[[#This Row],[PointRank]]/100+PlayerGameData[[#This Row],[STLOrder]],PlayerGameData[[#This Row],[STLOrder]])</f>
        <v>145.16</v>
      </c>
      <c r="AW323" s="8">
        <f ca="1">RANK(PlayerGameData[[#This Row],[STLTieBreak]],PlayerGameData[STLTieBreak],1)</f>
        <v>217</v>
      </c>
      <c r="AX323" s="8">
        <f ca="1">RANK(PlayerGameData[[#This Row],[BLK]],PlayerGameData[BLK],0)+PlayerGameData[[#This Row],[VisibleOrder]]</f>
        <v>32</v>
      </c>
      <c r="AY323" s="8">
        <f ca="1">IF(COUNTIF(PlayerGameData[BLKOrder],PlayerGameData[[#This Row],[BLKOrder]])&gt;1,PlayerGameData[[#This Row],[PointRank]]/100+PlayerGameData[[#This Row],[BLKOrder]],PlayerGameData[[#This Row],[BLKOrder]])</f>
        <v>34.159999999999997</v>
      </c>
      <c r="AZ323" s="8">
        <f ca="1">RANK(PlayerGameData[[#This Row],[BLKTieBreak]],PlayerGameData[BLKTieBreak],1)</f>
        <v>216</v>
      </c>
      <c r="BA323" s="11">
        <f ca="1">IFERROR(IF(PlayerGameData[[#This Row],[FGA]]&gt;$AA$5,PlayerGameData[[#This Row],[FG%*]],PlayerGameData[[#This Row],[FG%*]]*-1),-2)</f>
        <v>-2</v>
      </c>
      <c r="BB323" s="8">
        <f ca="1">RANK(PlayerGameData[[#This Row],[EligFG]],PlayerGameData[EligFG],0)+PlayerGameData[[#This Row],[VisibleOrder]]</f>
        <v>215</v>
      </c>
      <c r="BC323" s="8">
        <f ca="1">IF(COUNTIF(PlayerGameData[EligFGOrder],PlayerGameData[[#This Row],[EligFGOrder]])&gt;1,PlayerGameData[[#This Row],[PointRank]]/100+PlayerGameData[[#This Row],[EligFGOrder]],PlayerGameData[[#This Row],[EligFGOrder]])</f>
        <v>217.16</v>
      </c>
      <c r="BD323" s="8">
        <f ca="1">RANK(PlayerGameData[[#This Row],[EligFGTieBreak]],PlayerGameData[EligFGTieBreak],1)</f>
        <v>216</v>
      </c>
      <c r="BE323" s="8" t="str">
        <f>Roster!$D$3</f>
        <v>East</v>
      </c>
      <c r="BF323" s="8" t="str">
        <f>Roster!$D$2</f>
        <v>Northeast</v>
      </c>
      <c r="BG323" s="8" t="str">
        <f>Roster!$D$4</f>
        <v>North</v>
      </c>
      <c r="BH323" s="197">
        <f ca="1">IFERROR(VLOOKUP(CONCATENATE(PlayerGameData[[#This Row],[Opponent]]," ",MONTH(PlayerGameData[[#This Row],[Date]]),"/",DAY(PlayerGameData[[#This Row],[Date]]),"/",YEAR(PlayerGameData[[#This Row],[Date]])),Table35[],2,FALSE),0)</f>
        <v>1</v>
      </c>
      <c r="BI323" s="197">
        <f ca="1">IF(PlayerGameData[[#This Row],[Visible]]=1,1,1000)</f>
        <v>1</v>
      </c>
      <c r="BJ323" s="197" t="e">
        <f ca="1">_xlfn.MAXIFS(TeamGameData[Win],TeamGameData[School, Opponent,Game'#],PlayerGameData[[#This Row],[School, Opponent,Game'#]])</f>
        <v>#NAME?</v>
      </c>
      <c r="BK323" s="197" t="e">
        <f ca="1">_xlfn.MAXIFS(TeamGameData[Loss],TeamGameData[School, Opponent,Game'#],PlayerGameData[[#This Row],[School, Opponent,Game'#]])</f>
        <v>#NAME?</v>
      </c>
    </row>
    <row r="324" spans="1:63" x14ac:dyDescent="0.25">
      <c r="A324" s="8" t="str">
        <f t="shared" ca="1" si="153"/>
        <v>Carson Barritt, 14</v>
      </c>
      <c r="B324" s="8" t="str">
        <f>Roster!$B$1</f>
        <v>Upton</v>
      </c>
      <c r="C324" s="8" t="str">
        <f t="shared" ca="1" si="141"/>
        <v>Thunder Basin JV</v>
      </c>
      <c r="D324" s="10">
        <f t="shared" ca="1" si="142"/>
        <v>44957</v>
      </c>
      <c r="E324" s="8">
        <f t="shared" ca="1" si="143"/>
        <v>0</v>
      </c>
      <c r="F324" s="8">
        <f t="shared" ca="1" si="144"/>
        <v>0</v>
      </c>
      <c r="G324" s="8">
        <f t="shared" ca="1" si="145"/>
        <v>0</v>
      </c>
      <c r="H324" s="8">
        <f t="shared" ca="1" si="146"/>
        <v>0</v>
      </c>
      <c r="I324" s="8">
        <f t="shared" ca="1" si="147"/>
        <v>0</v>
      </c>
      <c r="J324" s="8">
        <f t="shared" ca="1" si="148"/>
        <v>0</v>
      </c>
      <c r="K324" s="8">
        <f t="shared" ca="1" si="149"/>
        <v>0</v>
      </c>
      <c r="L324" s="8">
        <f t="shared" ca="1" si="154"/>
        <v>0</v>
      </c>
      <c r="M324" s="8">
        <f t="shared" ca="1" si="155"/>
        <v>0</v>
      </c>
      <c r="N324" s="8">
        <f t="shared" ca="1" si="156"/>
        <v>0</v>
      </c>
      <c r="O324" s="8">
        <f t="shared" ca="1" si="157"/>
        <v>0</v>
      </c>
      <c r="P324" s="8">
        <f t="shared" ca="1" si="158"/>
        <v>0</v>
      </c>
      <c r="Q324" s="8">
        <f t="shared" ca="1" si="159"/>
        <v>0</v>
      </c>
      <c r="R324" s="8">
        <f t="shared" ca="1" si="160"/>
        <v>0</v>
      </c>
      <c r="S324" s="8">
        <f t="shared" ca="1" si="161"/>
        <v>0</v>
      </c>
      <c r="T324" s="8">
        <f t="shared" ca="1" si="162"/>
        <v>0</v>
      </c>
      <c r="U324" s="8">
        <f t="shared" ca="1" si="163"/>
        <v>0</v>
      </c>
      <c r="V324" s="8">
        <f t="shared" ca="1" si="164"/>
        <v>0</v>
      </c>
      <c r="W324" s="11" t="str">
        <f t="shared" ca="1" si="165"/>
        <v/>
      </c>
      <c r="X324" s="11" t="str">
        <f t="shared" ca="1" si="166"/>
        <v/>
      </c>
      <c r="Y324" s="11" t="str">
        <f t="shared" ca="1" si="167"/>
        <v/>
      </c>
      <c r="Z324" s="11" t="str">
        <f t="shared" ca="1" si="168"/>
        <v/>
      </c>
      <c r="AA324" s="11" t="str">
        <f t="shared" ca="1" si="169"/>
        <v/>
      </c>
      <c r="AB324" s="47">
        <f ca="1">PlayerGameData[[#This Row],[3FGA]]+PlayerGameData[[#This Row],[2FGA]]</f>
        <v>0</v>
      </c>
      <c r="AC324" s="47">
        <f ca="1">PlayerGameData[[#This Row],[OFF REB]]+PlayerGameData[[#This Row],[DEF REB]]</f>
        <v>0</v>
      </c>
      <c r="AD324" s="8">
        <f t="shared" si="150"/>
        <v>14</v>
      </c>
      <c r="AE324" s="8" t="str">
        <f t="shared" ca="1" si="151"/>
        <v>Carson Barritt, 14 - Thunder Basin JV 1/31/2023</v>
      </c>
      <c r="AF324" s="8" t="str">
        <f t="shared" ca="1" si="170"/>
        <v/>
      </c>
      <c r="AG324" s="8" t="str">
        <f ca="1">IFERROR(IF(C324=0,"",IF(AND(VLOOKUP(PlayerGameData[[#This Row],[Opponent]],WYTeamInfo,2,FALSE)=Roster!$D$1,VLOOKUP(PlayerGameData[[#This Row],[Opponent]],WYTeamInfo,3,FALSE)=Roster!$D$2),"SR","")),"")</f>
        <v/>
      </c>
      <c r="AH324" s="8" t="str">
        <f>CONCATENATE(Roster!$D$1," ",Roster!$D$5)</f>
        <v>1A BB</v>
      </c>
      <c r="AI324" s="8" t="str">
        <f t="shared" ca="1" si="152"/>
        <v>Upton - Thunder Basin JV 1/31/2023</v>
      </c>
      <c r="AJ324" s="8">
        <f ca="1">IFERROR(VLOOKUP(PlayerGameData[[#This Row],[School, Opponent,Game'#]],Table3[],2,FALSE),0)</f>
        <v>1</v>
      </c>
      <c r="AK324" s="8">
        <f ca="1">IF(PlayerGameData[[#This Row],[Visible]]=1,1,1000)</f>
        <v>1</v>
      </c>
      <c r="AL324" s="8">
        <f ca="1">RANK(PlayerGameData[[#This Row],[TL PTS]],PlayerGameData[TL PTS],0)+PlayerGameData[[#This Row],[VisibleOrder]]</f>
        <v>185</v>
      </c>
      <c r="AM324" s="8">
        <f ca="1">IF(COUNTIF(PlayerGameData[PointOrder],PlayerGameData[[#This Row],[PointOrder]])&gt;1,RANK(PlayerGameData[[#This Row],[FGA]],PlayerGameData[FGA],0)/100,0)+PlayerGameData[[#This Row],[PointOrder]]</f>
        <v>187.14</v>
      </c>
      <c r="AN324" s="8">
        <f ca="1">RANK(PlayerGameData[[#This Row],[PointTieBreak]],PlayerGameData[PointTieBreak],1)</f>
        <v>216</v>
      </c>
      <c r="AO324" s="8">
        <f ca="1">RANK(PlayerGameData[[#This Row],[REB]],PlayerGameData[REB],0)+PlayerGameData[[#This Row],[VisibleOrder]]</f>
        <v>192</v>
      </c>
      <c r="AP324" s="8">
        <f ca="1">IF(COUNTIF(PlayerGameData[REBOrder],PlayerGameData[[#This Row],[REBOrder]])&gt;1,PlayerGameData[[#This Row],[PointRank]]/100+PlayerGameData[[#This Row],[REBOrder]],PlayerGameData[[#This Row],[REBOrder]])</f>
        <v>194.16</v>
      </c>
      <c r="AQ324" s="8">
        <f ca="1">RANK(PlayerGameData[[#This Row],[REBTieBreak]],PlayerGameData[REBTieBreak],1)</f>
        <v>224</v>
      </c>
      <c r="AR324" s="8">
        <f ca="1">RANK(PlayerGameData[[#This Row],[AST]],PlayerGameData[AST],0)+PlayerGameData[[#This Row],[VisibleOrder]]</f>
        <v>158</v>
      </c>
      <c r="AS324" s="8">
        <f ca="1">IF(COUNTIF(PlayerGameData[ASTOrder],PlayerGameData[[#This Row],[ASTOrder]])&gt;1,PlayerGameData[[#This Row],[PointRank]]/100+PlayerGameData[[#This Row],[ASTOrder]],PlayerGameData[[#This Row],[ASTOrder]])</f>
        <v>160.16</v>
      </c>
      <c r="AT324" s="8">
        <f ca="1">RANK(PlayerGameData[[#This Row],[ASTTieBreak]],PlayerGameData[ASTTieBreak],1)</f>
        <v>221</v>
      </c>
      <c r="AU324" s="8">
        <f ca="1">RANK(PlayerGameData[[#This Row],[STL]],PlayerGameData[STL],0)+PlayerGameData[[#This Row],[VisibleOrder]]</f>
        <v>143</v>
      </c>
      <c r="AV324" s="8">
        <f ca="1">IF(COUNTIF(PlayerGameData[STLOrder],PlayerGameData[[#This Row],[STLOrder]])&gt;1,PlayerGameData[[#This Row],[PointRank]]/100+PlayerGameData[[#This Row],[STLOrder]],PlayerGameData[[#This Row],[STLOrder]])</f>
        <v>145.16</v>
      </c>
      <c r="AW324" s="8">
        <f ca="1">RANK(PlayerGameData[[#This Row],[STLTieBreak]],PlayerGameData[STLTieBreak],1)</f>
        <v>217</v>
      </c>
      <c r="AX324" s="8">
        <f ca="1">RANK(PlayerGameData[[#This Row],[BLK]],PlayerGameData[BLK],0)+PlayerGameData[[#This Row],[VisibleOrder]]</f>
        <v>32</v>
      </c>
      <c r="AY324" s="8">
        <f ca="1">IF(COUNTIF(PlayerGameData[BLKOrder],PlayerGameData[[#This Row],[BLKOrder]])&gt;1,PlayerGameData[[#This Row],[PointRank]]/100+PlayerGameData[[#This Row],[BLKOrder]],PlayerGameData[[#This Row],[BLKOrder]])</f>
        <v>34.159999999999997</v>
      </c>
      <c r="AZ324" s="8">
        <f ca="1">RANK(PlayerGameData[[#This Row],[BLKTieBreak]],PlayerGameData[BLKTieBreak],1)</f>
        <v>216</v>
      </c>
      <c r="BA324" s="11">
        <f ca="1">IFERROR(IF(PlayerGameData[[#This Row],[FGA]]&gt;$AA$5,PlayerGameData[[#This Row],[FG%*]],PlayerGameData[[#This Row],[FG%*]]*-1),-2)</f>
        <v>-2</v>
      </c>
      <c r="BB324" s="8">
        <f ca="1">RANK(PlayerGameData[[#This Row],[EligFG]],PlayerGameData[EligFG],0)+PlayerGameData[[#This Row],[VisibleOrder]]</f>
        <v>215</v>
      </c>
      <c r="BC324" s="8">
        <f ca="1">IF(COUNTIF(PlayerGameData[EligFGOrder],PlayerGameData[[#This Row],[EligFGOrder]])&gt;1,PlayerGameData[[#This Row],[PointRank]]/100+PlayerGameData[[#This Row],[EligFGOrder]],PlayerGameData[[#This Row],[EligFGOrder]])</f>
        <v>217.16</v>
      </c>
      <c r="BD324" s="8">
        <f ca="1">RANK(PlayerGameData[[#This Row],[EligFGTieBreak]],PlayerGameData[EligFGTieBreak],1)</f>
        <v>216</v>
      </c>
      <c r="BE324" s="8" t="str">
        <f>Roster!$D$3</f>
        <v>East</v>
      </c>
      <c r="BF324" s="8" t="str">
        <f>Roster!$D$2</f>
        <v>Northeast</v>
      </c>
      <c r="BG324" s="8" t="str">
        <f>Roster!$D$4</f>
        <v>North</v>
      </c>
      <c r="BH324" s="197">
        <f ca="1">IFERROR(VLOOKUP(CONCATENATE(PlayerGameData[[#This Row],[Opponent]]," ",MONTH(PlayerGameData[[#This Row],[Date]]),"/",DAY(PlayerGameData[[#This Row],[Date]]),"/",YEAR(PlayerGameData[[#This Row],[Date]])),Table35[],2,FALSE),0)</f>
        <v>1</v>
      </c>
      <c r="BI324" s="197">
        <f ca="1">IF(PlayerGameData[[#This Row],[Visible]]=1,1,1000)</f>
        <v>1</v>
      </c>
      <c r="BJ324" s="197" t="e">
        <f ca="1">_xlfn.MAXIFS(TeamGameData[Win],TeamGameData[School, Opponent,Game'#],PlayerGameData[[#This Row],[School, Opponent,Game'#]])</f>
        <v>#NAME?</v>
      </c>
      <c r="BK324" s="197" t="e">
        <f ca="1">_xlfn.MAXIFS(TeamGameData[Loss],TeamGameData[School, Opponent,Game'#],PlayerGameData[[#This Row],[School, Opponent,Game'#]])</f>
        <v>#NAME?</v>
      </c>
    </row>
    <row r="325" spans="1:63" x14ac:dyDescent="0.25">
      <c r="A325" s="8" t="str">
        <f t="shared" ca="1" si="153"/>
        <v>Ben Carpenter, 21</v>
      </c>
      <c r="B325" s="8" t="str">
        <f>Roster!$B$1</f>
        <v>Upton</v>
      </c>
      <c r="C325" s="8" t="str">
        <f t="shared" ca="1" si="141"/>
        <v>Thunder Basin JV</v>
      </c>
      <c r="D325" s="10">
        <f t="shared" ca="1" si="142"/>
        <v>44957</v>
      </c>
      <c r="E325" s="8">
        <f t="shared" ca="1" si="143"/>
        <v>0</v>
      </c>
      <c r="F325" s="8">
        <f t="shared" ca="1" si="144"/>
        <v>0</v>
      </c>
      <c r="G325" s="8">
        <f t="shared" ca="1" si="145"/>
        <v>0</v>
      </c>
      <c r="H325" s="8">
        <f t="shared" ca="1" si="146"/>
        <v>0</v>
      </c>
      <c r="I325" s="8">
        <f t="shared" ca="1" si="147"/>
        <v>0</v>
      </c>
      <c r="J325" s="8">
        <f t="shared" ca="1" si="148"/>
        <v>0</v>
      </c>
      <c r="K325" s="8">
        <f t="shared" ca="1" si="149"/>
        <v>0</v>
      </c>
      <c r="L325" s="8">
        <f t="shared" ca="1" si="154"/>
        <v>0</v>
      </c>
      <c r="M325" s="8">
        <f t="shared" ca="1" si="155"/>
        <v>0</v>
      </c>
      <c r="N325" s="8">
        <f t="shared" ca="1" si="156"/>
        <v>0</v>
      </c>
      <c r="O325" s="8">
        <f t="shared" ca="1" si="157"/>
        <v>0</v>
      </c>
      <c r="P325" s="8">
        <f t="shared" ca="1" si="158"/>
        <v>0</v>
      </c>
      <c r="Q325" s="8">
        <f t="shared" ca="1" si="159"/>
        <v>0</v>
      </c>
      <c r="R325" s="8">
        <f t="shared" ca="1" si="160"/>
        <v>0</v>
      </c>
      <c r="S325" s="8">
        <f t="shared" ca="1" si="161"/>
        <v>0</v>
      </c>
      <c r="T325" s="8">
        <f t="shared" ca="1" si="162"/>
        <v>0</v>
      </c>
      <c r="U325" s="8">
        <f t="shared" ca="1" si="163"/>
        <v>0</v>
      </c>
      <c r="V325" s="8">
        <f t="shared" ca="1" si="164"/>
        <v>0</v>
      </c>
      <c r="W325" s="11" t="str">
        <f t="shared" ca="1" si="165"/>
        <v/>
      </c>
      <c r="X325" s="11" t="str">
        <f t="shared" ca="1" si="166"/>
        <v/>
      </c>
      <c r="Y325" s="11" t="str">
        <f t="shared" ca="1" si="167"/>
        <v/>
      </c>
      <c r="Z325" s="11" t="str">
        <f t="shared" ca="1" si="168"/>
        <v/>
      </c>
      <c r="AA325" s="11" t="str">
        <f t="shared" ca="1" si="169"/>
        <v/>
      </c>
      <c r="AB325" s="47">
        <f ca="1">PlayerGameData[[#This Row],[3FGA]]+PlayerGameData[[#This Row],[2FGA]]</f>
        <v>0</v>
      </c>
      <c r="AC325" s="47">
        <f ca="1">PlayerGameData[[#This Row],[OFF REB]]+PlayerGameData[[#This Row],[DEF REB]]</f>
        <v>0</v>
      </c>
      <c r="AD325" s="8">
        <f t="shared" si="150"/>
        <v>14</v>
      </c>
      <c r="AE325" s="8" t="str">
        <f t="shared" ca="1" si="151"/>
        <v>Ben Carpenter, 21 - Thunder Basin JV 1/31/2023</v>
      </c>
      <c r="AF325" s="8" t="str">
        <f t="shared" ca="1" si="170"/>
        <v/>
      </c>
      <c r="AG325" s="8" t="str">
        <f ca="1">IFERROR(IF(C325=0,"",IF(AND(VLOOKUP(PlayerGameData[[#This Row],[Opponent]],WYTeamInfo,2,FALSE)=Roster!$D$1,VLOOKUP(PlayerGameData[[#This Row],[Opponent]],WYTeamInfo,3,FALSE)=Roster!$D$2),"SR","")),"")</f>
        <v/>
      </c>
      <c r="AH325" s="8" t="str">
        <f>CONCATENATE(Roster!$D$1," ",Roster!$D$5)</f>
        <v>1A BB</v>
      </c>
      <c r="AI325" s="8" t="str">
        <f t="shared" ca="1" si="152"/>
        <v>Upton - Thunder Basin JV 1/31/2023</v>
      </c>
      <c r="AJ325" s="8">
        <f ca="1">IFERROR(VLOOKUP(PlayerGameData[[#This Row],[School, Opponent,Game'#]],Table3[],2,FALSE),0)</f>
        <v>1</v>
      </c>
      <c r="AK325" s="8">
        <f ca="1">IF(PlayerGameData[[#This Row],[Visible]]=1,1,1000)</f>
        <v>1</v>
      </c>
      <c r="AL325" s="8">
        <f ca="1">RANK(PlayerGameData[[#This Row],[TL PTS]],PlayerGameData[TL PTS],0)+PlayerGameData[[#This Row],[VisibleOrder]]</f>
        <v>185</v>
      </c>
      <c r="AM325" s="8">
        <f ca="1">IF(COUNTIF(PlayerGameData[PointOrder],PlayerGameData[[#This Row],[PointOrder]])&gt;1,RANK(PlayerGameData[[#This Row],[FGA]],PlayerGameData[FGA],0)/100,0)+PlayerGameData[[#This Row],[PointOrder]]</f>
        <v>187.14</v>
      </c>
      <c r="AN325" s="8">
        <f ca="1">RANK(PlayerGameData[[#This Row],[PointTieBreak]],PlayerGameData[PointTieBreak],1)</f>
        <v>216</v>
      </c>
      <c r="AO325" s="8">
        <f ca="1">RANK(PlayerGameData[[#This Row],[REB]],PlayerGameData[REB],0)+PlayerGameData[[#This Row],[VisibleOrder]]</f>
        <v>192</v>
      </c>
      <c r="AP325" s="8">
        <f ca="1">IF(COUNTIF(PlayerGameData[REBOrder],PlayerGameData[[#This Row],[REBOrder]])&gt;1,PlayerGameData[[#This Row],[PointRank]]/100+PlayerGameData[[#This Row],[REBOrder]],PlayerGameData[[#This Row],[REBOrder]])</f>
        <v>194.16</v>
      </c>
      <c r="AQ325" s="8">
        <f ca="1">RANK(PlayerGameData[[#This Row],[REBTieBreak]],PlayerGameData[REBTieBreak],1)</f>
        <v>224</v>
      </c>
      <c r="AR325" s="8">
        <f ca="1">RANK(PlayerGameData[[#This Row],[AST]],PlayerGameData[AST],0)+PlayerGameData[[#This Row],[VisibleOrder]]</f>
        <v>158</v>
      </c>
      <c r="AS325" s="8">
        <f ca="1">IF(COUNTIF(PlayerGameData[ASTOrder],PlayerGameData[[#This Row],[ASTOrder]])&gt;1,PlayerGameData[[#This Row],[PointRank]]/100+PlayerGameData[[#This Row],[ASTOrder]],PlayerGameData[[#This Row],[ASTOrder]])</f>
        <v>160.16</v>
      </c>
      <c r="AT325" s="8">
        <f ca="1">RANK(PlayerGameData[[#This Row],[ASTTieBreak]],PlayerGameData[ASTTieBreak],1)</f>
        <v>221</v>
      </c>
      <c r="AU325" s="8">
        <f ca="1">RANK(PlayerGameData[[#This Row],[STL]],PlayerGameData[STL],0)+PlayerGameData[[#This Row],[VisibleOrder]]</f>
        <v>143</v>
      </c>
      <c r="AV325" s="8">
        <f ca="1">IF(COUNTIF(PlayerGameData[STLOrder],PlayerGameData[[#This Row],[STLOrder]])&gt;1,PlayerGameData[[#This Row],[PointRank]]/100+PlayerGameData[[#This Row],[STLOrder]],PlayerGameData[[#This Row],[STLOrder]])</f>
        <v>145.16</v>
      </c>
      <c r="AW325" s="8">
        <f ca="1">RANK(PlayerGameData[[#This Row],[STLTieBreak]],PlayerGameData[STLTieBreak],1)</f>
        <v>217</v>
      </c>
      <c r="AX325" s="8">
        <f ca="1">RANK(PlayerGameData[[#This Row],[BLK]],PlayerGameData[BLK],0)+PlayerGameData[[#This Row],[VisibleOrder]]</f>
        <v>32</v>
      </c>
      <c r="AY325" s="8">
        <f ca="1">IF(COUNTIF(PlayerGameData[BLKOrder],PlayerGameData[[#This Row],[BLKOrder]])&gt;1,PlayerGameData[[#This Row],[PointRank]]/100+PlayerGameData[[#This Row],[BLKOrder]],PlayerGameData[[#This Row],[BLKOrder]])</f>
        <v>34.159999999999997</v>
      </c>
      <c r="AZ325" s="8">
        <f ca="1">RANK(PlayerGameData[[#This Row],[BLKTieBreak]],PlayerGameData[BLKTieBreak],1)</f>
        <v>216</v>
      </c>
      <c r="BA325" s="11">
        <f ca="1">IFERROR(IF(PlayerGameData[[#This Row],[FGA]]&gt;$AA$5,PlayerGameData[[#This Row],[FG%*]],PlayerGameData[[#This Row],[FG%*]]*-1),-2)</f>
        <v>-2</v>
      </c>
      <c r="BB325" s="8">
        <f ca="1">RANK(PlayerGameData[[#This Row],[EligFG]],PlayerGameData[EligFG],0)+PlayerGameData[[#This Row],[VisibleOrder]]</f>
        <v>215</v>
      </c>
      <c r="BC325" s="8">
        <f ca="1">IF(COUNTIF(PlayerGameData[EligFGOrder],PlayerGameData[[#This Row],[EligFGOrder]])&gt;1,PlayerGameData[[#This Row],[PointRank]]/100+PlayerGameData[[#This Row],[EligFGOrder]],PlayerGameData[[#This Row],[EligFGOrder]])</f>
        <v>217.16</v>
      </c>
      <c r="BD325" s="8">
        <f ca="1">RANK(PlayerGameData[[#This Row],[EligFGTieBreak]],PlayerGameData[EligFGTieBreak],1)</f>
        <v>216</v>
      </c>
      <c r="BE325" s="8" t="str">
        <f>Roster!$D$3</f>
        <v>East</v>
      </c>
      <c r="BF325" s="8" t="str">
        <f>Roster!$D$2</f>
        <v>Northeast</v>
      </c>
      <c r="BG325" s="8" t="str">
        <f>Roster!$D$4</f>
        <v>North</v>
      </c>
      <c r="BH325" s="197">
        <f ca="1">IFERROR(VLOOKUP(CONCATENATE(PlayerGameData[[#This Row],[Opponent]]," ",MONTH(PlayerGameData[[#This Row],[Date]]),"/",DAY(PlayerGameData[[#This Row],[Date]]),"/",YEAR(PlayerGameData[[#This Row],[Date]])),Table35[],2,FALSE),0)</f>
        <v>1</v>
      </c>
      <c r="BI325" s="197">
        <f ca="1">IF(PlayerGameData[[#This Row],[Visible]]=1,1,1000)</f>
        <v>1</v>
      </c>
      <c r="BJ325" s="197" t="e">
        <f ca="1">_xlfn.MAXIFS(TeamGameData[Win],TeamGameData[School, Opponent,Game'#],PlayerGameData[[#This Row],[School, Opponent,Game'#]])</f>
        <v>#NAME?</v>
      </c>
      <c r="BK325" s="197" t="e">
        <f ca="1">_xlfn.MAXIFS(TeamGameData[Loss],TeamGameData[School, Opponent,Game'#],PlayerGameData[[#This Row],[School, Opponent,Game'#]])</f>
        <v>#NAME?</v>
      </c>
    </row>
    <row r="326" spans="1:63" x14ac:dyDescent="0.25">
      <c r="A326" s="8" t="str">
        <f t="shared" ca="1" si="153"/>
        <v>Ethan Schiller, 23</v>
      </c>
      <c r="B326" s="8" t="str">
        <f>Roster!$B$1</f>
        <v>Upton</v>
      </c>
      <c r="C326" s="8" t="str">
        <f t="shared" ca="1" si="141"/>
        <v>Thunder Basin JV</v>
      </c>
      <c r="D326" s="10">
        <f t="shared" ca="1" si="142"/>
        <v>44957</v>
      </c>
      <c r="E326" s="8">
        <f t="shared" ca="1" si="143"/>
        <v>1</v>
      </c>
      <c r="F326" s="8">
        <f t="shared" ca="1" si="144"/>
        <v>1</v>
      </c>
      <c r="G326" s="8">
        <f t="shared" ca="1" si="145"/>
        <v>30</v>
      </c>
      <c r="H326" s="8">
        <f t="shared" ca="1" si="146"/>
        <v>1</v>
      </c>
      <c r="I326" s="8">
        <f t="shared" ca="1" si="147"/>
        <v>2</v>
      </c>
      <c r="J326" s="8">
        <f t="shared" ca="1" si="148"/>
        <v>4</v>
      </c>
      <c r="K326" s="8">
        <f t="shared" ca="1" si="149"/>
        <v>10</v>
      </c>
      <c r="L326" s="8">
        <f t="shared" ca="1" si="154"/>
        <v>8</v>
      </c>
      <c r="M326" s="8">
        <f t="shared" ca="1" si="155"/>
        <v>10</v>
      </c>
      <c r="N326" s="8">
        <f t="shared" ca="1" si="156"/>
        <v>6</v>
      </c>
      <c r="O326" s="8">
        <f t="shared" ca="1" si="157"/>
        <v>4</v>
      </c>
      <c r="P326" s="8">
        <f t="shared" ca="1" si="158"/>
        <v>2</v>
      </c>
      <c r="Q326" s="8">
        <f t="shared" ca="1" si="159"/>
        <v>2</v>
      </c>
      <c r="R326" s="8">
        <f t="shared" ca="1" si="160"/>
        <v>1</v>
      </c>
      <c r="S326" s="8">
        <f t="shared" ca="1" si="161"/>
        <v>3</v>
      </c>
      <c r="T326" s="8">
        <f t="shared" ca="1" si="162"/>
        <v>0</v>
      </c>
      <c r="U326" s="8">
        <f t="shared" ca="1" si="163"/>
        <v>0</v>
      </c>
      <c r="V326" s="8">
        <f t="shared" ca="1" si="164"/>
        <v>19</v>
      </c>
      <c r="W326" s="11">
        <f t="shared" ca="1" si="165"/>
        <v>0.5</v>
      </c>
      <c r="X326" s="11">
        <f t="shared" ca="1" si="166"/>
        <v>0.4</v>
      </c>
      <c r="Y326" s="11">
        <f t="shared" ca="1" si="167"/>
        <v>0.8</v>
      </c>
      <c r="Z326" s="11">
        <f t="shared" ca="1" si="168"/>
        <v>0.41666666666666669</v>
      </c>
      <c r="AA326" s="11">
        <f t="shared" ca="1" si="169"/>
        <v>0.45833333333333331</v>
      </c>
      <c r="AB326" s="47">
        <f ca="1">PlayerGameData[[#This Row],[3FGA]]+PlayerGameData[[#This Row],[2FGA]]</f>
        <v>12</v>
      </c>
      <c r="AC326" s="47">
        <f ca="1">PlayerGameData[[#This Row],[OFF REB]]+PlayerGameData[[#This Row],[DEF REB]]</f>
        <v>10</v>
      </c>
      <c r="AD326" s="8">
        <f t="shared" si="150"/>
        <v>14</v>
      </c>
      <c r="AE326" s="8" t="str">
        <f t="shared" ca="1" si="151"/>
        <v>Ethan Schiller, 23 - Thunder Basin JV 1/31/2023</v>
      </c>
      <c r="AF326" s="8" t="str">
        <f t="shared" ca="1" si="170"/>
        <v/>
      </c>
      <c r="AG326" s="8" t="str">
        <f ca="1">IFERROR(IF(C326=0,"",IF(AND(VLOOKUP(PlayerGameData[[#This Row],[Opponent]],WYTeamInfo,2,FALSE)=Roster!$D$1,VLOOKUP(PlayerGameData[[#This Row],[Opponent]],WYTeamInfo,3,FALSE)=Roster!$D$2),"SR","")),"")</f>
        <v/>
      </c>
      <c r="AH326" s="8" t="str">
        <f>CONCATENATE(Roster!$D$1," ",Roster!$D$5)</f>
        <v>1A BB</v>
      </c>
      <c r="AI326" s="8" t="str">
        <f t="shared" ca="1" si="152"/>
        <v>Upton - Thunder Basin JV 1/31/2023</v>
      </c>
      <c r="AJ326" s="8">
        <f ca="1">IFERROR(VLOOKUP(PlayerGameData[[#This Row],[School, Opponent,Game'#]],Table3[],2,FALSE),0)</f>
        <v>1</v>
      </c>
      <c r="AK326" s="8">
        <f ca="1">IF(PlayerGameData[[#This Row],[Visible]]=1,1,1000)</f>
        <v>1</v>
      </c>
      <c r="AL326" s="8">
        <f ca="1">RANK(PlayerGameData[[#This Row],[TL PTS]],PlayerGameData[TL PTS],0)+PlayerGameData[[#This Row],[VisibleOrder]]</f>
        <v>10</v>
      </c>
      <c r="AM326" s="8">
        <f ca="1">IF(COUNTIF(PlayerGameData[PointOrder],PlayerGameData[[#This Row],[PointOrder]])&gt;1,RANK(PlayerGameData[[#This Row],[FGA]],PlayerGameData[FGA],0)/100,0)+PlayerGameData[[#This Row],[PointOrder]]</f>
        <v>10.25</v>
      </c>
      <c r="AN326" s="8">
        <f ca="1">RANK(PlayerGameData[[#This Row],[PointTieBreak]],PlayerGameData[PointTieBreak],1)</f>
        <v>10</v>
      </c>
      <c r="AO326" s="8">
        <f ca="1">RANK(PlayerGameData[[#This Row],[REB]],PlayerGameData[REB],0)+PlayerGameData[[#This Row],[VisibleOrder]]</f>
        <v>6</v>
      </c>
      <c r="AP326" s="8">
        <f ca="1">IF(COUNTIF(PlayerGameData[REBOrder],PlayerGameData[[#This Row],[REBOrder]])&gt;1,PlayerGameData[[#This Row],[PointRank]]/100+PlayerGameData[[#This Row],[REBOrder]],PlayerGameData[[#This Row],[REBOrder]])</f>
        <v>6.1</v>
      </c>
      <c r="AQ326" s="8">
        <f ca="1">RANK(PlayerGameData[[#This Row],[REBTieBreak]],PlayerGameData[REBTieBreak],1)</f>
        <v>6</v>
      </c>
      <c r="AR326" s="8">
        <f ca="1">RANK(PlayerGameData[[#This Row],[AST]],PlayerGameData[AST],0)+PlayerGameData[[#This Row],[VisibleOrder]]</f>
        <v>69</v>
      </c>
      <c r="AS326" s="8">
        <f ca="1">IF(COUNTIF(PlayerGameData[ASTOrder],PlayerGameData[[#This Row],[ASTOrder]])&gt;1,PlayerGameData[[#This Row],[PointRank]]/100+PlayerGameData[[#This Row],[ASTOrder]],PlayerGameData[[#This Row],[ASTOrder]])</f>
        <v>69.099999999999994</v>
      </c>
      <c r="AT326" s="8">
        <f ca="1">RANK(PlayerGameData[[#This Row],[ASTTieBreak]],PlayerGameData[ASTTieBreak],1)</f>
        <v>70</v>
      </c>
      <c r="AU326" s="8">
        <f ca="1">RANK(PlayerGameData[[#This Row],[STL]],PlayerGameData[STL],0)+PlayerGameData[[#This Row],[VisibleOrder]]</f>
        <v>48</v>
      </c>
      <c r="AV326" s="8">
        <f ca="1">IF(COUNTIF(PlayerGameData[STLOrder],PlayerGameData[[#This Row],[STLOrder]])&gt;1,PlayerGameData[[#This Row],[PointRank]]/100+PlayerGameData[[#This Row],[STLOrder]],PlayerGameData[[#This Row],[STLOrder]])</f>
        <v>48.1</v>
      </c>
      <c r="AW326" s="8">
        <f ca="1">RANK(PlayerGameData[[#This Row],[STLTieBreak]],PlayerGameData[STLTieBreak],1)</f>
        <v>48</v>
      </c>
      <c r="AX326" s="8">
        <f ca="1">RANK(PlayerGameData[[#This Row],[BLK]],PlayerGameData[BLK],0)+PlayerGameData[[#This Row],[VisibleOrder]]</f>
        <v>11</v>
      </c>
      <c r="AY326" s="8">
        <f ca="1">IF(COUNTIF(PlayerGameData[BLKOrder],PlayerGameData[[#This Row],[BLKOrder]])&gt;1,PlayerGameData[[#This Row],[PointRank]]/100+PlayerGameData[[#This Row],[BLKOrder]],PlayerGameData[[#This Row],[BLKOrder]])</f>
        <v>11.1</v>
      </c>
      <c r="AZ326" s="8">
        <f ca="1">RANK(PlayerGameData[[#This Row],[BLKTieBreak]],PlayerGameData[BLKTieBreak],1)</f>
        <v>10</v>
      </c>
      <c r="BA326" s="11">
        <f ca="1">IFERROR(IF(PlayerGameData[[#This Row],[FGA]]&gt;$AA$5,PlayerGameData[[#This Row],[FG%*]],PlayerGameData[[#This Row],[FG%*]]*-1),-2)</f>
        <v>0.41666666666666669</v>
      </c>
      <c r="BB326" s="8">
        <f ca="1">RANK(PlayerGameData[[#This Row],[EligFG]],PlayerGameData[EligFG],0)+PlayerGameData[[#This Row],[VisibleOrder]]</f>
        <v>67</v>
      </c>
      <c r="BC326" s="8">
        <f ca="1">IF(COUNTIF(PlayerGameData[EligFGOrder],PlayerGameData[[#This Row],[EligFGOrder]])&gt;1,PlayerGameData[[#This Row],[PointRank]]/100+PlayerGameData[[#This Row],[EligFGOrder]],PlayerGameData[[#This Row],[EligFGOrder]])</f>
        <v>67</v>
      </c>
      <c r="BD326" s="8">
        <f ca="1">RANK(PlayerGameData[[#This Row],[EligFGTieBreak]],PlayerGameData[EligFGTieBreak],1)</f>
        <v>66</v>
      </c>
      <c r="BE326" s="8" t="str">
        <f>Roster!$D$3</f>
        <v>East</v>
      </c>
      <c r="BF326" s="8" t="str">
        <f>Roster!$D$2</f>
        <v>Northeast</v>
      </c>
      <c r="BG326" s="8" t="str">
        <f>Roster!$D$4</f>
        <v>North</v>
      </c>
      <c r="BH326" s="197">
        <f ca="1">IFERROR(VLOOKUP(CONCATENATE(PlayerGameData[[#This Row],[Opponent]]," ",MONTH(PlayerGameData[[#This Row],[Date]]),"/",DAY(PlayerGameData[[#This Row],[Date]]),"/",YEAR(PlayerGameData[[#This Row],[Date]])),Table35[],2,FALSE),0)</f>
        <v>1</v>
      </c>
      <c r="BI326" s="197">
        <f ca="1">IF(PlayerGameData[[#This Row],[Visible]]=1,1,1000)</f>
        <v>1</v>
      </c>
      <c r="BJ326" s="197" t="e">
        <f ca="1">_xlfn.MAXIFS(TeamGameData[Win],TeamGameData[School, Opponent,Game'#],PlayerGameData[[#This Row],[School, Opponent,Game'#]])</f>
        <v>#NAME?</v>
      </c>
      <c r="BK326" s="197" t="e">
        <f ca="1">_xlfn.MAXIFS(TeamGameData[Loss],TeamGameData[School, Opponent,Game'#],PlayerGameData[[#This Row],[School, Opponent,Game'#]])</f>
        <v>#NAME?</v>
      </c>
    </row>
    <row r="327" spans="1:63" x14ac:dyDescent="0.25">
      <c r="A327" s="8" t="str">
        <f t="shared" ca="1" si="153"/>
        <v>Bridger Bruce, 25</v>
      </c>
      <c r="B327" s="8" t="str">
        <f>Roster!$B$1</f>
        <v>Upton</v>
      </c>
      <c r="C327" s="8" t="str">
        <f t="shared" ref="C327:C390" ca="1" si="171">INDIRECT("'game1 ("&amp;$AD327&amp;")'!$b$3")</f>
        <v>Thunder Basin JV</v>
      </c>
      <c r="D327" s="10">
        <f t="shared" ref="D327:D390" ca="1" si="172">INDIRECT("'game1 ("&amp;$AD327&amp;")'!$m$4")</f>
        <v>44957</v>
      </c>
      <c r="E327" s="8">
        <f t="shared" ref="E327:E390" ca="1" si="173">INDIRECT("'game1 ("&amp;$AD327&amp;")'!"&amp;ADDRESS(ROW(A$7)+MOD(ROW(A327)-7,24),COLUMN(D327)))</f>
        <v>1</v>
      </c>
      <c r="F327" s="8">
        <f t="shared" ref="F327:F390" ca="1" si="174">IF(INDIRECT("'game1 ("&amp;$AD327&amp;")'!"&amp;ADDRESS(ROW(B$7)+MOD(ROW(B327)-7,24),COLUMN(C327)))="s",1,0)</f>
        <v>0</v>
      </c>
      <c r="G327" s="8">
        <f t="shared" ref="G327:G390" ca="1" si="175">INDIRECT("'game1 ("&amp;$AD327&amp;")'!"&amp;ADDRESS(ROW(B$7)+MOD(ROW(B327)-7,24),COLUMN(E327)))</f>
        <v>11</v>
      </c>
      <c r="H327" s="8">
        <f t="shared" ref="H327:H390" ca="1" si="176">INDIRECT("'game1 ("&amp;$AD327&amp;")'!"&amp;ADDRESS(ROW(B$7)+MOD(ROW(B327)-7,24),COLUMN(F327)))</f>
        <v>1</v>
      </c>
      <c r="I327" s="8">
        <f t="shared" ref="I327:I390" ca="1" si="177">INDIRECT("'game1 ("&amp;$AD327&amp;")'!"&amp;ADDRESS(ROW(C$7)+MOD(ROW(C327)-7,24),COLUMN(G327)))</f>
        <v>2</v>
      </c>
      <c r="J327" s="8">
        <f t="shared" ref="J327:J390" ca="1" si="178">INDIRECT("'game1 ("&amp;$AD327&amp;")'!"&amp;ADDRESS(ROW(D$7)+MOD(ROW(D327)-7,24),COLUMN(H327)))</f>
        <v>0</v>
      </c>
      <c r="K327" s="8">
        <f t="shared" ref="K327:K390" ca="1" si="179">INDIRECT("'game1 ("&amp;$AD327&amp;")'!"&amp;ADDRESS(ROW(E$7)+MOD(ROW(E327)-7,24),COLUMN(I327)))</f>
        <v>1</v>
      </c>
      <c r="L327" s="8">
        <f t="shared" ca="1" si="154"/>
        <v>0</v>
      </c>
      <c r="M327" s="8">
        <f t="shared" ca="1" si="155"/>
        <v>0</v>
      </c>
      <c r="N327" s="8">
        <f t="shared" ca="1" si="156"/>
        <v>1</v>
      </c>
      <c r="O327" s="8">
        <f t="shared" ca="1" si="157"/>
        <v>2</v>
      </c>
      <c r="P327" s="8">
        <f t="shared" ca="1" si="158"/>
        <v>3</v>
      </c>
      <c r="Q327" s="8">
        <f t="shared" ca="1" si="159"/>
        <v>1</v>
      </c>
      <c r="R327" s="8">
        <f t="shared" ca="1" si="160"/>
        <v>0</v>
      </c>
      <c r="S327" s="8">
        <f t="shared" ca="1" si="161"/>
        <v>1</v>
      </c>
      <c r="T327" s="8">
        <f t="shared" ca="1" si="162"/>
        <v>2</v>
      </c>
      <c r="U327" s="8">
        <f t="shared" ca="1" si="163"/>
        <v>0</v>
      </c>
      <c r="V327" s="8">
        <f t="shared" ca="1" si="164"/>
        <v>3</v>
      </c>
      <c r="W327" s="11">
        <f t="shared" ca="1" si="165"/>
        <v>0.5</v>
      </c>
      <c r="X327" s="11">
        <f t="shared" ca="1" si="166"/>
        <v>0</v>
      </c>
      <c r="Y327" s="11" t="str">
        <f t="shared" ca="1" si="167"/>
        <v/>
      </c>
      <c r="Z327" s="11">
        <f t="shared" ca="1" si="168"/>
        <v>0.33333333333333331</v>
      </c>
      <c r="AA327" s="11">
        <f t="shared" ca="1" si="169"/>
        <v>0.5</v>
      </c>
      <c r="AB327" s="47">
        <f ca="1">PlayerGameData[[#This Row],[3FGA]]+PlayerGameData[[#This Row],[2FGA]]</f>
        <v>3</v>
      </c>
      <c r="AC327" s="47">
        <f ca="1">PlayerGameData[[#This Row],[OFF REB]]+PlayerGameData[[#This Row],[DEF REB]]</f>
        <v>3</v>
      </c>
      <c r="AD327" s="8">
        <f t="shared" ref="AD327:AD390" si="180">INT((ROW(A327)-7)/24)+1</f>
        <v>14</v>
      </c>
      <c r="AE327" s="8" t="str">
        <f t="shared" ref="AE327:AE390" ca="1" si="181">CONCATENATE(A327," - ",C327," ",MONTH(D327),"/",DAY(D327),"/",YEAR(D327))</f>
        <v>Bridger Bruce, 25 - Thunder Basin JV 1/31/2023</v>
      </c>
      <c r="AF327" s="8" t="str">
        <f t="shared" ca="1" si="170"/>
        <v/>
      </c>
      <c r="AG327" s="8" t="str">
        <f ca="1">IFERROR(IF(C327=0,"",IF(AND(VLOOKUP(PlayerGameData[[#This Row],[Opponent]],WYTeamInfo,2,FALSE)=Roster!$D$1,VLOOKUP(PlayerGameData[[#This Row],[Opponent]],WYTeamInfo,3,FALSE)=Roster!$D$2),"SR","")),"")</f>
        <v/>
      </c>
      <c r="AH327" s="8" t="str">
        <f>CONCATENATE(Roster!$D$1," ",Roster!$D$5)</f>
        <v>1A BB</v>
      </c>
      <c r="AI327" s="8" t="str">
        <f t="shared" ref="AI327:AI390" ca="1" si="182">IF($C327&lt;&gt;0,CONCATENATE($B327," - ",$C327," ",MONTH($D327),"/",DAY($D327),"/",YEAR($D327)),"Blank")</f>
        <v>Upton - Thunder Basin JV 1/31/2023</v>
      </c>
      <c r="AJ327" s="8">
        <f ca="1">IFERROR(VLOOKUP(PlayerGameData[[#This Row],[School, Opponent,Game'#]],Table3[],2,FALSE),0)</f>
        <v>1</v>
      </c>
      <c r="AK327" s="8">
        <f ca="1">IF(PlayerGameData[[#This Row],[Visible]]=1,1,1000)</f>
        <v>1</v>
      </c>
      <c r="AL327" s="8">
        <f ca="1">RANK(PlayerGameData[[#This Row],[TL PTS]],PlayerGameData[TL PTS],0)+PlayerGameData[[#This Row],[VisibleOrder]]</f>
        <v>135</v>
      </c>
      <c r="AM327" s="8">
        <f ca="1">IF(COUNTIF(PlayerGameData[PointOrder],PlayerGameData[[#This Row],[PointOrder]])&gt;1,RANK(PlayerGameData[[#This Row],[FGA]],PlayerGameData[FGA],0)/100,0)+PlayerGameData[[#This Row],[PointOrder]]</f>
        <v>136.4</v>
      </c>
      <c r="AN327" s="8">
        <f ca="1">RANK(PlayerGameData[[#This Row],[PointTieBreak]],PlayerGameData[PointTieBreak],1)</f>
        <v>137</v>
      </c>
      <c r="AO327" s="8">
        <f ca="1">RANK(PlayerGameData[[#This Row],[REB]],PlayerGameData[REB],0)+PlayerGameData[[#This Row],[VisibleOrder]]</f>
        <v>108</v>
      </c>
      <c r="AP327" s="8">
        <f ca="1">IF(COUNTIF(PlayerGameData[REBOrder],PlayerGameData[[#This Row],[REBOrder]])&gt;1,PlayerGameData[[#This Row],[PointRank]]/100+PlayerGameData[[#This Row],[REBOrder]],PlayerGameData[[#This Row],[REBOrder]])</f>
        <v>109.37</v>
      </c>
      <c r="AQ327" s="8">
        <f ca="1">RANK(PlayerGameData[[#This Row],[REBTieBreak]],PlayerGameData[REBTieBreak],1)</f>
        <v>124</v>
      </c>
      <c r="AR327" s="8">
        <f ca="1">RANK(PlayerGameData[[#This Row],[AST]],PlayerGameData[AST],0)+PlayerGameData[[#This Row],[VisibleOrder]]</f>
        <v>39</v>
      </c>
      <c r="AS327" s="8">
        <f ca="1">IF(COUNTIF(PlayerGameData[ASTOrder],PlayerGameData[[#This Row],[ASTOrder]])&gt;1,PlayerGameData[[#This Row],[PointRank]]/100+PlayerGameData[[#This Row],[ASTOrder]],PlayerGameData[[#This Row],[ASTOrder]])</f>
        <v>40.369999999999997</v>
      </c>
      <c r="AT327" s="8">
        <f ca="1">RANK(PlayerGameData[[#This Row],[ASTTieBreak]],PlayerGameData[ASTTieBreak],1)</f>
        <v>62</v>
      </c>
      <c r="AU327" s="8">
        <f ca="1">RANK(PlayerGameData[[#This Row],[STL]],PlayerGameData[STL],0)+PlayerGameData[[#This Row],[VisibleOrder]]</f>
        <v>84</v>
      </c>
      <c r="AV327" s="8">
        <f ca="1">IF(COUNTIF(PlayerGameData[STLOrder],PlayerGameData[[#This Row],[STLOrder]])&gt;1,PlayerGameData[[#This Row],[PointRank]]/100+PlayerGameData[[#This Row],[STLOrder]],PlayerGameData[[#This Row],[STLOrder]])</f>
        <v>85.37</v>
      </c>
      <c r="AW327" s="8">
        <f ca="1">RANK(PlayerGameData[[#This Row],[STLTieBreak]],PlayerGameData[STLTieBreak],1)</f>
        <v>122</v>
      </c>
      <c r="AX327" s="8">
        <f ca="1">RANK(PlayerGameData[[#This Row],[BLK]],PlayerGameData[BLK],0)+PlayerGameData[[#This Row],[VisibleOrder]]</f>
        <v>32</v>
      </c>
      <c r="AY327" s="8">
        <f ca="1">IF(COUNTIF(PlayerGameData[BLKOrder],PlayerGameData[[#This Row],[BLKOrder]])&gt;1,PlayerGameData[[#This Row],[PointRank]]/100+PlayerGameData[[#This Row],[BLKOrder]],PlayerGameData[[#This Row],[BLKOrder]])</f>
        <v>33.369999999999997</v>
      </c>
      <c r="AZ327" s="8">
        <f ca="1">RANK(PlayerGameData[[#This Row],[BLKTieBreak]],PlayerGameData[BLKTieBreak],1)</f>
        <v>141</v>
      </c>
      <c r="BA327" s="11">
        <f ca="1">IFERROR(IF(PlayerGameData[[#This Row],[FGA]]&gt;$AA$5,PlayerGameData[[#This Row],[FG%*]],PlayerGameData[[#This Row],[FG%*]]*-1),-2)</f>
        <v>-0.33333333333333331</v>
      </c>
      <c r="BB327" s="8">
        <f ca="1">RANK(PlayerGameData[[#This Row],[EligFG]],PlayerGameData[EligFG],0)+PlayerGameData[[#This Row],[VisibleOrder]]</f>
        <v>164</v>
      </c>
      <c r="BC327" s="8">
        <f ca="1">IF(COUNTIF(PlayerGameData[EligFGOrder],PlayerGameData[[#This Row],[EligFGOrder]])&gt;1,PlayerGameData[[#This Row],[PointRank]]/100+PlayerGameData[[#This Row],[EligFGOrder]],PlayerGameData[[#This Row],[EligFGOrder]])</f>
        <v>165.37</v>
      </c>
      <c r="BD327" s="8">
        <f ca="1">RANK(PlayerGameData[[#This Row],[EligFGTieBreak]],PlayerGameData[EligFGTieBreak],1)</f>
        <v>164</v>
      </c>
      <c r="BE327" s="8" t="str">
        <f>Roster!$D$3</f>
        <v>East</v>
      </c>
      <c r="BF327" s="8" t="str">
        <f>Roster!$D$2</f>
        <v>Northeast</v>
      </c>
      <c r="BG327" s="8" t="str">
        <f>Roster!$D$4</f>
        <v>North</v>
      </c>
      <c r="BH327" s="197">
        <f ca="1">IFERROR(VLOOKUP(CONCATENATE(PlayerGameData[[#This Row],[Opponent]]," ",MONTH(PlayerGameData[[#This Row],[Date]]),"/",DAY(PlayerGameData[[#This Row],[Date]]),"/",YEAR(PlayerGameData[[#This Row],[Date]])),Table35[],2,FALSE),0)</f>
        <v>1</v>
      </c>
      <c r="BI327" s="197">
        <f ca="1">IF(PlayerGameData[[#This Row],[Visible]]=1,1,1000)</f>
        <v>1</v>
      </c>
      <c r="BJ327" s="197" t="e">
        <f ca="1">_xlfn.MAXIFS(TeamGameData[Win],TeamGameData[School, Opponent,Game'#],PlayerGameData[[#This Row],[School, Opponent,Game'#]])</f>
        <v>#NAME?</v>
      </c>
      <c r="BK327" s="197" t="e">
        <f ca="1">_xlfn.MAXIFS(TeamGameData[Loss],TeamGameData[School, Opponent,Game'#],PlayerGameData[[#This Row],[School, Opponent,Game'#]])</f>
        <v>#NAME?</v>
      </c>
    </row>
    <row r="328" spans="1:63" x14ac:dyDescent="0.25">
      <c r="A328" s="8" t="str">
        <f t="shared" ref="A328:A391" ca="1" si="183">CONCATENATE(INDIRECT("Roster!B"&amp;ROW(A$7)+MOD(ROW(A328)-7,24)),", ",INDIRECT("Roster!a"&amp;ROW(A$7)+MOD(ROW(A328)-7,24)))</f>
        <v>Kailer Duarte, 31</v>
      </c>
      <c r="B328" s="8" t="str">
        <f>Roster!$B$1</f>
        <v>Upton</v>
      </c>
      <c r="C328" s="8" t="str">
        <f t="shared" ca="1" si="171"/>
        <v>Thunder Basin JV</v>
      </c>
      <c r="D328" s="10">
        <f t="shared" ca="1" si="172"/>
        <v>44957</v>
      </c>
      <c r="E328" s="8">
        <f t="shared" ca="1" si="173"/>
        <v>1</v>
      </c>
      <c r="F328" s="8">
        <f t="shared" ca="1" si="174"/>
        <v>1</v>
      </c>
      <c r="G328" s="8">
        <f t="shared" ca="1" si="175"/>
        <v>24</v>
      </c>
      <c r="H328" s="8">
        <f t="shared" ca="1" si="176"/>
        <v>2</v>
      </c>
      <c r="I328" s="8">
        <f t="shared" ca="1" si="177"/>
        <v>3</v>
      </c>
      <c r="J328" s="8">
        <f t="shared" ca="1" si="178"/>
        <v>3</v>
      </c>
      <c r="K328" s="8">
        <f t="shared" ca="1" si="179"/>
        <v>7</v>
      </c>
      <c r="L328" s="8">
        <f t="shared" ref="L328:L391" ca="1" si="184">INDIRECT("'game1 ("&amp;$AD328&amp;")'!"&amp;ADDRESS(ROW(G$7)+MOD(ROW(G328)-7,24),COLUMN(J328)))</f>
        <v>5</v>
      </c>
      <c r="M328" s="8">
        <f t="shared" ref="M328:M391" ca="1" si="185">INDIRECT("'game1 ("&amp;$AD328&amp;")'!"&amp;ADDRESS(ROW(H$7)+MOD(ROW(H328)-7,24),COLUMN(K328)))</f>
        <v>7</v>
      </c>
      <c r="N328" s="8">
        <f t="shared" ref="N328:N391" ca="1" si="186">INDIRECT("'game1 ("&amp;$AD328&amp;")'!"&amp;ADDRESS(ROW(I$7)+MOD(ROW(I328)-7,24),COLUMN(L328)))</f>
        <v>3</v>
      </c>
      <c r="O328" s="8">
        <f t="shared" ref="O328:O391" ca="1" si="187">INDIRECT("'game1 ("&amp;$AD328&amp;")'!"&amp;ADDRESS(ROW(J$7)+MOD(ROW(J328)-7,24),COLUMN(M328)))</f>
        <v>1</v>
      </c>
      <c r="P328" s="8">
        <f t="shared" ref="P328:P391" ca="1" si="188">INDIRECT("'game1 ("&amp;$AD328&amp;")'!"&amp;ADDRESS(ROW(K$7)+MOD(ROW(K328)-7,24),COLUMN(N328)))</f>
        <v>1</v>
      </c>
      <c r="Q328" s="8">
        <f t="shared" ref="Q328:Q391" ca="1" si="189">INDIRECT("'game1 ("&amp;$AD328&amp;")'!"&amp;ADDRESS(ROW(L$7)+MOD(ROW(L328)-7,24),COLUMN(O328)))</f>
        <v>1</v>
      </c>
      <c r="R328" s="8">
        <f t="shared" ref="R328:R391" ca="1" si="190">INDIRECT("'game1 ("&amp;$AD328&amp;")'!"&amp;ADDRESS(ROW(M$7)+MOD(ROW(M328)-7,24),COLUMN(P328)))</f>
        <v>0</v>
      </c>
      <c r="S328" s="8">
        <f t="shared" ref="S328:S391" ca="1" si="191">INDIRECT("'game1 ("&amp;$AD328&amp;")'!"&amp;ADDRESS(ROW(N$7)+MOD(ROW(N328)-7,24),COLUMN(Q328)))</f>
        <v>3</v>
      </c>
      <c r="T328" s="8">
        <f t="shared" ref="T328:T391" ca="1" si="192">INDIRECT("'game1 ("&amp;$AD328&amp;")'!"&amp;ADDRESS(ROW(O$7)+MOD(ROW(O328)-7,24),COLUMN(R328)))</f>
        <v>1</v>
      </c>
      <c r="U328" s="8">
        <f t="shared" ref="U328:U391" ca="1" si="193">INDIRECT("'game1 ("&amp;$AD328&amp;")'!"&amp;ADDRESS(ROW(P$7)+MOD(ROW(P328)-7,24),COLUMN(S328)))</f>
        <v>0</v>
      </c>
      <c r="V328" s="8">
        <f t="shared" ref="V328:V391" ca="1" si="194">INDIRECT("'game1 ("&amp;$AD328&amp;")'!"&amp;ADDRESS(ROW(Q$7)+MOD(ROW(Q328)-7,24),COLUMN(T328)))</f>
        <v>17</v>
      </c>
      <c r="W328" s="11">
        <f t="shared" ref="W328:W391" ca="1" si="195">INDIRECT("'game1 ("&amp;$AD328&amp;")'!"&amp;ADDRESS(ROW(R$7)+MOD(ROW(R328)-7,24),COLUMN(U328)))</f>
        <v>0.66666666666666663</v>
      </c>
      <c r="X328" s="11">
        <f t="shared" ref="X328:X391" ca="1" si="196">INDIRECT("'game1 ("&amp;$AD328&amp;")'!"&amp;ADDRESS(ROW(S$7)+MOD(ROW(S328)-7,24),COLUMN(V328)))</f>
        <v>0.42857142857142855</v>
      </c>
      <c r="Y328" s="11">
        <f t="shared" ref="Y328:Y391" ca="1" si="197">INDIRECT("'game1 ("&amp;$AD328&amp;")'!"&amp;ADDRESS(ROW(T$7)+MOD(ROW(T328)-7,24),COLUMN(W328)))</f>
        <v>0.7142857142857143</v>
      </c>
      <c r="Z328" s="11">
        <f t="shared" ref="Z328:Z391" ca="1" si="198">INDIRECT("'game1 ("&amp;$AD328&amp;")'!"&amp;ADDRESS(ROW(U$7)+MOD(ROW(U328)-7,24),COLUMN(X328)))</f>
        <v>0.5</v>
      </c>
      <c r="AA328" s="11">
        <f t="shared" ref="AA328:AA391" ca="1" si="199">INDIRECT("'game1 ("&amp;$AD328&amp;")'!"&amp;ADDRESS(ROW(V$7)+MOD(ROW(V328)-7,24),COLUMN(Y328)))</f>
        <v>0.6</v>
      </c>
      <c r="AB328" s="47">
        <f ca="1">PlayerGameData[[#This Row],[3FGA]]+PlayerGameData[[#This Row],[2FGA]]</f>
        <v>10</v>
      </c>
      <c r="AC328" s="47">
        <f ca="1">PlayerGameData[[#This Row],[OFF REB]]+PlayerGameData[[#This Row],[DEF REB]]</f>
        <v>4</v>
      </c>
      <c r="AD328" s="8">
        <f t="shared" si="180"/>
        <v>14</v>
      </c>
      <c r="AE328" s="8" t="str">
        <f t="shared" ca="1" si="181"/>
        <v>Kailer Duarte, 31 - Thunder Basin JV 1/31/2023</v>
      </c>
      <c r="AF328" s="8" t="str">
        <f t="shared" ref="AF328:AF391" ca="1" si="200">IFERROR(INDIRECT("'game1 ("&amp;$AD328&amp;")'!$a$2"),"")</f>
        <v/>
      </c>
      <c r="AG328" s="8" t="str">
        <f ca="1">IFERROR(IF(C328=0,"",IF(AND(VLOOKUP(PlayerGameData[[#This Row],[Opponent]],WYTeamInfo,2,FALSE)=Roster!$D$1,VLOOKUP(PlayerGameData[[#This Row],[Opponent]],WYTeamInfo,3,FALSE)=Roster!$D$2),"SR","")),"")</f>
        <v/>
      </c>
      <c r="AH328" s="8" t="str">
        <f>CONCATENATE(Roster!$D$1," ",Roster!$D$5)</f>
        <v>1A BB</v>
      </c>
      <c r="AI328" s="8" t="str">
        <f t="shared" ca="1" si="182"/>
        <v>Upton - Thunder Basin JV 1/31/2023</v>
      </c>
      <c r="AJ328" s="8">
        <f ca="1">IFERROR(VLOOKUP(PlayerGameData[[#This Row],[School, Opponent,Game'#]],Table3[],2,FALSE),0)</f>
        <v>1</v>
      </c>
      <c r="AK328" s="8">
        <f ca="1">IF(PlayerGameData[[#This Row],[Visible]]=1,1,1000)</f>
        <v>1</v>
      </c>
      <c r="AL328" s="8">
        <f ca="1">RANK(PlayerGameData[[#This Row],[TL PTS]],PlayerGameData[TL PTS],0)+PlayerGameData[[#This Row],[VisibleOrder]]</f>
        <v>18</v>
      </c>
      <c r="AM328" s="8">
        <f ca="1">IF(COUNTIF(PlayerGameData[PointOrder],PlayerGameData[[#This Row],[PointOrder]])&gt;1,RANK(PlayerGameData[[#This Row],[FGA]],PlayerGameData[FGA],0)/100,0)+PlayerGameData[[#This Row],[PointOrder]]</f>
        <v>18.43</v>
      </c>
      <c r="AN328" s="8">
        <f ca="1">RANK(PlayerGameData[[#This Row],[PointTieBreak]],PlayerGameData[PointTieBreak],1)</f>
        <v>21</v>
      </c>
      <c r="AO328" s="8">
        <f ca="1">RANK(PlayerGameData[[#This Row],[REB]],PlayerGameData[REB],0)+PlayerGameData[[#This Row],[VisibleOrder]]</f>
        <v>79</v>
      </c>
      <c r="AP328" s="8">
        <f ca="1">IF(COUNTIF(PlayerGameData[REBOrder],PlayerGameData[[#This Row],[REBOrder]])&gt;1,PlayerGameData[[#This Row],[PointRank]]/100+PlayerGameData[[#This Row],[REBOrder]],PlayerGameData[[#This Row],[REBOrder]])</f>
        <v>79.209999999999994</v>
      </c>
      <c r="AQ328" s="8">
        <f ca="1">RANK(PlayerGameData[[#This Row],[REBTieBreak]],PlayerGameData[REBTieBreak],1)</f>
        <v>81</v>
      </c>
      <c r="AR328" s="8">
        <f ca="1">RANK(PlayerGameData[[#This Row],[AST]],PlayerGameData[AST],0)+PlayerGameData[[#This Row],[VisibleOrder]]</f>
        <v>115</v>
      </c>
      <c r="AS328" s="8">
        <f ca="1">IF(COUNTIF(PlayerGameData[ASTOrder],PlayerGameData[[#This Row],[ASTOrder]])&gt;1,PlayerGameData[[#This Row],[PointRank]]/100+PlayerGameData[[#This Row],[ASTOrder]],PlayerGameData[[#This Row],[ASTOrder]])</f>
        <v>115.21</v>
      </c>
      <c r="AT328" s="8">
        <f ca="1">RANK(PlayerGameData[[#This Row],[ASTTieBreak]],PlayerGameData[ASTTieBreak],1)</f>
        <v>114</v>
      </c>
      <c r="AU328" s="8">
        <f ca="1">RANK(PlayerGameData[[#This Row],[STL]],PlayerGameData[STL],0)+PlayerGameData[[#This Row],[VisibleOrder]]</f>
        <v>84</v>
      </c>
      <c r="AV328" s="8">
        <f ca="1">IF(COUNTIF(PlayerGameData[STLOrder],PlayerGameData[[#This Row],[STLOrder]])&gt;1,PlayerGameData[[#This Row],[PointRank]]/100+PlayerGameData[[#This Row],[STLOrder]],PlayerGameData[[#This Row],[STLOrder]])</f>
        <v>84.21</v>
      </c>
      <c r="AW328" s="8">
        <f ca="1">RANK(PlayerGameData[[#This Row],[STLTieBreak]],PlayerGameData[STLTieBreak],1)</f>
        <v>84</v>
      </c>
      <c r="AX328" s="8">
        <f ca="1">RANK(PlayerGameData[[#This Row],[BLK]],PlayerGameData[BLK],0)+PlayerGameData[[#This Row],[VisibleOrder]]</f>
        <v>32</v>
      </c>
      <c r="AY328" s="8">
        <f ca="1">IF(COUNTIF(PlayerGameData[BLKOrder],PlayerGameData[[#This Row],[BLKOrder]])&gt;1,PlayerGameData[[#This Row],[PointRank]]/100+PlayerGameData[[#This Row],[BLKOrder]],PlayerGameData[[#This Row],[BLKOrder]])</f>
        <v>32.21</v>
      </c>
      <c r="AZ328" s="8">
        <f ca="1">RANK(PlayerGameData[[#This Row],[BLKTieBreak]],PlayerGameData[BLKTieBreak],1)</f>
        <v>49</v>
      </c>
      <c r="BA328" s="11">
        <f ca="1">IFERROR(IF(PlayerGameData[[#This Row],[FGA]]&gt;$AA$5,PlayerGameData[[#This Row],[FG%*]],PlayerGameData[[#This Row],[FG%*]]*-1),-2)</f>
        <v>0.5</v>
      </c>
      <c r="BB328" s="8">
        <f ca="1">RANK(PlayerGameData[[#This Row],[EligFG]],PlayerGameData[EligFG],0)+PlayerGameData[[#This Row],[VisibleOrder]]</f>
        <v>39</v>
      </c>
      <c r="BC328" s="8">
        <f ca="1">IF(COUNTIF(PlayerGameData[EligFGOrder],PlayerGameData[[#This Row],[EligFGOrder]])&gt;1,PlayerGameData[[#This Row],[PointRank]]/100+PlayerGameData[[#This Row],[EligFGOrder]],PlayerGameData[[#This Row],[EligFGOrder]])</f>
        <v>39.21</v>
      </c>
      <c r="BD328" s="8">
        <f ca="1">RANK(PlayerGameData[[#This Row],[EligFGTieBreak]],PlayerGameData[EligFGTieBreak],1)</f>
        <v>39</v>
      </c>
      <c r="BE328" s="8" t="str">
        <f>Roster!$D$3</f>
        <v>East</v>
      </c>
      <c r="BF328" s="8" t="str">
        <f>Roster!$D$2</f>
        <v>Northeast</v>
      </c>
      <c r="BG328" s="8" t="str">
        <f>Roster!$D$4</f>
        <v>North</v>
      </c>
      <c r="BH328" s="197">
        <f ca="1">IFERROR(VLOOKUP(CONCATENATE(PlayerGameData[[#This Row],[Opponent]]," ",MONTH(PlayerGameData[[#This Row],[Date]]),"/",DAY(PlayerGameData[[#This Row],[Date]]),"/",YEAR(PlayerGameData[[#This Row],[Date]])),Table35[],2,FALSE),0)</f>
        <v>1</v>
      </c>
      <c r="BI328" s="197">
        <f ca="1">IF(PlayerGameData[[#This Row],[Visible]]=1,1,1000)</f>
        <v>1</v>
      </c>
      <c r="BJ328" s="197" t="e">
        <f ca="1">_xlfn.MAXIFS(TeamGameData[Win],TeamGameData[School, Opponent,Game'#],PlayerGameData[[#This Row],[School, Opponent,Game'#]])</f>
        <v>#NAME?</v>
      </c>
      <c r="BK328" s="197" t="e">
        <f ca="1">_xlfn.MAXIFS(TeamGameData[Loss],TeamGameData[School, Opponent,Game'#],PlayerGameData[[#This Row],[School, Opponent,Game'#]])</f>
        <v>#NAME?</v>
      </c>
    </row>
    <row r="329" spans="1:63" x14ac:dyDescent="0.25">
      <c r="A329" s="8" t="str">
        <f t="shared" ca="1" si="183"/>
        <v>Matt Stirmel, 33</v>
      </c>
      <c r="B329" s="8" t="str">
        <f>Roster!$B$1</f>
        <v>Upton</v>
      </c>
      <c r="C329" s="8" t="str">
        <f t="shared" ca="1" si="171"/>
        <v>Thunder Basin JV</v>
      </c>
      <c r="D329" s="10">
        <f t="shared" ca="1" si="172"/>
        <v>44957</v>
      </c>
      <c r="E329" s="8">
        <f t="shared" ca="1" si="173"/>
        <v>1</v>
      </c>
      <c r="F329" s="8">
        <f t="shared" ca="1" si="174"/>
        <v>0</v>
      </c>
      <c r="G329" s="8">
        <f t="shared" ca="1" si="175"/>
        <v>1</v>
      </c>
      <c r="H329" s="8">
        <f t="shared" ca="1" si="176"/>
        <v>0</v>
      </c>
      <c r="I329" s="8">
        <f t="shared" ca="1" si="177"/>
        <v>0</v>
      </c>
      <c r="J329" s="8">
        <f t="shared" ca="1" si="178"/>
        <v>0</v>
      </c>
      <c r="K329" s="8">
        <f t="shared" ca="1" si="179"/>
        <v>0</v>
      </c>
      <c r="L329" s="8">
        <f t="shared" ca="1" si="184"/>
        <v>0</v>
      </c>
      <c r="M329" s="8">
        <f t="shared" ca="1" si="185"/>
        <v>0</v>
      </c>
      <c r="N329" s="8">
        <f t="shared" ca="1" si="186"/>
        <v>0</v>
      </c>
      <c r="O329" s="8">
        <f t="shared" ca="1" si="187"/>
        <v>1</v>
      </c>
      <c r="P329" s="8">
        <f t="shared" ca="1" si="188"/>
        <v>0</v>
      </c>
      <c r="Q329" s="8">
        <f t="shared" ca="1" si="189"/>
        <v>0</v>
      </c>
      <c r="R329" s="8">
        <f t="shared" ca="1" si="190"/>
        <v>0</v>
      </c>
      <c r="S329" s="8">
        <f t="shared" ca="1" si="191"/>
        <v>1</v>
      </c>
      <c r="T329" s="8">
        <f t="shared" ca="1" si="192"/>
        <v>0</v>
      </c>
      <c r="U329" s="8">
        <f t="shared" ca="1" si="193"/>
        <v>0</v>
      </c>
      <c r="V329" s="8">
        <f t="shared" ca="1" si="194"/>
        <v>0</v>
      </c>
      <c r="W329" s="11" t="str">
        <f t="shared" ca="1" si="195"/>
        <v/>
      </c>
      <c r="X329" s="11" t="str">
        <f t="shared" ca="1" si="196"/>
        <v/>
      </c>
      <c r="Y329" s="11" t="str">
        <f t="shared" ca="1" si="197"/>
        <v/>
      </c>
      <c r="Z329" s="11" t="str">
        <f t="shared" ca="1" si="198"/>
        <v/>
      </c>
      <c r="AA329" s="11" t="str">
        <f t="shared" ca="1" si="199"/>
        <v/>
      </c>
      <c r="AB329" s="47">
        <f ca="1">PlayerGameData[[#This Row],[3FGA]]+PlayerGameData[[#This Row],[2FGA]]</f>
        <v>0</v>
      </c>
      <c r="AC329" s="47">
        <f ca="1">PlayerGameData[[#This Row],[OFF REB]]+PlayerGameData[[#This Row],[DEF REB]]</f>
        <v>1</v>
      </c>
      <c r="AD329" s="8">
        <f t="shared" si="180"/>
        <v>14</v>
      </c>
      <c r="AE329" s="8" t="str">
        <f t="shared" ca="1" si="181"/>
        <v>Matt Stirmel, 33 - Thunder Basin JV 1/31/2023</v>
      </c>
      <c r="AF329" s="8" t="str">
        <f t="shared" ca="1" si="200"/>
        <v/>
      </c>
      <c r="AG329" s="8" t="str">
        <f ca="1">IFERROR(IF(C329=0,"",IF(AND(VLOOKUP(PlayerGameData[[#This Row],[Opponent]],WYTeamInfo,2,FALSE)=Roster!$D$1,VLOOKUP(PlayerGameData[[#This Row],[Opponent]],WYTeamInfo,3,FALSE)=Roster!$D$2),"SR","")),"")</f>
        <v/>
      </c>
      <c r="AH329" s="8" t="str">
        <f>CONCATENATE(Roster!$D$1," ",Roster!$D$5)</f>
        <v>1A BB</v>
      </c>
      <c r="AI329" s="8" t="str">
        <f t="shared" ca="1" si="182"/>
        <v>Upton - Thunder Basin JV 1/31/2023</v>
      </c>
      <c r="AJ329" s="8">
        <f ca="1">IFERROR(VLOOKUP(PlayerGameData[[#This Row],[School, Opponent,Game'#]],Table3[],2,FALSE),0)</f>
        <v>1</v>
      </c>
      <c r="AK329" s="8">
        <f ca="1">IF(PlayerGameData[[#This Row],[Visible]]=1,1,1000)</f>
        <v>1</v>
      </c>
      <c r="AL329" s="8">
        <f ca="1">RANK(PlayerGameData[[#This Row],[TL PTS]],PlayerGameData[TL PTS],0)+PlayerGameData[[#This Row],[VisibleOrder]]</f>
        <v>185</v>
      </c>
      <c r="AM329" s="8">
        <f ca="1">IF(COUNTIF(PlayerGameData[PointOrder],PlayerGameData[[#This Row],[PointOrder]])&gt;1,RANK(PlayerGameData[[#This Row],[FGA]],PlayerGameData[FGA],0)/100,0)+PlayerGameData[[#This Row],[PointOrder]]</f>
        <v>187.14</v>
      </c>
      <c r="AN329" s="8">
        <f ca="1">RANK(PlayerGameData[[#This Row],[PointTieBreak]],PlayerGameData[PointTieBreak],1)</f>
        <v>216</v>
      </c>
      <c r="AO329" s="8">
        <f ca="1">RANK(PlayerGameData[[#This Row],[REB]],PlayerGameData[REB],0)+PlayerGameData[[#This Row],[VisibleOrder]]</f>
        <v>163</v>
      </c>
      <c r="AP329" s="8">
        <f ca="1">IF(COUNTIF(PlayerGameData[REBOrder],PlayerGameData[[#This Row],[REBOrder]])&gt;1,PlayerGameData[[#This Row],[PointRank]]/100+PlayerGameData[[#This Row],[REBOrder]],PlayerGameData[[#This Row],[REBOrder]])</f>
        <v>165.16</v>
      </c>
      <c r="AQ329" s="8">
        <f ca="1">RANK(PlayerGameData[[#This Row],[REBTieBreak]],PlayerGameData[REBTieBreak],1)</f>
        <v>185</v>
      </c>
      <c r="AR329" s="8">
        <f ca="1">RANK(PlayerGameData[[#This Row],[AST]],PlayerGameData[AST],0)+PlayerGameData[[#This Row],[VisibleOrder]]</f>
        <v>158</v>
      </c>
      <c r="AS329" s="8">
        <f ca="1">IF(COUNTIF(PlayerGameData[ASTOrder],PlayerGameData[[#This Row],[ASTOrder]])&gt;1,PlayerGameData[[#This Row],[PointRank]]/100+PlayerGameData[[#This Row],[ASTOrder]],PlayerGameData[[#This Row],[ASTOrder]])</f>
        <v>160.16</v>
      </c>
      <c r="AT329" s="8">
        <f ca="1">RANK(PlayerGameData[[#This Row],[ASTTieBreak]],PlayerGameData[ASTTieBreak],1)</f>
        <v>221</v>
      </c>
      <c r="AU329" s="8">
        <f ca="1">RANK(PlayerGameData[[#This Row],[STL]],PlayerGameData[STL],0)+PlayerGameData[[#This Row],[VisibleOrder]]</f>
        <v>143</v>
      </c>
      <c r="AV329" s="8">
        <f ca="1">IF(COUNTIF(PlayerGameData[STLOrder],PlayerGameData[[#This Row],[STLOrder]])&gt;1,PlayerGameData[[#This Row],[PointRank]]/100+PlayerGameData[[#This Row],[STLOrder]],PlayerGameData[[#This Row],[STLOrder]])</f>
        <v>145.16</v>
      </c>
      <c r="AW329" s="8">
        <f ca="1">RANK(PlayerGameData[[#This Row],[STLTieBreak]],PlayerGameData[STLTieBreak],1)</f>
        <v>217</v>
      </c>
      <c r="AX329" s="8">
        <f ca="1">RANK(PlayerGameData[[#This Row],[BLK]],PlayerGameData[BLK],0)+PlayerGameData[[#This Row],[VisibleOrder]]</f>
        <v>32</v>
      </c>
      <c r="AY329" s="8">
        <f ca="1">IF(COUNTIF(PlayerGameData[BLKOrder],PlayerGameData[[#This Row],[BLKOrder]])&gt;1,PlayerGameData[[#This Row],[PointRank]]/100+PlayerGameData[[#This Row],[BLKOrder]],PlayerGameData[[#This Row],[BLKOrder]])</f>
        <v>34.159999999999997</v>
      </c>
      <c r="AZ329" s="8">
        <f ca="1">RANK(PlayerGameData[[#This Row],[BLKTieBreak]],PlayerGameData[BLKTieBreak],1)</f>
        <v>216</v>
      </c>
      <c r="BA329" s="11">
        <f ca="1">IFERROR(IF(PlayerGameData[[#This Row],[FGA]]&gt;$AA$5,PlayerGameData[[#This Row],[FG%*]],PlayerGameData[[#This Row],[FG%*]]*-1),-2)</f>
        <v>-2</v>
      </c>
      <c r="BB329" s="8">
        <f ca="1">RANK(PlayerGameData[[#This Row],[EligFG]],PlayerGameData[EligFG],0)+PlayerGameData[[#This Row],[VisibleOrder]]</f>
        <v>215</v>
      </c>
      <c r="BC329" s="8">
        <f ca="1">IF(COUNTIF(PlayerGameData[EligFGOrder],PlayerGameData[[#This Row],[EligFGOrder]])&gt;1,PlayerGameData[[#This Row],[PointRank]]/100+PlayerGameData[[#This Row],[EligFGOrder]],PlayerGameData[[#This Row],[EligFGOrder]])</f>
        <v>217.16</v>
      </c>
      <c r="BD329" s="8">
        <f ca="1">RANK(PlayerGameData[[#This Row],[EligFGTieBreak]],PlayerGameData[EligFGTieBreak],1)</f>
        <v>216</v>
      </c>
      <c r="BE329" s="8" t="str">
        <f>Roster!$D$3</f>
        <v>East</v>
      </c>
      <c r="BF329" s="8" t="str">
        <f>Roster!$D$2</f>
        <v>Northeast</v>
      </c>
      <c r="BG329" s="8" t="str">
        <f>Roster!$D$4</f>
        <v>North</v>
      </c>
      <c r="BH329" s="197">
        <f ca="1">IFERROR(VLOOKUP(CONCATENATE(PlayerGameData[[#This Row],[Opponent]]," ",MONTH(PlayerGameData[[#This Row],[Date]]),"/",DAY(PlayerGameData[[#This Row],[Date]]),"/",YEAR(PlayerGameData[[#This Row],[Date]])),Table35[],2,FALSE),0)</f>
        <v>1</v>
      </c>
      <c r="BI329" s="197">
        <f ca="1">IF(PlayerGameData[[#This Row],[Visible]]=1,1,1000)</f>
        <v>1</v>
      </c>
      <c r="BJ329" s="197" t="e">
        <f ca="1">_xlfn.MAXIFS(TeamGameData[Win],TeamGameData[School, Opponent,Game'#],PlayerGameData[[#This Row],[School, Opponent,Game'#]])</f>
        <v>#NAME?</v>
      </c>
      <c r="BK329" s="197" t="e">
        <f ca="1">_xlfn.MAXIFS(TeamGameData[Loss],TeamGameData[School, Opponent,Game'#],PlayerGameData[[#This Row],[School, Opponent,Game'#]])</f>
        <v>#NAME?</v>
      </c>
    </row>
    <row r="330" spans="1:63" x14ac:dyDescent="0.25">
      <c r="A330" s="8" t="str">
        <f t="shared" ca="1" si="183"/>
        <v>Jacob McNutt, 34</v>
      </c>
      <c r="B330" s="8" t="str">
        <f>Roster!$B$1</f>
        <v>Upton</v>
      </c>
      <c r="C330" s="8" t="str">
        <f t="shared" ca="1" si="171"/>
        <v>Thunder Basin JV</v>
      </c>
      <c r="D330" s="10">
        <f t="shared" ca="1" si="172"/>
        <v>44957</v>
      </c>
      <c r="E330" s="8">
        <f t="shared" ca="1" si="173"/>
        <v>1</v>
      </c>
      <c r="F330" s="8">
        <f t="shared" ca="1" si="174"/>
        <v>0</v>
      </c>
      <c r="G330" s="8">
        <f t="shared" ca="1" si="175"/>
        <v>1</v>
      </c>
      <c r="H330" s="8">
        <f t="shared" ca="1" si="176"/>
        <v>1</v>
      </c>
      <c r="I330" s="8">
        <f t="shared" ca="1" si="177"/>
        <v>1</v>
      </c>
      <c r="J330" s="8">
        <f t="shared" ca="1" si="178"/>
        <v>0</v>
      </c>
      <c r="K330" s="8">
        <f t="shared" ca="1" si="179"/>
        <v>0</v>
      </c>
      <c r="L330" s="8">
        <f t="shared" ca="1" si="184"/>
        <v>0</v>
      </c>
      <c r="M330" s="8">
        <f t="shared" ca="1" si="185"/>
        <v>0</v>
      </c>
      <c r="N330" s="8">
        <f t="shared" ca="1" si="186"/>
        <v>0</v>
      </c>
      <c r="O330" s="8">
        <f t="shared" ca="1" si="187"/>
        <v>0</v>
      </c>
      <c r="P330" s="8">
        <f t="shared" ca="1" si="188"/>
        <v>0</v>
      </c>
      <c r="Q330" s="8">
        <f t="shared" ca="1" si="189"/>
        <v>0</v>
      </c>
      <c r="R330" s="8">
        <f t="shared" ca="1" si="190"/>
        <v>0</v>
      </c>
      <c r="S330" s="8">
        <f t="shared" ca="1" si="191"/>
        <v>0</v>
      </c>
      <c r="T330" s="8">
        <f t="shared" ca="1" si="192"/>
        <v>0</v>
      </c>
      <c r="U330" s="8">
        <f t="shared" ca="1" si="193"/>
        <v>0</v>
      </c>
      <c r="V330" s="8">
        <f t="shared" ca="1" si="194"/>
        <v>3</v>
      </c>
      <c r="W330" s="11">
        <f t="shared" ca="1" si="195"/>
        <v>1</v>
      </c>
      <c r="X330" s="11" t="str">
        <f t="shared" ca="1" si="196"/>
        <v/>
      </c>
      <c r="Y330" s="11" t="str">
        <f t="shared" ca="1" si="197"/>
        <v/>
      </c>
      <c r="Z330" s="11">
        <f t="shared" ca="1" si="198"/>
        <v>1</v>
      </c>
      <c r="AA330" s="11">
        <f t="shared" ca="1" si="199"/>
        <v>1.5</v>
      </c>
      <c r="AB330" s="47">
        <f ca="1">PlayerGameData[[#This Row],[3FGA]]+PlayerGameData[[#This Row],[2FGA]]</f>
        <v>1</v>
      </c>
      <c r="AC330" s="47">
        <f ca="1">PlayerGameData[[#This Row],[OFF REB]]+PlayerGameData[[#This Row],[DEF REB]]</f>
        <v>0</v>
      </c>
      <c r="AD330" s="8">
        <f t="shared" si="180"/>
        <v>14</v>
      </c>
      <c r="AE330" s="8" t="str">
        <f t="shared" ca="1" si="181"/>
        <v>Jacob McNutt, 34 - Thunder Basin JV 1/31/2023</v>
      </c>
      <c r="AF330" s="8" t="str">
        <f t="shared" ca="1" si="200"/>
        <v/>
      </c>
      <c r="AG330" s="8" t="str">
        <f ca="1">IFERROR(IF(C330=0,"",IF(AND(VLOOKUP(PlayerGameData[[#This Row],[Opponent]],WYTeamInfo,2,FALSE)=Roster!$D$1,VLOOKUP(PlayerGameData[[#This Row],[Opponent]],WYTeamInfo,3,FALSE)=Roster!$D$2),"SR","")),"")</f>
        <v/>
      </c>
      <c r="AH330" s="8" t="str">
        <f>CONCATENATE(Roster!$D$1," ",Roster!$D$5)</f>
        <v>1A BB</v>
      </c>
      <c r="AI330" s="8" t="str">
        <f t="shared" ca="1" si="182"/>
        <v>Upton - Thunder Basin JV 1/31/2023</v>
      </c>
      <c r="AJ330" s="8">
        <f ca="1">IFERROR(VLOOKUP(PlayerGameData[[#This Row],[School, Opponent,Game'#]],Table3[],2,FALSE),0)</f>
        <v>1</v>
      </c>
      <c r="AK330" s="8">
        <f ca="1">IF(PlayerGameData[[#This Row],[Visible]]=1,1,1000)</f>
        <v>1</v>
      </c>
      <c r="AL330" s="8">
        <f ca="1">RANK(PlayerGameData[[#This Row],[TL PTS]],PlayerGameData[TL PTS],0)+PlayerGameData[[#This Row],[VisibleOrder]]</f>
        <v>135</v>
      </c>
      <c r="AM330" s="8">
        <f ca="1">IF(COUNTIF(PlayerGameData[PointOrder],PlayerGameData[[#This Row],[PointOrder]])&gt;1,RANK(PlayerGameData[[#This Row],[FGA]],PlayerGameData[FGA],0)/100,0)+PlayerGameData[[#This Row],[PointOrder]]</f>
        <v>136.82</v>
      </c>
      <c r="AN330" s="8">
        <f ca="1">RANK(PlayerGameData[[#This Row],[PointTieBreak]],PlayerGameData[PointTieBreak],1)</f>
        <v>145</v>
      </c>
      <c r="AO330" s="8">
        <f ca="1">RANK(PlayerGameData[[#This Row],[REB]],PlayerGameData[REB],0)+PlayerGameData[[#This Row],[VisibleOrder]]</f>
        <v>192</v>
      </c>
      <c r="AP330" s="8">
        <f ca="1">IF(COUNTIF(PlayerGameData[REBOrder],PlayerGameData[[#This Row],[REBOrder]])&gt;1,PlayerGameData[[#This Row],[PointRank]]/100+PlayerGameData[[#This Row],[REBOrder]],PlayerGameData[[#This Row],[REBOrder]])</f>
        <v>193.45</v>
      </c>
      <c r="AQ330" s="8">
        <f ca="1">RANK(PlayerGameData[[#This Row],[REBTieBreak]],PlayerGameData[REBTieBreak],1)</f>
        <v>199</v>
      </c>
      <c r="AR330" s="8">
        <f ca="1">RANK(PlayerGameData[[#This Row],[AST]],PlayerGameData[AST],0)+PlayerGameData[[#This Row],[VisibleOrder]]</f>
        <v>158</v>
      </c>
      <c r="AS330" s="8">
        <f ca="1">IF(COUNTIF(PlayerGameData[ASTOrder],PlayerGameData[[#This Row],[ASTOrder]])&gt;1,PlayerGameData[[#This Row],[PointRank]]/100+PlayerGameData[[#This Row],[ASTOrder]],PlayerGameData[[#This Row],[ASTOrder]])</f>
        <v>159.44999999999999</v>
      </c>
      <c r="AT330" s="8">
        <f ca="1">RANK(PlayerGameData[[#This Row],[ASTTieBreak]],PlayerGameData[ASTTieBreak],1)</f>
        <v>180</v>
      </c>
      <c r="AU330" s="8">
        <f ca="1">RANK(PlayerGameData[[#This Row],[STL]],PlayerGameData[STL],0)+PlayerGameData[[#This Row],[VisibleOrder]]</f>
        <v>143</v>
      </c>
      <c r="AV330" s="8">
        <f ca="1">IF(COUNTIF(PlayerGameData[STLOrder],PlayerGameData[[#This Row],[STLOrder]])&gt;1,PlayerGameData[[#This Row],[PointRank]]/100+PlayerGameData[[#This Row],[STLOrder]],PlayerGameData[[#This Row],[STLOrder]])</f>
        <v>144.44999999999999</v>
      </c>
      <c r="AW330" s="8">
        <f ca="1">RANK(PlayerGameData[[#This Row],[STLTieBreak]],PlayerGameData[STLTieBreak],1)</f>
        <v>172</v>
      </c>
      <c r="AX330" s="8">
        <f ca="1">RANK(PlayerGameData[[#This Row],[BLK]],PlayerGameData[BLK],0)+PlayerGameData[[#This Row],[VisibleOrder]]</f>
        <v>32</v>
      </c>
      <c r="AY330" s="8">
        <f ca="1">IF(COUNTIF(PlayerGameData[BLKOrder],PlayerGameData[[#This Row],[BLKOrder]])&gt;1,PlayerGameData[[#This Row],[PointRank]]/100+PlayerGameData[[#This Row],[BLKOrder]],PlayerGameData[[#This Row],[BLKOrder]])</f>
        <v>33.450000000000003</v>
      </c>
      <c r="AZ330" s="8">
        <f ca="1">RANK(PlayerGameData[[#This Row],[BLKTieBreak]],PlayerGameData[BLKTieBreak],1)</f>
        <v>149</v>
      </c>
      <c r="BA330" s="11">
        <f ca="1">IFERROR(IF(PlayerGameData[[#This Row],[FGA]]&gt;$AA$5,PlayerGameData[[#This Row],[FG%*]],PlayerGameData[[#This Row],[FG%*]]*-1),-2)</f>
        <v>-1</v>
      </c>
      <c r="BB330" s="8">
        <f ca="1">RANK(PlayerGameData[[#This Row],[EligFG]],PlayerGameData[EligFG],0)+PlayerGameData[[#This Row],[VisibleOrder]]</f>
        <v>203</v>
      </c>
      <c r="BC330" s="8">
        <f ca="1">IF(COUNTIF(PlayerGameData[EligFGOrder],PlayerGameData[[#This Row],[EligFGOrder]])&gt;1,PlayerGameData[[#This Row],[PointRank]]/100+PlayerGameData[[#This Row],[EligFGOrder]],PlayerGameData[[#This Row],[EligFGOrder]])</f>
        <v>204.45</v>
      </c>
      <c r="BD330" s="8">
        <f ca="1">RANK(PlayerGameData[[#This Row],[EligFGTieBreak]],PlayerGameData[EligFGTieBreak],1)</f>
        <v>206</v>
      </c>
      <c r="BE330" s="8" t="str">
        <f>Roster!$D$3</f>
        <v>East</v>
      </c>
      <c r="BF330" s="8" t="str">
        <f>Roster!$D$2</f>
        <v>Northeast</v>
      </c>
      <c r="BG330" s="8" t="str">
        <f>Roster!$D$4</f>
        <v>North</v>
      </c>
      <c r="BH330" s="197">
        <f ca="1">IFERROR(VLOOKUP(CONCATENATE(PlayerGameData[[#This Row],[Opponent]]," ",MONTH(PlayerGameData[[#This Row],[Date]]),"/",DAY(PlayerGameData[[#This Row],[Date]]),"/",YEAR(PlayerGameData[[#This Row],[Date]])),Table35[],2,FALSE),0)</f>
        <v>1</v>
      </c>
      <c r="BI330" s="197">
        <f ca="1">IF(PlayerGameData[[#This Row],[Visible]]=1,1,1000)</f>
        <v>1</v>
      </c>
      <c r="BJ330" s="197" t="e">
        <f ca="1">_xlfn.MAXIFS(TeamGameData[Win],TeamGameData[School, Opponent,Game'#],PlayerGameData[[#This Row],[School, Opponent,Game'#]])</f>
        <v>#NAME?</v>
      </c>
      <c r="BK330" s="197" t="e">
        <f ca="1">_xlfn.MAXIFS(TeamGameData[Loss],TeamGameData[School, Opponent,Game'#],PlayerGameData[[#This Row],[School, Opponent,Game'#]])</f>
        <v>#NAME?</v>
      </c>
    </row>
    <row r="331" spans="1:63" x14ac:dyDescent="0.25">
      <c r="A331" s="8" t="str">
        <f t="shared" ca="1" si="183"/>
        <v>Ryan Baker, 35</v>
      </c>
      <c r="B331" s="8" t="str">
        <f>Roster!$B$1</f>
        <v>Upton</v>
      </c>
      <c r="C331" s="8" t="str">
        <f t="shared" ca="1" si="171"/>
        <v>Thunder Basin JV</v>
      </c>
      <c r="D331" s="10">
        <f t="shared" ca="1" si="172"/>
        <v>44957</v>
      </c>
      <c r="E331" s="8">
        <f t="shared" ca="1" si="173"/>
        <v>1</v>
      </c>
      <c r="F331" s="8">
        <f t="shared" ca="1" si="174"/>
        <v>0</v>
      </c>
      <c r="G331" s="8">
        <f t="shared" ca="1" si="175"/>
        <v>16</v>
      </c>
      <c r="H331" s="8">
        <f t="shared" ca="1" si="176"/>
        <v>0</v>
      </c>
      <c r="I331" s="8">
        <f t="shared" ca="1" si="177"/>
        <v>0</v>
      </c>
      <c r="J331" s="8">
        <f t="shared" ca="1" si="178"/>
        <v>2</v>
      </c>
      <c r="K331" s="8">
        <f t="shared" ca="1" si="179"/>
        <v>5</v>
      </c>
      <c r="L331" s="8">
        <f t="shared" ca="1" si="184"/>
        <v>0</v>
      </c>
      <c r="M331" s="8">
        <f t="shared" ca="1" si="185"/>
        <v>0</v>
      </c>
      <c r="N331" s="8">
        <f t="shared" ca="1" si="186"/>
        <v>0</v>
      </c>
      <c r="O331" s="8">
        <f t="shared" ca="1" si="187"/>
        <v>1</v>
      </c>
      <c r="P331" s="8">
        <f t="shared" ca="1" si="188"/>
        <v>1</v>
      </c>
      <c r="Q331" s="8">
        <f t="shared" ca="1" si="189"/>
        <v>3</v>
      </c>
      <c r="R331" s="8">
        <f t="shared" ca="1" si="190"/>
        <v>0</v>
      </c>
      <c r="S331" s="8">
        <f t="shared" ca="1" si="191"/>
        <v>2</v>
      </c>
      <c r="T331" s="8">
        <f t="shared" ca="1" si="192"/>
        <v>1</v>
      </c>
      <c r="U331" s="8">
        <f t="shared" ca="1" si="193"/>
        <v>0</v>
      </c>
      <c r="V331" s="8">
        <f t="shared" ca="1" si="194"/>
        <v>4</v>
      </c>
      <c r="W331" s="11" t="str">
        <f t="shared" ca="1" si="195"/>
        <v/>
      </c>
      <c r="X331" s="11">
        <f t="shared" ca="1" si="196"/>
        <v>0.4</v>
      </c>
      <c r="Y331" s="11" t="str">
        <f t="shared" ca="1" si="197"/>
        <v/>
      </c>
      <c r="Z331" s="11">
        <f t="shared" ca="1" si="198"/>
        <v>0.4</v>
      </c>
      <c r="AA331" s="11">
        <f t="shared" ca="1" si="199"/>
        <v>0.4</v>
      </c>
      <c r="AB331" s="47">
        <f ca="1">PlayerGameData[[#This Row],[3FGA]]+PlayerGameData[[#This Row],[2FGA]]</f>
        <v>5</v>
      </c>
      <c r="AC331" s="47">
        <f ca="1">PlayerGameData[[#This Row],[OFF REB]]+PlayerGameData[[#This Row],[DEF REB]]</f>
        <v>1</v>
      </c>
      <c r="AD331" s="8">
        <f t="shared" si="180"/>
        <v>14</v>
      </c>
      <c r="AE331" s="8" t="str">
        <f t="shared" ca="1" si="181"/>
        <v>Ryan Baker, 35 - Thunder Basin JV 1/31/2023</v>
      </c>
      <c r="AF331" s="8" t="str">
        <f t="shared" ca="1" si="200"/>
        <v/>
      </c>
      <c r="AG331" s="8" t="str">
        <f ca="1">IFERROR(IF(C331=0,"",IF(AND(VLOOKUP(PlayerGameData[[#This Row],[Opponent]],WYTeamInfo,2,FALSE)=Roster!$D$1,VLOOKUP(PlayerGameData[[#This Row],[Opponent]],WYTeamInfo,3,FALSE)=Roster!$D$2),"SR","")),"")</f>
        <v/>
      </c>
      <c r="AH331" s="8" t="str">
        <f>CONCATENATE(Roster!$D$1," ",Roster!$D$5)</f>
        <v>1A BB</v>
      </c>
      <c r="AI331" s="8" t="str">
        <f t="shared" ca="1" si="182"/>
        <v>Upton - Thunder Basin JV 1/31/2023</v>
      </c>
      <c r="AJ331" s="8">
        <f ca="1">IFERROR(VLOOKUP(PlayerGameData[[#This Row],[School, Opponent,Game'#]],Table3[],2,FALSE),0)</f>
        <v>1</v>
      </c>
      <c r="AK331" s="8">
        <f ca="1">IF(PlayerGameData[[#This Row],[Visible]]=1,1,1000)</f>
        <v>1</v>
      </c>
      <c r="AL331" s="8">
        <f ca="1">RANK(PlayerGameData[[#This Row],[TL PTS]],PlayerGameData[TL PTS],0)+PlayerGameData[[#This Row],[VisibleOrder]]</f>
        <v>118</v>
      </c>
      <c r="AM331" s="8">
        <f ca="1">IF(COUNTIF(PlayerGameData[PointOrder],PlayerGameData[[#This Row],[PointOrder]])&gt;1,RANK(PlayerGameData[[#This Row],[FGA]],PlayerGameData[FGA],0)/100,0)+PlayerGameData[[#This Row],[PointOrder]]</f>
        <v>119.19</v>
      </c>
      <c r="AN331" s="8">
        <f ca="1">RANK(PlayerGameData[[#This Row],[PointTieBreak]],PlayerGameData[PointTieBreak],1)</f>
        <v>123</v>
      </c>
      <c r="AO331" s="8">
        <f ca="1">RANK(PlayerGameData[[#This Row],[REB]],PlayerGameData[REB],0)+PlayerGameData[[#This Row],[VisibleOrder]]</f>
        <v>163</v>
      </c>
      <c r="AP331" s="8">
        <f ca="1">IF(COUNTIF(PlayerGameData[REBOrder],PlayerGameData[[#This Row],[REBOrder]])&gt;1,PlayerGameData[[#This Row],[PointRank]]/100+PlayerGameData[[#This Row],[REBOrder]],PlayerGameData[[#This Row],[REBOrder]])</f>
        <v>164.23</v>
      </c>
      <c r="AQ331" s="8">
        <f ca="1">RANK(PlayerGameData[[#This Row],[REBTieBreak]],PlayerGameData[REBTieBreak],1)</f>
        <v>168</v>
      </c>
      <c r="AR331" s="8">
        <f ca="1">RANK(PlayerGameData[[#This Row],[AST]],PlayerGameData[AST],0)+PlayerGameData[[#This Row],[VisibleOrder]]</f>
        <v>115</v>
      </c>
      <c r="AS331" s="8">
        <f ca="1">IF(COUNTIF(PlayerGameData[ASTOrder],PlayerGameData[[#This Row],[ASTOrder]])&gt;1,PlayerGameData[[#This Row],[PointRank]]/100+PlayerGameData[[#This Row],[ASTOrder]],PlayerGameData[[#This Row],[ASTOrder]])</f>
        <v>116.23</v>
      </c>
      <c r="AT331" s="8">
        <f ca="1">RANK(PlayerGameData[[#This Row],[ASTTieBreak]],PlayerGameData[ASTTieBreak],1)</f>
        <v>136</v>
      </c>
      <c r="AU331" s="8">
        <f ca="1">RANK(PlayerGameData[[#This Row],[STL]],PlayerGameData[STL],0)+PlayerGameData[[#This Row],[VisibleOrder]]</f>
        <v>26</v>
      </c>
      <c r="AV331" s="8">
        <f ca="1">IF(COUNTIF(PlayerGameData[STLOrder],PlayerGameData[[#This Row],[STLOrder]])&gt;1,PlayerGameData[[#This Row],[PointRank]]/100+PlayerGameData[[#This Row],[STLOrder]],PlayerGameData[[#This Row],[STLOrder]])</f>
        <v>27.23</v>
      </c>
      <c r="AW331" s="8">
        <f ca="1">RANK(PlayerGameData[[#This Row],[STLTieBreak]],PlayerGameData[STLTieBreak],1)</f>
        <v>44</v>
      </c>
      <c r="AX331" s="8">
        <f ca="1">RANK(PlayerGameData[[#This Row],[BLK]],PlayerGameData[BLK],0)+PlayerGameData[[#This Row],[VisibleOrder]]</f>
        <v>32</v>
      </c>
      <c r="AY331" s="8">
        <f ca="1">IF(COUNTIF(PlayerGameData[BLKOrder],PlayerGameData[[#This Row],[BLKOrder]])&gt;1,PlayerGameData[[#This Row],[PointRank]]/100+PlayerGameData[[#This Row],[BLKOrder]],PlayerGameData[[#This Row],[BLKOrder]])</f>
        <v>33.229999999999997</v>
      </c>
      <c r="AZ331" s="8">
        <f ca="1">RANK(PlayerGameData[[#This Row],[BLKTieBreak]],PlayerGameData[BLKTieBreak],1)</f>
        <v>127</v>
      </c>
      <c r="BA331" s="11">
        <f ca="1">IFERROR(IF(PlayerGameData[[#This Row],[FGA]]&gt;$AA$5,PlayerGameData[[#This Row],[FG%*]],PlayerGameData[[#This Row],[FG%*]]*-1),-2)</f>
        <v>-0.4</v>
      </c>
      <c r="BB331" s="8">
        <f ca="1">RANK(PlayerGameData[[#This Row],[EligFG]],PlayerGameData[EligFG],0)+PlayerGameData[[#This Row],[VisibleOrder]]</f>
        <v>176</v>
      </c>
      <c r="BC331" s="8">
        <f ca="1">IF(COUNTIF(PlayerGameData[EligFGOrder],PlayerGameData[[#This Row],[EligFGOrder]])&gt;1,PlayerGameData[[#This Row],[PointRank]]/100+PlayerGameData[[#This Row],[EligFGOrder]],PlayerGameData[[#This Row],[EligFGOrder]])</f>
        <v>177.23</v>
      </c>
      <c r="BD331" s="8">
        <f ca="1">RANK(PlayerGameData[[#This Row],[EligFGTieBreak]],PlayerGameData[EligFGTieBreak],1)</f>
        <v>179</v>
      </c>
      <c r="BE331" s="8" t="str">
        <f>Roster!$D$3</f>
        <v>East</v>
      </c>
      <c r="BF331" s="8" t="str">
        <f>Roster!$D$2</f>
        <v>Northeast</v>
      </c>
      <c r="BG331" s="8" t="str">
        <f>Roster!$D$4</f>
        <v>North</v>
      </c>
      <c r="BH331" s="197">
        <f ca="1">IFERROR(VLOOKUP(CONCATENATE(PlayerGameData[[#This Row],[Opponent]]," ",MONTH(PlayerGameData[[#This Row],[Date]]),"/",DAY(PlayerGameData[[#This Row],[Date]]),"/",YEAR(PlayerGameData[[#This Row],[Date]])),Table35[],2,FALSE),0)</f>
        <v>1</v>
      </c>
      <c r="BI331" s="197">
        <f ca="1">IF(PlayerGameData[[#This Row],[Visible]]=1,1,1000)</f>
        <v>1</v>
      </c>
      <c r="BJ331" s="197" t="e">
        <f ca="1">_xlfn.MAXIFS(TeamGameData[Win],TeamGameData[School, Opponent,Game'#],PlayerGameData[[#This Row],[School, Opponent,Game'#]])</f>
        <v>#NAME?</v>
      </c>
      <c r="BK331" s="197" t="e">
        <f ca="1">_xlfn.MAXIFS(TeamGameData[Loss],TeamGameData[School, Opponent,Game'#],PlayerGameData[[#This Row],[School, Opponent,Game'#]])</f>
        <v>#NAME?</v>
      </c>
    </row>
    <row r="332" spans="1:63" x14ac:dyDescent="0.25">
      <c r="A332" s="8" t="str">
        <f t="shared" ca="1" si="183"/>
        <v xml:space="preserve">, </v>
      </c>
      <c r="B332" s="8" t="str">
        <f>Roster!$B$1</f>
        <v>Upton</v>
      </c>
      <c r="C332" s="8" t="str">
        <f t="shared" ca="1" si="171"/>
        <v>Thunder Basin JV</v>
      </c>
      <c r="D332" s="10">
        <f t="shared" ca="1" si="172"/>
        <v>44957</v>
      </c>
      <c r="E332" s="8">
        <f t="shared" ca="1" si="173"/>
        <v>0</v>
      </c>
      <c r="F332" s="8">
        <f t="shared" ca="1" si="174"/>
        <v>0</v>
      </c>
      <c r="G332" s="8">
        <f t="shared" ca="1" si="175"/>
        <v>0</v>
      </c>
      <c r="H332" s="8">
        <f t="shared" ca="1" si="176"/>
        <v>0</v>
      </c>
      <c r="I332" s="8">
        <f t="shared" ca="1" si="177"/>
        <v>0</v>
      </c>
      <c r="J332" s="8">
        <f t="shared" ca="1" si="178"/>
        <v>0</v>
      </c>
      <c r="K332" s="8">
        <f t="shared" ca="1" si="179"/>
        <v>0</v>
      </c>
      <c r="L332" s="8">
        <f t="shared" ca="1" si="184"/>
        <v>0</v>
      </c>
      <c r="M332" s="8">
        <f t="shared" ca="1" si="185"/>
        <v>0</v>
      </c>
      <c r="N332" s="8">
        <f t="shared" ca="1" si="186"/>
        <v>0</v>
      </c>
      <c r="O332" s="8">
        <f t="shared" ca="1" si="187"/>
        <v>0</v>
      </c>
      <c r="P332" s="8">
        <f t="shared" ca="1" si="188"/>
        <v>0</v>
      </c>
      <c r="Q332" s="8">
        <f t="shared" ca="1" si="189"/>
        <v>0</v>
      </c>
      <c r="R332" s="8">
        <f t="shared" ca="1" si="190"/>
        <v>0</v>
      </c>
      <c r="S332" s="8">
        <f t="shared" ca="1" si="191"/>
        <v>0</v>
      </c>
      <c r="T332" s="8">
        <f t="shared" ca="1" si="192"/>
        <v>0</v>
      </c>
      <c r="U332" s="8">
        <f t="shared" ca="1" si="193"/>
        <v>0</v>
      </c>
      <c r="V332" s="8">
        <f t="shared" ca="1" si="194"/>
        <v>0</v>
      </c>
      <c r="W332" s="11" t="str">
        <f t="shared" ca="1" si="195"/>
        <v/>
      </c>
      <c r="X332" s="11" t="str">
        <f t="shared" ca="1" si="196"/>
        <v/>
      </c>
      <c r="Y332" s="11" t="str">
        <f t="shared" ca="1" si="197"/>
        <v/>
      </c>
      <c r="Z332" s="11" t="str">
        <f t="shared" ca="1" si="198"/>
        <v/>
      </c>
      <c r="AA332" s="11" t="str">
        <f t="shared" ca="1" si="199"/>
        <v/>
      </c>
      <c r="AB332" s="47">
        <f ca="1">PlayerGameData[[#This Row],[3FGA]]+PlayerGameData[[#This Row],[2FGA]]</f>
        <v>0</v>
      </c>
      <c r="AC332" s="47">
        <f ca="1">PlayerGameData[[#This Row],[OFF REB]]+PlayerGameData[[#This Row],[DEF REB]]</f>
        <v>0</v>
      </c>
      <c r="AD332" s="8">
        <f t="shared" si="180"/>
        <v>14</v>
      </c>
      <c r="AE332" s="8" t="str">
        <f t="shared" ca="1" si="181"/>
        <v>,  - Thunder Basin JV 1/31/2023</v>
      </c>
      <c r="AF332" s="8" t="str">
        <f t="shared" ca="1" si="200"/>
        <v/>
      </c>
      <c r="AG332" s="8" t="str">
        <f ca="1">IFERROR(IF(C332=0,"",IF(AND(VLOOKUP(PlayerGameData[[#This Row],[Opponent]],WYTeamInfo,2,FALSE)=Roster!$D$1,VLOOKUP(PlayerGameData[[#This Row],[Opponent]],WYTeamInfo,3,FALSE)=Roster!$D$2),"SR","")),"")</f>
        <v/>
      </c>
      <c r="AH332" s="8" t="str">
        <f>CONCATENATE(Roster!$D$1," ",Roster!$D$5)</f>
        <v>1A BB</v>
      </c>
      <c r="AI332" s="8" t="str">
        <f t="shared" ca="1" si="182"/>
        <v>Upton - Thunder Basin JV 1/31/2023</v>
      </c>
      <c r="AJ332" s="8">
        <f ca="1">IFERROR(VLOOKUP(PlayerGameData[[#This Row],[School, Opponent,Game'#]],Table3[],2,FALSE),0)</f>
        <v>1</v>
      </c>
      <c r="AK332" s="8">
        <f ca="1">IF(PlayerGameData[[#This Row],[Visible]]=1,1,1000)</f>
        <v>1</v>
      </c>
      <c r="AL332" s="8">
        <f ca="1">RANK(PlayerGameData[[#This Row],[TL PTS]],PlayerGameData[TL PTS],0)+PlayerGameData[[#This Row],[VisibleOrder]]</f>
        <v>185</v>
      </c>
      <c r="AM332" s="8">
        <f ca="1">IF(COUNTIF(PlayerGameData[PointOrder],PlayerGameData[[#This Row],[PointOrder]])&gt;1,RANK(PlayerGameData[[#This Row],[FGA]],PlayerGameData[FGA],0)/100,0)+PlayerGameData[[#This Row],[PointOrder]]</f>
        <v>187.14</v>
      </c>
      <c r="AN332" s="8">
        <f ca="1">RANK(PlayerGameData[[#This Row],[PointTieBreak]],PlayerGameData[PointTieBreak],1)</f>
        <v>216</v>
      </c>
      <c r="AO332" s="8">
        <f ca="1">RANK(PlayerGameData[[#This Row],[REB]],PlayerGameData[REB],0)+PlayerGameData[[#This Row],[VisibleOrder]]</f>
        <v>192</v>
      </c>
      <c r="AP332" s="8">
        <f ca="1">IF(COUNTIF(PlayerGameData[REBOrder],PlayerGameData[[#This Row],[REBOrder]])&gt;1,PlayerGameData[[#This Row],[PointRank]]/100+PlayerGameData[[#This Row],[REBOrder]],PlayerGameData[[#This Row],[REBOrder]])</f>
        <v>194.16</v>
      </c>
      <c r="AQ332" s="8">
        <f ca="1">RANK(PlayerGameData[[#This Row],[REBTieBreak]],PlayerGameData[REBTieBreak],1)</f>
        <v>224</v>
      </c>
      <c r="AR332" s="8">
        <f ca="1">RANK(PlayerGameData[[#This Row],[AST]],PlayerGameData[AST],0)+PlayerGameData[[#This Row],[VisibleOrder]]</f>
        <v>158</v>
      </c>
      <c r="AS332" s="8">
        <f ca="1">IF(COUNTIF(PlayerGameData[ASTOrder],PlayerGameData[[#This Row],[ASTOrder]])&gt;1,PlayerGameData[[#This Row],[PointRank]]/100+PlayerGameData[[#This Row],[ASTOrder]],PlayerGameData[[#This Row],[ASTOrder]])</f>
        <v>160.16</v>
      </c>
      <c r="AT332" s="8">
        <f ca="1">RANK(PlayerGameData[[#This Row],[ASTTieBreak]],PlayerGameData[ASTTieBreak],1)</f>
        <v>221</v>
      </c>
      <c r="AU332" s="8">
        <f ca="1">RANK(PlayerGameData[[#This Row],[STL]],PlayerGameData[STL],0)+PlayerGameData[[#This Row],[VisibleOrder]]</f>
        <v>143</v>
      </c>
      <c r="AV332" s="8">
        <f ca="1">IF(COUNTIF(PlayerGameData[STLOrder],PlayerGameData[[#This Row],[STLOrder]])&gt;1,PlayerGameData[[#This Row],[PointRank]]/100+PlayerGameData[[#This Row],[STLOrder]],PlayerGameData[[#This Row],[STLOrder]])</f>
        <v>145.16</v>
      </c>
      <c r="AW332" s="8">
        <f ca="1">RANK(PlayerGameData[[#This Row],[STLTieBreak]],PlayerGameData[STLTieBreak],1)</f>
        <v>217</v>
      </c>
      <c r="AX332" s="8">
        <f ca="1">RANK(PlayerGameData[[#This Row],[BLK]],PlayerGameData[BLK],0)+PlayerGameData[[#This Row],[VisibleOrder]]</f>
        <v>32</v>
      </c>
      <c r="AY332" s="8">
        <f ca="1">IF(COUNTIF(PlayerGameData[BLKOrder],PlayerGameData[[#This Row],[BLKOrder]])&gt;1,PlayerGameData[[#This Row],[PointRank]]/100+PlayerGameData[[#This Row],[BLKOrder]],PlayerGameData[[#This Row],[BLKOrder]])</f>
        <v>34.159999999999997</v>
      </c>
      <c r="AZ332" s="8">
        <f ca="1">RANK(PlayerGameData[[#This Row],[BLKTieBreak]],PlayerGameData[BLKTieBreak],1)</f>
        <v>216</v>
      </c>
      <c r="BA332" s="11">
        <f ca="1">IFERROR(IF(PlayerGameData[[#This Row],[FGA]]&gt;$AA$5,PlayerGameData[[#This Row],[FG%*]],PlayerGameData[[#This Row],[FG%*]]*-1),-2)</f>
        <v>-2</v>
      </c>
      <c r="BB332" s="8">
        <f ca="1">RANK(PlayerGameData[[#This Row],[EligFG]],PlayerGameData[EligFG],0)+PlayerGameData[[#This Row],[VisibleOrder]]</f>
        <v>215</v>
      </c>
      <c r="BC332" s="8">
        <f ca="1">IF(COUNTIF(PlayerGameData[EligFGOrder],PlayerGameData[[#This Row],[EligFGOrder]])&gt;1,PlayerGameData[[#This Row],[PointRank]]/100+PlayerGameData[[#This Row],[EligFGOrder]],PlayerGameData[[#This Row],[EligFGOrder]])</f>
        <v>217.16</v>
      </c>
      <c r="BD332" s="8">
        <f ca="1">RANK(PlayerGameData[[#This Row],[EligFGTieBreak]],PlayerGameData[EligFGTieBreak],1)</f>
        <v>216</v>
      </c>
      <c r="BE332" s="8" t="str">
        <f>Roster!$D$3</f>
        <v>East</v>
      </c>
      <c r="BF332" s="8" t="str">
        <f>Roster!$D$2</f>
        <v>Northeast</v>
      </c>
      <c r="BG332" s="8" t="str">
        <f>Roster!$D$4</f>
        <v>North</v>
      </c>
      <c r="BH332" s="197">
        <f ca="1">IFERROR(VLOOKUP(CONCATENATE(PlayerGameData[[#This Row],[Opponent]]," ",MONTH(PlayerGameData[[#This Row],[Date]]),"/",DAY(PlayerGameData[[#This Row],[Date]]),"/",YEAR(PlayerGameData[[#This Row],[Date]])),Table35[],2,FALSE),0)</f>
        <v>1</v>
      </c>
      <c r="BI332" s="197">
        <f ca="1">IF(PlayerGameData[[#This Row],[Visible]]=1,1,1000)</f>
        <v>1</v>
      </c>
      <c r="BJ332" s="197" t="e">
        <f ca="1">_xlfn.MAXIFS(TeamGameData[Win],TeamGameData[School, Opponent,Game'#],PlayerGameData[[#This Row],[School, Opponent,Game'#]])</f>
        <v>#NAME?</v>
      </c>
      <c r="BK332" s="197" t="e">
        <f ca="1">_xlfn.MAXIFS(TeamGameData[Loss],TeamGameData[School, Opponent,Game'#],PlayerGameData[[#This Row],[School, Opponent,Game'#]])</f>
        <v>#NAME?</v>
      </c>
    </row>
    <row r="333" spans="1:63" x14ac:dyDescent="0.25">
      <c r="A333" s="8" t="str">
        <f t="shared" ca="1" si="183"/>
        <v xml:space="preserve">, </v>
      </c>
      <c r="B333" s="8" t="str">
        <f>Roster!$B$1</f>
        <v>Upton</v>
      </c>
      <c r="C333" s="8" t="str">
        <f t="shared" ca="1" si="171"/>
        <v>Thunder Basin JV</v>
      </c>
      <c r="D333" s="10">
        <f t="shared" ca="1" si="172"/>
        <v>44957</v>
      </c>
      <c r="E333" s="8">
        <f t="shared" ca="1" si="173"/>
        <v>0</v>
      </c>
      <c r="F333" s="8">
        <f t="shared" ca="1" si="174"/>
        <v>0</v>
      </c>
      <c r="G333" s="8">
        <f t="shared" ca="1" si="175"/>
        <v>0</v>
      </c>
      <c r="H333" s="8">
        <f t="shared" ca="1" si="176"/>
        <v>0</v>
      </c>
      <c r="I333" s="8">
        <f t="shared" ca="1" si="177"/>
        <v>0</v>
      </c>
      <c r="J333" s="8">
        <f t="shared" ca="1" si="178"/>
        <v>0</v>
      </c>
      <c r="K333" s="8">
        <f t="shared" ca="1" si="179"/>
        <v>0</v>
      </c>
      <c r="L333" s="8">
        <f t="shared" ca="1" si="184"/>
        <v>0</v>
      </c>
      <c r="M333" s="8">
        <f t="shared" ca="1" si="185"/>
        <v>0</v>
      </c>
      <c r="N333" s="8">
        <f t="shared" ca="1" si="186"/>
        <v>0</v>
      </c>
      <c r="O333" s="8">
        <f t="shared" ca="1" si="187"/>
        <v>0</v>
      </c>
      <c r="P333" s="8">
        <f t="shared" ca="1" si="188"/>
        <v>0</v>
      </c>
      <c r="Q333" s="8">
        <f t="shared" ca="1" si="189"/>
        <v>0</v>
      </c>
      <c r="R333" s="8">
        <f t="shared" ca="1" si="190"/>
        <v>0</v>
      </c>
      <c r="S333" s="8">
        <f t="shared" ca="1" si="191"/>
        <v>0</v>
      </c>
      <c r="T333" s="8">
        <f t="shared" ca="1" si="192"/>
        <v>0</v>
      </c>
      <c r="U333" s="8">
        <f t="shared" ca="1" si="193"/>
        <v>0</v>
      </c>
      <c r="V333" s="8">
        <f t="shared" ca="1" si="194"/>
        <v>0</v>
      </c>
      <c r="W333" s="11" t="str">
        <f t="shared" ca="1" si="195"/>
        <v/>
      </c>
      <c r="X333" s="11" t="str">
        <f t="shared" ca="1" si="196"/>
        <v/>
      </c>
      <c r="Y333" s="11" t="str">
        <f t="shared" ca="1" si="197"/>
        <v/>
      </c>
      <c r="Z333" s="11" t="str">
        <f t="shared" ca="1" si="198"/>
        <v/>
      </c>
      <c r="AA333" s="11" t="str">
        <f t="shared" ca="1" si="199"/>
        <v/>
      </c>
      <c r="AB333" s="47">
        <f ca="1">PlayerGameData[[#This Row],[3FGA]]+PlayerGameData[[#This Row],[2FGA]]</f>
        <v>0</v>
      </c>
      <c r="AC333" s="47">
        <f ca="1">PlayerGameData[[#This Row],[OFF REB]]+PlayerGameData[[#This Row],[DEF REB]]</f>
        <v>0</v>
      </c>
      <c r="AD333" s="8">
        <f t="shared" si="180"/>
        <v>14</v>
      </c>
      <c r="AE333" s="8" t="str">
        <f t="shared" ca="1" si="181"/>
        <v>,  - Thunder Basin JV 1/31/2023</v>
      </c>
      <c r="AF333" s="8" t="str">
        <f t="shared" ca="1" si="200"/>
        <v/>
      </c>
      <c r="AG333" s="8" t="str">
        <f ca="1">IFERROR(IF(C333=0,"",IF(AND(VLOOKUP(PlayerGameData[[#This Row],[Opponent]],WYTeamInfo,2,FALSE)=Roster!$D$1,VLOOKUP(PlayerGameData[[#This Row],[Opponent]],WYTeamInfo,3,FALSE)=Roster!$D$2),"SR","")),"")</f>
        <v/>
      </c>
      <c r="AH333" s="8" t="str">
        <f>CONCATENATE(Roster!$D$1," ",Roster!$D$5)</f>
        <v>1A BB</v>
      </c>
      <c r="AI333" s="8" t="str">
        <f t="shared" ca="1" si="182"/>
        <v>Upton - Thunder Basin JV 1/31/2023</v>
      </c>
      <c r="AJ333" s="8">
        <f ca="1">IFERROR(VLOOKUP(PlayerGameData[[#This Row],[School, Opponent,Game'#]],Table3[],2,FALSE),0)</f>
        <v>1</v>
      </c>
      <c r="AK333" s="8">
        <f ca="1">IF(PlayerGameData[[#This Row],[Visible]]=1,1,1000)</f>
        <v>1</v>
      </c>
      <c r="AL333" s="8">
        <f ca="1">RANK(PlayerGameData[[#This Row],[TL PTS]],PlayerGameData[TL PTS],0)+PlayerGameData[[#This Row],[VisibleOrder]]</f>
        <v>185</v>
      </c>
      <c r="AM333" s="8">
        <f ca="1">IF(COUNTIF(PlayerGameData[PointOrder],PlayerGameData[[#This Row],[PointOrder]])&gt;1,RANK(PlayerGameData[[#This Row],[FGA]],PlayerGameData[FGA],0)/100,0)+PlayerGameData[[#This Row],[PointOrder]]</f>
        <v>187.14</v>
      </c>
      <c r="AN333" s="8">
        <f ca="1">RANK(PlayerGameData[[#This Row],[PointTieBreak]],PlayerGameData[PointTieBreak],1)</f>
        <v>216</v>
      </c>
      <c r="AO333" s="8">
        <f ca="1">RANK(PlayerGameData[[#This Row],[REB]],PlayerGameData[REB],0)+PlayerGameData[[#This Row],[VisibleOrder]]</f>
        <v>192</v>
      </c>
      <c r="AP333" s="8">
        <f ca="1">IF(COUNTIF(PlayerGameData[REBOrder],PlayerGameData[[#This Row],[REBOrder]])&gt;1,PlayerGameData[[#This Row],[PointRank]]/100+PlayerGameData[[#This Row],[REBOrder]],PlayerGameData[[#This Row],[REBOrder]])</f>
        <v>194.16</v>
      </c>
      <c r="AQ333" s="8">
        <f ca="1">RANK(PlayerGameData[[#This Row],[REBTieBreak]],PlayerGameData[REBTieBreak],1)</f>
        <v>224</v>
      </c>
      <c r="AR333" s="8">
        <f ca="1">RANK(PlayerGameData[[#This Row],[AST]],PlayerGameData[AST],0)+PlayerGameData[[#This Row],[VisibleOrder]]</f>
        <v>158</v>
      </c>
      <c r="AS333" s="8">
        <f ca="1">IF(COUNTIF(PlayerGameData[ASTOrder],PlayerGameData[[#This Row],[ASTOrder]])&gt;1,PlayerGameData[[#This Row],[PointRank]]/100+PlayerGameData[[#This Row],[ASTOrder]],PlayerGameData[[#This Row],[ASTOrder]])</f>
        <v>160.16</v>
      </c>
      <c r="AT333" s="8">
        <f ca="1">RANK(PlayerGameData[[#This Row],[ASTTieBreak]],PlayerGameData[ASTTieBreak],1)</f>
        <v>221</v>
      </c>
      <c r="AU333" s="8">
        <f ca="1">RANK(PlayerGameData[[#This Row],[STL]],PlayerGameData[STL],0)+PlayerGameData[[#This Row],[VisibleOrder]]</f>
        <v>143</v>
      </c>
      <c r="AV333" s="8">
        <f ca="1">IF(COUNTIF(PlayerGameData[STLOrder],PlayerGameData[[#This Row],[STLOrder]])&gt;1,PlayerGameData[[#This Row],[PointRank]]/100+PlayerGameData[[#This Row],[STLOrder]],PlayerGameData[[#This Row],[STLOrder]])</f>
        <v>145.16</v>
      </c>
      <c r="AW333" s="8">
        <f ca="1">RANK(PlayerGameData[[#This Row],[STLTieBreak]],PlayerGameData[STLTieBreak],1)</f>
        <v>217</v>
      </c>
      <c r="AX333" s="8">
        <f ca="1">RANK(PlayerGameData[[#This Row],[BLK]],PlayerGameData[BLK],0)+PlayerGameData[[#This Row],[VisibleOrder]]</f>
        <v>32</v>
      </c>
      <c r="AY333" s="8">
        <f ca="1">IF(COUNTIF(PlayerGameData[BLKOrder],PlayerGameData[[#This Row],[BLKOrder]])&gt;1,PlayerGameData[[#This Row],[PointRank]]/100+PlayerGameData[[#This Row],[BLKOrder]],PlayerGameData[[#This Row],[BLKOrder]])</f>
        <v>34.159999999999997</v>
      </c>
      <c r="AZ333" s="8">
        <f ca="1">RANK(PlayerGameData[[#This Row],[BLKTieBreak]],PlayerGameData[BLKTieBreak],1)</f>
        <v>216</v>
      </c>
      <c r="BA333" s="11">
        <f ca="1">IFERROR(IF(PlayerGameData[[#This Row],[FGA]]&gt;$AA$5,PlayerGameData[[#This Row],[FG%*]],PlayerGameData[[#This Row],[FG%*]]*-1),-2)</f>
        <v>-2</v>
      </c>
      <c r="BB333" s="8">
        <f ca="1">RANK(PlayerGameData[[#This Row],[EligFG]],PlayerGameData[EligFG],0)+PlayerGameData[[#This Row],[VisibleOrder]]</f>
        <v>215</v>
      </c>
      <c r="BC333" s="8">
        <f ca="1">IF(COUNTIF(PlayerGameData[EligFGOrder],PlayerGameData[[#This Row],[EligFGOrder]])&gt;1,PlayerGameData[[#This Row],[PointRank]]/100+PlayerGameData[[#This Row],[EligFGOrder]],PlayerGameData[[#This Row],[EligFGOrder]])</f>
        <v>217.16</v>
      </c>
      <c r="BD333" s="8">
        <f ca="1">RANK(PlayerGameData[[#This Row],[EligFGTieBreak]],PlayerGameData[EligFGTieBreak],1)</f>
        <v>216</v>
      </c>
      <c r="BE333" s="8" t="str">
        <f>Roster!$D$3</f>
        <v>East</v>
      </c>
      <c r="BF333" s="8" t="str">
        <f>Roster!$D$2</f>
        <v>Northeast</v>
      </c>
      <c r="BG333" s="8" t="str">
        <f>Roster!$D$4</f>
        <v>North</v>
      </c>
      <c r="BH333" s="197">
        <f ca="1">IFERROR(VLOOKUP(CONCATENATE(PlayerGameData[[#This Row],[Opponent]]," ",MONTH(PlayerGameData[[#This Row],[Date]]),"/",DAY(PlayerGameData[[#This Row],[Date]]),"/",YEAR(PlayerGameData[[#This Row],[Date]])),Table35[],2,FALSE),0)</f>
        <v>1</v>
      </c>
      <c r="BI333" s="197">
        <f ca="1">IF(PlayerGameData[[#This Row],[Visible]]=1,1,1000)</f>
        <v>1</v>
      </c>
      <c r="BJ333" s="197" t="e">
        <f ca="1">_xlfn.MAXIFS(TeamGameData[Win],TeamGameData[School, Opponent,Game'#],PlayerGameData[[#This Row],[School, Opponent,Game'#]])</f>
        <v>#NAME?</v>
      </c>
      <c r="BK333" s="197" t="e">
        <f ca="1">_xlfn.MAXIFS(TeamGameData[Loss],TeamGameData[School, Opponent,Game'#],PlayerGameData[[#This Row],[School, Opponent,Game'#]])</f>
        <v>#NAME?</v>
      </c>
    </row>
    <row r="334" spans="1:63" x14ac:dyDescent="0.25">
      <c r="A334" s="8" t="str">
        <f t="shared" ca="1" si="183"/>
        <v xml:space="preserve">, </v>
      </c>
      <c r="B334" s="8" t="str">
        <f>Roster!$B$1</f>
        <v>Upton</v>
      </c>
      <c r="C334" s="8" t="str">
        <f t="shared" ca="1" si="171"/>
        <v>Thunder Basin JV</v>
      </c>
      <c r="D334" s="10">
        <f t="shared" ca="1" si="172"/>
        <v>44957</v>
      </c>
      <c r="E334" s="8">
        <f t="shared" ca="1" si="173"/>
        <v>0</v>
      </c>
      <c r="F334" s="8">
        <f t="shared" ca="1" si="174"/>
        <v>0</v>
      </c>
      <c r="G334" s="8">
        <f t="shared" ca="1" si="175"/>
        <v>0</v>
      </c>
      <c r="H334" s="8">
        <f t="shared" ca="1" si="176"/>
        <v>0</v>
      </c>
      <c r="I334" s="8">
        <f t="shared" ca="1" si="177"/>
        <v>0</v>
      </c>
      <c r="J334" s="8">
        <f t="shared" ca="1" si="178"/>
        <v>0</v>
      </c>
      <c r="K334" s="8">
        <f t="shared" ca="1" si="179"/>
        <v>0</v>
      </c>
      <c r="L334" s="8">
        <f t="shared" ca="1" si="184"/>
        <v>0</v>
      </c>
      <c r="M334" s="8">
        <f t="shared" ca="1" si="185"/>
        <v>0</v>
      </c>
      <c r="N334" s="8">
        <f t="shared" ca="1" si="186"/>
        <v>0</v>
      </c>
      <c r="O334" s="8">
        <f t="shared" ca="1" si="187"/>
        <v>0</v>
      </c>
      <c r="P334" s="8">
        <f t="shared" ca="1" si="188"/>
        <v>0</v>
      </c>
      <c r="Q334" s="8">
        <f t="shared" ca="1" si="189"/>
        <v>0</v>
      </c>
      <c r="R334" s="8">
        <f t="shared" ca="1" si="190"/>
        <v>0</v>
      </c>
      <c r="S334" s="8">
        <f t="shared" ca="1" si="191"/>
        <v>0</v>
      </c>
      <c r="T334" s="8">
        <f t="shared" ca="1" si="192"/>
        <v>0</v>
      </c>
      <c r="U334" s="8">
        <f t="shared" ca="1" si="193"/>
        <v>0</v>
      </c>
      <c r="V334" s="8">
        <f t="shared" ca="1" si="194"/>
        <v>0</v>
      </c>
      <c r="W334" s="11" t="str">
        <f t="shared" ca="1" si="195"/>
        <v/>
      </c>
      <c r="X334" s="11" t="str">
        <f t="shared" ca="1" si="196"/>
        <v/>
      </c>
      <c r="Y334" s="11" t="str">
        <f t="shared" ca="1" si="197"/>
        <v/>
      </c>
      <c r="Z334" s="11" t="str">
        <f t="shared" ca="1" si="198"/>
        <v/>
      </c>
      <c r="AA334" s="11" t="str">
        <f t="shared" ca="1" si="199"/>
        <v/>
      </c>
      <c r="AB334" s="47">
        <f ca="1">PlayerGameData[[#This Row],[3FGA]]+PlayerGameData[[#This Row],[2FGA]]</f>
        <v>0</v>
      </c>
      <c r="AC334" s="47">
        <f ca="1">PlayerGameData[[#This Row],[OFF REB]]+PlayerGameData[[#This Row],[DEF REB]]</f>
        <v>0</v>
      </c>
      <c r="AD334" s="8">
        <f t="shared" si="180"/>
        <v>14</v>
      </c>
      <c r="AE334" s="8" t="str">
        <f t="shared" ca="1" si="181"/>
        <v>,  - Thunder Basin JV 1/31/2023</v>
      </c>
      <c r="AF334" s="8" t="str">
        <f t="shared" ca="1" si="200"/>
        <v/>
      </c>
      <c r="AG334" s="8" t="str">
        <f ca="1">IFERROR(IF(C334=0,"",IF(AND(VLOOKUP(PlayerGameData[[#This Row],[Opponent]],WYTeamInfo,2,FALSE)=Roster!$D$1,VLOOKUP(PlayerGameData[[#This Row],[Opponent]],WYTeamInfo,3,FALSE)=Roster!$D$2),"SR","")),"")</f>
        <v/>
      </c>
      <c r="AH334" s="8" t="str">
        <f>CONCATENATE(Roster!$D$1," ",Roster!$D$5)</f>
        <v>1A BB</v>
      </c>
      <c r="AI334" s="8" t="str">
        <f t="shared" ca="1" si="182"/>
        <v>Upton - Thunder Basin JV 1/31/2023</v>
      </c>
      <c r="AJ334" s="8">
        <f ca="1">IFERROR(VLOOKUP(PlayerGameData[[#This Row],[School, Opponent,Game'#]],Table3[],2,FALSE),0)</f>
        <v>1</v>
      </c>
      <c r="AK334" s="8">
        <f ca="1">IF(PlayerGameData[[#This Row],[Visible]]=1,1,1000)</f>
        <v>1</v>
      </c>
      <c r="AL334" s="8">
        <f ca="1">RANK(PlayerGameData[[#This Row],[TL PTS]],PlayerGameData[TL PTS],0)+PlayerGameData[[#This Row],[VisibleOrder]]</f>
        <v>185</v>
      </c>
      <c r="AM334" s="8">
        <f ca="1">IF(COUNTIF(PlayerGameData[PointOrder],PlayerGameData[[#This Row],[PointOrder]])&gt;1,RANK(PlayerGameData[[#This Row],[FGA]],PlayerGameData[FGA],0)/100,0)+PlayerGameData[[#This Row],[PointOrder]]</f>
        <v>187.14</v>
      </c>
      <c r="AN334" s="8">
        <f ca="1">RANK(PlayerGameData[[#This Row],[PointTieBreak]],PlayerGameData[PointTieBreak],1)</f>
        <v>216</v>
      </c>
      <c r="AO334" s="8">
        <f ca="1">RANK(PlayerGameData[[#This Row],[REB]],PlayerGameData[REB],0)+PlayerGameData[[#This Row],[VisibleOrder]]</f>
        <v>192</v>
      </c>
      <c r="AP334" s="8">
        <f ca="1">IF(COUNTIF(PlayerGameData[REBOrder],PlayerGameData[[#This Row],[REBOrder]])&gt;1,PlayerGameData[[#This Row],[PointRank]]/100+PlayerGameData[[#This Row],[REBOrder]],PlayerGameData[[#This Row],[REBOrder]])</f>
        <v>194.16</v>
      </c>
      <c r="AQ334" s="8">
        <f ca="1">RANK(PlayerGameData[[#This Row],[REBTieBreak]],PlayerGameData[REBTieBreak],1)</f>
        <v>224</v>
      </c>
      <c r="AR334" s="8">
        <f ca="1">RANK(PlayerGameData[[#This Row],[AST]],PlayerGameData[AST],0)+PlayerGameData[[#This Row],[VisibleOrder]]</f>
        <v>158</v>
      </c>
      <c r="AS334" s="8">
        <f ca="1">IF(COUNTIF(PlayerGameData[ASTOrder],PlayerGameData[[#This Row],[ASTOrder]])&gt;1,PlayerGameData[[#This Row],[PointRank]]/100+PlayerGameData[[#This Row],[ASTOrder]],PlayerGameData[[#This Row],[ASTOrder]])</f>
        <v>160.16</v>
      </c>
      <c r="AT334" s="8">
        <f ca="1">RANK(PlayerGameData[[#This Row],[ASTTieBreak]],PlayerGameData[ASTTieBreak],1)</f>
        <v>221</v>
      </c>
      <c r="AU334" s="8">
        <f ca="1">RANK(PlayerGameData[[#This Row],[STL]],PlayerGameData[STL],0)+PlayerGameData[[#This Row],[VisibleOrder]]</f>
        <v>143</v>
      </c>
      <c r="AV334" s="8">
        <f ca="1">IF(COUNTIF(PlayerGameData[STLOrder],PlayerGameData[[#This Row],[STLOrder]])&gt;1,PlayerGameData[[#This Row],[PointRank]]/100+PlayerGameData[[#This Row],[STLOrder]],PlayerGameData[[#This Row],[STLOrder]])</f>
        <v>145.16</v>
      </c>
      <c r="AW334" s="8">
        <f ca="1">RANK(PlayerGameData[[#This Row],[STLTieBreak]],PlayerGameData[STLTieBreak],1)</f>
        <v>217</v>
      </c>
      <c r="AX334" s="8">
        <f ca="1">RANK(PlayerGameData[[#This Row],[BLK]],PlayerGameData[BLK],0)+PlayerGameData[[#This Row],[VisibleOrder]]</f>
        <v>32</v>
      </c>
      <c r="AY334" s="8">
        <f ca="1">IF(COUNTIF(PlayerGameData[BLKOrder],PlayerGameData[[#This Row],[BLKOrder]])&gt;1,PlayerGameData[[#This Row],[PointRank]]/100+PlayerGameData[[#This Row],[BLKOrder]],PlayerGameData[[#This Row],[BLKOrder]])</f>
        <v>34.159999999999997</v>
      </c>
      <c r="AZ334" s="8">
        <f ca="1">RANK(PlayerGameData[[#This Row],[BLKTieBreak]],PlayerGameData[BLKTieBreak],1)</f>
        <v>216</v>
      </c>
      <c r="BA334" s="11">
        <f ca="1">IFERROR(IF(PlayerGameData[[#This Row],[FGA]]&gt;$AA$5,PlayerGameData[[#This Row],[FG%*]],PlayerGameData[[#This Row],[FG%*]]*-1),-2)</f>
        <v>-2</v>
      </c>
      <c r="BB334" s="8">
        <f ca="1">RANK(PlayerGameData[[#This Row],[EligFG]],PlayerGameData[EligFG],0)+PlayerGameData[[#This Row],[VisibleOrder]]</f>
        <v>215</v>
      </c>
      <c r="BC334" s="8">
        <f ca="1">IF(COUNTIF(PlayerGameData[EligFGOrder],PlayerGameData[[#This Row],[EligFGOrder]])&gt;1,PlayerGameData[[#This Row],[PointRank]]/100+PlayerGameData[[#This Row],[EligFGOrder]],PlayerGameData[[#This Row],[EligFGOrder]])</f>
        <v>217.16</v>
      </c>
      <c r="BD334" s="8">
        <f ca="1">RANK(PlayerGameData[[#This Row],[EligFGTieBreak]],PlayerGameData[EligFGTieBreak],1)</f>
        <v>216</v>
      </c>
      <c r="BE334" s="8" t="str">
        <f>Roster!$D$3</f>
        <v>East</v>
      </c>
      <c r="BF334" s="8" t="str">
        <f>Roster!$D$2</f>
        <v>Northeast</v>
      </c>
      <c r="BG334" s="8" t="str">
        <f>Roster!$D$4</f>
        <v>North</v>
      </c>
      <c r="BH334" s="197">
        <f ca="1">IFERROR(VLOOKUP(CONCATENATE(PlayerGameData[[#This Row],[Opponent]]," ",MONTH(PlayerGameData[[#This Row],[Date]]),"/",DAY(PlayerGameData[[#This Row],[Date]]),"/",YEAR(PlayerGameData[[#This Row],[Date]])),Table35[],2,FALSE),0)</f>
        <v>1</v>
      </c>
      <c r="BI334" s="197">
        <f ca="1">IF(PlayerGameData[[#This Row],[Visible]]=1,1,1000)</f>
        <v>1</v>
      </c>
      <c r="BJ334" s="197" t="e">
        <f ca="1">_xlfn.MAXIFS(TeamGameData[Win],TeamGameData[School, Opponent,Game'#],PlayerGameData[[#This Row],[School, Opponent,Game'#]])</f>
        <v>#NAME?</v>
      </c>
      <c r="BK334" s="197" t="e">
        <f ca="1">_xlfn.MAXIFS(TeamGameData[Loss],TeamGameData[School, Opponent,Game'#],PlayerGameData[[#This Row],[School, Opponent,Game'#]])</f>
        <v>#NAME?</v>
      </c>
    </row>
    <row r="335" spans="1:63" x14ac:dyDescent="0.25">
      <c r="A335" s="8" t="str">
        <f t="shared" ca="1" si="183"/>
        <v xml:space="preserve">, </v>
      </c>
      <c r="B335" s="8" t="str">
        <f>Roster!$B$1</f>
        <v>Upton</v>
      </c>
      <c r="C335" s="8" t="str">
        <f t="shared" ca="1" si="171"/>
        <v>Thunder Basin JV</v>
      </c>
      <c r="D335" s="10">
        <f t="shared" ca="1" si="172"/>
        <v>44957</v>
      </c>
      <c r="E335" s="8">
        <f t="shared" ca="1" si="173"/>
        <v>0</v>
      </c>
      <c r="F335" s="8">
        <f t="shared" ca="1" si="174"/>
        <v>0</v>
      </c>
      <c r="G335" s="8">
        <f t="shared" ca="1" si="175"/>
        <v>0</v>
      </c>
      <c r="H335" s="8">
        <f t="shared" ca="1" si="176"/>
        <v>0</v>
      </c>
      <c r="I335" s="8">
        <f t="shared" ca="1" si="177"/>
        <v>0</v>
      </c>
      <c r="J335" s="8">
        <f t="shared" ca="1" si="178"/>
        <v>0</v>
      </c>
      <c r="K335" s="8">
        <f t="shared" ca="1" si="179"/>
        <v>0</v>
      </c>
      <c r="L335" s="8">
        <f t="shared" ca="1" si="184"/>
        <v>0</v>
      </c>
      <c r="M335" s="8">
        <f t="shared" ca="1" si="185"/>
        <v>0</v>
      </c>
      <c r="N335" s="8">
        <f t="shared" ca="1" si="186"/>
        <v>0</v>
      </c>
      <c r="O335" s="8">
        <f t="shared" ca="1" si="187"/>
        <v>0</v>
      </c>
      <c r="P335" s="8">
        <f t="shared" ca="1" si="188"/>
        <v>0</v>
      </c>
      <c r="Q335" s="8">
        <f t="shared" ca="1" si="189"/>
        <v>0</v>
      </c>
      <c r="R335" s="8">
        <f t="shared" ca="1" si="190"/>
        <v>0</v>
      </c>
      <c r="S335" s="8">
        <f t="shared" ca="1" si="191"/>
        <v>0</v>
      </c>
      <c r="T335" s="8">
        <f t="shared" ca="1" si="192"/>
        <v>0</v>
      </c>
      <c r="U335" s="8">
        <f t="shared" ca="1" si="193"/>
        <v>0</v>
      </c>
      <c r="V335" s="8">
        <f t="shared" ca="1" si="194"/>
        <v>0</v>
      </c>
      <c r="W335" s="11" t="str">
        <f t="shared" ca="1" si="195"/>
        <v/>
      </c>
      <c r="X335" s="11" t="str">
        <f t="shared" ca="1" si="196"/>
        <v/>
      </c>
      <c r="Y335" s="11" t="str">
        <f t="shared" ca="1" si="197"/>
        <v/>
      </c>
      <c r="Z335" s="11" t="str">
        <f t="shared" ca="1" si="198"/>
        <v/>
      </c>
      <c r="AA335" s="11" t="str">
        <f t="shared" ca="1" si="199"/>
        <v/>
      </c>
      <c r="AB335" s="47">
        <f ca="1">PlayerGameData[[#This Row],[3FGA]]+PlayerGameData[[#This Row],[2FGA]]</f>
        <v>0</v>
      </c>
      <c r="AC335" s="47">
        <f ca="1">PlayerGameData[[#This Row],[OFF REB]]+PlayerGameData[[#This Row],[DEF REB]]</f>
        <v>0</v>
      </c>
      <c r="AD335" s="8">
        <f t="shared" si="180"/>
        <v>14</v>
      </c>
      <c r="AE335" s="8" t="str">
        <f t="shared" ca="1" si="181"/>
        <v>,  - Thunder Basin JV 1/31/2023</v>
      </c>
      <c r="AF335" s="8" t="str">
        <f t="shared" ca="1" si="200"/>
        <v/>
      </c>
      <c r="AG335" s="8" t="str">
        <f ca="1">IFERROR(IF(C335=0,"",IF(AND(VLOOKUP(PlayerGameData[[#This Row],[Opponent]],WYTeamInfo,2,FALSE)=Roster!$D$1,VLOOKUP(PlayerGameData[[#This Row],[Opponent]],WYTeamInfo,3,FALSE)=Roster!$D$2),"SR","")),"")</f>
        <v/>
      </c>
      <c r="AH335" s="8" t="str">
        <f>CONCATENATE(Roster!$D$1," ",Roster!$D$5)</f>
        <v>1A BB</v>
      </c>
      <c r="AI335" s="8" t="str">
        <f t="shared" ca="1" si="182"/>
        <v>Upton - Thunder Basin JV 1/31/2023</v>
      </c>
      <c r="AJ335" s="8">
        <f ca="1">IFERROR(VLOOKUP(PlayerGameData[[#This Row],[School, Opponent,Game'#]],Table3[],2,FALSE),0)</f>
        <v>1</v>
      </c>
      <c r="AK335" s="8">
        <f ca="1">IF(PlayerGameData[[#This Row],[Visible]]=1,1,1000)</f>
        <v>1</v>
      </c>
      <c r="AL335" s="8">
        <f ca="1">RANK(PlayerGameData[[#This Row],[TL PTS]],PlayerGameData[TL PTS],0)+PlayerGameData[[#This Row],[VisibleOrder]]</f>
        <v>185</v>
      </c>
      <c r="AM335" s="8">
        <f ca="1">IF(COUNTIF(PlayerGameData[PointOrder],PlayerGameData[[#This Row],[PointOrder]])&gt;1,RANK(PlayerGameData[[#This Row],[FGA]],PlayerGameData[FGA],0)/100,0)+PlayerGameData[[#This Row],[PointOrder]]</f>
        <v>187.14</v>
      </c>
      <c r="AN335" s="8">
        <f ca="1">RANK(PlayerGameData[[#This Row],[PointTieBreak]],PlayerGameData[PointTieBreak],1)</f>
        <v>216</v>
      </c>
      <c r="AO335" s="8">
        <f ca="1">RANK(PlayerGameData[[#This Row],[REB]],PlayerGameData[REB],0)+PlayerGameData[[#This Row],[VisibleOrder]]</f>
        <v>192</v>
      </c>
      <c r="AP335" s="8">
        <f ca="1">IF(COUNTIF(PlayerGameData[REBOrder],PlayerGameData[[#This Row],[REBOrder]])&gt;1,PlayerGameData[[#This Row],[PointRank]]/100+PlayerGameData[[#This Row],[REBOrder]],PlayerGameData[[#This Row],[REBOrder]])</f>
        <v>194.16</v>
      </c>
      <c r="AQ335" s="8">
        <f ca="1">RANK(PlayerGameData[[#This Row],[REBTieBreak]],PlayerGameData[REBTieBreak],1)</f>
        <v>224</v>
      </c>
      <c r="AR335" s="8">
        <f ca="1">RANK(PlayerGameData[[#This Row],[AST]],PlayerGameData[AST],0)+PlayerGameData[[#This Row],[VisibleOrder]]</f>
        <v>158</v>
      </c>
      <c r="AS335" s="8">
        <f ca="1">IF(COUNTIF(PlayerGameData[ASTOrder],PlayerGameData[[#This Row],[ASTOrder]])&gt;1,PlayerGameData[[#This Row],[PointRank]]/100+PlayerGameData[[#This Row],[ASTOrder]],PlayerGameData[[#This Row],[ASTOrder]])</f>
        <v>160.16</v>
      </c>
      <c r="AT335" s="8">
        <f ca="1">RANK(PlayerGameData[[#This Row],[ASTTieBreak]],PlayerGameData[ASTTieBreak],1)</f>
        <v>221</v>
      </c>
      <c r="AU335" s="8">
        <f ca="1">RANK(PlayerGameData[[#This Row],[STL]],PlayerGameData[STL],0)+PlayerGameData[[#This Row],[VisibleOrder]]</f>
        <v>143</v>
      </c>
      <c r="AV335" s="8">
        <f ca="1">IF(COUNTIF(PlayerGameData[STLOrder],PlayerGameData[[#This Row],[STLOrder]])&gt;1,PlayerGameData[[#This Row],[PointRank]]/100+PlayerGameData[[#This Row],[STLOrder]],PlayerGameData[[#This Row],[STLOrder]])</f>
        <v>145.16</v>
      </c>
      <c r="AW335" s="8">
        <f ca="1">RANK(PlayerGameData[[#This Row],[STLTieBreak]],PlayerGameData[STLTieBreak],1)</f>
        <v>217</v>
      </c>
      <c r="AX335" s="8">
        <f ca="1">RANK(PlayerGameData[[#This Row],[BLK]],PlayerGameData[BLK],0)+PlayerGameData[[#This Row],[VisibleOrder]]</f>
        <v>32</v>
      </c>
      <c r="AY335" s="8">
        <f ca="1">IF(COUNTIF(PlayerGameData[BLKOrder],PlayerGameData[[#This Row],[BLKOrder]])&gt;1,PlayerGameData[[#This Row],[PointRank]]/100+PlayerGameData[[#This Row],[BLKOrder]],PlayerGameData[[#This Row],[BLKOrder]])</f>
        <v>34.159999999999997</v>
      </c>
      <c r="AZ335" s="8">
        <f ca="1">RANK(PlayerGameData[[#This Row],[BLKTieBreak]],PlayerGameData[BLKTieBreak],1)</f>
        <v>216</v>
      </c>
      <c r="BA335" s="11">
        <f ca="1">IFERROR(IF(PlayerGameData[[#This Row],[FGA]]&gt;$AA$5,PlayerGameData[[#This Row],[FG%*]],PlayerGameData[[#This Row],[FG%*]]*-1),-2)</f>
        <v>-2</v>
      </c>
      <c r="BB335" s="8">
        <f ca="1">RANK(PlayerGameData[[#This Row],[EligFG]],PlayerGameData[EligFG],0)+PlayerGameData[[#This Row],[VisibleOrder]]</f>
        <v>215</v>
      </c>
      <c r="BC335" s="8">
        <f ca="1">IF(COUNTIF(PlayerGameData[EligFGOrder],PlayerGameData[[#This Row],[EligFGOrder]])&gt;1,PlayerGameData[[#This Row],[PointRank]]/100+PlayerGameData[[#This Row],[EligFGOrder]],PlayerGameData[[#This Row],[EligFGOrder]])</f>
        <v>217.16</v>
      </c>
      <c r="BD335" s="8">
        <f ca="1">RANK(PlayerGameData[[#This Row],[EligFGTieBreak]],PlayerGameData[EligFGTieBreak],1)</f>
        <v>216</v>
      </c>
      <c r="BE335" s="8" t="str">
        <f>Roster!$D$3</f>
        <v>East</v>
      </c>
      <c r="BF335" s="8" t="str">
        <f>Roster!$D$2</f>
        <v>Northeast</v>
      </c>
      <c r="BG335" s="8" t="str">
        <f>Roster!$D$4</f>
        <v>North</v>
      </c>
      <c r="BH335" s="197">
        <f ca="1">IFERROR(VLOOKUP(CONCATENATE(PlayerGameData[[#This Row],[Opponent]]," ",MONTH(PlayerGameData[[#This Row],[Date]]),"/",DAY(PlayerGameData[[#This Row],[Date]]),"/",YEAR(PlayerGameData[[#This Row],[Date]])),Table35[],2,FALSE),0)</f>
        <v>1</v>
      </c>
      <c r="BI335" s="197">
        <f ca="1">IF(PlayerGameData[[#This Row],[Visible]]=1,1,1000)</f>
        <v>1</v>
      </c>
      <c r="BJ335" s="197" t="e">
        <f ca="1">_xlfn.MAXIFS(TeamGameData[Win],TeamGameData[School, Opponent,Game'#],PlayerGameData[[#This Row],[School, Opponent,Game'#]])</f>
        <v>#NAME?</v>
      </c>
      <c r="BK335" s="197" t="e">
        <f ca="1">_xlfn.MAXIFS(TeamGameData[Loss],TeamGameData[School, Opponent,Game'#],PlayerGameData[[#This Row],[School, Opponent,Game'#]])</f>
        <v>#NAME?</v>
      </c>
    </row>
    <row r="336" spans="1:63" x14ac:dyDescent="0.25">
      <c r="A336" s="8" t="str">
        <f t="shared" ca="1" si="183"/>
        <v xml:space="preserve">, </v>
      </c>
      <c r="B336" s="8" t="str">
        <f>Roster!$B$1</f>
        <v>Upton</v>
      </c>
      <c r="C336" s="8" t="str">
        <f t="shared" ca="1" si="171"/>
        <v>Thunder Basin JV</v>
      </c>
      <c r="D336" s="10">
        <f t="shared" ca="1" si="172"/>
        <v>44957</v>
      </c>
      <c r="E336" s="8">
        <f t="shared" ca="1" si="173"/>
        <v>0</v>
      </c>
      <c r="F336" s="8">
        <f t="shared" ca="1" si="174"/>
        <v>0</v>
      </c>
      <c r="G336" s="8">
        <f t="shared" ca="1" si="175"/>
        <v>0</v>
      </c>
      <c r="H336" s="8">
        <f t="shared" ca="1" si="176"/>
        <v>0</v>
      </c>
      <c r="I336" s="8">
        <f t="shared" ca="1" si="177"/>
        <v>0</v>
      </c>
      <c r="J336" s="8">
        <f t="shared" ca="1" si="178"/>
        <v>0</v>
      </c>
      <c r="K336" s="8">
        <f t="shared" ca="1" si="179"/>
        <v>0</v>
      </c>
      <c r="L336" s="8">
        <f t="shared" ca="1" si="184"/>
        <v>0</v>
      </c>
      <c r="M336" s="8">
        <f t="shared" ca="1" si="185"/>
        <v>0</v>
      </c>
      <c r="N336" s="8">
        <f t="shared" ca="1" si="186"/>
        <v>0</v>
      </c>
      <c r="O336" s="8">
        <f t="shared" ca="1" si="187"/>
        <v>0</v>
      </c>
      <c r="P336" s="8">
        <f t="shared" ca="1" si="188"/>
        <v>0</v>
      </c>
      <c r="Q336" s="8">
        <f t="shared" ca="1" si="189"/>
        <v>0</v>
      </c>
      <c r="R336" s="8">
        <f t="shared" ca="1" si="190"/>
        <v>0</v>
      </c>
      <c r="S336" s="8">
        <f t="shared" ca="1" si="191"/>
        <v>0</v>
      </c>
      <c r="T336" s="8">
        <f t="shared" ca="1" si="192"/>
        <v>0</v>
      </c>
      <c r="U336" s="8">
        <f t="shared" ca="1" si="193"/>
        <v>0</v>
      </c>
      <c r="V336" s="8">
        <f t="shared" ca="1" si="194"/>
        <v>0</v>
      </c>
      <c r="W336" s="11" t="str">
        <f t="shared" ca="1" si="195"/>
        <v/>
      </c>
      <c r="X336" s="11" t="str">
        <f t="shared" ca="1" si="196"/>
        <v/>
      </c>
      <c r="Y336" s="11" t="str">
        <f t="shared" ca="1" si="197"/>
        <v/>
      </c>
      <c r="Z336" s="11" t="str">
        <f t="shared" ca="1" si="198"/>
        <v/>
      </c>
      <c r="AA336" s="11" t="str">
        <f t="shared" ca="1" si="199"/>
        <v/>
      </c>
      <c r="AB336" s="47">
        <f ca="1">PlayerGameData[[#This Row],[3FGA]]+PlayerGameData[[#This Row],[2FGA]]</f>
        <v>0</v>
      </c>
      <c r="AC336" s="47">
        <f ca="1">PlayerGameData[[#This Row],[OFF REB]]+PlayerGameData[[#This Row],[DEF REB]]</f>
        <v>0</v>
      </c>
      <c r="AD336" s="8">
        <f t="shared" si="180"/>
        <v>14</v>
      </c>
      <c r="AE336" s="8" t="str">
        <f t="shared" ca="1" si="181"/>
        <v>,  - Thunder Basin JV 1/31/2023</v>
      </c>
      <c r="AF336" s="8" t="str">
        <f t="shared" ca="1" si="200"/>
        <v/>
      </c>
      <c r="AG336" s="8" t="str">
        <f ca="1">IFERROR(IF(C336=0,"",IF(AND(VLOOKUP(PlayerGameData[[#This Row],[Opponent]],WYTeamInfo,2,FALSE)=Roster!$D$1,VLOOKUP(PlayerGameData[[#This Row],[Opponent]],WYTeamInfo,3,FALSE)=Roster!$D$2),"SR","")),"")</f>
        <v/>
      </c>
      <c r="AH336" s="8" t="str">
        <f>CONCATENATE(Roster!$D$1," ",Roster!$D$5)</f>
        <v>1A BB</v>
      </c>
      <c r="AI336" s="8" t="str">
        <f t="shared" ca="1" si="182"/>
        <v>Upton - Thunder Basin JV 1/31/2023</v>
      </c>
      <c r="AJ336" s="8">
        <f ca="1">IFERROR(VLOOKUP(PlayerGameData[[#This Row],[School, Opponent,Game'#]],Table3[],2,FALSE),0)</f>
        <v>1</v>
      </c>
      <c r="AK336" s="8">
        <f ca="1">IF(PlayerGameData[[#This Row],[Visible]]=1,1,1000)</f>
        <v>1</v>
      </c>
      <c r="AL336" s="8">
        <f ca="1">RANK(PlayerGameData[[#This Row],[TL PTS]],PlayerGameData[TL PTS],0)+PlayerGameData[[#This Row],[VisibleOrder]]</f>
        <v>185</v>
      </c>
      <c r="AM336" s="8">
        <f ca="1">IF(COUNTIF(PlayerGameData[PointOrder],PlayerGameData[[#This Row],[PointOrder]])&gt;1,RANK(PlayerGameData[[#This Row],[FGA]],PlayerGameData[FGA],0)/100,0)+PlayerGameData[[#This Row],[PointOrder]]</f>
        <v>187.14</v>
      </c>
      <c r="AN336" s="8">
        <f ca="1">RANK(PlayerGameData[[#This Row],[PointTieBreak]],PlayerGameData[PointTieBreak],1)</f>
        <v>216</v>
      </c>
      <c r="AO336" s="8">
        <f ca="1">RANK(PlayerGameData[[#This Row],[REB]],PlayerGameData[REB],0)+PlayerGameData[[#This Row],[VisibleOrder]]</f>
        <v>192</v>
      </c>
      <c r="AP336" s="8">
        <f ca="1">IF(COUNTIF(PlayerGameData[REBOrder],PlayerGameData[[#This Row],[REBOrder]])&gt;1,PlayerGameData[[#This Row],[PointRank]]/100+PlayerGameData[[#This Row],[REBOrder]],PlayerGameData[[#This Row],[REBOrder]])</f>
        <v>194.16</v>
      </c>
      <c r="AQ336" s="8">
        <f ca="1">RANK(PlayerGameData[[#This Row],[REBTieBreak]],PlayerGameData[REBTieBreak],1)</f>
        <v>224</v>
      </c>
      <c r="AR336" s="8">
        <f ca="1">RANK(PlayerGameData[[#This Row],[AST]],PlayerGameData[AST],0)+PlayerGameData[[#This Row],[VisibleOrder]]</f>
        <v>158</v>
      </c>
      <c r="AS336" s="8">
        <f ca="1">IF(COUNTIF(PlayerGameData[ASTOrder],PlayerGameData[[#This Row],[ASTOrder]])&gt;1,PlayerGameData[[#This Row],[PointRank]]/100+PlayerGameData[[#This Row],[ASTOrder]],PlayerGameData[[#This Row],[ASTOrder]])</f>
        <v>160.16</v>
      </c>
      <c r="AT336" s="8">
        <f ca="1">RANK(PlayerGameData[[#This Row],[ASTTieBreak]],PlayerGameData[ASTTieBreak],1)</f>
        <v>221</v>
      </c>
      <c r="AU336" s="8">
        <f ca="1">RANK(PlayerGameData[[#This Row],[STL]],PlayerGameData[STL],0)+PlayerGameData[[#This Row],[VisibleOrder]]</f>
        <v>143</v>
      </c>
      <c r="AV336" s="8">
        <f ca="1">IF(COUNTIF(PlayerGameData[STLOrder],PlayerGameData[[#This Row],[STLOrder]])&gt;1,PlayerGameData[[#This Row],[PointRank]]/100+PlayerGameData[[#This Row],[STLOrder]],PlayerGameData[[#This Row],[STLOrder]])</f>
        <v>145.16</v>
      </c>
      <c r="AW336" s="8">
        <f ca="1">RANK(PlayerGameData[[#This Row],[STLTieBreak]],PlayerGameData[STLTieBreak],1)</f>
        <v>217</v>
      </c>
      <c r="AX336" s="8">
        <f ca="1">RANK(PlayerGameData[[#This Row],[BLK]],PlayerGameData[BLK],0)+PlayerGameData[[#This Row],[VisibleOrder]]</f>
        <v>32</v>
      </c>
      <c r="AY336" s="8">
        <f ca="1">IF(COUNTIF(PlayerGameData[BLKOrder],PlayerGameData[[#This Row],[BLKOrder]])&gt;1,PlayerGameData[[#This Row],[PointRank]]/100+PlayerGameData[[#This Row],[BLKOrder]],PlayerGameData[[#This Row],[BLKOrder]])</f>
        <v>34.159999999999997</v>
      </c>
      <c r="AZ336" s="8">
        <f ca="1">RANK(PlayerGameData[[#This Row],[BLKTieBreak]],PlayerGameData[BLKTieBreak],1)</f>
        <v>216</v>
      </c>
      <c r="BA336" s="11">
        <f ca="1">IFERROR(IF(PlayerGameData[[#This Row],[FGA]]&gt;$AA$5,PlayerGameData[[#This Row],[FG%*]],PlayerGameData[[#This Row],[FG%*]]*-1),-2)</f>
        <v>-2</v>
      </c>
      <c r="BB336" s="8">
        <f ca="1">RANK(PlayerGameData[[#This Row],[EligFG]],PlayerGameData[EligFG],0)+PlayerGameData[[#This Row],[VisibleOrder]]</f>
        <v>215</v>
      </c>
      <c r="BC336" s="8">
        <f ca="1">IF(COUNTIF(PlayerGameData[EligFGOrder],PlayerGameData[[#This Row],[EligFGOrder]])&gt;1,PlayerGameData[[#This Row],[PointRank]]/100+PlayerGameData[[#This Row],[EligFGOrder]],PlayerGameData[[#This Row],[EligFGOrder]])</f>
        <v>217.16</v>
      </c>
      <c r="BD336" s="8">
        <f ca="1">RANK(PlayerGameData[[#This Row],[EligFGTieBreak]],PlayerGameData[EligFGTieBreak],1)</f>
        <v>216</v>
      </c>
      <c r="BE336" s="8" t="str">
        <f>Roster!$D$3</f>
        <v>East</v>
      </c>
      <c r="BF336" s="8" t="str">
        <f>Roster!$D$2</f>
        <v>Northeast</v>
      </c>
      <c r="BG336" s="8" t="str">
        <f>Roster!$D$4</f>
        <v>North</v>
      </c>
      <c r="BH336" s="197">
        <f ca="1">IFERROR(VLOOKUP(CONCATENATE(PlayerGameData[[#This Row],[Opponent]]," ",MONTH(PlayerGameData[[#This Row],[Date]]),"/",DAY(PlayerGameData[[#This Row],[Date]]),"/",YEAR(PlayerGameData[[#This Row],[Date]])),Table35[],2,FALSE),0)</f>
        <v>1</v>
      </c>
      <c r="BI336" s="197">
        <f ca="1">IF(PlayerGameData[[#This Row],[Visible]]=1,1,1000)</f>
        <v>1</v>
      </c>
      <c r="BJ336" s="197" t="e">
        <f ca="1">_xlfn.MAXIFS(TeamGameData[Win],TeamGameData[School, Opponent,Game'#],PlayerGameData[[#This Row],[School, Opponent,Game'#]])</f>
        <v>#NAME?</v>
      </c>
      <c r="BK336" s="197" t="e">
        <f ca="1">_xlfn.MAXIFS(TeamGameData[Loss],TeamGameData[School, Opponent,Game'#],PlayerGameData[[#This Row],[School, Opponent,Game'#]])</f>
        <v>#NAME?</v>
      </c>
    </row>
    <row r="337" spans="1:63" x14ac:dyDescent="0.25">
      <c r="A337" s="8" t="str">
        <f t="shared" ca="1" si="183"/>
        <v xml:space="preserve">, </v>
      </c>
      <c r="B337" s="8" t="str">
        <f>Roster!$B$1</f>
        <v>Upton</v>
      </c>
      <c r="C337" s="8" t="str">
        <f t="shared" ca="1" si="171"/>
        <v>Thunder Basin JV</v>
      </c>
      <c r="D337" s="10">
        <f t="shared" ca="1" si="172"/>
        <v>44957</v>
      </c>
      <c r="E337" s="8">
        <f t="shared" ca="1" si="173"/>
        <v>0</v>
      </c>
      <c r="F337" s="8">
        <f t="shared" ca="1" si="174"/>
        <v>0</v>
      </c>
      <c r="G337" s="8">
        <f t="shared" ca="1" si="175"/>
        <v>0</v>
      </c>
      <c r="H337" s="8">
        <f t="shared" ca="1" si="176"/>
        <v>0</v>
      </c>
      <c r="I337" s="8">
        <f t="shared" ca="1" si="177"/>
        <v>0</v>
      </c>
      <c r="J337" s="8">
        <f t="shared" ca="1" si="178"/>
        <v>0</v>
      </c>
      <c r="K337" s="8">
        <f t="shared" ca="1" si="179"/>
        <v>0</v>
      </c>
      <c r="L337" s="8">
        <f t="shared" ca="1" si="184"/>
        <v>0</v>
      </c>
      <c r="M337" s="8">
        <f t="shared" ca="1" si="185"/>
        <v>0</v>
      </c>
      <c r="N337" s="8">
        <f t="shared" ca="1" si="186"/>
        <v>0</v>
      </c>
      <c r="O337" s="8">
        <f t="shared" ca="1" si="187"/>
        <v>0</v>
      </c>
      <c r="P337" s="8">
        <f t="shared" ca="1" si="188"/>
        <v>0</v>
      </c>
      <c r="Q337" s="8">
        <f t="shared" ca="1" si="189"/>
        <v>0</v>
      </c>
      <c r="R337" s="8">
        <f t="shared" ca="1" si="190"/>
        <v>0</v>
      </c>
      <c r="S337" s="8">
        <f t="shared" ca="1" si="191"/>
        <v>0</v>
      </c>
      <c r="T337" s="8">
        <f t="shared" ca="1" si="192"/>
        <v>0</v>
      </c>
      <c r="U337" s="8">
        <f t="shared" ca="1" si="193"/>
        <v>0</v>
      </c>
      <c r="V337" s="8">
        <f t="shared" ca="1" si="194"/>
        <v>0</v>
      </c>
      <c r="W337" s="11" t="str">
        <f t="shared" ca="1" si="195"/>
        <v/>
      </c>
      <c r="X337" s="11" t="str">
        <f t="shared" ca="1" si="196"/>
        <v/>
      </c>
      <c r="Y337" s="11" t="str">
        <f t="shared" ca="1" si="197"/>
        <v/>
      </c>
      <c r="Z337" s="11" t="str">
        <f t="shared" ca="1" si="198"/>
        <v/>
      </c>
      <c r="AA337" s="11" t="str">
        <f t="shared" ca="1" si="199"/>
        <v/>
      </c>
      <c r="AB337" s="47">
        <f ca="1">PlayerGameData[[#This Row],[3FGA]]+PlayerGameData[[#This Row],[2FGA]]</f>
        <v>0</v>
      </c>
      <c r="AC337" s="47">
        <f ca="1">PlayerGameData[[#This Row],[OFF REB]]+PlayerGameData[[#This Row],[DEF REB]]</f>
        <v>0</v>
      </c>
      <c r="AD337" s="8">
        <f t="shared" si="180"/>
        <v>14</v>
      </c>
      <c r="AE337" s="8" t="str">
        <f t="shared" ca="1" si="181"/>
        <v>,  - Thunder Basin JV 1/31/2023</v>
      </c>
      <c r="AF337" s="8" t="str">
        <f t="shared" ca="1" si="200"/>
        <v/>
      </c>
      <c r="AG337" s="8" t="str">
        <f ca="1">IFERROR(IF(C337=0,"",IF(AND(VLOOKUP(PlayerGameData[[#This Row],[Opponent]],WYTeamInfo,2,FALSE)=Roster!$D$1,VLOOKUP(PlayerGameData[[#This Row],[Opponent]],WYTeamInfo,3,FALSE)=Roster!$D$2),"SR","")),"")</f>
        <v/>
      </c>
      <c r="AH337" s="8" t="str">
        <f>CONCATENATE(Roster!$D$1," ",Roster!$D$5)</f>
        <v>1A BB</v>
      </c>
      <c r="AI337" s="8" t="str">
        <f t="shared" ca="1" si="182"/>
        <v>Upton - Thunder Basin JV 1/31/2023</v>
      </c>
      <c r="AJ337" s="8">
        <f ca="1">IFERROR(VLOOKUP(PlayerGameData[[#This Row],[School, Opponent,Game'#]],Table3[],2,FALSE),0)</f>
        <v>1</v>
      </c>
      <c r="AK337" s="8">
        <f ca="1">IF(PlayerGameData[[#This Row],[Visible]]=1,1,1000)</f>
        <v>1</v>
      </c>
      <c r="AL337" s="8">
        <f ca="1">RANK(PlayerGameData[[#This Row],[TL PTS]],PlayerGameData[TL PTS],0)+PlayerGameData[[#This Row],[VisibleOrder]]</f>
        <v>185</v>
      </c>
      <c r="AM337" s="8">
        <f ca="1">IF(COUNTIF(PlayerGameData[PointOrder],PlayerGameData[[#This Row],[PointOrder]])&gt;1,RANK(PlayerGameData[[#This Row],[FGA]],PlayerGameData[FGA],0)/100,0)+PlayerGameData[[#This Row],[PointOrder]]</f>
        <v>187.14</v>
      </c>
      <c r="AN337" s="8">
        <f ca="1">RANK(PlayerGameData[[#This Row],[PointTieBreak]],PlayerGameData[PointTieBreak],1)</f>
        <v>216</v>
      </c>
      <c r="AO337" s="8">
        <f ca="1">RANK(PlayerGameData[[#This Row],[REB]],PlayerGameData[REB],0)+PlayerGameData[[#This Row],[VisibleOrder]]</f>
        <v>192</v>
      </c>
      <c r="AP337" s="8">
        <f ca="1">IF(COUNTIF(PlayerGameData[REBOrder],PlayerGameData[[#This Row],[REBOrder]])&gt;1,PlayerGameData[[#This Row],[PointRank]]/100+PlayerGameData[[#This Row],[REBOrder]],PlayerGameData[[#This Row],[REBOrder]])</f>
        <v>194.16</v>
      </c>
      <c r="AQ337" s="8">
        <f ca="1">RANK(PlayerGameData[[#This Row],[REBTieBreak]],PlayerGameData[REBTieBreak],1)</f>
        <v>224</v>
      </c>
      <c r="AR337" s="8">
        <f ca="1">RANK(PlayerGameData[[#This Row],[AST]],PlayerGameData[AST],0)+PlayerGameData[[#This Row],[VisibleOrder]]</f>
        <v>158</v>
      </c>
      <c r="AS337" s="8">
        <f ca="1">IF(COUNTIF(PlayerGameData[ASTOrder],PlayerGameData[[#This Row],[ASTOrder]])&gt;1,PlayerGameData[[#This Row],[PointRank]]/100+PlayerGameData[[#This Row],[ASTOrder]],PlayerGameData[[#This Row],[ASTOrder]])</f>
        <v>160.16</v>
      </c>
      <c r="AT337" s="8">
        <f ca="1">RANK(PlayerGameData[[#This Row],[ASTTieBreak]],PlayerGameData[ASTTieBreak],1)</f>
        <v>221</v>
      </c>
      <c r="AU337" s="8">
        <f ca="1">RANK(PlayerGameData[[#This Row],[STL]],PlayerGameData[STL],0)+PlayerGameData[[#This Row],[VisibleOrder]]</f>
        <v>143</v>
      </c>
      <c r="AV337" s="8">
        <f ca="1">IF(COUNTIF(PlayerGameData[STLOrder],PlayerGameData[[#This Row],[STLOrder]])&gt;1,PlayerGameData[[#This Row],[PointRank]]/100+PlayerGameData[[#This Row],[STLOrder]],PlayerGameData[[#This Row],[STLOrder]])</f>
        <v>145.16</v>
      </c>
      <c r="AW337" s="8">
        <f ca="1">RANK(PlayerGameData[[#This Row],[STLTieBreak]],PlayerGameData[STLTieBreak],1)</f>
        <v>217</v>
      </c>
      <c r="AX337" s="8">
        <f ca="1">RANK(PlayerGameData[[#This Row],[BLK]],PlayerGameData[BLK],0)+PlayerGameData[[#This Row],[VisibleOrder]]</f>
        <v>32</v>
      </c>
      <c r="AY337" s="8">
        <f ca="1">IF(COUNTIF(PlayerGameData[BLKOrder],PlayerGameData[[#This Row],[BLKOrder]])&gt;1,PlayerGameData[[#This Row],[PointRank]]/100+PlayerGameData[[#This Row],[BLKOrder]],PlayerGameData[[#This Row],[BLKOrder]])</f>
        <v>34.159999999999997</v>
      </c>
      <c r="AZ337" s="8">
        <f ca="1">RANK(PlayerGameData[[#This Row],[BLKTieBreak]],PlayerGameData[BLKTieBreak],1)</f>
        <v>216</v>
      </c>
      <c r="BA337" s="11">
        <f ca="1">IFERROR(IF(PlayerGameData[[#This Row],[FGA]]&gt;$AA$5,PlayerGameData[[#This Row],[FG%*]],PlayerGameData[[#This Row],[FG%*]]*-1),-2)</f>
        <v>-2</v>
      </c>
      <c r="BB337" s="8">
        <f ca="1">RANK(PlayerGameData[[#This Row],[EligFG]],PlayerGameData[EligFG],0)+PlayerGameData[[#This Row],[VisibleOrder]]</f>
        <v>215</v>
      </c>
      <c r="BC337" s="8">
        <f ca="1">IF(COUNTIF(PlayerGameData[EligFGOrder],PlayerGameData[[#This Row],[EligFGOrder]])&gt;1,PlayerGameData[[#This Row],[PointRank]]/100+PlayerGameData[[#This Row],[EligFGOrder]],PlayerGameData[[#This Row],[EligFGOrder]])</f>
        <v>217.16</v>
      </c>
      <c r="BD337" s="8">
        <f ca="1">RANK(PlayerGameData[[#This Row],[EligFGTieBreak]],PlayerGameData[EligFGTieBreak],1)</f>
        <v>216</v>
      </c>
      <c r="BE337" s="8" t="str">
        <f>Roster!$D$3</f>
        <v>East</v>
      </c>
      <c r="BF337" s="8" t="str">
        <f>Roster!$D$2</f>
        <v>Northeast</v>
      </c>
      <c r="BG337" s="8" t="str">
        <f>Roster!$D$4</f>
        <v>North</v>
      </c>
      <c r="BH337" s="197">
        <f ca="1">IFERROR(VLOOKUP(CONCATENATE(PlayerGameData[[#This Row],[Opponent]]," ",MONTH(PlayerGameData[[#This Row],[Date]]),"/",DAY(PlayerGameData[[#This Row],[Date]]),"/",YEAR(PlayerGameData[[#This Row],[Date]])),Table35[],2,FALSE),0)</f>
        <v>1</v>
      </c>
      <c r="BI337" s="197">
        <f ca="1">IF(PlayerGameData[[#This Row],[Visible]]=1,1,1000)</f>
        <v>1</v>
      </c>
      <c r="BJ337" s="197" t="e">
        <f ca="1">_xlfn.MAXIFS(TeamGameData[Win],TeamGameData[School, Opponent,Game'#],PlayerGameData[[#This Row],[School, Opponent,Game'#]])</f>
        <v>#NAME?</v>
      </c>
      <c r="BK337" s="197" t="e">
        <f ca="1">_xlfn.MAXIFS(TeamGameData[Loss],TeamGameData[School, Opponent,Game'#],PlayerGameData[[#This Row],[School, Opponent,Game'#]])</f>
        <v>#NAME?</v>
      </c>
    </row>
    <row r="338" spans="1:63" x14ac:dyDescent="0.25">
      <c r="A338" s="8" t="str">
        <f t="shared" ca="1" si="183"/>
        <v xml:space="preserve">, </v>
      </c>
      <c r="B338" s="8" t="str">
        <f>Roster!$B$1</f>
        <v>Upton</v>
      </c>
      <c r="C338" s="8" t="str">
        <f t="shared" ca="1" si="171"/>
        <v>Thunder Basin JV</v>
      </c>
      <c r="D338" s="10">
        <f t="shared" ca="1" si="172"/>
        <v>44957</v>
      </c>
      <c r="E338" s="8">
        <f t="shared" ca="1" si="173"/>
        <v>0</v>
      </c>
      <c r="F338" s="8">
        <f t="shared" ca="1" si="174"/>
        <v>0</v>
      </c>
      <c r="G338" s="8">
        <f t="shared" ca="1" si="175"/>
        <v>0</v>
      </c>
      <c r="H338" s="8">
        <f t="shared" ca="1" si="176"/>
        <v>0</v>
      </c>
      <c r="I338" s="8">
        <f t="shared" ca="1" si="177"/>
        <v>0</v>
      </c>
      <c r="J338" s="8">
        <f t="shared" ca="1" si="178"/>
        <v>0</v>
      </c>
      <c r="K338" s="8">
        <f t="shared" ca="1" si="179"/>
        <v>0</v>
      </c>
      <c r="L338" s="8">
        <f t="shared" ca="1" si="184"/>
        <v>0</v>
      </c>
      <c r="M338" s="8">
        <f t="shared" ca="1" si="185"/>
        <v>0</v>
      </c>
      <c r="N338" s="8">
        <f t="shared" ca="1" si="186"/>
        <v>0</v>
      </c>
      <c r="O338" s="8">
        <f t="shared" ca="1" si="187"/>
        <v>0</v>
      </c>
      <c r="P338" s="8">
        <f t="shared" ca="1" si="188"/>
        <v>0</v>
      </c>
      <c r="Q338" s="8">
        <f t="shared" ca="1" si="189"/>
        <v>0</v>
      </c>
      <c r="R338" s="8">
        <f t="shared" ca="1" si="190"/>
        <v>0</v>
      </c>
      <c r="S338" s="8">
        <f t="shared" ca="1" si="191"/>
        <v>0</v>
      </c>
      <c r="T338" s="8">
        <f t="shared" ca="1" si="192"/>
        <v>0</v>
      </c>
      <c r="U338" s="8">
        <f t="shared" ca="1" si="193"/>
        <v>0</v>
      </c>
      <c r="V338" s="8">
        <f t="shared" ca="1" si="194"/>
        <v>0</v>
      </c>
      <c r="W338" s="11" t="str">
        <f t="shared" ca="1" si="195"/>
        <v/>
      </c>
      <c r="X338" s="11" t="str">
        <f t="shared" ca="1" si="196"/>
        <v/>
      </c>
      <c r="Y338" s="11" t="str">
        <f t="shared" ca="1" si="197"/>
        <v/>
      </c>
      <c r="Z338" s="11" t="str">
        <f t="shared" ca="1" si="198"/>
        <v/>
      </c>
      <c r="AA338" s="11" t="str">
        <f t="shared" ca="1" si="199"/>
        <v/>
      </c>
      <c r="AB338" s="47">
        <f ca="1">PlayerGameData[[#This Row],[3FGA]]+PlayerGameData[[#This Row],[2FGA]]</f>
        <v>0</v>
      </c>
      <c r="AC338" s="47">
        <f ca="1">PlayerGameData[[#This Row],[OFF REB]]+PlayerGameData[[#This Row],[DEF REB]]</f>
        <v>0</v>
      </c>
      <c r="AD338" s="8">
        <f t="shared" si="180"/>
        <v>14</v>
      </c>
      <c r="AE338" s="8" t="str">
        <f t="shared" ca="1" si="181"/>
        <v>,  - Thunder Basin JV 1/31/2023</v>
      </c>
      <c r="AF338" s="8" t="str">
        <f t="shared" ca="1" si="200"/>
        <v/>
      </c>
      <c r="AG338" s="8" t="str">
        <f ca="1">IFERROR(IF(C338=0,"",IF(AND(VLOOKUP(PlayerGameData[[#This Row],[Opponent]],WYTeamInfo,2,FALSE)=Roster!$D$1,VLOOKUP(PlayerGameData[[#This Row],[Opponent]],WYTeamInfo,3,FALSE)=Roster!$D$2),"SR","")),"")</f>
        <v/>
      </c>
      <c r="AH338" s="8" t="str">
        <f>CONCATENATE(Roster!$D$1," ",Roster!$D$5)</f>
        <v>1A BB</v>
      </c>
      <c r="AI338" s="8" t="str">
        <f t="shared" ca="1" si="182"/>
        <v>Upton - Thunder Basin JV 1/31/2023</v>
      </c>
      <c r="AJ338" s="8">
        <f ca="1">IFERROR(VLOOKUP(PlayerGameData[[#This Row],[School, Opponent,Game'#]],Table3[],2,FALSE),0)</f>
        <v>1</v>
      </c>
      <c r="AK338" s="8">
        <f ca="1">IF(PlayerGameData[[#This Row],[Visible]]=1,1,1000)</f>
        <v>1</v>
      </c>
      <c r="AL338" s="8">
        <f ca="1">RANK(PlayerGameData[[#This Row],[TL PTS]],PlayerGameData[TL PTS],0)+PlayerGameData[[#This Row],[VisibleOrder]]</f>
        <v>185</v>
      </c>
      <c r="AM338" s="8">
        <f ca="1">IF(COUNTIF(PlayerGameData[PointOrder],PlayerGameData[[#This Row],[PointOrder]])&gt;1,RANK(PlayerGameData[[#This Row],[FGA]],PlayerGameData[FGA],0)/100,0)+PlayerGameData[[#This Row],[PointOrder]]</f>
        <v>187.14</v>
      </c>
      <c r="AN338" s="8">
        <f ca="1">RANK(PlayerGameData[[#This Row],[PointTieBreak]],PlayerGameData[PointTieBreak],1)</f>
        <v>216</v>
      </c>
      <c r="AO338" s="8">
        <f ca="1">RANK(PlayerGameData[[#This Row],[REB]],PlayerGameData[REB],0)+PlayerGameData[[#This Row],[VisibleOrder]]</f>
        <v>192</v>
      </c>
      <c r="AP338" s="8">
        <f ca="1">IF(COUNTIF(PlayerGameData[REBOrder],PlayerGameData[[#This Row],[REBOrder]])&gt;1,PlayerGameData[[#This Row],[PointRank]]/100+PlayerGameData[[#This Row],[REBOrder]],PlayerGameData[[#This Row],[REBOrder]])</f>
        <v>194.16</v>
      </c>
      <c r="AQ338" s="8">
        <f ca="1">RANK(PlayerGameData[[#This Row],[REBTieBreak]],PlayerGameData[REBTieBreak],1)</f>
        <v>224</v>
      </c>
      <c r="AR338" s="8">
        <f ca="1">RANK(PlayerGameData[[#This Row],[AST]],PlayerGameData[AST],0)+PlayerGameData[[#This Row],[VisibleOrder]]</f>
        <v>158</v>
      </c>
      <c r="AS338" s="8">
        <f ca="1">IF(COUNTIF(PlayerGameData[ASTOrder],PlayerGameData[[#This Row],[ASTOrder]])&gt;1,PlayerGameData[[#This Row],[PointRank]]/100+PlayerGameData[[#This Row],[ASTOrder]],PlayerGameData[[#This Row],[ASTOrder]])</f>
        <v>160.16</v>
      </c>
      <c r="AT338" s="8">
        <f ca="1">RANK(PlayerGameData[[#This Row],[ASTTieBreak]],PlayerGameData[ASTTieBreak],1)</f>
        <v>221</v>
      </c>
      <c r="AU338" s="8">
        <f ca="1">RANK(PlayerGameData[[#This Row],[STL]],PlayerGameData[STL],0)+PlayerGameData[[#This Row],[VisibleOrder]]</f>
        <v>143</v>
      </c>
      <c r="AV338" s="8">
        <f ca="1">IF(COUNTIF(PlayerGameData[STLOrder],PlayerGameData[[#This Row],[STLOrder]])&gt;1,PlayerGameData[[#This Row],[PointRank]]/100+PlayerGameData[[#This Row],[STLOrder]],PlayerGameData[[#This Row],[STLOrder]])</f>
        <v>145.16</v>
      </c>
      <c r="AW338" s="8">
        <f ca="1">RANK(PlayerGameData[[#This Row],[STLTieBreak]],PlayerGameData[STLTieBreak],1)</f>
        <v>217</v>
      </c>
      <c r="AX338" s="8">
        <f ca="1">RANK(PlayerGameData[[#This Row],[BLK]],PlayerGameData[BLK],0)+PlayerGameData[[#This Row],[VisibleOrder]]</f>
        <v>32</v>
      </c>
      <c r="AY338" s="8">
        <f ca="1">IF(COUNTIF(PlayerGameData[BLKOrder],PlayerGameData[[#This Row],[BLKOrder]])&gt;1,PlayerGameData[[#This Row],[PointRank]]/100+PlayerGameData[[#This Row],[BLKOrder]],PlayerGameData[[#This Row],[BLKOrder]])</f>
        <v>34.159999999999997</v>
      </c>
      <c r="AZ338" s="8">
        <f ca="1">RANK(PlayerGameData[[#This Row],[BLKTieBreak]],PlayerGameData[BLKTieBreak],1)</f>
        <v>216</v>
      </c>
      <c r="BA338" s="11">
        <f ca="1">IFERROR(IF(PlayerGameData[[#This Row],[FGA]]&gt;$AA$5,PlayerGameData[[#This Row],[FG%*]],PlayerGameData[[#This Row],[FG%*]]*-1),-2)</f>
        <v>-2</v>
      </c>
      <c r="BB338" s="8">
        <f ca="1">RANK(PlayerGameData[[#This Row],[EligFG]],PlayerGameData[EligFG],0)+PlayerGameData[[#This Row],[VisibleOrder]]</f>
        <v>215</v>
      </c>
      <c r="BC338" s="8">
        <f ca="1">IF(COUNTIF(PlayerGameData[EligFGOrder],PlayerGameData[[#This Row],[EligFGOrder]])&gt;1,PlayerGameData[[#This Row],[PointRank]]/100+PlayerGameData[[#This Row],[EligFGOrder]],PlayerGameData[[#This Row],[EligFGOrder]])</f>
        <v>217.16</v>
      </c>
      <c r="BD338" s="8">
        <f ca="1">RANK(PlayerGameData[[#This Row],[EligFGTieBreak]],PlayerGameData[EligFGTieBreak],1)</f>
        <v>216</v>
      </c>
      <c r="BE338" s="8" t="str">
        <f>Roster!$D$3</f>
        <v>East</v>
      </c>
      <c r="BF338" s="8" t="str">
        <f>Roster!$D$2</f>
        <v>Northeast</v>
      </c>
      <c r="BG338" s="8" t="str">
        <f>Roster!$D$4</f>
        <v>North</v>
      </c>
      <c r="BH338" s="197">
        <f ca="1">IFERROR(VLOOKUP(CONCATENATE(PlayerGameData[[#This Row],[Opponent]]," ",MONTH(PlayerGameData[[#This Row],[Date]]),"/",DAY(PlayerGameData[[#This Row],[Date]]),"/",YEAR(PlayerGameData[[#This Row],[Date]])),Table35[],2,FALSE),0)</f>
        <v>1</v>
      </c>
      <c r="BI338" s="197">
        <f ca="1">IF(PlayerGameData[[#This Row],[Visible]]=1,1,1000)</f>
        <v>1</v>
      </c>
      <c r="BJ338" s="197" t="e">
        <f ca="1">_xlfn.MAXIFS(TeamGameData[Win],TeamGameData[School, Opponent,Game'#],PlayerGameData[[#This Row],[School, Opponent,Game'#]])</f>
        <v>#NAME?</v>
      </c>
      <c r="BK338" s="197" t="e">
        <f ca="1">_xlfn.MAXIFS(TeamGameData[Loss],TeamGameData[School, Opponent,Game'#],PlayerGameData[[#This Row],[School, Opponent,Game'#]])</f>
        <v>#NAME?</v>
      </c>
    </row>
    <row r="339" spans="1:63" x14ac:dyDescent="0.25">
      <c r="A339" s="8" t="str">
        <f t="shared" ca="1" si="183"/>
        <v xml:space="preserve">, </v>
      </c>
      <c r="B339" s="8" t="str">
        <f>Roster!$B$1</f>
        <v>Upton</v>
      </c>
      <c r="C339" s="8" t="str">
        <f t="shared" ca="1" si="171"/>
        <v>Thunder Basin JV</v>
      </c>
      <c r="D339" s="10">
        <f t="shared" ca="1" si="172"/>
        <v>44957</v>
      </c>
      <c r="E339" s="8">
        <f t="shared" ca="1" si="173"/>
        <v>0</v>
      </c>
      <c r="F339" s="8">
        <f t="shared" ca="1" si="174"/>
        <v>0</v>
      </c>
      <c r="G339" s="8">
        <f t="shared" ca="1" si="175"/>
        <v>0</v>
      </c>
      <c r="H339" s="8">
        <f t="shared" ca="1" si="176"/>
        <v>0</v>
      </c>
      <c r="I339" s="8">
        <f t="shared" ca="1" si="177"/>
        <v>0</v>
      </c>
      <c r="J339" s="8">
        <f t="shared" ca="1" si="178"/>
        <v>0</v>
      </c>
      <c r="K339" s="8">
        <f t="shared" ca="1" si="179"/>
        <v>0</v>
      </c>
      <c r="L339" s="8">
        <f t="shared" ca="1" si="184"/>
        <v>0</v>
      </c>
      <c r="M339" s="8">
        <f t="shared" ca="1" si="185"/>
        <v>0</v>
      </c>
      <c r="N339" s="8">
        <f t="shared" ca="1" si="186"/>
        <v>0</v>
      </c>
      <c r="O339" s="8">
        <f t="shared" ca="1" si="187"/>
        <v>0</v>
      </c>
      <c r="P339" s="8">
        <f t="shared" ca="1" si="188"/>
        <v>0</v>
      </c>
      <c r="Q339" s="8">
        <f t="shared" ca="1" si="189"/>
        <v>0</v>
      </c>
      <c r="R339" s="8">
        <f t="shared" ca="1" si="190"/>
        <v>0</v>
      </c>
      <c r="S339" s="8">
        <f t="shared" ca="1" si="191"/>
        <v>0</v>
      </c>
      <c r="T339" s="8">
        <f t="shared" ca="1" si="192"/>
        <v>0</v>
      </c>
      <c r="U339" s="8">
        <f t="shared" ca="1" si="193"/>
        <v>0</v>
      </c>
      <c r="V339" s="8">
        <f t="shared" ca="1" si="194"/>
        <v>0</v>
      </c>
      <c r="W339" s="11" t="str">
        <f t="shared" ca="1" si="195"/>
        <v/>
      </c>
      <c r="X339" s="11" t="str">
        <f t="shared" ca="1" si="196"/>
        <v/>
      </c>
      <c r="Y339" s="11" t="str">
        <f t="shared" ca="1" si="197"/>
        <v/>
      </c>
      <c r="Z339" s="11" t="str">
        <f t="shared" ca="1" si="198"/>
        <v/>
      </c>
      <c r="AA339" s="11" t="str">
        <f t="shared" ca="1" si="199"/>
        <v/>
      </c>
      <c r="AB339" s="47">
        <f ca="1">PlayerGameData[[#This Row],[3FGA]]+PlayerGameData[[#This Row],[2FGA]]</f>
        <v>0</v>
      </c>
      <c r="AC339" s="47">
        <f ca="1">PlayerGameData[[#This Row],[OFF REB]]+PlayerGameData[[#This Row],[DEF REB]]</f>
        <v>0</v>
      </c>
      <c r="AD339" s="8">
        <f t="shared" si="180"/>
        <v>14</v>
      </c>
      <c r="AE339" s="8" t="str">
        <f t="shared" ca="1" si="181"/>
        <v>,  - Thunder Basin JV 1/31/2023</v>
      </c>
      <c r="AF339" s="8" t="str">
        <f t="shared" ca="1" si="200"/>
        <v/>
      </c>
      <c r="AG339" s="8" t="str">
        <f ca="1">IFERROR(IF(C339=0,"",IF(AND(VLOOKUP(PlayerGameData[[#This Row],[Opponent]],WYTeamInfo,2,FALSE)=Roster!$D$1,VLOOKUP(PlayerGameData[[#This Row],[Opponent]],WYTeamInfo,3,FALSE)=Roster!$D$2),"SR","")),"")</f>
        <v/>
      </c>
      <c r="AH339" s="8" t="str">
        <f>CONCATENATE(Roster!$D$1," ",Roster!$D$5)</f>
        <v>1A BB</v>
      </c>
      <c r="AI339" s="8" t="str">
        <f t="shared" ca="1" si="182"/>
        <v>Upton - Thunder Basin JV 1/31/2023</v>
      </c>
      <c r="AJ339" s="8">
        <f ca="1">IFERROR(VLOOKUP(PlayerGameData[[#This Row],[School, Opponent,Game'#]],Table3[],2,FALSE),0)</f>
        <v>1</v>
      </c>
      <c r="AK339" s="8">
        <f ca="1">IF(PlayerGameData[[#This Row],[Visible]]=1,1,1000)</f>
        <v>1</v>
      </c>
      <c r="AL339" s="8">
        <f ca="1">RANK(PlayerGameData[[#This Row],[TL PTS]],PlayerGameData[TL PTS],0)+PlayerGameData[[#This Row],[VisibleOrder]]</f>
        <v>185</v>
      </c>
      <c r="AM339" s="8">
        <f ca="1">IF(COUNTIF(PlayerGameData[PointOrder],PlayerGameData[[#This Row],[PointOrder]])&gt;1,RANK(PlayerGameData[[#This Row],[FGA]],PlayerGameData[FGA],0)/100,0)+PlayerGameData[[#This Row],[PointOrder]]</f>
        <v>187.14</v>
      </c>
      <c r="AN339" s="8">
        <f ca="1">RANK(PlayerGameData[[#This Row],[PointTieBreak]],PlayerGameData[PointTieBreak],1)</f>
        <v>216</v>
      </c>
      <c r="AO339" s="8">
        <f ca="1">RANK(PlayerGameData[[#This Row],[REB]],PlayerGameData[REB],0)+PlayerGameData[[#This Row],[VisibleOrder]]</f>
        <v>192</v>
      </c>
      <c r="AP339" s="8">
        <f ca="1">IF(COUNTIF(PlayerGameData[REBOrder],PlayerGameData[[#This Row],[REBOrder]])&gt;1,PlayerGameData[[#This Row],[PointRank]]/100+PlayerGameData[[#This Row],[REBOrder]],PlayerGameData[[#This Row],[REBOrder]])</f>
        <v>194.16</v>
      </c>
      <c r="AQ339" s="8">
        <f ca="1">RANK(PlayerGameData[[#This Row],[REBTieBreak]],PlayerGameData[REBTieBreak],1)</f>
        <v>224</v>
      </c>
      <c r="AR339" s="8">
        <f ca="1">RANK(PlayerGameData[[#This Row],[AST]],PlayerGameData[AST],0)+PlayerGameData[[#This Row],[VisibleOrder]]</f>
        <v>158</v>
      </c>
      <c r="AS339" s="8">
        <f ca="1">IF(COUNTIF(PlayerGameData[ASTOrder],PlayerGameData[[#This Row],[ASTOrder]])&gt;1,PlayerGameData[[#This Row],[PointRank]]/100+PlayerGameData[[#This Row],[ASTOrder]],PlayerGameData[[#This Row],[ASTOrder]])</f>
        <v>160.16</v>
      </c>
      <c r="AT339" s="8">
        <f ca="1">RANK(PlayerGameData[[#This Row],[ASTTieBreak]],PlayerGameData[ASTTieBreak],1)</f>
        <v>221</v>
      </c>
      <c r="AU339" s="8">
        <f ca="1">RANK(PlayerGameData[[#This Row],[STL]],PlayerGameData[STL],0)+PlayerGameData[[#This Row],[VisibleOrder]]</f>
        <v>143</v>
      </c>
      <c r="AV339" s="8">
        <f ca="1">IF(COUNTIF(PlayerGameData[STLOrder],PlayerGameData[[#This Row],[STLOrder]])&gt;1,PlayerGameData[[#This Row],[PointRank]]/100+PlayerGameData[[#This Row],[STLOrder]],PlayerGameData[[#This Row],[STLOrder]])</f>
        <v>145.16</v>
      </c>
      <c r="AW339" s="8">
        <f ca="1">RANK(PlayerGameData[[#This Row],[STLTieBreak]],PlayerGameData[STLTieBreak],1)</f>
        <v>217</v>
      </c>
      <c r="AX339" s="8">
        <f ca="1">RANK(PlayerGameData[[#This Row],[BLK]],PlayerGameData[BLK],0)+PlayerGameData[[#This Row],[VisibleOrder]]</f>
        <v>32</v>
      </c>
      <c r="AY339" s="8">
        <f ca="1">IF(COUNTIF(PlayerGameData[BLKOrder],PlayerGameData[[#This Row],[BLKOrder]])&gt;1,PlayerGameData[[#This Row],[PointRank]]/100+PlayerGameData[[#This Row],[BLKOrder]],PlayerGameData[[#This Row],[BLKOrder]])</f>
        <v>34.159999999999997</v>
      </c>
      <c r="AZ339" s="8">
        <f ca="1">RANK(PlayerGameData[[#This Row],[BLKTieBreak]],PlayerGameData[BLKTieBreak],1)</f>
        <v>216</v>
      </c>
      <c r="BA339" s="11">
        <f ca="1">IFERROR(IF(PlayerGameData[[#This Row],[FGA]]&gt;$AA$5,PlayerGameData[[#This Row],[FG%*]],PlayerGameData[[#This Row],[FG%*]]*-1),-2)</f>
        <v>-2</v>
      </c>
      <c r="BB339" s="8">
        <f ca="1">RANK(PlayerGameData[[#This Row],[EligFG]],PlayerGameData[EligFG],0)+PlayerGameData[[#This Row],[VisibleOrder]]</f>
        <v>215</v>
      </c>
      <c r="BC339" s="8">
        <f ca="1">IF(COUNTIF(PlayerGameData[EligFGOrder],PlayerGameData[[#This Row],[EligFGOrder]])&gt;1,PlayerGameData[[#This Row],[PointRank]]/100+PlayerGameData[[#This Row],[EligFGOrder]],PlayerGameData[[#This Row],[EligFGOrder]])</f>
        <v>217.16</v>
      </c>
      <c r="BD339" s="8">
        <f ca="1">RANK(PlayerGameData[[#This Row],[EligFGTieBreak]],PlayerGameData[EligFGTieBreak],1)</f>
        <v>216</v>
      </c>
      <c r="BE339" s="8" t="str">
        <f>Roster!$D$3</f>
        <v>East</v>
      </c>
      <c r="BF339" s="8" t="str">
        <f>Roster!$D$2</f>
        <v>Northeast</v>
      </c>
      <c r="BG339" s="8" t="str">
        <f>Roster!$D$4</f>
        <v>North</v>
      </c>
      <c r="BH339" s="197">
        <f ca="1">IFERROR(VLOOKUP(CONCATENATE(PlayerGameData[[#This Row],[Opponent]]," ",MONTH(PlayerGameData[[#This Row],[Date]]),"/",DAY(PlayerGameData[[#This Row],[Date]]),"/",YEAR(PlayerGameData[[#This Row],[Date]])),Table35[],2,FALSE),0)</f>
        <v>1</v>
      </c>
      <c r="BI339" s="197">
        <f ca="1">IF(PlayerGameData[[#This Row],[Visible]]=1,1,1000)</f>
        <v>1</v>
      </c>
      <c r="BJ339" s="197" t="e">
        <f ca="1">_xlfn.MAXIFS(TeamGameData[Win],TeamGameData[School, Opponent,Game'#],PlayerGameData[[#This Row],[School, Opponent,Game'#]])</f>
        <v>#NAME?</v>
      </c>
      <c r="BK339" s="197" t="e">
        <f ca="1">_xlfn.MAXIFS(TeamGameData[Loss],TeamGameData[School, Opponent,Game'#],PlayerGameData[[#This Row],[School, Opponent,Game'#]])</f>
        <v>#NAME?</v>
      </c>
    </row>
    <row r="340" spans="1:63" x14ac:dyDescent="0.25">
      <c r="A340" s="8" t="str">
        <f t="shared" ca="1" si="183"/>
        <v xml:space="preserve">, </v>
      </c>
      <c r="B340" s="8" t="str">
        <f>Roster!$B$1</f>
        <v>Upton</v>
      </c>
      <c r="C340" s="8" t="str">
        <f t="shared" ca="1" si="171"/>
        <v>Thunder Basin JV</v>
      </c>
      <c r="D340" s="10">
        <f t="shared" ca="1" si="172"/>
        <v>44957</v>
      </c>
      <c r="E340" s="8">
        <f t="shared" ca="1" si="173"/>
        <v>0</v>
      </c>
      <c r="F340" s="8">
        <f t="shared" ca="1" si="174"/>
        <v>0</v>
      </c>
      <c r="G340" s="8">
        <f t="shared" ca="1" si="175"/>
        <v>0</v>
      </c>
      <c r="H340" s="8">
        <f t="shared" ca="1" si="176"/>
        <v>0</v>
      </c>
      <c r="I340" s="8">
        <f t="shared" ca="1" si="177"/>
        <v>0</v>
      </c>
      <c r="J340" s="8">
        <f t="shared" ca="1" si="178"/>
        <v>0</v>
      </c>
      <c r="K340" s="8">
        <f t="shared" ca="1" si="179"/>
        <v>0</v>
      </c>
      <c r="L340" s="8">
        <f t="shared" ca="1" si="184"/>
        <v>0</v>
      </c>
      <c r="M340" s="8">
        <f t="shared" ca="1" si="185"/>
        <v>0</v>
      </c>
      <c r="N340" s="8">
        <f t="shared" ca="1" si="186"/>
        <v>0</v>
      </c>
      <c r="O340" s="8">
        <f t="shared" ca="1" si="187"/>
        <v>0</v>
      </c>
      <c r="P340" s="8">
        <f t="shared" ca="1" si="188"/>
        <v>0</v>
      </c>
      <c r="Q340" s="8">
        <f t="shared" ca="1" si="189"/>
        <v>0</v>
      </c>
      <c r="R340" s="8">
        <f t="shared" ca="1" si="190"/>
        <v>0</v>
      </c>
      <c r="S340" s="8">
        <f t="shared" ca="1" si="191"/>
        <v>0</v>
      </c>
      <c r="T340" s="8">
        <f t="shared" ca="1" si="192"/>
        <v>0</v>
      </c>
      <c r="U340" s="8">
        <f t="shared" ca="1" si="193"/>
        <v>0</v>
      </c>
      <c r="V340" s="8">
        <f t="shared" ca="1" si="194"/>
        <v>0</v>
      </c>
      <c r="W340" s="11" t="str">
        <f t="shared" ca="1" si="195"/>
        <v/>
      </c>
      <c r="X340" s="11" t="str">
        <f t="shared" ca="1" si="196"/>
        <v/>
      </c>
      <c r="Y340" s="11" t="str">
        <f t="shared" ca="1" si="197"/>
        <v/>
      </c>
      <c r="Z340" s="11" t="str">
        <f t="shared" ca="1" si="198"/>
        <v/>
      </c>
      <c r="AA340" s="11" t="str">
        <f t="shared" ca="1" si="199"/>
        <v/>
      </c>
      <c r="AB340" s="47">
        <f ca="1">PlayerGameData[[#This Row],[3FGA]]+PlayerGameData[[#This Row],[2FGA]]</f>
        <v>0</v>
      </c>
      <c r="AC340" s="47">
        <f ca="1">PlayerGameData[[#This Row],[OFF REB]]+PlayerGameData[[#This Row],[DEF REB]]</f>
        <v>0</v>
      </c>
      <c r="AD340" s="8">
        <f t="shared" si="180"/>
        <v>14</v>
      </c>
      <c r="AE340" s="8" t="str">
        <f t="shared" ca="1" si="181"/>
        <v>,  - Thunder Basin JV 1/31/2023</v>
      </c>
      <c r="AF340" s="8" t="str">
        <f t="shared" ca="1" si="200"/>
        <v/>
      </c>
      <c r="AG340" s="8" t="str">
        <f ca="1">IFERROR(IF(C340=0,"",IF(AND(VLOOKUP(PlayerGameData[[#This Row],[Opponent]],WYTeamInfo,2,FALSE)=Roster!$D$1,VLOOKUP(PlayerGameData[[#This Row],[Opponent]],WYTeamInfo,3,FALSE)=Roster!$D$2),"SR","")),"")</f>
        <v/>
      </c>
      <c r="AH340" s="8" t="str">
        <f>CONCATENATE(Roster!$D$1," ",Roster!$D$5)</f>
        <v>1A BB</v>
      </c>
      <c r="AI340" s="8" t="str">
        <f t="shared" ca="1" si="182"/>
        <v>Upton - Thunder Basin JV 1/31/2023</v>
      </c>
      <c r="AJ340" s="8">
        <f ca="1">IFERROR(VLOOKUP(PlayerGameData[[#This Row],[School, Opponent,Game'#]],Table3[],2,FALSE),0)</f>
        <v>1</v>
      </c>
      <c r="AK340" s="8">
        <f ca="1">IF(PlayerGameData[[#This Row],[Visible]]=1,1,1000)</f>
        <v>1</v>
      </c>
      <c r="AL340" s="8">
        <f ca="1">RANK(PlayerGameData[[#This Row],[TL PTS]],PlayerGameData[TL PTS],0)+PlayerGameData[[#This Row],[VisibleOrder]]</f>
        <v>185</v>
      </c>
      <c r="AM340" s="8">
        <f ca="1">IF(COUNTIF(PlayerGameData[PointOrder],PlayerGameData[[#This Row],[PointOrder]])&gt;1,RANK(PlayerGameData[[#This Row],[FGA]],PlayerGameData[FGA],0)/100,0)+PlayerGameData[[#This Row],[PointOrder]]</f>
        <v>187.14</v>
      </c>
      <c r="AN340" s="8">
        <f ca="1">RANK(PlayerGameData[[#This Row],[PointTieBreak]],PlayerGameData[PointTieBreak],1)</f>
        <v>216</v>
      </c>
      <c r="AO340" s="8">
        <f ca="1">RANK(PlayerGameData[[#This Row],[REB]],PlayerGameData[REB],0)+PlayerGameData[[#This Row],[VisibleOrder]]</f>
        <v>192</v>
      </c>
      <c r="AP340" s="8">
        <f ca="1">IF(COUNTIF(PlayerGameData[REBOrder],PlayerGameData[[#This Row],[REBOrder]])&gt;1,PlayerGameData[[#This Row],[PointRank]]/100+PlayerGameData[[#This Row],[REBOrder]],PlayerGameData[[#This Row],[REBOrder]])</f>
        <v>194.16</v>
      </c>
      <c r="AQ340" s="8">
        <f ca="1">RANK(PlayerGameData[[#This Row],[REBTieBreak]],PlayerGameData[REBTieBreak],1)</f>
        <v>224</v>
      </c>
      <c r="AR340" s="8">
        <f ca="1">RANK(PlayerGameData[[#This Row],[AST]],PlayerGameData[AST],0)+PlayerGameData[[#This Row],[VisibleOrder]]</f>
        <v>158</v>
      </c>
      <c r="AS340" s="8">
        <f ca="1">IF(COUNTIF(PlayerGameData[ASTOrder],PlayerGameData[[#This Row],[ASTOrder]])&gt;1,PlayerGameData[[#This Row],[PointRank]]/100+PlayerGameData[[#This Row],[ASTOrder]],PlayerGameData[[#This Row],[ASTOrder]])</f>
        <v>160.16</v>
      </c>
      <c r="AT340" s="8">
        <f ca="1">RANK(PlayerGameData[[#This Row],[ASTTieBreak]],PlayerGameData[ASTTieBreak],1)</f>
        <v>221</v>
      </c>
      <c r="AU340" s="8">
        <f ca="1">RANK(PlayerGameData[[#This Row],[STL]],PlayerGameData[STL],0)+PlayerGameData[[#This Row],[VisibleOrder]]</f>
        <v>143</v>
      </c>
      <c r="AV340" s="8">
        <f ca="1">IF(COUNTIF(PlayerGameData[STLOrder],PlayerGameData[[#This Row],[STLOrder]])&gt;1,PlayerGameData[[#This Row],[PointRank]]/100+PlayerGameData[[#This Row],[STLOrder]],PlayerGameData[[#This Row],[STLOrder]])</f>
        <v>145.16</v>
      </c>
      <c r="AW340" s="8">
        <f ca="1">RANK(PlayerGameData[[#This Row],[STLTieBreak]],PlayerGameData[STLTieBreak],1)</f>
        <v>217</v>
      </c>
      <c r="AX340" s="8">
        <f ca="1">RANK(PlayerGameData[[#This Row],[BLK]],PlayerGameData[BLK],0)+PlayerGameData[[#This Row],[VisibleOrder]]</f>
        <v>32</v>
      </c>
      <c r="AY340" s="8">
        <f ca="1">IF(COUNTIF(PlayerGameData[BLKOrder],PlayerGameData[[#This Row],[BLKOrder]])&gt;1,PlayerGameData[[#This Row],[PointRank]]/100+PlayerGameData[[#This Row],[BLKOrder]],PlayerGameData[[#This Row],[BLKOrder]])</f>
        <v>34.159999999999997</v>
      </c>
      <c r="AZ340" s="8">
        <f ca="1">RANK(PlayerGameData[[#This Row],[BLKTieBreak]],PlayerGameData[BLKTieBreak],1)</f>
        <v>216</v>
      </c>
      <c r="BA340" s="11">
        <f ca="1">IFERROR(IF(PlayerGameData[[#This Row],[FGA]]&gt;$AA$5,PlayerGameData[[#This Row],[FG%*]],PlayerGameData[[#This Row],[FG%*]]*-1),-2)</f>
        <v>-2</v>
      </c>
      <c r="BB340" s="8">
        <f ca="1">RANK(PlayerGameData[[#This Row],[EligFG]],PlayerGameData[EligFG],0)+PlayerGameData[[#This Row],[VisibleOrder]]</f>
        <v>215</v>
      </c>
      <c r="BC340" s="8">
        <f ca="1">IF(COUNTIF(PlayerGameData[EligFGOrder],PlayerGameData[[#This Row],[EligFGOrder]])&gt;1,PlayerGameData[[#This Row],[PointRank]]/100+PlayerGameData[[#This Row],[EligFGOrder]],PlayerGameData[[#This Row],[EligFGOrder]])</f>
        <v>217.16</v>
      </c>
      <c r="BD340" s="8">
        <f ca="1">RANK(PlayerGameData[[#This Row],[EligFGTieBreak]],PlayerGameData[EligFGTieBreak],1)</f>
        <v>216</v>
      </c>
      <c r="BE340" s="8" t="str">
        <f>Roster!$D$3</f>
        <v>East</v>
      </c>
      <c r="BF340" s="8" t="str">
        <f>Roster!$D$2</f>
        <v>Northeast</v>
      </c>
      <c r="BG340" s="8" t="str">
        <f>Roster!$D$4</f>
        <v>North</v>
      </c>
      <c r="BH340" s="197">
        <f ca="1">IFERROR(VLOOKUP(CONCATENATE(PlayerGameData[[#This Row],[Opponent]]," ",MONTH(PlayerGameData[[#This Row],[Date]]),"/",DAY(PlayerGameData[[#This Row],[Date]]),"/",YEAR(PlayerGameData[[#This Row],[Date]])),Table35[],2,FALSE),0)</f>
        <v>1</v>
      </c>
      <c r="BI340" s="197">
        <f ca="1">IF(PlayerGameData[[#This Row],[Visible]]=1,1,1000)</f>
        <v>1</v>
      </c>
      <c r="BJ340" s="197" t="e">
        <f ca="1">_xlfn.MAXIFS(TeamGameData[Win],TeamGameData[School, Opponent,Game'#],PlayerGameData[[#This Row],[School, Opponent,Game'#]])</f>
        <v>#NAME?</v>
      </c>
      <c r="BK340" s="197" t="e">
        <f ca="1">_xlfn.MAXIFS(TeamGameData[Loss],TeamGameData[School, Opponent,Game'#],PlayerGameData[[#This Row],[School, Opponent,Game'#]])</f>
        <v>#NAME?</v>
      </c>
    </row>
    <row r="341" spans="1:63" x14ac:dyDescent="0.25">
      <c r="A341" s="8" t="str">
        <f t="shared" ca="1" si="183"/>
        <v xml:space="preserve">, </v>
      </c>
      <c r="B341" s="8" t="str">
        <f>Roster!$B$1</f>
        <v>Upton</v>
      </c>
      <c r="C341" s="8" t="str">
        <f t="shared" ca="1" si="171"/>
        <v>Thunder Basin JV</v>
      </c>
      <c r="D341" s="10">
        <f t="shared" ca="1" si="172"/>
        <v>44957</v>
      </c>
      <c r="E341" s="8">
        <f t="shared" ca="1" si="173"/>
        <v>0</v>
      </c>
      <c r="F341" s="8">
        <f t="shared" ca="1" si="174"/>
        <v>0</v>
      </c>
      <c r="G341" s="8">
        <f t="shared" ca="1" si="175"/>
        <v>0</v>
      </c>
      <c r="H341" s="8">
        <f t="shared" ca="1" si="176"/>
        <v>0</v>
      </c>
      <c r="I341" s="8">
        <f t="shared" ca="1" si="177"/>
        <v>0</v>
      </c>
      <c r="J341" s="8">
        <f t="shared" ca="1" si="178"/>
        <v>0</v>
      </c>
      <c r="K341" s="8">
        <f t="shared" ca="1" si="179"/>
        <v>0</v>
      </c>
      <c r="L341" s="8">
        <f t="shared" ca="1" si="184"/>
        <v>0</v>
      </c>
      <c r="M341" s="8">
        <f t="shared" ca="1" si="185"/>
        <v>0</v>
      </c>
      <c r="N341" s="8">
        <f t="shared" ca="1" si="186"/>
        <v>0</v>
      </c>
      <c r="O341" s="8">
        <f t="shared" ca="1" si="187"/>
        <v>0</v>
      </c>
      <c r="P341" s="8">
        <f t="shared" ca="1" si="188"/>
        <v>0</v>
      </c>
      <c r="Q341" s="8">
        <f t="shared" ca="1" si="189"/>
        <v>0</v>
      </c>
      <c r="R341" s="8">
        <f t="shared" ca="1" si="190"/>
        <v>0</v>
      </c>
      <c r="S341" s="8">
        <f t="shared" ca="1" si="191"/>
        <v>0</v>
      </c>
      <c r="T341" s="8">
        <f t="shared" ca="1" si="192"/>
        <v>0</v>
      </c>
      <c r="U341" s="8">
        <f t="shared" ca="1" si="193"/>
        <v>0</v>
      </c>
      <c r="V341" s="8">
        <f t="shared" ca="1" si="194"/>
        <v>0</v>
      </c>
      <c r="W341" s="11" t="str">
        <f t="shared" ca="1" si="195"/>
        <v/>
      </c>
      <c r="X341" s="11" t="str">
        <f t="shared" ca="1" si="196"/>
        <v/>
      </c>
      <c r="Y341" s="11" t="str">
        <f t="shared" ca="1" si="197"/>
        <v/>
      </c>
      <c r="Z341" s="11" t="str">
        <f t="shared" ca="1" si="198"/>
        <v/>
      </c>
      <c r="AA341" s="11" t="str">
        <f t="shared" ca="1" si="199"/>
        <v/>
      </c>
      <c r="AB341" s="47">
        <f ca="1">PlayerGameData[[#This Row],[3FGA]]+PlayerGameData[[#This Row],[2FGA]]</f>
        <v>0</v>
      </c>
      <c r="AC341" s="47">
        <f ca="1">PlayerGameData[[#This Row],[OFF REB]]+PlayerGameData[[#This Row],[DEF REB]]</f>
        <v>0</v>
      </c>
      <c r="AD341" s="8">
        <f t="shared" si="180"/>
        <v>14</v>
      </c>
      <c r="AE341" s="8" t="str">
        <f t="shared" ca="1" si="181"/>
        <v>,  - Thunder Basin JV 1/31/2023</v>
      </c>
      <c r="AF341" s="8" t="str">
        <f t="shared" ca="1" si="200"/>
        <v/>
      </c>
      <c r="AG341" s="8" t="str">
        <f ca="1">IFERROR(IF(C341=0,"",IF(AND(VLOOKUP(PlayerGameData[[#This Row],[Opponent]],WYTeamInfo,2,FALSE)=Roster!$D$1,VLOOKUP(PlayerGameData[[#This Row],[Opponent]],WYTeamInfo,3,FALSE)=Roster!$D$2),"SR","")),"")</f>
        <v/>
      </c>
      <c r="AH341" s="8" t="str">
        <f>CONCATENATE(Roster!$D$1," ",Roster!$D$5)</f>
        <v>1A BB</v>
      </c>
      <c r="AI341" s="8" t="str">
        <f t="shared" ca="1" si="182"/>
        <v>Upton - Thunder Basin JV 1/31/2023</v>
      </c>
      <c r="AJ341" s="8">
        <f ca="1">IFERROR(VLOOKUP(PlayerGameData[[#This Row],[School, Opponent,Game'#]],Table3[],2,FALSE),0)</f>
        <v>1</v>
      </c>
      <c r="AK341" s="8">
        <f ca="1">IF(PlayerGameData[[#This Row],[Visible]]=1,1,1000)</f>
        <v>1</v>
      </c>
      <c r="AL341" s="8">
        <f ca="1">RANK(PlayerGameData[[#This Row],[TL PTS]],PlayerGameData[TL PTS],0)+PlayerGameData[[#This Row],[VisibleOrder]]</f>
        <v>185</v>
      </c>
      <c r="AM341" s="8">
        <f ca="1">IF(COUNTIF(PlayerGameData[PointOrder],PlayerGameData[[#This Row],[PointOrder]])&gt;1,RANK(PlayerGameData[[#This Row],[FGA]],PlayerGameData[FGA],0)/100,0)+PlayerGameData[[#This Row],[PointOrder]]</f>
        <v>187.14</v>
      </c>
      <c r="AN341" s="8">
        <f ca="1">RANK(PlayerGameData[[#This Row],[PointTieBreak]],PlayerGameData[PointTieBreak],1)</f>
        <v>216</v>
      </c>
      <c r="AO341" s="8">
        <f ca="1">RANK(PlayerGameData[[#This Row],[REB]],PlayerGameData[REB],0)+PlayerGameData[[#This Row],[VisibleOrder]]</f>
        <v>192</v>
      </c>
      <c r="AP341" s="8">
        <f ca="1">IF(COUNTIF(PlayerGameData[REBOrder],PlayerGameData[[#This Row],[REBOrder]])&gt;1,PlayerGameData[[#This Row],[PointRank]]/100+PlayerGameData[[#This Row],[REBOrder]],PlayerGameData[[#This Row],[REBOrder]])</f>
        <v>194.16</v>
      </c>
      <c r="AQ341" s="8">
        <f ca="1">RANK(PlayerGameData[[#This Row],[REBTieBreak]],PlayerGameData[REBTieBreak],1)</f>
        <v>224</v>
      </c>
      <c r="AR341" s="8">
        <f ca="1">RANK(PlayerGameData[[#This Row],[AST]],PlayerGameData[AST],0)+PlayerGameData[[#This Row],[VisibleOrder]]</f>
        <v>158</v>
      </c>
      <c r="AS341" s="8">
        <f ca="1">IF(COUNTIF(PlayerGameData[ASTOrder],PlayerGameData[[#This Row],[ASTOrder]])&gt;1,PlayerGameData[[#This Row],[PointRank]]/100+PlayerGameData[[#This Row],[ASTOrder]],PlayerGameData[[#This Row],[ASTOrder]])</f>
        <v>160.16</v>
      </c>
      <c r="AT341" s="8">
        <f ca="1">RANK(PlayerGameData[[#This Row],[ASTTieBreak]],PlayerGameData[ASTTieBreak],1)</f>
        <v>221</v>
      </c>
      <c r="AU341" s="8">
        <f ca="1">RANK(PlayerGameData[[#This Row],[STL]],PlayerGameData[STL],0)+PlayerGameData[[#This Row],[VisibleOrder]]</f>
        <v>143</v>
      </c>
      <c r="AV341" s="8">
        <f ca="1">IF(COUNTIF(PlayerGameData[STLOrder],PlayerGameData[[#This Row],[STLOrder]])&gt;1,PlayerGameData[[#This Row],[PointRank]]/100+PlayerGameData[[#This Row],[STLOrder]],PlayerGameData[[#This Row],[STLOrder]])</f>
        <v>145.16</v>
      </c>
      <c r="AW341" s="8">
        <f ca="1">RANK(PlayerGameData[[#This Row],[STLTieBreak]],PlayerGameData[STLTieBreak],1)</f>
        <v>217</v>
      </c>
      <c r="AX341" s="8">
        <f ca="1">RANK(PlayerGameData[[#This Row],[BLK]],PlayerGameData[BLK],0)+PlayerGameData[[#This Row],[VisibleOrder]]</f>
        <v>32</v>
      </c>
      <c r="AY341" s="8">
        <f ca="1">IF(COUNTIF(PlayerGameData[BLKOrder],PlayerGameData[[#This Row],[BLKOrder]])&gt;1,PlayerGameData[[#This Row],[PointRank]]/100+PlayerGameData[[#This Row],[BLKOrder]],PlayerGameData[[#This Row],[BLKOrder]])</f>
        <v>34.159999999999997</v>
      </c>
      <c r="AZ341" s="8">
        <f ca="1">RANK(PlayerGameData[[#This Row],[BLKTieBreak]],PlayerGameData[BLKTieBreak],1)</f>
        <v>216</v>
      </c>
      <c r="BA341" s="11">
        <f ca="1">IFERROR(IF(PlayerGameData[[#This Row],[FGA]]&gt;$AA$5,PlayerGameData[[#This Row],[FG%*]],PlayerGameData[[#This Row],[FG%*]]*-1),-2)</f>
        <v>-2</v>
      </c>
      <c r="BB341" s="8">
        <f ca="1">RANK(PlayerGameData[[#This Row],[EligFG]],PlayerGameData[EligFG],0)+PlayerGameData[[#This Row],[VisibleOrder]]</f>
        <v>215</v>
      </c>
      <c r="BC341" s="8">
        <f ca="1">IF(COUNTIF(PlayerGameData[EligFGOrder],PlayerGameData[[#This Row],[EligFGOrder]])&gt;1,PlayerGameData[[#This Row],[PointRank]]/100+PlayerGameData[[#This Row],[EligFGOrder]],PlayerGameData[[#This Row],[EligFGOrder]])</f>
        <v>217.16</v>
      </c>
      <c r="BD341" s="8">
        <f ca="1">RANK(PlayerGameData[[#This Row],[EligFGTieBreak]],PlayerGameData[EligFGTieBreak],1)</f>
        <v>216</v>
      </c>
      <c r="BE341" s="8" t="str">
        <f>Roster!$D$3</f>
        <v>East</v>
      </c>
      <c r="BF341" s="8" t="str">
        <f>Roster!$D$2</f>
        <v>Northeast</v>
      </c>
      <c r="BG341" s="8" t="str">
        <f>Roster!$D$4</f>
        <v>North</v>
      </c>
      <c r="BH341" s="197">
        <f ca="1">IFERROR(VLOOKUP(CONCATENATE(PlayerGameData[[#This Row],[Opponent]]," ",MONTH(PlayerGameData[[#This Row],[Date]]),"/",DAY(PlayerGameData[[#This Row],[Date]]),"/",YEAR(PlayerGameData[[#This Row],[Date]])),Table35[],2,FALSE),0)</f>
        <v>1</v>
      </c>
      <c r="BI341" s="197">
        <f ca="1">IF(PlayerGameData[[#This Row],[Visible]]=1,1,1000)</f>
        <v>1</v>
      </c>
      <c r="BJ341" s="197" t="e">
        <f ca="1">_xlfn.MAXIFS(TeamGameData[Win],TeamGameData[School, Opponent,Game'#],PlayerGameData[[#This Row],[School, Opponent,Game'#]])</f>
        <v>#NAME?</v>
      </c>
      <c r="BK341" s="197" t="e">
        <f ca="1">_xlfn.MAXIFS(TeamGameData[Loss],TeamGameData[School, Opponent,Game'#],PlayerGameData[[#This Row],[School, Opponent,Game'#]])</f>
        <v>#NAME?</v>
      </c>
    </row>
    <row r="342" spans="1:63" x14ac:dyDescent="0.25">
      <c r="A342" s="8" t="str">
        <f t="shared" ca="1" si="183"/>
        <v xml:space="preserve">Team, </v>
      </c>
      <c r="B342" s="8" t="str">
        <f>Roster!$B$1</f>
        <v>Upton</v>
      </c>
      <c r="C342" s="8" t="str">
        <f t="shared" ca="1" si="171"/>
        <v>Thunder Basin JV</v>
      </c>
      <c r="D342" s="10">
        <f t="shared" ca="1" si="172"/>
        <v>44957</v>
      </c>
      <c r="E342" s="8">
        <f t="shared" ca="1" si="173"/>
        <v>0</v>
      </c>
      <c r="F342" s="8">
        <f t="shared" ca="1" si="174"/>
        <v>0</v>
      </c>
      <c r="G342" s="8">
        <f t="shared" ca="1" si="175"/>
        <v>0</v>
      </c>
      <c r="H342" s="8">
        <f t="shared" ca="1" si="176"/>
        <v>0</v>
      </c>
      <c r="I342" s="8">
        <f t="shared" ca="1" si="177"/>
        <v>0</v>
      </c>
      <c r="J342" s="8">
        <f t="shared" ca="1" si="178"/>
        <v>0</v>
      </c>
      <c r="K342" s="8">
        <f t="shared" ca="1" si="179"/>
        <v>0</v>
      </c>
      <c r="L342" s="8">
        <f t="shared" ca="1" si="184"/>
        <v>0</v>
      </c>
      <c r="M342" s="8">
        <f t="shared" ca="1" si="185"/>
        <v>0</v>
      </c>
      <c r="N342" s="8">
        <f t="shared" ca="1" si="186"/>
        <v>0</v>
      </c>
      <c r="O342" s="8">
        <f t="shared" ca="1" si="187"/>
        <v>0</v>
      </c>
      <c r="P342" s="8">
        <f t="shared" ca="1" si="188"/>
        <v>0</v>
      </c>
      <c r="Q342" s="8">
        <f t="shared" ca="1" si="189"/>
        <v>0</v>
      </c>
      <c r="R342" s="8">
        <f t="shared" ca="1" si="190"/>
        <v>0</v>
      </c>
      <c r="S342" s="8">
        <f t="shared" ca="1" si="191"/>
        <v>0</v>
      </c>
      <c r="T342" s="8">
        <f t="shared" ca="1" si="192"/>
        <v>0</v>
      </c>
      <c r="U342" s="8">
        <f t="shared" ca="1" si="193"/>
        <v>0</v>
      </c>
      <c r="V342" s="8">
        <f t="shared" ca="1" si="194"/>
        <v>0</v>
      </c>
      <c r="W342" s="11" t="str">
        <f t="shared" ca="1" si="195"/>
        <v/>
      </c>
      <c r="X342" s="11" t="str">
        <f t="shared" ca="1" si="196"/>
        <v/>
      </c>
      <c r="Y342" s="11" t="str">
        <f t="shared" ca="1" si="197"/>
        <v/>
      </c>
      <c r="Z342" s="11" t="str">
        <f t="shared" ca="1" si="198"/>
        <v/>
      </c>
      <c r="AA342" s="11" t="str">
        <f t="shared" ca="1" si="199"/>
        <v/>
      </c>
      <c r="AB342" s="47">
        <f ca="1">PlayerGameData[[#This Row],[3FGA]]+PlayerGameData[[#This Row],[2FGA]]</f>
        <v>0</v>
      </c>
      <c r="AC342" s="47">
        <f ca="1">PlayerGameData[[#This Row],[OFF REB]]+PlayerGameData[[#This Row],[DEF REB]]</f>
        <v>0</v>
      </c>
      <c r="AD342" s="8">
        <f t="shared" si="180"/>
        <v>14</v>
      </c>
      <c r="AE342" s="8" t="str">
        <f t="shared" ca="1" si="181"/>
        <v>Team,  - Thunder Basin JV 1/31/2023</v>
      </c>
      <c r="AF342" s="8" t="str">
        <f t="shared" ca="1" si="200"/>
        <v/>
      </c>
      <c r="AG342" s="8" t="str">
        <f ca="1">IFERROR(IF(C342=0,"",IF(AND(VLOOKUP(PlayerGameData[[#This Row],[Opponent]],WYTeamInfo,2,FALSE)=Roster!$D$1,VLOOKUP(PlayerGameData[[#This Row],[Opponent]],WYTeamInfo,3,FALSE)=Roster!$D$2),"SR","")),"")</f>
        <v/>
      </c>
      <c r="AH342" s="8" t="str">
        <f>CONCATENATE(Roster!$D$1," ",Roster!$D$5)</f>
        <v>1A BB</v>
      </c>
      <c r="AI342" s="8" t="str">
        <f t="shared" ca="1" si="182"/>
        <v>Upton - Thunder Basin JV 1/31/2023</v>
      </c>
      <c r="AJ342" s="8">
        <f ca="1">IFERROR(VLOOKUP(PlayerGameData[[#This Row],[School, Opponent,Game'#]],Table3[],2,FALSE),0)</f>
        <v>1</v>
      </c>
      <c r="AK342" s="8">
        <f ca="1">IF(PlayerGameData[[#This Row],[Visible]]=1,1,1000)</f>
        <v>1</v>
      </c>
      <c r="AL342" s="8">
        <f ca="1">RANK(PlayerGameData[[#This Row],[TL PTS]],PlayerGameData[TL PTS],0)+PlayerGameData[[#This Row],[VisibleOrder]]</f>
        <v>185</v>
      </c>
      <c r="AM342" s="8">
        <f ca="1">IF(COUNTIF(PlayerGameData[PointOrder],PlayerGameData[[#This Row],[PointOrder]])&gt;1,RANK(PlayerGameData[[#This Row],[FGA]],PlayerGameData[FGA],0)/100,0)+PlayerGameData[[#This Row],[PointOrder]]</f>
        <v>187.14</v>
      </c>
      <c r="AN342" s="8">
        <f ca="1">RANK(PlayerGameData[[#This Row],[PointTieBreak]],PlayerGameData[PointTieBreak],1)</f>
        <v>216</v>
      </c>
      <c r="AO342" s="8">
        <f ca="1">RANK(PlayerGameData[[#This Row],[REB]],PlayerGameData[REB],0)+PlayerGameData[[#This Row],[VisibleOrder]]</f>
        <v>192</v>
      </c>
      <c r="AP342" s="8">
        <f ca="1">IF(COUNTIF(PlayerGameData[REBOrder],PlayerGameData[[#This Row],[REBOrder]])&gt;1,PlayerGameData[[#This Row],[PointRank]]/100+PlayerGameData[[#This Row],[REBOrder]],PlayerGameData[[#This Row],[REBOrder]])</f>
        <v>194.16</v>
      </c>
      <c r="AQ342" s="8">
        <f ca="1">RANK(PlayerGameData[[#This Row],[REBTieBreak]],PlayerGameData[REBTieBreak],1)</f>
        <v>224</v>
      </c>
      <c r="AR342" s="8">
        <f ca="1">RANK(PlayerGameData[[#This Row],[AST]],PlayerGameData[AST],0)+PlayerGameData[[#This Row],[VisibleOrder]]</f>
        <v>158</v>
      </c>
      <c r="AS342" s="8">
        <f ca="1">IF(COUNTIF(PlayerGameData[ASTOrder],PlayerGameData[[#This Row],[ASTOrder]])&gt;1,PlayerGameData[[#This Row],[PointRank]]/100+PlayerGameData[[#This Row],[ASTOrder]],PlayerGameData[[#This Row],[ASTOrder]])</f>
        <v>160.16</v>
      </c>
      <c r="AT342" s="8">
        <f ca="1">RANK(PlayerGameData[[#This Row],[ASTTieBreak]],PlayerGameData[ASTTieBreak],1)</f>
        <v>221</v>
      </c>
      <c r="AU342" s="8">
        <f ca="1">RANK(PlayerGameData[[#This Row],[STL]],PlayerGameData[STL],0)+PlayerGameData[[#This Row],[VisibleOrder]]</f>
        <v>143</v>
      </c>
      <c r="AV342" s="8">
        <f ca="1">IF(COUNTIF(PlayerGameData[STLOrder],PlayerGameData[[#This Row],[STLOrder]])&gt;1,PlayerGameData[[#This Row],[PointRank]]/100+PlayerGameData[[#This Row],[STLOrder]],PlayerGameData[[#This Row],[STLOrder]])</f>
        <v>145.16</v>
      </c>
      <c r="AW342" s="8">
        <f ca="1">RANK(PlayerGameData[[#This Row],[STLTieBreak]],PlayerGameData[STLTieBreak],1)</f>
        <v>217</v>
      </c>
      <c r="AX342" s="8">
        <f ca="1">RANK(PlayerGameData[[#This Row],[BLK]],PlayerGameData[BLK],0)+PlayerGameData[[#This Row],[VisibleOrder]]</f>
        <v>32</v>
      </c>
      <c r="AY342" s="8">
        <f ca="1">IF(COUNTIF(PlayerGameData[BLKOrder],PlayerGameData[[#This Row],[BLKOrder]])&gt;1,PlayerGameData[[#This Row],[PointRank]]/100+PlayerGameData[[#This Row],[BLKOrder]],PlayerGameData[[#This Row],[BLKOrder]])</f>
        <v>34.159999999999997</v>
      </c>
      <c r="AZ342" s="8">
        <f ca="1">RANK(PlayerGameData[[#This Row],[BLKTieBreak]],PlayerGameData[BLKTieBreak],1)</f>
        <v>216</v>
      </c>
      <c r="BA342" s="11">
        <f ca="1">IFERROR(IF(PlayerGameData[[#This Row],[FGA]]&gt;$AA$5,PlayerGameData[[#This Row],[FG%*]],PlayerGameData[[#This Row],[FG%*]]*-1),-2)</f>
        <v>-2</v>
      </c>
      <c r="BB342" s="8">
        <f ca="1">RANK(PlayerGameData[[#This Row],[EligFG]],PlayerGameData[EligFG],0)+PlayerGameData[[#This Row],[VisibleOrder]]</f>
        <v>215</v>
      </c>
      <c r="BC342" s="8">
        <f ca="1">IF(COUNTIF(PlayerGameData[EligFGOrder],PlayerGameData[[#This Row],[EligFGOrder]])&gt;1,PlayerGameData[[#This Row],[PointRank]]/100+PlayerGameData[[#This Row],[EligFGOrder]],PlayerGameData[[#This Row],[EligFGOrder]])</f>
        <v>217.16</v>
      </c>
      <c r="BD342" s="8">
        <f ca="1">RANK(PlayerGameData[[#This Row],[EligFGTieBreak]],PlayerGameData[EligFGTieBreak],1)</f>
        <v>216</v>
      </c>
      <c r="BE342" s="8" t="str">
        <f>Roster!$D$3</f>
        <v>East</v>
      </c>
      <c r="BF342" s="8" t="str">
        <f>Roster!$D$2</f>
        <v>Northeast</v>
      </c>
      <c r="BG342" s="8" t="str">
        <f>Roster!$D$4</f>
        <v>North</v>
      </c>
      <c r="BH342" s="197">
        <f ca="1">IFERROR(VLOOKUP(CONCATENATE(PlayerGameData[[#This Row],[Opponent]]," ",MONTH(PlayerGameData[[#This Row],[Date]]),"/",DAY(PlayerGameData[[#This Row],[Date]]),"/",YEAR(PlayerGameData[[#This Row],[Date]])),Table35[],2,FALSE),0)</f>
        <v>1</v>
      </c>
      <c r="BI342" s="197">
        <f ca="1">IF(PlayerGameData[[#This Row],[Visible]]=1,1,1000)</f>
        <v>1</v>
      </c>
      <c r="BJ342" s="197" t="e">
        <f ca="1">_xlfn.MAXIFS(TeamGameData[Win],TeamGameData[School, Opponent,Game'#],PlayerGameData[[#This Row],[School, Opponent,Game'#]])</f>
        <v>#NAME?</v>
      </c>
      <c r="BK342" s="197" t="e">
        <f ca="1">_xlfn.MAXIFS(TeamGameData[Loss],TeamGameData[School, Opponent,Game'#],PlayerGameData[[#This Row],[School, Opponent,Game'#]])</f>
        <v>#NAME?</v>
      </c>
    </row>
    <row r="343" spans="1:63" x14ac:dyDescent="0.25">
      <c r="A343" s="8" t="str">
        <f t="shared" ca="1" si="183"/>
        <v>Landon Butler, 1</v>
      </c>
      <c r="B343" s="8" t="str">
        <f>Roster!$B$1</f>
        <v>Upton</v>
      </c>
      <c r="C343" s="8" t="str">
        <f t="shared" ca="1" si="171"/>
        <v>Kaycee</v>
      </c>
      <c r="D343" s="10">
        <f t="shared" ca="1" si="172"/>
        <v>44960</v>
      </c>
      <c r="E343" s="8">
        <f t="shared" ca="1" si="173"/>
        <v>1</v>
      </c>
      <c r="F343" s="8">
        <f t="shared" ca="1" si="174"/>
        <v>0</v>
      </c>
      <c r="G343" s="8">
        <f t="shared" ca="1" si="175"/>
        <v>2</v>
      </c>
      <c r="H343" s="8">
        <f t="shared" ca="1" si="176"/>
        <v>0</v>
      </c>
      <c r="I343" s="8">
        <f t="shared" ca="1" si="177"/>
        <v>0</v>
      </c>
      <c r="J343" s="8">
        <f t="shared" ca="1" si="178"/>
        <v>0</v>
      </c>
      <c r="K343" s="8">
        <f t="shared" ca="1" si="179"/>
        <v>0</v>
      </c>
      <c r="L343" s="8">
        <f t="shared" ca="1" si="184"/>
        <v>0</v>
      </c>
      <c r="M343" s="8">
        <f t="shared" ca="1" si="185"/>
        <v>0</v>
      </c>
      <c r="N343" s="8">
        <f t="shared" ca="1" si="186"/>
        <v>0</v>
      </c>
      <c r="O343" s="8">
        <f t="shared" ca="1" si="187"/>
        <v>0</v>
      </c>
      <c r="P343" s="8">
        <f t="shared" ca="1" si="188"/>
        <v>0</v>
      </c>
      <c r="Q343" s="8">
        <f t="shared" ca="1" si="189"/>
        <v>0</v>
      </c>
      <c r="R343" s="8">
        <f t="shared" ca="1" si="190"/>
        <v>0</v>
      </c>
      <c r="S343" s="8">
        <f t="shared" ca="1" si="191"/>
        <v>0</v>
      </c>
      <c r="T343" s="8">
        <f t="shared" ca="1" si="192"/>
        <v>0</v>
      </c>
      <c r="U343" s="8">
        <f t="shared" ca="1" si="193"/>
        <v>0</v>
      </c>
      <c r="V343" s="8">
        <f t="shared" ca="1" si="194"/>
        <v>0</v>
      </c>
      <c r="W343" s="11" t="str">
        <f t="shared" ca="1" si="195"/>
        <v/>
      </c>
      <c r="X343" s="11" t="str">
        <f t="shared" ca="1" si="196"/>
        <v/>
      </c>
      <c r="Y343" s="11" t="str">
        <f t="shared" ca="1" si="197"/>
        <v/>
      </c>
      <c r="Z343" s="11" t="str">
        <f t="shared" ca="1" si="198"/>
        <v/>
      </c>
      <c r="AA343" s="11" t="str">
        <f t="shared" ca="1" si="199"/>
        <v/>
      </c>
      <c r="AB343" s="47">
        <f ca="1">PlayerGameData[[#This Row],[3FGA]]+PlayerGameData[[#This Row],[2FGA]]</f>
        <v>0</v>
      </c>
      <c r="AC343" s="47">
        <f ca="1">PlayerGameData[[#This Row],[OFF REB]]+PlayerGameData[[#This Row],[DEF REB]]</f>
        <v>0</v>
      </c>
      <c r="AD343" s="8">
        <f t="shared" si="180"/>
        <v>15</v>
      </c>
      <c r="AE343" s="8" t="str">
        <f t="shared" ca="1" si="181"/>
        <v>Landon Butler, 1 - Kaycee 2/3/2023</v>
      </c>
      <c r="AF343" s="8" t="str">
        <f t="shared" ca="1" si="200"/>
        <v>R</v>
      </c>
      <c r="AG343" s="8" t="str">
        <f ca="1">IFERROR(IF(C343=0,"",IF(AND(VLOOKUP(PlayerGameData[[#This Row],[Opponent]],WYTeamInfo,2,FALSE)=Roster!$D$1,VLOOKUP(PlayerGameData[[#This Row],[Opponent]],WYTeamInfo,3,FALSE)=Roster!$D$2),"SR","")),"")</f>
        <v>SR</v>
      </c>
      <c r="AH343" s="8" t="str">
        <f>CONCATENATE(Roster!$D$1," ",Roster!$D$5)</f>
        <v>1A BB</v>
      </c>
      <c r="AI343" s="8" t="str">
        <f t="shared" ca="1" si="182"/>
        <v>Upton - Kaycee 2/3/2023</v>
      </c>
      <c r="AJ343" s="8">
        <f ca="1">IFERROR(VLOOKUP(PlayerGameData[[#This Row],[School, Opponent,Game'#]],Table3[],2,FALSE),0)</f>
        <v>1</v>
      </c>
      <c r="AK343" s="8">
        <f ca="1">IF(PlayerGameData[[#This Row],[Visible]]=1,1,1000)</f>
        <v>1</v>
      </c>
      <c r="AL343" s="8">
        <f ca="1">RANK(PlayerGameData[[#This Row],[TL PTS]],PlayerGameData[TL PTS],0)+PlayerGameData[[#This Row],[VisibleOrder]]</f>
        <v>185</v>
      </c>
      <c r="AM343" s="8">
        <f ca="1">IF(COUNTIF(PlayerGameData[PointOrder],PlayerGameData[[#This Row],[PointOrder]])&gt;1,RANK(PlayerGameData[[#This Row],[FGA]],PlayerGameData[FGA],0)/100,0)+PlayerGameData[[#This Row],[PointOrder]]</f>
        <v>187.14</v>
      </c>
      <c r="AN343" s="8">
        <f ca="1">RANK(PlayerGameData[[#This Row],[PointTieBreak]],PlayerGameData[PointTieBreak],1)</f>
        <v>216</v>
      </c>
      <c r="AO343" s="8">
        <f ca="1">RANK(PlayerGameData[[#This Row],[REB]],PlayerGameData[REB],0)+PlayerGameData[[#This Row],[VisibleOrder]]</f>
        <v>192</v>
      </c>
      <c r="AP343" s="8">
        <f ca="1">IF(COUNTIF(PlayerGameData[REBOrder],PlayerGameData[[#This Row],[REBOrder]])&gt;1,PlayerGameData[[#This Row],[PointRank]]/100+PlayerGameData[[#This Row],[REBOrder]],PlayerGameData[[#This Row],[REBOrder]])</f>
        <v>194.16</v>
      </c>
      <c r="AQ343" s="8">
        <f ca="1">RANK(PlayerGameData[[#This Row],[REBTieBreak]],PlayerGameData[REBTieBreak],1)</f>
        <v>224</v>
      </c>
      <c r="AR343" s="8">
        <f ca="1">RANK(PlayerGameData[[#This Row],[AST]],PlayerGameData[AST],0)+PlayerGameData[[#This Row],[VisibleOrder]]</f>
        <v>158</v>
      </c>
      <c r="AS343" s="8">
        <f ca="1">IF(COUNTIF(PlayerGameData[ASTOrder],PlayerGameData[[#This Row],[ASTOrder]])&gt;1,PlayerGameData[[#This Row],[PointRank]]/100+PlayerGameData[[#This Row],[ASTOrder]],PlayerGameData[[#This Row],[ASTOrder]])</f>
        <v>160.16</v>
      </c>
      <c r="AT343" s="8">
        <f ca="1">RANK(PlayerGameData[[#This Row],[ASTTieBreak]],PlayerGameData[ASTTieBreak],1)</f>
        <v>221</v>
      </c>
      <c r="AU343" s="8">
        <f ca="1">RANK(PlayerGameData[[#This Row],[STL]],PlayerGameData[STL],0)+PlayerGameData[[#This Row],[VisibleOrder]]</f>
        <v>143</v>
      </c>
      <c r="AV343" s="8">
        <f ca="1">IF(COUNTIF(PlayerGameData[STLOrder],PlayerGameData[[#This Row],[STLOrder]])&gt;1,PlayerGameData[[#This Row],[PointRank]]/100+PlayerGameData[[#This Row],[STLOrder]],PlayerGameData[[#This Row],[STLOrder]])</f>
        <v>145.16</v>
      </c>
      <c r="AW343" s="8">
        <f ca="1">RANK(PlayerGameData[[#This Row],[STLTieBreak]],PlayerGameData[STLTieBreak],1)</f>
        <v>217</v>
      </c>
      <c r="AX343" s="8">
        <f ca="1">RANK(PlayerGameData[[#This Row],[BLK]],PlayerGameData[BLK],0)+PlayerGameData[[#This Row],[VisibleOrder]]</f>
        <v>32</v>
      </c>
      <c r="AY343" s="8">
        <f ca="1">IF(COUNTIF(PlayerGameData[BLKOrder],PlayerGameData[[#This Row],[BLKOrder]])&gt;1,PlayerGameData[[#This Row],[PointRank]]/100+PlayerGameData[[#This Row],[BLKOrder]],PlayerGameData[[#This Row],[BLKOrder]])</f>
        <v>34.159999999999997</v>
      </c>
      <c r="AZ343" s="8">
        <f ca="1">RANK(PlayerGameData[[#This Row],[BLKTieBreak]],PlayerGameData[BLKTieBreak],1)</f>
        <v>216</v>
      </c>
      <c r="BA343" s="11">
        <f ca="1">IFERROR(IF(PlayerGameData[[#This Row],[FGA]]&gt;$AA$5,PlayerGameData[[#This Row],[FG%*]],PlayerGameData[[#This Row],[FG%*]]*-1),-2)</f>
        <v>-2</v>
      </c>
      <c r="BB343" s="8">
        <f ca="1">RANK(PlayerGameData[[#This Row],[EligFG]],PlayerGameData[EligFG],0)+PlayerGameData[[#This Row],[VisibleOrder]]</f>
        <v>215</v>
      </c>
      <c r="BC343" s="8">
        <f ca="1">IF(COUNTIF(PlayerGameData[EligFGOrder],PlayerGameData[[#This Row],[EligFGOrder]])&gt;1,PlayerGameData[[#This Row],[PointRank]]/100+PlayerGameData[[#This Row],[EligFGOrder]],PlayerGameData[[#This Row],[EligFGOrder]])</f>
        <v>217.16</v>
      </c>
      <c r="BD343" s="8">
        <f ca="1">RANK(PlayerGameData[[#This Row],[EligFGTieBreak]],PlayerGameData[EligFGTieBreak],1)</f>
        <v>216</v>
      </c>
      <c r="BE343" s="8" t="str">
        <f>Roster!$D$3</f>
        <v>East</v>
      </c>
      <c r="BF343" s="8" t="str">
        <f>Roster!$D$2</f>
        <v>Northeast</v>
      </c>
      <c r="BG343" s="8" t="str">
        <f>Roster!$D$4</f>
        <v>North</v>
      </c>
      <c r="BH343" s="197">
        <f ca="1">IFERROR(VLOOKUP(CONCATENATE(PlayerGameData[[#This Row],[Opponent]]," ",MONTH(PlayerGameData[[#This Row],[Date]]),"/",DAY(PlayerGameData[[#This Row],[Date]]),"/",YEAR(PlayerGameData[[#This Row],[Date]])),Table35[],2,FALSE),0)</f>
        <v>1</v>
      </c>
      <c r="BI343" s="197">
        <f ca="1">IF(PlayerGameData[[#This Row],[Visible]]=1,1,1000)</f>
        <v>1</v>
      </c>
      <c r="BJ343" s="197" t="e">
        <f ca="1">_xlfn.MAXIFS(TeamGameData[Win],TeamGameData[School, Opponent,Game'#],PlayerGameData[[#This Row],[School, Opponent,Game'#]])</f>
        <v>#NAME?</v>
      </c>
      <c r="BK343" s="197" t="e">
        <f ca="1">_xlfn.MAXIFS(TeamGameData[Loss],TeamGameData[School, Opponent,Game'#],PlayerGameData[[#This Row],[School, Opponent,Game'#]])</f>
        <v>#NAME?</v>
      </c>
    </row>
    <row r="344" spans="1:63" x14ac:dyDescent="0.25">
      <c r="A344" s="8" t="str">
        <f t="shared" ca="1" si="183"/>
        <v>Logan Timberman, 3</v>
      </c>
      <c r="B344" s="8" t="str">
        <f>Roster!$B$1</f>
        <v>Upton</v>
      </c>
      <c r="C344" s="8" t="str">
        <f t="shared" ca="1" si="171"/>
        <v>Kaycee</v>
      </c>
      <c r="D344" s="10">
        <f t="shared" ca="1" si="172"/>
        <v>44960</v>
      </c>
      <c r="E344" s="8">
        <f t="shared" ca="1" si="173"/>
        <v>1</v>
      </c>
      <c r="F344" s="8">
        <f t="shared" ca="1" si="174"/>
        <v>0</v>
      </c>
      <c r="G344" s="8">
        <f t="shared" ca="1" si="175"/>
        <v>18</v>
      </c>
      <c r="H344" s="8">
        <f t="shared" ca="1" si="176"/>
        <v>0</v>
      </c>
      <c r="I344" s="8">
        <f t="shared" ca="1" si="177"/>
        <v>0</v>
      </c>
      <c r="J344" s="8">
        <f t="shared" ca="1" si="178"/>
        <v>6</v>
      </c>
      <c r="K344" s="8">
        <f t="shared" ca="1" si="179"/>
        <v>7</v>
      </c>
      <c r="L344" s="8">
        <f t="shared" ca="1" si="184"/>
        <v>0</v>
      </c>
      <c r="M344" s="8">
        <f t="shared" ca="1" si="185"/>
        <v>1</v>
      </c>
      <c r="N344" s="8">
        <f t="shared" ca="1" si="186"/>
        <v>0</v>
      </c>
      <c r="O344" s="8">
        <f t="shared" ca="1" si="187"/>
        <v>4</v>
      </c>
      <c r="P344" s="8">
        <f t="shared" ca="1" si="188"/>
        <v>6</v>
      </c>
      <c r="Q344" s="8">
        <f t="shared" ca="1" si="189"/>
        <v>2</v>
      </c>
      <c r="R344" s="8">
        <f t="shared" ca="1" si="190"/>
        <v>0</v>
      </c>
      <c r="S344" s="8">
        <f t="shared" ca="1" si="191"/>
        <v>0</v>
      </c>
      <c r="T344" s="8">
        <f t="shared" ca="1" si="192"/>
        <v>0</v>
      </c>
      <c r="U344" s="8">
        <f t="shared" ca="1" si="193"/>
        <v>0</v>
      </c>
      <c r="V344" s="8">
        <f t="shared" ca="1" si="194"/>
        <v>12</v>
      </c>
      <c r="W344" s="11" t="str">
        <f t="shared" ca="1" si="195"/>
        <v/>
      </c>
      <c r="X344" s="11">
        <f t="shared" ca="1" si="196"/>
        <v>0.8571428571428571</v>
      </c>
      <c r="Y344" s="11">
        <f t="shared" ca="1" si="197"/>
        <v>0</v>
      </c>
      <c r="Z344" s="11">
        <f t="shared" ca="1" si="198"/>
        <v>0.8571428571428571</v>
      </c>
      <c r="AA344" s="11">
        <f t="shared" ca="1" si="199"/>
        <v>0.8571428571428571</v>
      </c>
      <c r="AB344" s="47">
        <f ca="1">PlayerGameData[[#This Row],[3FGA]]+PlayerGameData[[#This Row],[2FGA]]</f>
        <v>7</v>
      </c>
      <c r="AC344" s="47">
        <f ca="1">PlayerGameData[[#This Row],[OFF REB]]+PlayerGameData[[#This Row],[DEF REB]]</f>
        <v>4</v>
      </c>
      <c r="AD344" s="8">
        <f t="shared" si="180"/>
        <v>15</v>
      </c>
      <c r="AE344" s="8" t="str">
        <f t="shared" ca="1" si="181"/>
        <v>Logan Timberman, 3 - Kaycee 2/3/2023</v>
      </c>
      <c r="AF344" s="8" t="str">
        <f t="shared" ca="1" si="200"/>
        <v>R</v>
      </c>
      <c r="AG344" s="8" t="str">
        <f ca="1">IFERROR(IF(C344=0,"",IF(AND(VLOOKUP(PlayerGameData[[#This Row],[Opponent]],WYTeamInfo,2,FALSE)=Roster!$D$1,VLOOKUP(PlayerGameData[[#This Row],[Opponent]],WYTeamInfo,3,FALSE)=Roster!$D$2),"SR","")),"")</f>
        <v>SR</v>
      </c>
      <c r="AH344" s="8" t="str">
        <f>CONCATENATE(Roster!$D$1," ",Roster!$D$5)</f>
        <v>1A BB</v>
      </c>
      <c r="AI344" s="8" t="str">
        <f t="shared" ca="1" si="182"/>
        <v>Upton - Kaycee 2/3/2023</v>
      </c>
      <c r="AJ344" s="8">
        <f ca="1">IFERROR(VLOOKUP(PlayerGameData[[#This Row],[School, Opponent,Game'#]],Table3[],2,FALSE),0)</f>
        <v>1</v>
      </c>
      <c r="AK344" s="8">
        <f ca="1">IF(PlayerGameData[[#This Row],[Visible]]=1,1,1000)</f>
        <v>1</v>
      </c>
      <c r="AL344" s="8">
        <f ca="1">RANK(PlayerGameData[[#This Row],[TL PTS]],PlayerGameData[TL PTS],0)+PlayerGameData[[#This Row],[VisibleOrder]]</f>
        <v>51</v>
      </c>
      <c r="AM344" s="8">
        <f ca="1">IF(COUNTIF(PlayerGameData[PointOrder],PlayerGameData[[#This Row],[PointOrder]])&gt;1,RANK(PlayerGameData[[#This Row],[FGA]],PlayerGameData[FGA],0)/100,0)+PlayerGameData[[#This Row],[PointOrder]]</f>
        <v>51.93</v>
      </c>
      <c r="AN344" s="8">
        <f ca="1">RANK(PlayerGameData[[#This Row],[PointTieBreak]],PlayerGameData[PointTieBreak],1)</f>
        <v>56</v>
      </c>
      <c r="AO344" s="8">
        <f ca="1">RANK(PlayerGameData[[#This Row],[REB]],PlayerGameData[REB],0)+PlayerGameData[[#This Row],[VisibleOrder]]</f>
        <v>79</v>
      </c>
      <c r="AP344" s="8">
        <f ca="1">IF(COUNTIF(PlayerGameData[REBOrder],PlayerGameData[[#This Row],[REBOrder]])&gt;1,PlayerGameData[[#This Row],[PointRank]]/100+PlayerGameData[[#This Row],[REBOrder]],PlayerGameData[[#This Row],[REBOrder]])</f>
        <v>79.56</v>
      </c>
      <c r="AQ344" s="8">
        <f ca="1">RANK(PlayerGameData[[#This Row],[REBTieBreak]],PlayerGameData[REBTieBreak],1)</f>
        <v>89</v>
      </c>
      <c r="AR344" s="8">
        <f ca="1">RANK(PlayerGameData[[#This Row],[AST]],PlayerGameData[AST],0)+PlayerGameData[[#This Row],[VisibleOrder]]</f>
        <v>7</v>
      </c>
      <c r="AS344" s="8">
        <f ca="1">IF(COUNTIF(PlayerGameData[ASTOrder],PlayerGameData[[#This Row],[ASTOrder]])&gt;1,PlayerGameData[[#This Row],[PointRank]]/100+PlayerGameData[[#This Row],[ASTOrder]],PlayerGameData[[#This Row],[ASTOrder]])</f>
        <v>7.5600000000000005</v>
      </c>
      <c r="AT344" s="8">
        <f ca="1">RANK(PlayerGameData[[#This Row],[ASTTieBreak]],PlayerGameData[ASTTieBreak],1)</f>
        <v>10</v>
      </c>
      <c r="AU344" s="8">
        <f ca="1">RANK(PlayerGameData[[#This Row],[STL]],PlayerGameData[STL],0)+PlayerGameData[[#This Row],[VisibleOrder]]</f>
        <v>48</v>
      </c>
      <c r="AV344" s="8">
        <f ca="1">IF(COUNTIF(PlayerGameData[STLOrder],PlayerGameData[[#This Row],[STLOrder]])&gt;1,PlayerGameData[[#This Row],[PointRank]]/100+PlayerGameData[[#This Row],[STLOrder]],PlayerGameData[[#This Row],[STLOrder]])</f>
        <v>48.56</v>
      </c>
      <c r="AW344" s="8">
        <f ca="1">RANK(PlayerGameData[[#This Row],[STLTieBreak]],PlayerGameData[STLTieBreak],1)</f>
        <v>55</v>
      </c>
      <c r="AX344" s="8">
        <f ca="1">RANK(PlayerGameData[[#This Row],[BLK]],PlayerGameData[BLK],0)+PlayerGameData[[#This Row],[VisibleOrder]]</f>
        <v>32</v>
      </c>
      <c r="AY344" s="8">
        <f ca="1">IF(COUNTIF(PlayerGameData[BLKOrder],PlayerGameData[[#This Row],[BLKOrder]])&gt;1,PlayerGameData[[#This Row],[PointRank]]/100+PlayerGameData[[#This Row],[BLKOrder]],PlayerGameData[[#This Row],[BLKOrder]])</f>
        <v>32.56</v>
      </c>
      <c r="AZ344" s="8">
        <f ca="1">RANK(PlayerGameData[[#This Row],[BLKTieBreak]],PlayerGameData[BLKTieBreak],1)</f>
        <v>74</v>
      </c>
      <c r="BA344" s="11">
        <f ca="1">IFERROR(IF(PlayerGameData[[#This Row],[FGA]]&gt;$AA$5,PlayerGameData[[#This Row],[FG%*]],PlayerGameData[[#This Row],[FG%*]]*-1),-2)</f>
        <v>0.8571428571428571</v>
      </c>
      <c r="BB344" s="8">
        <f ca="1">RANK(PlayerGameData[[#This Row],[EligFG]],PlayerGameData[EligFG],0)+PlayerGameData[[#This Row],[VisibleOrder]]</f>
        <v>4</v>
      </c>
      <c r="BC344" s="8">
        <f ca="1">IF(COUNTIF(PlayerGameData[EligFGOrder],PlayerGameData[[#This Row],[EligFGOrder]])&gt;1,PlayerGameData[[#This Row],[PointRank]]/100+PlayerGameData[[#This Row],[EligFGOrder]],PlayerGameData[[#This Row],[EligFGOrder]])</f>
        <v>4</v>
      </c>
      <c r="BD344" s="8">
        <f ca="1">RANK(PlayerGameData[[#This Row],[EligFGTieBreak]],PlayerGameData[EligFGTieBreak],1)</f>
        <v>3</v>
      </c>
      <c r="BE344" s="8" t="str">
        <f>Roster!$D$3</f>
        <v>East</v>
      </c>
      <c r="BF344" s="8" t="str">
        <f>Roster!$D$2</f>
        <v>Northeast</v>
      </c>
      <c r="BG344" s="8" t="str">
        <f>Roster!$D$4</f>
        <v>North</v>
      </c>
      <c r="BH344" s="197">
        <f ca="1">IFERROR(VLOOKUP(CONCATENATE(PlayerGameData[[#This Row],[Opponent]]," ",MONTH(PlayerGameData[[#This Row],[Date]]),"/",DAY(PlayerGameData[[#This Row],[Date]]),"/",YEAR(PlayerGameData[[#This Row],[Date]])),Table35[],2,FALSE),0)</f>
        <v>1</v>
      </c>
      <c r="BI344" s="197">
        <f ca="1">IF(PlayerGameData[[#This Row],[Visible]]=1,1,1000)</f>
        <v>1</v>
      </c>
      <c r="BJ344" s="197" t="e">
        <f ca="1">_xlfn.MAXIFS(TeamGameData[Win],TeamGameData[School, Opponent,Game'#],PlayerGameData[[#This Row],[School, Opponent,Game'#]])</f>
        <v>#NAME?</v>
      </c>
      <c r="BK344" s="197" t="e">
        <f ca="1">_xlfn.MAXIFS(TeamGameData[Loss],TeamGameData[School, Opponent,Game'#],PlayerGameData[[#This Row],[School, Opponent,Game'#]])</f>
        <v>#NAME?</v>
      </c>
    </row>
    <row r="345" spans="1:63" x14ac:dyDescent="0.25">
      <c r="A345" s="8" t="str">
        <f t="shared" ca="1" si="183"/>
        <v>Chase Mills, 5</v>
      </c>
      <c r="B345" s="8" t="str">
        <f>Roster!$B$1</f>
        <v>Upton</v>
      </c>
      <c r="C345" s="8" t="str">
        <f t="shared" ca="1" si="171"/>
        <v>Kaycee</v>
      </c>
      <c r="D345" s="10">
        <f t="shared" ca="1" si="172"/>
        <v>44960</v>
      </c>
      <c r="E345" s="8">
        <f t="shared" ca="1" si="173"/>
        <v>1</v>
      </c>
      <c r="F345" s="8">
        <f t="shared" ca="1" si="174"/>
        <v>1</v>
      </c>
      <c r="G345" s="8">
        <f t="shared" ca="1" si="175"/>
        <v>27</v>
      </c>
      <c r="H345" s="8">
        <f t="shared" ca="1" si="176"/>
        <v>0</v>
      </c>
      <c r="I345" s="8">
        <f t="shared" ca="1" si="177"/>
        <v>1</v>
      </c>
      <c r="J345" s="8">
        <f t="shared" ca="1" si="178"/>
        <v>6</v>
      </c>
      <c r="K345" s="8">
        <f t="shared" ca="1" si="179"/>
        <v>9</v>
      </c>
      <c r="L345" s="8">
        <f t="shared" ca="1" si="184"/>
        <v>5</v>
      </c>
      <c r="M345" s="8">
        <f t="shared" ca="1" si="185"/>
        <v>8</v>
      </c>
      <c r="N345" s="8">
        <f t="shared" ca="1" si="186"/>
        <v>0</v>
      </c>
      <c r="O345" s="8">
        <f t="shared" ca="1" si="187"/>
        <v>3</v>
      </c>
      <c r="P345" s="8">
        <f t="shared" ca="1" si="188"/>
        <v>2</v>
      </c>
      <c r="Q345" s="8">
        <f t="shared" ca="1" si="189"/>
        <v>3</v>
      </c>
      <c r="R345" s="8">
        <f t="shared" ca="1" si="190"/>
        <v>0</v>
      </c>
      <c r="S345" s="8">
        <f t="shared" ca="1" si="191"/>
        <v>2</v>
      </c>
      <c r="T345" s="8">
        <f t="shared" ca="1" si="192"/>
        <v>2</v>
      </c>
      <c r="U345" s="8">
        <f t="shared" ca="1" si="193"/>
        <v>0</v>
      </c>
      <c r="V345" s="8">
        <f t="shared" ca="1" si="194"/>
        <v>17</v>
      </c>
      <c r="W345" s="11">
        <f t="shared" ca="1" si="195"/>
        <v>0</v>
      </c>
      <c r="X345" s="11">
        <f t="shared" ca="1" si="196"/>
        <v>0.66666666666666663</v>
      </c>
      <c r="Y345" s="11">
        <f t="shared" ca="1" si="197"/>
        <v>0.625</v>
      </c>
      <c r="Z345" s="11">
        <f t="shared" ca="1" si="198"/>
        <v>0.6</v>
      </c>
      <c r="AA345" s="11">
        <f t="shared" ca="1" si="199"/>
        <v>0.6</v>
      </c>
      <c r="AB345" s="47">
        <f ca="1">PlayerGameData[[#This Row],[3FGA]]+PlayerGameData[[#This Row],[2FGA]]</f>
        <v>10</v>
      </c>
      <c r="AC345" s="47">
        <f ca="1">PlayerGameData[[#This Row],[OFF REB]]+PlayerGameData[[#This Row],[DEF REB]]</f>
        <v>3</v>
      </c>
      <c r="AD345" s="8">
        <f t="shared" si="180"/>
        <v>15</v>
      </c>
      <c r="AE345" s="8" t="str">
        <f t="shared" ca="1" si="181"/>
        <v>Chase Mills, 5 - Kaycee 2/3/2023</v>
      </c>
      <c r="AF345" s="8" t="str">
        <f t="shared" ca="1" si="200"/>
        <v>R</v>
      </c>
      <c r="AG345" s="8" t="str">
        <f ca="1">IFERROR(IF(C345=0,"",IF(AND(VLOOKUP(PlayerGameData[[#This Row],[Opponent]],WYTeamInfo,2,FALSE)=Roster!$D$1,VLOOKUP(PlayerGameData[[#This Row],[Opponent]],WYTeamInfo,3,FALSE)=Roster!$D$2),"SR","")),"")</f>
        <v>SR</v>
      </c>
      <c r="AH345" s="8" t="str">
        <f>CONCATENATE(Roster!$D$1," ",Roster!$D$5)</f>
        <v>1A BB</v>
      </c>
      <c r="AI345" s="8" t="str">
        <f t="shared" ca="1" si="182"/>
        <v>Upton - Kaycee 2/3/2023</v>
      </c>
      <c r="AJ345" s="8">
        <f ca="1">IFERROR(VLOOKUP(PlayerGameData[[#This Row],[School, Opponent,Game'#]],Table3[],2,FALSE),0)</f>
        <v>1</v>
      </c>
      <c r="AK345" s="8">
        <f ca="1">IF(PlayerGameData[[#This Row],[Visible]]=1,1,1000)</f>
        <v>1</v>
      </c>
      <c r="AL345" s="8">
        <f ca="1">RANK(PlayerGameData[[#This Row],[TL PTS]],PlayerGameData[TL PTS],0)+PlayerGameData[[#This Row],[VisibleOrder]]</f>
        <v>18</v>
      </c>
      <c r="AM345" s="8">
        <f ca="1">IF(COUNTIF(PlayerGameData[PointOrder],PlayerGameData[[#This Row],[PointOrder]])&gt;1,RANK(PlayerGameData[[#This Row],[FGA]],PlayerGameData[FGA],0)/100,0)+PlayerGameData[[#This Row],[PointOrder]]</f>
        <v>18.43</v>
      </c>
      <c r="AN345" s="8">
        <f ca="1">RANK(PlayerGameData[[#This Row],[PointTieBreak]],PlayerGameData[PointTieBreak],1)</f>
        <v>21</v>
      </c>
      <c r="AO345" s="8">
        <f ca="1">RANK(PlayerGameData[[#This Row],[REB]],PlayerGameData[REB],0)+PlayerGameData[[#This Row],[VisibleOrder]]</f>
        <v>108</v>
      </c>
      <c r="AP345" s="8">
        <f ca="1">IF(COUNTIF(PlayerGameData[REBOrder],PlayerGameData[[#This Row],[REBOrder]])&gt;1,PlayerGameData[[#This Row],[PointRank]]/100+PlayerGameData[[#This Row],[REBOrder]],PlayerGameData[[#This Row],[REBOrder]])</f>
        <v>108.21</v>
      </c>
      <c r="AQ345" s="8">
        <f ca="1">RANK(PlayerGameData[[#This Row],[REBTieBreak]],PlayerGameData[REBTieBreak],1)</f>
        <v>107</v>
      </c>
      <c r="AR345" s="8">
        <f ca="1">RANK(PlayerGameData[[#This Row],[AST]],PlayerGameData[AST],0)+PlayerGameData[[#This Row],[VisibleOrder]]</f>
        <v>69</v>
      </c>
      <c r="AS345" s="8">
        <f ca="1">IF(COUNTIF(PlayerGameData[ASTOrder],PlayerGameData[[#This Row],[ASTOrder]])&gt;1,PlayerGameData[[#This Row],[PointRank]]/100+PlayerGameData[[#This Row],[ASTOrder]],PlayerGameData[[#This Row],[ASTOrder]])</f>
        <v>69.209999999999994</v>
      </c>
      <c r="AT345" s="8">
        <f ca="1">RANK(PlayerGameData[[#This Row],[ASTTieBreak]],PlayerGameData[ASTTieBreak],1)</f>
        <v>73</v>
      </c>
      <c r="AU345" s="8">
        <f ca="1">RANK(PlayerGameData[[#This Row],[STL]],PlayerGameData[STL],0)+PlayerGameData[[#This Row],[VisibleOrder]]</f>
        <v>26</v>
      </c>
      <c r="AV345" s="8">
        <f ca="1">IF(COUNTIF(PlayerGameData[STLOrder],PlayerGameData[[#This Row],[STLOrder]])&gt;1,PlayerGameData[[#This Row],[PointRank]]/100+PlayerGameData[[#This Row],[STLOrder]],PlayerGameData[[#This Row],[STLOrder]])</f>
        <v>26.21</v>
      </c>
      <c r="AW345" s="8">
        <f ca="1">RANK(PlayerGameData[[#This Row],[STLTieBreak]],PlayerGameData[STLTieBreak],1)</f>
        <v>28</v>
      </c>
      <c r="AX345" s="8">
        <f ca="1">RANK(PlayerGameData[[#This Row],[BLK]],PlayerGameData[BLK],0)+PlayerGameData[[#This Row],[VisibleOrder]]</f>
        <v>32</v>
      </c>
      <c r="AY345" s="8">
        <f ca="1">IF(COUNTIF(PlayerGameData[BLKOrder],PlayerGameData[[#This Row],[BLKOrder]])&gt;1,PlayerGameData[[#This Row],[PointRank]]/100+PlayerGameData[[#This Row],[BLKOrder]],PlayerGameData[[#This Row],[BLKOrder]])</f>
        <v>32.21</v>
      </c>
      <c r="AZ345" s="8">
        <f ca="1">RANK(PlayerGameData[[#This Row],[BLKTieBreak]],PlayerGameData[BLKTieBreak],1)</f>
        <v>49</v>
      </c>
      <c r="BA345" s="11">
        <f ca="1">IFERROR(IF(PlayerGameData[[#This Row],[FGA]]&gt;$AA$5,PlayerGameData[[#This Row],[FG%*]],PlayerGameData[[#This Row],[FG%*]]*-1),-2)</f>
        <v>0.6</v>
      </c>
      <c r="BB345" s="8">
        <f ca="1">RANK(PlayerGameData[[#This Row],[EligFG]],PlayerGameData[EligFG],0)+PlayerGameData[[#This Row],[VisibleOrder]]</f>
        <v>21</v>
      </c>
      <c r="BC345" s="8">
        <f ca="1">IF(COUNTIF(PlayerGameData[EligFGOrder],PlayerGameData[[#This Row],[EligFGOrder]])&gt;1,PlayerGameData[[#This Row],[PointRank]]/100+PlayerGameData[[#This Row],[EligFGOrder]],PlayerGameData[[#This Row],[EligFGOrder]])</f>
        <v>21.21</v>
      </c>
      <c r="BD345" s="8">
        <f ca="1">RANK(PlayerGameData[[#This Row],[EligFGTieBreak]],PlayerGameData[EligFGTieBreak],1)</f>
        <v>20</v>
      </c>
      <c r="BE345" s="8" t="str">
        <f>Roster!$D$3</f>
        <v>East</v>
      </c>
      <c r="BF345" s="8" t="str">
        <f>Roster!$D$2</f>
        <v>Northeast</v>
      </c>
      <c r="BG345" s="8" t="str">
        <f>Roster!$D$4</f>
        <v>North</v>
      </c>
      <c r="BH345" s="197">
        <f ca="1">IFERROR(VLOOKUP(CONCATENATE(PlayerGameData[[#This Row],[Opponent]]," ",MONTH(PlayerGameData[[#This Row],[Date]]),"/",DAY(PlayerGameData[[#This Row],[Date]]),"/",YEAR(PlayerGameData[[#This Row],[Date]])),Table35[],2,FALSE),0)</f>
        <v>1</v>
      </c>
      <c r="BI345" s="197">
        <f ca="1">IF(PlayerGameData[[#This Row],[Visible]]=1,1,1000)</f>
        <v>1</v>
      </c>
      <c r="BJ345" s="197" t="e">
        <f ca="1">_xlfn.MAXIFS(TeamGameData[Win],TeamGameData[School, Opponent,Game'#],PlayerGameData[[#This Row],[School, Opponent,Game'#]])</f>
        <v>#NAME?</v>
      </c>
      <c r="BK345" s="197" t="e">
        <f ca="1">_xlfn.MAXIFS(TeamGameData[Loss],TeamGameData[School, Opponent,Game'#],PlayerGameData[[#This Row],[School, Opponent,Game'#]])</f>
        <v>#NAME?</v>
      </c>
    </row>
    <row r="346" spans="1:63" x14ac:dyDescent="0.25">
      <c r="A346" s="8" t="str">
        <f t="shared" ca="1" si="183"/>
        <v>Rhett Watt, 10</v>
      </c>
      <c r="B346" s="8" t="str">
        <f>Roster!$B$1</f>
        <v>Upton</v>
      </c>
      <c r="C346" s="8" t="str">
        <f t="shared" ca="1" si="171"/>
        <v>Kaycee</v>
      </c>
      <c r="D346" s="10">
        <f t="shared" ca="1" si="172"/>
        <v>44960</v>
      </c>
      <c r="E346" s="8">
        <f t="shared" ca="1" si="173"/>
        <v>1</v>
      </c>
      <c r="F346" s="8">
        <f t="shared" ca="1" si="174"/>
        <v>1</v>
      </c>
      <c r="G346" s="8">
        <f t="shared" ca="1" si="175"/>
        <v>28</v>
      </c>
      <c r="H346" s="8">
        <f t="shared" ca="1" si="176"/>
        <v>2</v>
      </c>
      <c r="I346" s="8">
        <f t="shared" ca="1" si="177"/>
        <v>6</v>
      </c>
      <c r="J346" s="8">
        <f t="shared" ca="1" si="178"/>
        <v>2</v>
      </c>
      <c r="K346" s="8">
        <f t="shared" ca="1" si="179"/>
        <v>5</v>
      </c>
      <c r="L346" s="8">
        <f t="shared" ca="1" si="184"/>
        <v>1</v>
      </c>
      <c r="M346" s="8">
        <f t="shared" ca="1" si="185"/>
        <v>2</v>
      </c>
      <c r="N346" s="8">
        <f t="shared" ca="1" si="186"/>
        <v>0</v>
      </c>
      <c r="O346" s="8">
        <f t="shared" ca="1" si="187"/>
        <v>4</v>
      </c>
      <c r="P346" s="8">
        <f t="shared" ca="1" si="188"/>
        <v>5</v>
      </c>
      <c r="Q346" s="8">
        <f t="shared" ca="1" si="189"/>
        <v>3</v>
      </c>
      <c r="R346" s="8">
        <f t="shared" ca="1" si="190"/>
        <v>0</v>
      </c>
      <c r="S346" s="8">
        <f t="shared" ca="1" si="191"/>
        <v>1</v>
      </c>
      <c r="T346" s="8">
        <f t="shared" ca="1" si="192"/>
        <v>0</v>
      </c>
      <c r="U346" s="8">
        <f t="shared" ca="1" si="193"/>
        <v>0</v>
      </c>
      <c r="V346" s="8">
        <f t="shared" ca="1" si="194"/>
        <v>11</v>
      </c>
      <c r="W346" s="11">
        <f t="shared" ca="1" si="195"/>
        <v>0.33333333333333331</v>
      </c>
      <c r="X346" s="11">
        <f t="shared" ca="1" si="196"/>
        <v>0.4</v>
      </c>
      <c r="Y346" s="11">
        <f t="shared" ca="1" si="197"/>
        <v>0.5</v>
      </c>
      <c r="Z346" s="11">
        <f t="shared" ca="1" si="198"/>
        <v>0.36363636363636365</v>
      </c>
      <c r="AA346" s="11">
        <f t="shared" ca="1" si="199"/>
        <v>0.45454545454545453</v>
      </c>
      <c r="AB346" s="47">
        <f ca="1">PlayerGameData[[#This Row],[3FGA]]+PlayerGameData[[#This Row],[2FGA]]</f>
        <v>11</v>
      </c>
      <c r="AC346" s="47">
        <f ca="1">PlayerGameData[[#This Row],[OFF REB]]+PlayerGameData[[#This Row],[DEF REB]]</f>
        <v>4</v>
      </c>
      <c r="AD346" s="8">
        <f t="shared" si="180"/>
        <v>15</v>
      </c>
      <c r="AE346" s="8" t="str">
        <f t="shared" ca="1" si="181"/>
        <v>Rhett Watt, 10 - Kaycee 2/3/2023</v>
      </c>
      <c r="AF346" s="8" t="str">
        <f t="shared" ca="1" si="200"/>
        <v>R</v>
      </c>
      <c r="AG346" s="8" t="str">
        <f ca="1">IFERROR(IF(C346=0,"",IF(AND(VLOOKUP(PlayerGameData[[#This Row],[Opponent]],WYTeamInfo,2,FALSE)=Roster!$D$1,VLOOKUP(PlayerGameData[[#This Row],[Opponent]],WYTeamInfo,3,FALSE)=Roster!$D$2),"SR","")),"")</f>
        <v>SR</v>
      </c>
      <c r="AH346" s="8" t="str">
        <f>CONCATENATE(Roster!$D$1," ",Roster!$D$5)</f>
        <v>1A BB</v>
      </c>
      <c r="AI346" s="8" t="str">
        <f t="shared" ca="1" si="182"/>
        <v>Upton - Kaycee 2/3/2023</v>
      </c>
      <c r="AJ346" s="8">
        <f ca="1">IFERROR(VLOOKUP(PlayerGameData[[#This Row],[School, Opponent,Game'#]],Table3[],2,FALSE),0)</f>
        <v>1</v>
      </c>
      <c r="AK346" s="8">
        <f ca="1">IF(PlayerGameData[[#This Row],[Visible]]=1,1,1000)</f>
        <v>1</v>
      </c>
      <c r="AL346" s="8">
        <f ca="1">RANK(PlayerGameData[[#This Row],[TL PTS]],PlayerGameData[TL PTS],0)+PlayerGameData[[#This Row],[VisibleOrder]]</f>
        <v>58</v>
      </c>
      <c r="AM346" s="8">
        <f ca="1">IF(COUNTIF(PlayerGameData[PointOrder],PlayerGameData[[#This Row],[PointOrder]])&gt;1,RANK(PlayerGameData[[#This Row],[FGA]],PlayerGameData[FGA],0)/100,0)+PlayerGameData[[#This Row],[PointOrder]]</f>
        <v>58.34</v>
      </c>
      <c r="AN346" s="8">
        <f ca="1">RANK(PlayerGameData[[#This Row],[PointTieBreak]],PlayerGameData[PointTieBreak],1)</f>
        <v>57</v>
      </c>
      <c r="AO346" s="8">
        <f ca="1">RANK(PlayerGameData[[#This Row],[REB]],PlayerGameData[REB],0)+PlayerGameData[[#This Row],[VisibleOrder]]</f>
        <v>79</v>
      </c>
      <c r="AP346" s="8">
        <f ca="1">IF(COUNTIF(PlayerGameData[REBOrder],PlayerGameData[[#This Row],[REBOrder]])&gt;1,PlayerGameData[[#This Row],[PointRank]]/100+PlayerGameData[[#This Row],[REBOrder]],PlayerGameData[[#This Row],[REBOrder]])</f>
        <v>79.569999999999993</v>
      </c>
      <c r="AQ346" s="8">
        <f ca="1">RANK(PlayerGameData[[#This Row],[REBTieBreak]],PlayerGameData[REBTieBreak],1)</f>
        <v>90</v>
      </c>
      <c r="AR346" s="8">
        <f ca="1">RANK(PlayerGameData[[#This Row],[AST]],PlayerGameData[AST],0)+PlayerGameData[[#This Row],[VisibleOrder]]</f>
        <v>14</v>
      </c>
      <c r="AS346" s="8">
        <f ca="1">IF(COUNTIF(PlayerGameData[ASTOrder],PlayerGameData[[#This Row],[ASTOrder]])&gt;1,PlayerGameData[[#This Row],[PointRank]]/100+PlayerGameData[[#This Row],[ASTOrder]],PlayerGameData[[#This Row],[ASTOrder]])</f>
        <v>14.57</v>
      </c>
      <c r="AT346" s="8">
        <f ca="1">RANK(PlayerGameData[[#This Row],[ASTTieBreak]],PlayerGameData[ASTTieBreak],1)</f>
        <v>19</v>
      </c>
      <c r="AU346" s="8">
        <f ca="1">RANK(PlayerGameData[[#This Row],[STL]],PlayerGameData[STL],0)+PlayerGameData[[#This Row],[VisibleOrder]]</f>
        <v>26</v>
      </c>
      <c r="AV346" s="8">
        <f ca="1">IF(COUNTIF(PlayerGameData[STLOrder],PlayerGameData[[#This Row],[STLOrder]])&gt;1,PlayerGameData[[#This Row],[PointRank]]/100+PlayerGameData[[#This Row],[STLOrder]],PlayerGameData[[#This Row],[STLOrder]])</f>
        <v>26.57</v>
      </c>
      <c r="AW346" s="8">
        <f ca="1">RANK(PlayerGameData[[#This Row],[STLTieBreak]],PlayerGameData[STLTieBreak],1)</f>
        <v>34</v>
      </c>
      <c r="AX346" s="8">
        <f ca="1">RANK(PlayerGameData[[#This Row],[BLK]],PlayerGameData[BLK],0)+PlayerGameData[[#This Row],[VisibleOrder]]</f>
        <v>32</v>
      </c>
      <c r="AY346" s="8">
        <f ca="1">IF(COUNTIF(PlayerGameData[BLKOrder],PlayerGameData[[#This Row],[BLKOrder]])&gt;1,PlayerGameData[[#This Row],[PointRank]]/100+PlayerGameData[[#This Row],[BLKOrder]],PlayerGameData[[#This Row],[BLKOrder]])</f>
        <v>32.57</v>
      </c>
      <c r="AZ346" s="8">
        <f ca="1">RANK(PlayerGameData[[#This Row],[BLKTieBreak]],PlayerGameData[BLKTieBreak],1)</f>
        <v>75</v>
      </c>
      <c r="BA346" s="11">
        <f ca="1">IFERROR(IF(PlayerGameData[[#This Row],[FGA]]&gt;$AA$5,PlayerGameData[[#This Row],[FG%*]],PlayerGameData[[#This Row],[FG%*]]*-1),-2)</f>
        <v>0.36363636363636365</v>
      </c>
      <c r="BB346" s="8">
        <f ca="1">RANK(PlayerGameData[[#This Row],[EligFG]],PlayerGameData[EligFG],0)+PlayerGameData[[#This Row],[VisibleOrder]]</f>
        <v>78</v>
      </c>
      <c r="BC346" s="8">
        <f ca="1">IF(COUNTIF(PlayerGameData[EligFGOrder],PlayerGameData[[#This Row],[EligFGOrder]])&gt;1,PlayerGameData[[#This Row],[PointRank]]/100+PlayerGameData[[#This Row],[EligFGOrder]],PlayerGameData[[#This Row],[EligFGOrder]])</f>
        <v>78.569999999999993</v>
      </c>
      <c r="BD346" s="8">
        <f ca="1">RANK(PlayerGameData[[#This Row],[EligFGTieBreak]],PlayerGameData[EligFGTieBreak],1)</f>
        <v>77</v>
      </c>
      <c r="BE346" s="8" t="str">
        <f>Roster!$D$3</f>
        <v>East</v>
      </c>
      <c r="BF346" s="8" t="str">
        <f>Roster!$D$2</f>
        <v>Northeast</v>
      </c>
      <c r="BG346" s="8" t="str">
        <f>Roster!$D$4</f>
        <v>North</v>
      </c>
      <c r="BH346" s="197">
        <f ca="1">IFERROR(VLOOKUP(CONCATENATE(PlayerGameData[[#This Row],[Opponent]]," ",MONTH(PlayerGameData[[#This Row],[Date]]),"/",DAY(PlayerGameData[[#This Row],[Date]]),"/",YEAR(PlayerGameData[[#This Row],[Date]])),Table35[],2,FALSE),0)</f>
        <v>1</v>
      </c>
      <c r="BI346" s="197">
        <f ca="1">IF(PlayerGameData[[#This Row],[Visible]]=1,1,1000)</f>
        <v>1</v>
      </c>
      <c r="BJ346" s="197" t="e">
        <f ca="1">_xlfn.MAXIFS(TeamGameData[Win],TeamGameData[School, Opponent,Game'#],PlayerGameData[[#This Row],[School, Opponent,Game'#]])</f>
        <v>#NAME?</v>
      </c>
      <c r="BK346" s="197" t="e">
        <f ca="1">_xlfn.MAXIFS(TeamGameData[Loss],TeamGameData[School, Opponent,Game'#],PlayerGameData[[#This Row],[School, Opponent,Game'#]])</f>
        <v>#NAME?</v>
      </c>
    </row>
    <row r="347" spans="1:63" x14ac:dyDescent="0.25">
      <c r="A347" s="8" t="str">
        <f t="shared" ca="1" si="183"/>
        <v>Keith Coburn, 11</v>
      </c>
      <c r="B347" s="8" t="str">
        <f>Roster!$B$1</f>
        <v>Upton</v>
      </c>
      <c r="C347" s="8" t="str">
        <f t="shared" ca="1" si="171"/>
        <v>Kaycee</v>
      </c>
      <c r="D347" s="10">
        <f t="shared" ca="1" si="172"/>
        <v>44960</v>
      </c>
      <c r="E347" s="8">
        <f t="shared" ca="1" si="173"/>
        <v>1</v>
      </c>
      <c r="F347" s="8">
        <f t="shared" ca="1" si="174"/>
        <v>1</v>
      </c>
      <c r="G347" s="8">
        <f t="shared" ca="1" si="175"/>
        <v>3</v>
      </c>
      <c r="H347" s="8">
        <f t="shared" ca="1" si="176"/>
        <v>0</v>
      </c>
      <c r="I347" s="8">
        <f t="shared" ca="1" si="177"/>
        <v>0</v>
      </c>
      <c r="J347" s="8">
        <f t="shared" ca="1" si="178"/>
        <v>0</v>
      </c>
      <c r="K347" s="8">
        <f t="shared" ca="1" si="179"/>
        <v>0</v>
      </c>
      <c r="L347" s="8">
        <f t="shared" ca="1" si="184"/>
        <v>0</v>
      </c>
      <c r="M347" s="8">
        <f t="shared" ca="1" si="185"/>
        <v>0</v>
      </c>
      <c r="N347" s="8">
        <f t="shared" ca="1" si="186"/>
        <v>0</v>
      </c>
      <c r="O347" s="8">
        <f t="shared" ca="1" si="187"/>
        <v>0</v>
      </c>
      <c r="P347" s="8">
        <f t="shared" ca="1" si="188"/>
        <v>1</v>
      </c>
      <c r="Q347" s="8">
        <f t="shared" ca="1" si="189"/>
        <v>0</v>
      </c>
      <c r="R347" s="8">
        <f t="shared" ca="1" si="190"/>
        <v>0</v>
      </c>
      <c r="S347" s="8">
        <f t="shared" ca="1" si="191"/>
        <v>0</v>
      </c>
      <c r="T347" s="8">
        <f t="shared" ca="1" si="192"/>
        <v>0</v>
      </c>
      <c r="U347" s="8">
        <f t="shared" ca="1" si="193"/>
        <v>0</v>
      </c>
      <c r="V347" s="8">
        <f t="shared" ca="1" si="194"/>
        <v>0</v>
      </c>
      <c r="W347" s="11" t="str">
        <f t="shared" ca="1" si="195"/>
        <v/>
      </c>
      <c r="X347" s="11" t="str">
        <f t="shared" ca="1" si="196"/>
        <v/>
      </c>
      <c r="Y347" s="11" t="str">
        <f t="shared" ca="1" si="197"/>
        <v/>
      </c>
      <c r="Z347" s="11" t="str">
        <f t="shared" ca="1" si="198"/>
        <v/>
      </c>
      <c r="AA347" s="11" t="str">
        <f t="shared" ca="1" si="199"/>
        <v/>
      </c>
      <c r="AB347" s="47">
        <f ca="1">PlayerGameData[[#This Row],[3FGA]]+PlayerGameData[[#This Row],[2FGA]]</f>
        <v>0</v>
      </c>
      <c r="AC347" s="47">
        <f ca="1">PlayerGameData[[#This Row],[OFF REB]]+PlayerGameData[[#This Row],[DEF REB]]</f>
        <v>0</v>
      </c>
      <c r="AD347" s="8">
        <f t="shared" si="180"/>
        <v>15</v>
      </c>
      <c r="AE347" s="8" t="str">
        <f t="shared" ca="1" si="181"/>
        <v>Keith Coburn, 11 - Kaycee 2/3/2023</v>
      </c>
      <c r="AF347" s="8" t="str">
        <f t="shared" ca="1" si="200"/>
        <v>R</v>
      </c>
      <c r="AG347" s="8" t="str">
        <f ca="1">IFERROR(IF(C347=0,"",IF(AND(VLOOKUP(PlayerGameData[[#This Row],[Opponent]],WYTeamInfo,2,FALSE)=Roster!$D$1,VLOOKUP(PlayerGameData[[#This Row],[Opponent]],WYTeamInfo,3,FALSE)=Roster!$D$2),"SR","")),"")</f>
        <v>SR</v>
      </c>
      <c r="AH347" s="8" t="str">
        <f>CONCATENATE(Roster!$D$1," ",Roster!$D$5)</f>
        <v>1A BB</v>
      </c>
      <c r="AI347" s="8" t="str">
        <f t="shared" ca="1" si="182"/>
        <v>Upton - Kaycee 2/3/2023</v>
      </c>
      <c r="AJ347" s="8">
        <f ca="1">IFERROR(VLOOKUP(PlayerGameData[[#This Row],[School, Opponent,Game'#]],Table3[],2,FALSE),0)</f>
        <v>1</v>
      </c>
      <c r="AK347" s="8">
        <f ca="1">IF(PlayerGameData[[#This Row],[Visible]]=1,1,1000)</f>
        <v>1</v>
      </c>
      <c r="AL347" s="8">
        <f ca="1">RANK(PlayerGameData[[#This Row],[TL PTS]],PlayerGameData[TL PTS],0)+PlayerGameData[[#This Row],[VisibleOrder]]</f>
        <v>185</v>
      </c>
      <c r="AM347" s="8">
        <f ca="1">IF(COUNTIF(PlayerGameData[PointOrder],PlayerGameData[[#This Row],[PointOrder]])&gt;1,RANK(PlayerGameData[[#This Row],[FGA]],PlayerGameData[FGA],0)/100,0)+PlayerGameData[[#This Row],[PointOrder]]</f>
        <v>187.14</v>
      </c>
      <c r="AN347" s="8">
        <f ca="1">RANK(PlayerGameData[[#This Row],[PointTieBreak]],PlayerGameData[PointTieBreak],1)</f>
        <v>216</v>
      </c>
      <c r="AO347" s="8">
        <f ca="1">RANK(PlayerGameData[[#This Row],[REB]],PlayerGameData[REB],0)+PlayerGameData[[#This Row],[VisibleOrder]]</f>
        <v>192</v>
      </c>
      <c r="AP347" s="8">
        <f ca="1">IF(COUNTIF(PlayerGameData[REBOrder],PlayerGameData[[#This Row],[REBOrder]])&gt;1,PlayerGameData[[#This Row],[PointRank]]/100+PlayerGameData[[#This Row],[REBOrder]],PlayerGameData[[#This Row],[REBOrder]])</f>
        <v>194.16</v>
      </c>
      <c r="AQ347" s="8">
        <f ca="1">RANK(PlayerGameData[[#This Row],[REBTieBreak]],PlayerGameData[REBTieBreak],1)</f>
        <v>224</v>
      </c>
      <c r="AR347" s="8">
        <f ca="1">RANK(PlayerGameData[[#This Row],[AST]],PlayerGameData[AST],0)+PlayerGameData[[#This Row],[VisibleOrder]]</f>
        <v>115</v>
      </c>
      <c r="AS347" s="8">
        <f ca="1">IF(COUNTIF(PlayerGameData[ASTOrder],PlayerGameData[[#This Row],[ASTOrder]])&gt;1,PlayerGameData[[#This Row],[PointRank]]/100+PlayerGameData[[#This Row],[ASTOrder]],PlayerGameData[[#This Row],[ASTOrder]])</f>
        <v>117.16</v>
      </c>
      <c r="AT347" s="8">
        <f ca="1">RANK(PlayerGameData[[#This Row],[ASTTieBreak]],PlayerGameData[ASTTieBreak],1)</f>
        <v>152</v>
      </c>
      <c r="AU347" s="8">
        <f ca="1">RANK(PlayerGameData[[#This Row],[STL]],PlayerGameData[STL],0)+PlayerGameData[[#This Row],[VisibleOrder]]</f>
        <v>143</v>
      </c>
      <c r="AV347" s="8">
        <f ca="1">IF(COUNTIF(PlayerGameData[STLOrder],PlayerGameData[[#This Row],[STLOrder]])&gt;1,PlayerGameData[[#This Row],[PointRank]]/100+PlayerGameData[[#This Row],[STLOrder]],PlayerGameData[[#This Row],[STLOrder]])</f>
        <v>145.16</v>
      </c>
      <c r="AW347" s="8">
        <f ca="1">RANK(PlayerGameData[[#This Row],[STLTieBreak]],PlayerGameData[STLTieBreak],1)</f>
        <v>217</v>
      </c>
      <c r="AX347" s="8">
        <f ca="1">RANK(PlayerGameData[[#This Row],[BLK]],PlayerGameData[BLK],0)+PlayerGameData[[#This Row],[VisibleOrder]]</f>
        <v>32</v>
      </c>
      <c r="AY347" s="8">
        <f ca="1">IF(COUNTIF(PlayerGameData[BLKOrder],PlayerGameData[[#This Row],[BLKOrder]])&gt;1,PlayerGameData[[#This Row],[PointRank]]/100+PlayerGameData[[#This Row],[BLKOrder]],PlayerGameData[[#This Row],[BLKOrder]])</f>
        <v>34.159999999999997</v>
      </c>
      <c r="AZ347" s="8">
        <f ca="1">RANK(PlayerGameData[[#This Row],[BLKTieBreak]],PlayerGameData[BLKTieBreak],1)</f>
        <v>216</v>
      </c>
      <c r="BA347" s="11">
        <f ca="1">IFERROR(IF(PlayerGameData[[#This Row],[FGA]]&gt;$AA$5,PlayerGameData[[#This Row],[FG%*]],PlayerGameData[[#This Row],[FG%*]]*-1),-2)</f>
        <v>-2</v>
      </c>
      <c r="BB347" s="8">
        <f ca="1">RANK(PlayerGameData[[#This Row],[EligFG]],PlayerGameData[EligFG],0)+PlayerGameData[[#This Row],[VisibleOrder]]</f>
        <v>215</v>
      </c>
      <c r="BC347" s="8">
        <f ca="1">IF(COUNTIF(PlayerGameData[EligFGOrder],PlayerGameData[[#This Row],[EligFGOrder]])&gt;1,PlayerGameData[[#This Row],[PointRank]]/100+PlayerGameData[[#This Row],[EligFGOrder]],PlayerGameData[[#This Row],[EligFGOrder]])</f>
        <v>217.16</v>
      </c>
      <c r="BD347" s="8">
        <f ca="1">RANK(PlayerGameData[[#This Row],[EligFGTieBreak]],PlayerGameData[EligFGTieBreak],1)</f>
        <v>216</v>
      </c>
      <c r="BE347" s="8" t="str">
        <f>Roster!$D$3</f>
        <v>East</v>
      </c>
      <c r="BF347" s="8" t="str">
        <f>Roster!$D$2</f>
        <v>Northeast</v>
      </c>
      <c r="BG347" s="8" t="str">
        <f>Roster!$D$4</f>
        <v>North</v>
      </c>
      <c r="BH347" s="197">
        <f ca="1">IFERROR(VLOOKUP(CONCATENATE(PlayerGameData[[#This Row],[Opponent]]," ",MONTH(PlayerGameData[[#This Row],[Date]]),"/",DAY(PlayerGameData[[#This Row],[Date]]),"/",YEAR(PlayerGameData[[#This Row],[Date]])),Table35[],2,FALSE),0)</f>
        <v>1</v>
      </c>
      <c r="BI347" s="197">
        <f ca="1">IF(PlayerGameData[[#This Row],[Visible]]=1,1,1000)</f>
        <v>1</v>
      </c>
      <c r="BJ347" s="197" t="e">
        <f ca="1">_xlfn.MAXIFS(TeamGameData[Win],TeamGameData[School, Opponent,Game'#],PlayerGameData[[#This Row],[School, Opponent,Game'#]])</f>
        <v>#NAME?</v>
      </c>
      <c r="BK347" s="197" t="e">
        <f ca="1">_xlfn.MAXIFS(TeamGameData[Loss],TeamGameData[School, Opponent,Game'#],PlayerGameData[[#This Row],[School, Opponent,Game'#]])</f>
        <v>#NAME?</v>
      </c>
    </row>
    <row r="348" spans="1:63" x14ac:dyDescent="0.25">
      <c r="A348" s="8" t="str">
        <f t="shared" ca="1" si="183"/>
        <v>Carson Barritt, 14</v>
      </c>
      <c r="B348" s="8" t="str">
        <f>Roster!$B$1</f>
        <v>Upton</v>
      </c>
      <c r="C348" s="8" t="str">
        <f t="shared" ca="1" si="171"/>
        <v>Kaycee</v>
      </c>
      <c r="D348" s="10">
        <f t="shared" ca="1" si="172"/>
        <v>44960</v>
      </c>
      <c r="E348" s="8">
        <f t="shared" ca="1" si="173"/>
        <v>1</v>
      </c>
      <c r="F348" s="8">
        <f t="shared" ca="1" si="174"/>
        <v>0</v>
      </c>
      <c r="G348" s="8">
        <f t="shared" ca="1" si="175"/>
        <v>1</v>
      </c>
      <c r="H348" s="8">
        <f t="shared" ca="1" si="176"/>
        <v>0</v>
      </c>
      <c r="I348" s="8">
        <f t="shared" ca="1" si="177"/>
        <v>0</v>
      </c>
      <c r="J348" s="8">
        <f t="shared" ca="1" si="178"/>
        <v>0</v>
      </c>
      <c r="K348" s="8">
        <f t="shared" ca="1" si="179"/>
        <v>0</v>
      </c>
      <c r="L348" s="8">
        <f t="shared" ca="1" si="184"/>
        <v>0</v>
      </c>
      <c r="M348" s="8">
        <f t="shared" ca="1" si="185"/>
        <v>0</v>
      </c>
      <c r="N348" s="8">
        <f t="shared" ca="1" si="186"/>
        <v>0</v>
      </c>
      <c r="O348" s="8">
        <f t="shared" ca="1" si="187"/>
        <v>0</v>
      </c>
      <c r="P348" s="8">
        <f t="shared" ca="1" si="188"/>
        <v>0</v>
      </c>
      <c r="Q348" s="8">
        <f t="shared" ca="1" si="189"/>
        <v>0</v>
      </c>
      <c r="R348" s="8">
        <f t="shared" ca="1" si="190"/>
        <v>0</v>
      </c>
      <c r="S348" s="8">
        <f t="shared" ca="1" si="191"/>
        <v>0</v>
      </c>
      <c r="T348" s="8">
        <f t="shared" ca="1" si="192"/>
        <v>0</v>
      </c>
      <c r="U348" s="8">
        <f t="shared" ca="1" si="193"/>
        <v>0</v>
      </c>
      <c r="V348" s="8">
        <f t="shared" ca="1" si="194"/>
        <v>0</v>
      </c>
      <c r="W348" s="11" t="str">
        <f t="shared" ca="1" si="195"/>
        <v/>
      </c>
      <c r="X348" s="11" t="str">
        <f t="shared" ca="1" si="196"/>
        <v/>
      </c>
      <c r="Y348" s="11" t="str">
        <f t="shared" ca="1" si="197"/>
        <v/>
      </c>
      <c r="Z348" s="11" t="str">
        <f t="shared" ca="1" si="198"/>
        <v/>
      </c>
      <c r="AA348" s="11" t="str">
        <f t="shared" ca="1" si="199"/>
        <v/>
      </c>
      <c r="AB348" s="47">
        <f ca="1">PlayerGameData[[#This Row],[3FGA]]+PlayerGameData[[#This Row],[2FGA]]</f>
        <v>0</v>
      </c>
      <c r="AC348" s="47">
        <f ca="1">PlayerGameData[[#This Row],[OFF REB]]+PlayerGameData[[#This Row],[DEF REB]]</f>
        <v>0</v>
      </c>
      <c r="AD348" s="8">
        <f t="shared" si="180"/>
        <v>15</v>
      </c>
      <c r="AE348" s="8" t="str">
        <f t="shared" ca="1" si="181"/>
        <v>Carson Barritt, 14 - Kaycee 2/3/2023</v>
      </c>
      <c r="AF348" s="8" t="str">
        <f t="shared" ca="1" si="200"/>
        <v>R</v>
      </c>
      <c r="AG348" s="8" t="str">
        <f ca="1">IFERROR(IF(C348=0,"",IF(AND(VLOOKUP(PlayerGameData[[#This Row],[Opponent]],WYTeamInfo,2,FALSE)=Roster!$D$1,VLOOKUP(PlayerGameData[[#This Row],[Opponent]],WYTeamInfo,3,FALSE)=Roster!$D$2),"SR","")),"")</f>
        <v>SR</v>
      </c>
      <c r="AH348" s="8" t="str">
        <f>CONCATENATE(Roster!$D$1," ",Roster!$D$5)</f>
        <v>1A BB</v>
      </c>
      <c r="AI348" s="8" t="str">
        <f t="shared" ca="1" si="182"/>
        <v>Upton - Kaycee 2/3/2023</v>
      </c>
      <c r="AJ348" s="8">
        <f ca="1">IFERROR(VLOOKUP(PlayerGameData[[#This Row],[School, Opponent,Game'#]],Table3[],2,FALSE),0)</f>
        <v>1</v>
      </c>
      <c r="AK348" s="8">
        <f ca="1">IF(PlayerGameData[[#This Row],[Visible]]=1,1,1000)</f>
        <v>1</v>
      </c>
      <c r="AL348" s="8">
        <f ca="1">RANK(PlayerGameData[[#This Row],[TL PTS]],PlayerGameData[TL PTS],0)+PlayerGameData[[#This Row],[VisibleOrder]]</f>
        <v>185</v>
      </c>
      <c r="AM348" s="8">
        <f ca="1">IF(COUNTIF(PlayerGameData[PointOrder],PlayerGameData[[#This Row],[PointOrder]])&gt;1,RANK(PlayerGameData[[#This Row],[FGA]],PlayerGameData[FGA],0)/100,0)+PlayerGameData[[#This Row],[PointOrder]]</f>
        <v>187.14</v>
      </c>
      <c r="AN348" s="8">
        <f ca="1">RANK(PlayerGameData[[#This Row],[PointTieBreak]],PlayerGameData[PointTieBreak],1)</f>
        <v>216</v>
      </c>
      <c r="AO348" s="8">
        <f ca="1">RANK(PlayerGameData[[#This Row],[REB]],PlayerGameData[REB],0)+PlayerGameData[[#This Row],[VisibleOrder]]</f>
        <v>192</v>
      </c>
      <c r="AP348" s="8">
        <f ca="1">IF(COUNTIF(PlayerGameData[REBOrder],PlayerGameData[[#This Row],[REBOrder]])&gt;1,PlayerGameData[[#This Row],[PointRank]]/100+PlayerGameData[[#This Row],[REBOrder]],PlayerGameData[[#This Row],[REBOrder]])</f>
        <v>194.16</v>
      </c>
      <c r="AQ348" s="8">
        <f ca="1">RANK(PlayerGameData[[#This Row],[REBTieBreak]],PlayerGameData[REBTieBreak],1)</f>
        <v>224</v>
      </c>
      <c r="AR348" s="8">
        <f ca="1">RANK(PlayerGameData[[#This Row],[AST]],PlayerGameData[AST],0)+PlayerGameData[[#This Row],[VisibleOrder]]</f>
        <v>158</v>
      </c>
      <c r="AS348" s="8">
        <f ca="1">IF(COUNTIF(PlayerGameData[ASTOrder],PlayerGameData[[#This Row],[ASTOrder]])&gt;1,PlayerGameData[[#This Row],[PointRank]]/100+PlayerGameData[[#This Row],[ASTOrder]],PlayerGameData[[#This Row],[ASTOrder]])</f>
        <v>160.16</v>
      </c>
      <c r="AT348" s="8">
        <f ca="1">RANK(PlayerGameData[[#This Row],[ASTTieBreak]],PlayerGameData[ASTTieBreak],1)</f>
        <v>221</v>
      </c>
      <c r="AU348" s="8">
        <f ca="1">RANK(PlayerGameData[[#This Row],[STL]],PlayerGameData[STL],0)+PlayerGameData[[#This Row],[VisibleOrder]]</f>
        <v>143</v>
      </c>
      <c r="AV348" s="8">
        <f ca="1">IF(COUNTIF(PlayerGameData[STLOrder],PlayerGameData[[#This Row],[STLOrder]])&gt;1,PlayerGameData[[#This Row],[PointRank]]/100+PlayerGameData[[#This Row],[STLOrder]],PlayerGameData[[#This Row],[STLOrder]])</f>
        <v>145.16</v>
      </c>
      <c r="AW348" s="8">
        <f ca="1">RANK(PlayerGameData[[#This Row],[STLTieBreak]],PlayerGameData[STLTieBreak],1)</f>
        <v>217</v>
      </c>
      <c r="AX348" s="8">
        <f ca="1">RANK(PlayerGameData[[#This Row],[BLK]],PlayerGameData[BLK],0)+PlayerGameData[[#This Row],[VisibleOrder]]</f>
        <v>32</v>
      </c>
      <c r="AY348" s="8">
        <f ca="1">IF(COUNTIF(PlayerGameData[BLKOrder],PlayerGameData[[#This Row],[BLKOrder]])&gt;1,PlayerGameData[[#This Row],[PointRank]]/100+PlayerGameData[[#This Row],[BLKOrder]],PlayerGameData[[#This Row],[BLKOrder]])</f>
        <v>34.159999999999997</v>
      </c>
      <c r="AZ348" s="8">
        <f ca="1">RANK(PlayerGameData[[#This Row],[BLKTieBreak]],PlayerGameData[BLKTieBreak],1)</f>
        <v>216</v>
      </c>
      <c r="BA348" s="11">
        <f ca="1">IFERROR(IF(PlayerGameData[[#This Row],[FGA]]&gt;$AA$5,PlayerGameData[[#This Row],[FG%*]],PlayerGameData[[#This Row],[FG%*]]*-1),-2)</f>
        <v>-2</v>
      </c>
      <c r="BB348" s="8">
        <f ca="1">RANK(PlayerGameData[[#This Row],[EligFG]],PlayerGameData[EligFG],0)+PlayerGameData[[#This Row],[VisibleOrder]]</f>
        <v>215</v>
      </c>
      <c r="BC348" s="8">
        <f ca="1">IF(COUNTIF(PlayerGameData[EligFGOrder],PlayerGameData[[#This Row],[EligFGOrder]])&gt;1,PlayerGameData[[#This Row],[PointRank]]/100+PlayerGameData[[#This Row],[EligFGOrder]],PlayerGameData[[#This Row],[EligFGOrder]])</f>
        <v>217.16</v>
      </c>
      <c r="BD348" s="8">
        <f ca="1">RANK(PlayerGameData[[#This Row],[EligFGTieBreak]],PlayerGameData[EligFGTieBreak],1)</f>
        <v>216</v>
      </c>
      <c r="BE348" s="8" t="str">
        <f>Roster!$D$3</f>
        <v>East</v>
      </c>
      <c r="BF348" s="8" t="str">
        <f>Roster!$D$2</f>
        <v>Northeast</v>
      </c>
      <c r="BG348" s="8" t="str">
        <f>Roster!$D$4</f>
        <v>North</v>
      </c>
      <c r="BH348" s="197">
        <f ca="1">IFERROR(VLOOKUP(CONCATENATE(PlayerGameData[[#This Row],[Opponent]]," ",MONTH(PlayerGameData[[#This Row],[Date]]),"/",DAY(PlayerGameData[[#This Row],[Date]]),"/",YEAR(PlayerGameData[[#This Row],[Date]])),Table35[],2,FALSE),0)</f>
        <v>1</v>
      </c>
      <c r="BI348" s="197">
        <f ca="1">IF(PlayerGameData[[#This Row],[Visible]]=1,1,1000)</f>
        <v>1</v>
      </c>
      <c r="BJ348" s="197" t="e">
        <f ca="1">_xlfn.MAXIFS(TeamGameData[Win],TeamGameData[School, Opponent,Game'#],PlayerGameData[[#This Row],[School, Opponent,Game'#]])</f>
        <v>#NAME?</v>
      </c>
      <c r="BK348" s="197" t="e">
        <f ca="1">_xlfn.MAXIFS(TeamGameData[Loss],TeamGameData[School, Opponent,Game'#],PlayerGameData[[#This Row],[School, Opponent,Game'#]])</f>
        <v>#NAME?</v>
      </c>
    </row>
    <row r="349" spans="1:63" x14ac:dyDescent="0.25">
      <c r="A349" s="8" t="str">
        <f t="shared" ca="1" si="183"/>
        <v>Ben Carpenter, 21</v>
      </c>
      <c r="B349" s="8" t="str">
        <f>Roster!$B$1</f>
        <v>Upton</v>
      </c>
      <c r="C349" s="8" t="str">
        <f t="shared" ca="1" si="171"/>
        <v>Kaycee</v>
      </c>
      <c r="D349" s="10">
        <f t="shared" ca="1" si="172"/>
        <v>44960</v>
      </c>
      <c r="E349" s="8">
        <f t="shared" ca="1" si="173"/>
        <v>1</v>
      </c>
      <c r="F349" s="8">
        <f t="shared" ca="1" si="174"/>
        <v>0</v>
      </c>
      <c r="G349" s="8">
        <f t="shared" ca="1" si="175"/>
        <v>1</v>
      </c>
      <c r="H349" s="8">
        <f t="shared" ca="1" si="176"/>
        <v>0</v>
      </c>
      <c r="I349" s="8">
        <f t="shared" ca="1" si="177"/>
        <v>0</v>
      </c>
      <c r="J349" s="8">
        <f t="shared" ca="1" si="178"/>
        <v>0</v>
      </c>
      <c r="K349" s="8">
        <f t="shared" ca="1" si="179"/>
        <v>0</v>
      </c>
      <c r="L349" s="8">
        <f t="shared" ca="1" si="184"/>
        <v>0</v>
      </c>
      <c r="M349" s="8">
        <f t="shared" ca="1" si="185"/>
        <v>0</v>
      </c>
      <c r="N349" s="8">
        <f t="shared" ca="1" si="186"/>
        <v>0</v>
      </c>
      <c r="O349" s="8">
        <f t="shared" ca="1" si="187"/>
        <v>0</v>
      </c>
      <c r="P349" s="8">
        <f t="shared" ca="1" si="188"/>
        <v>0</v>
      </c>
      <c r="Q349" s="8">
        <f t="shared" ca="1" si="189"/>
        <v>0</v>
      </c>
      <c r="R349" s="8">
        <f t="shared" ca="1" si="190"/>
        <v>0</v>
      </c>
      <c r="S349" s="8">
        <f t="shared" ca="1" si="191"/>
        <v>0</v>
      </c>
      <c r="T349" s="8">
        <f t="shared" ca="1" si="192"/>
        <v>0</v>
      </c>
      <c r="U349" s="8">
        <f t="shared" ca="1" si="193"/>
        <v>0</v>
      </c>
      <c r="V349" s="8">
        <f t="shared" ca="1" si="194"/>
        <v>0</v>
      </c>
      <c r="W349" s="11" t="str">
        <f t="shared" ca="1" si="195"/>
        <v/>
      </c>
      <c r="X349" s="11" t="str">
        <f t="shared" ca="1" si="196"/>
        <v/>
      </c>
      <c r="Y349" s="11" t="str">
        <f t="shared" ca="1" si="197"/>
        <v/>
      </c>
      <c r="Z349" s="11" t="str">
        <f t="shared" ca="1" si="198"/>
        <v/>
      </c>
      <c r="AA349" s="11" t="str">
        <f t="shared" ca="1" si="199"/>
        <v/>
      </c>
      <c r="AB349" s="47">
        <f ca="1">PlayerGameData[[#This Row],[3FGA]]+PlayerGameData[[#This Row],[2FGA]]</f>
        <v>0</v>
      </c>
      <c r="AC349" s="47">
        <f ca="1">PlayerGameData[[#This Row],[OFF REB]]+PlayerGameData[[#This Row],[DEF REB]]</f>
        <v>0</v>
      </c>
      <c r="AD349" s="8">
        <f t="shared" si="180"/>
        <v>15</v>
      </c>
      <c r="AE349" s="8" t="str">
        <f t="shared" ca="1" si="181"/>
        <v>Ben Carpenter, 21 - Kaycee 2/3/2023</v>
      </c>
      <c r="AF349" s="8" t="str">
        <f t="shared" ca="1" si="200"/>
        <v>R</v>
      </c>
      <c r="AG349" s="8" t="str">
        <f ca="1">IFERROR(IF(C349=0,"",IF(AND(VLOOKUP(PlayerGameData[[#This Row],[Opponent]],WYTeamInfo,2,FALSE)=Roster!$D$1,VLOOKUP(PlayerGameData[[#This Row],[Opponent]],WYTeamInfo,3,FALSE)=Roster!$D$2),"SR","")),"")</f>
        <v>SR</v>
      </c>
      <c r="AH349" s="8" t="str">
        <f>CONCATENATE(Roster!$D$1," ",Roster!$D$5)</f>
        <v>1A BB</v>
      </c>
      <c r="AI349" s="8" t="str">
        <f t="shared" ca="1" si="182"/>
        <v>Upton - Kaycee 2/3/2023</v>
      </c>
      <c r="AJ349" s="8">
        <f ca="1">IFERROR(VLOOKUP(PlayerGameData[[#This Row],[School, Opponent,Game'#]],Table3[],2,FALSE),0)</f>
        <v>1</v>
      </c>
      <c r="AK349" s="8">
        <f ca="1">IF(PlayerGameData[[#This Row],[Visible]]=1,1,1000)</f>
        <v>1</v>
      </c>
      <c r="AL349" s="8">
        <f ca="1">RANK(PlayerGameData[[#This Row],[TL PTS]],PlayerGameData[TL PTS],0)+PlayerGameData[[#This Row],[VisibleOrder]]</f>
        <v>185</v>
      </c>
      <c r="AM349" s="8">
        <f ca="1">IF(COUNTIF(PlayerGameData[PointOrder],PlayerGameData[[#This Row],[PointOrder]])&gt;1,RANK(PlayerGameData[[#This Row],[FGA]],PlayerGameData[FGA],0)/100,0)+PlayerGameData[[#This Row],[PointOrder]]</f>
        <v>187.14</v>
      </c>
      <c r="AN349" s="8">
        <f ca="1">RANK(PlayerGameData[[#This Row],[PointTieBreak]],PlayerGameData[PointTieBreak],1)</f>
        <v>216</v>
      </c>
      <c r="AO349" s="8">
        <f ca="1">RANK(PlayerGameData[[#This Row],[REB]],PlayerGameData[REB],0)+PlayerGameData[[#This Row],[VisibleOrder]]</f>
        <v>192</v>
      </c>
      <c r="AP349" s="8">
        <f ca="1">IF(COUNTIF(PlayerGameData[REBOrder],PlayerGameData[[#This Row],[REBOrder]])&gt;1,PlayerGameData[[#This Row],[PointRank]]/100+PlayerGameData[[#This Row],[REBOrder]],PlayerGameData[[#This Row],[REBOrder]])</f>
        <v>194.16</v>
      </c>
      <c r="AQ349" s="8">
        <f ca="1">RANK(PlayerGameData[[#This Row],[REBTieBreak]],PlayerGameData[REBTieBreak],1)</f>
        <v>224</v>
      </c>
      <c r="AR349" s="8">
        <f ca="1">RANK(PlayerGameData[[#This Row],[AST]],PlayerGameData[AST],0)+PlayerGameData[[#This Row],[VisibleOrder]]</f>
        <v>158</v>
      </c>
      <c r="AS349" s="8">
        <f ca="1">IF(COUNTIF(PlayerGameData[ASTOrder],PlayerGameData[[#This Row],[ASTOrder]])&gt;1,PlayerGameData[[#This Row],[PointRank]]/100+PlayerGameData[[#This Row],[ASTOrder]],PlayerGameData[[#This Row],[ASTOrder]])</f>
        <v>160.16</v>
      </c>
      <c r="AT349" s="8">
        <f ca="1">RANK(PlayerGameData[[#This Row],[ASTTieBreak]],PlayerGameData[ASTTieBreak],1)</f>
        <v>221</v>
      </c>
      <c r="AU349" s="8">
        <f ca="1">RANK(PlayerGameData[[#This Row],[STL]],PlayerGameData[STL],0)+PlayerGameData[[#This Row],[VisibleOrder]]</f>
        <v>143</v>
      </c>
      <c r="AV349" s="8">
        <f ca="1">IF(COUNTIF(PlayerGameData[STLOrder],PlayerGameData[[#This Row],[STLOrder]])&gt;1,PlayerGameData[[#This Row],[PointRank]]/100+PlayerGameData[[#This Row],[STLOrder]],PlayerGameData[[#This Row],[STLOrder]])</f>
        <v>145.16</v>
      </c>
      <c r="AW349" s="8">
        <f ca="1">RANK(PlayerGameData[[#This Row],[STLTieBreak]],PlayerGameData[STLTieBreak],1)</f>
        <v>217</v>
      </c>
      <c r="AX349" s="8">
        <f ca="1">RANK(PlayerGameData[[#This Row],[BLK]],PlayerGameData[BLK],0)+PlayerGameData[[#This Row],[VisibleOrder]]</f>
        <v>32</v>
      </c>
      <c r="AY349" s="8">
        <f ca="1">IF(COUNTIF(PlayerGameData[BLKOrder],PlayerGameData[[#This Row],[BLKOrder]])&gt;1,PlayerGameData[[#This Row],[PointRank]]/100+PlayerGameData[[#This Row],[BLKOrder]],PlayerGameData[[#This Row],[BLKOrder]])</f>
        <v>34.159999999999997</v>
      </c>
      <c r="AZ349" s="8">
        <f ca="1">RANK(PlayerGameData[[#This Row],[BLKTieBreak]],PlayerGameData[BLKTieBreak],1)</f>
        <v>216</v>
      </c>
      <c r="BA349" s="11">
        <f ca="1">IFERROR(IF(PlayerGameData[[#This Row],[FGA]]&gt;$AA$5,PlayerGameData[[#This Row],[FG%*]],PlayerGameData[[#This Row],[FG%*]]*-1),-2)</f>
        <v>-2</v>
      </c>
      <c r="BB349" s="8">
        <f ca="1">RANK(PlayerGameData[[#This Row],[EligFG]],PlayerGameData[EligFG],0)+PlayerGameData[[#This Row],[VisibleOrder]]</f>
        <v>215</v>
      </c>
      <c r="BC349" s="8">
        <f ca="1">IF(COUNTIF(PlayerGameData[EligFGOrder],PlayerGameData[[#This Row],[EligFGOrder]])&gt;1,PlayerGameData[[#This Row],[PointRank]]/100+PlayerGameData[[#This Row],[EligFGOrder]],PlayerGameData[[#This Row],[EligFGOrder]])</f>
        <v>217.16</v>
      </c>
      <c r="BD349" s="8">
        <f ca="1">RANK(PlayerGameData[[#This Row],[EligFGTieBreak]],PlayerGameData[EligFGTieBreak],1)</f>
        <v>216</v>
      </c>
      <c r="BE349" s="8" t="str">
        <f>Roster!$D$3</f>
        <v>East</v>
      </c>
      <c r="BF349" s="8" t="str">
        <f>Roster!$D$2</f>
        <v>Northeast</v>
      </c>
      <c r="BG349" s="8" t="str">
        <f>Roster!$D$4</f>
        <v>North</v>
      </c>
      <c r="BH349" s="197">
        <f ca="1">IFERROR(VLOOKUP(CONCATENATE(PlayerGameData[[#This Row],[Opponent]]," ",MONTH(PlayerGameData[[#This Row],[Date]]),"/",DAY(PlayerGameData[[#This Row],[Date]]),"/",YEAR(PlayerGameData[[#This Row],[Date]])),Table35[],2,FALSE),0)</f>
        <v>1</v>
      </c>
      <c r="BI349" s="197">
        <f ca="1">IF(PlayerGameData[[#This Row],[Visible]]=1,1,1000)</f>
        <v>1</v>
      </c>
      <c r="BJ349" s="197" t="e">
        <f ca="1">_xlfn.MAXIFS(TeamGameData[Win],TeamGameData[School, Opponent,Game'#],PlayerGameData[[#This Row],[School, Opponent,Game'#]])</f>
        <v>#NAME?</v>
      </c>
      <c r="BK349" s="197" t="e">
        <f ca="1">_xlfn.MAXIFS(TeamGameData[Loss],TeamGameData[School, Opponent,Game'#],PlayerGameData[[#This Row],[School, Opponent,Game'#]])</f>
        <v>#NAME?</v>
      </c>
    </row>
    <row r="350" spans="1:63" x14ac:dyDescent="0.25">
      <c r="A350" s="8" t="str">
        <f t="shared" ca="1" si="183"/>
        <v>Ethan Schiller, 23</v>
      </c>
      <c r="B350" s="8" t="str">
        <f>Roster!$B$1</f>
        <v>Upton</v>
      </c>
      <c r="C350" s="8" t="str">
        <f t="shared" ca="1" si="171"/>
        <v>Kaycee</v>
      </c>
      <c r="D350" s="10">
        <f t="shared" ca="1" si="172"/>
        <v>44960</v>
      </c>
      <c r="E350" s="8">
        <f t="shared" ca="1" si="173"/>
        <v>1</v>
      </c>
      <c r="F350" s="8">
        <f t="shared" ca="1" si="174"/>
        <v>1</v>
      </c>
      <c r="G350" s="8">
        <f t="shared" ca="1" si="175"/>
        <v>19</v>
      </c>
      <c r="H350" s="8">
        <f t="shared" ca="1" si="176"/>
        <v>0</v>
      </c>
      <c r="I350" s="8">
        <f t="shared" ca="1" si="177"/>
        <v>1</v>
      </c>
      <c r="J350" s="8">
        <f t="shared" ca="1" si="178"/>
        <v>4</v>
      </c>
      <c r="K350" s="8">
        <f t="shared" ca="1" si="179"/>
        <v>5</v>
      </c>
      <c r="L350" s="8">
        <f t="shared" ca="1" si="184"/>
        <v>1</v>
      </c>
      <c r="M350" s="8">
        <f t="shared" ca="1" si="185"/>
        <v>1</v>
      </c>
      <c r="N350" s="8">
        <f t="shared" ca="1" si="186"/>
        <v>2</v>
      </c>
      <c r="O350" s="8">
        <f t="shared" ca="1" si="187"/>
        <v>5</v>
      </c>
      <c r="P350" s="8">
        <f t="shared" ca="1" si="188"/>
        <v>2</v>
      </c>
      <c r="Q350" s="8">
        <f t="shared" ca="1" si="189"/>
        <v>2</v>
      </c>
      <c r="R350" s="8">
        <f t="shared" ca="1" si="190"/>
        <v>1</v>
      </c>
      <c r="S350" s="8">
        <f t="shared" ca="1" si="191"/>
        <v>2</v>
      </c>
      <c r="T350" s="8">
        <f t="shared" ca="1" si="192"/>
        <v>3</v>
      </c>
      <c r="U350" s="8">
        <f t="shared" ca="1" si="193"/>
        <v>0</v>
      </c>
      <c r="V350" s="8">
        <f t="shared" ca="1" si="194"/>
        <v>9</v>
      </c>
      <c r="W350" s="11">
        <f t="shared" ca="1" si="195"/>
        <v>0</v>
      </c>
      <c r="X350" s="11">
        <f t="shared" ca="1" si="196"/>
        <v>0.8</v>
      </c>
      <c r="Y350" s="11">
        <f t="shared" ca="1" si="197"/>
        <v>1</v>
      </c>
      <c r="Z350" s="11">
        <f t="shared" ca="1" si="198"/>
        <v>0.66666666666666663</v>
      </c>
      <c r="AA350" s="11">
        <f t="shared" ca="1" si="199"/>
        <v>0.66666666666666663</v>
      </c>
      <c r="AB350" s="47">
        <f ca="1">PlayerGameData[[#This Row],[3FGA]]+PlayerGameData[[#This Row],[2FGA]]</f>
        <v>6</v>
      </c>
      <c r="AC350" s="47">
        <f ca="1">PlayerGameData[[#This Row],[OFF REB]]+PlayerGameData[[#This Row],[DEF REB]]</f>
        <v>7</v>
      </c>
      <c r="AD350" s="8">
        <f t="shared" si="180"/>
        <v>15</v>
      </c>
      <c r="AE350" s="8" t="str">
        <f t="shared" ca="1" si="181"/>
        <v>Ethan Schiller, 23 - Kaycee 2/3/2023</v>
      </c>
      <c r="AF350" s="8" t="str">
        <f t="shared" ca="1" si="200"/>
        <v>R</v>
      </c>
      <c r="AG350" s="8" t="str">
        <f ca="1">IFERROR(IF(C350=0,"",IF(AND(VLOOKUP(PlayerGameData[[#This Row],[Opponent]],WYTeamInfo,2,FALSE)=Roster!$D$1,VLOOKUP(PlayerGameData[[#This Row],[Opponent]],WYTeamInfo,3,FALSE)=Roster!$D$2),"SR","")),"")</f>
        <v>SR</v>
      </c>
      <c r="AH350" s="8" t="str">
        <f>CONCATENATE(Roster!$D$1," ",Roster!$D$5)</f>
        <v>1A BB</v>
      </c>
      <c r="AI350" s="8" t="str">
        <f t="shared" ca="1" si="182"/>
        <v>Upton - Kaycee 2/3/2023</v>
      </c>
      <c r="AJ350" s="8">
        <f ca="1">IFERROR(VLOOKUP(PlayerGameData[[#This Row],[School, Opponent,Game'#]],Table3[],2,FALSE),0)</f>
        <v>1</v>
      </c>
      <c r="AK350" s="8">
        <f ca="1">IF(PlayerGameData[[#This Row],[Visible]]=1,1,1000)</f>
        <v>1</v>
      </c>
      <c r="AL350" s="8">
        <f ca="1">RANK(PlayerGameData[[#This Row],[TL PTS]],PlayerGameData[TL PTS],0)+PlayerGameData[[#This Row],[VisibleOrder]]</f>
        <v>75</v>
      </c>
      <c r="AM350" s="8">
        <f ca="1">IF(COUNTIF(PlayerGameData[PointOrder],PlayerGameData[[#This Row],[PointOrder]])&gt;1,RANK(PlayerGameData[[#This Row],[FGA]],PlayerGameData[FGA],0)/100,0)+PlayerGameData[[#This Row],[PointOrder]]</f>
        <v>76.08</v>
      </c>
      <c r="AN350" s="8">
        <f ca="1">RANK(PlayerGameData[[#This Row],[PointTieBreak]],PlayerGameData[PointTieBreak],1)</f>
        <v>79</v>
      </c>
      <c r="AO350" s="8">
        <f ca="1">RANK(PlayerGameData[[#This Row],[REB]],PlayerGameData[REB],0)+PlayerGameData[[#This Row],[VisibleOrder]]</f>
        <v>29</v>
      </c>
      <c r="AP350" s="8">
        <f ca="1">IF(COUNTIF(PlayerGameData[REBOrder],PlayerGameData[[#This Row],[REBOrder]])&gt;1,PlayerGameData[[#This Row],[PointRank]]/100+PlayerGameData[[#This Row],[REBOrder]],PlayerGameData[[#This Row],[REBOrder]])</f>
        <v>29.79</v>
      </c>
      <c r="AQ350" s="8">
        <f ca="1">RANK(PlayerGameData[[#This Row],[REBTieBreak]],PlayerGameData[REBTieBreak],1)</f>
        <v>32</v>
      </c>
      <c r="AR350" s="8">
        <f ca="1">RANK(PlayerGameData[[#This Row],[AST]],PlayerGameData[AST],0)+PlayerGameData[[#This Row],[VisibleOrder]]</f>
        <v>69</v>
      </c>
      <c r="AS350" s="8">
        <f ca="1">IF(COUNTIF(PlayerGameData[ASTOrder],PlayerGameData[[#This Row],[ASTOrder]])&gt;1,PlayerGameData[[#This Row],[PointRank]]/100+PlayerGameData[[#This Row],[ASTOrder]],PlayerGameData[[#This Row],[ASTOrder]])</f>
        <v>69.790000000000006</v>
      </c>
      <c r="AT350" s="8">
        <f ca="1">RANK(PlayerGameData[[#This Row],[ASTTieBreak]],PlayerGameData[ASTTieBreak],1)</f>
        <v>85</v>
      </c>
      <c r="AU350" s="8">
        <f ca="1">RANK(PlayerGameData[[#This Row],[STL]],PlayerGameData[STL],0)+PlayerGameData[[#This Row],[VisibleOrder]]</f>
        <v>48</v>
      </c>
      <c r="AV350" s="8">
        <f ca="1">IF(COUNTIF(PlayerGameData[STLOrder],PlayerGameData[[#This Row],[STLOrder]])&gt;1,PlayerGameData[[#This Row],[PointRank]]/100+PlayerGameData[[#This Row],[STLOrder]],PlayerGameData[[#This Row],[STLOrder]])</f>
        <v>48.79</v>
      </c>
      <c r="AW350" s="8">
        <f ca="1">RANK(PlayerGameData[[#This Row],[STLTieBreak]],PlayerGameData[STLTieBreak],1)</f>
        <v>65</v>
      </c>
      <c r="AX350" s="8">
        <f ca="1">RANK(PlayerGameData[[#This Row],[BLK]],PlayerGameData[BLK],0)+PlayerGameData[[#This Row],[VisibleOrder]]</f>
        <v>11</v>
      </c>
      <c r="AY350" s="8">
        <f ca="1">IF(COUNTIF(PlayerGameData[BLKOrder],PlayerGameData[[#This Row],[BLKOrder]])&gt;1,PlayerGameData[[#This Row],[PointRank]]/100+PlayerGameData[[#This Row],[BLKOrder]],PlayerGameData[[#This Row],[BLKOrder]])</f>
        <v>11.79</v>
      </c>
      <c r="AZ350" s="8">
        <f ca="1">RANK(PlayerGameData[[#This Row],[BLKTieBreak]],PlayerGameData[BLKTieBreak],1)</f>
        <v>19</v>
      </c>
      <c r="BA350" s="11">
        <f ca="1">IFERROR(IF(PlayerGameData[[#This Row],[FGA]]&gt;$AA$5,PlayerGameData[[#This Row],[FG%*]],PlayerGameData[[#This Row],[FG%*]]*-1),-2)</f>
        <v>0.66666666666666663</v>
      </c>
      <c r="BB350" s="8">
        <f ca="1">RANK(PlayerGameData[[#This Row],[EligFG]],PlayerGameData[EligFG],0)+PlayerGameData[[#This Row],[VisibleOrder]]</f>
        <v>13</v>
      </c>
      <c r="BC350" s="8">
        <f ca="1">IF(COUNTIF(PlayerGameData[EligFGOrder],PlayerGameData[[#This Row],[EligFGOrder]])&gt;1,PlayerGameData[[#This Row],[PointRank]]/100+PlayerGameData[[#This Row],[EligFGOrder]],PlayerGameData[[#This Row],[EligFGOrder]])</f>
        <v>13.79</v>
      </c>
      <c r="BD350" s="8">
        <f ca="1">RANK(PlayerGameData[[#This Row],[EligFGTieBreak]],PlayerGameData[EligFGTieBreak],1)</f>
        <v>15</v>
      </c>
      <c r="BE350" s="8" t="str">
        <f>Roster!$D$3</f>
        <v>East</v>
      </c>
      <c r="BF350" s="8" t="str">
        <f>Roster!$D$2</f>
        <v>Northeast</v>
      </c>
      <c r="BG350" s="8" t="str">
        <f>Roster!$D$4</f>
        <v>North</v>
      </c>
      <c r="BH350" s="197">
        <f ca="1">IFERROR(VLOOKUP(CONCATENATE(PlayerGameData[[#This Row],[Opponent]]," ",MONTH(PlayerGameData[[#This Row],[Date]]),"/",DAY(PlayerGameData[[#This Row],[Date]]),"/",YEAR(PlayerGameData[[#This Row],[Date]])),Table35[],2,FALSE),0)</f>
        <v>1</v>
      </c>
      <c r="BI350" s="197">
        <f ca="1">IF(PlayerGameData[[#This Row],[Visible]]=1,1,1000)</f>
        <v>1</v>
      </c>
      <c r="BJ350" s="197" t="e">
        <f ca="1">_xlfn.MAXIFS(TeamGameData[Win],TeamGameData[School, Opponent,Game'#],PlayerGameData[[#This Row],[School, Opponent,Game'#]])</f>
        <v>#NAME?</v>
      </c>
      <c r="BK350" s="197" t="e">
        <f ca="1">_xlfn.MAXIFS(TeamGameData[Loss],TeamGameData[School, Opponent,Game'#],PlayerGameData[[#This Row],[School, Opponent,Game'#]])</f>
        <v>#NAME?</v>
      </c>
    </row>
    <row r="351" spans="1:63" x14ac:dyDescent="0.25">
      <c r="A351" s="8" t="str">
        <f t="shared" ca="1" si="183"/>
        <v>Bridger Bruce, 25</v>
      </c>
      <c r="B351" s="8" t="str">
        <f>Roster!$B$1</f>
        <v>Upton</v>
      </c>
      <c r="C351" s="8" t="str">
        <f t="shared" ca="1" si="171"/>
        <v>Kaycee</v>
      </c>
      <c r="D351" s="10">
        <f t="shared" ca="1" si="172"/>
        <v>44960</v>
      </c>
      <c r="E351" s="8">
        <f t="shared" ca="1" si="173"/>
        <v>1</v>
      </c>
      <c r="F351" s="8">
        <f t="shared" ca="1" si="174"/>
        <v>0</v>
      </c>
      <c r="G351" s="8">
        <f t="shared" ca="1" si="175"/>
        <v>21</v>
      </c>
      <c r="H351" s="8">
        <f t="shared" ca="1" si="176"/>
        <v>2</v>
      </c>
      <c r="I351" s="8">
        <f t="shared" ca="1" si="177"/>
        <v>4</v>
      </c>
      <c r="J351" s="8">
        <f t="shared" ca="1" si="178"/>
        <v>3</v>
      </c>
      <c r="K351" s="8">
        <f t="shared" ca="1" si="179"/>
        <v>4</v>
      </c>
      <c r="L351" s="8">
        <f t="shared" ca="1" si="184"/>
        <v>2</v>
      </c>
      <c r="M351" s="8">
        <f t="shared" ca="1" si="185"/>
        <v>4</v>
      </c>
      <c r="N351" s="8">
        <f t="shared" ca="1" si="186"/>
        <v>1</v>
      </c>
      <c r="O351" s="8">
        <f t="shared" ca="1" si="187"/>
        <v>1</v>
      </c>
      <c r="P351" s="8">
        <f t="shared" ca="1" si="188"/>
        <v>1</v>
      </c>
      <c r="Q351" s="8">
        <f t="shared" ca="1" si="189"/>
        <v>0</v>
      </c>
      <c r="R351" s="8">
        <f t="shared" ca="1" si="190"/>
        <v>0</v>
      </c>
      <c r="S351" s="8">
        <f t="shared" ca="1" si="191"/>
        <v>2</v>
      </c>
      <c r="T351" s="8">
        <f t="shared" ca="1" si="192"/>
        <v>1</v>
      </c>
      <c r="U351" s="8">
        <f t="shared" ca="1" si="193"/>
        <v>0</v>
      </c>
      <c r="V351" s="8">
        <f t="shared" ca="1" si="194"/>
        <v>14</v>
      </c>
      <c r="W351" s="11">
        <f t="shared" ca="1" si="195"/>
        <v>0.5</v>
      </c>
      <c r="X351" s="11">
        <f t="shared" ca="1" si="196"/>
        <v>0.75</v>
      </c>
      <c r="Y351" s="11">
        <f t="shared" ca="1" si="197"/>
        <v>0.5</v>
      </c>
      <c r="Z351" s="11">
        <f t="shared" ca="1" si="198"/>
        <v>0.625</v>
      </c>
      <c r="AA351" s="11">
        <f t="shared" ca="1" si="199"/>
        <v>0.75</v>
      </c>
      <c r="AB351" s="47">
        <f ca="1">PlayerGameData[[#This Row],[3FGA]]+PlayerGameData[[#This Row],[2FGA]]</f>
        <v>8</v>
      </c>
      <c r="AC351" s="47">
        <f ca="1">PlayerGameData[[#This Row],[OFF REB]]+PlayerGameData[[#This Row],[DEF REB]]</f>
        <v>2</v>
      </c>
      <c r="AD351" s="8">
        <f t="shared" si="180"/>
        <v>15</v>
      </c>
      <c r="AE351" s="8" t="str">
        <f t="shared" ca="1" si="181"/>
        <v>Bridger Bruce, 25 - Kaycee 2/3/2023</v>
      </c>
      <c r="AF351" s="8" t="str">
        <f t="shared" ca="1" si="200"/>
        <v>R</v>
      </c>
      <c r="AG351" s="8" t="str">
        <f ca="1">IFERROR(IF(C351=0,"",IF(AND(VLOOKUP(PlayerGameData[[#This Row],[Opponent]],WYTeamInfo,2,FALSE)=Roster!$D$1,VLOOKUP(PlayerGameData[[#This Row],[Opponent]],WYTeamInfo,3,FALSE)=Roster!$D$2),"SR","")),"")</f>
        <v>SR</v>
      </c>
      <c r="AH351" s="8" t="str">
        <f>CONCATENATE(Roster!$D$1," ",Roster!$D$5)</f>
        <v>1A BB</v>
      </c>
      <c r="AI351" s="8" t="str">
        <f t="shared" ca="1" si="182"/>
        <v>Upton - Kaycee 2/3/2023</v>
      </c>
      <c r="AJ351" s="8">
        <f ca="1">IFERROR(VLOOKUP(PlayerGameData[[#This Row],[School, Opponent,Game'#]],Table3[],2,FALSE),0)</f>
        <v>1</v>
      </c>
      <c r="AK351" s="8">
        <f ca="1">IF(PlayerGameData[[#This Row],[Visible]]=1,1,1000)</f>
        <v>1</v>
      </c>
      <c r="AL351" s="8">
        <f ca="1">RANK(PlayerGameData[[#This Row],[TL PTS]],PlayerGameData[TL PTS],0)+PlayerGameData[[#This Row],[VisibleOrder]]</f>
        <v>36</v>
      </c>
      <c r="AM351" s="8">
        <f ca="1">IF(COUNTIF(PlayerGameData[PointOrder],PlayerGameData[[#This Row],[PointOrder]])&gt;1,RANK(PlayerGameData[[#This Row],[FGA]],PlayerGameData[FGA],0)/100,0)+PlayerGameData[[#This Row],[PointOrder]]</f>
        <v>36.76</v>
      </c>
      <c r="AN351" s="8">
        <f ca="1">RANK(PlayerGameData[[#This Row],[PointTieBreak]],PlayerGameData[PointTieBreak],1)</f>
        <v>41</v>
      </c>
      <c r="AO351" s="8">
        <f ca="1">RANK(PlayerGameData[[#This Row],[REB]],PlayerGameData[REB],0)+PlayerGameData[[#This Row],[VisibleOrder]]</f>
        <v>137</v>
      </c>
      <c r="AP351" s="8">
        <f ca="1">IF(COUNTIF(PlayerGameData[REBOrder],PlayerGameData[[#This Row],[REBOrder]])&gt;1,PlayerGameData[[#This Row],[PointRank]]/100+PlayerGameData[[#This Row],[REBOrder]],PlayerGameData[[#This Row],[REBOrder]])</f>
        <v>137.41</v>
      </c>
      <c r="AQ351" s="8">
        <f ca="1">RANK(PlayerGameData[[#This Row],[REBTieBreak]],PlayerGameData[REBTieBreak],1)</f>
        <v>138</v>
      </c>
      <c r="AR351" s="8">
        <f ca="1">RANK(PlayerGameData[[#This Row],[AST]],PlayerGameData[AST],0)+PlayerGameData[[#This Row],[VisibleOrder]]</f>
        <v>115</v>
      </c>
      <c r="AS351" s="8">
        <f ca="1">IF(COUNTIF(PlayerGameData[ASTOrder],PlayerGameData[[#This Row],[ASTOrder]])&gt;1,PlayerGameData[[#This Row],[PointRank]]/100+PlayerGameData[[#This Row],[ASTOrder]],PlayerGameData[[#This Row],[ASTOrder]])</f>
        <v>115.41</v>
      </c>
      <c r="AT351" s="8">
        <f ca="1">RANK(PlayerGameData[[#This Row],[ASTTieBreak]],PlayerGameData[ASTTieBreak],1)</f>
        <v>118</v>
      </c>
      <c r="AU351" s="8">
        <f ca="1">RANK(PlayerGameData[[#This Row],[STL]],PlayerGameData[STL],0)+PlayerGameData[[#This Row],[VisibleOrder]]</f>
        <v>143</v>
      </c>
      <c r="AV351" s="8">
        <f ca="1">IF(COUNTIF(PlayerGameData[STLOrder],PlayerGameData[[#This Row],[STLOrder]])&gt;1,PlayerGameData[[#This Row],[PointRank]]/100+PlayerGameData[[#This Row],[STLOrder]],PlayerGameData[[#This Row],[STLOrder]])</f>
        <v>143.41</v>
      </c>
      <c r="AW351" s="8">
        <f ca="1">RANK(PlayerGameData[[#This Row],[STLTieBreak]],PlayerGameData[STLTieBreak],1)</f>
        <v>149</v>
      </c>
      <c r="AX351" s="8">
        <f ca="1">RANK(PlayerGameData[[#This Row],[BLK]],PlayerGameData[BLK],0)+PlayerGameData[[#This Row],[VisibleOrder]]</f>
        <v>32</v>
      </c>
      <c r="AY351" s="8">
        <f ca="1">IF(COUNTIF(PlayerGameData[BLKOrder],PlayerGameData[[#This Row],[BLKOrder]])&gt;1,PlayerGameData[[#This Row],[PointRank]]/100+PlayerGameData[[#This Row],[BLKOrder]],PlayerGameData[[#This Row],[BLKOrder]])</f>
        <v>32.409999999999997</v>
      </c>
      <c r="AZ351" s="8">
        <f ca="1">RANK(PlayerGameData[[#This Row],[BLKTieBreak]],PlayerGameData[BLKTieBreak],1)</f>
        <v>63</v>
      </c>
      <c r="BA351" s="11">
        <f ca="1">IFERROR(IF(PlayerGameData[[#This Row],[FGA]]&gt;$AA$5,PlayerGameData[[#This Row],[FG%*]],PlayerGameData[[#This Row],[FG%*]]*-1),-2)</f>
        <v>0.625</v>
      </c>
      <c r="BB351" s="8">
        <f ca="1">RANK(PlayerGameData[[#This Row],[EligFG]],PlayerGameData[EligFG],0)+PlayerGameData[[#This Row],[VisibleOrder]]</f>
        <v>17</v>
      </c>
      <c r="BC351" s="8">
        <f ca="1">IF(COUNTIF(PlayerGameData[EligFGOrder],PlayerGameData[[#This Row],[EligFGOrder]])&gt;1,PlayerGameData[[#This Row],[PointRank]]/100+PlayerGameData[[#This Row],[EligFGOrder]],PlayerGameData[[#This Row],[EligFGOrder]])</f>
        <v>17.41</v>
      </c>
      <c r="BD351" s="8">
        <f ca="1">RANK(PlayerGameData[[#This Row],[EligFGTieBreak]],PlayerGameData[EligFGTieBreak],1)</f>
        <v>16</v>
      </c>
      <c r="BE351" s="8" t="str">
        <f>Roster!$D$3</f>
        <v>East</v>
      </c>
      <c r="BF351" s="8" t="str">
        <f>Roster!$D$2</f>
        <v>Northeast</v>
      </c>
      <c r="BG351" s="8" t="str">
        <f>Roster!$D$4</f>
        <v>North</v>
      </c>
      <c r="BH351" s="197">
        <f ca="1">IFERROR(VLOOKUP(CONCATENATE(PlayerGameData[[#This Row],[Opponent]]," ",MONTH(PlayerGameData[[#This Row],[Date]]),"/",DAY(PlayerGameData[[#This Row],[Date]]),"/",YEAR(PlayerGameData[[#This Row],[Date]])),Table35[],2,FALSE),0)</f>
        <v>1</v>
      </c>
      <c r="BI351" s="197">
        <f ca="1">IF(PlayerGameData[[#This Row],[Visible]]=1,1,1000)</f>
        <v>1</v>
      </c>
      <c r="BJ351" s="197" t="e">
        <f ca="1">_xlfn.MAXIFS(TeamGameData[Win],TeamGameData[School, Opponent,Game'#],PlayerGameData[[#This Row],[School, Opponent,Game'#]])</f>
        <v>#NAME?</v>
      </c>
      <c r="BK351" s="197" t="e">
        <f ca="1">_xlfn.MAXIFS(TeamGameData[Loss],TeamGameData[School, Opponent,Game'#],PlayerGameData[[#This Row],[School, Opponent,Game'#]])</f>
        <v>#NAME?</v>
      </c>
    </row>
    <row r="352" spans="1:63" x14ac:dyDescent="0.25">
      <c r="A352" s="8" t="str">
        <f t="shared" ca="1" si="183"/>
        <v>Kailer Duarte, 31</v>
      </c>
      <c r="B352" s="8" t="str">
        <f>Roster!$B$1</f>
        <v>Upton</v>
      </c>
      <c r="C352" s="8" t="str">
        <f t="shared" ca="1" si="171"/>
        <v>Kaycee</v>
      </c>
      <c r="D352" s="10">
        <f t="shared" ca="1" si="172"/>
        <v>44960</v>
      </c>
      <c r="E352" s="8">
        <f t="shared" ca="1" si="173"/>
        <v>1</v>
      </c>
      <c r="F352" s="8">
        <f t="shared" ca="1" si="174"/>
        <v>0</v>
      </c>
      <c r="G352" s="8">
        <f t="shared" ca="1" si="175"/>
        <v>21</v>
      </c>
      <c r="H352" s="8">
        <f t="shared" ca="1" si="176"/>
        <v>1</v>
      </c>
      <c r="I352" s="8">
        <f t="shared" ca="1" si="177"/>
        <v>3</v>
      </c>
      <c r="J352" s="8">
        <f t="shared" ca="1" si="178"/>
        <v>6</v>
      </c>
      <c r="K352" s="8">
        <f t="shared" ca="1" si="179"/>
        <v>9</v>
      </c>
      <c r="L352" s="8">
        <f t="shared" ca="1" si="184"/>
        <v>2</v>
      </c>
      <c r="M352" s="8">
        <f t="shared" ca="1" si="185"/>
        <v>4</v>
      </c>
      <c r="N352" s="8">
        <f t="shared" ca="1" si="186"/>
        <v>2</v>
      </c>
      <c r="O352" s="8">
        <f t="shared" ca="1" si="187"/>
        <v>3</v>
      </c>
      <c r="P352" s="8">
        <f t="shared" ca="1" si="188"/>
        <v>4</v>
      </c>
      <c r="Q352" s="8">
        <f t="shared" ca="1" si="189"/>
        <v>0</v>
      </c>
      <c r="R352" s="8">
        <f t="shared" ca="1" si="190"/>
        <v>0</v>
      </c>
      <c r="S352" s="8">
        <f t="shared" ca="1" si="191"/>
        <v>1</v>
      </c>
      <c r="T352" s="8">
        <f t="shared" ca="1" si="192"/>
        <v>2</v>
      </c>
      <c r="U352" s="8">
        <f t="shared" ca="1" si="193"/>
        <v>0</v>
      </c>
      <c r="V352" s="8">
        <f t="shared" ca="1" si="194"/>
        <v>17</v>
      </c>
      <c r="W352" s="11">
        <f t="shared" ca="1" si="195"/>
        <v>0.33333333333333331</v>
      </c>
      <c r="X352" s="11">
        <f t="shared" ca="1" si="196"/>
        <v>0.66666666666666663</v>
      </c>
      <c r="Y352" s="11">
        <f t="shared" ca="1" si="197"/>
        <v>0.5</v>
      </c>
      <c r="Z352" s="11">
        <f t="shared" ca="1" si="198"/>
        <v>0.58333333333333337</v>
      </c>
      <c r="AA352" s="11">
        <f t="shared" ca="1" si="199"/>
        <v>0.625</v>
      </c>
      <c r="AB352" s="47">
        <f ca="1">PlayerGameData[[#This Row],[3FGA]]+PlayerGameData[[#This Row],[2FGA]]</f>
        <v>12</v>
      </c>
      <c r="AC352" s="47">
        <f ca="1">PlayerGameData[[#This Row],[OFF REB]]+PlayerGameData[[#This Row],[DEF REB]]</f>
        <v>5</v>
      </c>
      <c r="AD352" s="8">
        <f t="shared" si="180"/>
        <v>15</v>
      </c>
      <c r="AE352" s="8" t="str">
        <f t="shared" ca="1" si="181"/>
        <v>Kailer Duarte, 31 - Kaycee 2/3/2023</v>
      </c>
      <c r="AF352" s="8" t="str">
        <f t="shared" ca="1" si="200"/>
        <v>R</v>
      </c>
      <c r="AG352" s="8" t="str">
        <f ca="1">IFERROR(IF(C352=0,"",IF(AND(VLOOKUP(PlayerGameData[[#This Row],[Opponent]],WYTeamInfo,2,FALSE)=Roster!$D$1,VLOOKUP(PlayerGameData[[#This Row],[Opponent]],WYTeamInfo,3,FALSE)=Roster!$D$2),"SR","")),"")</f>
        <v>SR</v>
      </c>
      <c r="AH352" s="8" t="str">
        <f>CONCATENATE(Roster!$D$1," ",Roster!$D$5)</f>
        <v>1A BB</v>
      </c>
      <c r="AI352" s="8" t="str">
        <f t="shared" ca="1" si="182"/>
        <v>Upton - Kaycee 2/3/2023</v>
      </c>
      <c r="AJ352" s="8">
        <f ca="1">IFERROR(VLOOKUP(PlayerGameData[[#This Row],[School, Opponent,Game'#]],Table3[],2,FALSE),0)</f>
        <v>1</v>
      </c>
      <c r="AK352" s="8">
        <f ca="1">IF(PlayerGameData[[#This Row],[Visible]]=1,1,1000)</f>
        <v>1</v>
      </c>
      <c r="AL352" s="8">
        <f ca="1">RANK(PlayerGameData[[#This Row],[TL PTS]],PlayerGameData[TL PTS],0)+PlayerGameData[[#This Row],[VisibleOrder]]</f>
        <v>18</v>
      </c>
      <c r="AM352" s="8">
        <f ca="1">IF(COUNTIF(PlayerGameData[PointOrder],PlayerGameData[[#This Row],[PointOrder]])&gt;1,RANK(PlayerGameData[[#This Row],[FGA]],PlayerGameData[FGA],0)/100,0)+PlayerGameData[[#This Row],[PointOrder]]</f>
        <v>18.25</v>
      </c>
      <c r="AN352" s="8">
        <f ca="1">RANK(PlayerGameData[[#This Row],[PointTieBreak]],PlayerGameData[PointTieBreak],1)</f>
        <v>20</v>
      </c>
      <c r="AO352" s="8">
        <f ca="1">RANK(PlayerGameData[[#This Row],[REB]],PlayerGameData[REB],0)+PlayerGameData[[#This Row],[VisibleOrder]]</f>
        <v>52</v>
      </c>
      <c r="AP352" s="8">
        <f ca="1">IF(COUNTIF(PlayerGameData[REBOrder],PlayerGameData[[#This Row],[REBOrder]])&gt;1,PlayerGameData[[#This Row],[PointRank]]/100+PlayerGameData[[#This Row],[REBOrder]],PlayerGameData[[#This Row],[REBOrder]])</f>
        <v>52.2</v>
      </c>
      <c r="AQ352" s="8">
        <f ca="1">RANK(PlayerGameData[[#This Row],[REBTieBreak]],PlayerGameData[REBTieBreak],1)</f>
        <v>55</v>
      </c>
      <c r="AR352" s="8">
        <f ca="1">RANK(PlayerGameData[[#This Row],[AST]],PlayerGameData[AST],0)+PlayerGameData[[#This Row],[VisibleOrder]]</f>
        <v>24</v>
      </c>
      <c r="AS352" s="8">
        <f ca="1">IF(COUNTIF(PlayerGameData[ASTOrder],PlayerGameData[[#This Row],[ASTOrder]])&gt;1,PlayerGameData[[#This Row],[PointRank]]/100+PlayerGameData[[#This Row],[ASTOrder]],PlayerGameData[[#This Row],[ASTOrder]])</f>
        <v>24.2</v>
      </c>
      <c r="AT352" s="8">
        <f ca="1">RANK(PlayerGameData[[#This Row],[ASTTieBreak]],PlayerGameData[ASTTieBreak],1)</f>
        <v>26</v>
      </c>
      <c r="AU352" s="8">
        <f ca="1">RANK(PlayerGameData[[#This Row],[STL]],PlayerGameData[STL],0)+PlayerGameData[[#This Row],[VisibleOrder]]</f>
        <v>143</v>
      </c>
      <c r="AV352" s="8">
        <f ca="1">IF(COUNTIF(PlayerGameData[STLOrder],PlayerGameData[[#This Row],[STLOrder]])&gt;1,PlayerGameData[[#This Row],[PointRank]]/100+PlayerGameData[[#This Row],[STLOrder]],PlayerGameData[[#This Row],[STLOrder]])</f>
        <v>143.19999999999999</v>
      </c>
      <c r="AW352" s="8">
        <f ca="1">RANK(PlayerGameData[[#This Row],[STLTieBreak]],PlayerGameData[STLTieBreak],1)</f>
        <v>147</v>
      </c>
      <c r="AX352" s="8">
        <f ca="1">RANK(PlayerGameData[[#This Row],[BLK]],PlayerGameData[BLK],0)+PlayerGameData[[#This Row],[VisibleOrder]]</f>
        <v>32</v>
      </c>
      <c r="AY352" s="8">
        <f ca="1">IF(COUNTIF(PlayerGameData[BLKOrder],PlayerGameData[[#This Row],[BLKOrder]])&gt;1,PlayerGameData[[#This Row],[PointRank]]/100+PlayerGameData[[#This Row],[BLKOrder]],PlayerGameData[[#This Row],[BLKOrder]])</f>
        <v>32.200000000000003</v>
      </c>
      <c r="AZ352" s="8">
        <f ca="1">RANK(PlayerGameData[[#This Row],[BLKTieBreak]],PlayerGameData[BLKTieBreak],1)</f>
        <v>48</v>
      </c>
      <c r="BA352" s="11">
        <f ca="1">IFERROR(IF(PlayerGameData[[#This Row],[FGA]]&gt;$AA$5,PlayerGameData[[#This Row],[FG%*]],PlayerGameData[[#This Row],[FG%*]]*-1),-2)</f>
        <v>0.58333333333333337</v>
      </c>
      <c r="BB352" s="8">
        <f ca="1">RANK(PlayerGameData[[#This Row],[EligFG]],PlayerGameData[EligFG],0)+PlayerGameData[[#This Row],[VisibleOrder]]</f>
        <v>25</v>
      </c>
      <c r="BC352" s="8">
        <f ca="1">IF(COUNTIF(PlayerGameData[EligFGOrder],PlayerGameData[[#This Row],[EligFGOrder]])&gt;1,PlayerGameData[[#This Row],[PointRank]]/100+PlayerGameData[[#This Row],[EligFGOrder]],PlayerGameData[[#This Row],[EligFGOrder]])</f>
        <v>25.2</v>
      </c>
      <c r="BD352" s="8">
        <f ca="1">RANK(PlayerGameData[[#This Row],[EligFGTieBreak]],PlayerGameData[EligFGTieBreak],1)</f>
        <v>25</v>
      </c>
      <c r="BE352" s="8" t="str">
        <f>Roster!$D$3</f>
        <v>East</v>
      </c>
      <c r="BF352" s="8" t="str">
        <f>Roster!$D$2</f>
        <v>Northeast</v>
      </c>
      <c r="BG352" s="8" t="str">
        <f>Roster!$D$4</f>
        <v>North</v>
      </c>
      <c r="BH352" s="197">
        <f ca="1">IFERROR(VLOOKUP(CONCATENATE(PlayerGameData[[#This Row],[Opponent]]," ",MONTH(PlayerGameData[[#This Row],[Date]]),"/",DAY(PlayerGameData[[#This Row],[Date]]),"/",YEAR(PlayerGameData[[#This Row],[Date]])),Table35[],2,FALSE),0)</f>
        <v>1</v>
      </c>
      <c r="BI352" s="197">
        <f ca="1">IF(PlayerGameData[[#This Row],[Visible]]=1,1,1000)</f>
        <v>1</v>
      </c>
      <c r="BJ352" s="197" t="e">
        <f ca="1">_xlfn.MAXIFS(TeamGameData[Win],TeamGameData[School, Opponent,Game'#],PlayerGameData[[#This Row],[School, Opponent,Game'#]])</f>
        <v>#NAME?</v>
      </c>
      <c r="BK352" s="197" t="e">
        <f ca="1">_xlfn.MAXIFS(TeamGameData[Loss],TeamGameData[School, Opponent,Game'#],PlayerGameData[[#This Row],[School, Opponent,Game'#]])</f>
        <v>#NAME?</v>
      </c>
    </row>
    <row r="353" spans="1:63" x14ac:dyDescent="0.25">
      <c r="A353" s="8" t="str">
        <f t="shared" ca="1" si="183"/>
        <v>Matt Stirmel, 33</v>
      </c>
      <c r="B353" s="8" t="str">
        <f>Roster!$B$1</f>
        <v>Upton</v>
      </c>
      <c r="C353" s="8" t="str">
        <f t="shared" ca="1" si="171"/>
        <v>Kaycee</v>
      </c>
      <c r="D353" s="10">
        <f t="shared" ca="1" si="172"/>
        <v>44960</v>
      </c>
      <c r="E353" s="8">
        <f t="shared" ca="1" si="173"/>
        <v>1</v>
      </c>
      <c r="F353" s="8">
        <f t="shared" ca="1" si="174"/>
        <v>0</v>
      </c>
      <c r="G353" s="8">
        <f t="shared" ca="1" si="175"/>
        <v>1</v>
      </c>
      <c r="H353" s="8">
        <f t="shared" ca="1" si="176"/>
        <v>0</v>
      </c>
      <c r="I353" s="8">
        <f t="shared" ca="1" si="177"/>
        <v>0</v>
      </c>
      <c r="J353" s="8">
        <f t="shared" ca="1" si="178"/>
        <v>0</v>
      </c>
      <c r="K353" s="8">
        <f t="shared" ca="1" si="179"/>
        <v>0</v>
      </c>
      <c r="L353" s="8">
        <f t="shared" ca="1" si="184"/>
        <v>0</v>
      </c>
      <c r="M353" s="8">
        <f t="shared" ca="1" si="185"/>
        <v>0</v>
      </c>
      <c r="N353" s="8">
        <f t="shared" ca="1" si="186"/>
        <v>0</v>
      </c>
      <c r="O353" s="8">
        <f t="shared" ca="1" si="187"/>
        <v>0</v>
      </c>
      <c r="P353" s="8">
        <f t="shared" ca="1" si="188"/>
        <v>0</v>
      </c>
      <c r="Q353" s="8">
        <f t="shared" ca="1" si="189"/>
        <v>0</v>
      </c>
      <c r="R353" s="8">
        <f t="shared" ca="1" si="190"/>
        <v>0</v>
      </c>
      <c r="S353" s="8">
        <f t="shared" ca="1" si="191"/>
        <v>0</v>
      </c>
      <c r="T353" s="8">
        <f t="shared" ca="1" si="192"/>
        <v>0</v>
      </c>
      <c r="U353" s="8">
        <f t="shared" ca="1" si="193"/>
        <v>0</v>
      </c>
      <c r="V353" s="8">
        <f t="shared" ca="1" si="194"/>
        <v>0</v>
      </c>
      <c r="W353" s="11" t="str">
        <f t="shared" ca="1" si="195"/>
        <v/>
      </c>
      <c r="X353" s="11" t="str">
        <f t="shared" ca="1" si="196"/>
        <v/>
      </c>
      <c r="Y353" s="11" t="str">
        <f t="shared" ca="1" si="197"/>
        <v/>
      </c>
      <c r="Z353" s="11" t="str">
        <f t="shared" ca="1" si="198"/>
        <v/>
      </c>
      <c r="AA353" s="11" t="str">
        <f t="shared" ca="1" si="199"/>
        <v/>
      </c>
      <c r="AB353" s="47">
        <f ca="1">PlayerGameData[[#This Row],[3FGA]]+PlayerGameData[[#This Row],[2FGA]]</f>
        <v>0</v>
      </c>
      <c r="AC353" s="47">
        <f ca="1">PlayerGameData[[#This Row],[OFF REB]]+PlayerGameData[[#This Row],[DEF REB]]</f>
        <v>0</v>
      </c>
      <c r="AD353" s="8">
        <f t="shared" si="180"/>
        <v>15</v>
      </c>
      <c r="AE353" s="8" t="str">
        <f t="shared" ca="1" si="181"/>
        <v>Matt Stirmel, 33 - Kaycee 2/3/2023</v>
      </c>
      <c r="AF353" s="8" t="str">
        <f t="shared" ca="1" si="200"/>
        <v>R</v>
      </c>
      <c r="AG353" s="8" t="str">
        <f ca="1">IFERROR(IF(C353=0,"",IF(AND(VLOOKUP(PlayerGameData[[#This Row],[Opponent]],WYTeamInfo,2,FALSE)=Roster!$D$1,VLOOKUP(PlayerGameData[[#This Row],[Opponent]],WYTeamInfo,3,FALSE)=Roster!$D$2),"SR","")),"")</f>
        <v>SR</v>
      </c>
      <c r="AH353" s="8" t="str">
        <f>CONCATENATE(Roster!$D$1," ",Roster!$D$5)</f>
        <v>1A BB</v>
      </c>
      <c r="AI353" s="8" t="str">
        <f t="shared" ca="1" si="182"/>
        <v>Upton - Kaycee 2/3/2023</v>
      </c>
      <c r="AJ353" s="8">
        <f ca="1">IFERROR(VLOOKUP(PlayerGameData[[#This Row],[School, Opponent,Game'#]],Table3[],2,FALSE),0)</f>
        <v>1</v>
      </c>
      <c r="AK353" s="8">
        <f ca="1">IF(PlayerGameData[[#This Row],[Visible]]=1,1,1000)</f>
        <v>1</v>
      </c>
      <c r="AL353" s="8">
        <f ca="1">RANK(PlayerGameData[[#This Row],[TL PTS]],PlayerGameData[TL PTS],0)+PlayerGameData[[#This Row],[VisibleOrder]]</f>
        <v>185</v>
      </c>
      <c r="AM353" s="8">
        <f ca="1">IF(COUNTIF(PlayerGameData[PointOrder],PlayerGameData[[#This Row],[PointOrder]])&gt;1,RANK(PlayerGameData[[#This Row],[FGA]],PlayerGameData[FGA],0)/100,0)+PlayerGameData[[#This Row],[PointOrder]]</f>
        <v>187.14</v>
      </c>
      <c r="AN353" s="8">
        <f ca="1">RANK(PlayerGameData[[#This Row],[PointTieBreak]],PlayerGameData[PointTieBreak],1)</f>
        <v>216</v>
      </c>
      <c r="AO353" s="8">
        <f ca="1">RANK(PlayerGameData[[#This Row],[REB]],PlayerGameData[REB],0)+PlayerGameData[[#This Row],[VisibleOrder]]</f>
        <v>192</v>
      </c>
      <c r="AP353" s="8">
        <f ca="1">IF(COUNTIF(PlayerGameData[REBOrder],PlayerGameData[[#This Row],[REBOrder]])&gt;1,PlayerGameData[[#This Row],[PointRank]]/100+PlayerGameData[[#This Row],[REBOrder]],PlayerGameData[[#This Row],[REBOrder]])</f>
        <v>194.16</v>
      </c>
      <c r="AQ353" s="8">
        <f ca="1">RANK(PlayerGameData[[#This Row],[REBTieBreak]],PlayerGameData[REBTieBreak],1)</f>
        <v>224</v>
      </c>
      <c r="AR353" s="8">
        <f ca="1">RANK(PlayerGameData[[#This Row],[AST]],PlayerGameData[AST],0)+PlayerGameData[[#This Row],[VisibleOrder]]</f>
        <v>158</v>
      </c>
      <c r="AS353" s="8">
        <f ca="1">IF(COUNTIF(PlayerGameData[ASTOrder],PlayerGameData[[#This Row],[ASTOrder]])&gt;1,PlayerGameData[[#This Row],[PointRank]]/100+PlayerGameData[[#This Row],[ASTOrder]],PlayerGameData[[#This Row],[ASTOrder]])</f>
        <v>160.16</v>
      </c>
      <c r="AT353" s="8">
        <f ca="1">RANK(PlayerGameData[[#This Row],[ASTTieBreak]],PlayerGameData[ASTTieBreak],1)</f>
        <v>221</v>
      </c>
      <c r="AU353" s="8">
        <f ca="1">RANK(PlayerGameData[[#This Row],[STL]],PlayerGameData[STL],0)+PlayerGameData[[#This Row],[VisibleOrder]]</f>
        <v>143</v>
      </c>
      <c r="AV353" s="8">
        <f ca="1">IF(COUNTIF(PlayerGameData[STLOrder],PlayerGameData[[#This Row],[STLOrder]])&gt;1,PlayerGameData[[#This Row],[PointRank]]/100+PlayerGameData[[#This Row],[STLOrder]],PlayerGameData[[#This Row],[STLOrder]])</f>
        <v>145.16</v>
      </c>
      <c r="AW353" s="8">
        <f ca="1">RANK(PlayerGameData[[#This Row],[STLTieBreak]],PlayerGameData[STLTieBreak],1)</f>
        <v>217</v>
      </c>
      <c r="AX353" s="8">
        <f ca="1">RANK(PlayerGameData[[#This Row],[BLK]],PlayerGameData[BLK],0)+PlayerGameData[[#This Row],[VisibleOrder]]</f>
        <v>32</v>
      </c>
      <c r="AY353" s="8">
        <f ca="1">IF(COUNTIF(PlayerGameData[BLKOrder],PlayerGameData[[#This Row],[BLKOrder]])&gt;1,PlayerGameData[[#This Row],[PointRank]]/100+PlayerGameData[[#This Row],[BLKOrder]],PlayerGameData[[#This Row],[BLKOrder]])</f>
        <v>34.159999999999997</v>
      </c>
      <c r="AZ353" s="8">
        <f ca="1">RANK(PlayerGameData[[#This Row],[BLKTieBreak]],PlayerGameData[BLKTieBreak],1)</f>
        <v>216</v>
      </c>
      <c r="BA353" s="11">
        <f ca="1">IFERROR(IF(PlayerGameData[[#This Row],[FGA]]&gt;$AA$5,PlayerGameData[[#This Row],[FG%*]],PlayerGameData[[#This Row],[FG%*]]*-1),-2)</f>
        <v>-2</v>
      </c>
      <c r="BB353" s="8">
        <f ca="1">RANK(PlayerGameData[[#This Row],[EligFG]],PlayerGameData[EligFG],0)+PlayerGameData[[#This Row],[VisibleOrder]]</f>
        <v>215</v>
      </c>
      <c r="BC353" s="8">
        <f ca="1">IF(COUNTIF(PlayerGameData[EligFGOrder],PlayerGameData[[#This Row],[EligFGOrder]])&gt;1,PlayerGameData[[#This Row],[PointRank]]/100+PlayerGameData[[#This Row],[EligFGOrder]],PlayerGameData[[#This Row],[EligFGOrder]])</f>
        <v>217.16</v>
      </c>
      <c r="BD353" s="8">
        <f ca="1">RANK(PlayerGameData[[#This Row],[EligFGTieBreak]],PlayerGameData[EligFGTieBreak],1)</f>
        <v>216</v>
      </c>
      <c r="BE353" s="8" t="str">
        <f>Roster!$D$3</f>
        <v>East</v>
      </c>
      <c r="BF353" s="8" t="str">
        <f>Roster!$D$2</f>
        <v>Northeast</v>
      </c>
      <c r="BG353" s="8" t="str">
        <f>Roster!$D$4</f>
        <v>North</v>
      </c>
      <c r="BH353" s="197">
        <f ca="1">IFERROR(VLOOKUP(CONCATENATE(PlayerGameData[[#This Row],[Opponent]]," ",MONTH(PlayerGameData[[#This Row],[Date]]),"/",DAY(PlayerGameData[[#This Row],[Date]]),"/",YEAR(PlayerGameData[[#This Row],[Date]])),Table35[],2,FALSE),0)</f>
        <v>1</v>
      </c>
      <c r="BI353" s="197">
        <f ca="1">IF(PlayerGameData[[#This Row],[Visible]]=1,1,1000)</f>
        <v>1</v>
      </c>
      <c r="BJ353" s="197" t="e">
        <f ca="1">_xlfn.MAXIFS(TeamGameData[Win],TeamGameData[School, Opponent,Game'#],PlayerGameData[[#This Row],[School, Opponent,Game'#]])</f>
        <v>#NAME?</v>
      </c>
      <c r="BK353" s="197" t="e">
        <f ca="1">_xlfn.MAXIFS(TeamGameData[Loss],TeamGameData[School, Opponent,Game'#],PlayerGameData[[#This Row],[School, Opponent,Game'#]])</f>
        <v>#NAME?</v>
      </c>
    </row>
    <row r="354" spans="1:63" x14ac:dyDescent="0.25">
      <c r="A354" s="8" t="str">
        <f t="shared" ca="1" si="183"/>
        <v>Jacob McNutt, 34</v>
      </c>
      <c r="B354" s="8" t="str">
        <f>Roster!$B$1</f>
        <v>Upton</v>
      </c>
      <c r="C354" s="8" t="str">
        <f t="shared" ca="1" si="171"/>
        <v>Kaycee</v>
      </c>
      <c r="D354" s="10">
        <f t="shared" ca="1" si="172"/>
        <v>44960</v>
      </c>
      <c r="E354" s="8">
        <f t="shared" ca="1" si="173"/>
        <v>1</v>
      </c>
      <c r="F354" s="8">
        <f t="shared" ca="1" si="174"/>
        <v>1</v>
      </c>
      <c r="G354" s="8">
        <f t="shared" ca="1" si="175"/>
        <v>1</v>
      </c>
      <c r="H354" s="8">
        <f t="shared" ca="1" si="176"/>
        <v>1</v>
      </c>
      <c r="I354" s="8">
        <f t="shared" ca="1" si="177"/>
        <v>2</v>
      </c>
      <c r="J354" s="8">
        <f t="shared" ca="1" si="178"/>
        <v>0</v>
      </c>
      <c r="K354" s="8">
        <f t="shared" ca="1" si="179"/>
        <v>1</v>
      </c>
      <c r="L354" s="8">
        <f t="shared" ca="1" si="184"/>
        <v>0</v>
      </c>
      <c r="M354" s="8">
        <f t="shared" ca="1" si="185"/>
        <v>0</v>
      </c>
      <c r="N354" s="8">
        <f t="shared" ca="1" si="186"/>
        <v>1</v>
      </c>
      <c r="O354" s="8">
        <f t="shared" ca="1" si="187"/>
        <v>0</v>
      </c>
      <c r="P354" s="8">
        <f t="shared" ca="1" si="188"/>
        <v>0</v>
      </c>
      <c r="Q354" s="8">
        <f t="shared" ca="1" si="189"/>
        <v>0</v>
      </c>
      <c r="R354" s="8">
        <f t="shared" ca="1" si="190"/>
        <v>0</v>
      </c>
      <c r="S354" s="8">
        <f t="shared" ca="1" si="191"/>
        <v>0</v>
      </c>
      <c r="T354" s="8">
        <f t="shared" ca="1" si="192"/>
        <v>0</v>
      </c>
      <c r="U354" s="8">
        <f t="shared" ca="1" si="193"/>
        <v>0</v>
      </c>
      <c r="V354" s="8">
        <f t="shared" ca="1" si="194"/>
        <v>3</v>
      </c>
      <c r="W354" s="11">
        <f t="shared" ca="1" si="195"/>
        <v>0.5</v>
      </c>
      <c r="X354" s="11">
        <f t="shared" ca="1" si="196"/>
        <v>0</v>
      </c>
      <c r="Y354" s="11" t="str">
        <f t="shared" ca="1" si="197"/>
        <v/>
      </c>
      <c r="Z354" s="11">
        <f t="shared" ca="1" si="198"/>
        <v>0.33333333333333331</v>
      </c>
      <c r="AA354" s="11">
        <f t="shared" ca="1" si="199"/>
        <v>0.5</v>
      </c>
      <c r="AB354" s="47">
        <f ca="1">PlayerGameData[[#This Row],[3FGA]]+PlayerGameData[[#This Row],[2FGA]]</f>
        <v>3</v>
      </c>
      <c r="AC354" s="47">
        <f ca="1">PlayerGameData[[#This Row],[OFF REB]]+PlayerGameData[[#This Row],[DEF REB]]</f>
        <v>1</v>
      </c>
      <c r="AD354" s="8">
        <f t="shared" si="180"/>
        <v>15</v>
      </c>
      <c r="AE354" s="8" t="str">
        <f t="shared" ca="1" si="181"/>
        <v>Jacob McNutt, 34 - Kaycee 2/3/2023</v>
      </c>
      <c r="AF354" s="8" t="str">
        <f t="shared" ca="1" si="200"/>
        <v>R</v>
      </c>
      <c r="AG354" s="8" t="str">
        <f ca="1">IFERROR(IF(C354=0,"",IF(AND(VLOOKUP(PlayerGameData[[#This Row],[Opponent]],WYTeamInfo,2,FALSE)=Roster!$D$1,VLOOKUP(PlayerGameData[[#This Row],[Opponent]],WYTeamInfo,3,FALSE)=Roster!$D$2),"SR","")),"")</f>
        <v>SR</v>
      </c>
      <c r="AH354" s="8" t="str">
        <f>CONCATENATE(Roster!$D$1," ",Roster!$D$5)</f>
        <v>1A BB</v>
      </c>
      <c r="AI354" s="8" t="str">
        <f t="shared" ca="1" si="182"/>
        <v>Upton - Kaycee 2/3/2023</v>
      </c>
      <c r="AJ354" s="8">
        <f ca="1">IFERROR(VLOOKUP(PlayerGameData[[#This Row],[School, Opponent,Game'#]],Table3[],2,FALSE),0)</f>
        <v>1</v>
      </c>
      <c r="AK354" s="8">
        <f ca="1">IF(PlayerGameData[[#This Row],[Visible]]=1,1,1000)</f>
        <v>1</v>
      </c>
      <c r="AL354" s="8">
        <f ca="1">RANK(PlayerGameData[[#This Row],[TL PTS]],PlayerGameData[TL PTS],0)+PlayerGameData[[#This Row],[VisibleOrder]]</f>
        <v>135</v>
      </c>
      <c r="AM354" s="8">
        <f ca="1">IF(COUNTIF(PlayerGameData[PointOrder],PlayerGameData[[#This Row],[PointOrder]])&gt;1,RANK(PlayerGameData[[#This Row],[FGA]],PlayerGameData[FGA],0)/100,0)+PlayerGameData[[#This Row],[PointOrder]]</f>
        <v>136.4</v>
      </c>
      <c r="AN354" s="8">
        <f ca="1">RANK(PlayerGameData[[#This Row],[PointTieBreak]],PlayerGameData[PointTieBreak],1)</f>
        <v>137</v>
      </c>
      <c r="AO354" s="8">
        <f ca="1">RANK(PlayerGameData[[#This Row],[REB]],PlayerGameData[REB],0)+PlayerGameData[[#This Row],[VisibleOrder]]</f>
        <v>163</v>
      </c>
      <c r="AP354" s="8">
        <f ca="1">IF(COUNTIF(PlayerGameData[REBOrder],PlayerGameData[[#This Row],[REBOrder]])&gt;1,PlayerGameData[[#This Row],[PointRank]]/100+PlayerGameData[[#This Row],[REBOrder]],PlayerGameData[[#This Row],[REBOrder]])</f>
        <v>164.37</v>
      </c>
      <c r="AQ354" s="8">
        <f ca="1">RANK(PlayerGameData[[#This Row],[REBTieBreak]],PlayerGameData[REBTieBreak],1)</f>
        <v>170</v>
      </c>
      <c r="AR354" s="8">
        <f ca="1">RANK(PlayerGameData[[#This Row],[AST]],PlayerGameData[AST],0)+PlayerGameData[[#This Row],[VisibleOrder]]</f>
        <v>158</v>
      </c>
      <c r="AS354" s="8">
        <f ca="1">IF(COUNTIF(PlayerGameData[ASTOrder],PlayerGameData[[#This Row],[ASTOrder]])&gt;1,PlayerGameData[[#This Row],[PointRank]]/100+PlayerGameData[[#This Row],[ASTOrder]],PlayerGameData[[#This Row],[ASTOrder]])</f>
        <v>159.37</v>
      </c>
      <c r="AT354" s="8">
        <f ca="1">RANK(PlayerGameData[[#This Row],[ASTTieBreak]],PlayerGameData[ASTTieBreak],1)</f>
        <v>174</v>
      </c>
      <c r="AU354" s="8">
        <f ca="1">RANK(PlayerGameData[[#This Row],[STL]],PlayerGameData[STL],0)+PlayerGameData[[#This Row],[VisibleOrder]]</f>
        <v>143</v>
      </c>
      <c r="AV354" s="8">
        <f ca="1">IF(COUNTIF(PlayerGameData[STLOrder],PlayerGameData[[#This Row],[STLOrder]])&gt;1,PlayerGameData[[#This Row],[PointRank]]/100+PlayerGameData[[#This Row],[STLOrder]],PlayerGameData[[#This Row],[STLOrder]])</f>
        <v>144.37</v>
      </c>
      <c r="AW354" s="8">
        <f ca="1">RANK(PlayerGameData[[#This Row],[STLTieBreak]],PlayerGameData[STLTieBreak],1)</f>
        <v>166</v>
      </c>
      <c r="AX354" s="8">
        <f ca="1">RANK(PlayerGameData[[#This Row],[BLK]],PlayerGameData[BLK],0)+PlayerGameData[[#This Row],[VisibleOrder]]</f>
        <v>32</v>
      </c>
      <c r="AY354" s="8">
        <f ca="1">IF(COUNTIF(PlayerGameData[BLKOrder],PlayerGameData[[#This Row],[BLKOrder]])&gt;1,PlayerGameData[[#This Row],[PointRank]]/100+PlayerGameData[[#This Row],[BLKOrder]],PlayerGameData[[#This Row],[BLKOrder]])</f>
        <v>33.369999999999997</v>
      </c>
      <c r="AZ354" s="8">
        <f ca="1">RANK(PlayerGameData[[#This Row],[BLKTieBreak]],PlayerGameData[BLKTieBreak],1)</f>
        <v>141</v>
      </c>
      <c r="BA354" s="11">
        <f ca="1">IFERROR(IF(PlayerGameData[[#This Row],[FGA]]&gt;$AA$5,PlayerGameData[[#This Row],[FG%*]],PlayerGameData[[#This Row],[FG%*]]*-1),-2)</f>
        <v>-0.33333333333333331</v>
      </c>
      <c r="BB354" s="8">
        <f ca="1">RANK(PlayerGameData[[#This Row],[EligFG]],PlayerGameData[EligFG],0)+PlayerGameData[[#This Row],[VisibleOrder]]</f>
        <v>164</v>
      </c>
      <c r="BC354" s="8">
        <f ca="1">IF(COUNTIF(PlayerGameData[EligFGOrder],PlayerGameData[[#This Row],[EligFGOrder]])&gt;1,PlayerGameData[[#This Row],[PointRank]]/100+PlayerGameData[[#This Row],[EligFGOrder]],PlayerGameData[[#This Row],[EligFGOrder]])</f>
        <v>165.37</v>
      </c>
      <c r="BD354" s="8">
        <f ca="1">RANK(PlayerGameData[[#This Row],[EligFGTieBreak]],PlayerGameData[EligFGTieBreak],1)</f>
        <v>164</v>
      </c>
      <c r="BE354" s="8" t="str">
        <f>Roster!$D$3</f>
        <v>East</v>
      </c>
      <c r="BF354" s="8" t="str">
        <f>Roster!$D$2</f>
        <v>Northeast</v>
      </c>
      <c r="BG354" s="8" t="str">
        <f>Roster!$D$4</f>
        <v>North</v>
      </c>
      <c r="BH354" s="197">
        <f ca="1">IFERROR(VLOOKUP(CONCATENATE(PlayerGameData[[#This Row],[Opponent]]," ",MONTH(PlayerGameData[[#This Row],[Date]]),"/",DAY(PlayerGameData[[#This Row],[Date]]),"/",YEAR(PlayerGameData[[#This Row],[Date]])),Table35[],2,FALSE),0)</f>
        <v>1</v>
      </c>
      <c r="BI354" s="197">
        <f ca="1">IF(PlayerGameData[[#This Row],[Visible]]=1,1,1000)</f>
        <v>1</v>
      </c>
      <c r="BJ354" s="197" t="e">
        <f ca="1">_xlfn.MAXIFS(TeamGameData[Win],TeamGameData[School, Opponent,Game'#],PlayerGameData[[#This Row],[School, Opponent,Game'#]])</f>
        <v>#NAME?</v>
      </c>
      <c r="BK354" s="197" t="e">
        <f ca="1">_xlfn.MAXIFS(TeamGameData[Loss],TeamGameData[School, Opponent,Game'#],PlayerGameData[[#This Row],[School, Opponent,Game'#]])</f>
        <v>#NAME?</v>
      </c>
    </row>
    <row r="355" spans="1:63" x14ac:dyDescent="0.25">
      <c r="A355" s="8" t="str">
        <f t="shared" ca="1" si="183"/>
        <v>Ryan Baker, 35</v>
      </c>
      <c r="B355" s="8" t="str">
        <f>Roster!$B$1</f>
        <v>Upton</v>
      </c>
      <c r="C355" s="8" t="str">
        <f t="shared" ca="1" si="171"/>
        <v>Kaycee</v>
      </c>
      <c r="D355" s="10">
        <f t="shared" ca="1" si="172"/>
        <v>44960</v>
      </c>
      <c r="E355" s="8">
        <f t="shared" ca="1" si="173"/>
        <v>1</v>
      </c>
      <c r="F355" s="8">
        <f t="shared" ca="1" si="174"/>
        <v>0</v>
      </c>
      <c r="G355" s="8">
        <f t="shared" ca="1" si="175"/>
        <v>16</v>
      </c>
      <c r="H355" s="8">
        <f t="shared" ca="1" si="176"/>
        <v>0</v>
      </c>
      <c r="I355" s="8">
        <f t="shared" ca="1" si="177"/>
        <v>1</v>
      </c>
      <c r="J355" s="8">
        <f t="shared" ca="1" si="178"/>
        <v>1</v>
      </c>
      <c r="K355" s="8">
        <f t="shared" ca="1" si="179"/>
        <v>1</v>
      </c>
      <c r="L355" s="8">
        <f t="shared" ca="1" si="184"/>
        <v>0</v>
      </c>
      <c r="M355" s="8">
        <f t="shared" ca="1" si="185"/>
        <v>0</v>
      </c>
      <c r="N355" s="8">
        <f t="shared" ca="1" si="186"/>
        <v>0</v>
      </c>
      <c r="O355" s="8">
        <f t="shared" ca="1" si="187"/>
        <v>3</v>
      </c>
      <c r="P355" s="8">
        <f t="shared" ca="1" si="188"/>
        <v>2</v>
      </c>
      <c r="Q355" s="8">
        <f t="shared" ca="1" si="189"/>
        <v>2</v>
      </c>
      <c r="R355" s="8">
        <f t="shared" ca="1" si="190"/>
        <v>0</v>
      </c>
      <c r="S355" s="8">
        <f t="shared" ca="1" si="191"/>
        <v>3</v>
      </c>
      <c r="T355" s="8">
        <f t="shared" ca="1" si="192"/>
        <v>4</v>
      </c>
      <c r="U355" s="8">
        <f t="shared" ca="1" si="193"/>
        <v>0</v>
      </c>
      <c r="V355" s="8">
        <f t="shared" ca="1" si="194"/>
        <v>2</v>
      </c>
      <c r="W355" s="11">
        <f t="shared" ca="1" si="195"/>
        <v>0</v>
      </c>
      <c r="X355" s="11">
        <f t="shared" ca="1" si="196"/>
        <v>1</v>
      </c>
      <c r="Y355" s="11" t="str">
        <f t="shared" ca="1" si="197"/>
        <v/>
      </c>
      <c r="Z355" s="11">
        <f t="shared" ca="1" si="198"/>
        <v>0.5</v>
      </c>
      <c r="AA355" s="11">
        <f t="shared" ca="1" si="199"/>
        <v>0.5</v>
      </c>
      <c r="AB355" s="47">
        <f ca="1">PlayerGameData[[#This Row],[3FGA]]+PlayerGameData[[#This Row],[2FGA]]</f>
        <v>2</v>
      </c>
      <c r="AC355" s="47">
        <f ca="1">PlayerGameData[[#This Row],[OFF REB]]+PlayerGameData[[#This Row],[DEF REB]]</f>
        <v>3</v>
      </c>
      <c r="AD355" s="8">
        <f t="shared" si="180"/>
        <v>15</v>
      </c>
      <c r="AE355" s="8" t="str">
        <f t="shared" ca="1" si="181"/>
        <v>Ryan Baker, 35 - Kaycee 2/3/2023</v>
      </c>
      <c r="AF355" s="8" t="str">
        <f t="shared" ca="1" si="200"/>
        <v>R</v>
      </c>
      <c r="AG355" s="8" t="str">
        <f ca="1">IFERROR(IF(C355=0,"",IF(AND(VLOOKUP(PlayerGameData[[#This Row],[Opponent]],WYTeamInfo,2,FALSE)=Roster!$D$1,VLOOKUP(PlayerGameData[[#This Row],[Opponent]],WYTeamInfo,3,FALSE)=Roster!$D$2),"SR","")),"")</f>
        <v>SR</v>
      </c>
      <c r="AH355" s="8" t="str">
        <f>CONCATENATE(Roster!$D$1," ",Roster!$D$5)</f>
        <v>1A BB</v>
      </c>
      <c r="AI355" s="8" t="str">
        <f t="shared" ca="1" si="182"/>
        <v>Upton - Kaycee 2/3/2023</v>
      </c>
      <c r="AJ355" s="8">
        <f ca="1">IFERROR(VLOOKUP(PlayerGameData[[#This Row],[School, Opponent,Game'#]],Table3[],2,FALSE),0)</f>
        <v>1</v>
      </c>
      <c r="AK355" s="8">
        <f ca="1">IF(PlayerGameData[[#This Row],[Visible]]=1,1,1000)</f>
        <v>1</v>
      </c>
      <c r="AL355" s="8">
        <f ca="1">RANK(PlayerGameData[[#This Row],[TL PTS]],PlayerGameData[TL PTS],0)+PlayerGameData[[#This Row],[VisibleOrder]]</f>
        <v>152</v>
      </c>
      <c r="AM355" s="8">
        <f ca="1">IF(COUNTIF(PlayerGameData[PointOrder],PlayerGameData[[#This Row],[PointOrder]])&gt;1,RANK(PlayerGameData[[#This Row],[FGA]],PlayerGameData[FGA],0)/100,0)+PlayerGameData[[#This Row],[PointOrder]]</f>
        <v>153.61000000000001</v>
      </c>
      <c r="AN355" s="8">
        <f ca="1">RANK(PlayerGameData[[#This Row],[PointTieBreak]],PlayerGameData[PointTieBreak],1)</f>
        <v>163</v>
      </c>
      <c r="AO355" s="8">
        <f ca="1">RANK(PlayerGameData[[#This Row],[REB]],PlayerGameData[REB],0)+PlayerGameData[[#This Row],[VisibleOrder]]</f>
        <v>108</v>
      </c>
      <c r="AP355" s="8">
        <f ca="1">IF(COUNTIF(PlayerGameData[REBOrder],PlayerGameData[[#This Row],[REBOrder]])&gt;1,PlayerGameData[[#This Row],[PointRank]]/100+PlayerGameData[[#This Row],[REBOrder]],PlayerGameData[[#This Row],[REBOrder]])</f>
        <v>109.63</v>
      </c>
      <c r="AQ355" s="8">
        <f ca="1">RANK(PlayerGameData[[#This Row],[REBTieBreak]],PlayerGameData[REBTieBreak],1)</f>
        <v>128</v>
      </c>
      <c r="AR355" s="8">
        <f ca="1">RANK(PlayerGameData[[#This Row],[AST]],PlayerGameData[AST],0)+PlayerGameData[[#This Row],[VisibleOrder]]</f>
        <v>69</v>
      </c>
      <c r="AS355" s="8">
        <f ca="1">IF(COUNTIF(PlayerGameData[ASTOrder],PlayerGameData[[#This Row],[ASTOrder]])&gt;1,PlayerGameData[[#This Row],[PointRank]]/100+PlayerGameData[[#This Row],[ASTOrder]],PlayerGameData[[#This Row],[ASTOrder]])</f>
        <v>70.63</v>
      </c>
      <c r="AT355" s="8">
        <f ca="1">RANK(PlayerGameData[[#This Row],[ASTTieBreak]],PlayerGameData[ASTTieBreak],1)</f>
        <v>106</v>
      </c>
      <c r="AU355" s="8">
        <f ca="1">RANK(PlayerGameData[[#This Row],[STL]],PlayerGameData[STL],0)+PlayerGameData[[#This Row],[VisibleOrder]]</f>
        <v>48</v>
      </c>
      <c r="AV355" s="8">
        <f ca="1">IF(COUNTIF(PlayerGameData[STLOrder],PlayerGameData[[#This Row],[STLOrder]])&gt;1,PlayerGameData[[#This Row],[PointRank]]/100+PlayerGameData[[#This Row],[STLOrder]],PlayerGameData[[#This Row],[STLOrder]])</f>
        <v>49.63</v>
      </c>
      <c r="AW355" s="8">
        <f ca="1">RANK(PlayerGameData[[#This Row],[STLTieBreak]],PlayerGameData[STLTieBreak],1)</f>
        <v>80</v>
      </c>
      <c r="AX355" s="8">
        <f ca="1">RANK(PlayerGameData[[#This Row],[BLK]],PlayerGameData[BLK],0)+PlayerGameData[[#This Row],[VisibleOrder]]</f>
        <v>32</v>
      </c>
      <c r="AY355" s="8">
        <f ca="1">IF(COUNTIF(PlayerGameData[BLKOrder],PlayerGameData[[#This Row],[BLKOrder]])&gt;1,PlayerGameData[[#This Row],[PointRank]]/100+PlayerGameData[[#This Row],[BLKOrder]],PlayerGameData[[#This Row],[BLKOrder]])</f>
        <v>33.630000000000003</v>
      </c>
      <c r="AZ355" s="8">
        <f ca="1">RANK(PlayerGameData[[#This Row],[BLKTieBreak]],PlayerGameData[BLKTieBreak],1)</f>
        <v>164</v>
      </c>
      <c r="BA355" s="11">
        <f ca="1">IFERROR(IF(PlayerGameData[[#This Row],[FGA]]&gt;$AA$5,PlayerGameData[[#This Row],[FG%*]],PlayerGameData[[#This Row],[FG%*]]*-1),-2)</f>
        <v>-0.5</v>
      </c>
      <c r="BB355" s="8">
        <f ca="1">RANK(PlayerGameData[[#This Row],[EligFG]],PlayerGameData[EligFG],0)+PlayerGameData[[#This Row],[VisibleOrder]]</f>
        <v>182</v>
      </c>
      <c r="BC355" s="8">
        <f ca="1">IF(COUNTIF(PlayerGameData[EligFGOrder],PlayerGameData[[#This Row],[EligFGOrder]])&gt;1,PlayerGameData[[#This Row],[PointRank]]/100+PlayerGameData[[#This Row],[EligFGOrder]],PlayerGameData[[#This Row],[EligFGOrder]])</f>
        <v>183.63</v>
      </c>
      <c r="BD355" s="8">
        <f ca="1">RANK(PlayerGameData[[#This Row],[EligFGTieBreak]],PlayerGameData[EligFGTieBreak],1)</f>
        <v>188</v>
      </c>
      <c r="BE355" s="8" t="str">
        <f>Roster!$D$3</f>
        <v>East</v>
      </c>
      <c r="BF355" s="8" t="str">
        <f>Roster!$D$2</f>
        <v>Northeast</v>
      </c>
      <c r="BG355" s="8" t="str">
        <f>Roster!$D$4</f>
        <v>North</v>
      </c>
      <c r="BH355" s="197">
        <f ca="1">IFERROR(VLOOKUP(CONCATENATE(PlayerGameData[[#This Row],[Opponent]]," ",MONTH(PlayerGameData[[#This Row],[Date]]),"/",DAY(PlayerGameData[[#This Row],[Date]]),"/",YEAR(PlayerGameData[[#This Row],[Date]])),Table35[],2,FALSE),0)</f>
        <v>1</v>
      </c>
      <c r="BI355" s="197">
        <f ca="1">IF(PlayerGameData[[#This Row],[Visible]]=1,1,1000)</f>
        <v>1</v>
      </c>
      <c r="BJ355" s="197" t="e">
        <f ca="1">_xlfn.MAXIFS(TeamGameData[Win],TeamGameData[School, Opponent,Game'#],PlayerGameData[[#This Row],[School, Opponent,Game'#]])</f>
        <v>#NAME?</v>
      </c>
      <c r="BK355" s="197" t="e">
        <f ca="1">_xlfn.MAXIFS(TeamGameData[Loss],TeamGameData[School, Opponent,Game'#],PlayerGameData[[#This Row],[School, Opponent,Game'#]])</f>
        <v>#NAME?</v>
      </c>
    </row>
    <row r="356" spans="1:63" x14ac:dyDescent="0.25">
      <c r="A356" s="8" t="str">
        <f t="shared" ca="1" si="183"/>
        <v xml:space="preserve">, </v>
      </c>
      <c r="B356" s="8" t="str">
        <f>Roster!$B$1</f>
        <v>Upton</v>
      </c>
      <c r="C356" s="8" t="str">
        <f t="shared" ca="1" si="171"/>
        <v>Kaycee</v>
      </c>
      <c r="D356" s="10">
        <f t="shared" ca="1" si="172"/>
        <v>44960</v>
      </c>
      <c r="E356" s="8">
        <f t="shared" ca="1" si="173"/>
        <v>0</v>
      </c>
      <c r="F356" s="8">
        <f t="shared" ca="1" si="174"/>
        <v>0</v>
      </c>
      <c r="G356" s="8">
        <f t="shared" ca="1" si="175"/>
        <v>0</v>
      </c>
      <c r="H356" s="8">
        <f t="shared" ca="1" si="176"/>
        <v>0</v>
      </c>
      <c r="I356" s="8">
        <f t="shared" ca="1" si="177"/>
        <v>0</v>
      </c>
      <c r="J356" s="8">
        <f t="shared" ca="1" si="178"/>
        <v>0</v>
      </c>
      <c r="K356" s="8">
        <f t="shared" ca="1" si="179"/>
        <v>0</v>
      </c>
      <c r="L356" s="8">
        <f t="shared" ca="1" si="184"/>
        <v>0</v>
      </c>
      <c r="M356" s="8">
        <f t="shared" ca="1" si="185"/>
        <v>0</v>
      </c>
      <c r="N356" s="8">
        <f t="shared" ca="1" si="186"/>
        <v>0</v>
      </c>
      <c r="O356" s="8">
        <f t="shared" ca="1" si="187"/>
        <v>0</v>
      </c>
      <c r="P356" s="8">
        <f t="shared" ca="1" si="188"/>
        <v>0</v>
      </c>
      <c r="Q356" s="8">
        <f t="shared" ca="1" si="189"/>
        <v>0</v>
      </c>
      <c r="R356" s="8">
        <f t="shared" ca="1" si="190"/>
        <v>0</v>
      </c>
      <c r="S356" s="8">
        <f t="shared" ca="1" si="191"/>
        <v>0</v>
      </c>
      <c r="T356" s="8">
        <f t="shared" ca="1" si="192"/>
        <v>0</v>
      </c>
      <c r="U356" s="8">
        <f t="shared" ca="1" si="193"/>
        <v>0</v>
      </c>
      <c r="V356" s="8">
        <f t="shared" ca="1" si="194"/>
        <v>0</v>
      </c>
      <c r="W356" s="11" t="str">
        <f t="shared" ca="1" si="195"/>
        <v/>
      </c>
      <c r="X356" s="11" t="str">
        <f t="shared" ca="1" si="196"/>
        <v/>
      </c>
      <c r="Y356" s="11" t="str">
        <f t="shared" ca="1" si="197"/>
        <v/>
      </c>
      <c r="Z356" s="11" t="str">
        <f t="shared" ca="1" si="198"/>
        <v/>
      </c>
      <c r="AA356" s="11" t="str">
        <f t="shared" ca="1" si="199"/>
        <v/>
      </c>
      <c r="AB356" s="47">
        <f ca="1">PlayerGameData[[#This Row],[3FGA]]+PlayerGameData[[#This Row],[2FGA]]</f>
        <v>0</v>
      </c>
      <c r="AC356" s="47">
        <f ca="1">PlayerGameData[[#This Row],[OFF REB]]+PlayerGameData[[#This Row],[DEF REB]]</f>
        <v>0</v>
      </c>
      <c r="AD356" s="8">
        <f t="shared" si="180"/>
        <v>15</v>
      </c>
      <c r="AE356" s="8" t="str">
        <f t="shared" ca="1" si="181"/>
        <v>,  - Kaycee 2/3/2023</v>
      </c>
      <c r="AF356" s="8" t="str">
        <f t="shared" ca="1" si="200"/>
        <v>R</v>
      </c>
      <c r="AG356" s="8" t="str">
        <f ca="1">IFERROR(IF(C356=0,"",IF(AND(VLOOKUP(PlayerGameData[[#This Row],[Opponent]],WYTeamInfo,2,FALSE)=Roster!$D$1,VLOOKUP(PlayerGameData[[#This Row],[Opponent]],WYTeamInfo,3,FALSE)=Roster!$D$2),"SR","")),"")</f>
        <v>SR</v>
      </c>
      <c r="AH356" s="8" t="str">
        <f>CONCATENATE(Roster!$D$1," ",Roster!$D$5)</f>
        <v>1A BB</v>
      </c>
      <c r="AI356" s="8" t="str">
        <f t="shared" ca="1" si="182"/>
        <v>Upton - Kaycee 2/3/2023</v>
      </c>
      <c r="AJ356" s="8">
        <f ca="1">IFERROR(VLOOKUP(PlayerGameData[[#This Row],[School, Opponent,Game'#]],Table3[],2,FALSE),0)</f>
        <v>1</v>
      </c>
      <c r="AK356" s="8">
        <f ca="1">IF(PlayerGameData[[#This Row],[Visible]]=1,1,1000)</f>
        <v>1</v>
      </c>
      <c r="AL356" s="8">
        <f ca="1">RANK(PlayerGameData[[#This Row],[TL PTS]],PlayerGameData[TL PTS],0)+PlayerGameData[[#This Row],[VisibleOrder]]</f>
        <v>185</v>
      </c>
      <c r="AM356" s="8">
        <f ca="1">IF(COUNTIF(PlayerGameData[PointOrder],PlayerGameData[[#This Row],[PointOrder]])&gt;1,RANK(PlayerGameData[[#This Row],[FGA]],PlayerGameData[FGA],0)/100,0)+PlayerGameData[[#This Row],[PointOrder]]</f>
        <v>187.14</v>
      </c>
      <c r="AN356" s="8">
        <f ca="1">RANK(PlayerGameData[[#This Row],[PointTieBreak]],PlayerGameData[PointTieBreak],1)</f>
        <v>216</v>
      </c>
      <c r="AO356" s="8">
        <f ca="1">RANK(PlayerGameData[[#This Row],[REB]],PlayerGameData[REB],0)+PlayerGameData[[#This Row],[VisibleOrder]]</f>
        <v>192</v>
      </c>
      <c r="AP356" s="8">
        <f ca="1">IF(COUNTIF(PlayerGameData[REBOrder],PlayerGameData[[#This Row],[REBOrder]])&gt;1,PlayerGameData[[#This Row],[PointRank]]/100+PlayerGameData[[#This Row],[REBOrder]],PlayerGameData[[#This Row],[REBOrder]])</f>
        <v>194.16</v>
      </c>
      <c r="AQ356" s="8">
        <f ca="1">RANK(PlayerGameData[[#This Row],[REBTieBreak]],PlayerGameData[REBTieBreak],1)</f>
        <v>224</v>
      </c>
      <c r="AR356" s="8">
        <f ca="1">RANK(PlayerGameData[[#This Row],[AST]],PlayerGameData[AST],0)+PlayerGameData[[#This Row],[VisibleOrder]]</f>
        <v>158</v>
      </c>
      <c r="AS356" s="8">
        <f ca="1">IF(COUNTIF(PlayerGameData[ASTOrder],PlayerGameData[[#This Row],[ASTOrder]])&gt;1,PlayerGameData[[#This Row],[PointRank]]/100+PlayerGameData[[#This Row],[ASTOrder]],PlayerGameData[[#This Row],[ASTOrder]])</f>
        <v>160.16</v>
      </c>
      <c r="AT356" s="8">
        <f ca="1">RANK(PlayerGameData[[#This Row],[ASTTieBreak]],PlayerGameData[ASTTieBreak],1)</f>
        <v>221</v>
      </c>
      <c r="AU356" s="8">
        <f ca="1">RANK(PlayerGameData[[#This Row],[STL]],PlayerGameData[STL],0)+PlayerGameData[[#This Row],[VisibleOrder]]</f>
        <v>143</v>
      </c>
      <c r="AV356" s="8">
        <f ca="1">IF(COUNTIF(PlayerGameData[STLOrder],PlayerGameData[[#This Row],[STLOrder]])&gt;1,PlayerGameData[[#This Row],[PointRank]]/100+PlayerGameData[[#This Row],[STLOrder]],PlayerGameData[[#This Row],[STLOrder]])</f>
        <v>145.16</v>
      </c>
      <c r="AW356" s="8">
        <f ca="1">RANK(PlayerGameData[[#This Row],[STLTieBreak]],PlayerGameData[STLTieBreak],1)</f>
        <v>217</v>
      </c>
      <c r="AX356" s="8">
        <f ca="1">RANK(PlayerGameData[[#This Row],[BLK]],PlayerGameData[BLK],0)+PlayerGameData[[#This Row],[VisibleOrder]]</f>
        <v>32</v>
      </c>
      <c r="AY356" s="8">
        <f ca="1">IF(COUNTIF(PlayerGameData[BLKOrder],PlayerGameData[[#This Row],[BLKOrder]])&gt;1,PlayerGameData[[#This Row],[PointRank]]/100+PlayerGameData[[#This Row],[BLKOrder]],PlayerGameData[[#This Row],[BLKOrder]])</f>
        <v>34.159999999999997</v>
      </c>
      <c r="AZ356" s="8">
        <f ca="1">RANK(PlayerGameData[[#This Row],[BLKTieBreak]],PlayerGameData[BLKTieBreak],1)</f>
        <v>216</v>
      </c>
      <c r="BA356" s="11">
        <f ca="1">IFERROR(IF(PlayerGameData[[#This Row],[FGA]]&gt;$AA$5,PlayerGameData[[#This Row],[FG%*]],PlayerGameData[[#This Row],[FG%*]]*-1),-2)</f>
        <v>-2</v>
      </c>
      <c r="BB356" s="8">
        <f ca="1">RANK(PlayerGameData[[#This Row],[EligFG]],PlayerGameData[EligFG],0)+PlayerGameData[[#This Row],[VisibleOrder]]</f>
        <v>215</v>
      </c>
      <c r="BC356" s="8">
        <f ca="1">IF(COUNTIF(PlayerGameData[EligFGOrder],PlayerGameData[[#This Row],[EligFGOrder]])&gt;1,PlayerGameData[[#This Row],[PointRank]]/100+PlayerGameData[[#This Row],[EligFGOrder]],PlayerGameData[[#This Row],[EligFGOrder]])</f>
        <v>217.16</v>
      </c>
      <c r="BD356" s="8">
        <f ca="1">RANK(PlayerGameData[[#This Row],[EligFGTieBreak]],PlayerGameData[EligFGTieBreak],1)</f>
        <v>216</v>
      </c>
      <c r="BE356" s="8" t="str">
        <f>Roster!$D$3</f>
        <v>East</v>
      </c>
      <c r="BF356" s="8" t="str">
        <f>Roster!$D$2</f>
        <v>Northeast</v>
      </c>
      <c r="BG356" s="8" t="str">
        <f>Roster!$D$4</f>
        <v>North</v>
      </c>
      <c r="BH356" s="197">
        <f ca="1">IFERROR(VLOOKUP(CONCATENATE(PlayerGameData[[#This Row],[Opponent]]," ",MONTH(PlayerGameData[[#This Row],[Date]]),"/",DAY(PlayerGameData[[#This Row],[Date]]),"/",YEAR(PlayerGameData[[#This Row],[Date]])),Table35[],2,FALSE),0)</f>
        <v>1</v>
      </c>
      <c r="BI356" s="197">
        <f ca="1">IF(PlayerGameData[[#This Row],[Visible]]=1,1,1000)</f>
        <v>1</v>
      </c>
      <c r="BJ356" s="197" t="e">
        <f ca="1">_xlfn.MAXIFS(TeamGameData[Win],TeamGameData[School, Opponent,Game'#],PlayerGameData[[#This Row],[School, Opponent,Game'#]])</f>
        <v>#NAME?</v>
      </c>
      <c r="BK356" s="197" t="e">
        <f ca="1">_xlfn.MAXIFS(TeamGameData[Loss],TeamGameData[School, Opponent,Game'#],PlayerGameData[[#This Row],[School, Opponent,Game'#]])</f>
        <v>#NAME?</v>
      </c>
    </row>
    <row r="357" spans="1:63" x14ac:dyDescent="0.25">
      <c r="A357" s="8" t="str">
        <f t="shared" ca="1" si="183"/>
        <v xml:space="preserve">, </v>
      </c>
      <c r="B357" s="8" t="str">
        <f>Roster!$B$1</f>
        <v>Upton</v>
      </c>
      <c r="C357" s="8" t="str">
        <f t="shared" ca="1" si="171"/>
        <v>Kaycee</v>
      </c>
      <c r="D357" s="10">
        <f t="shared" ca="1" si="172"/>
        <v>44960</v>
      </c>
      <c r="E357" s="8">
        <f t="shared" ca="1" si="173"/>
        <v>0</v>
      </c>
      <c r="F357" s="8">
        <f t="shared" ca="1" si="174"/>
        <v>0</v>
      </c>
      <c r="G357" s="8">
        <f t="shared" ca="1" si="175"/>
        <v>0</v>
      </c>
      <c r="H357" s="8">
        <f t="shared" ca="1" si="176"/>
        <v>0</v>
      </c>
      <c r="I357" s="8">
        <f t="shared" ca="1" si="177"/>
        <v>0</v>
      </c>
      <c r="J357" s="8">
        <f t="shared" ca="1" si="178"/>
        <v>0</v>
      </c>
      <c r="K357" s="8">
        <f t="shared" ca="1" si="179"/>
        <v>0</v>
      </c>
      <c r="L357" s="8">
        <f t="shared" ca="1" si="184"/>
        <v>0</v>
      </c>
      <c r="M357" s="8">
        <f t="shared" ca="1" si="185"/>
        <v>0</v>
      </c>
      <c r="N357" s="8">
        <f t="shared" ca="1" si="186"/>
        <v>0</v>
      </c>
      <c r="O357" s="8">
        <f t="shared" ca="1" si="187"/>
        <v>0</v>
      </c>
      <c r="P357" s="8">
        <f t="shared" ca="1" si="188"/>
        <v>0</v>
      </c>
      <c r="Q357" s="8">
        <f t="shared" ca="1" si="189"/>
        <v>0</v>
      </c>
      <c r="R357" s="8">
        <f t="shared" ca="1" si="190"/>
        <v>0</v>
      </c>
      <c r="S357" s="8">
        <f t="shared" ca="1" si="191"/>
        <v>0</v>
      </c>
      <c r="T357" s="8">
        <f t="shared" ca="1" si="192"/>
        <v>0</v>
      </c>
      <c r="U357" s="8">
        <f t="shared" ca="1" si="193"/>
        <v>0</v>
      </c>
      <c r="V357" s="8">
        <f t="shared" ca="1" si="194"/>
        <v>0</v>
      </c>
      <c r="W357" s="11" t="str">
        <f t="shared" ca="1" si="195"/>
        <v/>
      </c>
      <c r="X357" s="11" t="str">
        <f t="shared" ca="1" si="196"/>
        <v/>
      </c>
      <c r="Y357" s="11" t="str">
        <f t="shared" ca="1" si="197"/>
        <v/>
      </c>
      <c r="Z357" s="11" t="str">
        <f t="shared" ca="1" si="198"/>
        <v/>
      </c>
      <c r="AA357" s="11" t="str">
        <f t="shared" ca="1" si="199"/>
        <v/>
      </c>
      <c r="AB357" s="47">
        <f ca="1">PlayerGameData[[#This Row],[3FGA]]+PlayerGameData[[#This Row],[2FGA]]</f>
        <v>0</v>
      </c>
      <c r="AC357" s="47">
        <f ca="1">PlayerGameData[[#This Row],[OFF REB]]+PlayerGameData[[#This Row],[DEF REB]]</f>
        <v>0</v>
      </c>
      <c r="AD357" s="8">
        <f t="shared" si="180"/>
        <v>15</v>
      </c>
      <c r="AE357" s="8" t="str">
        <f t="shared" ca="1" si="181"/>
        <v>,  - Kaycee 2/3/2023</v>
      </c>
      <c r="AF357" s="8" t="str">
        <f t="shared" ca="1" si="200"/>
        <v>R</v>
      </c>
      <c r="AG357" s="8" t="str">
        <f ca="1">IFERROR(IF(C357=0,"",IF(AND(VLOOKUP(PlayerGameData[[#This Row],[Opponent]],WYTeamInfo,2,FALSE)=Roster!$D$1,VLOOKUP(PlayerGameData[[#This Row],[Opponent]],WYTeamInfo,3,FALSE)=Roster!$D$2),"SR","")),"")</f>
        <v>SR</v>
      </c>
      <c r="AH357" s="8" t="str">
        <f>CONCATENATE(Roster!$D$1," ",Roster!$D$5)</f>
        <v>1A BB</v>
      </c>
      <c r="AI357" s="8" t="str">
        <f t="shared" ca="1" si="182"/>
        <v>Upton - Kaycee 2/3/2023</v>
      </c>
      <c r="AJ357" s="8">
        <f ca="1">IFERROR(VLOOKUP(PlayerGameData[[#This Row],[School, Opponent,Game'#]],Table3[],2,FALSE),0)</f>
        <v>1</v>
      </c>
      <c r="AK357" s="8">
        <f ca="1">IF(PlayerGameData[[#This Row],[Visible]]=1,1,1000)</f>
        <v>1</v>
      </c>
      <c r="AL357" s="8">
        <f ca="1">RANK(PlayerGameData[[#This Row],[TL PTS]],PlayerGameData[TL PTS],0)+PlayerGameData[[#This Row],[VisibleOrder]]</f>
        <v>185</v>
      </c>
      <c r="AM357" s="8">
        <f ca="1">IF(COUNTIF(PlayerGameData[PointOrder],PlayerGameData[[#This Row],[PointOrder]])&gt;1,RANK(PlayerGameData[[#This Row],[FGA]],PlayerGameData[FGA],0)/100,0)+PlayerGameData[[#This Row],[PointOrder]]</f>
        <v>187.14</v>
      </c>
      <c r="AN357" s="8">
        <f ca="1">RANK(PlayerGameData[[#This Row],[PointTieBreak]],PlayerGameData[PointTieBreak],1)</f>
        <v>216</v>
      </c>
      <c r="AO357" s="8">
        <f ca="1">RANK(PlayerGameData[[#This Row],[REB]],PlayerGameData[REB],0)+PlayerGameData[[#This Row],[VisibleOrder]]</f>
        <v>192</v>
      </c>
      <c r="AP357" s="8">
        <f ca="1">IF(COUNTIF(PlayerGameData[REBOrder],PlayerGameData[[#This Row],[REBOrder]])&gt;1,PlayerGameData[[#This Row],[PointRank]]/100+PlayerGameData[[#This Row],[REBOrder]],PlayerGameData[[#This Row],[REBOrder]])</f>
        <v>194.16</v>
      </c>
      <c r="AQ357" s="8">
        <f ca="1">RANK(PlayerGameData[[#This Row],[REBTieBreak]],PlayerGameData[REBTieBreak],1)</f>
        <v>224</v>
      </c>
      <c r="AR357" s="8">
        <f ca="1">RANK(PlayerGameData[[#This Row],[AST]],PlayerGameData[AST],0)+PlayerGameData[[#This Row],[VisibleOrder]]</f>
        <v>158</v>
      </c>
      <c r="AS357" s="8">
        <f ca="1">IF(COUNTIF(PlayerGameData[ASTOrder],PlayerGameData[[#This Row],[ASTOrder]])&gt;1,PlayerGameData[[#This Row],[PointRank]]/100+PlayerGameData[[#This Row],[ASTOrder]],PlayerGameData[[#This Row],[ASTOrder]])</f>
        <v>160.16</v>
      </c>
      <c r="AT357" s="8">
        <f ca="1">RANK(PlayerGameData[[#This Row],[ASTTieBreak]],PlayerGameData[ASTTieBreak],1)</f>
        <v>221</v>
      </c>
      <c r="AU357" s="8">
        <f ca="1">RANK(PlayerGameData[[#This Row],[STL]],PlayerGameData[STL],0)+PlayerGameData[[#This Row],[VisibleOrder]]</f>
        <v>143</v>
      </c>
      <c r="AV357" s="8">
        <f ca="1">IF(COUNTIF(PlayerGameData[STLOrder],PlayerGameData[[#This Row],[STLOrder]])&gt;1,PlayerGameData[[#This Row],[PointRank]]/100+PlayerGameData[[#This Row],[STLOrder]],PlayerGameData[[#This Row],[STLOrder]])</f>
        <v>145.16</v>
      </c>
      <c r="AW357" s="8">
        <f ca="1">RANK(PlayerGameData[[#This Row],[STLTieBreak]],PlayerGameData[STLTieBreak],1)</f>
        <v>217</v>
      </c>
      <c r="AX357" s="8">
        <f ca="1">RANK(PlayerGameData[[#This Row],[BLK]],PlayerGameData[BLK],0)+PlayerGameData[[#This Row],[VisibleOrder]]</f>
        <v>32</v>
      </c>
      <c r="AY357" s="8">
        <f ca="1">IF(COUNTIF(PlayerGameData[BLKOrder],PlayerGameData[[#This Row],[BLKOrder]])&gt;1,PlayerGameData[[#This Row],[PointRank]]/100+PlayerGameData[[#This Row],[BLKOrder]],PlayerGameData[[#This Row],[BLKOrder]])</f>
        <v>34.159999999999997</v>
      </c>
      <c r="AZ357" s="8">
        <f ca="1">RANK(PlayerGameData[[#This Row],[BLKTieBreak]],PlayerGameData[BLKTieBreak],1)</f>
        <v>216</v>
      </c>
      <c r="BA357" s="11">
        <f ca="1">IFERROR(IF(PlayerGameData[[#This Row],[FGA]]&gt;$AA$5,PlayerGameData[[#This Row],[FG%*]],PlayerGameData[[#This Row],[FG%*]]*-1),-2)</f>
        <v>-2</v>
      </c>
      <c r="BB357" s="8">
        <f ca="1">RANK(PlayerGameData[[#This Row],[EligFG]],PlayerGameData[EligFG],0)+PlayerGameData[[#This Row],[VisibleOrder]]</f>
        <v>215</v>
      </c>
      <c r="BC357" s="8">
        <f ca="1">IF(COUNTIF(PlayerGameData[EligFGOrder],PlayerGameData[[#This Row],[EligFGOrder]])&gt;1,PlayerGameData[[#This Row],[PointRank]]/100+PlayerGameData[[#This Row],[EligFGOrder]],PlayerGameData[[#This Row],[EligFGOrder]])</f>
        <v>217.16</v>
      </c>
      <c r="BD357" s="8">
        <f ca="1">RANK(PlayerGameData[[#This Row],[EligFGTieBreak]],PlayerGameData[EligFGTieBreak],1)</f>
        <v>216</v>
      </c>
      <c r="BE357" s="8" t="str">
        <f>Roster!$D$3</f>
        <v>East</v>
      </c>
      <c r="BF357" s="8" t="str">
        <f>Roster!$D$2</f>
        <v>Northeast</v>
      </c>
      <c r="BG357" s="8" t="str">
        <f>Roster!$D$4</f>
        <v>North</v>
      </c>
      <c r="BH357" s="197">
        <f ca="1">IFERROR(VLOOKUP(CONCATENATE(PlayerGameData[[#This Row],[Opponent]]," ",MONTH(PlayerGameData[[#This Row],[Date]]),"/",DAY(PlayerGameData[[#This Row],[Date]]),"/",YEAR(PlayerGameData[[#This Row],[Date]])),Table35[],2,FALSE),0)</f>
        <v>1</v>
      </c>
      <c r="BI357" s="197">
        <f ca="1">IF(PlayerGameData[[#This Row],[Visible]]=1,1,1000)</f>
        <v>1</v>
      </c>
      <c r="BJ357" s="197" t="e">
        <f ca="1">_xlfn.MAXIFS(TeamGameData[Win],TeamGameData[School, Opponent,Game'#],PlayerGameData[[#This Row],[School, Opponent,Game'#]])</f>
        <v>#NAME?</v>
      </c>
      <c r="BK357" s="197" t="e">
        <f ca="1">_xlfn.MAXIFS(TeamGameData[Loss],TeamGameData[School, Opponent,Game'#],PlayerGameData[[#This Row],[School, Opponent,Game'#]])</f>
        <v>#NAME?</v>
      </c>
    </row>
    <row r="358" spans="1:63" x14ac:dyDescent="0.25">
      <c r="A358" s="8" t="str">
        <f t="shared" ca="1" si="183"/>
        <v xml:space="preserve">, </v>
      </c>
      <c r="B358" s="8" t="str">
        <f>Roster!$B$1</f>
        <v>Upton</v>
      </c>
      <c r="C358" s="8" t="str">
        <f t="shared" ca="1" si="171"/>
        <v>Kaycee</v>
      </c>
      <c r="D358" s="10">
        <f t="shared" ca="1" si="172"/>
        <v>44960</v>
      </c>
      <c r="E358" s="8">
        <f t="shared" ca="1" si="173"/>
        <v>0</v>
      </c>
      <c r="F358" s="8">
        <f t="shared" ca="1" si="174"/>
        <v>0</v>
      </c>
      <c r="G358" s="8">
        <f t="shared" ca="1" si="175"/>
        <v>0</v>
      </c>
      <c r="H358" s="8">
        <f t="shared" ca="1" si="176"/>
        <v>0</v>
      </c>
      <c r="I358" s="8">
        <f t="shared" ca="1" si="177"/>
        <v>0</v>
      </c>
      <c r="J358" s="8">
        <f t="shared" ca="1" si="178"/>
        <v>0</v>
      </c>
      <c r="K358" s="8">
        <f t="shared" ca="1" si="179"/>
        <v>0</v>
      </c>
      <c r="L358" s="8">
        <f t="shared" ca="1" si="184"/>
        <v>0</v>
      </c>
      <c r="M358" s="8">
        <f t="shared" ca="1" si="185"/>
        <v>0</v>
      </c>
      <c r="N358" s="8">
        <f t="shared" ca="1" si="186"/>
        <v>0</v>
      </c>
      <c r="O358" s="8">
        <f t="shared" ca="1" si="187"/>
        <v>0</v>
      </c>
      <c r="P358" s="8">
        <f t="shared" ca="1" si="188"/>
        <v>0</v>
      </c>
      <c r="Q358" s="8">
        <f t="shared" ca="1" si="189"/>
        <v>0</v>
      </c>
      <c r="R358" s="8">
        <f t="shared" ca="1" si="190"/>
        <v>0</v>
      </c>
      <c r="S358" s="8">
        <f t="shared" ca="1" si="191"/>
        <v>0</v>
      </c>
      <c r="T358" s="8">
        <f t="shared" ca="1" si="192"/>
        <v>0</v>
      </c>
      <c r="U358" s="8">
        <f t="shared" ca="1" si="193"/>
        <v>0</v>
      </c>
      <c r="V358" s="8">
        <f t="shared" ca="1" si="194"/>
        <v>0</v>
      </c>
      <c r="W358" s="11" t="str">
        <f t="shared" ca="1" si="195"/>
        <v/>
      </c>
      <c r="X358" s="11" t="str">
        <f t="shared" ca="1" si="196"/>
        <v/>
      </c>
      <c r="Y358" s="11" t="str">
        <f t="shared" ca="1" si="197"/>
        <v/>
      </c>
      <c r="Z358" s="11" t="str">
        <f t="shared" ca="1" si="198"/>
        <v/>
      </c>
      <c r="AA358" s="11" t="str">
        <f t="shared" ca="1" si="199"/>
        <v/>
      </c>
      <c r="AB358" s="47">
        <f ca="1">PlayerGameData[[#This Row],[3FGA]]+PlayerGameData[[#This Row],[2FGA]]</f>
        <v>0</v>
      </c>
      <c r="AC358" s="47">
        <f ca="1">PlayerGameData[[#This Row],[OFF REB]]+PlayerGameData[[#This Row],[DEF REB]]</f>
        <v>0</v>
      </c>
      <c r="AD358" s="8">
        <f t="shared" si="180"/>
        <v>15</v>
      </c>
      <c r="AE358" s="8" t="str">
        <f t="shared" ca="1" si="181"/>
        <v>,  - Kaycee 2/3/2023</v>
      </c>
      <c r="AF358" s="8" t="str">
        <f t="shared" ca="1" si="200"/>
        <v>R</v>
      </c>
      <c r="AG358" s="8" t="str">
        <f ca="1">IFERROR(IF(C358=0,"",IF(AND(VLOOKUP(PlayerGameData[[#This Row],[Opponent]],WYTeamInfo,2,FALSE)=Roster!$D$1,VLOOKUP(PlayerGameData[[#This Row],[Opponent]],WYTeamInfo,3,FALSE)=Roster!$D$2),"SR","")),"")</f>
        <v>SR</v>
      </c>
      <c r="AH358" s="8" t="str">
        <f>CONCATENATE(Roster!$D$1," ",Roster!$D$5)</f>
        <v>1A BB</v>
      </c>
      <c r="AI358" s="8" t="str">
        <f t="shared" ca="1" si="182"/>
        <v>Upton - Kaycee 2/3/2023</v>
      </c>
      <c r="AJ358" s="8">
        <f ca="1">IFERROR(VLOOKUP(PlayerGameData[[#This Row],[School, Opponent,Game'#]],Table3[],2,FALSE),0)</f>
        <v>1</v>
      </c>
      <c r="AK358" s="8">
        <f ca="1">IF(PlayerGameData[[#This Row],[Visible]]=1,1,1000)</f>
        <v>1</v>
      </c>
      <c r="AL358" s="8">
        <f ca="1">RANK(PlayerGameData[[#This Row],[TL PTS]],PlayerGameData[TL PTS],0)+PlayerGameData[[#This Row],[VisibleOrder]]</f>
        <v>185</v>
      </c>
      <c r="AM358" s="8">
        <f ca="1">IF(COUNTIF(PlayerGameData[PointOrder],PlayerGameData[[#This Row],[PointOrder]])&gt;1,RANK(PlayerGameData[[#This Row],[FGA]],PlayerGameData[FGA],0)/100,0)+PlayerGameData[[#This Row],[PointOrder]]</f>
        <v>187.14</v>
      </c>
      <c r="AN358" s="8">
        <f ca="1">RANK(PlayerGameData[[#This Row],[PointTieBreak]],PlayerGameData[PointTieBreak],1)</f>
        <v>216</v>
      </c>
      <c r="AO358" s="8">
        <f ca="1">RANK(PlayerGameData[[#This Row],[REB]],PlayerGameData[REB],0)+PlayerGameData[[#This Row],[VisibleOrder]]</f>
        <v>192</v>
      </c>
      <c r="AP358" s="8">
        <f ca="1">IF(COUNTIF(PlayerGameData[REBOrder],PlayerGameData[[#This Row],[REBOrder]])&gt;1,PlayerGameData[[#This Row],[PointRank]]/100+PlayerGameData[[#This Row],[REBOrder]],PlayerGameData[[#This Row],[REBOrder]])</f>
        <v>194.16</v>
      </c>
      <c r="AQ358" s="8">
        <f ca="1">RANK(PlayerGameData[[#This Row],[REBTieBreak]],PlayerGameData[REBTieBreak],1)</f>
        <v>224</v>
      </c>
      <c r="AR358" s="8">
        <f ca="1">RANK(PlayerGameData[[#This Row],[AST]],PlayerGameData[AST],0)+PlayerGameData[[#This Row],[VisibleOrder]]</f>
        <v>158</v>
      </c>
      <c r="AS358" s="8">
        <f ca="1">IF(COUNTIF(PlayerGameData[ASTOrder],PlayerGameData[[#This Row],[ASTOrder]])&gt;1,PlayerGameData[[#This Row],[PointRank]]/100+PlayerGameData[[#This Row],[ASTOrder]],PlayerGameData[[#This Row],[ASTOrder]])</f>
        <v>160.16</v>
      </c>
      <c r="AT358" s="8">
        <f ca="1">RANK(PlayerGameData[[#This Row],[ASTTieBreak]],PlayerGameData[ASTTieBreak],1)</f>
        <v>221</v>
      </c>
      <c r="AU358" s="8">
        <f ca="1">RANK(PlayerGameData[[#This Row],[STL]],PlayerGameData[STL],0)+PlayerGameData[[#This Row],[VisibleOrder]]</f>
        <v>143</v>
      </c>
      <c r="AV358" s="8">
        <f ca="1">IF(COUNTIF(PlayerGameData[STLOrder],PlayerGameData[[#This Row],[STLOrder]])&gt;1,PlayerGameData[[#This Row],[PointRank]]/100+PlayerGameData[[#This Row],[STLOrder]],PlayerGameData[[#This Row],[STLOrder]])</f>
        <v>145.16</v>
      </c>
      <c r="AW358" s="8">
        <f ca="1">RANK(PlayerGameData[[#This Row],[STLTieBreak]],PlayerGameData[STLTieBreak],1)</f>
        <v>217</v>
      </c>
      <c r="AX358" s="8">
        <f ca="1">RANK(PlayerGameData[[#This Row],[BLK]],PlayerGameData[BLK],0)+PlayerGameData[[#This Row],[VisibleOrder]]</f>
        <v>32</v>
      </c>
      <c r="AY358" s="8">
        <f ca="1">IF(COUNTIF(PlayerGameData[BLKOrder],PlayerGameData[[#This Row],[BLKOrder]])&gt;1,PlayerGameData[[#This Row],[PointRank]]/100+PlayerGameData[[#This Row],[BLKOrder]],PlayerGameData[[#This Row],[BLKOrder]])</f>
        <v>34.159999999999997</v>
      </c>
      <c r="AZ358" s="8">
        <f ca="1">RANK(PlayerGameData[[#This Row],[BLKTieBreak]],PlayerGameData[BLKTieBreak],1)</f>
        <v>216</v>
      </c>
      <c r="BA358" s="11">
        <f ca="1">IFERROR(IF(PlayerGameData[[#This Row],[FGA]]&gt;$AA$5,PlayerGameData[[#This Row],[FG%*]],PlayerGameData[[#This Row],[FG%*]]*-1),-2)</f>
        <v>-2</v>
      </c>
      <c r="BB358" s="8">
        <f ca="1">RANK(PlayerGameData[[#This Row],[EligFG]],PlayerGameData[EligFG],0)+PlayerGameData[[#This Row],[VisibleOrder]]</f>
        <v>215</v>
      </c>
      <c r="BC358" s="8">
        <f ca="1">IF(COUNTIF(PlayerGameData[EligFGOrder],PlayerGameData[[#This Row],[EligFGOrder]])&gt;1,PlayerGameData[[#This Row],[PointRank]]/100+PlayerGameData[[#This Row],[EligFGOrder]],PlayerGameData[[#This Row],[EligFGOrder]])</f>
        <v>217.16</v>
      </c>
      <c r="BD358" s="8">
        <f ca="1">RANK(PlayerGameData[[#This Row],[EligFGTieBreak]],PlayerGameData[EligFGTieBreak],1)</f>
        <v>216</v>
      </c>
      <c r="BE358" s="8" t="str">
        <f>Roster!$D$3</f>
        <v>East</v>
      </c>
      <c r="BF358" s="8" t="str">
        <f>Roster!$D$2</f>
        <v>Northeast</v>
      </c>
      <c r="BG358" s="8" t="str">
        <f>Roster!$D$4</f>
        <v>North</v>
      </c>
      <c r="BH358" s="197">
        <f ca="1">IFERROR(VLOOKUP(CONCATENATE(PlayerGameData[[#This Row],[Opponent]]," ",MONTH(PlayerGameData[[#This Row],[Date]]),"/",DAY(PlayerGameData[[#This Row],[Date]]),"/",YEAR(PlayerGameData[[#This Row],[Date]])),Table35[],2,FALSE),0)</f>
        <v>1</v>
      </c>
      <c r="BI358" s="197">
        <f ca="1">IF(PlayerGameData[[#This Row],[Visible]]=1,1,1000)</f>
        <v>1</v>
      </c>
      <c r="BJ358" s="197" t="e">
        <f ca="1">_xlfn.MAXIFS(TeamGameData[Win],TeamGameData[School, Opponent,Game'#],PlayerGameData[[#This Row],[School, Opponent,Game'#]])</f>
        <v>#NAME?</v>
      </c>
      <c r="BK358" s="197" t="e">
        <f ca="1">_xlfn.MAXIFS(TeamGameData[Loss],TeamGameData[School, Opponent,Game'#],PlayerGameData[[#This Row],[School, Opponent,Game'#]])</f>
        <v>#NAME?</v>
      </c>
    </row>
    <row r="359" spans="1:63" x14ac:dyDescent="0.25">
      <c r="A359" s="8" t="str">
        <f t="shared" ca="1" si="183"/>
        <v xml:space="preserve">, </v>
      </c>
      <c r="B359" s="8" t="str">
        <f>Roster!$B$1</f>
        <v>Upton</v>
      </c>
      <c r="C359" s="8" t="str">
        <f t="shared" ca="1" si="171"/>
        <v>Kaycee</v>
      </c>
      <c r="D359" s="10">
        <f t="shared" ca="1" si="172"/>
        <v>44960</v>
      </c>
      <c r="E359" s="8">
        <f t="shared" ca="1" si="173"/>
        <v>0</v>
      </c>
      <c r="F359" s="8">
        <f t="shared" ca="1" si="174"/>
        <v>0</v>
      </c>
      <c r="G359" s="8">
        <f t="shared" ca="1" si="175"/>
        <v>0</v>
      </c>
      <c r="H359" s="8">
        <f t="shared" ca="1" si="176"/>
        <v>0</v>
      </c>
      <c r="I359" s="8">
        <f t="shared" ca="1" si="177"/>
        <v>0</v>
      </c>
      <c r="J359" s="8">
        <f t="shared" ca="1" si="178"/>
        <v>0</v>
      </c>
      <c r="K359" s="8">
        <f t="shared" ca="1" si="179"/>
        <v>0</v>
      </c>
      <c r="L359" s="8">
        <f t="shared" ca="1" si="184"/>
        <v>0</v>
      </c>
      <c r="M359" s="8">
        <f t="shared" ca="1" si="185"/>
        <v>0</v>
      </c>
      <c r="N359" s="8">
        <f t="shared" ca="1" si="186"/>
        <v>0</v>
      </c>
      <c r="O359" s="8">
        <f t="shared" ca="1" si="187"/>
        <v>0</v>
      </c>
      <c r="P359" s="8">
        <f t="shared" ca="1" si="188"/>
        <v>0</v>
      </c>
      <c r="Q359" s="8">
        <f t="shared" ca="1" si="189"/>
        <v>0</v>
      </c>
      <c r="R359" s="8">
        <f t="shared" ca="1" si="190"/>
        <v>0</v>
      </c>
      <c r="S359" s="8">
        <f t="shared" ca="1" si="191"/>
        <v>0</v>
      </c>
      <c r="T359" s="8">
        <f t="shared" ca="1" si="192"/>
        <v>0</v>
      </c>
      <c r="U359" s="8">
        <f t="shared" ca="1" si="193"/>
        <v>0</v>
      </c>
      <c r="V359" s="8">
        <f t="shared" ca="1" si="194"/>
        <v>0</v>
      </c>
      <c r="W359" s="11" t="str">
        <f t="shared" ca="1" si="195"/>
        <v/>
      </c>
      <c r="X359" s="11" t="str">
        <f t="shared" ca="1" si="196"/>
        <v/>
      </c>
      <c r="Y359" s="11" t="str">
        <f t="shared" ca="1" si="197"/>
        <v/>
      </c>
      <c r="Z359" s="11" t="str">
        <f t="shared" ca="1" si="198"/>
        <v/>
      </c>
      <c r="AA359" s="11" t="str">
        <f t="shared" ca="1" si="199"/>
        <v/>
      </c>
      <c r="AB359" s="47">
        <f ca="1">PlayerGameData[[#This Row],[3FGA]]+PlayerGameData[[#This Row],[2FGA]]</f>
        <v>0</v>
      </c>
      <c r="AC359" s="47">
        <f ca="1">PlayerGameData[[#This Row],[OFF REB]]+PlayerGameData[[#This Row],[DEF REB]]</f>
        <v>0</v>
      </c>
      <c r="AD359" s="8">
        <f t="shared" si="180"/>
        <v>15</v>
      </c>
      <c r="AE359" s="8" t="str">
        <f t="shared" ca="1" si="181"/>
        <v>,  - Kaycee 2/3/2023</v>
      </c>
      <c r="AF359" s="8" t="str">
        <f t="shared" ca="1" si="200"/>
        <v>R</v>
      </c>
      <c r="AG359" s="8" t="str">
        <f ca="1">IFERROR(IF(C359=0,"",IF(AND(VLOOKUP(PlayerGameData[[#This Row],[Opponent]],WYTeamInfo,2,FALSE)=Roster!$D$1,VLOOKUP(PlayerGameData[[#This Row],[Opponent]],WYTeamInfo,3,FALSE)=Roster!$D$2),"SR","")),"")</f>
        <v>SR</v>
      </c>
      <c r="AH359" s="8" t="str">
        <f>CONCATENATE(Roster!$D$1," ",Roster!$D$5)</f>
        <v>1A BB</v>
      </c>
      <c r="AI359" s="8" t="str">
        <f t="shared" ca="1" si="182"/>
        <v>Upton - Kaycee 2/3/2023</v>
      </c>
      <c r="AJ359" s="8">
        <f ca="1">IFERROR(VLOOKUP(PlayerGameData[[#This Row],[School, Opponent,Game'#]],Table3[],2,FALSE),0)</f>
        <v>1</v>
      </c>
      <c r="AK359" s="8">
        <f ca="1">IF(PlayerGameData[[#This Row],[Visible]]=1,1,1000)</f>
        <v>1</v>
      </c>
      <c r="AL359" s="8">
        <f ca="1">RANK(PlayerGameData[[#This Row],[TL PTS]],PlayerGameData[TL PTS],0)+PlayerGameData[[#This Row],[VisibleOrder]]</f>
        <v>185</v>
      </c>
      <c r="AM359" s="8">
        <f ca="1">IF(COUNTIF(PlayerGameData[PointOrder],PlayerGameData[[#This Row],[PointOrder]])&gt;1,RANK(PlayerGameData[[#This Row],[FGA]],PlayerGameData[FGA],0)/100,0)+PlayerGameData[[#This Row],[PointOrder]]</f>
        <v>187.14</v>
      </c>
      <c r="AN359" s="8">
        <f ca="1">RANK(PlayerGameData[[#This Row],[PointTieBreak]],PlayerGameData[PointTieBreak],1)</f>
        <v>216</v>
      </c>
      <c r="AO359" s="8">
        <f ca="1">RANK(PlayerGameData[[#This Row],[REB]],PlayerGameData[REB],0)+PlayerGameData[[#This Row],[VisibleOrder]]</f>
        <v>192</v>
      </c>
      <c r="AP359" s="8">
        <f ca="1">IF(COUNTIF(PlayerGameData[REBOrder],PlayerGameData[[#This Row],[REBOrder]])&gt;1,PlayerGameData[[#This Row],[PointRank]]/100+PlayerGameData[[#This Row],[REBOrder]],PlayerGameData[[#This Row],[REBOrder]])</f>
        <v>194.16</v>
      </c>
      <c r="AQ359" s="8">
        <f ca="1">RANK(PlayerGameData[[#This Row],[REBTieBreak]],PlayerGameData[REBTieBreak],1)</f>
        <v>224</v>
      </c>
      <c r="AR359" s="8">
        <f ca="1">RANK(PlayerGameData[[#This Row],[AST]],PlayerGameData[AST],0)+PlayerGameData[[#This Row],[VisibleOrder]]</f>
        <v>158</v>
      </c>
      <c r="AS359" s="8">
        <f ca="1">IF(COUNTIF(PlayerGameData[ASTOrder],PlayerGameData[[#This Row],[ASTOrder]])&gt;1,PlayerGameData[[#This Row],[PointRank]]/100+PlayerGameData[[#This Row],[ASTOrder]],PlayerGameData[[#This Row],[ASTOrder]])</f>
        <v>160.16</v>
      </c>
      <c r="AT359" s="8">
        <f ca="1">RANK(PlayerGameData[[#This Row],[ASTTieBreak]],PlayerGameData[ASTTieBreak],1)</f>
        <v>221</v>
      </c>
      <c r="AU359" s="8">
        <f ca="1">RANK(PlayerGameData[[#This Row],[STL]],PlayerGameData[STL],0)+PlayerGameData[[#This Row],[VisibleOrder]]</f>
        <v>143</v>
      </c>
      <c r="AV359" s="8">
        <f ca="1">IF(COUNTIF(PlayerGameData[STLOrder],PlayerGameData[[#This Row],[STLOrder]])&gt;1,PlayerGameData[[#This Row],[PointRank]]/100+PlayerGameData[[#This Row],[STLOrder]],PlayerGameData[[#This Row],[STLOrder]])</f>
        <v>145.16</v>
      </c>
      <c r="AW359" s="8">
        <f ca="1">RANK(PlayerGameData[[#This Row],[STLTieBreak]],PlayerGameData[STLTieBreak],1)</f>
        <v>217</v>
      </c>
      <c r="AX359" s="8">
        <f ca="1">RANK(PlayerGameData[[#This Row],[BLK]],PlayerGameData[BLK],0)+PlayerGameData[[#This Row],[VisibleOrder]]</f>
        <v>32</v>
      </c>
      <c r="AY359" s="8">
        <f ca="1">IF(COUNTIF(PlayerGameData[BLKOrder],PlayerGameData[[#This Row],[BLKOrder]])&gt;1,PlayerGameData[[#This Row],[PointRank]]/100+PlayerGameData[[#This Row],[BLKOrder]],PlayerGameData[[#This Row],[BLKOrder]])</f>
        <v>34.159999999999997</v>
      </c>
      <c r="AZ359" s="8">
        <f ca="1">RANK(PlayerGameData[[#This Row],[BLKTieBreak]],PlayerGameData[BLKTieBreak],1)</f>
        <v>216</v>
      </c>
      <c r="BA359" s="11">
        <f ca="1">IFERROR(IF(PlayerGameData[[#This Row],[FGA]]&gt;$AA$5,PlayerGameData[[#This Row],[FG%*]],PlayerGameData[[#This Row],[FG%*]]*-1),-2)</f>
        <v>-2</v>
      </c>
      <c r="BB359" s="8">
        <f ca="1">RANK(PlayerGameData[[#This Row],[EligFG]],PlayerGameData[EligFG],0)+PlayerGameData[[#This Row],[VisibleOrder]]</f>
        <v>215</v>
      </c>
      <c r="BC359" s="8">
        <f ca="1">IF(COUNTIF(PlayerGameData[EligFGOrder],PlayerGameData[[#This Row],[EligFGOrder]])&gt;1,PlayerGameData[[#This Row],[PointRank]]/100+PlayerGameData[[#This Row],[EligFGOrder]],PlayerGameData[[#This Row],[EligFGOrder]])</f>
        <v>217.16</v>
      </c>
      <c r="BD359" s="8">
        <f ca="1">RANK(PlayerGameData[[#This Row],[EligFGTieBreak]],PlayerGameData[EligFGTieBreak],1)</f>
        <v>216</v>
      </c>
      <c r="BE359" s="8" t="str">
        <f>Roster!$D$3</f>
        <v>East</v>
      </c>
      <c r="BF359" s="8" t="str">
        <f>Roster!$D$2</f>
        <v>Northeast</v>
      </c>
      <c r="BG359" s="8" t="str">
        <f>Roster!$D$4</f>
        <v>North</v>
      </c>
      <c r="BH359" s="197">
        <f ca="1">IFERROR(VLOOKUP(CONCATENATE(PlayerGameData[[#This Row],[Opponent]]," ",MONTH(PlayerGameData[[#This Row],[Date]]),"/",DAY(PlayerGameData[[#This Row],[Date]]),"/",YEAR(PlayerGameData[[#This Row],[Date]])),Table35[],2,FALSE),0)</f>
        <v>1</v>
      </c>
      <c r="BI359" s="197">
        <f ca="1">IF(PlayerGameData[[#This Row],[Visible]]=1,1,1000)</f>
        <v>1</v>
      </c>
      <c r="BJ359" s="197" t="e">
        <f ca="1">_xlfn.MAXIFS(TeamGameData[Win],TeamGameData[School, Opponent,Game'#],PlayerGameData[[#This Row],[School, Opponent,Game'#]])</f>
        <v>#NAME?</v>
      </c>
      <c r="BK359" s="197" t="e">
        <f ca="1">_xlfn.MAXIFS(TeamGameData[Loss],TeamGameData[School, Opponent,Game'#],PlayerGameData[[#This Row],[School, Opponent,Game'#]])</f>
        <v>#NAME?</v>
      </c>
    </row>
    <row r="360" spans="1:63" x14ac:dyDescent="0.25">
      <c r="A360" s="8" t="str">
        <f t="shared" ca="1" si="183"/>
        <v xml:space="preserve">, </v>
      </c>
      <c r="B360" s="8" t="str">
        <f>Roster!$B$1</f>
        <v>Upton</v>
      </c>
      <c r="C360" s="8" t="str">
        <f t="shared" ca="1" si="171"/>
        <v>Kaycee</v>
      </c>
      <c r="D360" s="10">
        <f t="shared" ca="1" si="172"/>
        <v>44960</v>
      </c>
      <c r="E360" s="8">
        <f t="shared" ca="1" si="173"/>
        <v>0</v>
      </c>
      <c r="F360" s="8">
        <f t="shared" ca="1" si="174"/>
        <v>0</v>
      </c>
      <c r="G360" s="8">
        <f t="shared" ca="1" si="175"/>
        <v>0</v>
      </c>
      <c r="H360" s="8">
        <f t="shared" ca="1" si="176"/>
        <v>0</v>
      </c>
      <c r="I360" s="8">
        <f t="shared" ca="1" si="177"/>
        <v>0</v>
      </c>
      <c r="J360" s="8">
        <f t="shared" ca="1" si="178"/>
        <v>0</v>
      </c>
      <c r="K360" s="8">
        <f t="shared" ca="1" si="179"/>
        <v>0</v>
      </c>
      <c r="L360" s="8">
        <f t="shared" ca="1" si="184"/>
        <v>0</v>
      </c>
      <c r="M360" s="8">
        <f t="shared" ca="1" si="185"/>
        <v>0</v>
      </c>
      <c r="N360" s="8">
        <f t="shared" ca="1" si="186"/>
        <v>0</v>
      </c>
      <c r="O360" s="8">
        <f t="shared" ca="1" si="187"/>
        <v>0</v>
      </c>
      <c r="P360" s="8">
        <f t="shared" ca="1" si="188"/>
        <v>0</v>
      </c>
      <c r="Q360" s="8">
        <f t="shared" ca="1" si="189"/>
        <v>0</v>
      </c>
      <c r="R360" s="8">
        <f t="shared" ca="1" si="190"/>
        <v>0</v>
      </c>
      <c r="S360" s="8">
        <f t="shared" ca="1" si="191"/>
        <v>0</v>
      </c>
      <c r="T360" s="8">
        <f t="shared" ca="1" si="192"/>
        <v>0</v>
      </c>
      <c r="U360" s="8">
        <f t="shared" ca="1" si="193"/>
        <v>0</v>
      </c>
      <c r="V360" s="8">
        <f t="shared" ca="1" si="194"/>
        <v>0</v>
      </c>
      <c r="W360" s="11" t="str">
        <f t="shared" ca="1" si="195"/>
        <v/>
      </c>
      <c r="X360" s="11" t="str">
        <f t="shared" ca="1" si="196"/>
        <v/>
      </c>
      <c r="Y360" s="11" t="str">
        <f t="shared" ca="1" si="197"/>
        <v/>
      </c>
      <c r="Z360" s="11" t="str">
        <f t="shared" ca="1" si="198"/>
        <v/>
      </c>
      <c r="AA360" s="11" t="str">
        <f t="shared" ca="1" si="199"/>
        <v/>
      </c>
      <c r="AB360" s="47">
        <f ca="1">PlayerGameData[[#This Row],[3FGA]]+PlayerGameData[[#This Row],[2FGA]]</f>
        <v>0</v>
      </c>
      <c r="AC360" s="47">
        <f ca="1">PlayerGameData[[#This Row],[OFF REB]]+PlayerGameData[[#This Row],[DEF REB]]</f>
        <v>0</v>
      </c>
      <c r="AD360" s="8">
        <f t="shared" si="180"/>
        <v>15</v>
      </c>
      <c r="AE360" s="8" t="str">
        <f t="shared" ca="1" si="181"/>
        <v>,  - Kaycee 2/3/2023</v>
      </c>
      <c r="AF360" s="8" t="str">
        <f t="shared" ca="1" si="200"/>
        <v>R</v>
      </c>
      <c r="AG360" s="8" t="str">
        <f ca="1">IFERROR(IF(C360=0,"",IF(AND(VLOOKUP(PlayerGameData[[#This Row],[Opponent]],WYTeamInfo,2,FALSE)=Roster!$D$1,VLOOKUP(PlayerGameData[[#This Row],[Opponent]],WYTeamInfo,3,FALSE)=Roster!$D$2),"SR","")),"")</f>
        <v>SR</v>
      </c>
      <c r="AH360" s="8" t="str">
        <f>CONCATENATE(Roster!$D$1," ",Roster!$D$5)</f>
        <v>1A BB</v>
      </c>
      <c r="AI360" s="8" t="str">
        <f t="shared" ca="1" si="182"/>
        <v>Upton - Kaycee 2/3/2023</v>
      </c>
      <c r="AJ360" s="8">
        <f ca="1">IFERROR(VLOOKUP(PlayerGameData[[#This Row],[School, Opponent,Game'#]],Table3[],2,FALSE),0)</f>
        <v>1</v>
      </c>
      <c r="AK360" s="8">
        <f ca="1">IF(PlayerGameData[[#This Row],[Visible]]=1,1,1000)</f>
        <v>1</v>
      </c>
      <c r="AL360" s="8">
        <f ca="1">RANK(PlayerGameData[[#This Row],[TL PTS]],PlayerGameData[TL PTS],0)+PlayerGameData[[#This Row],[VisibleOrder]]</f>
        <v>185</v>
      </c>
      <c r="AM360" s="8">
        <f ca="1">IF(COUNTIF(PlayerGameData[PointOrder],PlayerGameData[[#This Row],[PointOrder]])&gt;1,RANK(PlayerGameData[[#This Row],[FGA]],PlayerGameData[FGA],0)/100,0)+PlayerGameData[[#This Row],[PointOrder]]</f>
        <v>187.14</v>
      </c>
      <c r="AN360" s="8">
        <f ca="1">RANK(PlayerGameData[[#This Row],[PointTieBreak]],PlayerGameData[PointTieBreak],1)</f>
        <v>216</v>
      </c>
      <c r="AO360" s="8">
        <f ca="1">RANK(PlayerGameData[[#This Row],[REB]],PlayerGameData[REB],0)+PlayerGameData[[#This Row],[VisibleOrder]]</f>
        <v>192</v>
      </c>
      <c r="AP360" s="8">
        <f ca="1">IF(COUNTIF(PlayerGameData[REBOrder],PlayerGameData[[#This Row],[REBOrder]])&gt;1,PlayerGameData[[#This Row],[PointRank]]/100+PlayerGameData[[#This Row],[REBOrder]],PlayerGameData[[#This Row],[REBOrder]])</f>
        <v>194.16</v>
      </c>
      <c r="AQ360" s="8">
        <f ca="1">RANK(PlayerGameData[[#This Row],[REBTieBreak]],PlayerGameData[REBTieBreak],1)</f>
        <v>224</v>
      </c>
      <c r="AR360" s="8">
        <f ca="1">RANK(PlayerGameData[[#This Row],[AST]],PlayerGameData[AST],0)+PlayerGameData[[#This Row],[VisibleOrder]]</f>
        <v>158</v>
      </c>
      <c r="AS360" s="8">
        <f ca="1">IF(COUNTIF(PlayerGameData[ASTOrder],PlayerGameData[[#This Row],[ASTOrder]])&gt;1,PlayerGameData[[#This Row],[PointRank]]/100+PlayerGameData[[#This Row],[ASTOrder]],PlayerGameData[[#This Row],[ASTOrder]])</f>
        <v>160.16</v>
      </c>
      <c r="AT360" s="8">
        <f ca="1">RANK(PlayerGameData[[#This Row],[ASTTieBreak]],PlayerGameData[ASTTieBreak],1)</f>
        <v>221</v>
      </c>
      <c r="AU360" s="8">
        <f ca="1">RANK(PlayerGameData[[#This Row],[STL]],PlayerGameData[STL],0)+PlayerGameData[[#This Row],[VisibleOrder]]</f>
        <v>143</v>
      </c>
      <c r="AV360" s="8">
        <f ca="1">IF(COUNTIF(PlayerGameData[STLOrder],PlayerGameData[[#This Row],[STLOrder]])&gt;1,PlayerGameData[[#This Row],[PointRank]]/100+PlayerGameData[[#This Row],[STLOrder]],PlayerGameData[[#This Row],[STLOrder]])</f>
        <v>145.16</v>
      </c>
      <c r="AW360" s="8">
        <f ca="1">RANK(PlayerGameData[[#This Row],[STLTieBreak]],PlayerGameData[STLTieBreak],1)</f>
        <v>217</v>
      </c>
      <c r="AX360" s="8">
        <f ca="1">RANK(PlayerGameData[[#This Row],[BLK]],PlayerGameData[BLK],0)+PlayerGameData[[#This Row],[VisibleOrder]]</f>
        <v>32</v>
      </c>
      <c r="AY360" s="8">
        <f ca="1">IF(COUNTIF(PlayerGameData[BLKOrder],PlayerGameData[[#This Row],[BLKOrder]])&gt;1,PlayerGameData[[#This Row],[PointRank]]/100+PlayerGameData[[#This Row],[BLKOrder]],PlayerGameData[[#This Row],[BLKOrder]])</f>
        <v>34.159999999999997</v>
      </c>
      <c r="AZ360" s="8">
        <f ca="1">RANK(PlayerGameData[[#This Row],[BLKTieBreak]],PlayerGameData[BLKTieBreak],1)</f>
        <v>216</v>
      </c>
      <c r="BA360" s="11">
        <f ca="1">IFERROR(IF(PlayerGameData[[#This Row],[FGA]]&gt;$AA$5,PlayerGameData[[#This Row],[FG%*]],PlayerGameData[[#This Row],[FG%*]]*-1),-2)</f>
        <v>-2</v>
      </c>
      <c r="BB360" s="8">
        <f ca="1">RANK(PlayerGameData[[#This Row],[EligFG]],PlayerGameData[EligFG],0)+PlayerGameData[[#This Row],[VisibleOrder]]</f>
        <v>215</v>
      </c>
      <c r="BC360" s="8">
        <f ca="1">IF(COUNTIF(PlayerGameData[EligFGOrder],PlayerGameData[[#This Row],[EligFGOrder]])&gt;1,PlayerGameData[[#This Row],[PointRank]]/100+PlayerGameData[[#This Row],[EligFGOrder]],PlayerGameData[[#This Row],[EligFGOrder]])</f>
        <v>217.16</v>
      </c>
      <c r="BD360" s="8">
        <f ca="1">RANK(PlayerGameData[[#This Row],[EligFGTieBreak]],PlayerGameData[EligFGTieBreak],1)</f>
        <v>216</v>
      </c>
      <c r="BE360" s="8" t="str">
        <f>Roster!$D$3</f>
        <v>East</v>
      </c>
      <c r="BF360" s="8" t="str">
        <f>Roster!$D$2</f>
        <v>Northeast</v>
      </c>
      <c r="BG360" s="8" t="str">
        <f>Roster!$D$4</f>
        <v>North</v>
      </c>
      <c r="BH360" s="197">
        <f ca="1">IFERROR(VLOOKUP(CONCATENATE(PlayerGameData[[#This Row],[Opponent]]," ",MONTH(PlayerGameData[[#This Row],[Date]]),"/",DAY(PlayerGameData[[#This Row],[Date]]),"/",YEAR(PlayerGameData[[#This Row],[Date]])),Table35[],2,FALSE),0)</f>
        <v>1</v>
      </c>
      <c r="BI360" s="197">
        <f ca="1">IF(PlayerGameData[[#This Row],[Visible]]=1,1,1000)</f>
        <v>1</v>
      </c>
      <c r="BJ360" s="197" t="e">
        <f ca="1">_xlfn.MAXIFS(TeamGameData[Win],TeamGameData[School, Opponent,Game'#],PlayerGameData[[#This Row],[School, Opponent,Game'#]])</f>
        <v>#NAME?</v>
      </c>
      <c r="BK360" s="197" t="e">
        <f ca="1">_xlfn.MAXIFS(TeamGameData[Loss],TeamGameData[School, Opponent,Game'#],PlayerGameData[[#This Row],[School, Opponent,Game'#]])</f>
        <v>#NAME?</v>
      </c>
    </row>
    <row r="361" spans="1:63" x14ac:dyDescent="0.25">
      <c r="A361" s="8" t="str">
        <f t="shared" ca="1" si="183"/>
        <v xml:space="preserve">, </v>
      </c>
      <c r="B361" s="8" t="str">
        <f>Roster!$B$1</f>
        <v>Upton</v>
      </c>
      <c r="C361" s="8" t="str">
        <f t="shared" ca="1" si="171"/>
        <v>Kaycee</v>
      </c>
      <c r="D361" s="10">
        <f t="shared" ca="1" si="172"/>
        <v>44960</v>
      </c>
      <c r="E361" s="8">
        <f t="shared" ca="1" si="173"/>
        <v>0</v>
      </c>
      <c r="F361" s="8">
        <f t="shared" ca="1" si="174"/>
        <v>0</v>
      </c>
      <c r="G361" s="8">
        <f t="shared" ca="1" si="175"/>
        <v>0</v>
      </c>
      <c r="H361" s="8">
        <f t="shared" ca="1" si="176"/>
        <v>0</v>
      </c>
      <c r="I361" s="8">
        <f t="shared" ca="1" si="177"/>
        <v>0</v>
      </c>
      <c r="J361" s="8">
        <f t="shared" ca="1" si="178"/>
        <v>0</v>
      </c>
      <c r="K361" s="8">
        <f t="shared" ca="1" si="179"/>
        <v>0</v>
      </c>
      <c r="L361" s="8">
        <f t="shared" ca="1" si="184"/>
        <v>0</v>
      </c>
      <c r="M361" s="8">
        <f t="shared" ca="1" si="185"/>
        <v>0</v>
      </c>
      <c r="N361" s="8">
        <f t="shared" ca="1" si="186"/>
        <v>0</v>
      </c>
      <c r="O361" s="8">
        <f t="shared" ca="1" si="187"/>
        <v>0</v>
      </c>
      <c r="P361" s="8">
        <f t="shared" ca="1" si="188"/>
        <v>0</v>
      </c>
      <c r="Q361" s="8">
        <f t="shared" ca="1" si="189"/>
        <v>0</v>
      </c>
      <c r="R361" s="8">
        <f t="shared" ca="1" si="190"/>
        <v>0</v>
      </c>
      <c r="S361" s="8">
        <f t="shared" ca="1" si="191"/>
        <v>0</v>
      </c>
      <c r="T361" s="8">
        <f t="shared" ca="1" si="192"/>
        <v>0</v>
      </c>
      <c r="U361" s="8">
        <f t="shared" ca="1" si="193"/>
        <v>0</v>
      </c>
      <c r="V361" s="8">
        <f t="shared" ca="1" si="194"/>
        <v>0</v>
      </c>
      <c r="W361" s="11" t="str">
        <f t="shared" ca="1" si="195"/>
        <v/>
      </c>
      <c r="X361" s="11" t="str">
        <f t="shared" ca="1" si="196"/>
        <v/>
      </c>
      <c r="Y361" s="11" t="str">
        <f t="shared" ca="1" si="197"/>
        <v/>
      </c>
      <c r="Z361" s="11" t="str">
        <f t="shared" ca="1" si="198"/>
        <v/>
      </c>
      <c r="AA361" s="11" t="str">
        <f t="shared" ca="1" si="199"/>
        <v/>
      </c>
      <c r="AB361" s="47">
        <f ca="1">PlayerGameData[[#This Row],[3FGA]]+PlayerGameData[[#This Row],[2FGA]]</f>
        <v>0</v>
      </c>
      <c r="AC361" s="47">
        <f ca="1">PlayerGameData[[#This Row],[OFF REB]]+PlayerGameData[[#This Row],[DEF REB]]</f>
        <v>0</v>
      </c>
      <c r="AD361" s="8">
        <f t="shared" si="180"/>
        <v>15</v>
      </c>
      <c r="AE361" s="8" t="str">
        <f t="shared" ca="1" si="181"/>
        <v>,  - Kaycee 2/3/2023</v>
      </c>
      <c r="AF361" s="8" t="str">
        <f t="shared" ca="1" si="200"/>
        <v>R</v>
      </c>
      <c r="AG361" s="8" t="str">
        <f ca="1">IFERROR(IF(C361=0,"",IF(AND(VLOOKUP(PlayerGameData[[#This Row],[Opponent]],WYTeamInfo,2,FALSE)=Roster!$D$1,VLOOKUP(PlayerGameData[[#This Row],[Opponent]],WYTeamInfo,3,FALSE)=Roster!$D$2),"SR","")),"")</f>
        <v>SR</v>
      </c>
      <c r="AH361" s="8" t="str">
        <f>CONCATENATE(Roster!$D$1," ",Roster!$D$5)</f>
        <v>1A BB</v>
      </c>
      <c r="AI361" s="8" t="str">
        <f t="shared" ca="1" si="182"/>
        <v>Upton - Kaycee 2/3/2023</v>
      </c>
      <c r="AJ361" s="8">
        <f ca="1">IFERROR(VLOOKUP(PlayerGameData[[#This Row],[School, Opponent,Game'#]],Table3[],2,FALSE),0)</f>
        <v>1</v>
      </c>
      <c r="AK361" s="8">
        <f ca="1">IF(PlayerGameData[[#This Row],[Visible]]=1,1,1000)</f>
        <v>1</v>
      </c>
      <c r="AL361" s="8">
        <f ca="1">RANK(PlayerGameData[[#This Row],[TL PTS]],PlayerGameData[TL PTS],0)+PlayerGameData[[#This Row],[VisibleOrder]]</f>
        <v>185</v>
      </c>
      <c r="AM361" s="8">
        <f ca="1">IF(COUNTIF(PlayerGameData[PointOrder],PlayerGameData[[#This Row],[PointOrder]])&gt;1,RANK(PlayerGameData[[#This Row],[FGA]],PlayerGameData[FGA],0)/100,0)+PlayerGameData[[#This Row],[PointOrder]]</f>
        <v>187.14</v>
      </c>
      <c r="AN361" s="8">
        <f ca="1">RANK(PlayerGameData[[#This Row],[PointTieBreak]],PlayerGameData[PointTieBreak],1)</f>
        <v>216</v>
      </c>
      <c r="AO361" s="8">
        <f ca="1">RANK(PlayerGameData[[#This Row],[REB]],PlayerGameData[REB],0)+PlayerGameData[[#This Row],[VisibleOrder]]</f>
        <v>192</v>
      </c>
      <c r="AP361" s="8">
        <f ca="1">IF(COUNTIF(PlayerGameData[REBOrder],PlayerGameData[[#This Row],[REBOrder]])&gt;1,PlayerGameData[[#This Row],[PointRank]]/100+PlayerGameData[[#This Row],[REBOrder]],PlayerGameData[[#This Row],[REBOrder]])</f>
        <v>194.16</v>
      </c>
      <c r="AQ361" s="8">
        <f ca="1">RANK(PlayerGameData[[#This Row],[REBTieBreak]],PlayerGameData[REBTieBreak],1)</f>
        <v>224</v>
      </c>
      <c r="AR361" s="8">
        <f ca="1">RANK(PlayerGameData[[#This Row],[AST]],PlayerGameData[AST],0)+PlayerGameData[[#This Row],[VisibleOrder]]</f>
        <v>158</v>
      </c>
      <c r="AS361" s="8">
        <f ca="1">IF(COUNTIF(PlayerGameData[ASTOrder],PlayerGameData[[#This Row],[ASTOrder]])&gt;1,PlayerGameData[[#This Row],[PointRank]]/100+PlayerGameData[[#This Row],[ASTOrder]],PlayerGameData[[#This Row],[ASTOrder]])</f>
        <v>160.16</v>
      </c>
      <c r="AT361" s="8">
        <f ca="1">RANK(PlayerGameData[[#This Row],[ASTTieBreak]],PlayerGameData[ASTTieBreak],1)</f>
        <v>221</v>
      </c>
      <c r="AU361" s="8">
        <f ca="1">RANK(PlayerGameData[[#This Row],[STL]],PlayerGameData[STL],0)+PlayerGameData[[#This Row],[VisibleOrder]]</f>
        <v>143</v>
      </c>
      <c r="AV361" s="8">
        <f ca="1">IF(COUNTIF(PlayerGameData[STLOrder],PlayerGameData[[#This Row],[STLOrder]])&gt;1,PlayerGameData[[#This Row],[PointRank]]/100+PlayerGameData[[#This Row],[STLOrder]],PlayerGameData[[#This Row],[STLOrder]])</f>
        <v>145.16</v>
      </c>
      <c r="AW361" s="8">
        <f ca="1">RANK(PlayerGameData[[#This Row],[STLTieBreak]],PlayerGameData[STLTieBreak],1)</f>
        <v>217</v>
      </c>
      <c r="AX361" s="8">
        <f ca="1">RANK(PlayerGameData[[#This Row],[BLK]],PlayerGameData[BLK],0)+PlayerGameData[[#This Row],[VisibleOrder]]</f>
        <v>32</v>
      </c>
      <c r="AY361" s="8">
        <f ca="1">IF(COUNTIF(PlayerGameData[BLKOrder],PlayerGameData[[#This Row],[BLKOrder]])&gt;1,PlayerGameData[[#This Row],[PointRank]]/100+PlayerGameData[[#This Row],[BLKOrder]],PlayerGameData[[#This Row],[BLKOrder]])</f>
        <v>34.159999999999997</v>
      </c>
      <c r="AZ361" s="8">
        <f ca="1">RANK(PlayerGameData[[#This Row],[BLKTieBreak]],PlayerGameData[BLKTieBreak],1)</f>
        <v>216</v>
      </c>
      <c r="BA361" s="11">
        <f ca="1">IFERROR(IF(PlayerGameData[[#This Row],[FGA]]&gt;$AA$5,PlayerGameData[[#This Row],[FG%*]],PlayerGameData[[#This Row],[FG%*]]*-1),-2)</f>
        <v>-2</v>
      </c>
      <c r="BB361" s="8">
        <f ca="1">RANK(PlayerGameData[[#This Row],[EligFG]],PlayerGameData[EligFG],0)+PlayerGameData[[#This Row],[VisibleOrder]]</f>
        <v>215</v>
      </c>
      <c r="BC361" s="8">
        <f ca="1">IF(COUNTIF(PlayerGameData[EligFGOrder],PlayerGameData[[#This Row],[EligFGOrder]])&gt;1,PlayerGameData[[#This Row],[PointRank]]/100+PlayerGameData[[#This Row],[EligFGOrder]],PlayerGameData[[#This Row],[EligFGOrder]])</f>
        <v>217.16</v>
      </c>
      <c r="BD361" s="8">
        <f ca="1">RANK(PlayerGameData[[#This Row],[EligFGTieBreak]],PlayerGameData[EligFGTieBreak],1)</f>
        <v>216</v>
      </c>
      <c r="BE361" s="8" t="str">
        <f>Roster!$D$3</f>
        <v>East</v>
      </c>
      <c r="BF361" s="8" t="str">
        <f>Roster!$D$2</f>
        <v>Northeast</v>
      </c>
      <c r="BG361" s="8" t="str">
        <f>Roster!$D$4</f>
        <v>North</v>
      </c>
      <c r="BH361" s="197">
        <f ca="1">IFERROR(VLOOKUP(CONCATENATE(PlayerGameData[[#This Row],[Opponent]]," ",MONTH(PlayerGameData[[#This Row],[Date]]),"/",DAY(PlayerGameData[[#This Row],[Date]]),"/",YEAR(PlayerGameData[[#This Row],[Date]])),Table35[],2,FALSE),0)</f>
        <v>1</v>
      </c>
      <c r="BI361" s="197">
        <f ca="1">IF(PlayerGameData[[#This Row],[Visible]]=1,1,1000)</f>
        <v>1</v>
      </c>
      <c r="BJ361" s="197" t="e">
        <f ca="1">_xlfn.MAXIFS(TeamGameData[Win],TeamGameData[School, Opponent,Game'#],PlayerGameData[[#This Row],[School, Opponent,Game'#]])</f>
        <v>#NAME?</v>
      </c>
      <c r="BK361" s="197" t="e">
        <f ca="1">_xlfn.MAXIFS(TeamGameData[Loss],TeamGameData[School, Opponent,Game'#],PlayerGameData[[#This Row],[School, Opponent,Game'#]])</f>
        <v>#NAME?</v>
      </c>
    </row>
    <row r="362" spans="1:63" x14ac:dyDescent="0.25">
      <c r="A362" s="8" t="str">
        <f t="shared" ca="1" si="183"/>
        <v xml:space="preserve">, </v>
      </c>
      <c r="B362" s="8" t="str">
        <f>Roster!$B$1</f>
        <v>Upton</v>
      </c>
      <c r="C362" s="8" t="str">
        <f t="shared" ca="1" si="171"/>
        <v>Kaycee</v>
      </c>
      <c r="D362" s="10">
        <f t="shared" ca="1" si="172"/>
        <v>44960</v>
      </c>
      <c r="E362" s="8">
        <f t="shared" ca="1" si="173"/>
        <v>0</v>
      </c>
      <c r="F362" s="8">
        <f t="shared" ca="1" si="174"/>
        <v>0</v>
      </c>
      <c r="G362" s="8">
        <f t="shared" ca="1" si="175"/>
        <v>0</v>
      </c>
      <c r="H362" s="8">
        <f t="shared" ca="1" si="176"/>
        <v>0</v>
      </c>
      <c r="I362" s="8">
        <f t="shared" ca="1" si="177"/>
        <v>0</v>
      </c>
      <c r="J362" s="8">
        <f t="shared" ca="1" si="178"/>
        <v>0</v>
      </c>
      <c r="K362" s="8">
        <f t="shared" ca="1" si="179"/>
        <v>0</v>
      </c>
      <c r="L362" s="8">
        <f t="shared" ca="1" si="184"/>
        <v>0</v>
      </c>
      <c r="M362" s="8">
        <f t="shared" ca="1" si="185"/>
        <v>0</v>
      </c>
      <c r="N362" s="8">
        <f t="shared" ca="1" si="186"/>
        <v>0</v>
      </c>
      <c r="O362" s="8">
        <f t="shared" ca="1" si="187"/>
        <v>0</v>
      </c>
      <c r="P362" s="8">
        <f t="shared" ca="1" si="188"/>
        <v>0</v>
      </c>
      <c r="Q362" s="8">
        <f t="shared" ca="1" si="189"/>
        <v>0</v>
      </c>
      <c r="R362" s="8">
        <f t="shared" ca="1" si="190"/>
        <v>0</v>
      </c>
      <c r="S362" s="8">
        <f t="shared" ca="1" si="191"/>
        <v>0</v>
      </c>
      <c r="T362" s="8">
        <f t="shared" ca="1" si="192"/>
        <v>0</v>
      </c>
      <c r="U362" s="8">
        <f t="shared" ca="1" si="193"/>
        <v>0</v>
      </c>
      <c r="V362" s="8">
        <f t="shared" ca="1" si="194"/>
        <v>0</v>
      </c>
      <c r="W362" s="11" t="str">
        <f t="shared" ca="1" si="195"/>
        <v/>
      </c>
      <c r="X362" s="11" t="str">
        <f t="shared" ca="1" si="196"/>
        <v/>
      </c>
      <c r="Y362" s="11" t="str">
        <f t="shared" ca="1" si="197"/>
        <v/>
      </c>
      <c r="Z362" s="11" t="str">
        <f t="shared" ca="1" si="198"/>
        <v/>
      </c>
      <c r="AA362" s="11" t="str">
        <f t="shared" ca="1" si="199"/>
        <v/>
      </c>
      <c r="AB362" s="47">
        <f ca="1">PlayerGameData[[#This Row],[3FGA]]+PlayerGameData[[#This Row],[2FGA]]</f>
        <v>0</v>
      </c>
      <c r="AC362" s="47">
        <f ca="1">PlayerGameData[[#This Row],[OFF REB]]+PlayerGameData[[#This Row],[DEF REB]]</f>
        <v>0</v>
      </c>
      <c r="AD362" s="8">
        <f t="shared" si="180"/>
        <v>15</v>
      </c>
      <c r="AE362" s="8" t="str">
        <f t="shared" ca="1" si="181"/>
        <v>,  - Kaycee 2/3/2023</v>
      </c>
      <c r="AF362" s="8" t="str">
        <f t="shared" ca="1" si="200"/>
        <v>R</v>
      </c>
      <c r="AG362" s="8" t="str">
        <f ca="1">IFERROR(IF(C362=0,"",IF(AND(VLOOKUP(PlayerGameData[[#This Row],[Opponent]],WYTeamInfo,2,FALSE)=Roster!$D$1,VLOOKUP(PlayerGameData[[#This Row],[Opponent]],WYTeamInfo,3,FALSE)=Roster!$D$2),"SR","")),"")</f>
        <v>SR</v>
      </c>
      <c r="AH362" s="8" t="str">
        <f>CONCATENATE(Roster!$D$1," ",Roster!$D$5)</f>
        <v>1A BB</v>
      </c>
      <c r="AI362" s="8" t="str">
        <f t="shared" ca="1" si="182"/>
        <v>Upton - Kaycee 2/3/2023</v>
      </c>
      <c r="AJ362" s="8">
        <f ca="1">IFERROR(VLOOKUP(PlayerGameData[[#This Row],[School, Opponent,Game'#]],Table3[],2,FALSE),0)</f>
        <v>1</v>
      </c>
      <c r="AK362" s="8">
        <f ca="1">IF(PlayerGameData[[#This Row],[Visible]]=1,1,1000)</f>
        <v>1</v>
      </c>
      <c r="AL362" s="8">
        <f ca="1">RANK(PlayerGameData[[#This Row],[TL PTS]],PlayerGameData[TL PTS],0)+PlayerGameData[[#This Row],[VisibleOrder]]</f>
        <v>185</v>
      </c>
      <c r="AM362" s="8">
        <f ca="1">IF(COUNTIF(PlayerGameData[PointOrder],PlayerGameData[[#This Row],[PointOrder]])&gt;1,RANK(PlayerGameData[[#This Row],[FGA]],PlayerGameData[FGA],0)/100,0)+PlayerGameData[[#This Row],[PointOrder]]</f>
        <v>187.14</v>
      </c>
      <c r="AN362" s="8">
        <f ca="1">RANK(PlayerGameData[[#This Row],[PointTieBreak]],PlayerGameData[PointTieBreak],1)</f>
        <v>216</v>
      </c>
      <c r="AO362" s="8">
        <f ca="1">RANK(PlayerGameData[[#This Row],[REB]],PlayerGameData[REB],0)+PlayerGameData[[#This Row],[VisibleOrder]]</f>
        <v>192</v>
      </c>
      <c r="AP362" s="8">
        <f ca="1">IF(COUNTIF(PlayerGameData[REBOrder],PlayerGameData[[#This Row],[REBOrder]])&gt;1,PlayerGameData[[#This Row],[PointRank]]/100+PlayerGameData[[#This Row],[REBOrder]],PlayerGameData[[#This Row],[REBOrder]])</f>
        <v>194.16</v>
      </c>
      <c r="AQ362" s="8">
        <f ca="1">RANK(PlayerGameData[[#This Row],[REBTieBreak]],PlayerGameData[REBTieBreak],1)</f>
        <v>224</v>
      </c>
      <c r="AR362" s="8">
        <f ca="1">RANK(PlayerGameData[[#This Row],[AST]],PlayerGameData[AST],0)+PlayerGameData[[#This Row],[VisibleOrder]]</f>
        <v>158</v>
      </c>
      <c r="AS362" s="8">
        <f ca="1">IF(COUNTIF(PlayerGameData[ASTOrder],PlayerGameData[[#This Row],[ASTOrder]])&gt;1,PlayerGameData[[#This Row],[PointRank]]/100+PlayerGameData[[#This Row],[ASTOrder]],PlayerGameData[[#This Row],[ASTOrder]])</f>
        <v>160.16</v>
      </c>
      <c r="AT362" s="8">
        <f ca="1">RANK(PlayerGameData[[#This Row],[ASTTieBreak]],PlayerGameData[ASTTieBreak],1)</f>
        <v>221</v>
      </c>
      <c r="AU362" s="8">
        <f ca="1">RANK(PlayerGameData[[#This Row],[STL]],PlayerGameData[STL],0)+PlayerGameData[[#This Row],[VisibleOrder]]</f>
        <v>143</v>
      </c>
      <c r="AV362" s="8">
        <f ca="1">IF(COUNTIF(PlayerGameData[STLOrder],PlayerGameData[[#This Row],[STLOrder]])&gt;1,PlayerGameData[[#This Row],[PointRank]]/100+PlayerGameData[[#This Row],[STLOrder]],PlayerGameData[[#This Row],[STLOrder]])</f>
        <v>145.16</v>
      </c>
      <c r="AW362" s="8">
        <f ca="1">RANK(PlayerGameData[[#This Row],[STLTieBreak]],PlayerGameData[STLTieBreak],1)</f>
        <v>217</v>
      </c>
      <c r="AX362" s="8">
        <f ca="1">RANK(PlayerGameData[[#This Row],[BLK]],PlayerGameData[BLK],0)+PlayerGameData[[#This Row],[VisibleOrder]]</f>
        <v>32</v>
      </c>
      <c r="AY362" s="8">
        <f ca="1">IF(COUNTIF(PlayerGameData[BLKOrder],PlayerGameData[[#This Row],[BLKOrder]])&gt;1,PlayerGameData[[#This Row],[PointRank]]/100+PlayerGameData[[#This Row],[BLKOrder]],PlayerGameData[[#This Row],[BLKOrder]])</f>
        <v>34.159999999999997</v>
      </c>
      <c r="AZ362" s="8">
        <f ca="1">RANK(PlayerGameData[[#This Row],[BLKTieBreak]],PlayerGameData[BLKTieBreak],1)</f>
        <v>216</v>
      </c>
      <c r="BA362" s="11">
        <f ca="1">IFERROR(IF(PlayerGameData[[#This Row],[FGA]]&gt;$AA$5,PlayerGameData[[#This Row],[FG%*]],PlayerGameData[[#This Row],[FG%*]]*-1),-2)</f>
        <v>-2</v>
      </c>
      <c r="BB362" s="8">
        <f ca="1">RANK(PlayerGameData[[#This Row],[EligFG]],PlayerGameData[EligFG],0)+PlayerGameData[[#This Row],[VisibleOrder]]</f>
        <v>215</v>
      </c>
      <c r="BC362" s="8">
        <f ca="1">IF(COUNTIF(PlayerGameData[EligFGOrder],PlayerGameData[[#This Row],[EligFGOrder]])&gt;1,PlayerGameData[[#This Row],[PointRank]]/100+PlayerGameData[[#This Row],[EligFGOrder]],PlayerGameData[[#This Row],[EligFGOrder]])</f>
        <v>217.16</v>
      </c>
      <c r="BD362" s="8">
        <f ca="1">RANK(PlayerGameData[[#This Row],[EligFGTieBreak]],PlayerGameData[EligFGTieBreak],1)</f>
        <v>216</v>
      </c>
      <c r="BE362" s="8" t="str">
        <f>Roster!$D$3</f>
        <v>East</v>
      </c>
      <c r="BF362" s="8" t="str">
        <f>Roster!$D$2</f>
        <v>Northeast</v>
      </c>
      <c r="BG362" s="8" t="str">
        <f>Roster!$D$4</f>
        <v>North</v>
      </c>
      <c r="BH362" s="197">
        <f ca="1">IFERROR(VLOOKUP(CONCATENATE(PlayerGameData[[#This Row],[Opponent]]," ",MONTH(PlayerGameData[[#This Row],[Date]]),"/",DAY(PlayerGameData[[#This Row],[Date]]),"/",YEAR(PlayerGameData[[#This Row],[Date]])),Table35[],2,FALSE),0)</f>
        <v>1</v>
      </c>
      <c r="BI362" s="197">
        <f ca="1">IF(PlayerGameData[[#This Row],[Visible]]=1,1,1000)</f>
        <v>1</v>
      </c>
      <c r="BJ362" s="197" t="e">
        <f ca="1">_xlfn.MAXIFS(TeamGameData[Win],TeamGameData[School, Opponent,Game'#],PlayerGameData[[#This Row],[School, Opponent,Game'#]])</f>
        <v>#NAME?</v>
      </c>
      <c r="BK362" s="197" t="e">
        <f ca="1">_xlfn.MAXIFS(TeamGameData[Loss],TeamGameData[School, Opponent,Game'#],PlayerGameData[[#This Row],[School, Opponent,Game'#]])</f>
        <v>#NAME?</v>
      </c>
    </row>
    <row r="363" spans="1:63" x14ac:dyDescent="0.25">
      <c r="A363" s="8" t="str">
        <f t="shared" ca="1" si="183"/>
        <v xml:space="preserve">, </v>
      </c>
      <c r="B363" s="8" t="str">
        <f>Roster!$B$1</f>
        <v>Upton</v>
      </c>
      <c r="C363" s="8" t="str">
        <f t="shared" ca="1" si="171"/>
        <v>Kaycee</v>
      </c>
      <c r="D363" s="10">
        <f t="shared" ca="1" si="172"/>
        <v>44960</v>
      </c>
      <c r="E363" s="8">
        <f t="shared" ca="1" si="173"/>
        <v>0</v>
      </c>
      <c r="F363" s="8">
        <f t="shared" ca="1" si="174"/>
        <v>0</v>
      </c>
      <c r="G363" s="8">
        <f t="shared" ca="1" si="175"/>
        <v>0</v>
      </c>
      <c r="H363" s="8">
        <f t="shared" ca="1" si="176"/>
        <v>0</v>
      </c>
      <c r="I363" s="8">
        <f t="shared" ca="1" si="177"/>
        <v>0</v>
      </c>
      <c r="J363" s="8">
        <f t="shared" ca="1" si="178"/>
        <v>0</v>
      </c>
      <c r="K363" s="8">
        <f t="shared" ca="1" si="179"/>
        <v>0</v>
      </c>
      <c r="L363" s="8">
        <f t="shared" ca="1" si="184"/>
        <v>0</v>
      </c>
      <c r="M363" s="8">
        <f t="shared" ca="1" si="185"/>
        <v>0</v>
      </c>
      <c r="N363" s="8">
        <f t="shared" ca="1" si="186"/>
        <v>0</v>
      </c>
      <c r="O363" s="8">
        <f t="shared" ca="1" si="187"/>
        <v>0</v>
      </c>
      <c r="P363" s="8">
        <f t="shared" ca="1" si="188"/>
        <v>0</v>
      </c>
      <c r="Q363" s="8">
        <f t="shared" ca="1" si="189"/>
        <v>0</v>
      </c>
      <c r="R363" s="8">
        <f t="shared" ca="1" si="190"/>
        <v>0</v>
      </c>
      <c r="S363" s="8">
        <f t="shared" ca="1" si="191"/>
        <v>0</v>
      </c>
      <c r="T363" s="8">
        <f t="shared" ca="1" si="192"/>
        <v>0</v>
      </c>
      <c r="U363" s="8">
        <f t="shared" ca="1" si="193"/>
        <v>0</v>
      </c>
      <c r="V363" s="8">
        <f t="shared" ca="1" si="194"/>
        <v>0</v>
      </c>
      <c r="W363" s="11" t="str">
        <f t="shared" ca="1" si="195"/>
        <v/>
      </c>
      <c r="X363" s="11" t="str">
        <f t="shared" ca="1" si="196"/>
        <v/>
      </c>
      <c r="Y363" s="11" t="str">
        <f t="shared" ca="1" si="197"/>
        <v/>
      </c>
      <c r="Z363" s="11" t="str">
        <f t="shared" ca="1" si="198"/>
        <v/>
      </c>
      <c r="AA363" s="11" t="str">
        <f t="shared" ca="1" si="199"/>
        <v/>
      </c>
      <c r="AB363" s="47">
        <f ca="1">PlayerGameData[[#This Row],[3FGA]]+PlayerGameData[[#This Row],[2FGA]]</f>
        <v>0</v>
      </c>
      <c r="AC363" s="47">
        <f ca="1">PlayerGameData[[#This Row],[OFF REB]]+PlayerGameData[[#This Row],[DEF REB]]</f>
        <v>0</v>
      </c>
      <c r="AD363" s="8">
        <f t="shared" si="180"/>
        <v>15</v>
      </c>
      <c r="AE363" s="8" t="str">
        <f t="shared" ca="1" si="181"/>
        <v>,  - Kaycee 2/3/2023</v>
      </c>
      <c r="AF363" s="8" t="str">
        <f t="shared" ca="1" si="200"/>
        <v>R</v>
      </c>
      <c r="AG363" s="8" t="str">
        <f ca="1">IFERROR(IF(C363=0,"",IF(AND(VLOOKUP(PlayerGameData[[#This Row],[Opponent]],WYTeamInfo,2,FALSE)=Roster!$D$1,VLOOKUP(PlayerGameData[[#This Row],[Opponent]],WYTeamInfo,3,FALSE)=Roster!$D$2),"SR","")),"")</f>
        <v>SR</v>
      </c>
      <c r="AH363" s="8" t="str">
        <f>CONCATENATE(Roster!$D$1," ",Roster!$D$5)</f>
        <v>1A BB</v>
      </c>
      <c r="AI363" s="8" t="str">
        <f t="shared" ca="1" si="182"/>
        <v>Upton - Kaycee 2/3/2023</v>
      </c>
      <c r="AJ363" s="8">
        <f ca="1">IFERROR(VLOOKUP(PlayerGameData[[#This Row],[School, Opponent,Game'#]],Table3[],2,FALSE),0)</f>
        <v>1</v>
      </c>
      <c r="AK363" s="8">
        <f ca="1">IF(PlayerGameData[[#This Row],[Visible]]=1,1,1000)</f>
        <v>1</v>
      </c>
      <c r="AL363" s="8">
        <f ca="1">RANK(PlayerGameData[[#This Row],[TL PTS]],PlayerGameData[TL PTS],0)+PlayerGameData[[#This Row],[VisibleOrder]]</f>
        <v>185</v>
      </c>
      <c r="AM363" s="8">
        <f ca="1">IF(COUNTIF(PlayerGameData[PointOrder],PlayerGameData[[#This Row],[PointOrder]])&gt;1,RANK(PlayerGameData[[#This Row],[FGA]],PlayerGameData[FGA],0)/100,0)+PlayerGameData[[#This Row],[PointOrder]]</f>
        <v>187.14</v>
      </c>
      <c r="AN363" s="8">
        <f ca="1">RANK(PlayerGameData[[#This Row],[PointTieBreak]],PlayerGameData[PointTieBreak],1)</f>
        <v>216</v>
      </c>
      <c r="AO363" s="8">
        <f ca="1">RANK(PlayerGameData[[#This Row],[REB]],PlayerGameData[REB],0)+PlayerGameData[[#This Row],[VisibleOrder]]</f>
        <v>192</v>
      </c>
      <c r="AP363" s="8">
        <f ca="1">IF(COUNTIF(PlayerGameData[REBOrder],PlayerGameData[[#This Row],[REBOrder]])&gt;1,PlayerGameData[[#This Row],[PointRank]]/100+PlayerGameData[[#This Row],[REBOrder]],PlayerGameData[[#This Row],[REBOrder]])</f>
        <v>194.16</v>
      </c>
      <c r="AQ363" s="8">
        <f ca="1">RANK(PlayerGameData[[#This Row],[REBTieBreak]],PlayerGameData[REBTieBreak],1)</f>
        <v>224</v>
      </c>
      <c r="AR363" s="8">
        <f ca="1">RANK(PlayerGameData[[#This Row],[AST]],PlayerGameData[AST],0)+PlayerGameData[[#This Row],[VisibleOrder]]</f>
        <v>158</v>
      </c>
      <c r="AS363" s="8">
        <f ca="1">IF(COUNTIF(PlayerGameData[ASTOrder],PlayerGameData[[#This Row],[ASTOrder]])&gt;1,PlayerGameData[[#This Row],[PointRank]]/100+PlayerGameData[[#This Row],[ASTOrder]],PlayerGameData[[#This Row],[ASTOrder]])</f>
        <v>160.16</v>
      </c>
      <c r="AT363" s="8">
        <f ca="1">RANK(PlayerGameData[[#This Row],[ASTTieBreak]],PlayerGameData[ASTTieBreak],1)</f>
        <v>221</v>
      </c>
      <c r="AU363" s="8">
        <f ca="1">RANK(PlayerGameData[[#This Row],[STL]],PlayerGameData[STL],0)+PlayerGameData[[#This Row],[VisibleOrder]]</f>
        <v>143</v>
      </c>
      <c r="AV363" s="8">
        <f ca="1">IF(COUNTIF(PlayerGameData[STLOrder],PlayerGameData[[#This Row],[STLOrder]])&gt;1,PlayerGameData[[#This Row],[PointRank]]/100+PlayerGameData[[#This Row],[STLOrder]],PlayerGameData[[#This Row],[STLOrder]])</f>
        <v>145.16</v>
      </c>
      <c r="AW363" s="8">
        <f ca="1">RANK(PlayerGameData[[#This Row],[STLTieBreak]],PlayerGameData[STLTieBreak],1)</f>
        <v>217</v>
      </c>
      <c r="AX363" s="8">
        <f ca="1">RANK(PlayerGameData[[#This Row],[BLK]],PlayerGameData[BLK],0)+PlayerGameData[[#This Row],[VisibleOrder]]</f>
        <v>32</v>
      </c>
      <c r="AY363" s="8">
        <f ca="1">IF(COUNTIF(PlayerGameData[BLKOrder],PlayerGameData[[#This Row],[BLKOrder]])&gt;1,PlayerGameData[[#This Row],[PointRank]]/100+PlayerGameData[[#This Row],[BLKOrder]],PlayerGameData[[#This Row],[BLKOrder]])</f>
        <v>34.159999999999997</v>
      </c>
      <c r="AZ363" s="8">
        <f ca="1">RANK(PlayerGameData[[#This Row],[BLKTieBreak]],PlayerGameData[BLKTieBreak],1)</f>
        <v>216</v>
      </c>
      <c r="BA363" s="11">
        <f ca="1">IFERROR(IF(PlayerGameData[[#This Row],[FGA]]&gt;$AA$5,PlayerGameData[[#This Row],[FG%*]],PlayerGameData[[#This Row],[FG%*]]*-1),-2)</f>
        <v>-2</v>
      </c>
      <c r="BB363" s="8">
        <f ca="1">RANK(PlayerGameData[[#This Row],[EligFG]],PlayerGameData[EligFG],0)+PlayerGameData[[#This Row],[VisibleOrder]]</f>
        <v>215</v>
      </c>
      <c r="BC363" s="8">
        <f ca="1">IF(COUNTIF(PlayerGameData[EligFGOrder],PlayerGameData[[#This Row],[EligFGOrder]])&gt;1,PlayerGameData[[#This Row],[PointRank]]/100+PlayerGameData[[#This Row],[EligFGOrder]],PlayerGameData[[#This Row],[EligFGOrder]])</f>
        <v>217.16</v>
      </c>
      <c r="BD363" s="8">
        <f ca="1">RANK(PlayerGameData[[#This Row],[EligFGTieBreak]],PlayerGameData[EligFGTieBreak],1)</f>
        <v>216</v>
      </c>
      <c r="BE363" s="8" t="str">
        <f>Roster!$D$3</f>
        <v>East</v>
      </c>
      <c r="BF363" s="8" t="str">
        <f>Roster!$D$2</f>
        <v>Northeast</v>
      </c>
      <c r="BG363" s="8" t="str">
        <f>Roster!$D$4</f>
        <v>North</v>
      </c>
      <c r="BH363" s="197">
        <f ca="1">IFERROR(VLOOKUP(CONCATENATE(PlayerGameData[[#This Row],[Opponent]]," ",MONTH(PlayerGameData[[#This Row],[Date]]),"/",DAY(PlayerGameData[[#This Row],[Date]]),"/",YEAR(PlayerGameData[[#This Row],[Date]])),Table35[],2,FALSE),0)</f>
        <v>1</v>
      </c>
      <c r="BI363" s="197">
        <f ca="1">IF(PlayerGameData[[#This Row],[Visible]]=1,1,1000)</f>
        <v>1</v>
      </c>
      <c r="BJ363" s="197" t="e">
        <f ca="1">_xlfn.MAXIFS(TeamGameData[Win],TeamGameData[School, Opponent,Game'#],PlayerGameData[[#This Row],[School, Opponent,Game'#]])</f>
        <v>#NAME?</v>
      </c>
      <c r="BK363" s="197" t="e">
        <f ca="1">_xlfn.MAXIFS(TeamGameData[Loss],TeamGameData[School, Opponent,Game'#],PlayerGameData[[#This Row],[School, Opponent,Game'#]])</f>
        <v>#NAME?</v>
      </c>
    </row>
    <row r="364" spans="1:63" x14ac:dyDescent="0.25">
      <c r="A364" s="8" t="str">
        <f t="shared" ca="1" si="183"/>
        <v xml:space="preserve">, </v>
      </c>
      <c r="B364" s="8" t="str">
        <f>Roster!$B$1</f>
        <v>Upton</v>
      </c>
      <c r="C364" s="8" t="str">
        <f t="shared" ca="1" si="171"/>
        <v>Kaycee</v>
      </c>
      <c r="D364" s="10">
        <f t="shared" ca="1" si="172"/>
        <v>44960</v>
      </c>
      <c r="E364" s="8">
        <f t="shared" ca="1" si="173"/>
        <v>0</v>
      </c>
      <c r="F364" s="8">
        <f t="shared" ca="1" si="174"/>
        <v>0</v>
      </c>
      <c r="G364" s="8">
        <f t="shared" ca="1" si="175"/>
        <v>0</v>
      </c>
      <c r="H364" s="8">
        <f t="shared" ca="1" si="176"/>
        <v>0</v>
      </c>
      <c r="I364" s="8">
        <f t="shared" ca="1" si="177"/>
        <v>0</v>
      </c>
      <c r="J364" s="8">
        <f t="shared" ca="1" si="178"/>
        <v>0</v>
      </c>
      <c r="K364" s="8">
        <f t="shared" ca="1" si="179"/>
        <v>0</v>
      </c>
      <c r="L364" s="8">
        <f t="shared" ca="1" si="184"/>
        <v>0</v>
      </c>
      <c r="M364" s="8">
        <f t="shared" ca="1" si="185"/>
        <v>0</v>
      </c>
      <c r="N364" s="8">
        <f t="shared" ca="1" si="186"/>
        <v>0</v>
      </c>
      <c r="O364" s="8">
        <f t="shared" ca="1" si="187"/>
        <v>0</v>
      </c>
      <c r="P364" s="8">
        <f t="shared" ca="1" si="188"/>
        <v>0</v>
      </c>
      <c r="Q364" s="8">
        <f t="shared" ca="1" si="189"/>
        <v>0</v>
      </c>
      <c r="R364" s="8">
        <f t="shared" ca="1" si="190"/>
        <v>0</v>
      </c>
      <c r="S364" s="8">
        <f t="shared" ca="1" si="191"/>
        <v>0</v>
      </c>
      <c r="T364" s="8">
        <f t="shared" ca="1" si="192"/>
        <v>0</v>
      </c>
      <c r="U364" s="8">
        <f t="shared" ca="1" si="193"/>
        <v>0</v>
      </c>
      <c r="V364" s="8">
        <f t="shared" ca="1" si="194"/>
        <v>0</v>
      </c>
      <c r="W364" s="11" t="str">
        <f t="shared" ca="1" si="195"/>
        <v/>
      </c>
      <c r="X364" s="11" t="str">
        <f t="shared" ca="1" si="196"/>
        <v/>
      </c>
      <c r="Y364" s="11" t="str">
        <f t="shared" ca="1" si="197"/>
        <v/>
      </c>
      <c r="Z364" s="11" t="str">
        <f t="shared" ca="1" si="198"/>
        <v/>
      </c>
      <c r="AA364" s="11" t="str">
        <f t="shared" ca="1" si="199"/>
        <v/>
      </c>
      <c r="AB364" s="47">
        <f ca="1">PlayerGameData[[#This Row],[3FGA]]+PlayerGameData[[#This Row],[2FGA]]</f>
        <v>0</v>
      </c>
      <c r="AC364" s="47">
        <f ca="1">PlayerGameData[[#This Row],[OFF REB]]+PlayerGameData[[#This Row],[DEF REB]]</f>
        <v>0</v>
      </c>
      <c r="AD364" s="8">
        <f t="shared" si="180"/>
        <v>15</v>
      </c>
      <c r="AE364" s="8" t="str">
        <f t="shared" ca="1" si="181"/>
        <v>,  - Kaycee 2/3/2023</v>
      </c>
      <c r="AF364" s="8" t="str">
        <f t="shared" ca="1" si="200"/>
        <v>R</v>
      </c>
      <c r="AG364" s="8" t="str">
        <f ca="1">IFERROR(IF(C364=0,"",IF(AND(VLOOKUP(PlayerGameData[[#This Row],[Opponent]],WYTeamInfo,2,FALSE)=Roster!$D$1,VLOOKUP(PlayerGameData[[#This Row],[Opponent]],WYTeamInfo,3,FALSE)=Roster!$D$2),"SR","")),"")</f>
        <v>SR</v>
      </c>
      <c r="AH364" s="8" t="str">
        <f>CONCATENATE(Roster!$D$1," ",Roster!$D$5)</f>
        <v>1A BB</v>
      </c>
      <c r="AI364" s="8" t="str">
        <f t="shared" ca="1" si="182"/>
        <v>Upton - Kaycee 2/3/2023</v>
      </c>
      <c r="AJ364" s="8">
        <f ca="1">IFERROR(VLOOKUP(PlayerGameData[[#This Row],[School, Opponent,Game'#]],Table3[],2,FALSE),0)</f>
        <v>1</v>
      </c>
      <c r="AK364" s="8">
        <f ca="1">IF(PlayerGameData[[#This Row],[Visible]]=1,1,1000)</f>
        <v>1</v>
      </c>
      <c r="AL364" s="8">
        <f ca="1">RANK(PlayerGameData[[#This Row],[TL PTS]],PlayerGameData[TL PTS],0)+PlayerGameData[[#This Row],[VisibleOrder]]</f>
        <v>185</v>
      </c>
      <c r="AM364" s="8">
        <f ca="1">IF(COUNTIF(PlayerGameData[PointOrder],PlayerGameData[[#This Row],[PointOrder]])&gt;1,RANK(PlayerGameData[[#This Row],[FGA]],PlayerGameData[FGA],0)/100,0)+PlayerGameData[[#This Row],[PointOrder]]</f>
        <v>187.14</v>
      </c>
      <c r="AN364" s="8">
        <f ca="1">RANK(PlayerGameData[[#This Row],[PointTieBreak]],PlayerGameData[PointTieBreak],1)</f>
        <v>216</v>
      </c>
      <c r="AO364" s="8">
        <f ca="1">RANK(PlayerGameData[[#This Row],[REB]],PlayerGameData[REB],0)+PlayerGameData[[#This Row],[VisibleOrder]]</f>
        <v>192</v>
      </c>
      <c r="AP364" s="8">
        <f ca="1">IF(COUNTIF(PlayerGameData[REBOrder],PlayerGameData[[#This Row],[REBOrder]])&gt;1,PlayerGameData[[#This Row],[PointRank]]/100+PlayerGameData[[#This Row],[REBOrder]],PlayerGameData[[#This Row],[REBOrder]])</f>
        <v>194.16</v>
      </c>
      <c r="AQ364" s="8">
        <f ca="1">RANK(PlayerGameData[[#This Row],[REBTieBreak]],PlayerGameData[REBTieBreak],1)</f>
        <v>224</v>
      </c>
      <c r="AR364" s="8">
        <f ca="1">RANK(PlayerGameData[[#This Row],[AST]],PlayerGameData[AST],0)+PlayerGameData[[#This Row],[VisibleOrder]]</f>
        <v>158</v>
      </c>
      <c r="AS364" s="8">
        <f ca="1">IF(COUNTIF(PlayerGameData[ASTOrder],PlayerGameData[[#This Row],[ASTOrder]])&gt;1,PlayerGameData[[#This Row],[PointRank]]/100+PlayerGameData[[#This Row],[ASTOrder]],PlayerGameData[[#This Row],[ASTOrder]])</f>
        <v>160.16</v>
      </c>
      <c r="AT364" s="8">
        <f ca="1">RANK(PlayerGameData[[#This Row],[ASTTieBreak]],PlayerGameData[ASTTieBreak],1)</f>
        <v>221</v>
      </c>
      <c r="AU364" s="8">
        <f ca="1">RANK(PlayerGameData[[#This Row],[STL]],PlayerGameData[STL],0)+PlayerGameData[[#This Row],[VisibleOrder]]</f>
        <v>143</v>
      </c>
      <c r="AV364" s="8">
        <f ca="1">IF(COUNTIF(PlayerGameData[STLOrder],PlayerGameData[[#This Row],[STLOrder]])&gt;1,PlayerGameData[[#This Row],[PointRank]]/100+PlayerGameData[[#This Row],[STLOrder]],PlayerGameData[[#This Row],[STLOrder]])</f>
        <v>145.16</v>
      </c>
      <c r="AW364" s="8">
        <f ca="1">RANK(PlayerGameData[[#This Row],[STLTieBreak]],PlayerGameData[STLTieBreak],1)</f>
        <v>217</v>
      </c>
      <c r="AX364" s="8">
        <f ca="1">RANK(PlayerGameData[[#This Row],[BLK]],PlayerGameData[BLK],0)+PlayerGameData[[#This Row],[VisibleOrder]]</f>
        <v>32</v>
      </c>
      <c r="AY364" s="8">
        <f ca="1">IF(COUNTIF(PlayerGameData[BLKOrder],PlayerGameData[[#This Row],[BLKOrder]])&gt;1,PlayerGameData[[#This Row],[PointRank]]/100+PlayerGameData[[#This Row],[BLKOrder]],PlayerGameData[[#This Row],[BLKOrder]])</f>
        <v>34.159999999999997</v>
      </c>
      <c r="AZ364" s="8">
        <f ca="1">RANK(PlayerGameData[[#This Row],[BLKTieBreak]],PlayerGameData[BLKTieBreak],1)</f>
        <v>216</v>
      </c>
      <c r="BA364" s="11">
        <f ca="1">IFERROR(IF(PlayerGameData[[#This Row],[FGA]]&gt;$AA$5,PlayerGameData[[#This Row],[FG%*]],PlayerGameData[[#This Row],[FG%*]]*-1),-2)</f>
        <v>-2</v>
      </c>
      <c r="BB364" s="8">
        <f ca="1">RANK(PlayerGameData[[#This Row],[EligFG]],PlayerGameData[EligFG],0)+PlayerGameData[[#This Row],[VisibleOrder]]</f>
        <v>215</v>
      </c>
      <c r="BC364" s="8">
        <f ca="1">IF(COUNTIF(PlayerGameData[EligFGOrder],PlayerGameData[[#This Row],[EligFGOrder]])&gt;1,PlayerGameData[[#This Row],[PointRank]]/100+PlayerGameData[[#This Row],[EligFGOrder]],PlayerGameData[[#This Row],[EligFGOrder]])</f>
        <v>217.16</v>
      </c>
      <c r="BD364" s="8">
        <f ca="1">RANK(PlayerGameData[[#This Row],[EligFGTieBreak]],PlayerGameData[EligFGTieBreak],1)</f>
        <v>216</v>
      </c>
      <c r="BE364" s="8" t="str">
        <f>Roster!$D$3</f>
        <v>East</v>
      </c>
      <c r="BF364" s="8" t="str">
        <f>Roster!$D$2</f>
        <v>Northeast</v>
      </c>
      <c r="BG364" s="8" t="str">
        <f>Roster!$D$4</f>
        <v>North</v>
      </c>
      <c r="BH364" s="197">
        <f ca="1">IFERROR(VLOOKUP(CONCATENATE(PlayerGameData[[#This Row],[Opponent]]," ",MONTH(PlayerGameData[[#This Row],[Date]]),"/",DAY(PlayerGameData[[#This Row],[Date]]),"/",YEAR(PlayerGameData[[#This Row],[Date]])),Table35[],2,FALSE),0)</f>
        <v>1</v>
      </c>
      <c r="BI364" s="197">
        <f ca="1">IF(PlayerGameData[[#This Row],[Visible]]=1,1,1000)</f>
        <v>1</v>
      </c>
      <c r="BJ364" s="197" t="e">
        <f ca="1">_xlfn.MAXIFS(TeamGameData[Win],TeamGameData[School, Opponent,Game'#],PlayerGameData[[#This Row],[School, Opponent,Game'#]])</f>
        <v>#NAME?</v>
      </c>
      <c r="BK364" s="197" t="e">
        <f ca="1">_xlfn.MAXIFS(TeamGameData[Loss],TeamGameData[School, Opponent,Game'#],PlayerGameData[[#This Row],[School, Opponent,Game'#]])</f>
        <v>#NAME?</v>
      </c>
    </row>
    <row r="365" spans="1:63" x14ac:dyDescent="0.25">
      <c r="A365" s="8" t="str">
        <f t="shared" ca="1" si="183"/>
        <v xml:space="preserve">, </v>
      </c>
      <c r="B365" s="8" t="str">
        <f>Roster!$B$1</f>
        <v>Upton</v>
      </c>
      <c r="C365" s="8" t="str">
        <f t="shared" ca="1" si="171"/>
        <v>Kaycee</v>
      </c>
      <c r="D365" s="10">
        <f t="shared" ca="1" si="172"/>
        <v>44960</v>
      </c>
      <c r="E365" s="8">
        <f t="shared" ca="1" si="173"/>
        <v>0</v>
      </c>
      <c r="F365" s="8">
        <f t="shared" ca="1" si="174"/>
        <v>0</v>
      </c>
      <c r="G365" s="8">
        <f t="shared" ca="1" si="175"/>
        <v>0</v>
      </c>
      <c r="H365" s="8">
        <f t="shared" ca="1" si="176"/>
        <v>0</v>
      </c>
      <c r="I365" s="8">
        <f t="shared" ca="1" si="177"/>
        <v>0</v>
      </c>
      <c r="J365" s="8">
        <f t="shared" ca="1" si="178"/>
        <v>0</v>
      </c>
      <c r="K365" s="8">
        <f t="shared" ca="1" si="179"/>
        <v>0</v>
      </c>
      <c r="L365" s="8">
        <f t="shared" ca="1" si="184"/>
        <v>0</v>
      </c>
      <c r="M365" s="8">
        <f t="shared" ca="1" si="185"/>
        <v>0</v>
      </c>
      <c r="N365" s="8">
        <f t="shared" ca="1" si="186"/>
        <v>0</v>
      </c>
      <c r="O365" s="8">
        <f t="shared" ca="1" si="187"/>
        <v>0</v>
      </c>
      <c r="P365" s="8">
        <f t="shared" ca="1" si="188"/>
        <v>0</v>
      </c>
      <c r="Q365" s="8">
        <f t="shared" ca="1" si="189"/>
        <v>0</v>
      </c>
      <c r="R365" s="8">
        <f t="shared" ca="1" si="190"/>
        <v>0</v>
      </c>
      <c r="S365" s="8">
        <f t="shared" ca="1" si="191"/>
        <v>0</v>
      </c>
      <c r="T365" s="8">
        <f t="shared" ca="1" si="192"/>
        <v>0</v>
      </c>
      <c r="U365" s="8">
        <f t="shared" ca="1" si="193"/>
        <v>0</v>
      </c>
      <c r="V365" s="8">
        <f t="shared" ca="1" si="194"/>
        <v>0</v>
      </c>
      <c r="W365" s="11" t="str">
        <f t="shared" ca="1" si="195"/>
        <v/>
      </c>
      <c r="X365" s="11" t="str">
        <f t="shared" ca="1" si="196"/>
        <v/>
      </c>
      <c r="Y365" s="11" t="str">
        <f t="shared" ca="1" si="197"/>
        <v/>
      </c>
      <c r="Z365" s="11" t="str">
        <f t="shared" ca="1" si="198"/>
        <v/>
      </c>
      <c r="AA365" s="11" t="str">
        <f t="shared" ca="1" si="199"/>
        <v/>
      </c>
      <c r="AB365" s="47">
        <f ca="1">PlayerGameData[[#This Row],[3FGA]]+PlayerGameData[[#This Row],[2FGA]]</f>
        <v>0</v>
      </c>
      <c r="AC365" s="47">
        <f ca="1">PlayerGameData[[#This Row],[OFF REB]]+PlayerGameData[[#This Row],[DEF REB]]</f>
        <v>0</v>
      </c>
      <c r="AD365" s="8">
        <f t="shared" si="180"/>
        <v>15</v>
      </c>
      <c r="AE365" s="8" t="str">
        <f t="shared" ca="1" si="181"/>
        <v>,  - Kaycee 2/3/2023</v>
      </c>
      <c r="AF365" s="8" t="str">
        <f t="shared" ca="1" si="200"/>
        <v>R</v>
      </c>
      <c r="AG365" s="8" t="str">
        <f ca="1">IFERROR(IF(C365=0,"",IF(AND(VLOOKUP(PlayerGameData[[#This Row],[Opponent]],WYTeamInfo,2,FALSE)=Roster!$D$1,VLOOKUP(PlayerGameData[[#This Row],[Opponent]],WYTeamInfo,3,FALSE)=Roster!$D$2),"SR","")),"")</f>
        <v>SR</v>
      </c>
      <c r="AH365" s="8" t="str">
        <f>CONCATENATE(Roster!$D$1," ",Roster!$D$5)</f>
        <v>1A BB</v>
      </c>
      <c r="AI365" s="8" t="str">
        <f t="shared" ca="1" si="182"/>
        <v>Upton - Kaycee 2/3/2023</v>
      </c>
      <c r="AJ365" s="8">
        <f ca="1">IFERROR(VLOOKUP(PlayerGameData[[#This Row],[School, Opponent,Game'#]],Table3[],2,FALSE),0)</f>
        <v>1</v>
      </c>
      <c r="AK365" s="8">
        <f ca="1">IF(PlayerGameData[[#This Row],[Visible]]=1,1,1000)</f>
        <v>1</v>
      </c>
      <c r="AL365" s="8">
        <f ca="1">RANK(PlayerGameData[[#This Row],[TL PTS]],PlayerGameData[TL PTS],0)+PlayerGameData[[#This Row],[VisibleOrder]]</f>
        <v>185</v>
      </c>
      <c r="AM365" s="8">
        <f ca="1">IF(COUNTIF(PlayerGameData[PointOrder],PlayerGameData[[#This Row],[PointOrder]])&gt;1,RANK(PlayerGameData[[#This Row],[FGA]],PlayerGameData[FGA],0)/100,0)+PlayerGameData[[#This Row],[PointOrder]]</f>
        <v>187.14</v>
      </c>
      <c r="AN365" s="8">
        <f ca="1">RANK(PlayerGameData[[#This Row],[PointTieBreak]],PlayerGameData[PointTieBreak],1)</f>
        <v>216</v>
      </c>
      <c r="AO365" s="8">
        <f ca="1">RANK(PlayerGameData[[#This Row],[REB]],PlayerGameData[REB],0)+PlayerGameData[[#This Row],[VisibleOrder]]</f>
        <v>192</v>
      </c>
      <c r="AP365" s="8">
        <f ca="1">IF(COUNTIF(PlayerGameData[REBOrder],PlayerGameData[[#This Row],[REBOrder]])&gt;1,PlayerGameData[[#This Row],[PointRank]]/100+PlayerGameData[[#This Row],[REBOrder]],PlayerGameData[[#This Row],[REBOrder]])</f>
        <v>194.16</v>
      </c>
      <c r="AQ365" s="8">
        <f ca="1">RANK(PlayerGameData[[#This Row],[REBTieBreak]],PlayerGameData[REBTieBreak],1)</f>
        <v>224</v>
      </c>
      <c r="AR365" s="8">
        <f ca="1">RANK(PlayerGameData[[#This Row],[AST]],PlayerGameData[AST],0)+PlayerGameData[[#This Row],[VisibleOrder]]</f>
        <v>158</v>
      </c>
      <c r="AS365" s="8">
        <f ca="1">IF(COUNTIF(PlayerGameData[ASTOrder],PlayerGameData[[#This Row],[ASTOrder]])&gt;1,PlayerGameData[[#This Row],[PointRank]]/100+PlayerGameData[[#This Row],[ASTOrder]],PlayerGameData[[#This Row],[ASTOrder]])</f>
        <v>160.16</v>
      </c>
      <c r="AT365" s="8">
        <f ca="1">RANK(PlayerGameData[[#This Row],[ASTTieBreak]],PlayerGameData[ASTTieBreak],1)</f>
        <v>221</v>
      </c>
      <c r="AU365" s="8">
        <f ca="1">RANK(PlayerGameData[[#This Row],[STL]],PlayerGameData[STL],0)+PlayerGameData[[#This Row],[VisibleOrder]]</f>
        <v>143</v>
      </c>
      <c r="AV365" s="8">
        <f ca="1">IF(COUNTIF(PlayerGameData[STLOrder],PlayerGameData[[#This Row],[STLOrder]])&gt;1,PlayerGameData[[#This Row],[PointRank]]/100+PlayerGameData[[#This Row],[STLOrder]],PlayerGameData[[#This Row],[STLOrder]])</f>
        <v>145.16</v>
      </c>
      <c r="AW365" s="8">
        <f ca="1">RANK(PlayerGameData[[#This Row],[STLTieBreak]],PlayerGameData[STLTieBreak],1)</f>
        <v>217</v>
      </c>
      <c r="AX365" s="8">
        <f ca="1">RANK(PlayerGameData[[#This Row],[BLK]],PlayerGameData[BLK],0)+PlayerGameData[[#This Row],[VisibleOrder]]</f>
        <v>32</v>
      </c>
      <c r="AY365" s="8">
        <f ca="1">IF(COUNTIF(PlayerGameData[BLKOrder],PlayerGameData[[#This Row],[BLKOrder]])&gt;1,PlayerGameData[[#This Row],[PointRank]]/100+PlayerGameData[[#This Row],[BLKOrder]],PlayerGameData[[#This Row],[BLKOrder]])</f>
        <v>34.159999999999997</v>
      </c>
      <c r="AZ365" s="8">
        <f ca="1">RANK(PlayerGameData[[#This Row],[BLKTieBreak]],PlayerGameData[BLKTieBreak],1)</f>
        <v>216</v>
      </c>
      <c r="BA365" s="11">
        <f ca="1">IFERROR(IF(PlayerGameData[[#This Row],[FGA]]&gt;$AA$5,PlayerGameData[[#This Row],[FG%*]],PlayerGameData[[#This Row],[FG%*]]*-1),-2)</f>
        <v>-2</v>
      </c>
      <c r="BB365" s="8">
        <f ca="1">RANK(PlayerGameData[[#This Row],[EligFG]],PlayerGameData[EligFG],0)+PlayerGameData[[#This Row],[VisibleOrder]]</f>
        <v>215</v>
      </c>
      <c r="BC365" s="8">
        <f ca="1">IF(COUNTIF(PlayerGameData[EligFGOrder],PlayerGameData[[#This Row],[EligFGOrder]])&gt;1,PlayerGameData[[#This Row],[PointRank]]/100+PlayerGameData[[#This Row],[EligFGOrder]],PlayerGameData[[#This Row],[EligFGOrder]])</f>
        <v>217.16</v>
      </c>
      <c r="BD365" s="8">
        <f ca="1">RANK(PlayerGameData[[#This Row],[EligFGTieBreak]],PlayerGameData[EligFGTieBreak],1)</f>
        <v>216</v>
      </c>
      <c r="BE365" s="8" t="str">
        <f>Roster!$D$3</f>
        <v>East</v>
      </c>
      <c r="BF365" s="8" t="str">
        <f>Roster!$D$2</f>
        <v>Northeast</v>
      </c>
      <c r="BG365" s="8" t="str">
        <f>Roster!$D$4</f>
        <v>North</v>
      </c>
      <c r="BH365" s="197">
        <f ca="1">IFERROR(VLOOKUP(CONCATENATE(PlayerGameData[[#This Row],[Opponent]]," ",MONTH(PlayerGameData[[#This Row],[Date]]),"/",DAY(PlayerGameData[[#This Row],[Date]]),"/",YEAR(PlayerGameData[[#This Row],[Date]])),Table35[],2,FALSE),0)</f>
        <v>1</v>
      </c>
      <c r="BI365" s="197">
        <f ca="1">IF(PlayerGameData[[#This Row],[Visible]]=1,1,1000)</f>
        <v>1</v>
      </c>
      <c r="BJ365" s="197" t="e">
        <f ca="1">_xlfn.MAXIFS(TeamGameData[Win],TeamGameData[School, Opponent,Game'#],PlayerGameData[[#This Row],[School, Opponent,Game'#]])</f>
        <v>#NAME?</v>
      </c>
      <c r="BK365" s="197" t="e">
        <f ca="1">_xlfn.MAXIFS(TeamGameData[Loss],TeamGameData[School, Opponent,Game'#],PlayerGameData[[#This Row],[School, Opponent,Game'#]])</f>
        <v>#NAME?</v>
      </c>
    </row>
    <row r="366" spans="1:63" x14ac:dyDescent="0.25">
      <c r="A366" s="8" t="str">
        <f t="shared" ca="1" si="183"/>
        <v xml:space="preserve">Team, </v>
      </c>
      <c r="B366" s="8" t="str">
        <f>Roster!$B$1</f>
        <v>Upton</v>
      </c>
      <c r="C366" s="8" t="str">
        <f t="shared" ca="1" si="171"/>
        <v>Kaycee</v>
      </c>
      <c r="D366" s="10">
        <f t="shared" ca="1" si="172"/>
        <v>44960</v>
      </c>
      <c r="E366" s="8">
        <f t="shared" ca="1" si="173"/>
        <v>0</v>
      </c>
      <c r="F366" s="8">
        <f t="shared" ca="1" si="174"/>
        <v>0</v>
      </c>
      <c r="G366" s="8">
        <f t="shared" ca="1" si="175"/>
        <v>0</v>
      </c>
      <c r="H366" s="8">
        <f t="shared" ca="1" si="176"/>
        <v>0</v>
      </c>
      <c r="I366" s="8">
        <f t="shared" ca="1" si="177"/>
        <v>0</v>
      </c>
      <c r="J366" s="8">
        <f t="shared" ca="1" si="178"/>
        <v>0</v>
      </c>
      <c r="K366" s="8">
        <f t="shared" ca="1" si="179"/>
        <v>0</v>
      </c>
      <c r="L366" s="8">
        <f t="shared" ca="1" si="184"/>
        <v>0</v>
      </c>
      <c r="M366" s="8">
        <f t="shared" ca="1" si="185"/>
        <v>0</v>
      </c>
      <c r="N366" s="8">
        <f t="shared" ca="1" si="186"/>
        <v>0</v>
      </c>
      <c r="O366" s="8">
        <f t="shared" ca="1" si="187"/>
        <v>0</v>
      </c>
      <c r="P366" s="8">
        <f t="shared" ca="1" si="188"/>
        <v>0</v>
      </c>
      <c r="Q366" s="8">
        <f t="shared" ca="1" si="189"/>
        <v>0</v>
      </c>
      <c r="R366" s="8">
        <f t="shared" ca="1" si="190"/>
        <v>0</v>
      </c>
      <c r="S366" s="8">
        <f t="shared" ca="1" si="191"/>
        <v>0</v>
      </c>
      <c r="T366" s="8">
        <f t="shared" ca="1" si="192"/>
        <v>0</v>
      </c>
      <c r="U366" s="8">
        <f t="shared" ca="1" si="193"/>
        <v>0</v>
      </c>
      <c r="V366" s="8">
        <f t="shared" ca="1" si="194"/>
        <v>0</v>
      </c>
      <c r="W366" s="11" t="str">
        <f t="shared" ca="1" si="195"/>
        <v/>
      </c>
      <c r="X366" s="11" t="str">
        <f t="shared" ca="1" si="196"/>
        <v/>
      </c>
      <c r="Y366" s="11" t="str">
        <f t="shared" ca="1" si="197"/>
        <v/>
      </c>
      <c r="Z366" s="11" t="str">
        <f t="shared" ca="1" si="198"/>
        <v/>
      </c>
      <c r="AA366" s="11" t="str">
        <f t="shared" ca="1" si="199"/>
        <v/>
      </c>
      <c r="AB366" s="47">
        <f ca="1">PlayerGameData[[#This Row],[3FGA]]+PlayerGameData[[#This Row],[2FGA]]</f>
        <v>0</v>
      </c>
      <c r="AC366" s="47">
        <f ca="1">PlayerGameData[[#This Row],[OFF REB]]+PlayerGameData[[#This Row],[DEF REB]]</f>
        <v>0</v>
      </c>
      <c r="AD366" s="8">
        <f t="shared" si="180"/>
        <v>15</v>
      </c>
      <c r="AE366" s="8" t="str">
        <f t="shared" ca="1" si="181"/>
        <v>Team,  - Kaycee 2/3/2023</v>
      </c>
      <c r="AF366" s="8" t="str">
        <f t="shared" ca="1" si="200"/>
        <v>R</v>
      </c>
      <c r="AG366" s="8" t="str">
        <f ca="1">IFERROR(IF(C366=0,"",IF(AND(VLOOKUP(PlayerGameData[[#This Row],[Opponent]],WYTeamInfo,2,FALSE)=Roster!$D$1,VLOOKUP(PlayerGameData[[#This Row],[Opponent]],WYTeamInfo,3,FALSE)=Roster!$D$2),"SR","")),"")</f>
        <v>SR</v>
      </c>
      <c r="AH366" s="8" t="str">
        <f>CONCATENATE(Roster!$D$1," ",Roster!$D$5)</f>
        <v>1A BB</v>
      </c>
      <c r="AI366" s="8" t="str">
        <f t="shared" ca="1" si="182"/>
        <v>Upton - Kaycee 2/3/2023</v>
      </c>
      <c r="AJ366" s="8">
        <f ca="1">IFERROR(VLOOKUP(PlayerGameData[[#This Row],[School, Opponent,Game'#]],Table3[],2,FALSE),0)</f>
        <v>1</v>
      </c>
      <c r="AK366" s="8">
        <f ca="1">IF(PlayerGameData[[#This Row],[Visible]]=1,1,1000)</f>
        <v>1</v>
      </c>
      <c r="AL366" s="8">
        <f ca="1">RANK(PlayerGameData[[#This Row],[TL PTS]],PlayerGameData[TL PTS],0)+PlayerGameData[[#This Row],[VisibleOrder]]</f>
        <v>185</v>
      </c>
      <c r="AM366" s="8">
        <f ca="1">IF(COUNTIF(PlayerGameData[PointOrder],PlayerGameData[[#This Row],[PointOrder]])&gt;1,RANK(PlayerGameData[[#This Row],[FGA]],PlayerGameData[FGA],0)/100,0)+PlayerGameData[[#This Row],[PointOrder]]</f>
        <v>187.14</v>
      </c>
      <c r="AN366" s="8">
        <f ca="1">RANK(PlayerGameData[[#This Row],[PointTieBreak]],PlayerGameData[PointTieBreak],1)</f>
        <v>216</v>
      </c>
      <c r="AO366" s="8">
        <f ca="1">RANK(PlayerGameData[[#This Row],[REB]],PlayerGameData[REB],0)+PlayerGameData[[#This Row],[VisibleOrder]]</f>
        <v>192</v>
      </c>
      <c r="AP366" s="8">
        <f ca="1">IF(COUNTIF(PlayerGameData[REBOrder],PlayerGameData[[#This Row],[REBOrder]])&gt;1,PlayerGameData[[#This Row],[PointRank]]/100+PlayerGameData[[#This Row],[REBOrder]],PlayerGameData[[#This Row],[REBOrder]])</f>
        <v>194.16</v>
      </c>
      <c r="AQ366" s="8">
        <f ca="1">RANK(PlayerGameData[[#This Row],[REBTieBreak]],PlayerGameData[REBTieBreak],1)</f>
        <v>224</v>
      </c>
      <c r="AR366" s="8">
        <f ca="1">RANK(PlayerGameData[[#This Row],[AST]],PlayerGameData[AST],0)+PlayerGameData[[#This Row],[VisibleOrder]]</f>
        <v>158</v>
      </c>
      <c r="AS366" s="8">
        <f ca="1">IF(COUNTIF(PlayerGameData[ASTOrder],PlayerGameData[[#This Row],[ASTOrder]])&gt;1,PlayerGameData[[#This Row],[PointRank]]/100+PlayerGameData[[#This Row],[ASTOrder]],PlayerGameData[[#This Row],[ASTOrder]])</f>
        <v>160.16</v>
      </c>
      <c r="AT366" s="8">
        <f ca="1">RANK(PlayerGameData[[#This Row],[ASTTieBreak]],PlayerGameData[ASTTieBreak],1)</f>
        <v>221</v>
      </c>
      <c r="AU366" s="8">
        <f ca="1">RANK(PlayerGameData[[#This Row],[STL]],PlayerGameData[STL],0)+PlayerGameData[[#This Row],[VisibleOrder]]</f>
        <v>143</v>
      </c>
      <c r="AV366" s="8">
        <f ca="1">IF(COUNTIF(PlayerGameData[STLOrder],PlayerGameData[[#This Row],[STLOrder]])&gt;1,PlayerGameData[[#This Row],[PointRank]]/100+PlayerGameData[[#This Row],[STLOrder]],PlayerGameData[[#This Row],[STLOrder]])</f>
        <v>145.16</v>
      </c>
      <c r="AW366" s="8">
        <f ca="1">RANK(PlayerGameData[[#This Row],[STLTieBreak]],PlayerGameData[STLTieBreak],1)</f>
        <v>217</v>
      </c>
      <c r="AX366" s="8">
        <f ca="1">RANK(PlayerGameData[[#This Row],[BLK]],PlayerGameData[BLK],0)+PlayerGameData[[#This Row],[VisibleOrder]]</f>
        <v>32</v>
      </c>
      <c r="AY366" s="8">
        <f ca="1">IF(COUNTIF(PlayerGameData[BLKOrder],PlayerGameData[[#This Row],[BLKOrder]])&gt;1,PlayerGameData[[#This Row],[PointRank]]/100+PlayerGameData[[#This Row],[BLKOrder]],PlayerGameData[[#This Row],[BLKOrder]])</f>
        <v>34.159999999999997</v>
      </c>
      <c r="AZ366" s="8">
        <f ca="1">RANK(PlayerGameData[[#This Row],[BLKTieBreak]],PlayerGameData[BLKTieBreak],1)</f>
        <v>216</v>
      </c>
      <c r="BA366" s="11">
        <f ca="1">IFERROR(IF(PlayerGameData[[#This Row],[FGA]]&gt;$AA$5,PlayerGameData[[#This Row],[FG%*]],PlayerGameData[[#This Row],[FG%*]]*-1),-2)</f>
        <v>-2</v>
      </c>
      <c r="BB366" s="8">
        <f ca="1">RANK(PlayerGameData[[#This Row],[EligFG]],PlayerGameData[EligFG],0)+PlayerGameData[[#This Row],[VisibleOrder]]</f>
        <v>215</v>
      </c>
      <c r="BC366" s="8">
        <f ca="1">IF(COUNTIF(PlayerGameData[EligFGOrder],PlayerGameData[[#This Row],[EligFGOrder]])&gt;1,PlayerGameData[[#This Row],[PointRank]]/100+PlayerGameData[[#This Row],[EligFGOrder]],PlayerGameData[[#This Row],[EligFGOrder]])</f>
        <v>217.16</v>
      </c>
      <c r="BD366" s="8">
        <f ca="1">RANK(PlayerGameData[[#This Row],[EligFGTieBreak]],PlayerGameData[EligFGTieBreak],1)</f>
        <v>216</v>
      </c>
      <c r="BE366" s="8" t="str">
        <f>Roster!$D$3</f>
        <v>East</v>
      </c>
      <c r="BF366" s="8" t="str">
        <f>Roster!$D$2</f>
        <v>Northeast</v>
      </c>
      <c r="BG366" s="8" t="str">
        <f>Roster!$D$4</f>
        <v>North</v>
      </c>
      <c r="BH366" s="197">
        <f ca="1">IFERROR(VLOOKUP(CONCATENATE(PlayerGameData[[#This Row],[Opponent]]," ",MONTH(PlayerGameData[[#This Row],[Date]]),"/",DAY(PlayerGameData[[#This Row],[Date]]),"/",YEAR(PlayerGameData[[#This Row],[Date]])),Table35[],2,FALSE),0)</f>
        <v>1</v>
      </c>
      <c r="BI366" s="197">
        <f ca="1">IF(PlayerGameData[[#This Row],[Visible]]=1,1,1000)</f>
        <v>1</v>
      </c>
      <c r="BJ366" s="197" t="e">
        <f ca="1">_xlfn.MAXIFS(TeamGameData[Win],TeamGameData[School, Opponent,Game'#],PlayerGameData[[#This Row],[School, Opponent,Game'#]])</f>
        <v>#NAME?</v>
      </c>
      <c r="BK366" s="197" t="e">
        <f ca="1">_xlfn.MAXIFS(TeamGameData[Loss],TeamGameData[School, Opponent,Game'#],PlayerGameData[[#This Row],[School, Opponent,Game'#]])</f>
        <v>#NAME?</v>
      </c>
    </row>
    <row r="367" spans="1:63" x14ac:dyDescent="0.25">
      <c r="A367" s="8" t="str">
        <f t="shared" ca="1" si="183"/>
        <v>Landon Butler, 1</v>
      </c>
      <c r="B367" s="8" t="str">
        <f>Roster!$B$1</f>
        <v>Upton</v>
      </c>
      <c r="C367" s="8" t="str">
        <f t="shared" ca="1" si="171"/>
        <v>Midwest</v>
      </c>
      <c r="D367" s="10">
        <f t="shared" ca="1" si="172"/>
        <v>44961</v>
      </c>
      <c r="E367" s="8">
        <f t="shared" ca="1" si="173"/>
        <v>1</v>
      </c>
      <c r="F367" s="8">
        <f t="shared" ca="1" si="174"/>
        <v>0</v>
      </c>
      <c r="G367" s="8">
        <f t="shared" ca="1" si="175"/>
        <v>10</v>
      </c>
      <c r="H367" s="8">
        <f t="shared" ca="1" si="176"/>
        <v>0</v>
      </c>
      <c r="I367" s="8">
        <f t="shared" ca="1" si="177"/>
        <v>1</v>
      </c>
      <c r="J367" s="8">
        <f t="shared" ca="1" si="178"/>
        <v>1</v>
      </c>
      <c r="K367" s="8">
        <f t="shared" ca="1" si="179"/>
        <v>2</v>
      </c>
      <c r="L367" s="8">
        <f t="shared" ca="1" si="184"/>
        <v>0</v>
      </c>
      <c r="M367" s="8">
        <f t="shared" ca="1" si="185"/>
        <v>0</v>
      </c>
      <c r="N367" s="8">
        <f t="shared" ca="1" si="186"/>
        <v>0</v>
      </c>
      <c r="O367" s="8">
        <f t="shared" ca="1" si="187"/>
        <v>1</v>
      </c>
      <c r="P367" s="8">
        <f t="shared" ca="1" si="188"/>
        <v>0</v>
      </c>
      <c r="Q367" s="8">
        <f t="shared" ca="1" si="189"/>
        <v>0</v>
      </c>
      <c r="R367" s="8">
        <f t="shared" ca="1" si="190"/>
        <v>0</v>
      </c>
      <c r="S367" s="8">
        <f t="shared" ca="1" si="191"/>
        <v>3</v>
      </c>
      <c r="T367" s="8">
        <f t="shared" ca="1" si="192"/>
        <v>0</v>
      </c>
      <c r="U367" s="8">
        <f t="shared" ca="1" si="193"/>
        <v>0</v>
      </c>
      <c r="V367" s="8">
        <f t="shared" ca="1" si="194"/>
        <v>2</v>
      </c>
      <c r="W367" s="11">
        <f t="shared" ca="1" si="195"/>
        <v>0</v>
      </c>
      <c r="X367" s="11">
        <f t="shared" ca="1" si="196"/>
        <v>0.5</v>
      </c>
      <c r="Y367" s="11" t="str">
        <f t="shared" ca="1" si="197"/>
        <v/>
      </c>
      <c r="Z367" s="11">
        <f t="shared" ca="1" si="198"/>
        <v>0.33333333333333331</v>
      </c>
      <c r="AA367" s="11">
        <f t="shared" ca="1" si="199"/>
        <v>0.33333333333333331</v>
      </c>
      <c r="AB367" s="47">
        <f ca="1">PlayerGameData[[#This Row],[3FGA]]+PlayerGameData[[#This Row],[2FGA]]</f>
        <v>3</v>
      </c>
      <c r="AC367" s="47">
        <f ca="1">PlayerGameData[[#This Row],[OFF REB]]+PlayerGameData[[#This Row],[DEF REB]]</f>
        <v>1</v>
      </c>
      <c r="AD367" s="8">
        <f t="shared" si="180"/>
        <v>16</v>
      </c>
      <c r="AE367" s="8" t="str">
        <f t="shared" ca="1" si="181"/>
        <v>Landon Butler, 1 - Midwest 2/4/2023</v>
      </c>
      <c r="AF367" s="8" t="str">
        <f t="shared" ca="1" si="200"/>
        <v>R</v>
      </c>
      <c r="AG367" s="8" t="str">
        <f ca="1">IFERROR(IF(C367=0,"",IF(AND(VLOOKUP(PlayerGameData[[#This Row],[Opponent]],WYTeamInfo,2,FALSE)=Roster!$D$1,VLOOKUP(PlayerGameData[[#This Row],[Opponent]],WYTeamInfo,3,FALSE)=Roster!$D$2),"SR","")),"")</f>
        <v>SR</v>
      </c>
      <c r="AH367" s="8" t="str">
        <f>CONCATENATE(Roster!$D$1," ",Roster!$D$5)</f>
        <v>1A BB</v>
      </c>
      <c r="AI367" s="8" t="str">
        <f t="shared" ca="1" si="182"/>
        <v>Upton - Midwest 2/4/2023</v>
      </c>
      <c r="AJ367" s="8">
        <f ca="1">IFERROR(VLOOKUP(PlayerGameData[[#This Row],[School, Opponent,Game'#]],Table3[],2,FALSE),0)</f>
        <v>1</v>
      </c>
      <c r="AK367" s="8">
        <f ca="1">IF(PlayerGameData[[#This Row],[Visible]]=1,1,1000)</f>
        <v>1</v>
      </c>
      <c r="AL367" s="8">
        <f ca="1">RANK(PlayerGameData[[#This Row],[TL PTS]],PlayerGameData[TL PTS],0)+PlayerGameData[[#This Row],[VisibleOrder]]</f>
        <v>152</v>
      </c>
      <c r="AM367" s="8">
        <f ca="1">IF(COUNTIF(PlayerGameData[PointOrder],PlayerGameData[[#This Row],[PointOrder]])&gt;1,RANK(PlayerGameData[[#This Row],[FGA]],PlayerGameData[FGA],0)/100,0)+PlayerGameData[[#This Row],[PointOrder]]</f>
        <v>153.4</v>
      </c>
      <c r="AN367" s="8">
        <f ca="1">RANK(PlayerGameData[[#This Row],[PointTieBreak]],PlayerGameData[PointTieBreak],1)</f>
        <v>159</v>
      </c>
      <c r="AO367" s="8">
        <f ca="1">RANK(PlayerGameData[[#This Row],[REB]],PlayerGameData[REB],0)+PlayerGameData[[#This Row],[VisibleOrder]]</f>
        <v>163</v>
      </c>
      <c r="AP367" s="8">
        <f ca="1">IF(COUNTIF(PlayerGameData[REBOrder],PlayerGameData[[#This Row],[REBOrder]])&gt;1,PlayerGameData[[#This Row],[PointRank]]/100+PlayerGameData[[#This Row],[REBOrder]],PlayerGameData[[#This Row],[REBOrder]])</f>
        <v>164.59</v>
      </c>
      <c r="AQ367" s="8">
        <f ca="1">RANK(PlayerGameData[[#This Row],[REBTieBreak]],PlayerGameData[REBTieBreak],1)</f>
        <v>174</v>
      </c>
      <c r="AR367" s="8">
        <f ca="1">RANK(PlayerGameData[[#This Row],[AST]],PlayerGameData[AST],0)+PlayerGameData[[#This Row],[VisibleOrder]]</f>
        <v>158</v>
      </c>
      <c r="AS367" s="8">
        <f ca="1">IF(COUNTIF(PlayerGameData[ASTOrder],PlayerGameData[[#This Row],[ASTOrder]])&gt;1,PlayerGameData[[#This Row],[PointRank]]/100+PlayerGameData[[#This Row],[ASTOrder]],PlayerGameData[[#This Row],[ASTOrder]])</f>
        <v>159.59</v>
      </c>
      <c r="AT367" s="8">
        <f ca="1">RANK(PlayerGameData[[#This Row],[ASTTieBreak]],PlayerGameData[ASTTieBreak],1)</f>
        <v>184</v>
      </c>
      <c r="AU367" s="8">
        <f ca="1">RANK(PlayerGameData[[#This Row],[STL]],PlayerGameData[STL],0)+PlayerGameData[[#This Row],[VisibleOrder]]</f>
        <v>143</v>
      </c>
      <c r="AV367" s="8">
        <f ca="1">IF(COUNTIF(PlayerGameData[STLOrder],PlayerGameData[[#This Row],[STLOrder]])&gt;1,PlayerGameData[[#This Row],[PointRank]]/100+PlayerGameData[[#This Row],[STLOrder]],PlayerGameData[[#This Row],[STLOrder]])</f>
        <v>144.59</v>
      </c>
      <c r="AW367" s="8">
        <f ca="1">RANK(PlayerGameData[[#This Row],[STLTieBreak]],PlayerGameData[STLTieBreak],1)</f>
        <v>179</v>
      </c>
      <c r="AX367" s="8">
        <f ca="1">RANK(PlayerGameData[[#This Row],[BLK]],PlayerGameData[BLK],0)+PlayerGameData[[#This Row],[VisibleOrder]]</f>
        <v>32</v>
      </c>
      <c r="AY367" s="8">
        <f ca="1">IF(COUNTIF(PlayerGameData[BLKOrder],PlayerGameData[[#This Row],[BLKOrder]])&gt;1,PlayerGameData[[#This Row],[PointRank]]/100+PlayerGameData[[#This Row],[BLKOrder]],PlayerGameData[[#This Row],[BLKOrder]])</f>
        <v>33.590000000000003</v>
      </c>
      <c r="AZ367" s="8">
        <f ca="1">RANK(PlayerGameData[[#This Row],[BLKTieBreak]],PlayerGameData[BLKTieBreak],1)</f>
        <v>161</v>
      </c>
      <c r="BA367" s="11">
        <f ca="1">IFERROR(IF(PlayerGameData[[#This Row],[FGA]]&gt;$AA$5,PlayerGameData[[#This Row],[FG%*]],PlayerGameData[[#This Row],[FG%*]]*-1),-2)</f>
        <v>-0.33333333333333331</v>
      </c>
      <c r="BB367" s="8">
        <f ca="1">RANK(PlayerGameData[[#This Row],[EligFG]],PlayerGameData[EligFG],0)+PlayerGameData[[#This Row],[VisibleOrder]]</f>
        <v>164</v>
      </c>
      <c r="BC367" s="8">
        <f ca="1">IF(COUNTIF(PlayerGameData[EligFGOrder],PlayerGameData[[#This Row],[EligFGOrder]])&gt;1,PlayerGameData[[#This Row],[PointRank]]/100+PlayerGameData[[#This Row],[EligFGOrder]],PlayerGameData[[#This Row],[EligFGOrder]])</f>
        <v>165.59</v>
      </c>
      <c r="BD367" s="8">
        <f ca="1">RANK(PlayerGameData[[#This Row],[EligFGTieBreak]],PlayerGameData[EligFGTieBreak],1)</f>
        <v>171</v>
      </c>
      <c r="BE367" s="8" t="str">
        <f>Roster!$D$3</f>
        <v>East</v>
      </c>
      <c r="BF367" s="8" t="str">
        <f>Roster!$D$2</f>
        <v>Northeast</v>
      </c>
      <c r="BG367" s="8" t="str">
        <f>Roster!$D$4</f>
        <v>North</v>
      </c>
      <c r="BH367" s="197">
        <f ca="1">IFERROR(VLOOKUP(CONCATENATE(PlayerGameData[[#This Row],[Opponent]]," ",MONTH(PlayerGameData[[#This Row],[Date]]),"/",DAY(PlayerGameData[[#This Row],[Date]]),"/",YEAR(PlayerGameData[[#This Row],[Date]])),Table35[],2,FALSE),0)</f>
        <v>1</v>
      </c>
      <c r="BI367" s="197">
        <f ca="1">IF(PlayerGameData[[#This Row],[Visible]]=1,1,1000)</f>
        <v>1</v>
      </c>
      <c r="BJ367" s="197" t="e">
        <f ca="1">_xlfn.MAXIFS(TeamGameData[Win],TeamGameData[School, Opponent,Game'#],PlayerGameData[[#This Row],[School, Opponent,Game'#]])</f>
        <v>#NAME?</v>
      </c>
      <c r="BK367" s="197" t="e">
        <f ca="1">_xlfn.MAXIFS(TeamGameData[Loss],TeamGameData[School, Opponent,Game'#],PlayerGameData[[#This Row],[School, Opponent,Game'#]])</f>
        <v>#NAME?</v>
      </c>
    </row>
    <row r="368" spans="1:63" x14ac:dyDescent="0.25">
      <c r="A368" s="8" t="str">
        <f t="shared" ca="1" si="183"/>
        <v>Logan Timberman, 3</v>
      </c>
      <c r="B368" s="8" t="str">
        <f>Roster!$B$1</f>
        <v>Upton</v>
      </c>
      <c r="C368" s="8" t="str">
        <f t="shared" ca="1" si="171"/>
        <v>Midwest</v>
      </c>
      <c r="D368" s="10">
        <f t="shared" ca="1" si="172"/>
        <v>44961</v>
      </c>
      <c r="E368" s="8">
        <f t="shared" ca="1" si="173"/>
        <v>1</v>
      </c>
      <c r="F368" s="8">
        <f t="shared" ca="1" si="174"/>
        <v>1</v>
      </c>
      <c r="G368" s="8">
        <f t="shared" ca="1" si="175"/>
        <v>16</v>
      </c>
      <c r="H368" s="8">
        <f t="shared" ca="1" si="176"/>
        <v>1</v>
      </c>
      <c r="I368" s="8">
        <f t="shared" ca="1" si="177"/>
        <v>3</v>
      </c>
      <c r="J368" s="8">
        <f t="shared" ca="1" si="178"/>
        <v>4</v>
      </c>
      <c r="K368" s="8">
        <f t="shared" ca="1" si="179"/>
        <v>4</v>
      </c>
      <c r="L368" s="8">
        <f t="shared" ca="1" si="184"/>
        <v>0</v>
      </c>
      <c r="M368" s="8">
        <f t="shared" ca="1" si="185"/>
        <v>0</v>
      </c>
      <c r="N368" s="8">
        <f t="shared" ca="1" si="186"/>
        <v>1</v>
      </c>
      <c r="O368" s="8">
        <f t="shared" ca="1" si="187"/>
        <v>1</v>
      </c>
      <c r="P368" s="8">
        <f t="shared" ca="1" si="188"/>
        <v>1</v>
      </c>
      <c r="Q368" s="8">
        <f t="shared" ca="1" si="189"/>
        <v>3</v>
      </c>
      <c r="R368" s="8">
        <f t="shared" ca="1" si="190"/>
        <v>0</v>
      </c>
      <c r="S368" s="8">
        <f t="shared" ca="1" si="191"/>
        <v>1</v>
      </c>
      <c r="T368" s="8">
        <f t="shared" ca="1" si="192"/>
        <v>2</v>
      </c>
      <c r="U368" s="8">
        <f t="shared" ca="1" si="193"/>
        <v>0</v>
      </c>
      <c r="V368" s="8">
        <f t="shared" ca="1" si="194"/>
        <v>11</v>
      </c>
      <c r="W368" s="11">
        <f t="shared" ca="1" si="195"/>
        <v>0.33333333333333331</v>
      </c>
      <c r="X368" s="11">
        <f t="shared" ca="1" si="196"/>
        <v>1</v>
      </c>
      <c r="Y368" s="11" t="str">
        <f t="shared" ca="1" si="197"/>
        <v/>
      </c>
      <c r="Z368" s="11">
        <f t="shared" ca="1" si="198"/>
        <v>0.7142857142857143</v>
      </c>
      <c r="AA368" s="11">
        <f t="shared" ca="1" si="199"/>
        <v>0.7857142857142857</v>
      </c>
      <c r="AB368" s="47">
        <f ca="1">PlayerGameData[[#This Row],[3FGA]]+PlayerGameData[[#This Row],[2FGA]]</f>
        <v>7</v>
      </c>
      <c r="AC368" s="47">
        <f ca="1">PlayerGameData[[#This Row],[OFF REB]]+PlayerGameData[[#This Row],[DEF REB]]</f>
        <v>2</v>
      </c>
      <c r="AD368" s="8">
        <f t="shared" si="180"/>
        <v>16</v>
      </c>
      <c r="AE368" s="8" t="str">
        <f t="shared" ca="1" si="181"/>
        <v>Logan Timberman, 3 - Midwest 2/4/2023</v>
      </c>
      <c r="AF368" s="8" t="str">
        <f t="shared" ca="1" si="200"/>
        <v>R</v>
      </c>
      <c r="AG368" s="8" t="str">
        <f ca="1">IFERROR(IF(C368=0,"",IF(AND(VLOOKUP(PlayerGameData[[#This Row],[Opponent]],WYTeamInfo,2,FALSE)=Roster!$D$1,VLOOKUP(PlayerGameData[[#This Row],[Opponent]],WYTeamInfo,3,FALSE)=Roster!$D$2),"SR","")),"")</f>
        <v>SR</v>
      </c>
      <c r="AH368" s="8" t="str">
        <f>CONCATENATE(Roster!$D$1," ",Roster!$D$5)</f>
        <v>1A BB</v>
      </c>
      <c r="AI368" s="8" t="str">
        <f t="shared" ca="1" si="182"/>
        <v>Upton - Midwest 2/4/2023</v>
      </c>
      <c r="AJ368" s="8">
        <f ca="1">IFERROR(VLOOKUP(PlayerGameData[[#This Row],[School, Opponent,Game'#]],Table3[],2,FALSE),0)</f>
        <v>1</v>
      </c>
      <c r="AK368" s="8">
        <f ca="1">IF(PlayerGameData[[#This Row],[Visible]]=1,1,1000)</f>
        <v>1</v>
      </c>
      <c r="AL368" s="8">
        <f ca="1">RANK(PlayerGameData[[#This Row],[TL PTS]],PlayerGameData[TL PTS],0)+PlayerGameData[[#This Row],[VisibleOrder]]</f>
        <v>58</v>
      </c>
      <c r="AM368" s="8">
        <f ca="1">IF(COUNTIF(PlayerGameData[PointOrder],PlayerGameData[[#This Row],[PointOrder]])&gt;1,RANK(PlayerGameData[[#This Row],[FGA]],PlayerGameData[FGA],0)/100,0)+PlayerGameData[[#This Row],[PointOrder]]</f>
        <v>58.93</v>
      </c>
      <c r="AN368" s="8">
        <f ca="1">RANK(PlayerGameData[[#This Row],[PointTieBreak]],PlayerGameData[PointTieBreak],1)</f>
        <v>63</v>
      </c>
      <c r="AO368" s="8">
        <f ca="1">RANK(PlayerGameData[[#This Row],[REB]],PlayerGameData[REB],0)+PlayerGameData[[#This Row],[VisibleOrder]]</f>
        <v>137</v>
      </c>
      <c r="AP368" s="8">
        <f ca="1">IF(COUNTIF(PlayerGameData[REBOrder],PlayerGameData[[#This Row],[REBOrder]])&gt;1,PlayerGameData[[#This Row],[PointRank]]/100+PlayerGameData[[#This Row],[REBOrder]],PlayerGameData[[#This Row],[REBOrder]])</f>
        <v>137.63</v>
      </c>
      <c r="AQ368" s="8">
        <f ca="1">RANK(PlayerGameData[[#This Row],[REBTieBreak]],PlayerGameData[REBTieBreak],1)</f>
        <v>140</v>
      </c>
      <c r="AR368" s="8">
        <f ca="1">RANK(PlayerGameData[[#This Row],[AST]],PlayerGameData[AST],0)+PlayerGameData[[#This Row],[VisibleOrder]]</f>
        <v>115</v>
      </c>
      <c r="AS368" s="8">
        <f ca="1">IF(COUNTIF(PlayerGameData[ASTOrder],PlayerGameData[[#This Row],[ASTOrder]])&gt;1,PlayerGameData[[#This Row],[PointRank]]/100+PlayerGameData[[#This Row],[ASTOrder]],PlayerGameData[[#This Row],[ASTOrder]])</f>
        <v>115.63</v>
      </c>
      <c r="AT368" s="8">
        <f ca="1">RANK(PlayerGameData[[#This Row],[ASTTieBreak]],PlayerGameData[ASTTieBreak],1)</f>
        <v>122</v>
      </c>
      <c r="AU368" s="8">
        <f ca="1">RANK(PlayerGameData[[#This Row],[STL]],PlayerGameData[STL],0)+PlayerGameData[[#This Row],[VisibleOrder]]</f>
        <v>26</v>
      </c>
      <c r="AV368" s="8">
        <f ca="1">IF(COUNTIF(PlayerGameData[STLOrder],PlayerGameData[[#This Row],[STLOrder]])&gt;1,PlayerGameData[[#This Row],[PointRank]]/100+PlayerGameData[[#This Row],[STLOrder]],PlayerGameData[[#This Row],[STLOrder]])</f>
        <v>26.63</v>
      </c>
      <c r="AW368" s="8">
        <f ca="1">RANK(PlayerGameData[[#This Row],[STLTieBreak]],PlayerGameData[STLTieBreak],1)</f>
        <v>35</v>
      </c>
      <c r="AX368" s="8">
        <f ca="1">RANK(PlayerGameData[[#This Row],[BLK]],PlayerGameData[BLK],0)+PlayerGameData[[#This Row],[VisibleOrder]]</f>
        <v>32</v>
      </c>
      <c r="AY368" s="8">
        <f ca="1">IF(COUNTIF(PlayerGameData[BLKOrder],PlayerGameData[[#This Row],[BLKOrder]])&gt;1,PlayerGameData[[#This Row],[PointRank]]/100+PlayerGameData[[#This Row],[BLKOrder]],PlayerGameData[[#This Row],[BLKOrder]])</f>
        <v>32.630000000000003</v>
      </c>
      <c r="AZ368" s="8">
        <f ca="1">RANK(PlayerGameData[[#This Row],[BLKTieBreak]],PlayerGameData[BLKTieBreak],1)</f>
        <v>80</v>
      </c>
      <c r="BA368" s="11">
        <f ca="1">IFERROR(IF(PlayerGameData[[#This Row],[FGA]]&gt;$AA$5,PlayerGameData[[#This Row],[FG%*]],PlayerGameData[[#This Row],[FG%*]]*-1),-2)</f>
        <v>0.7142857142857143</v>
      </c>
      <c r="BB368" s="8">
        <f ca="1">RANK(PlayerGameData[[#This Row],[EligFG]],PlayerGameData[EligFG],0)+PlayerGameData[[#This Row],[VisibleOrder]]</f>
        <v>9</v>
      </c>
      <c r="BC368" s="8">
        <f ca="1">IF(COUNTIF(PlayerGameData[EligFGOrder],PlayerGameData[[#This Row],[EligFGOrder]])&gt;1,PlayerGameData[[#This Row],[PointRank]]/100+PlayerGameData[[#This Row],[EligFGOrder]],PlayerGameData[[#This Row],[EligFGOrder]])</f>
        <v>9.6300000000000008</v>
      </c>
      <c r="BD368" s="8">
        <f ca="1">RANK(PlayerGameData[[#This Row],[EligFGTieBreak]],PlayerGameData[EligFGTieBreak],1)</f>
        <v>8</v>
      </c>
      <c r="BE368" s="8" t="str">
        <f>Roster!$D$3</f>
        <v>East</v>
      </c>
      <c r="BF368" s="8" t="str">
        <f>Roster!$D$2</f>
        <v>Northeast</v>
      </c>
      <c r="BG368" s="8" t="str">
        <f>Roster!$D$4</f>
        <v>North</v>
      </c>
      <c r="BH368" s="197">
        <f ca="1">IFERROR(VLOOKUP(CONCATENATE(PlayerGameData[[#This Row],[Opponent]]," ",MONTH(PlayerGameData[[#This Row],[Date]]),"/",DAY(PlayerGameData[[#This Row],[Date]]),"/",YEAR(PlayerGameData[[#This Row],[Date]])),Table35[],2,FALSE),0)</f>
        <v>1</v>
      </c>
      <c r="BI368" s="197">
        <f ca="1">IF(PlayerGameData[[#This Row],[Visible]]=1,1,1000)</f>
        <v>1</v>
      </c>
      <c r="BJ368" s="197" t="e">
        <f ca="1">_xlfn.MAXIFS(TeamGameData[Win],TeamGameData[School, Opponent,Game'#],PlayerGameData[[#This Row],[School, Opponent,Game'#]])</f>
        <v>#NAME?</v>
      </c>
      <c r="BK368" s="197" t="e">
        <f ca="1">_xlfn.MAXIFS(TeamGameData[Loss],TeamGameData[School, Opponent,Game'#],PlayerGameData[[#This Row],[School, Opponent,Game'#]])</f>
        <v>#NAME?</v>
      </c>
    </row>
    <row r="369" spans="1:63" x14ac:dyDescent="0.25">
      <c r="A369" s="8" t="str">
        <f t="shared" ca="1" si="183"/>
        <v>Chase Mills, 5</v>
      </c>
      <c r="B369" s="8" t="str">
        <f>Roster!$B$1</f>
        <v>Upton</v>
      </c>
      <c r="C369" s="8" t="str">
        <f t="shared" ca="1" si="171"/>
        <v>Midwest</v>
      </c>
      <c r="D369" s="10">
        <f t="shared" ca="1" si="172"/>
        <v>44961</v>
      </c>
      <c r="E369" s="8">
        <f t="shared" ca="1" si="173"/>
        <v>1</v>
      </c>
      <c r="F369" s="8">
        <f t="shared" ca="1" si="174"/>
        <v>1</v>
      </c>
      <c r="G369" s="8">
        <f t="shared" ca="1" si="175"/>
        <v>16</v>
      </c>
      <c r="H369" s="8">
        <f t="shared" ca="1" si="176"/>
        <v>2</v>
      </c>
      <c r="I369" s="8">
        <f t="shared" ca="1" si="177"/>
        <v>2</v>
      </c>
      <c r="J369" s="8">
        <f t="shared" ca="1" si="178"/>
        <v>6</v>
      </c>
      <c r="K369" s="8">
        <f t="shared" ca="1" si="179"/>
        <v>7</v>
      </c>
      <c r="L369" s="8">
        <f t="shared" ca="1" si="184"/>
        <v>0</v>
      </c>
      <c r="M369" s="8">
        <f t="shared" ca="1" si="185"/>
        <v>0</v>
      </c>
      <c r="N369" s="8">
        <f t="shared" ca="1" si="186"/>
        <v>1</v>
      </c>
      <c r="O369" s="8">
        <f t="shared" ca="1" si="187"/>
        <v>0</v>
      </c>
      <c r="P369" s="8">
        <f t="shared" ca="1" si="188"/>
        <v>2</v>
      </c>
      <c r="Q369" s="8">
        <f t="shared" ca="1" si="189"/>
        <v>4</v>
      </c>
      <c r="R369" s="8">
        <f t="shared" ca="1" si="190"/>
        <v>0</v>
      </c>
      <c r="S369" s="8">
        <f t="shared" ca="1" si="191"/>
        <v>0</v>
      </c>
      <c r="T369" s="8">
        <f t="shared" ca="1" si="192"/>
        <v>0</v>
      </c>
      <c r="U369" s="8">
        <f t="shared" ca="1" si="193"/>
        <v>0</v>
      </c>
      <c r="V369" s="8">
        <f t="shared" ca="1" si="194"/>
        <v>18</v>
      </c>
      <c r="W369" s="11">
        <f t="shared" ca="1" si="195"/>
        <v>1</v>
      </c>
      <c r="X369" s="11">
        <f t="shared" ca="1" si="196"/>
        <v>0.8571428571428571</v>
      </c>
      <c r="Y369" s="11" t="str">
        <f t="shared" ca="1" si="197"/>
        <v/>
      </c>
      <c r="Z369" s="11">
        <f t="shared" ca="1" si="198"/>
        <v>0.88888888888888884</v>
      </c>
      <c r="AA369" s="11">
        <f t="shared" ca="1" si="199"/>
        <v>1</v>
      </c>
      <c r="AB369" s="47">
        <f ca="1">PlayerGameData[[#This Row],[3FGA]]+PlayerGameData[[#This Row],[2FGA]]</f>
        <v>9</v>
      </c>
      <c r="AC369" s="47">
        <f ca="1">PlayerGameData[[#This Row],[OFF REB]]+PlayerGameData[[#This Row],[DEF REB]]</f>
        <v>1</v>
      </c>
      <c r="AD369" s="8">
        <f t="shared" si="180"/>
        <v>16</v>
      </c>
      <c r="AE369" s="8" t="str">
        <f t="shared" ca="1" si="181"/>
        <v>Chase Mills, 5 - Midwest 2/4/2023</v>
      </c>
      <c r="AF369" s="8" t="str">
        <f t="shared" ca="1" si="200"/>
        <v>R</v>
      </c>
      <c r="AG369" s="8" t="str">
        <f ca="1">IFERROR(IF(C369=0,"",IF(AND(VLOOKUP(PlayerGameData[[#This Row],[Opponent]],WYTeamInfo,2,FALSE)=Roster!$D$1,VLOOKUP(PlayerGameData[[#This Row],[Opponent]],WYTeamInfo,3,FALSE)=Roster!$D$2),"SR","")),"")</f>
        <v>SR</v>
      </c>
      <c r="AH369" s="8" t="str">
        <f>CONCATENATE(Roster!$D$1," ",Roster!$D$5)</f>
        <v>1A BB</v>
      </c>
      <c r="AI369" s="8" t="str">
        <f t="shared" ca="1" si="182"/>
        <v>Upton - Midwest 2/4/2023</v>
      </c>
      <c r="AJ369" s="8">
        <f ca="1">IFERROR(VLOOKUP(PlayerGameData[[#This Row],[School, Opponent,Game'#]],Table3[],2,FALSE),0)</f>
        <v>1</v>
      </c>
      <c r="AK369" s="8">
        <f ca="1">IF(PlayerGameData[[#This Row],[Visible]]=1,1,1000)</f>
        <v>1</v>
      </c>
      <c r="AL369" s="8">
        <f ca="1">RANK(PlayerGameData[[#This Row],[TL PTS]],PlayerGameData[TL PTS],0)+PlayerGameData[[#This Row],[VisibleOrder]]</f>
        <v>13</v>
      </c>
      <c r="AM369" s="8">
        <f ca="1">IF(COUNTIF(PlayerGameData[PointOrder],PlayerGameData[[#This Row],[PointOrder]])&gt;1,RANK(PlayerGameData[[#This Row],[FGA]],PlayerGameData[FGA],0)/100,0)+PlayerGameData[[#This Row],[PointOrder]]</f>
        <v>13.59</v>
      </c>
      <c r="AN369" s="8">
        <f ca="1">RANK(PlayerGameData[[#This Row],[PointTieBreak]],PlayerGameData[PointTieBreak],1)</f>
        <v>16</v>
      </c>
      <c r="AO369" s="8">
        <f ca="1">RANK(PlayerGameData[[#This Row],[REB]],PlayerGameData[REB],0)+PlayerGameData[[#This Row],[VisibleOrder]]</f>
        <v>163</v>
      </c>
      <c r="AP369" s="8">
        <f ca="1">IF(COUNTIF(PlayerGameData[REBOrder],PlayerGameData[[#This Row],[REBOrder]])&gt;1,PlayerGameData[[#This Row],[PointRank]]/100+PlayerGameData[[#This Row],[REBOrder]],PlayerGameData[[#This Row],[REBOrder]])</f>
        <v>163.16</v>
      </c>
      <c r="AQ369" s="8">
        <f ca="1">RANK(PlayerGameData[[#This Row],[REBTieBreak]],PlayerGameData[REBTieBreak],1)</f>
        <v>162</v>
      </c>
      <c r="AR369" s="8">
        <f ca="1">RANK(PlayerGameData[[#This Row],[AST]],PlayerGameData[AST],0)+PlayerGameData[[#This Row],[VisibleOrder]]</f>
        <v>69</v>
      </c>
      <c r="AS369" s="8">
        <f ca="1">IF(COUNTIF(PlayerGameData[ASTOrder],PlayerGameData[[#This Row],[ASTOrder]])&gt;1,PlayerGameData[[#This Row],[PointRank]]/100+PlayerGameData[[#This Row],[ASTOrder]],PlayerGameData[[#This Row],[ASTOrder]])</f>
        <v>69.16</v>
      </c>
      <c r="AT369" s="8">
        <f ca="1">RANK(PlayerGameData[[#This Row],[ASTTieBreak]],PlayerGameData[ASTTieBreak],1)</f>
        <v>72</v>
      </c>
      <c r="AU369" s="8">
        <f ca="1">RANK(PlayerGameData[[#This Row],[STL]],PlayerGameData[STL],0)+PlayerGameData[[#This Row],[VisibleOrder]]</f>
        <v>10</v>
      </c>
      <c r="AV369" s="8">
        <f ca="1">IF(COUNTIF(PlayerGameData[STLOrder],PlayerGameData[[#This Row],[STLOrder]])&gt;1,PlayerGameData[[#This Row],[PointRank]]/100+PlayerGameData[[#This Row],[STLOrder]],PlayerGameData[[#This Row],[STLOrder]])</f>
        <v>10.16</v>
      </c>
      <c r="AW369" s="8">
        <f ca="1">RANK(PlayerGameData[[#This Row],[STLTieBreak]],PlayerGameData[STLTieBreak],1)</f>
        <v>14</v>
      </c>
      <c r="AX369" s="8">
        <f ca="1">RANK(PlayerGameData[[#This Row],[BLK]],PlayerGameData[BLK],0)+PlayerGameData[[#This Row],[VisibleOrder]]</f>
        <v>32</v>
      </c>
      <c r="AY369" s="8">
        <f ca="1">IF(COUNTIF(PlayerGameData[BLKOrder],PlayerGameData[[#This Row],[BLKOrder]])&gt;1,PlayerGameData[[#This Row],[PointRank]]/100+PlayerGameData[[#This Row],[BLKOrder]],PlayerGameData[[#This Row],[BLKOrder]])</f>
        <v>32.159999999999997</v>
      </c>
      <c r="AZ369" s="8">
        <f ca="1">RANK(PlayerGameData[[#This Row],[BLKTieBreak]],PlayerGameData[BLKTieBreak],1)</f>
        <v>44</v>
      </c>
      <c r="BA369" s="11">
        <f ca="1">IFERROR(IF(PlayerGameData[[#This Row],[FGA]]&gt;$AA$5,PlayerGameData[[#This Row],[FG%*]],PlayerGameData[[#This Row],[FG%*]]*-1),-2)</f>
        <v>0.88888888888888884</v>
      </c>
      <c r="BB369" s="8">
        <f ca="1">RANK(PlayerGameData[[#This Row],[EligFG]],PlayerGameData[EligFG],0)+PlayerGameData[[#This Row],[VisibleOrder]]</f>
        <v>3</v>
      </c>
      <c r="BC369" s="8">
        <f ca="1">IF(COUNTIF(PlayerGameData[EligFGOrder],PlayerGameData[[#This Row],[EligFGOrder]])&gt;1,PlayerGameData[[#This Row],[PointRank]]/100+PlayerGameData[[#This Row],[EligFGOrder]],PlayerGameData[[#This Row],[EligFGOrder]])</f>
        <v>3</v>
      </c>
      <c r="BD369" s="8">
        <f ca="1">RANK(PlayerGameData[[#This Row],[EligFGTieBreak]],PlayerGameData[EligFGTieBreak],1)</f>
        <v>2</v>
      </c>
      <c r="BE369" s="8" t="str">
        <f>Roster!$D$3</f>
        <v>East</v>
      </c>
      <c r="BF369" s="8" t="str">
        <f>Roster!$D$2</f>
        <v>Northeast</v>
      </c>
      <c r="BG369" s="8" t="str">
        <f>Roster!$D$4</f>
        <v>North</v>
      </c>
      <c r="BH369" s="197">
        <f ca="1">IFERROR(VLOOKUP(CONCATENATE(PlayerGameData[[#This Row],[Opponent]]," ",MONTH(PlayerGameData[[#This Row],[Date]]),"/",DAY(PlayerGameData[[#This Row],[Date]]),"/",YEAR(PlayerGameData[[#This Row],[Date]])),Table35[],2,FALSE),0)</f>
        <v>1</v>
      </c>
      <c r="BI369" s="197">
        <f ca="1">IF(PlayerGameData[[#This Row],[Visible]]=1,1,1000)</f>
        <v>1</v>
      </c>
      <c r="BJ369" s="197" t="e">
        <f ca="1">_xlfn.MAXIFS(TeamGameData[Win],TeamGameData[School, Opponent,Game'#],PlayerGameData[[#This Row],[School, Opponent,Game'#]])</f>
        <v>#NAME?</v>
      </c>
      <c r="BK369" s="197" t="e">
        <f ca="1">_xlfn.MAXIFS(TeamGameData[Loss],TeamGameData[School, Opponent,Game'#],PlayerGameData[[#This Row],[School, Opponent,Game'#]])</f>
        <v>#NAME?</v>
      </c>
    </row>
    <row r="370" spans="1:63" x14ac:dyDescent="0.25">
      <c r="A370" s="8" t="str">
        <f t="shared" ca="1" si="183"/>
        <v>Rhett Watt, 10</v>
      </c>
      <c r="B370" s="8" t="str">
        <f>Roster!$B$1</f>
        <v>Upton</v>
      </c>
      <c r="C370" s="8" t="str">
        <f t="shared" ca="1" si="171"/>
        <v>Midwest</v>
      </c>
      <c r="D370" s="10">
        <f t="shared" ca="1" si="172"/>
        <v>44961</v>
      </c>
      <c r="E370" s="8">
        <f t="shared" ca="1" si="173"/>
        <v>1</v>
      </c>
      <c r="F370" s="8">
        <f t="shared" ca="1" si="174"/>
        <v>1</v>
      </c>
      <c r="G370" s="8">
        <f t="shared" ca="1" si="175"/>
        <v>16</v>
      </c>
      <c r="H370" s="8">
        <f t="shared" ca="1" si="176"/>
        <v>0</v>
      </c>
      <c r="I370" s="8">
        <f t="shared" ca="1" si="177"/>
        <v>3</v>
      </c>
      <c r="J370" s="8">
        <f t="shared" ca="1" si="178"/>
        <v>4</v>
      </c>
      <c r="K370" s="8">
        <f t="shared" ca="1" si="179"/>
        <v>5</v>
      </c>
      <c r="L370" s="8">
        <f t="shared" ca="1" si="184"/>
        <v>0</v>
      </c>
      <c r="M370" s="8">
        <f t="shared" ca="1" si="185"/>
        <v>0</v>
      </c>
      <c r="N370" s="8">
        <f t="shared" ca="1" si="186"/>
        <v>0</v>
      </c>
      <c r="O370" s="8">
        <f t="shared" ca="1" si="187"/>
        <v>0</v>
      </c>
      <c r="P370" s="8">
        <f t="shared" ca="1" si="188"/>
        <v>3</v>
      </c>
      <c r="Q370" s="8">
        <f t="shared" ca="1" si="189"/>
        <v>1</v>
      </c>
      <c r="R370" s="8">
        <f t="shared" ca="1" si="190"/>
        <v>0</v>
      </c>
      <c r="S370" s="8">
        <f t="shared" ca="1" si="191"/>
        <v>1</v>
      </c>
      <c r="T370" s="8">
        <f t="shared" ca="1" si="192"/>
        <v>1</v>
      </c>
      <c r="U370" s="8">
        <f t="shared" ca="1" si="193"/>
        <v>0</v>
      </c>
      <c r="V370" s="8">
        <f t="shared" ca="1" si="194"/>
        <v>8</v>
      </c>
      <c r="W370" s="11">
        <f t="shared" ca="1" si="195"/>
        <v>0</v>
      </c>
      <c r="X370" s="11">
        <f t="shared" ca="1" si="196"/>
        <v>0.8</v>
      </c>
      <c r="Y370" s="11" t="str">
        <f t="shared" ca="1" si="197"/>
        <v/>
      </c>
      <c r="Z370" s="11">
        <f t="shared" ca="1" si="198"/>
        <v>0.5</v>
      </c>
      <c r="AA370" s="11">
        <f t="shared" ca="1" si="199"/>
        <v>0.5</v>
      </c>
      <c r="AB370" s="47">
        <f ca="1">PlayerGameData[[#This Row],[3FGA]]+PlayerGameData[[#This Row],[2FGA]]</f>
        <v>8</v>
      </c>
      <c r="AC370" s="47">
        <f ca="1">PlayerGameData[[#This Row],[OFF REB]]+PlayerGameData[[#This Row],[DEF REB]]</f>
        <v>0</v>
      </c>
      <c r="AD370" s="8">
        <f t="shared" si="180"/>
        <v>16</v>
      </c>
      <c r="AE370" s="8" t="str">
        <f t="shared" ca="1" si="181"/>
        <v>Rhett Watt, 10 - Midwest 2/4/2023</v>
      </c>
      <c r="AF370" s="8" t="str">
        <f t="shared" ca="1" si="200"/>
        <v>R</v>
      </c>
      <c r="AG370" s="8" t="str">
        <f ca="1">IFERROR(IF(C370=0,"",IF(AND(VLOOKUP(PlayerGameData[[#This Row],[Opponent]],WYTeamInfo,2,FALSE)=Roster!$D$1,VLOOKUP(PlayerGameData[[#This Row],[Opponent]],WYTeamInfo,3,FALSE)=Roster!$D$2),"SR","")),"")</f>
        <v>SR</v>
      </c>
      <c r="AH370" s="8" t="str">
        <f>CONCATENATE(Roster!$D$1," ",Roster!$D$5)</f>
        <v>1A BB</v>
      </c>
      <c r="AI370" s="8" t="str">
        <f t="shared" ca="1" si="182"/>
        <v>Upton - Midwest 2/4/2023</v>
      </c>
      <c r="AJ370" s="8">
        <f ca="1">IFERROR(VLOOKUP(PlayerGameData[[#This Row],[School, Opponent,Game'#]],Table3[],2,FALSE),0)</f>
        <v>1</v>
      </c>
      <c r="AK370" s="8">
        <f ca="1">IF(PlayerGameData[[#This Row],[Visible]]=1,1,1000)</f>
        <v>1</v>
      </c>
      <c r="AL370" s="8">
        <f ca="1">RANK(PlayerGameData[[#This Row],[TL PTS]],PlayerGameData[TL PTS],0)+PlayerGameData[[#This Row],[VisibleOrder]]</f>
        <v>82</v>
      </c>
      <c r="AM370" s="8">
        <f ca="1">IF(COUNTIF(PlayerGameData[PointOrder],PlayerGameData[[#This Row],[PointOrder]])&gt;1,RANK(PlayerGameData[[#This Row],[FGA]],PlayerGameData[FGA],0)/100,0)+PlayerGameData[[#This Row],[PointOrder]]</f>
        <v>82.76</v>
      </c>
      <c r="AN370" s="8">
        <f ca="1">RANK(PlayerGameData[[#This Row],[PointTieBreak]],PlayerGameData[PointTieBreak],1)</f>
        <v>86</v>
      </c>
      <c r="AO370" s="8">
        <f ca="1">RANK(PlayerGameData[[#This Row],[REB]],PlayerGameData[REB],0)+PlayerGameData[[#This Row],[VisibleOrder]]</f>
        <v>192</v>
      </c>
      <c r="AP370" s="8">
        <f ca="1">IF(COUNTIF(PlayerGameData[REBOrder],PlayerGameData[[#This Row],[REBOrder]])&gt;1,PlayerGameData[[#This Row],[PointRank]]/100+PlayerGameData[[#This Row],[REBOrder]],PlayerGameData[[#This Row],[REBOrder]])</f>
        <v>192.86</v>
      </c>
      <c r="AQ370" s="8">
        <f ca="1">RANK(PlayerGameData[[#This Row],[REBTieBreak]],PlayerGameData[REBTieBreak],1)</f>
        <v>192</v>
      </c>
      <c r="AR370" s="8">
        <f ca="1">RANK(PlayerGameData[[#This Row],[AST]],PlayerGameData[AST],0)+PlayerGameData[[#This Row],[VisibleOrder]]</f>
        <v>39</v>
      </c>
      <c r="AS370" s="8">
        <f ca="1">IF(COUNTIF(PlayerGameData[ASTOrder],PlayerGameData[[#This Row],[ASTOrder]])&gt;1,PlayerGameData[[#This Row],[PointRank]]/100+PlayerGameData[[#This Row],[ASTOrder]],PlayerGameData[[#This Row],[ASTOrder]])</f>
        <v>39.86</v>
      </c>
      <c r="AT370" s="8">
        <f ca="1">RANK(PlayerGameData[[#This Row],[ASTTieBreak]],PlayerGameData[ASTTieBreak],1)</f>
        <v>55</v>
      </c>
      <c r="AU370" s="8">
        <f ca="1">RANK(PlayerGameData[[#This Row],[STL]],PlayerGameData[STL],0)+PlayerGameData[[#This Row],[VisibleOrder]]</f>
        <v>84</v>
      </c>
      <c r="AV370" s="8">
        <f ca="1">IF(COUNTIF(PlayerGameData[STLOrder],PlayerGameData[[#This Row],[STLOrder]])&gt;1,PlayerGameData[[#This Row],[PointRank]]/100+PlayerGameData[[#This Row],[STLOrder]],PlayerGameData[[#This Row],[STLOrder]])</f>
        <v>84.86</v>
      </c>
      <c r="AW370" s="8">
        <f ca="1">RANK(PlayerGameData[[#This Row],[STLTieBreak]],PlayerGameData[STLTieBreak],1)</f>
        <v>101</v>
      </c>
      <c r="AX370" s="8">
        <f ca="1">RANK(PlayerGameData[[#This Row],[BLK]],PlayerGameData[BLK],0)+PlayerGameData[[#This Row],[VisibleOrder]]</f>
        <v>32</v>
      </c>
      <c r="AY370" s="8">
        <f ca="1">IF(COUNTIF(PlayerGameData[BLKOrder],PlayerGameData[[#This Row],[BLKOrder]])&gt;1,PlayerGameData[[#This Row],[PointRank]]/100+PlayerGameData[[#This Row],[BLKOrder]],PlayerGameData[[#This Row],[BLKOrder]])</f>
        <v>32.86</v>
      </c>
      <c r="AZ370" s="8">
        <f ca="1">RANK(PlayerGameData[[#This Row],[BLKTieBreak]],PlayerGameData[BLKTieBreak],1)</f>
        <v>97</v>
      </c>
      <c r="BA370" s="11">
        <f ca="1">IFERROR(IF(PlayerGameData[[#This Row],[FGA]]&gt;$AA$5,PlayerGameData[[#This Row],[FG%*]],PlayerGameData[[#This Row],[FG%*]]*-1),-2)</f>
        <v>0.5</v>
      </c>
      <c r="BB370" s="8">
        <f ca="1">RANK(PlayerGameData[[#This Row],[EligFG]],PlayerGameData[EligFG],0)+PlayerGameData[[#This Row],[VisibleOrder]]</f>
        <v>39</v>
      </c>
      <c r="BC370" s="8">
        <f ca="1">IF(COUNTIF(PlayerGameData[EligFGOrder],PlayerGameData[[#This Row],[EligFGOrder]])&gt;1,PlayerGameData[[#This Row],[PointRank]]/100+PlayerGameData[[#This Row],[EligFGOrder]],PlayerGameData[[#This Row],[EligFGOrder]])</f>
        <v>39.86</v>
      </c>
      <c r="BD370" s="8">
        <f ca="1">RANK(PlayerGameData[[#This Row],[EligFGTieBreak]],PlayerGameData[EligFGTieBreak],1)</f>
        <v>50</v>
      </c>
      <c r="BE370" s="8" t="str">
        <f>Roster!$D$3</f>
        <v>East</v>
      </c>
      <c r="BF370" s="8" t="str">
        <f>Roster!$D$2</f>
        <v>Northeast</v>
      </c>
      <c r="BG370" s="8" t="str">
        <f>Roster!$D$4</f>
        <v>North</v>
      </c>
      <c r="BH370" s="197">
        <f ca="1">IFERROR(VLOOKUP(CONCATENATE(PlayerGameData[[#This Row],[Opponent]]," ",MONTH(PlayerGameData[[#This Row],[Date]]),"/",DAY(PlayerGameData[[#This Row],[Date]]),"/",YEAR(PlayerGameData[[#This Row],[Date]])),Table35[],2,FALSE),0)</f>
        <v>1</v>
      </c>
      <c r="BI370" s="197">
        <f ca="1">IF(PlayerGameData[[#This Row],[Visible]]=1,1,1000)</f>
        <v>1</v>
      </c>
      <c r="BJ370" s="197" t="e">
        <f ca="1">_xlfn.MAXIFS(TeamGameData[Win],TeamGameData[School, Opponent,Game'#],PlayerGameData[[#This Row],[School, Opponent,Game'#]])</f>
        <v>#NAME?</v>
      </c>
      <c r="BK370" s="197" t="e">
        <f ca="1">_xlfn.MAXIFS(TeamGameData[Loss],TeamGameData[School, Opponent,Game'#],PlayerGameData[[#This Row],[School, Opponent,Game'#]])</f>
        <v>#NAME?</v>
      </c>
    </row>
    <row r="371" spans="1:63" x14ac:dyDescent="0.25">
      <c r="A371" s="8" t="str">
        <f t="shared" ca="1" si="183"/>
        <v>Keith Coburn, 11</v>
      </c>
      <c r="B371" s="8" t="str">
        <f>Roster!$B$1</f>
        <v>Upton</v>
      </c>
      <c r="C371" s="8" t="str">
        <f t="shared" ca="1" si="171"/>
        <v>Midwest</v>
      </c>
      <c r="D371" s="10">
        <f t="shared" ca="1" si="172"/>
        <v>44961</v>
      </c>
      <c r="E371" s="8">
        <f t="shared" ca="1" si="173"/>
        <v>1</v>
      </c>
      <c r="F371" s="8">
        <f t="shared" ca="1" si="174"/>
        <v>0</v>
      </c>
      <c r="G371" s="8">
        <f t="shared" ca="1" si="175"/>
        <v>7</v>
      </c>
      <c r="H371" s="8">
        <f t="shared" ca="1" si="176"/>
        <v>0</v>
      </c>
      <c r="I371" s="8">
        <f t="shared" ca="1" si="177"/>
        <v>1</v>
      </c>
      <c r="J371" s="8">
        <f t="shared" ca="1" si="178"/>
        <v>0</v>
      </c>
      <c r="K371" s="8">
        <f t="shared" ca="1" si="179"/>
        <v>0</v>
      </c>
      <c r="L371" s="8">
        <f t="shared" ca="1" si="184"/>
        <v>0</v>
      </c>
      <c r="M371" s="8">
        <f t="shared" ca="1" si="185"/>
        <v>0</v>
      </c>
      <c r="N371" s="8">
        <f t="shared" ca="1" si="186"/>
        <v>0</v>
      </c>
      <c r="O371" s="8">
        <f t="shared" ca="1" si="187"/>
        <v>0</v>
      </c>
      <c r="P371" s="8">
        <f t="shared" ca="1" si="188"/>
        <v>0</v>
      </c>
      <c r="Q371" s="8">
        <f t="shared" ca="1" si="189"/>
        <v>0</v>
      </c>
      <c r="R371" s="8">
        <f t="shared" ca="1" si="190"/>
        <v>0</v>
      </c>
      <c r="S371" s="8">
        <f t="shared" ca="1" si="191"/>
        <v>1</v>
      </c>
      <c r="T371" s="8">
        <f t="shared" ca="1" si="192"/>
        <v>1</v>
      </c>
      <c r="U371" s="8">
        <f t="shared" ca="1" si="193"/>
        <v>0</v>
      </c>
      <c r="V371" s="8">
        <f t="shared" ca="1" si="194"/>
        <v>0</v>
      </c>
      <c r="W371" s="11">
        <f t="shared" ca="1" si="195"/>
        <v>0</v>
      </c>
      <c r="X371" s="11" t="str">
        <f t="shared" ca="1" si="196"/>
        <v/>
      </c>
      <c r="Y371" s="11" t="str">
        <f t="shared" ca="1" si="197"/>
        <v/>
      </c>
      <c r="Z371" s="11">
        <f t="shared" ca="1" si="198"/>
        <v>0</v>
      </c>
      <c r="AA371" s="11">
        <f t="shared" ca="1" si="199"/>
        <v>0</v>
      </c>
      <c r="AB371" s="47">
        <f ca="1">PlayerGameData[[#This Row],[3FGA]]+PlayerGameData[[#This Row],[2FGA]]</f>
        <v>1</v>
      </c>
      <c r="AC371" s="47">
        <f ca="1">PlayerGameData[[#This Row],[OFF REB]]+PlayerGameData[[#This Row],[DEF REB]]</f>
        <v>0</v>
      </c>
      <c r="AD371" s="8">
        <f t="shared" si="180"/>
        <v>16</v>
      </c>
      <c r="AE371" s="8" t="str">
        <f t="shared" ca="1" si="181"/>
        <v>Keith Coburn, 11 - Midwest 2/4/2023</v>
      </c>
      <c r="AF371" s="8" t="str">
        <f t="shared" ca="1" si="200"/>
        <v>R</v>
      </c>
      <c r="AG371" s="8" t="str">
        <f ca="1">IFERROR(IF(C371=0,"",IF(AND(VLOOKUP(PlayerGameData[[#This Row],[Opponent]],WYTeamInfo,2,FALSE)=Roster!$D$1,VLOOKUP(PlayerGameData[[#This Row],[Opponent]],WYTeamInfo,3,FALSE)=Roster!$D$2),"SR","")),"")</f>
        <v>SR</v>
      </c>
      <c r="AH371" s="8" t="str">
        <f>CONCATENATE(Roster!$D$1," ",Roster!$D$5)</f>
        <v>1A BB</v>
      </c>
      <c r="AI371" s="8" t="str">
        <f t="shared" ca="1" si="182"/>
        <v>Upton - Midwest 2/4/2023</v>
      </c>
      <c r="AJ371" s="8">
        <f ca="1">IFERROR(VLOOKUP(PlayerGameData[[#This Row],[School, Opponent,Game'#]],Table3[],2,FALSE),0)</f>
        <v>1</v>
      </c>
      <c r="AK371" s="8">
        <f ca="1">IF(PlayerGameData[[#This Row],[Visible]]=1,1,1000)</f>
        <v>1</v>
      </c>
      <c r="AL371" s="8">
        <f ca="1">RANK(PlayerGameData[[#This Row],[TL PTS]],PlayerGameData[TL PTS],0)+PlayerGameData[[#This Row],[VisibleOrder]]</f>
        <v>185</v>
      </c>
      <c r="AM371" s="8">
        <f ca="1">IF(COUNTIF(PlayerGameData[PointOrder],PlayerGameData[[#This Row],[PointOrder]])&gt;1,RANK(PlayerGameData[[#This Row],[FGA]],PlayerGameData[FGA],0)/100,0)+PlayerGameData[[#This Row],[PointOrder]]</f>
        <v>186.82</v>
      </c>
      <c r="AN371" s="8">
        <f ca="1">RANK(PlayerGameData[[#This Row],[PointTieBreak]],PlayerGameData[PointTieBreak],1)</f>
        <v>196</v>
      </c>
      <c r="AO371" s="8">
        <f ca="1">RANK(PlayerGameData[[#This Row],[REB]],PlayerGameData[REB],0)+PlayerGameData[[#This Row],[VisibleOrder]]</f>
        <v>192</v>
      </c>
      <c r="AP371" s="8">
        <f ca="1">IF(COUNTIF(PlayerGameData[REBOrder],PlayerGameData[[#This Row],[REBOrder]])&gt;1,PlayerGameData[[#This Row],[PointRank]]/100+PlayerGameData[[#This Row],[REBOrder]],PlayerGameData[[#This Row],[REBOrder]])</f>
        <v>193.96</v>
      </c>
      <c r="AQ371" s="8">
        <f ca="1">RANK(PlayerGameData[[#This Row],[REBTieBreak]],PlayerGameData[REBTieBreak],1)</f>
        <v>213</v>
      </c>
      <c r="AR371" s="8">
        <f ca="1">RANK(PlayerGameData[[#This Row],[AST]],PlayerGameData[AST],0)+PlayerGameData[[#This Row],[VisibleOrder]]</f>
        <v>158</v>
      </c>
      <c r="AS371" s="8">
        <f ca="1">IF(COUNTIF(PlayerGameData[ASTOrder],PlayerGameData[[#This Row],[ASTOrder]])&gt;1,PlayerGameData[[#This Row],[PointRank]]/100+PlayerGameData[[#This Row],[ASTOrder]],PlayerGameData[[#This Row],[ASTOrder]])</f>
        <v>159.96</v>
      </c>
      <c r="AT371" s="8">
        <f ca="1">RANK(PlayerGameData[[#This Row],[ASTTieBreak]],PlayerGameData[ASTTieBreak],1)</f>
        <v>208</v>
      </c>
      <c r="AU371" s="8">
        <f ca="1">RANK(PlayerGameData[[#This Row],[STL]],PlayerGameData[STL],0)+PlayerGameData[[#This Row],[VisibleOrder]]</f>
        <v>143</v>
      </c>
      <c r="AV371" s="8">
        <f ca="1">IF(COUNTIF(PlayerGameData[STLOrder],PlayerGameData[[#This Row],[STLOrder]])&gt;1,PlayerGameData[[#This Row],[PointRank]]/100+PlayerGameData[[#This Row],[STLOrder]],PlayerGameData[[#This Row],[STLOrder]])</f>
        <v>144.96</v>
      </c>
      <c r="AW371" s="8">
        <f ca="1">RANK(PlayerGameData[[#This Row],[STLTieBreak]],PlayerGameData[STLTieBreak],1)</f>
        <v>200</v>
      </c>
      <c r="AX371" s="8">
        <f ca="1">RANK(PlayerGameData[[#This Row],[BLK]],PlayerGameData[BLK],0)+PlayerGameData[[#This Row],[VisibleOrder]]</f>
        <v>32</v>
      </c>
      <c r="AY371" s="8">
        <f ca="1">IF(COUNTIF(PlayerGameData[BLKOrder],PlayerGameData[[#This Row],[BLKOrder]])&gt;1,PlayerGameData[[#This Row],[PointRank]]/100+PlayerGameData[[#This Row],[BLKOrder]],PlayerGameData[[#This Row],[BLKOrder]])</f>
        <v>33.96</v>
      </c>
      <c r="AZ371" s="8">
        <f ca="1">RANK(PlayerGameData[[#This Row],[BLKTieBreak]],PlayerGameData[BLKTieBreak],1)</f>
        <v>196</v>
      </c>
      <c r="BA371" s="11">
        <f ca="1">IFERROR(IF(PlayerGameData[[#This Row],[FGA]]&gt;$AA$5,PlayerGameData[[#This Row],[FG%*]],PlayerGameData[[#This Row],[FG%*]]*-1),-2)</f>
        <v>0</v>
      </c>
      <c r="BB371" s="8">
        <f ca="1">RANK(PlayerGameData[[#This Row],[EligFG]],PlayerGameData[EligFG],0)+PlayerGameData[[#This Row],[VisibleOrder]]</f>
        <v>117</v>
      </c>
      <c r="BC371" s="8">
        <f ca="1">IF(COUNTIF(PlayerGameData[EligFGOrder],PlayerGameData[[#This Row],[EligFGOrder]])&gt;1,PlayerGameData[[#This Row],[PointRank]]/100+PlayerGameData[[#This Row],[EligFGOrder]],PlayerGameData[[#This Row],[EligFGOrder]])</f>
        <v>118.96</v>
      </c>
      <c r="BD371" s="8">
        <f ca="1">RANK(PlayerGameData[[#This Row],[EligFGTieBreak]],PlayerGameData[EligFGTieBreak],1)</f>
        <v>138</v>
      </c>
      <c r="BE371" s="8" t="str">
        <f>Roster!$D$3</f>
        <v>East</v>
      </c>
      <c r="BF371" s="8" t="str">
        <f>Roster!$D$2</f>
        <v>Northeast</v>
      </c>
      <c r="BG371" s="8" t="str">
        <f>Roster!$D$4</f>
        <v>North</v>
      </c>
      <c r="BH371" s="197">
        <f ca="1">IFERROR(VLOOKUP(CONCATENATE(PlayerGameData[[#This Row],[Opponent]]," ",MONTH(PlayerGameData[[#This Row],[Date]]),"/",DAY(PlayerGameData[[#This Row],[Date]]),"/",YEAR(PlayerGameData[[#This Row],[Date]])),Table35[],2,FALSE),0)</f>
        <v>1</v>
      </c>
      <c r="BI371" s="197">
        <f ca="1">IF(PlayerGameData[[#This Row],[Visible]]=1,1,1000)</f>
        <v>1</v>
      </c>
      <c r="BJ371" s="197" t="e">
        <f ca="1">_xlfn.MAXIFS(TeamGameData[Win],TeamGameData[School, Opponent,Game'#],PlayerGameData[[#This Row],[School, Opponent,Game'#]])</f>
        <v>#NAME?</v>
      </c>
      <c r="BK371" s="197" t="e">
        <f ca="1">_xlfn.MAXIFS(TeamGameData[Loss],TeamGameData[School, Opponent,Game'#],PlayerGameData[[#This Row],[School, Opponent,Game'#]])</f>
        <v>#NAME?</v>
      </c>
    </row>
    <row r="372" spans="1:63" x14ac:dyDescent="0.25">
      <c r="A372" s="8" t="str">
        <f t="shared" ca="1" si="183"/>
        <v>Carson Barritt, 14</v>
      </c>
      <c r="B372" s="8" t="str">
        <f>Roster!$B$1</f>
        <v>Upton</v>
      </c>
      <c r="C372" s="8" t="str">
        <f t="shared" ca="1" si="171"/>
        <v>Midwest</v>
      </c>
      <c r="D372" s="10">
        <f t="shared" ca="1" si="172"/>
        <v>44961</v>
      </c>
      <c r="E372" s="8">
        <f t="shared" ca="1" si="173"/>
        <v>1</v>
      </c>
      <c r="F372" s="8">
        <f t="shared" ca="1" si="174"/>
        <v>0</v>
      </c>
      <c r="G372" s="8">
        <f t="shared" ca="1" si="175"/>
        <v>3</v>
      </c>
      <c r="H372" s="8">
        <f t="shared" ca="1" si="176"/>
        <v>0</v>
      </c>
      <c r="I372" s="8">
        <f t="shared" ca="1" si="177"/>
        <v>1</v>
      </c>
      <c r="J372" s="8">
        <f t="shared" ca="1" si="178"/>
        <v>0</v>
      </c>
      <c r="K372" s="8">
        <f t="shared" ca="1" si="179"/>
        <v>0</v>
      </c>
      <c r="L372" s="8">
        <f t="shared" ca="1" si="184"/>
        <v>0</v>
      </c>
      <c r="M372" s="8">
        <f t="shared" ca="1" si="185"/>
        <v>0</v>
      </c>
      <c r="N372" s="8">
        <f t="shared" ca="1" si="186"/>
        <v>0</v>
      </c>
      <c r="O372" s="8">
        <f t="shared" ca="1" si="187"/>
        <v>0</v>
      </c>
      <c r="P372" s="8">
        <f t="shared" ca="1" si="188"/>
        <v>0</v>
      </c>
      <c r="Q372" s="8">
        <f t="shared" ca="1" si="189"/>
        <v>0</v>
      </c>
      <c r="R372" s="8">
        <f t="shared" ca="1" si="190"/>
        <v>0</v>
      </c>
      <c r="S372" s="8">
        <f t="shared" ca="1" si="191"/>
        <v>0</v>
      </c>
      <c r="T372" s="8">
        <f t="shared" ca="1" si="192"/>
        <v>1</v>
      </c>
      <c r="U372" s="8">
        <f t="shared" ca="1" si="193"/>
        <v>0</v>
      </c>
      <c r="V372" s="8">
        <f t="shared" ca="1" si="194"/>
        <v>0</v>
      </c>
      <c r="W372" s="11">
        <f t="shared" ca="1" si="195"/>
        <v>0</v>
      </c>
      <c r="X372" s="11" t="str">
        <f t="shared" ca="1" si="196"/>
        <v/>
      </c>
      <c r="Y372" s="11" t="str">
        <f t="shared" ca="1" si="197"/>
        <v/>
      </c>
      <c r="Z372" s="11">
        <f t="shared" ca="1" si="198"/>
        <v>0</v>
      </c>
      <c r="AA372" s="11">
        <f t="shared" ca="1" si="199"/>
        <v>0</v>
      </c>
      <c r="AB372" s="47">
        <f ca="1">PlayerGameData[[#This Row],[3FGA]]+PlayerGameData[[#This Row],[2FGA]]</f>
        <v>1</v>
      </c>
      <c r="AC372" s="47">
        <f ca="1">PlayerGameData[[#This Row],[OFF REB]]+PlayerGameData[[#This Row],[DEF REB]]</f>
        <v>0</v>
      </c>
      <c r="AD372" s="8">
        <f t="shared" si="180"/>
        <v>16</v>
      </c>
      <c r="AE372" s="8" t="str">
        <f t="shared" ca="1" si="181"/>
        <v>Carson Barritt, 14 - Midwest 2/4/2023</v>
      </c>
      <c r="AF372" s="8" t="str">
        <f t="shared" ca="1" si="200"/>
        <v>R</v>
      </c>
      <c r="AG372" s="8" t="str">
        <f ca="1">IFERROR(IF(C372=0,"",IF(AND(VLOOKUP(PlayerGameData[[#This Row],[Opponent]],WYTeamInfo,2,FALSE)=Roster!$D$1,VLOOKUP(PlayerGameData[[#This Row],[Opponent]],WYTeamInfo,3,FALSE)=Roster!$D$2),"SR","")),"")</f>
        <v>SR</v>
      </c>
      <c r="AH372" s="8" t="str">
        <f>CONCATENATE(Roster!$D$1," ",Roster!$D$5)</f>
        <v>1A BB</v>
      </c>
      <c r="AI372" s="8" t="str">
        <f t="shared" ca="1" si="182"/>
        <v>Upton - Midwest 2/4/2023</v>
      </c>
      <c r="AJ372" s="8">
        <f ca="1">IFERROR(VLOOKUP(PlayerGameData[[#This Row],[School, Opponent,Game'#]],Table3[],2,FALSE),0)</f>
        <v>1</v>
      </c>
      <c r="AK372" s="8">
        <f ca="1">IF(PlayerGameData[[#This Row],[Visible]]=1,1,1000)</f>
        <v>1</v>
      </c>
      <c r="AL372" s="8">
        <f ca="1">RANK(PlayerGameData[[#This Row],[TL PTS]],PlayerGameData[TL PTS],0)+PlayerGameData[[#This Row],[VisibleOrder]]</f>
        <v>185</v>
      </c>
      <c r="AM372" s="8">
        <f ca="1">IF(COUNTIF(PlayerGameData[PointOrder],PlayerGameData[[#This Row],[PointOrder]])&gt;1,RANK(PlayerGameData[[#This Row],[FGA]],PlayerGameData[FGA],0)/100,0)+PlayerGameData[[#This Row],[PointOrder]]</f>
        <v>186.82</v>
      </c>
      <c r="AN372" s="8">
        <f ca="1">RANK(PlayerGameData[[#This Row],[PointTieBreak]],PlayerGameData[PointTieBreak],1)</f>
        <v>196</v>
      </c>
      <c r="AO372" s="8">
        <f ca="1">RANK(PlayerGameData[[#This Row],[REB]],PlayerGameData[REB],0)+PlayerGameData[[#This Row],[VisibleOrder]]</f>
        <v>192</v>
      </c>
      <c r="AP372" s="8">
        <f ca="1">IF(COUNTIF(PlayerGameData[REBOrder],PlayerGameData[[#This Row],[REBOrder]])&gt;1,PlayerGameData[[#This Row],[PointRank]]/100+PlayerGameData[[#This Row],[REBOrder]],PlayerGameData[[#This Row],[REBOrder]])</f>
        <v>193.96</v>
      </c>
      <c r="AQ372" s="8">
        <f ca="1">RANK(PlayerGameData[[#This Row],[REBTieBreak]],PlayerGameData[REBTieBreak],1)</f>
        <v>213</v>
      </c>
      <c r="AR372" s="8">
        <f ca="1">RANK(PlayerGameData[[#This Row],[AST]],PlayerGameData[AST],0)+PlayerGameData[[#This Row],[VisibleOrder]]</f>
        <v>158</v>
      </c>
      <c r="AS372" s="8">
        <f ca="1">IF(COUNTIF(PlayerGameData[ASTOrder],PlayerGameData[[#This Row],[ASTOrder]])&gt;1,PlayerGameData[[#This Row],[PointRank]]/100+PlayerGameData[[#This Row],[ASTOrder]],PlayerGameData[[#This Row],[ASTOrder]])</f>
        <v>159.96</v>
      </c>
      <c r="AT372" s="8">
        <f ca="1">RANK(PlayerGameData[[#This Row],[ASTTieBreak]],PlayerGameData[ASTTieBreak],1)</f>
        <v>208</v>
      </c>
      <c r="AU372" s="8">
        <f ca="1">RANK(PlayerGameData[[#This Row],[STL]],PlayerGameData[STL],0)+PlayerGameData[[#This Row],[VisibleOrder]]</f>
        <v>143</v>
      </c>
      <c r="AV372" s="8">
        <f ca="1">IF(COUNTIF(PlayerGameData[STLOrder],PlayerGameData[[#This Row],[STLOrder]])&gt;1,PlayerGameData[[#This Row],[PointRank]]/100+PlayerGameData[[#This Row],[STLOrder]],PlayerGameData[[#This Row],[STLOrder]])</f>
        <v>144.96</v>
      </c>
      <c r="AW372" s="8">
        <f ca="1">RANK(PlayerGameData[[#This Row],[STLTieBreak]],PlayerGameData[STLTieBreak],1)</f>
        <v>200</v>
      </c>
      <c r="AX372" s="8">
        <f ca="1">RANK(PlayerGameData[[#This Row],[BLK]],PlayerGameData[BLK],0)+PlayerGameData[[#This Row],[VisibleOrder]]</f>
        <v>32</v>
      </c>
      <c r="AY372" s="8">
        <f ca="1">IF(COUNTIF(PlayerGameData[BLKOrder],PlayerGameData[[#This Row],[BLKOrder]])&gt;1,PlayerGameData[[#This Row],[PointRank]]/100+PlayerGameData[[#This Row],[BLKOrder]],PlayerGameData[[#This Row],[BLKOrder]])</f>
        <v>33.96</v>
      </c>
      <c r="AZ372" s="8">
        <f ca="1">RANK(PlayerGameData[[#This Row],[BLKTieBreak]],PlayerGameData[BLKTieBreak],1)</f>
        <v>196</v>
      </c>
      <c r="BA372" s="11">
        <f ca="1">IFERROR(IF(PlayerGameData[[#This Row],[FGA]]&gt;$AA$5,PlayerGameData[[#This Row],[FG%*]],PlayerGameData[[#This Row],[FG%*]]*-1),-2)</f>
        <v>0</v>
      </c>
      <c r="BB372" s="8">
        <f ca="1">RANK(PlayerGameData[[#This Row],[EligFG]],PlayerGameData[EligFG],0)+PlayerGameData[[#This Row],[VisibleOrder]]</f>
        <v>117</v>
      </c>
      <c r="BC372" s="8">
        <f ca="1">IF(COUNTIF(PlayerGameData[EligFGOrder],PlayerGameData[[#This Row],[EligFGOrder]])&gt;1,PlayerGameData[[#This Row],[PointRank]]/100+PlayerGameData[[#This Row],[EligFGOrder]],PlayerGameData[[#This Row],[EligFGOrder]])</f>
        <v>118.96</v>
      </c>
      <c r="BD372" s="8">
        <f ca="1">RANK(PlayerGameData[[#This Row],[EligFGTieBreak]],PlayerGameData[EligFGTieBreak],1)</f>
        <v>138</v>
      </c>
      <c r="BE372" s="8" t="str">
        <f>Roster!$D$3</f>
        <v>East</v>
      </c>
      <c r="BF372" s="8" t="str">
        <f>Roster!$D$2</f>
        <v>Northeast</v>
      </c>
      <c r="BG372" s="8" t="str">
        <f>Roster!$D$4</f>
        <v>North</v>
      </c>
      <c r="BH372" s="197">
        <f ca="1">IFERROR(VLOOKUP(CONCATENATE(PlayerGameData[[#This Row],[Opponent]]," ",MONTH(PlayerGameData[[#This Row],[Date]]),"/",DAY(PlayerGameData[[#This Row],[Date]]),"/",YEAR(PlayerGameData[[#This Row],[Date]])),Table35[],2,FALSE),0)</f>
        <v>1</v>
      </c>
      <c r="BI372" s="197">
        <f ca="1">IF(PlayerGameData[[#This Row],[Visible]]=1,1,1000)</f>
        <v>1</v>
      </c>
      <c r="BJ372" s="197" t="e">
        <f ca="1">_xlfn.MAXIFS(TeamGameData[Win],TeamGameData[School, Opponent,Game'#],PlayerGameData[[#This Row],[School, Opponent,Game'#]])</f>
        <v>#NAME?</v>
      </c>
      <c r="BK372" s="197" t="e">
        <f ca="1">_xlfn.MAXIFS(TeamGameData[Loss],TeamGameData[School, Opponent,Game'#],PlayerGameData[[#This Row],[School, Opponent,Game'#]])</f>
        <v>#NAME?</v>
      </c>
    </row>
    <row r="373" spans="1:63" x14ac:dyDescent="0.25">
      <c r="A373" s="8" t="str">
        <f t="shared" ca="1" si="183"/>
        <v>Ben Carpenter, 21</v>
      </c>
      <c r="B373" s="8" t="str">
        <f>Roster!$B$1</f>
        <v>Upton</v>
      </c>
      <c r="C373" s="8" t="str">
        <f t="shared" ca="1" si="171"/>
        <v>Midwest</v>
      </c>
      <c r="D373" s="10">
        <f t="shared" ca="1" si="172"/>
        <v>44961</v>
      </c>
      <c r="E373" s="8">
        <f t="shared" ca="1" si="173"/>
        <v>1</v>
      </c>
      <c r="F373" s="8">
        <f t="shared" ca="1" si="174"/>
        <v>0</v>
      </c>
      <c r="G373" s="8">
        <f t="shared" ca="1" si="175"/>
        <v>4</v>
      </c>
      <c r="H373" s="8">
        <f t="shared" ca="1" si="176"/>
        <v>0</v>
      </c>
      <c r="I373" s="8">
        <f t="shared" ca="1" si="177"/>
        <v>0</v>
      </c>
      <c r="J373" s="8">
        <f t="shared" ca="1" si="178"/>
        <v>0</v>
      </c>
      <c r="K373" s="8">
        <f t="shared" ca="1" si="179"/>
        <v>1</v>
      </c>
      <c r="L373" s="8">
        <f t="shared" ca="1" si="184"/>
        <v>0</v>
      </c>
      <c r="M373" s="8">
        <f t="shared" ca="1" si="185"/>
        <v>0</v>
      </c>
      <c r="N373" s="8">
        <f t="shared" ca="1" si="186"/>
        <v>0</v>
      </c>
      <c r="O373" s="8">
        <f t="shared" ca="1" si="187"/>
        <v>1</v>
      </c>
      <c r="P373" s="8">
        <f t="shared" ca="1" si="188"/>
        <v>1</v>
      </c>
      <c r="Q373" s="8">
        <f t="shared" ca="1" si="189"/>
        <v>0</v>
      </c>
      <c r="R373" s="8">
        <f t="shared" ca="1" si="190"/>
        <v>0</v>
      </c>
      <c r="S373" s="8">
        <f t="shared" ca="1" si="191"/>
        <v>0</v>
      </c>
      <c r="T373" s="8">
        <f t="shared" ca="1" si="192"/>
        <v>1</v>
      </c>
      <c r="U373" s="8">
        <f t="shared" ca="1" si="193"/>
        <v>0</v>
      </c>
      <c r="V373" s="8">
        <f t="shared" ca="1" si="194"/>
        <v>0</v>
      </c>
      <c r="W373" s="11" t="str">
        <f t="shared" ca="1" si="195"/>
        <v/>
      </c>
      <c r="X373" s="11">
        <f t="shared" ca="1" si="196"/>
        <v>0</v>
      </c>
      <c r="Y373" s="11" t="str">
        <f t="shared" ca="1" si="197"/>
        <v/>
      </c>
      <c r="Z373" s="11">
        <f t="shared" ca="1" si="198"/>
        <v>0</v>
      </c>
      <c r="AA373" s="11">
        <f t="shared" ca="1" si="199"/>
        <v>0</v>
      </c>
      <c r="AB373" s="47">
        <f ca="1">PlayerGameData[[#This Row],[3FGA]]+PlayerGameData[[#This Row],[2FGA]]</f>
        <v>1</v>
      </c>
      <c r="AC373" s="47">
        <f ca="1">PlayerGameData[[#This Row],[OFF REB]]+PlayerGameData[[#This Row],[DEF REB]]</f>
        <v>1</v>
      </c>
      <c r="AD373" s="8">
        <f t="shared" si="180"/>
        <v>16</v>
      </c>
      <c r="AE373" s="8" t="str">
        <f t="shared" ca="1" si="181"/>
        <v>Ben Carpenter, 21 - Midwest 2/4/2023</v>
      </c>
      <c r="AF373" s="8" t="str">
        <f t="shared" ca="1" si="200"/>
        <v>R</v>
      </c>
      <c r="AG373" s="8" t="str">
        <f ca="1">IFERROR(IF(C373=0,"",IF(AND(VLOOKUP(PlayerGameData[[#This Row],[Opponent]],WYTeamInfo,2,FALSE)=Roster!$D$1,VLOOKUP(PlayerGameData[[#This Row],[Opponent]],WYTeamInfo,3,FALSE)=Roster!$D$2),"SR","")),"")</f>
        <v>SR</v>
      </c>
      <c r="AH373" s="8" t="str">
        <f>CONCATENATE(Roster!$D$1," ",Roster!$D$5)</f>
        <v>1A BB</v>
      </c>
      <c r="AI373" s="8" t="str">
        <f t="shared" ca="1" si="182"/>
        <v>Upton - Midwest 2/4/2023</v>
      </c>
      <c r="AJ373" s="8">
        <f ca="1">IFERROR(VLOOKUP(PlayerGameData[[#This Row],[School, Opponent,Game'#]],Table3[],2,FALSE),0)</f>
        <v>1</v>
      </c>
      <c r="AK373" s="8">
        <f ca="1">IF(PlayerGameData[[#This Row],[Visible]]=1,1,1000)</f>
        <v>1</v>
      </c>
      <c r="AL373" s="8">
        <f ca="1">RANK(PlayerGameData[[#This Row],[TL PTS]],PlayerGameData[TL PTS],0)+PlayerGameData[[#This Row],[VisibleOrder]]</f>
        <v>185</v>
      </c>
      <c r="AM373" s="8">
        <f ca="1">IF(COUNTIF(PlayerGameData[PointOrder],PlayerGameData[[#This Row],[PointOrder]])&gt;1,RANK(PlayerGameData[[#This Row],[FGA]],PlayerGameData[FGA],0)/100,0)+PlayerGameData[[#This Row],[PointOrder]]</f>
        <v>186.82</v>
      </c>
      <c r="AN373" s="8">
        <f ca="1">RANK(PlayerGameData[[#This Row],[PointTieBreak]],PlayerGameData[PointTieBreak],1)</f>
        <v>196</v>
      </c>
      <c r="AO373" s="8">
        <f ca="1">RANK(PlayerGameData[[#This Row],[REB]],PlayerGameData[REB],0)+PlayerGameData[[#This Row],[VisibleOrder]]</f>
        <v>163</v>
      </c>
      <c r="AP373" s="8">
        <f ca="1">IF(COUNTIF(PlayerGameData[REBOrder],PlayerGameData[[#This Row],[REBOrder]])&gt;1,PlayerGameData[[#This Row],[PointRank]]/100+PlayerGameData[[#This Row],[REBOrder]],PlayerGameData[[#This Row],[REBOrder]])</f>
        <v>164.96</v>
      </c>
      <c r="AQ373" s="8">
        <f ca="1">RANK(PlayerGameData[[#This Row],[REBTieBreak]],PlayerGameData[REBTieBreak],1)</f>
        <v>182</v>
      </c>
      <c r="AR373" s="8">
        <f ca="1">RANK(PlayerGameData[[#This Row],[AST]],PlayerGameData[AST],0)+PlayerGameData[[#This Row],[VisibleOrder]]</f>
        <v>115</v>
      </c>
      <c r="AS373" s="8">
        <f ca="1">IF(COUNTIF(PlayerGameData[ASTOrder],PlayerGameData[[#This Row],[ASTOrder]])&gt;1,PlayerGameData[[#This Row],[PointRank]]/100+PlayerGameData[[#This Row],[ASTOrder]],PlayerGameData[[#This Row],[ASTOrder]])</f>
        <v>116.96</v>
      </c>
      <c r="AT373" s="8">
        <f ca="1">RANK(PlayerGameData[[#This Row],[ASTTieBreak]],PlayerGameData[ASTTieBreak],1)</f>
        <v>148</v>
      </c>
      <c r="AU373" s="8">
        <f ca="1">RANK(PlayerGameData[[#This Row],[STL]],PlayerGameData[STL],0)+PlayerGameData[[#This Row],[VisibleOrder]]</f>
        <v>143</v>
      </c>
      <c r="AV373" s="8">
        <f ca="1">IF(COUNTIF(PlayerGameData[STLOrder],PlayerGameData[[#This Row],[STLOrder]])&gt;1,PlayerGameData[[#This Row],[PointRank]]/100+PlayerGameData[[#This Row],[STLOrder]],PlayerGameData[[#This Row],[STLOrder]])</f>
        <v>144.96</v>
      </c>
      <c r="AW373" s="8">
        <f ca="1">RANK(PlayerGameData[[#This Row],[STLTieBreak]],PlayerGameData[STLTieBreak],1)</f>
        <v>200</v>
      </c>
      <c r="AX373" s="8">
        <f ca="1">RANK(PlayerGameData[[#This Row],[BLK]],PlayerGameData[BLK],0)+PlayerGameData[[#This Row],[VisibleOrder]]</f>
        <v>32</v>
      </c>
      <c r="AY373" s="8">
        <f ca="1">IF(COUNTIF(PlayerGameData[BLKOrder],PlayerGameData[[#This Row],[BLKOrder]])&gt;1,PlayerGameData[[#This Row],[PointRank]]/100+PlayerGameData[[#This Row],[BLKOrder]],PlayerGameData[[#This Row],[BLKOrder]])</f>
        <v>33.96</v>
      </c>
      <c r="AZ373" s="8">
        <f ca="1">RANK(PlayerGameData[[#This Row],[BLKTieBreak]],PlayerGameData[BLKTieBreak],1)</f>
        <v>196</v>
      </c>
      <c r="BA373" s="11">
        <f ca="1">IFERROR(IF(PlayerGameData[[#This Row],[FGA]]&gt;$AA$5,PlayerGameData[[#This Row],[FG%*]],PlayerGameData[[#This Row],[FG%*]]*-1),-2)</f>
        <v>0</v>
      </c>
      <c r="BB373" s="8">
        <f ca="1">RANK(PlayerGameData[[#This Row],[EligFG]],PlayerGameData[EligFG],0)+PlayerGameData[[#This Row],[VisibleOrder]]</f>
        <v>117</v>
      </c>
      <c r="BC373" s="8">
        <f ca="1">IF(COUNTIF(PlayerGameData[EligFGOrder],PlayerGameData[[#This Row],[EligFGOrder]])&gt;1,PlayerGameData[[#This Row],[PointRank]]/100+PlayerGameData[[#This Row],[EligFGOrder]],PlayerGameData[[#This Row],[EligFGOrder]])</f>
        <v>118.96</v>
      </c>
      <c r="BD373" s="8">
        <f ca="1">RANK(PlayerGameData[[#This Row],[EligFGTieBreak]],PlayerGameData[EligFGTieBreak],1)</f>
        <v>138</v>
      </c>
      <c r="BE373" s="8" t="str">
        <f>Roster!$D$3</f>
        <v>East</v>
      </c>
      <c r="BF373" s="8" t="str">
        <f>Roster!$D$2</f>
        <v>Northeast</v>
      </c>
      <c r="BG373" s="8" t="str">
        <f>Roster!$D$4</f>
        <v>North</v>
      </c>
      <c r="BH373" s="197">
        <f ca="1">IFERROR(VLOOKUP(CONCATENATE(PlayerGameData[[#This Row],[Opponent]]," ",MONTH(PlayerGameData[[#This Row],[Date]]),"/",DAY(PlayerGameData[[#This Row],[Date]]),"/",YEAR(PlayerGameData[[#This Row],[Date]])),Table35[],2,FALSE),0)</f>
        <v>1</v>
      </c>
      <c r="BI373" s="197">
        <f ca="1">IF(PlayerGameData[[#This Row],[Visible]]=1,1,1000)</f>
        <v>1</v>
      </c>
      <c r="BJ373" s="197" t="e">
        <f ca="1">_xlfn.MAXIFS(TeamGameData[Win],TeamGameData[School, Opponent,Game'#],PlayerGameData[[#This Row],[School, Opponent,Game'#]])</f>
        <v>#NAME?</v>
      </c>
      <c r="BK373" s="197" t="e">
        <f ca="1">_xlfn.MAXIFS(TeamGameData[Loss],TeamGameData[School, Opponent,Game'#],PlayerGameData[[#This Row],[School, Opponent,Game'#]])</f>
        <v>#NAME?</v>
      </c>
    </row>
    <row r="374" spans="1:63" x14ac:dyDescent="0.25">
      <c r="A374" s="8" t="str">
        <f t="shared" ca="1" si="183"/>
        <v>Ethan Schiller, 23</v>
      </c>
      <c r="B374" s="8" t="str">
        <f>Roster!$B$1</f>
        <v>Upton</v>
      </c>
      <c r="C374" s="8" t="str">
        <f t="shared" ca="1" si="171"/>
        <v>Midwest</v>
      </c>
      <c r="D374" s="10">
        <f t="shared" ca="1" si="172"/>
        <v>44961</v>
      </c>
      <c r="E374" s="8">
        <f t="shared" ca="1" si="173"/>
        <v>1</v>
      </c>
      <c r="F374" s="8">
        <f t="shared" ca="1" si="174"/>
        <v>1</v>
      </c>
      <c r="G374" s="8">
        <f t="shared" ca="1" si="175"/>
        <v>17</v>
      </c>
      <c r="H374" s="8">
        <f t="shared" ca="1" si="176"/>
        <v>0</v>
      </c>
      <c r="I374" s="8">
        <f t="shared" ca="1" si="177"/>
        <v>0</v>
      </c>
      <c r="J374" s="8">
        <f t="shared" ca="1" si="178"/>
        <v>1</v>
      </c>
      <c r="K374" s="8">
        <f t="shared" ca="1" si="179"/>
        <v>1</v>
      </c>
      <c r="L374" s="8">
        <f t="shared" ca="1" si="184"/>
        <v>1</v>
      </c>
      <c r="M374" s="8">
        <f t="shared" ca="1" si="185"/>
        <v>2</v>
      </c>
      <c r="N374" s="8">
        <f t="shared" ca="1" si="186"/>
        <v>0</v>
      </c>
      <c r="O374" s="8">
        <f t="shared" ca="1" si="187"/>
        <v>3</v>
      </c>
      <c r="P374" s="8">
        <f t="shared" ca="1" si="188"/>
        <v>8</v>
      </c>
      <c r="Q374" s="8">
        <f t="shared" ca="1" si="189"/>
        <v>0</v>
      </c>
      <c r="R374" s="8">
        <f t="shared" ca="1" si="190"/>
        <v>3</v>
      </c>
      <c r="S374" s="8">
        <f t="shared" ca="1" si="191"/>
        <v>1</v>
      </c>
      <c r="T374" s="8">
        <f t="shared" ca="1" si="192"/>
        <v>2</v>
      </c>
      <c r="U374" s="8">
        <f t="shared" ca="1" si="193"/>
        <v>0</v>
      </c>
      <c r="V374" s="8">
        <f t="shared" ca="1" si="194"/>
        <v>3</v>
      </c>
      <c r="W374" s="11" t="str">
        <f t="shared" ca="1" si="195"/>
        <v/>
      </c>
      <c r="X374" s="11">
        <f t="shared" ca="1" si="196"/>
        <v>1</v>
      </c>
      <c r="Y374" s="11">
        <f t="shared" ca="1" si="197"/>
        <v>0.5</v>
      </c>
      <c r="Z374" s="11">
        <f t="shared" ca="1" si="198"/>
        <v>1</v>
      </c>
      <c r="AA374" s="11">
        <f t="shared" ca="1" si="199"/>
        <v>1</v>
      </c>
      <c r="AB374" s="47">
        <f ca="1">PlayerGameData[[#This Row],[3FGA]]+PlayerGameData[[#This Row],[2FGA]]</f>
        <v>1</v>
      </c>
      <c r="AC374" s="47">
        <f ca="1">PlayerGameData[[#This Row],[OFF REB]]+PlayerGameData[[#This Row],[DEF REB]]</f>
        <v>3</v>
      </c>
      <c r="AD374" s="8">
        <f t="shared" si="180"/>
        <v>16</v>
      </c>
      <c r="AE374" s="8" t="str">
        <f t="shared" ca="1" si="181"/>
        <v>Ethan Schiller, 23 - Midwest 2/4/2023</v>
      </c>
      <c r="AF374" s="8" t="str">
        <f t="shared" ca="1" si="200"/>
        <v>R</v>
      </c>
      <c r="AG374" s="8" t="str">
        <f ca="1">IFERROR(IF(C374=0,"",IF(AND(VLOOKUP(PlayerGameData[[#This Row],[Opponent]],WYTeamInfo,2,FALSE)=Roster!$D$1,VLOOKUP(PlayerGameData[[#This Row],[Opponent]],WYTeamInfo,3,FALSE)=Roster!$D$2),"SR","")),"")</f>
        <v>SR</v>
      </c>
      <c r="AH374" s="8" t="str">
        <f>CONCATENATE(Roster!$D$1," ",Roster!$D$5)</f>
        <v>1A BB</v>
      </c>
      <c r="AI374" s="8" t="str">
        <f t="shared" ca="1" si="182"/>
        <v>Upton - Midwest 2/4/2023</v>
      </c>
      <c r="AJ374" s="8">
        <f ca="1">IFERROR(VLOOKUP(PlayerGameData[[#This Row],[School, Opponent,Game'#]],Table3[],2,FALSE),0)</f>
        <v>1</v>
      </c>
      <c r="AK374" s="8">
        <f ca="1">IF(PlayerGameData[[#This Row],[Visible]]=1,1,1000)</f>
        <v>1</v>
      </c>
      <c r="AL374" s="8">
        <f ca="1">RANK(PlayerGameData[[#This Row],[TL PTS]],PlayerGameData[TL PTS],0)+PlayerGameData[[#This Row],[VisibleOrder]]</f>
        <v>135</v>
      </c>
      <c r="AM374" s="8">
        <f ca="1">IF(COUNTIF(PlayerGameData[PointOrder],PlayerGameData[[#This Row],[PointOrder]])&gt;1,RANK(PlayerGameData[[#This Row],[FGA]],PlayerGameData[FGA],0)/100,0)+PlayerGameData[[#This Row],[PointOrder]]</f>
        <v>136.82</v>
      </c>
      <c r="AN374" s="8">
        <f ca="1">RANK(PlayerGameData[[#This Row],[PointTieBreak]],PlayerGameData[PointTieBreak],1)</f>
        <v>145</v>
      </c>
      <c r="AO374" s="8">
        <f ca="1">RANK(PlayerGameData[[#This Row],[REB]],PlayerGameData[REB],0)+PlayerGameData[[#This Row],[VisibleOrder]]</f>
        <v>108</v>
      </c>
      <c r="AP374" s="8">
        <f ca="1">IF(COUNTIF(PlayerGameData[REBOrder],PlayerGameData[[#This Row],[REBOrder]])&gt;1,PlayerGameData[[#This Row],[PointRank]]/100+PlayerGameData[[#This Row],[REBOrder]],PlayerGameData[[#This Row],[REBOrder]])</f>
        <v>109.45</v>
      </c>
      <c r="AQ374" s="8">
        <f ca="1">RANK(PlayerGameData[[#This Row],[REBTieBreak]],PlayerGameData[REBTieBreak],1)</f>
        <v>126</v>
      </c>
      <c r="AR374" s="8">
        <f ca="1">RANK(PlayerGameData[[#This Row],[AST]],PlayerGameData[AST],0)+PlayerGameData[[#This Row],[VisibleOrder]]</f>
        <v>2</v>
      </c>
      <c r="AS374" s="8">
        <f ca="1">IF(COUNTIF(PlayerGameData[ASTOrder],PlayerGameData[[#This Row],[ASTOrder]])&gt;1,PlayerGameData[[#This Row],[PointRank]]/100+PlayerGameData[[#This Row],[ASTOrder]],PlayerGameData[[#This Row],[ASTOrder]])</f>
        <v>3.45</v>
      </c>
      <c r="AT374" s="8">
        <f ca="1">RANK(PlayerGameData[[#This Row],[ASTTieBreak]],PlayerGameData[ASTTieBreak],1)</f>
        <v>2</v>
      </c>
      <c r="AU374" s="8">
        <f ca="1">RANK(PlayerGameData[[#This Row],[STL]],PlayerGameData[STL],0)+PlayerGameData[[#This Row],[VisibleOrder]]</f>
        <v>143</v>
      </c>
      <c r="AV374" s="8">
        <f ca="1">IF(COUNTIF(PlayerGameData[STLOrder],PlayerGameData[[#This Row],[STLOrder]])&gt;1,PlayerGameData[[#This Row],[PointRank]]/100+PlayerGameData[[#This Row],[STLOrder]],PlayerGameData[[#This Row],[STLOrder]])</f>
        <v>144.44999999999999</v>
      </c>
      <c r="AW374" s="8">
        <f ca="1">RANK(PlayerGameData[[#This Row],[STLTieBreak]],PlayerGameData[STLTieBreak],1)</f>
        <v>172</v>
      </c>
      <c r="AX374" s="8">
        <f ca="1">RANK(PlayerGameData[[#This Row],[BLK]],PlayerGameData[BLK],0)+PlayerGameData[[#This Row],[VisibleOrder]]</f>
        <v>2</v>
      </c>
      <c r="AY374" s="8">
        <f ca="1">IF(COUNTIF(PlayerGameData[BLKOrder],PlayerGameData[[#This Row],[BLKOrder]])&gt;1,PlayerGameData[[#This Row],[PointRank]]/100+PlayerGameData[[#This Row],[BLKOrder]],PlayerGameData[[#This Row],[BLKOrder]])</f>
        <v>3.45</v>
      </c>
      <c r="AZ374" s="8">
        <f ca="1">RANK(PlayerGameData[[#This Row],[BLKTieBreak]],PlayerGameData[BLKTieBreak],1)</f>
        <v>3</v>
      </c>
      <c r="BA374" s="11">
        <f ca="1">IFERROR(IF(PlayerGameData[[#This Row],[FGA]]&gt;$AA$5,PlayerGameData[[#This Row],[FG%*]],PlayerGameData[[#This Row],[FG%*]]*-1),-2)</f>
        <v>-1</v>
      </c>
      <c r="BB374" s="8">
        <f ca="1">RANK(PlayerGameData[[#This Row],[EligFG]],PlayerGameData[EligFG],0)+PlayerGameData[[#This Row],[VisibleOrder]]</f>
        <v>203</v>
      </c>
      <c r="BC374" s="8">
        <f ca="1">IF(COUNTIF(PlayerGameData[EligFGOrder],PlayerGameData[[#This Row],[EligFGOrder]])&gt;1,PlayerGameData[[#This Row],[PointRank]]/100+PlayerGameData[[#This Row],[EligFGOrder]],PlayerGameData[[#This Row],[EligFGOrder]])</f>
        <v>204.45</v>
      </c>
      <c r="BD374" s="8">
        <f ca="1">RANK(PlayerGameData[[#This Row],[EligFGTieBreak]],PlayerGameData[EligFGTieBreak],1)</f>
        <v>206</v>
      </c>
      <c r="BE374" s="8" t="str">
        <f>Roster!$D$3</f>
        <v>East</v>
      </c>
      <c r="BF374" s="8" t="str">
        <f>Roster!$D$2</f>
        <v>Northeast</v>
      </c>
      <c r="BG374" s="8" t="str">
        <f>Roster!$D$4</f>
        <v>North</v>
      </c>
      <c r="BH374" s="197">
        <f ca="1">IFERROR(VLOOKUP(CONCATENATE(PlayerGameData[[#This Row],[Opponent]]," ",MONTH(PlayerGameData[[#This Row],[Date]]),"/",DAY(PlayerGameData[[#This Row],[Date]]),"/",YEAR(PlayerGameData[[#This Row],[Date]])),Table35[],2,FALSE),0)</f>
        <v>1</v>
      </c>
      <c r="BI374" s="197">
        <f ca="1">IF(PlayerGameData[[#This Row],[Visible]]=1,1,1000)</f>
        <v>1</v>
      </c>
      <c r="BJ374" s="197" t="e">
        <f ca="1">_xlfn.MAXIFS(TeamGameData[Win],TeamGameData[School, Opponent,Game'#],PlayerGameData[[#This Row],[School, Opponent,Game'#]])</f>
        <v>#NAME?</v>
      </c>
      <c r="BK374" s="197" t="e">
        <f ca="1">_xlfn.MAXIFS(TeamGameData[Loss],TeamGameData[School, Opponent,Game'#],PlayerGameData[[#This Row],[School, Opponent,Game'#]])</f>
        <v>#NAME?</v>
      </c>
    </row>
    <row r="375" spans="1:63" x14ac:dyDescent="0.25">
      <c r="A375" s="8" t="str">
        <f t="shared" ca="1" si="183"/>
        <v>Bridger Bruce, 25</v>
      </c>
      <c r="B375" s="8" t="str">
        <f>Roster!$B$1</f>
        <v>Upton</v>
      </c>
      <c r="C375" s="8" t="str">
        <f t="shared" ca="1" si="171"/>
        <v>Midwest</v>
      </c>
      <c r="D375" s="10">
        <f t="shared" ca="1" si="172"/>
        <v>44961</v>
      </c>
      <c r="E375" s="8">
        <f t="shared" ca="1" si="173"/>
        <v>1</v>
      </c>
      <c r="F375" s="8">
        <f t="shared" ca="1" si="174"/>
        <v>0</v>
      </c>
      <c r="G375" s="8">
        <f t="shared" ca="1" si="175"/>
        <v>10</v>
      </c>
      <c r="H375" s="8">
        <f t="shared" ca="1" si="176"/>
        <v>0</v>
      </c>
      <c r="I375" s="8">
        <f t="shared" ca="1" si="177"/>
        <v>0</v>
      </c>
      <c r="J375" s="8">
        <f t="shared" ca="1" si="178"/>
        <v>1</v>
      </c>
      <c r="K375" s="8">
        <f t="shared" ca="1" si="179"/>
        <v>2</v>
      </c>
      <c r="L375" s="8">
        <f t="shared" ca="1" si="184"/>
        <v>0</v>
      </c>
      <c r="M375" s="8">
        <f t="shared" ca="1" si="185"/>
        <v>0</v>
      </c>
      <c r="N375" s="8">
        <f t="shared" ca="1" si="186"/>
        <v>0</v>
      </c>
      <c r="O375" s="8">
        <f t="shared" ca="1" si="187"/>
        <v>2</v>
      </c>
      <c r="P375" s="8">
        <f t="shared" ca="1" si="188"/>
        <v>2</v>
      </c>
      <c r="Q375" s="8">
        <f t="shared" ca="1" si="189"/>
        <v>1</v>
      </c>
      <c r="R375" s="8">
        <f t="shared" ca="1" si="190"/>
        <v>0</v>
      </c>
      <c r="S375" s="8">
        <f t="shared" ca="1" si="191"/>
        <v>1</v>
      </c>
      <c r="T375" s="8">
        <f t="shared" ca="1" si="192"/>
        <v>0</v>
      </c>
      <c r="U375" s="8">
        <f t="shared" ca="1" si="193"/>
        <v>0</v>
      </c>
      <c r="V375" s="8">
        <f t="shared" ca="1" si="194"/>
        <v>2</v>
      </c>
      <c r="W375" s="11" t="str">
        <f t="shared" ca="1" si="195"/>
        <v/>
      </c>
      <c r="X375" s="11">
        <f t="shared" ca="1" si="196"/>
        <v>0.5</v>
      </c>
      <c r="Y375" s="11" t="str">
        <f t="shared" ca="1" si="197"/>
        <v/>
      </c>
      <c r="Z375" s="11">
        <f t="shared" ca="1" si="198"/>
        <v>0.5</v>
      </c>
      <c r="AA375" s="11">
        <f t="shared" ca="1" si="199"/>
        <v>0.5</v>
      </c>
      <c r="AB375" s="47">
        <f ca="1">PlayerGameData[[#This Row],[3FGA]]+PlayerGameData[[#This Row],[2FGA]]</f>
        <v>2</v>
      </c>
      <c r="AC375" s="47">
        <f ca="1">PlayerGameData[[#This Row],[OFF REB]]+PlayerGameData[[#This Row],[DEF REB]]</f>
        <v>2</v>
      </c>
      <c r="AD375" s="8">
        <f t="shared" si="180"/>
        <v>16</v>
      </c>
      <c r="AE375" s="8" t="str">
        <f t="shared" ca="1" si="181"/>
        <v>Bridger Bruce, 25 - Midwest 2/4/2023</v>
      </c>
      <c r="AF375" s="8" t="str">
        <f t="shared" ca="1" si="200"/>
        <v>R</v>
      </c>
      <c r="AG375" s="8" t="str">
        <f ca="1">IFERROR(IF(C375=0,"",IF(AND(VLOOKUP(PlayerGameData[[#This Row],[Opponent]],WYTeamInfo,2,FALSE)=Roster!$D$1,VLOOKUP(PlayerGameData[[#This Row],[Opponent]],WYTeamInfo,3,FALSE)=Roster!$D$2),"SR","")),"")</f>
        <v>SR</v>
      </c>
      <c r="AH375" s="8" t="str">
        <f>CONCATENATE(Roster!$D$1," ",Roster!$D$5)</f>
        <v>1A BB</v>
      </c>
      <c r="AI375" s="8" t="str">
        <f t="shared" ca="1" si="182"/>
        <v>Upton - Midwest 2/4/2023</v>
      </c>
      <c r="AJ375" s="8">
        <f ca="1">IFERROR(VLOOKUP(PlayerGameData[[#This Row],[School, Opponent,Game'#]],Table3[],2,FALSE),0)</f>
        <v>1</v>
      </c>
      <c r="AK375" s="8">
        <f ca="1">IF(PlayerGameData[[#This Row],[Visible]]=1,1,1000)</f>
        <v>1</v>
      </c>
      <c r="AL375" s="8">
        <f ca="1">RANK(PlayerGameData[[#This Row],[TL PTS]],PlayerGameData[TL PTS],0)+PlayerGameData[[#This Row],[VisibleOrder]]</f>
        <v>152</v>
      </c>
      <c r="AM375" s="8">
        <f ca="1">IF(COUNTIF(PlayerGameData[PointOrder],PlayerGameData[[#This Row],[PointOrder]])&gt;1,RANK(PlayerGameData[[#This Row],[FGA]],PlayerGameData[FGA],0)/100,0)+PlayerGameData[[#This Row],[PointOrder]]</f>
        <v>153.61000000000001</v>
      </c>
      <c r="AN375" s="8">
        <f ca="1">RANK(PlayerGameData[[#This Row],[PointTieBreak]],PlayerGameData[PointTieBreak],1)</f>
        <v>163</v>
      </c>
      <c r="AO375" s="8">
        <f ca="1">RANK(PlayerGameData[[#This Row],[REB]],PlayerGameData[REB],0)+PlayerGameData[[#This Row],[VisibleOrder]]</f>
        <v>137</v>
      </c>
      <c r="AP375" s="8">
        <f ca="1">IF(COUNTIF(PlayerGameData[REBOrder],PlayerGameData[[#This Row],[REBOrder]])&gt;1,PlayerGameData[[#This Row],[PointRank]]/100+PlayerGameData[[#This Row],[REBOrder]],PlayerGameData[[#This Row],[REBOrder]])</f>
        <v>138.63</v>
      </c>
      <c r="AQ375" s="8">
        <f ca="1">RANK(PlayerGameData[[#This Row],[REBTieBreak]],PlayerGameData[REBTieBreak],1)</f>
        <v>152</v>
      </c>
      <c r="AR375" s="8">
        <f ca="1">RANK(PlayerGameData[[#This Row],[AST]],PlayerGameData[AST],0)+PlayerGameData[[#This Row],[VisibleOrder]]</f>
        <v>69</v>
      </c>
      <c r="AS375" s="8">
        <f ca="1">IF(COUNTIF(PlayerGameData[ASTOrder],PlayerGameData[[#This Row],[ASTOrder]])&gt;1,PlayerGameData[[#This Row],[PointRank]]/100+PlayerGameData[[#This Row],[ASTOrder]],PlayerGameData[[#This Row],[ASTOrder]])</f>
        <v>70.63</v>
      </c>
      <c r="AT375" s="8">
        <f ca="1">RANK(PlayerGameData[[#This Row],[ASTTieBreak]],PlayerGameData[ASTTieBreak],1)</f>
        <v>106</v>
      </c>
      <c r="AU375" s="8">
        <f ca="1">RANK(PlayerGameData[[#This Row],[STL]],PlayerGameData[STL],0)+PlayerGameData[[#This Row],[VisibleOrder]]</f>
        <v>84</v>
      </c>
      <c r="AV375" s="8">
        <f ca="1">IF(COUNTIF(PlayerGameData[STLOrder],PlayerGameData[[#This Row],[STLOrder]])&gt;1,PlayerGameData[[#This Row],[PointRank]]/100+PlayerGameData[[#This Row],[STLOrder]],PlayerGameData[[#This Row],[STLOrder]])</f>
        <v>85.63</v>
      </c>
      <c r="AW375" s="8">
        <f ca="1">RANK(PlayerGameData[[#This Row],[STLTieBreak]],PlayerGameData[STLTieBreak],1)</f>
        <v>129</v>
      </c>
      <c r="AX375" s="8">
        <f ca="1">RANK(PlayerGameData[[#This Row],[BLK]],PlayerGameData[BLK],0)+PlayerGameData[[#This Row],[VisibleOrder]]</f>
        <v>32</v>
      </c>
      <c r="AY375" s="8">
        <f ca="1">IF(COUNTIF(PlayerGameData[BLKOrder],PlayerGameData[[#This Row],[BLKOrder]])&gt;1,PlayerGameData[[#This Row],[PointRank]]/100+PlayerGameData[[#This Row],[BLKOrder]],PlayerGameData[[#This Row],[BLKOrder]])</f>
        <v>33.630000000000003</v>
      </c>
      <c r="AZ375" s="8">
        <f ca="1">RANK(PlayerGameData[[#This Row],[BLKTieBreak]],PlayerGameData[BLKTieBreak],1)</f>
        <v>164</v>
      </c>
      <c r="BA375" s="11">
        <f ca="1">IFERROR(IF(PlayerGameData[[#This Row],[FGA]]&gt;$AA$5,PlayerGameData[[#This Row],[FG%*]],PlayerGameData[[#This Row],[FG%*]]*-1),-2)</f>
        <v>-0.5</v>
      </c>
      <c r="BB375" s="8">
        <f ca="1">RANK(PlayerGameData[[#This Row],[EligFG]],PlayerGameData[EligFG],0)+PlayerGameData[[#This Row],[VisibleOrder]]</f>
        <v>182</v>
      </c>
      <c r="BC375" s="8">
        <f ca="1">IF(COUNTIF(PlayerGameData[EligFGOrder],PlayerGameData[[#This Row],[EligFGOrder]])&gt;1,PlayerGameData[[#This Row],[PointRank]]/100+PlayerGameData[[#This Row],[EligFGOrder]],PlayerGameData[[#This Row],[EligFGOrder]])</f>
        <v>183.63</v>
      </c>
      <c r="BD375" s="8">
        <f ca="1">RANK(PlayerGameData[[#This Row],[EligFGTieBreak]],PlayerGameData[EligFGTieBreak],1)</f>
        <v>188</v>
      </c>
      <c r="BE375" s="8" t="str">
        <f>Roster!$D$3</f>
        <v>East</v>
      </c>
      <c r="BF375" s="8" t="str">
        <f>Roster!$D$2</f>
        <v>Northeast</v>
      </c>
      <c r="BG375" s="8" t="str">
        <f>Roster!$D$4</f>
        <v>North</v>
      </c>
      <c r="BH375" s="197">
        <f ca="1">IFERROR(VLOOKUP(CONCATENATE(PlayerGameData[[#This Row],[Opponent]]," ",MONTH(PlayerGameData[[#This Row],[Date]]),"/",DAY(PlayerGameData[[#This Row],[Date]]),"/",YEAR(PlayerGameData[[#This Row],[Date]])),Table35[],2,FALSE),0)</f>
        <v>1</v>
      </c>
      <c r="BI375" s="197">
        <f ca="1">IF(PlayerGameData[[#This Row],[Visible]]=1,1,1000)</f>
        <v>1</v>
      </c>
      <c r="BJ375" s="197" t="e">
        <f ca="1">_xlfn.MAXIFS(TeamGameData[Win],TeamGameData[School, Opponent,Game'#],PlayerGameData[[#This Row],[School, Opponent,Game'#]])</f>
        <v>#NAME?</v>
      </c>
      <c r="BK375" s="197" t="e">
        <f ca="1">_xlfn.MAXIFS(TeamGameData[Loss],TeamGameData[School, Opponent,Game'#],PlayerGameData[[#This Row],[School, Opponent,Game'#]])</f>
        <v>#NAME?</v>
      </c>
    </row>
    <row r="376" spans="1:63" x14ac:dyDescent="0.25">
      <c r="A376" s="8" t="str">
        <f t="shared" ca="1" si="183"/>
        <v>Kailer Duarte, 31</v>
      </c>
      <c r="B376" s="8" t="str">
        <f>Roster!$B$1</f>
        <v>Upton</v>
      </c>
      <c r="C376" s="8" t="str">
        <f t="shared" ca="1" si="171"/>
        <v>Midwest</v>
      </c>
      <c r="D376" s="10">
        <f t="shared" ca="1" si="172"/>
        <v>44961</v>
      </c>
      <c r="E376" s="8">
        <f t="shared" ca="1" si="173"/>
        <v>1</v>
      </c>
      <c r="F376" s="8">
        <f t="shared" ca="1" si="174"/>
        <v>1</v>
      </c>
      <c r="G376" s="8">
        <f t="shared" ca="1" si="175"/>
        <v>13</v>
      </c>
      <c r="H376" s="8">
        <f t="shared" ca="1" si="176"/>
        <v>2</v>
      </c>
      <c r="I376" s="8">
        <f t="shared" ca="1" si="177"/>
        <v>4</v>
      </c>
      <c r="J376" s="8">
        <f t="shared" ca="1" si="178"/>
        <v>7</v>
      </c>
      <c r="K376" s="8">
        <f t="shared" ca="1" si="179"/>
        <v>7</v>
      </c>
      <c r="L376" s="8">
        <f t="shared" ca="1" si="184"/>
        <v>1</v>
      </c>
      <c r="M376" s="8">
        <f t="shared" ca="1" si="185"/>
        <v>1</v>
      </c>
      <c r="N376" s="8">
        <f t="shared" ca="1" si="186"/>
        <v>2</v>
      </c>
      <c r="O376" s="8">
        <f t="shared" ca="1" si="187"/>
        <v>6</v>
      </c>
      <c r="P376" s="8">
        <f t="shared" ca="1" si="188"/>
        <v>4</v>
      </c>
      <c r="Q376" s="8">
        <f t="shared" ca="1" si="189"/>
        <v>5</v>
      </c>
      <c r="R376" s="8">
        <f t="shared" ca="1" si="190"/>
        <v>0</v>
      </c>
      <c r="S376" s="8">
        <f t="shared" ca="1" si="191"/>
        <v>0</v>
      </c>
      <c r="T376" s="8">
        <f t="shared" ca="1" si="192"/>
        <v>2</v>
      </c>
      <c r="U376" s="8">
        <f t="shared" ca="1" si="193"/>
        <v>0</v>
      </c>
      <c r="V376" s="8">
        <f t="shared" ca="1" si="194"/>
        <v>21</v>
      </c>
      <c r="W376" s="11">
        <f t="shared" ca="1" si="195"/>
        <v>0.5</v>
      </c>
      <c r="X376" s="11">
        <f t="shared" ca="1" si="196"/>
        <v>1</v>
      </c>
      <c r="Y376" s="11">
        <f t="shared" ca="1" si="197"/>
        <v>1</v>
      </c>
      <c r="Z376" s="11">
        <f t="shared" ca="1" si="198"/>
        <v>0.81818181818181823</v>
      </c>
      <c r="AA376" s="11">
        <f t="shared" ca="1" si="199"/>
        <v>0.90909090909090906</v>
      </c>
      <c r="AB376" s="47">
        <f ca="1">PlayerGameData[[#This Row],[3FGA]]+PlayerGameData[[#This Row],[2FGA]]</f>
        <v>11</v>
      </c>
      <c r="AC376" s="47">
        <f ca="1">PlayerGameData[[#This Row],[OFF REB]]+PlayerGameData[[#This Row],[DEF REB]]</f>
        <v>8</v>
      </c>
      <c r="AD376" s="8">
        <f t="shared" si="180"/>
        <v>16</v>
      </c>
      <c r="AE376" s="8" t="str">
        <f t="shared" ca="1" si="181"/>
        <v>Kailer Duarte, 31 - Midwest 2/4/2023</v>
      </c>
      <c r="AF376" s="8" t="str">
        <f t="shared" ca="1" si="200"/>
        <v>R</v>
      </c>
      <c r="AG376" s="8" t="str">
        <f ca="1">IFERROR(IF(C376=0,"",IF(AND(VLOOKUP(PlayerGameData[[#This Row],[Opponent]],WYTeamInfo,2,FALSE)=Roster!$D$1,VLOOKUP(PlayerGameData[[#This Row],[Opponent]],WYTeamInfo,3,FALSE)=Roster!$D$2),"SR","")),"")</f>
        <v>SR</v>
      </c>
      <c r="AH376" s="8" t="str">
        <f>CONCATENATE(Roster!$D$1," ",Roster!$D$5)</f>
        <v>1A BB</v>
      </c>
      <c r="AI376" s="8" t="str">
        <f t="shared" ca="1" si="182"/>
        <v>Upton - Midwest 2/4/2023</v>
      </c>
      <c r="AJ376" s="8">
        <f ca="1">IFERROR(VLOOKUP(PlayerGameData[[#This Row],[School, Opponent,Game'#]],Table3[],2,FALSE),0)</f>
        <v>1</v>
      </c>
      <c r="AK376" s="8">
        <f ca="1">IF(PlayerGameData[[#This Row],[Visible]]=1,1,1000)</f>
        <v>1</v>
      </c>
      <c r="AL376" s="8">
        <f ca="1">RANK(PlayerGameData[[#This Row],[TL PTS]],PlayerGameData[TL PTS],0)+PlayerGameData[[#This Row],[VisibleOrder]]</f>
        <v>5</v>
      </c>
      <c r="AM376" s="8">
        <f ca="1">IF(COUNTIF(PlayerGameData[PointOrder],PlayerGameData[[#This Row],[PointOrder]])&gt;1,RANK(PlayerGameData[[#This Row],[FGA]],PlayerGameData[FGA],0)/100,0)+PlayerGameData[[#This Row],[PointOrder]]</f>
        <v>5.34</v>
      </c>
      <c r="AN376" s="8">
        <f ca="1">RANK(PlayerGameData[[#This Row],[PointTieBreak]],PlayerGameData[PointTieBreak],1)</f>
        <v>6</v>
      </c>
      <c r="AO376" s="8">
        <f ca="1">RANK(PlayerGameData[[#This Row],[REB]],PlayerGameData[REB],0)+PlayerGameData[[#This Row],[VisibleOrder]]</f>
        <v>21</v>
      </c>
      <c r="AP376" s="8">
        <f ca="1">IF(COUNTIF(PlayerGameData[REBOrder],PlayerGameData[[#This Row],[REBOrder]])&gt;1,PlayerGameData[[#This Row],[PointRank]]/100+PlayerGameData[[#This Row],[REBOrder]],PlayerGameData[[#This Row],[REBOrder]])</f>
        <v>21.06</v>
      </c>
      <c r="AQ376" s="8">
        <f ca="1">RANK(PlayerGameData[[#This Row],[REBTieBreak]],PlayerGameData[REBTieBreak],1)</f>
        <v>21</v>
      </c>
      <c r="AR376" s="8">
        <f ca="1">RANK(PlayerGameData[[#This Row],[AST]],PlayerGameData[AST],0)+PlayerGameData[[#This Row],[VisibleOrder]]</f>
        <v>24</v>
      </c>
      <c r="AS376" s="8">
        <f ca="1">IF(COUNTIF(PlayerGameData[ASTOrder],PlayerGameData[[#This Row],[ASTOrder]])&gt;1,PlayerGameData[[#This Row],[PointRank]]/100+PlayerGameData[[#This Row],[ASTOrder]],PlayerGameData[[#This Row],[ASTOrder]])</f>
        <v>24.06</v>
      </c>
      <c r="AT376" s="8">
        <f ca="1">RANK(PlayerGameData[[#This Row],[ASTTieBreak]],PlayerGameData[ASTTieBreak],1)</f>
        <v>23</v>
      </c>
      <c r="AU376" s="8">
        <f ca="1">RANK(PlayerGameData[[#This Row],[STL]],PlayerGameData[STL],0)+PlayerGameData[[#This Row],[VisibleOrder]]</f>
        <v>4</v>
      </c>
      <c r="AV376" s="8">
        <f ca="1">IF(COUNTIF(PlayerGameData[STLOrder],PlayerGameData[[#This Row],[STLOrder]])&gt;1,PlayerGameData[[#This Row],[PointRank]]/100+PlayerGameData[[#This Row],[STLOrder]],PlayerGameData[[#This Row],[STLOrder]])</f>
        <v>4.0599999999999996</v>
      </c>
      <c r="AW376" s="8">
        <f ca="1">RANK(PlayerGameData[[#This Row],[STLTieBreak]],PlayerGameData[STLTieBreak],1)</f>
        <v>3</v>
      </c>
      <c r="AX376" s="8">
        <f ca="1">RANK(PlayerGameData[[#This Row],[BLK]],PlayerGameData[BLK],0)+PlayerGameData[[#This Row],[VisibleOrder]]</f>
        <v>32</v>
      </c>
      <c r="AY376" s="8">
        <f ca="1">IF(COUNTIF(PlayerGameData[BLKOrder],PlayerGameData[[#This Row],[BLKOrder]])&gt;1,PlayerGameData[[#This Row],[PointRank]]/100+PlayerGameData[[#This Row],[BLKOrder]],PlayerGameData[[#This Row],[BLKOrder]])</f>
        <v>32.06</v>
      </c>
      <c r="AZ376" s="8">
        <f ca="1">RANK(PlayerGameData[[#This Row],[BLKTieBreak]],PlayerGameData[BLKTieBreak],1)</f>
        <v>35</v>
      </c>
      <c r="BA376" s="11">
        <f ca="1">IFERROR(IF(PlayerGameData[[#This Row],[FGA]]&gt;$AA$5,PlayerGameData[[#This Row],[FG%*]],PlayerGameData[[#This Row],[FG%*]]*-1),-2)</f>
        <v>0.81818181818181823</v>
      </c>
      <c r="BB376" s="8">
        <f ca="1">RANK(PlayerGameData[[#This Row],[EligFG]],PlayerGameData[EligFG],0)+PlayerGameData[[#This Row],[VisibleOrder]]</f>
        <v>5</v>
      </c>
      <c r="BC376" s="8">
        <f ca="1">IF(COUNTIF(PlayerGameData[EligFGOrder],PlayerGameData[[#This Row],[EligFGOrder]])&gt;1,PlayerGameData[[#This Row],[PointRank]]/100+PlayerGameData[[#This Row],[EligFGOrder]],PlayerGameData[[#This Row],[EligFGOrder]])</f>
        <v>5.0599999999999996</v>
      </c>
      <c r="BD376" s="8">
        <f ca="1">RANK(PlayerGameData[[#This Row],[EligFGTieBreak]],PlayerGameData[EligFGTieBreak],1)</f>
        <v>4</v>
      </c>
      <c r="BE376" s="8" t="str">
        <f>Roster!$D$3</f>
        <v>East</v>
      </c>
      <c r="BF376" s="8" t="str">
        <f>Roster!$D$2</f>
        <v>Northeast</v>
      </c>
      <c r="BG376" s="8" t="str">
        <f>Roster!$D$4</f>
        <v>North</v>
      </c>
      <c r="BH376" s="197">
        <f ca="1">IFERROR(VLOOKUP(CONCATENATE(PlayerGameData[[#This Row],[Opponent]]," ",MONTH(PlayerGameData[[#This Row],[Date]]),"/",DAY(PlayerGameData[[#This Row],[Date]]),"/",YEAR(PlayerGameData[[#This Row],[Date]])),Table35[],2,FALSE),0)</f>
        <v>1</v>
      </c>
      <c r="BI376" s="197">
        <f ca="1">IF(PlayerGameData[[#This Row],[Visible]]=1,1,1000)</f>
        <v>1</v>
      </c>
      <c r="BJ376" s="197" t="e">
        <f ca="1">_xlfn.MAXIFS(TeamGameData[Win],TeamGameData[School, Opponent,Game'#],PlayerGameData[[#This Row],[School, Opponent,Game'#]])</f>
        <v>#NAME?</v>
      </c>
      <c r="BK376" s="197" t="e">
        <f ca="1">_xlfn.MAXIFS(TeamGameData[Loss],TeamGameData[School, Opponent,Game'#],PlayerGameData[[#This Row],[School, Opponent,Game'#]])</f>
        <v>#NAME?</v>
      </c>
    </row>
    <row r="377" spans="1:63" x14ac:dyDescent="0.25">
      <c r="A377" s="8" t="str">
        <f t="shared" ca="1" si="183"/>
        <v>Matt Stirmel, 33</v>
      </c>
      <c r="B377" s="8" t="str">
        <f>Roster!$B$1</f>
        <v>Upton</v>
      </c>
      <c r="C377" s="8" t="str">
        <f t="shared" ca="1" si="171"/>
        <v>Midwest</v>
      </c>
      <c r="D377" s="10">
        <f t="shared" ca="1" si="172"/>
        <v>44961</v>
      </c>
      <c r="E377" s="8">
        <f t="shared" ca="1" si="173"/>
        <v>1</v>
      </c>
      <c r="F377" s="8">
        <f t="shared" ca="1" si="174"/>
        <v>0</v>
      </c>
      <c r="G377" s="8">
        <f t="shared" ca="1" si="175"/>
        <v>4</v>
      </c>
      <c r="H377" s="8">
        <f t="shared" ca="1" si="176"/>
        <v>0</v>
      </c>
      <c r="I377" s="8">
        <f t="shared" ca="1" si="177"/>
        <v>2</v>
      </c>
      <c r="J377" s="8">
        <f t="shared" ca="1" si="178"/>
        <v>1</v>
      </c>
      <c r="K377" s="8">
        <f t="shared" ca="1" si="179"/>
        <v>1</v>
      </c>
      <c r="L377" s="8">
        <f t="shared" ca="1" si="184"/>
        <v>0</v>
      </c>
      <c r="M377" s="8">
        <f t="shared" ca="1" si="185"/>
        <v>0</v>
      </c>
      <c r="N377" s="8">
        <f t="shared" ca="1" si="186"/>
        <v>0</v>
      </c>
      <c r="O377" s="8">
        <f t="shared" ca="1" si="187"/>
        <v>0</v>
      </c>
      <c r="P377" s="8">
        <f t="shared" ca="1" si="188"/>
        <v>0</v>
      </c>
      <c r="Q377" s="8">
        <f t="shared" ca="1" si="189"/>
        <v>1</v>
      </c>
      <c r="R377" s="8">
        <f t="shared" ca="1" si="190"/>
        <v>0</v>
      </c>
      <c r="S377" s="8">
        <f t="shared" ca="1" si="191"/>
        <v>0</v>
      </c>
      <c r="T377" s="8">
        <f t="shared" ca="1" si="192"/>
        <v>0</v>
      </c>
      <c r="U377" s="8">
        <f t="shared" ca="1" si="193"/>
        <v>0</v>
      </c>
      <c r="V377" s="8">
        <f t="shared" ca="1" si="194"/>
        <v>2</v>
      </c>
      <c r="W377" s="11">
        <f t="shared" ca="1" si="195"/>
        <v>0</v>
      </c>
      <c r="X377" s="11">
        <f t="shared" ca="1" si="196"/>
        <v>1</v>
      </c>
      <c r="Y377" s="11" t="str">
        <f t="shared" ca="1" si="197"/>
        <v/>
      </c>
      <c r="Z377" s="11">
        <f t="shared" ca="1" si="198"/>
        <v>0.33333333333333331</v>
      </c>
      <c r="AA377" s="11">
        <f t="shared" ca="1" si="199"/>
        <v>0.33333333333333331</v>
      </c>
      <c r="AB377" s="47">
        <f ca="1">PlayerGameData[[#This Row],[3FGA]]+PlayerGameData[[#This Row],[2FGA]]</f>
        <v>3</v>
      </c>
      <c r="AC377" s="47">
        <f ca="1">PlayerGameData[[#This Row],[OFF REB]]+PlayerGameData[[#This Row],[DEF REB]]</f>
        <v>0</v>
      </c>
      <c r="AD377" s="8">
        <f t="shared" si="180"/>
        <v>16</v>
      </c>
      <c r="AE377" s="8" t="str">
        <f t="shared" ca="1" si="181"/>
        <v>Matt Stirmel, 33 - Midwest 2/4/2023</v>
      </c>
      <c r="AF377" s="8" t="str">
        <f t="shared" ca="1" si="200"/>
        <v>R</v>
      </c>
      <c r="AG377" s="8" t="str">
        <f ca="1">IFERROR(IF(C377=0,"",IF(AND(VLOOKUP(PlayerGameData[[#This Row],[Opponent]],WYTeamInfo,2,FALSE)=Roster!$D$1,VLOOKUP(PlayerGameData[[#This Row],[Opponent]],WYTeamInfo,3,FALSE)=Roster!$D$2),"SR","")),"")</f>
        <v>SR</v>
      </c>
      <c r="AH377" s="8" t="str">
        <f>CONCATENATE(Roster!$D$1," ",Roster!$D$5)</f>
        <v>1A BB</v>
      </c>
      <c r="AI377" s="8" t="str">
        <f t="shared" ca="1" si="182"/>
        <v>Upton - Midwest 2/4/2023</v>
      </c>
      <c r="AJ377" s="8">
        <f ca="1">IFERROR(VLOOKUP(PlayerGameData[[#This Row],[School, Opponent,Game'#]],Table3[],2,FALSE),0)</f>
        <v>1</v>
      </c>
      <c r="AK377" s="8">
        <f ca="1">IF(PlayerGameData[[#This Row],[Visible]]=1,1,1000)</f>
        <v>1</v>
      </c>
      <c r="AL377" s="8">
        <f ca="1">RANK(PlayerGameData[[#This Row],[TL PTS]],PlayerGameData[TL PTS],0)+PlayerGameData[[#This Row],[VisibleOrder]]</f>
        <v>152</v>
      </c>
      <c r="AM377" s="8">
        <f ca="1">IF(COUNTIF(PlayerGameData[PointOrder],PlayerGameData[[#This Row],[PointOrder]])&gt;1,RANK(PlayerGameData[[#This Row],[FGA]],PlayerGameData[FGA],0)/100,0)+PlayerGameData[[#This Row],[PointOrder]]</f>
        <v>153.4</v>
      </c>
      <c r="AN377" s="8">
        <f ca="1">RANK(PlayerGameData[[#This Row],[PointTieBreak]],PlayerGameData[PointTieBreak],1)</f>
        <v>159</v>
      </c>
      <c r="AO377" s="8">
        <f ca="1">RANK(PlayerGameData[[#This Row],[REB]],PlayerGameData[REB],0)+PlayerGameData[[#This Row],[VisibleOrder]]</f>
        <v>192</v>
      </c>
      <c r="AP377" s="8">
        <f ca="1">IF(COUNTIF(PlayerGameData[REBOrder],PlayerGameData[[#This Row],[REBOrder]])&gt;1,PlayerGameData[[#This Row],[PointRank]]/100+PlayerGameData[[#This Row],[REBOrder]],PlayerGameData[[#This Row],[REBOrder]])</f>
        <v>193.59</v>
      </c>
      <c r="AQ377" s="8">
        <f ca="1">RANK(PlayerGameData[[#This Row],[REBTieBreak]],PlayerGameData[REBTieBreak],1)</f>
        <v>203</v>
      </c>
      <c r="AR377" s="8">
        <f ca="1">RANK(PlayerGameData[[#This Row],[AST]],PlayerGameData[AST],0)+PlayerGameData[[#This Row],[VisibleOrder]]</f>
        <v>158</v>
      </c>
      <c r="AS377" s="8">
        <f ca="1">IF(COUNTIF(PlayerGameData[ASTOrder],PlayerGameData[[#This Row],[ASTOrder]])&gt;1,PlayerGameData[[#This Row],[PointRank]]/100+PlayerGameData[[#This Row],[ASTOrder]],PlayerGameData[[#This Row],[ASTOrder]])</f>
        <v>159.59</v>
      </c>
      <c r="AT377" s="8">
        <f ca="1">RANK(PlayerGameData[[#This Row],[ASTTieBreak]],PlayerGameData[ASTTieBreak],1)</f>
        <v>184</v>
      </c>
      <c r="AU377" s="8">
        <f ca="1">RANK(PlayerGameData[[#This Row],[STL]],PlayerGameData[STL],0)+PlayerGameData[[#This Row],[VisibleOrder]]</f>
        <v>84</v>
      </c>
      <c r="AV377" s="8">
        <f ca="1">IF(COUNTIF(PlayerGameData[STLOrder],PlayerGameData[[#This Row],[STLOrder]])&gt;1,PlayerGameData[[#This Row],[PointRank]]/100+PlayerGameData[[#This Row],[STLOrder]],PlayerGameData[[#This Row],[STLOrder]])</f>
        <v>85.59</v>
      </c>
      <c r="AW377" s="8">
        <f ca="1">RANK(PlayerGameData[[#This Row],[STLTieBreak]],PlayerGameData[STLTieBreak],1)</f>
        <v>127</v>
      </c>
      <c r="AX377" s="8">
        <f ca="1">RANK(PlayerGameData[[#This Row],[BLK]],PlayerGameData[BLK],0)+PlayerGameData[[#This Row],[VisibleOrder]]</f>
        <v>32</v>
      </c>
      <c r="AY377" s="8">
        <f ca="1">IF(COUNTIF(PlayerGameData[BLKOrder],PlayerGameData[[#This Row],[BLKOrder]])&gt;1,PlayerGameData[[#This Row],[PointRank]]/100+PlayerGameData[[#This Row],[BLKOrder]],PlayerGameData[[#This Row],[BLKOrder]])</f>
        <v>33.590000000000003</v>
      </c>
      <c r="AZ377" s="8">
        <f ca="1">RANK(PlayerGameData[[#This Row],[BLKTieBreak]],PlayerGameData[BLKTieBreak],1)</f>
        <v>161</v>
      </c>
      <c r="BA377" s="11">
        <f ca="1">IFERROR(IF(PlayerGameData[[#This Row],[FGA]]&gt;$AA$5,PlayerGameData[[#This Row],[FG%*]],PlayerGameData[[#This Row],[FG%*]]*-1),-2)</f>
        <v>-0.33333333333333331</v>
      </c>
      <c r="BB377" s="8">
        <f ca="1">RANK(PlayerGameData[[#This Row],[EligFG]],PlayerGameData[EligFG],0)+PlayerGameData[[#This Row],[VisibleOrder]]</f>
        <v>164</v>
      </c>
      <c r="BC377" s="8">
        <f ca="1">IF(COUNTIF(PlayerGameData[EligFGOrder],PlayerGameData[[#This Row],[EligFGOrder]])&gt;1,PlayerGameData[[#This Row],[PointRank]]/100+PlayerGameData[[#This Row],[EligFGOrder]],PlayerGameData[[#This Row],[EligFGOrder]])</f>
        <v>165.59</v>
      </c>
      <c r="BD377" s="8">
        <f ca="1">RANK(PlayerGameData[[#This Row],[EligFGTieBreak]],PlayerGameData[EligFGTieBreak],1)</f>
        <v>171</v>
      </c>
      <c r="BE377" s="8" t="str">
        <f>Roster!$D$3</f>
        <v>East</v>
      </c>
      <c r="BF377" s="8" t="str">
        <f>Roster!$D$2</f>
        <v>Northeast</v>
      </c>
      <c r="BG377" s="8" t="str">
        <f>Roster!$D$4</f>
        <v>North</v>
      </c>
      <c r="BH377" s="197">
        <f ca="1">IFERROR(VLOOKUP(CONCATENATE(PlayerGameData[[#This Row],[Opponent]]," ",MONTH(PlayerGameData[[#This Row],[Date]]),"/",DAY(PlayerGameData[[#This Row],[Date]]),"/",YEAR(PlayerGameData[[#This Row],[Date]])),Table35[],2,FALSE),0)</f>
        <v>1</v>
      </c>
      <c r="BI377" s="197">
        <f ca="1">IF(PlayerGameData[[#This Row],[Visible]]=1,1,1000)</f>
        <v>1</v>
      </c>
      <c r="BJ377" s="197" t="e">
        <f ca="1">_xlfn.MAXIFS(TeamGameData[Win],TeamGameData[School, Opponent,Game'#],PlayerGameData[[#This Row],[School, Opponent,Game'#]])</f>
        <v>#NAME?</v>
      </c>
      <c r="BK377" s="197" t="e">
        <f ca="1">_xlfn.MAXIFS(TeamGameData[Loss],TeamGameData[School, Opponent,Game'#],PlayerGameData[[#This Row],[School, Opponent,Game'#]])</f>
        <v>#NAME?</v>
      </c>
    </row>
    <row r="378" spans="1:63" x14ac:dyDescent="0.25">
      <c r="A378" s="8" t="str">
        <f t="shared" ca="1" si="183"/>
        <v>Jacob McNutt, 34</v>
      </c>
      <c r="B378" s="8" t="str">
        <f>Roster!$B$1</f>
        <v>Upton</v>
      </c>
      <c r="C378" s="8" t="str">
        <f t="shared" ca="1" si="171"/>
        <v>Midwest</v>
      </c>
      <c r="D378" s="10">
        <f t="shared" ca="1" si="172"/>
        <v>44961</v>
      </c>
      <c r="E378" s="8">
        <f t="shared" ca="1" si="173"/>
        <v>1</v>
      </c>
      <c r="F378" s="8">
        <f t="shared" ca="1" si="174"/>
        <v>0</v>
      </c>
      <c r="G378" s="8">
        <f t="shared" ca="1" si="175"/>
        <v>1</v>
      </c>
      <c r="H378" s="8">
        <f t="shared" ca="1" si="176"/>
        <v>1</v>
      </c>
      <c r="I378" s="8">
        <f t="shared" ca="1" si="177"/>
        <v>3</v>
      </c>
      <c r="J378" s="8">
        <f t="shared" ca="1" si="178"/>
        <v>0</v>
      </c>
      <c r="K378" s="8">
        <f t="shared" ca="1" si="179"/>
        <v>0</v>
      </c>
      <c r="L378" s="8">
        <f t="shared" ca="1" si="184"/>
        <v>0</v>
      </c>
      <c r="M378" s="8">
        <f t="shared" ca="1" si="185"/>
        <v>0</v>
      </c>
      <c r="N378" s="8">
        <f t="shared" ca="1" si="186"/>
        <v>0</v>
      </c>
      <c r="O378" s="8">
        <f t="shared" ca="1" si="187"/>
        <v>0</v>
      </c>
      <c r="P378" s="8">
        <f t="shared" ca="1" si="188"/>
        <v>0</v>
      </c>
      <c r="Q378" s="8">
        <f t="shared" ca="1" si="189"/>
        <v>2</v>
      </c>
      <c r="R378" s="8">
        <f t="shared" ca="1" si="190"/>
        <v>0</v>
      </c>
      <c r="S378" s="8">
        <f t="shared" ca="1" si="191"/>
        <v>0</v>
      </c>
      <c r="T378" s="8">
        <f t="shared" ca="1" si="192"/>
        <v>0</v>
      </c>
      <c r="U378" s="8">
        <f t="shared" ca="1" si="193"/>
        <v>0</v>
      </c>
      <c r="V378" s="8">
        <f t="shared" ca="1" si="194"/>
        <v>3</v>
      </c>
      <c r="W378" s="11">
        <f t="shared" ca="1" si="195"/>
        <v>0.33333333333333331</v>
      </c>
      <c r="X378" s="11" t="str">
        <f t="shared" ca="1" si="196"/>
        <v/>
      </c>
      <c r="Y378" s="11" t="str">
        <f t="shared" ca="1" si="197"/>
        <v/>
      </c>
      <c r="Z378" s="11">
        <f t="shared" ca="1" si="198"/>
        <v>0.33333333333333331</v>
      </c>
      <c r="AA378" s="11">
        <f t="shared" ca="1" si="199"/>
        <v>0.5</v>
      </c>
      <c r="AB378" s="47">
        <f ca="1">PlayerGameData[[#This Row],[3FGA]]+PlayerGameData[[#This Row],[2FGA]]</f>
        <v>3</v>
      </c>
      <c r="AC378" s="47">
        <f ca="1">PlayerGameData[[#This Row],[OFF REB]]+PlayerGameData[[#This Row],[DEF REB]]</f>
        <v>0</v>
      </c>
      <c r="AD378" s="8">
        <f t="shared" si="180"/>
        <v>16</v>
      </c>
      <c r="AE378" s="8" t="str">
        <f t="shared" ca="1" si="181"/>
        <v>Jacob McNutt, 34 - Midwest 2/4/2023</v>
      </c>
      <c r="AF378" s="8" t="str">
        <f t="shared" ca="1" si="200"/>
        <v>R</v>
      </c>
      <c r="AG378" s="8" t="str">
        <f ca="1">IFERROR(IF(C378=0,"",IF(AND(VLOOKUP(PlayerGameData[[#This Row],[Opponent]],WYTeamInfo,2,FALSE)=Roster!$D$1,VLOOKUP(PlayerGameData[[#This Row],[Opponent]],WYTeamInfo,3,FALSE)=Roster!$D$2),"SR","")),"")</f>
        <v>SR</v>
      </c>
      <c r="AH378" s="8" t="str">
        <f>CONCATENATE(Roster!$D$1," ",Roster!$D$5)</f>
        <v>1A BB</v>
      </c>
      <c r="AI378" s="8" t="str">
        <f t="shared" ca="1" si="182"/>
        <v>Upton - Midwest 2/4/2023</v>
      </c>
      <c r="AJ378" s="8">
        <f ca="1">IFERROR(VLOOKUP(PlayerGameData[[#This Row],[School, Opponent,Game'#]],Table3[],2,FALSE),0)</f>
        <v>1</v>
      </c>
      <c r="AK378" s="8">
        <f ca="1">IF(PlayerGameData[[#This Row],[Visible]]=1,1,1000)</f>
        <v>1</v>
      </c>
      <c r="AL378" s="8">
        <f ca="1">RANK(PlayerGameData[[#This Row],[TL PTS]],PlayerGameData[TL PTS],0)+PlayerGameData[[#This Row],[VisibleOrder]]</f>
        <v>135</v>
      </c>
      <c r="AM378" s="8">
        <f ca="1">IF(COUNTIF(PlayerGameData[PointOrder],PlayerGameData[[#This Row],[PointOrder]])&gt;1,RANK(PlayerGameData[[#This Row],[FGA]],PlayerGameData[FGA],0)/100,0)+PlayerGameData[[#This Row],[PointOrder]]</f>
        <v>136.4</v>
      </c>
      <c r="AN378" s="8">
        <f ca="1">RANK(PlayerGameData[[#This Row],[PointTieBreak]],PlayerGameData[PointTieBreak],1)</f>
        <v>137</v>
      </c>
      <c r="AO378" s="8">
        <f ca="1">RANK(PlayerGameData[[#This Row],[REB]],PlayerGameData[REB],0)+PlayerGameData[[#This Row],[VisibleOrder]]</f>
        <v>192</v>
      </c>
      <c r="AP378" s="8">
        <f ca="1">IF(COUNTIF(PlayerGameData[REBOrder],PlayerGameData[[#This Row],[REBOrder]])&gt;1,PlayerGameData[[#This Row],[PointRank]]/100+PlayerGameData[[#This Row],[REBOrder]],PlayerGameData[[#This Row],[REBOrder]])</f>
        <v>193.37</v>
      </c>
      <c r="AQ378" s="8">
        <f ca="1">RANK(PlayerGameData[[#This Row],[REBTieBreak]],PlayerGameData[REBTieBreak],1)</f>
        <v>196</v>
      </c>
      <c r="AR378" s="8">
        <f ca="1">RANK(PlayerGameData[[#This Row],[AST]],PlayerGameData[AST],0)+PlayerGameData[[#This Row],[VisibleOrder]]</f>
        <v>158</v>
      </c>
      <c r="AS378" s="8">
        <f ca="1">IF(COUNTIF(PlayerGameData[ASTOrder],PlayerGameData[[#This Row],[ASTOrder]])&gt;1,PlayerGameData[[#This Row],[PointRank]]/100+PlayerGameData[[#This Row],[ASTOrder]],PlayerGameData[[#This Row],[ASTOrder]])</f>
        <v>159.37</v>
      </c>
      <c r="AT378" s="8">
        <f ca="1">RANK(PlayerGameData[[#This Row],[ASTTieBreak]],PlayerGameData[ASTTieBreak],1)</f>
        <v>174</v>
      </c>
      <c r="AU378" s="8">
        <f ca="1">RANK(PlayerGameData[[#This Row],[STL]],PlayerGameData[STL],0)+PlayerGameData[[#This Row],[VisibleOrder]]</f>
        <v>48</v>
      </c>
      <c r="AV378" s="8">
        <f ca="1">IF(COUNTIF(PlayerGameData[STLOrder],PlayerGameData[[#This Row],[STLOrder]])&gt;1,PlayerGameData[[#This Row],[PointRank]]/100+PlayerGameData[[#This Row],[STLOrder]],PlayerGameData[[#This Row],[STLOrder]])</f>
        <v>49.37</v>
      </c>
      <c r="AW378" s="8">
        <f ca="1">RANK(PlayerGameData[[#This Row],[STLTieBreak]],PlayerGameData[STLTieBreak],1)</f>
        <v>77</v>
      </c>
      <c r="AX378" s="8">
        <f ca="1">RANK(PlayerGameData[[#This Row],[BLK]],PlayerGameData[BLK],0)+PlayerGameData[[#This Row],[VisibleOrder]]</f>
        <v>32</v>
      </c>
      <c r="AY378" s="8">
        <f ca="1">IF(COUNTIF(PlayerGameData[BLKOrder],PlayerGameData[[#This Row],[BLKOrder]])&gt;1,PlayerGameData[[#This Row],[PointRank]]/100+PlayerGameData[[#This Row],[BLKOrder]],PlayerGameData[[#This Row],[BLKOrder]])</f>
        <v>33.369999999999997</v>
      </c>
      <c r="AZ378" s="8">
        <f ca="1">RANK(PlayerGameData[[#This Row],[BLKTieBreak]],PlayerGameData[BLKTieBreak],1)</f>
        <v>141</v>
      </c>
      <c r="BA378" s="11">
        <f ca="1">IFERROR(IF(PlayerGameData[[#This Row],[FGA]]&gt;$AA$5,PlayerGameData[[#This Row],[FG%*]],PlayerGameData[[#This Row],[FG%*]]*-1),-2)</f>
        <v>-0.33333333333333331</v>
      </c>
      <c r="BB378" s="8">
        <f ca="1">RANK(PlayerGameData[[#This Row],[EligFG]],PlayerGameData[EligFG],0)+PlayerGameData[[#This Row],[VisibleOrder]]</f>
        <v>164</v>
      </c>
      <c r="BC378" s="8">
        <f ca="1">IF(COUNTIF(PlayerGameData[EligFGOrder],PlayerGameData[[#This Row],[EligFGOrder]])&gt;1,PlayerGameData[[#This Row],[PointRank]]/100+PlayerGameData[[#This Row],[EligFGOrder]],PlayerGameData[[#This Row],[EligFGOrder]])</f>
        <v>165.37</v>
      </c>
      <c r="BD378" s="8">
        <f ca="1">RANK(PlayerGameData[[#This Row],[EligFGTieBreak]],PlayerGameData[EligFGTieBreak],1)</f>
        <v>164</v>
      </c>
      <c r="BE378" s="8" t="str">
        <f>Roster!$D$3</f>
        <v>East</v>
      </c>
      <c r="BF378" s="8" t="str">
        <f>Roster!$D$2</f>
        <v>Northeast</v>
      </c>
      <c r="BG378" s="8" t="str">
        <f>Roster!$D$4</f>
        <v>North</v>
      </c>
      <c r="BH378" s="197">
        <f ca="1">IFERROR(VLOOKUP(CONCATENATE(PlayerGameData[[#This Row],[Opponent]]," ",MONTH(PlayerGameData[[#This Row],[Date]]),"/",DAY(PlayerGameData[[#This Row],[Date]]),"/",YEAR(PlayerGameData[[#This Row],[Date]])),Table35[],2,FALSE),0)</f>
        <v>1</v>
      </c>
      <c r="BI378" s="197">
        <f ca="1">IF(PlayerGameData[[#This Row],[Visible]]=1,1,1000)</f>
        <v>1</v>
      </c>
      <c r="BJ378" s="197" t="e">
        <f ca="1">_xlfn.MAXIFS(TeamGameData[Win],TeamGameData[School, Opponent,Game'#],PlayerGameData[[#This Row],[School, Opponent,Game'#]])</f>
        <v>#NAME?</v>
      </c>
      <c r="BK378" s="197" t="e">
        <f ca="1">_xlfn.MAXIFS(TeamGameData[Loss],TeamGameData[School, Opponent,Game'#],PlayerGameData[[#This Row],[School, Opponent,Game'#]])</f>
        <v>#NAME?</v>
      </c>
    </row>
    <row r="379" spans="1:63" x14ac:dyDescent="0.25">
      <c r="A379" s="8" t="str">
        <f t="shared" ca="1" si="183"/>
        <v>Ryan Baker, 35</v>
      </c>
      <c r="B379" s="8" t="str">
        <f>Roster!$B$1</f>
        <v>Upton</v>
      </c>
      <c r="C379" s="8" t="str">
        <f t="shared" ca="1" si="171"/>
        <v>Midwest</v>
      </c>
      <c r="D379" s="10">
        <f t="shared" ca="1" si="172"/>
        <v>44961</v>
      </c>
      <c r="E379" s="8">
        <f t="shared" ca="1" si="173"/>
        <v>1</v>
      </c>
      <c r="F379" s="8">
        <f t="shared" ca="1" si="174"/>
        <v>0</v>
      </c>
      <c r="G379" s="8">
        <f t="shared" ca="1" si="175"/>
        <v>10</v>
      </c>
      <c r="H379" s="8">
        <f t="shared" ca="1" si="176"/>
        <v>0</v>
      </c>
      <c r="I379" s="8">
        <f t="shared" ca="1" si="177"/>
        <v>0</v>
      </c>
      <c r="J379" s="8">
        <f t="shared" ca="1" si="178"/>
        <v>1</v>
      </c>
      <c r="K379" s="8">
        <f t="shared" ca="1" si="179"/>
        <v>1</v>
      </c>
      <c r="L379" s="8">
        <f t="shared" ca="1" si="184"/>
        <v>2</v>
      </c>
      <c r="M379" s="8">
        <f t="shared" ca="1" si="185"/>
        <v>2</v>
      </c>
      <c r="N379" s="8">
        <f t="shared" ca="1" si="186"/>
        <v>1</v>
      </c>
      <c r="O379" s="8">
        <f t="shared" ca="1" si="187"/>
        <v>0</v>
      </c>
      <c r="P379" s="8">
        <f t="shared" ca="1" si="188"/>
        <v>2</v>
      </c>
      <c r="Q379" s="8">
        <f t="shared" ca="1" si="189"/>
        <v>1</v>
      </c>
      <c r="R379" s="8">
        <f t="shared" ca="1" si="190"/>
        <v>0</v>
      </c>
      <c r="S379" s="8">
        <f t="shared" ca="1" si="191"/>
        <v>0</v>
      </c>
      <c r="T379" s="8">
        <f t="shared" ca="1" si="192"/>
        <v>3</v>
      </c>
      <c r="U379" s="8">
        <f t="shared" ca="1" si="193"/>
        <v>1</v>
      </c>
      <c r="V379" s="8">
        <f t="shared" ca="1" si="194"/>
        <v>4</v>
      </c>
      <c r="W379" s="11" t="str">
        <f t="shared" ca="1" si="195"/>
        <v/>
      </c>
      <c r="X379" s="11">
        <f t="shared" ca="1" si="196"/>
        <v>1</v>
      </c>
      <c r="Y379" s="11">
        <f t="shared" ca="1" si="197"/>
        <v>1</v>
      </c>
      <c r="Z379" s="11">
        <f t="shared" ca="1" si="198"/>
        <v>1</v>
      </c>
      <c r="AA379" s="11">
        <f t="shared" ca="1" si="199"/>
        <v>1</v>
      </c>
      <c r="AB379" s="47">
        <f ca="1">PlayerGameData[[#This Row],[3FGA]]+PlayerGameData[[#This Row],[2FGA]]</f>
        <v>1</v>
      </c>
      <c r="AC379" s="47">
        <f ca="1">PlayerGameData[[#This Row],[OFF REB]]+PlayerGameData[[#This Row],[DEF REB]]</f>
        <v>1</v>
      </c>
      <c r="AD379" s="8">
        <f t="shared" si="180"/>
        <v>16</v>
      </c>
      <c r="AE379" s="8" t="str">
        <f t="shared" ca="1" si="181"/>
        <v>Ryan Baker, 35 - Midwest 2/4/2023</v>
      </c>
      <c r="AF379" s="8" t="str">
        <f t="shared" ca="1" si="200"/>
        <v>R</v>
      </c>
      <c r="AG379" s="8" t="str">
        <f ca="1">IFERROR(IF(C379=0,"",IF(AND(VLOOKUP(PlayerGameData[[#This Row],[Opponent]],WYTeamInfo,2,FALSE)=Roster!$D$1,VLOOKUP(PlayerGameData[[#This Row],[Opponent]],WYTeamInfo,3,FALSE)=Roster!$D$2),"SR","")),"")</f>
        <v>SR</v>
      </c>
      <c r="AH379" s="8" t="str">
        <f>CONCATENATE(Roster!$D$1," ",Roster!$D$5)</f>
        <v>1A BB</v>
      </c>
      <c r="AI379" s="8" t="str">
        <f t="shared" ca="1" si="182"/>
        <v>Upton - Midwest 2/4/2023</v>
      </c>
      <c r="AJ379" s="8">
        <f ca="1">IFERROR(VLOOKUP(PlayerGameData[[#This Row],[School, Opponent,Game'#]],Table3[],2,FALSE),0)</f>
        <v>1</v>
      </c>
      <c r="AK379" s="8">
        <f ca="1">IF(PlayerGameData[[#This Row],[Visible]]=1,1,1000)</f>
        <v>1</v>
      </c>
      <c r="AL379" s="8">
        <f ca="1">RANK(PlayerGameData[[#This Row],[TL PTS]],PlayerGameData[TL PTS],0)+PlayerGameData[[#This Row],[VisibleOrder]]</f>
        <v>118</v>
      </c>
      <c r="AM379" s="8">
        <f ca="1">IF(COUNTIF(PlayerGameData[PointOrder],PlayerGameData[[#This Row],[PointOrder]])&gt;1,RANK(PlayerGameData[[#This Row],[FGA]],PlayerGameData[FGA],0)/100,0)+PlayerGameData[[#This Row],[PointOrder]]</f>
        <v>119.82</v>
      </c>
      <c r="AN379" s="8">
        <f ca="1">RANK(PlayerGameData[[#This Row],[PointTieBreak]],PlayerGameData[PointTieBreak],1)</f>
        <v>133</v>
      </c>
      <c r="AO379" s="8">
        <f ca="1">RANK(PlayerGameData[[#This Row],[REB]],PlayerGameData[REB],0)+PlayerGameData[[#This Row],[VisibleOrder]]</f>
        <v>163</v>
      </c>
      <c r="AP379" s="8">
        <f ca="1">IF(COUNTIF(PlayerGameData[REBOrder],PlayerGameData[[#This Row],[REBOrder]])&gt;1,PlayerGameData[[#This Row],[PointRank]]/100+PlayerGameData[[#This Row],[REBOrder]],PlayerGameData[[#This Row],[REBOrder]])</f>
        <v>164.33</v>
      </c>
      <c r="AQ379" s="8">
        <f ca="1">RANK(PlayerGameData[[#This Row],[REBTieBreak]],PlayerGameData[REBTieBreak],1)</f>
        <v>169</v>
      </c>
      <c r="AR379" s="8">
        <f ca="1">RANK(PlayerGameData[[#This Row],[AST]],PlayerGameData[AST],0)+PlayerGameData[[#This Row],[VisibleOrder]]</f>
        <v>69</v>
      </c>
      <c r="AS379" s="8">
        <f ca="1">IF(COUNTIF(PlayerGameData[ASTOrder],PlayerGameData[[#This Row],[ASTOrder]])&gt;1,PlayerGameData[[#This Row],[PointRank]]/100+PlayerGameData[[#This Row],[ASTOrder]],PlayerGameData[[#This Row],[ASTOrder]])</f>
        <v>70.33</v>
      </c>
      <c r="AT379" s="8">
        <f ca="1">RANK(PlayerGameData[[#This Row],[ASTTieBreak]],PlayerGameData[ASTTieBreak],1)</f>
        <v>101</v>
      </c>
      <c r="AU379" s="8">
        <f ca="1">RANK(PlayerGameData[[#This Row],[STL]],PlayerGameData[STL],0)+PlayerGameData[[#This Row],[VisibleOrder]]</f>
        <v>84</v>
      </c>
      <c r="AV379" s="8">
        <f ca="1">IF(COUNTIF(PlayerGameData[STLOrder],PlayerGameData[[#This Row],[STLOrder]])&gt;1,PlayerGameData[[#This Row],[PointRank]]/100+PlayerGameData[[#This Row],[STLOrder]],PlayerGameData[[#This Row],[STLOrder]])</f>
        <v>85.33</v>
      </c>
      <c r="AW379" s="8">
        <f ca="1">RANK(PlayerGameData[[#This Row],[STLTieBreak]],PlayerGameData[STLTieBreak],1)</f>
        <v>120</v>
      </c>
      <c r="AX379" s="8">
        <f ca="1">RANK(PlayerGameData[[#This Row],[BLK]],PlayerGameData[BLK],0)+PlayerGameData[[#This Row],[VisibleOrder]]</f>
        <v>32</v>
      </c>
      <c r="AY379" s="8">
        <f ca="1">IF(COUNTIF(PlayerGameData[BLKOrder],PlayerGameData[[#This Row],[BLKOrder]])&gt;1,PlayerGameData[[#This Row],[PointRank]]/100+PlayerGameData[[#This Row],[BLKOrder]],PlayerGameData[[#This Row],[BLKOrder]])</f>
        <v>33.33</v>
      </c>
      <c r="AZ379" s="8">
        <f ca="1">RANK(PlayerGameData[[#This Row],[BLKTieBreak]],PlayerGameData[BLKTieBreak],1)</f>
        <v>137</v>
      </c>
      <c r="BA379" s="11">
        <f ca="1">IFERROR(IF(PlayerGameData[[#This Row],[FGA]]&gt;$AA$5,PlayerGameData[[#This Row],[FG%*]],PlayerGameData[[#This Row],[FG%*]]*-1),-2)</f>
        <v>-1</v>
      </c>
      <c r="BB379" s="8">
        <f ca="1">RANK(PlayerGameData[[#This Row],[EligFG]],PlayerGameData[EligFG],0)+PlayerGameData[[#This Row],[VisibleOrder]]</f>
        <v>203</v>
      </c>
      <c r="BC379" s="8">
        <f ca="1">IF(COUNTIF(PlayerGameData[EligFGOrder],PlayerGameData[[#This Row],[EligFGOrder]])&gt;1,PlayerGameData[[#This Row],[PointRank]]/100+PlayerGameData[[#This Row],[EligFGOrder]],PlayerGameData[[#This Row],[EligFGOrder]])</f>
        <v>204.33</v>
      </c>
      <c r="BD379" s="8">
        <f ca="1">RANK(PlayerGameData[[#This Row],[EligFGTieBreak]],PlayerGameData[EligFGTieBreak],1)</f>
        <v>205</v>
      </c>
      <c r="BE379" s="8" t="str">
        <f>Roster!$D$3</f>
        <v>East</v>
      </c>
      <c r="BF379" s="8" t="str">
        <f>Roster!$D$2</f>
        <v>Northeast</v>
      </c>
      <c r="BG379" s="8" t="str">
        <f>Roster!$D$4</f>
        <v>North</v>
      </c>
      <c r="BH379" s="197">
        <f ca="1">IFERROR(VLOOKUP(CONCATENATE(PlayerGameData[[#This Row],[Opponent]]," ",MONTH(PlayerGameData[[#This Row],[Date]]),"/",DAY(PlayerGameData[[#This Row],[Date]]),"/",YEAR(PlayerGameData[[#This Row],[Date]])),Table35[],2,FALSE),0)</f>
        <v>1</v>
      </c>
      <c r="BI379" s="197">
        <f ca="1">IF(PlayerGameData[[#This Row],[Visible]]=1,1,1000)</f>
        <v>1</v>
      </c>
      <c r="BJ379" s="197" t="e">
        <f ca="1">_xlfn.MAXIFS(TeamGameData[Win],TeamGameData[School, Opponent,Game'#],PlayerGameData[[#This Row],[School, Opponent,Game'#]])</f>
        <v>#NAME?</v>
      </c>
      <c r="BK379" s="197" t="e">
        <f ca="1">_xlfn.MAXIFS(TeamGameData[Loss],TeamGameData[School, Opponent,Game'#],PlayerGameData[[#This Row],[School, Opponent,Game'#]])</f>
        <v>#NAME?</v>
      </c>
    </row>
    <row r="380" spans="1:63" x14ac:dyDescent="0.25">
      <c r="A380" s="8" t="str">
        <f t="shared" ca="1" si="183"/>
        <v xml:space="preserve">, </v>
      </c>
      <c r="B380" s="8" t="str">
        <f>Roster!$B$1</f>
        <v>Upton</v>
      </c>
      <c r="C380" s="8" t="str">
        <f t="shared" ca="1" si="171"/>
        <v>Midwest</v>
      </c>
      <c r="D380" s="10">
        <f t="shared" ca="1" si="172"/>
        <v>44961</v>
      </c>
      <c r="E380" s="8">
        <f t="shared" ca="1" si="173"/>
        <v>0</v>
      </c>
      <c r="F380" s="8">
        <f t="shared" ca="1" si="174"/>
        <v>0</v>
      </c>
      <c r="G380" s="8">
        <f t="shared" ca="1" si="175"/>
        <v>0</v>
      </c>
      <c r="H380" s="8">
        <f t="shared" ca="1" si="176"/>
        <v>0</v>
      </c>
      <c r="I380" s="8">
        <f t="shared" ca="1" si="177"/>
        <v>0</v>
      </c>
      <c r="J380" s="8">
        <f t="shared" ca="1" si="178"/>
        <v>0</v>
      </c>
      <c r="K380" s="8">
        <f t="shared" ca="1" si="179"/>
        <v>0</v>
      </c>
      <c r="L380" s="8">
        <f t="shared" ca="1" si="184"/>
        <v>0</v>
      </c>
      <c r="M380" s="8">
        <f t="shared" ca="1" si="185"/>
        <v>0</v>
      </c>
      <c r="N380" s="8">
        <f t="shared" ca="1" si="186"/>
        <v>0</v>
      </c>
      <c r="O380" s="8">
        <f t="shared" ca="1" si="187"/>
        <v>0</v>
      </c>
      <c r="P380" s="8">
        <f t="shared" ca="1" si="188"/>
        <v>0</v>
      </c>
      <c r="Q380" s="8">
        <f t="shared" ca="1" si="189"/>
        <v>0</v>
      </c>
      <c r="R380" s="8">
        <f t="shared" ca="1" si="190"/>
        <v>0</v>
      </c>
      <c r="S380" s="8">
        <f t="shared" ca="1" si="191"/>
        <v>0</v>
      </c>
      <c r="T380" s="8">
        <f t="shared" ca="1" si="192"/>
        <v>0</v>
      </c>
      <c r="U380" s="8">
        <f t="shared" ca="1" si="193"/>
        <v>0</v>
      </c>
      <c r="V380" s="8">
        <f t="shared" ca="1" si="194"/>
        <v>0</v>
      </c>
      <c r="W380" s="11" t="str">
        <f t="shared" ca="1" si="195"/>
        <v/>
      </c>
      <c r="X380" s="11" t="str">
        <f t="shared" ca="1" si="196"/>
        <v/>
      </c>
      <c r="Y380" s="11" t="str">
        <f t="shared" ca="1" si="197"/>
        <v/>
      </c>
      <c r="Z380" s="11" t="str">
        <f t="shared" ca="1" si="198"/>
        <v/>
      </c>
      <c r="AA380" s="11" t="str">
        <f t="shared" ca="1" si="199"/>
        <v/>
      </c>
      <c r="AB380" s="47">
        <f ca="1">PlayerGameData[[#This Row],[3FGA]]+PlayerGameData[[#This Row],[2FGA]]</f>
        <v>0</v>
      </c>
      <c r="AC380" s="47">
        <f ca="1">PlayerGameData[[#This Row],[OFF REB]]+PlayerGameData[[#This Row],[DEF REB]]</f>
        <v>0</v>
      </c>
      <c r="AD380" s="8">
        <f t="shared" si="180"/>
        <v>16</v>
      </c>
      <c r="AE380" s="8" t="str">
        <f t="shared" ca="1" si="181"/>
        <v>,  - Midwest 2/4/2023</v>
      </c>
      <c r="AF380" s="8" t="str">
        <f t="shared" ca="1" si="200"/>
        <v>R</v>
      </c>
      <c r="AG380" s="8" t="str">
        <f ca="1">IFERROR(IF(C380=0,"",IF(AND(VLOOKUP(PlayerGameData[[#This Row],[Opponent]],WYTeamInfo,2,FALSE)=Roster!$D$1,VLOOKUP(PlayerGameData[[#This Row],[Opponent]],WYTeamInfo,3,FALSE)=Roster!$D$2),"SR","")),"")</f>
        <v>SR</v>
      </c>
      <c r="AH380" s="8" t="str">
        <f>CONCATENATE(Roster!$D$1," ",Roster!$D$5)</f>
        <v>1A BB</v>
      </c>
      <c r="AI380" s="8" t="str">
        <f t="shared" ca="1" si="182"/>
        <v>Upton - Midwest 2/4/2023</v>
      </c>
      <c r="AJ380" s="8">
        <f ca="1">IFERROR(VLOOKUP(PlayerGameData[[#This Row],[School, Opponent,Game'#]],Table3[],2,FALSE),0)</f>
        <v>1</v>
      </c>
      <c r="AK380" s="8">
        <f ca="1">IF(PlayerGameData[[#This Row],[Visible]]=1,1,1000)</f>
        <v>1</v>
      </c>
      <c r="AL380" s="8">
        <f ca="1">RANK(PlayerGameData[[#This Row],[TL PTS]],PlayerGameData[TL PTS],0)+PlayerGameData[[#This Row],[VisibleOrder]]</f>
        <v>185</v>
      </c>
      <c r="AM380" s="8">
        <f ca="1">IF(COUNTIF(PlayerGameData[PointOrder],PlayerGameData[[#This Row],[PointOrder]])&gt;1,RANK(PlayerGameData[[#This Row],[FGA]],PlayerGameData[FGA],0)/100,0)+PlayerGameData[[#This Row],[PointOrder]]</f>
        <v>187.14</v>
      </c>
      <c r="AN380" s="8">
        <f ca="1">RANK(PlayerGameData[[#This Row],[PointTieBreak]],PlayerGameData[PointTieBreak],1)</f>
        <v>216</v>
      </c>
      <c r="AO380" s="8">
        <f ca="1">RANK(PlayerGameData[[#This Row],[REB]],PlayerGameData[REB],0)+PlayerGameData[[#This Row],[VisibleOrder]]</f>
        <v>192</v>
      </c>
      <c r="AP380" s="8">
        <f ca="1">IF(COUNTIF(PlayerGameData[REBOrder],PlayerGameData[[#This Row],[REBOrder]])&gt;1,PlayerGameData[[#This Row],[PointRank]]/100+PlayerGameData[[#This Row],[REBOrder]],PlayerGameData[[#This Row],[REBOrder]])</f>
        <v>194.16</v>
      </c>
      <c r="AQ380" s="8">
        <f ca="1">RANK(PlayerGameData[[#This Row],[REBTieBreak]],PlayerGameData[REBTieBreak],1)</f>
        <v>224</v>
      </c>
      <c r="AR380" s="8">
        <f ca="1">RANK(PlayerGameData[[#This Row],[AST]],PlayerGameData[AST],0)+PlayerGameData[[#This Row],[VisibleOrder]]</f>
        <v>158</v>
      </c>
      <c r="AS380" s="8">
        <f ca="1">IF(COUNTIF(PlayerGameData[ASTOrder],PlayerGameData[[#This Row],[ASTOrder]])&gt;1,PlayerGameData[[#This Row],[PointRank]]/100+PlayerGameData[[#This Row],[ASTOrder]],PlayerGameData[[#This Row],[ASTOrder]])</f>
        <v>160.16</v>
      </c>
      <c r="AT380" s="8">
        <f ca="1">RANK(PlayerGameData[[#This Row],[ASTTieBreak]],PlayerGameData[ASTTieBreak],1)</f>
        <v>221</v>
      </c>
      <c r="AU380" s="8">
        <f ca="1">RANK(PlayerGameData[[#This Row],[STL]],PlayerGameData[STL],0)+PlayerGameData[[#This Row],[VisibleOrder]]</f>
        <v>143</v>
      </c>
      <c r="AV380" s="8">
        <f ca="1">IF(COUNTIF(PlayerGameData[STLOrder],PlayerGameData[[#This Row],[STLOrder]])&gt;1,PlayerGameData[[#This Row],[PointRank]]/100+PlayerGameData[[#This Row],[STLOrder]],PlayerGameData[[#This Row],[STLOrder]])</f>
        <v>145.16</v>
      </c>
      <c r="AW380" s="8">
        <f ca="1">RANK(PlayerGameData[[#This Row],[STLTieBreak]],PlayerGameData[STLTieBreak],1)</f>
        <v>217</v>
      </c>
      <c r="AX380" s="8">
        <f ca="1">RANK(PlayerGameData[[#This Row],[BLK]],PlayerGameData[BLK],0)+PlayerGameData[[#This Row],[VisibleOrder]]</f>
        <v>32</v>
      </c>
      <c r="AY380" s="8">
        <f ca="1">IF(COUNTIF(PlayerGameData[BLKOrder],PlayerGameData[[#This Row],[BLKOrder]])&gt;1,PlayerGameData[[#This Row],[PointRank]]/100+PlayerGameData[[#This Row],[BLKOrder]],PlayerGameData[[#This Row],[BLKOrder]])</f>
        <v>34.159999999999997</v>
      </c>
      <c r="AZ380" s="8">
        <f ca="1">RANK(PlayerGameData[[#This Row],[BLKTieBreak]],PlayerGameData[BLKTieBreak],1)</f>
        <v>216</v>
      </c>
      <c r="BA380" s="11">
        <f ca="1">IFERROR(IF(PlayerGameData[[#This Row],[FGA]]&gt;$AA$5,PlayerGameData[[#This Row],[FG%*]],PlayerGameData[[#This Row],[FG%*]]*-1),-2)</f>
        <v>-2</v>
      </c>
      <c r="BB380" s="8">
        <f ca="1">RANK(PlayerGameData[[#This Row],[EligFG]],PlayerGameData[EligFG],0)+PlayerGameData[[#This Row],[VisibleOrder]]</f>
        <v>215</v>
      </c>
      <c r="BC380" s="8">
        <f ca="1">IF(COUNTIF(PlayerGameData[EligFGOrder],PlayerGameData[[#This Row],[EligFGOrder]])&gt;1,PlayerGameData[[#This Row],[PointRank]]/100+PlayerGameData[[#This Row],[EligFGOrder]],PlayerGameData[[#This Row],[EligFGOrder]])</f>
        <v>217.16</v>
      </c>
      <c r="BD380" s="8">
        <f ca="1">RANK(PlayerGameData[[#This Row],[EligFGTieBreak]],PlayerGameData[EligFGTieBreak],1)</f>
        <v>216</v>
      </c>
      <c r="BE380" s="8" t="str">
        <f>Roster!$D$3</f>
        <v>East</v>
      </c>
      <c r="BF380" s="8" t="str">
        <f>Roster!$D$2</f>
        <v>Northeast</v>
      </c>
      <c r="BG380" s="8" t="str">
        <f>Roster!$D$4</f>
        <v>North</v>
      </c>
      <c r="BH380" s="197">
        <f ca="1">IFERROR(VLOOKUP(CONCATENATE(PlayerGameData[[#This Row],[Opponent]]," ",MONTH(PlayerGameData[[#This Row],[Date]]),"/",DAY(PlayerGameData[[#This Row],[Date]]),"/",YEAR(PlayerGameData[[#This Row],[Date]])),Table35[],2,FALSE),0)</f>
        <v>1</v>
      </c>
      <c r="BI380" s="197">
        <f ca="1">IF(PlayerGameData[[#This Row],[Visible]]=1,1,1000)</f>
        <v>1</v>
      </c>
      <c r="BJ380" s="197" t="e">
        <f ca="1">_xlfn.MAXIFS(TeamGameData[Win],TeamGameData[School, Opponent,Game'#],PlayerGameData[[#This Row],[School, Opponent,Game'#]])</f>
        <v>#NAME?</v>
      </c>
      <c r="BK380" s="197" t="e">
        <f ca="1">_xlfn.MAXIFS(TeamGameData[Loss],TeamGameData[School, Opponent,Game'#],PlayerGameData[[#This Row],[School, Opponent,Game'#]])</f>
        <v>#NAME?</v>
      </c>
    </row>
    <row r="381" spans="1:63" x14ac:dyDescent="0.25">
      <c r="A381" s="8" t="str">
        <f t="shared" ca="1" si="183"/>
        <v xml:space="preserve">, </v>
      </c>
      <c r="B381" s="8" t="str">
        <f>Roster!$B$1</f>
        <v>Upton</v>
      </c>
      <c r="C381" s="8" t="str">
        <f t="shared" ca="1" si="171"/>
        <v>Midwest</v>
      </c>
      <c r="D381" s="10">
        <f t="shared" ca="1" si="172"/>
        <v>44961</v>
      </c>
      <c r="E381" s="8">
        <f t="shared" ca="1" si="173"/>
        <v>0</v>
      </c>
      <c r="F381" s="8">
        <f t="shared" ca="1" si="174"/>
        <v>0</v>
      </c>
      <c r="G381" s="8">
        <f t="shared" ca="1" si="175"/>
        <v>0</v>
      </c>
      <c r="H381" s="8">
        <f t="shared" ca="1" si="176"/>
        <v>0</v>
      </c>
      <c r="I381" s="8">
        <f t="shared" ca="1" si="177"/>
        <v>0</v>
      </c>
      <c r="J381" s="8">
        <f t="shared" ca="1" si="178"/>
        <v>0</v>
      </c>
      <c r="K381" s="8">
        <f t="shared" ca="1" si="179"/>
        <v>0</v>
      </c>
      <c r="L381" s="8">
        <f t="shared" ca="1" si="184"/>
        <v>0</v>
      </c>
      <c r="M381" s="8">
        <f t="shared" ca="1" si="185"/>
        <v>0</v>
      </c>
      <c r="N381" s="8">
        <f t="shared" ca="1" si="186"/>
        <v>0</v>
      </c>
      <c r="O381" s="8">
        <f t="shared" ca="1" si="187"/>
        <v>0</v>
      </c>
      <c r="P381" s="8">
        <f t="shared" ca="1" si="188"/>
        <v>0</v>
      </c>
      <c r="Q381" s="8">
        <f t="shared" ca="1" si="189"/>
        <v>0</v>
      </c>
      <c r="R381" s="8">
        <f t="shared" ca="1" si="190"/>
        <v>0</v>
      </c>
      <c r="S381" s="8">
        <f t="shared" ca="1" si="191"/>
        <v>0</v>
      </c>
      <c r="T381" s="8">
        <f t="shared" ca="1" si="192"/>
        <v>0</v>
      </c>
      <c r="U381" s="8">
        <f t="shared" ca="1" si="193"/>
        <v>0</v>
      </c>
      <c r="V381" s="8">
        <f t="shared" ca="1" si="194"/>
        <v>0</v>
      </c>
      <c r="W381" s="11" t="str">
        <f t="shared" ca="1" si="195"/>
        <v/>
      </c>
      <c r="X381" s="11" t="str">
        <f t="shared" ca="1" si="196"/>
        <v/>
      </c>
      <c r="Y381" s="11" t="str">
        <f t="shared" ca="1" si="197"/>
        <v/>
      </c>
      <c r="Z381" s="11" t="str">
        <f t="shared" ca="1" si="198"/>
        <v/>
      </c>
      <c r="AA381" s="11" t="str">
        <f t="shared" ca="1" si="199"/>
        <v/>
      </c>
      <c r="AB381" s="47">
        <f ca="1">PlayerGameData[[#This Row],[3FGA]]+PlayerGameData[[#This Row],[2FGA]]</f>
        <v>0</v>
      </c>
      <c r="AC381" s="47">
        <f ca="1">PlayerGameData[[#This Row],[OFF REB]]+PlayerGameData[[#This Row],[DEF REB]]</f>
        <v>0</v>
      </c>
      <c r="AD381" s="8">
        <f t="shared" si="180"/>
        <v>16</v>
      </c>
      <c r="AE381" s="8" t="str">
        <f t="shared" ca="1" si="181"/>
        <v>,  - Midwest 2/4/2023</v>
      </c>
      <c r="AF381" s="8" t="str">
        <f t="shared" ca="1" si="200"/>
        <v>R</v>
      </c>
      <c r="AG381" s="8" t="str">
        <f ca="1">IFERROR(IF(C381=0,"",IF(AND(VLOOKUP(PlayerGameData[[#This Row],[Opponent]],WYTeamInfo,2,FALSE)=Roster!$D$1,VLOOKUP(PlayerGameData[[#This Row],[Opponent]],WYTeamInfo,3,FALSE)=Roster!$D$2),"SR","")),"")</f>
        <v>SR</v>
      </c>
      <c r="AH381" s="8" t="str">
        <f>CONCATENATE(Roster!$D$1," ",Roster!$D$5)</f>
        <v>1A BB</v>
      </c>
      <c r="AI381" s="8" t="str">
        <f t="shared" ca="1" si="182"/>
        <v>Upton - Midwest 2/4/2023</v>
      </c>
      <c r="AJ381" s="8">
        <f ca="1">IFERROR(VLOOKUP(PlayerGameData[[#This Row],[School, Opponent,Game'#]],Table3[],2,FALSE),0)</f>
        <v>1</v>
      </c>
      <c r="AK381" s="8">
        <f ca="1">IF(PlayerGameData[[#This Row],[Visible]]=1,1,1000)</f>
        <v>1</v>
      </c>
      <c r="AL381" s="8">
        <f ca="1">RANK(PlayerGameData[[#This Row],[TL PTS]],PlayerGameData[TL PTS],0)+PlayerGameData[[#This Row],[VisibleOrder]]</f>
        <v>185</v>
      </c>
      <c r="AM381" s="8">
        <f ca="1">IF(COUNTIF(PlayerGameData[PointOrder],PlayerGameData[[#This Row],[PointOrder]])&gt;1,RANK(PlayerGameData[[#This Row],[FGA]],PlayerGameData[FGA],0)/100,0)+PlayerGameData[[#This Row],[PointOrder]]</f>
        <v>187.14</v>
      </c>
      <c r="AN381" s="8">
        <f ca="1">RANK(PlayerGameData[[#This Row],[PointTieBreak]],PlayerGameData[PointTieBreak],1)</f>
        <v>216</v>
      </c>
      <c r="AO381" s="8">
        <f ca="1">RANK(PlayerGameData[[#This Row],[REB]],PlayerGameData[REB],0)+PlayerGameData[[#This Row],[VisibleOrder]]</f>
        <v>192</v>
      </c>
      <c r="AP381" s="8">
        <f ca="1">IF(COUNTIF(PlayerGameData[REBOrder],PlayerGameData[[#This Row],[REBOrder]])&gt;1,PlayerGameData[[#This Row],[PointRank]]/100+PlayerGameData[[#This Row],[REBOrder]],PlayerGameData[[#This Row],[REBOrder]])</f>
        <v>194.16</v>
      </c>
      <c r="AQ381" s="8">
        <f ca="1">RANK(PlayerGameData[[#This Row],[REBTieBreak]],PlayerGameData[REBTieBreak],1)</f>
        <v>224</v>
      </c>
      <c r="AR381" s="8">
        <f ca="1">RANK(PlayerGameData[[#This Row],[AST]],PlayerGameData[AST],0)+PlayerGameData[[#This Row],[VisibleOrder]]</f>
        <v>158</v>
      </c>
      <c r="AS381" s="8">
        <f ca="1">IF(COUNTIF(PlayerGameData[ASTOrder],PlayerGameData[[#This Row],[ASTOrder]])&gt;1,PlayerGameData[[#This Row],[PointRank]]/100+PlayerGameData[[#This Row],[ASTOrder]],PlayerGameData[[#This Row],[ASTOrder]])</f>
        <v>160.16</v>
      </c>
      <c r="AT381" s="8">
        <f ca="1">RANK(PlayerGameData[[#This Row],[ASTTieBreak]],PlayerGameData[ASTTieBreak],1)</f>
        <v>221</v>
      </c>
      <c r="AU381" s="8">
        <f ca="1">RANK(PlayerGameData[[#This Row],[STL]],PlayerGameData[STL],0)+PlayerGameData[[#This Row],[VisibleOrder]]</f>
        <v>143</v>
      </c>
      <c r="AV381" s="8">
        <f ca="1">IF(COUNTIF(PlayerGameData[STLOrder],PlayerGameData[[#This Row],[STLOrder]])&gt;1,PlayerGameData[[#This Row],[PointRank]]/100+PlayerGameData[[#This Row],[STLOrder]],PlayerGameData[[#This Row],[STLOrder]])</f>
        <v>145.16</v>
      </c>
      <c r="AW381" s="8">
        <f ca="1">RANK(PlayerGameData[[#This Row],[STLTieBreak]],PlayerGameData[STLTieBreak],1)</f>
        <v>217</v>
      </c>
      <c r="AX381" s="8">
        <f ca="1">RANK(PlayerGameData[[#This Row],[BLK]],PlayerGameData[BLK],0)+PlayerGameData[[#This Row],[VisibleOrder]]</f>
        <v>32</v>
      </c>
      <c r="AY381" s="8">
        <f ca="1">IF(COUNTIF(PlayerGameData[BLKOrder],PlayerGameData[[#This Row],[BLKOrder]])&gt;1,PlayerGameData[[#This Row],[PointRank]]/100+PlayerGameData[[#This Row],[BLKOrder]],PlayerGameData[[#This Row],[BLKOrder]])</f>
        <v>34.159999999999997</v>
      </c>
      <c r="AZ381" s="8">
        <f ca="1">RANK(PlayerGameData[[#This Row],[BLKTieBreak]],PlayerGameData[BLKTieBreak],1)</f>
        <v>216</v>
      </c>
      <c r="BA381" s="11">
        <f ca="1">IFERROR(IF(PlayerGameData[[#This Row],[FGA]]&gt;$AA$5,PlayerGameData[[#This Row],[FG%*]],PlayerGameData[[#This Row],[FG%*]]*-1),-2)</f>
        <v>-2</v>
      </c>
      <c r="BB381" s="8">
        <f ca="1">RANK(PlayerGameData[[#This Row],[EligFG]],PlayerGameData[EligFG],0)+PlayerGameData[[#This Row],[VisibleOrder]]</f>
        <v>215</v>
      </c>
      <c r="BC381" s="8">
        <f ca="1">IF(COUNTIF(PlayerGameData[EligFGOrder],PlayerGameData[[#This Row],[EligFGOrder]])&gt;1,PlayerGameData[[#This Row],[PointRank]]/100+PlayerGameData[[#This Row],[EligFGOrder]],PlayerGameData[[#This Row],[EligFGOrder]])</f>
        <v>217.16</v>
      </c>
      <c r="BD381" s="8">
        <f ca="1">RANK(PlayerGameData[[#This Row],[EligFGTieBreak]],PlayerGameData[EligFGTieBreak],1)</f>
        <v>216</v>
      </c>
      <c r="BE381" s="8" t="str">
        <f>Roster!$D$3</f>
        <v>East</v>
      </c>
      <c r="BF381" s="8" t="str">
        <f>Roster!$D$2</f>
        <v>Northeast</v>
      </c>
      <c r="BG381" s="8" t="str">
        <f>Roster!$D$4</f>
        <v>North</v>
      </c>
      <c r="BH381" s="197">
        <f ca="1">IFERROR(VLOOKUP(CONCATENATE(PlayerGameData[[#This Row],[Opponent]]," ",MONTH(PlayerGameData[[#This Row],[Date]]),"/",DAY(PlayerGameData[[#This Row],[Date]]),"/",YEAR(PlayerGameData[[#This Row],[Date]])),Table35[],2,FALSE),0)</f>
        <v>1</v>
      </c>
      <c r="BI381" s="197">
        <f ca="1">IF(PlayerGameData[[#This Row],[Visible]]=1,1,1000)</f>
        <v>1</v>
      </c>
      <c r="BJ381" s="197" t="e">
        <f ca="1">_xlfn.MAXIFS(TeamGameData[Win],TeamGameData[School, Opponent,Game'#],PlayerGameData[[#This Row],[School, Opponent,Game'#]])</f>
        <v>#NAME?</v>
      </c>
      <c r="BK381" s="197" t="e">
        <f ca="1">_xlfn.MAXIFS(TeamGameData[Loss],TeamGameData[School, Opponent,Game'#],PlayerGameData[[#This Row],[School, Opponent,Game'#]])</f>
        <v>#NAME?</v>
      </c>
    </row>
    <row r="382" spans="1:63" x14ac:dyDescent="0.25">
      <c r="A382" s="8" t="str">
        <f t="shared" ca="1" si="183"/>
        <v xml:space="preserve">, </v>
      </c>
      <c r="B382" s="8" t="str">
        <f>Roster!$B$1</f>
        <v>Upton</v>
      </c>
      <c r="C382" s="8" t="str">
        <f t="shared" ca="1" si="171"/>
        <v>Midwest</v>
      </c>
      <c r="D382" s="10">
        <f t="shared" ca="1" si="172"/>
        <v>44961</v>
      </c>
      <c r="E382" s="8">
        <f t="shared" ca="1" si="173"/>
        <v>0</v>
      </c>
      <c r="F382" s="8">
        <f t="shared" ca="1" si="174"/>
        <v>0</v>
      </c>
      <c r="G382" s="8">
        <f t="shared" ca="1" si="175"/>
        <v>0</v>
      </c>
      <c r="H382" s="8">
        <f t="shared" ca="1" si="176"/>
        <v>0</v>
      </c>
      <c r="I382" s="8">
        <f t="shared" ca="1" si="177"/>
        <v>0</v>
      </c>
      <c r="J382" s="8">
        <f t="shared" ca="1" si="178"/>
        <v>0</v>
      </c>
      <c r="K382" s="8">
        <f t="shared" ca="1" si="179"/>
        <v>0</v>
      </c>
      <c r="L382" s="8">
        <f t="shared" ca="1" si="184"/>
        <v>0</v>
      </c>
      <c r="M382" s="8">
        <f t="shared" ca="1" si="185"/>
        <v>0</v>
      </c>
      <c r="N382" s="8">
        <f t="shared" ca="1" si="186"/>
        <v>0</v>
      </c>
      <c r="O382" s="8">
        <f t="shared" ca="1" si="187"/>
        <v>0</v>
      </c>
      <c r="P382" s="8">
        <f t="shared" ca="1" si="188"/>
        <v>0</v>
      </c>
      <c r="Q382" s="8">
        <f t="shared" ca="1" si="189"/>
        <v>0</v>
      </c>
      <c r="R382" s="8">
        <f t="shared" ca="1" si="190"/>
        <v>0</v>
      </c>
      <c r="S382" s="8">
        <f t="shared" ca="1" si="191"/>
        <v>0</v>
      </c>
      <c r="T382" s="8">
        <f t="shared" ca="1" si="192"/>
        <v>0</v>
      </c>
      <c r="U382" s="8">
        <f t="shared" ca="1" si="193"/>
        <v>0</v>
      </c>
      <c r="V382" s="8">
        <f t="shared" ca="1" si="194"/>
        <v>0</v>
      </c>
      <c r="W382" s="11" t="str">
        <f t="shared" ca="1" si="195"/>
        <v/>
      </c>
      <c r="X382" s="11" t="str">
        <f t="shared" ca="1" si="196"/>
        <v/>
      </c>
      <c r="Y382" s="11" t="str">
        <f t="shared" ca="1" si="197"/>
        <v/>
      </c>
      <c r="Z382" s="11" t="str">
        <f t="shared" ca="1" si="198"/>
        <v/>
      </c>
      <c r="AA382" s="11" t="str">
        <f t="shared" ca="1" si="199"/>
        <v/>
      </c>
      <c r="AB382" s="47">
        <f ca="1">PlayerGameData[[#This Row],[3FGA]]+PlayerGameData[[#This Row],[2FGA]]</f>
        <v>0</v>
      </c>
      <c r="AC382" s="47">
        <f ca="1">PlayerGameData[[#This Row],[OFF REB]]+PlayerGameData[[#This Row],[DEF REB]]</f>
        <v>0</v>
      </c>
      <c r="AD382" s="8">
        <f t="shared" si="180"/>
        <v>16</v>
      </c>
      <c r="AE382" s="8" t="str">
        <f t="shared" ca="1" si="181"/>
        <v>,  - Midwest 2/4/2023</v>
      </c>
      <c r="AF382" s="8" t="str">
        <f t="shared" ca="1" si="200"/>
        <v>R</v>
      </c>
      <c r="AG382" s="8" t="str">
        <f ca="1">IFERROR(IF(C382=0,"",IF(AND(VLOOKUP(PlayerGameData[[#This Row],[Opponent]],WYTeamInfo,2,FALSE)=Roster!$D$1,VLOOKUP(PlayerGameData[[#This Row],[Opponent]],WYTeamInfo,3,FALSE)=Roster!$D$2),"SR","")),"")</f>
        <v>SR</v>
      </c>
      <c r="AH382" s="8" t="str">
        <f>CONCATENATE(Roster!$D$1," ",Roster!$D$5)</f>
        <v>1A BB</v>
      </c>
      <c r="AI382" s="8" t="str">
        <f t="shared" ca="1" si="182"/>
        <v>Upton - Midwest 2/4/2023</v>
      </c>
      <c r="AJ382" s="8">
        <f ca="1">IFERROR(VLOOKUP(PlayerGameData[[#This Row],[School, Opponent,Game'#]],Table3[],2,FALSE),0)</f>
        <v>1</v>
      </c>
      <c r="AK382" s="8">
        <f ca="1">IF(PlayerGameData[[#This Row],[Visible]]=1,1,1000)</f>
        <v>1</v>
      </c>
      <c r="AL382" s="8">
        <f ca="1">RANK(PlayerGameData[[#This Row],[TL PTS]],PlayerGameData[TL PTS],0)+PlayerGameData[[#This Row],[VisibleOrder]]</f>
        <v>185</v>
      </c>
      <c r="AM382" s="8">
        <f ca="1">IF(COUNTIF(PlayerGameData[PointOrder],PlayerGameData[[#This Row],[PointOrder]])&gt;1,RANK(PlayerGameData[[#This Row],[FGA]],PlayerGameData[FGA],0)/100,0)+PlayerGameData[[#This Row],[PointOrder]]</f>
        <v>187.14</v>
      </c>
      <c r="AN382" s="8">
        <f ca="1">RANK(PlayerGameData[[#This Row],[PointTieBreak]],PlayerGameData[PointTieBreak],1)</f>
        <v>216</v>
      </c>
      <c r="AO382" s="8">
        <f ca="1">RANK(PlayerGameData[[#This Row],[REB]],PlayerGameData[REB],0)+PlayerGameData[[#This Row],[VisibleOrder]]</f>
        <v>192</v>
      </c>
      <c r="AP382" s="8">
        <f ca="1">IF(COUNTIF(PlayerGameData[REBOrder],PlayerGameData[[#This Row],[REBOrder]])&gt;1,PlayerGameData[[#This Row],[PointRank]]/100+PlayerGameData[[#This Row],[REBOrder]],PlayerGameData[[#This Row],[REBOrder]])</f>
        <v>194.16</v>
      </c>
      <c r="AQ382" s="8">
        <f ca="1">RANK(PlayerGameData[[#This Row],[REBTieBreak]],PlayerGameData[REBTieBreak],1)</f>
        <v>224</v>
      </c>
      <c r="AR382" s="8">
        <f ca="1">RANK(PlayerGameData[[#This Row],[AST]],PlayerGameData[AST],0)+PlayerGameData[[#This Row],[VisibleOrder]]</f>
        <v>158</v>
      </c>
      <c r="AS382" s="8">
        <f ca="1">IF(COUNTIF(PlayerGameData[ASTOrder],PlayerGameData[[#This Row],[ASTOrder]])&gt;1,PlayerGameData[[#This Row],[PointRank]]/100+PlayerGameData[[#This Row],[ASTOrder]],PlayerGameData[[#This Row],[ASTOrder]])</f>
        <v>160.16</v>
      </c>
      <c r="AT382" s="8">
        <f ca="1">RANK(PlayerGameData[[#This Row],[ASTTieBreak]],PlayerGameData[ASTTieBreak],1)</f>
        <v>221</v>
      </c>
      <c r="AU382" s="8">
        <f ca="1">RANK(PlayerGameData[[#This Row],[STL]],PlayerGameData[STL],0)+PlayerGameData[[#This Row],[VisibleOrder]]</f>
        <v>143</v>
      </c>
      <c r="AV382" s="8">
        <f ca="1">IF(COUNTIF(PlayerGameData[STLOrder],PlayerGameData[[#This Row],[STLOrder]])&gt;1,PlayerGameData[[#This Row],[PointRank]]/100+PlayerGameData[[#This Row],[STLOrder]],PlayerGameData[[#This Row],[STLOrder]])</f>
        <v>145.16</v>
      </c>
      <c r="AW382" s="8">
        <f ca="1">RANK(PlayerGameData[[#This Row],[STLTieBreak]],PlayerGameData[STLTieBreak],1)</f>
        <v>217</v>
      </c>
      <c r="AX382" s="8">
        <f ca="1">RANK(PlayerGameData[[#This Row],[BLK]],PlayerGameData[BLK],0)+PlayerGameData[[#This Row],[VisibleOrder]]</f>
        <v>32</v>
      </c>
      <c r="AY382" s="8">
        <f ca="1">IF(COUNTIF(PlayerGameData[BLKOrder],PlayerGameData[[#This Row],[BLKOrder]])&gt;1,PlayerGameData[[#This Row],[PointRank]]/100+PlayerGameData[[#This Row],[BLKOrder]],PlayerGameData[[#This Row],[BLKOrder]])</f>
        <v>34.159999999999997</v>
      </c>
      <c r="AZ382" s="8">
        <f ca="1">RANK(PlayerGameData[[#This Row],[BLKTieBreak]],PlayerGameData[BLKTieBreak],1)</f>
        <v>216</v>
      </c>
      <c r="BA382" s="11">
        <f ca="1">IFERROR(IF(PlayerGameData[[#This Row],[FGA]]&gt;$AA$5,PlayerGameData[[#This Row],[FG%*]],PlayerGameData[[#This Row],[FG%*]]*-1),-2)</f>
        <v>-2</v>
      </c>
      <c r="BB382" s="8">
        <f ca="1">RANK(PlayerGameData[[#This Row],[EligFG]],PlayerGameData[EligFG],0)+PlayerGameData[[#This Row],[VisibleOrder]]</f>
        <v>215</v>
      </c>
      <c r="BC382" s="8">
        <f ca="1">IF(COUNTIF(PlayerGameData[EligFGOrder],PlayerGameData[[#This Row],[EligFGOrder]])&gt;1,PlayerGameData[[#This Row],[PointRank]]/100+PlayerGameData[[#This Row],[EligFGOrder]],PlayerGameData[[#This Row],[EligFGOrder]])</f>
        <v>217.16</v>
      </c>
      <c r="BD382" s="8">
        <f ca="1">RANK(PlayerGameData[[#This Row],[EligFGTieBreak]],PlayerGameData[EligFGTieBreak],1)</f>
        <v>216</v>
      </c>
      <c r="BE382" s="8" t="str">
        <f>Roster!$D$3</f>
        <v>East</v>
      </c>
      <c r="BF382" s="8" t="str">
        <f>Roster!$D$2</f>
        <v>Northeast</v>
      </c>
      <c r="BG382" s="8" t="str">
        <f>Roster!$D$4</f>
        <v>North</v>
      </c>
      <c r="BH382" s="197">
        <f ca="1">IFERROR(VLOOKUP(CONCATENATE(PlayerGameData[[#This Row],[Opponent]]," ",MONTH(PlayerGameData[[#This Row],[Date]]),"/",DAY(PlayerGameData[[#This Row],[Date]]),"/",YEAR(PlayerGameData[[#This Row],[Date]])),Table35[],2,FALSE),0)</f>
        <v>1</v>
      </c>
      <c r="BI382" s="197">
        <f ca="1">IF(PlayerGameData[[#This Row],[Visible]]=1,1,1000)</f>
        <v>1</v>
      </c>
      <c r="BJ382" s="197" t="e">
        <f ca="1">_xlfn.MAXIFS(TeamGameData[Win],TeamGameData[School, Opponent,Game'#],PlayerGameData[[#This Row],[School, Opponent,Game'#]])</f>
        <v>#NAME?</v>
      </c>
      <c r="BK382" s="197" t="e">
        <f ca="1">_xlfn.MAXIFS(TeamGameData[Loss],TeamGameData[School, Opponent,Game'#],PlayerGameData[[#This Row],[School, Opponent,Game'#]])</f>
        <v>#NAME?</v>
      </c>
    </row>
    <row r="383" spans="1:63" x14ac:dyDescent="0.25">
      <c r="A383" s="8" t="str">
        <f t="shared" ca="1" si="183"/>
        <v xml:space="preserve">, </v>
      </c>
      <c r="B383" s="8" t="str">
        <f>Roster!$B$1</f>
        <v>Upton</v>
      </c>
      <c r="C383" s="8" t="str">
        <f t="shared" ca="1" si="171"/>
        <v>Midwest</v>
      </c>
      <c r="D383" s="10">
        <f t="shared" ca="1" si="172"/>
        <v>44961</v>
      </c>
      <c r="E383" s="8">
        <f t="shared" ca="1" si="173"/>
        <v>0</v>
      </c>
      <c r="F383" s="8">
        <f t="shared" ca="1" si="174"/>
        <v>0</v>
      </c>
      <c r="G383" s="8">
        <f t="shared" ca="1" si="175"/>
        <v>0</v>
      </c>
      <c r="H383" s="8">
        <f t="shared" ca="1" si="176"/>
        <v>0</v>
      </c>
      <c r="I383" s="8">
        <f t="shared" ca="1" si="177"/>
        <v>0</v>
      </c>
      <c r="J383" s="8">
        <f t="shared" ca="1" si="178"/>
        <v>0</v>
      </c>
      <c r="K383" s="8">
        <f t="shared" ca="1" si="179"/>
        <v>0</v>
      </c>
      <c r="L383" s="8">
        <f t="shared" ca="1" si="184"/>
        <v>0</v>
      </c>
      <c r="M383" s="8">
        <f t="shared" ca="1" si="185"/>
        <v>0</v>
      </c>
      <c r="N383" s="8">
        <f t="shared" ca="1" si="186"/>
        <v>0</v>
      </c>
      <c r="O383" s="8">
        <f t="shared" ca="1" si="187"/>
        <v>0</v>
      </c>
      <c r="P383" s="8">
        <f t="shared" ca="1" si="188"/>
        <v>0</v>
      </c>
      <c r="Q383" s="8">
        <f t="shared" ca="1" si="189"/>
        <v>0</v>
      </c>
      <c r="R383" s="8">
        <f t="shared" ca="1" si="190"/>
        <v>0</v>
      </c>
      <c r="S383" s="8">
        <f t="shared" ca="1" si="191"/>
        <v>0</v>
      </c>
      <c r="T383" s="8">
        <f t="shared" ca="1" si="192"/>
        <v>0</v>
      </c>
      <c r="U383" s="8">
        <f t="shared" ca="1" si="193"/>
        <v>0</v>
      </c>
      <c r="V383" s="8">
        <f t="shared" ca="1" si="194"/>
        <v>0</v>
      </c>
      <c r="W383" s="11" t="str">
        <f t="shared" ca="1" si="195"/>
        <v/>
      </c>
      <c r="X383" s="11" t="str">
        <f t="shared" ca="1" si="196"/>
        <v/>
      </c>
      <c r="Y383" s="11" t="str">
        <f t="shared" ca="1" si="197"/>
        <v/>
      </c>
      <c r="Z383" s="11" t="str">
        <f t="shared" ca="1" si="198"/>
        <v/>
      </c>
      <c r="AA383" s="11" t="str">
        <f t="shared" ca="1" si="199"/>
        <v/>
      </c>
      <c r="AB383" s="47">
        <f ca="1">PlayerGameData[[#This Row],[3FGA]]+PlayerGameData[[#This Row],[2FGA]]</f>
        <v>0</v>
      </c>
      <c r="AC383" s="47">
        <f ca="1">PlayerGameData[[#This Row],[OFF REB]]+PlayerGameData[[#This Row],[DEF REB]]</f>
        <v>0</v>
      </c>
      <c r="AD383" s="8">
        <f t="shared" si="180"/>
        <v>16</v>
      </c>
      <c r="AE383" s="8" t="str">
        <f t="shared" ca="1" si="181"/>
        <v>,  - Midwest 2/4/2023</v>
      </c>
      <c r="AF383" s="8" t="str">
        <f t="shared" ca="1" si="200"/>
        <v>R</v>
      </c>
      <c r="AG383" s="8" t="str">
        <f ca="1">IFERROR(IF(C383=0,"",IF(AND(VLOOKUP(PlayerGameData[[#This Row],[Opponent]],WYTeamInfo,2,FALSE)=Roster!$D$1,VLOOKUP(PlayerGameData[[#This Row],[Opponent]],WYTeamInfo,3,FALSE)=Roster!$D$2),"SR","")),"")</f>
        <v>SR</v>
      </c>
      <c r="AH383" s="8" t="str">
        <f>CONCATENATE(Roster!$D$1," ",Roster!$D$5)</f>
        <v>1A BB</v>
      </c>
      <c r="AI383" s="8" t="str">
        <f t="shared" ca="1" si="182"/>
        <v>Upton - Midwest 2/4/2023</v>
      </c>
      <c r="AJ383" s="8">
        <f ca="1">IFERROR(VLOOKUP(PlayerGameData[[#This Row],[School, Opponent,Game'#]],Table3[],2,FALSE),0)</f>
        <v>1</v>
      </c>
      <c r="AK383" s="8">
        <f ca="1">IF(PlayerGameData[[#This Row],[Visible]]=1,1,1000)</f>
        <v>1</v>
      </c>
      <c r="AL383" s="8">
        <f ca="1">RANK(PlayerGameData[[#This Row],[TL PTS]],PlayerGameData[TL PTS],0)+PlayerGameData[[#This Row],[VisibleOrder]]</f>
        <v>185</v>
      </c>
      <c r="AM383" s="8">
        <f ca="1">IF(COUNTIF(PlayerGameData[PointOrder],PlayerGameData[[#This Row],[PointOrder]])&gt;1,RANK(PlayerGameData[[#This Row],[FGA]],PlayerGameData[FGA],0)/100,0)+PlayerGameData[[#This Row],[PointOrder]]</f>
        <v>187.14</v>
      </c>
      <c r="AN383" s="8">
        <f ca="1">RANK(PlayerGameData[[#This Row],[PointTieBreak]],PlayerGameData[PointTieBreak],1)</f>
        <v>216</v>
      </c>
      <c r="AO383" s="8">
        <f ca="1">RANK(PlayerGameData[[#This Row],[REB]],PlayerGameData[REB],0)+PlayerGameData[[#This Row],[VisibleOrder]]</f>
        <v>192</v>
      </c>
      <c r="AP383" s="8">
        <f ca="1">IF(COUNTIF(PlayerGameData[REBOrder],PlayerGameData[[#This Row],[REBOrder]])&gt;1,PlayerGameData[[#This Row],[PointRank]]/100+PlayerGameData[[#This Row],[REBOrder]],PlayerGameData[[#This Row],[REBOrder]])</f>
        <v>194.16</v>
      </c>
      <c r="AQ383" s="8">
        <f ca="1">RANK(PlayerGameData[[#This Row],[REBTieBreak]],PlayerGameData[REBTieBreak],1)</f>
        <v>224</v>
      </c>
      <c r="AR383" s="8">
        <f ca="1">RANK(PlayerGameData[[#This Row],[AST]],PlayerGameData[AST],0)+PlayerGameData[[#This Row],[VisibleOrder]]</f>
        <v>158</v>
      </c>
      <c r="AS383" s="8">
        <f ca="1">IF(COUNTIF(PlayerGameData[ASTOrder],PlayerGameData[[#This Row],[ASTOrder]])&gt;1,PlayerGameData[[#This Row],[PointRank]]/100+PlayerGameData[[#This Row],[ASTOrder]],PlayerGameData[[#This Row],[ASTOrder]])</f>
        <v>160.16</v>
      </c>
      <c r="AT383" s="8">
        <f ca="1">RANK(PlayerGameData[[#This Row],[ASTTieBreak]],PlayerGameData[ASTTieBreak],1)</f>
        <v>221</v>
      </c>
      <c r="AU383" s="8">
        <f ca="1">RANK(PlayerGameData[[#This Row],[STL]],PlayerGameData[STL],0)+PlayerGameData[[#This Row],[VisibleOrder]]</f>
        <v>143</v>
      </c>
      <c r="AV383" s="8">
        <f ca="1">IF(COUNTIF(PlayerGameData[STLOrder],PlayerGameData[[#This Row],[STLOrder]])&gt;1,PlayerGameData[[#This Row],[PointRank]]/100+PlayerGameData[[#This Row],[STLOrder]],PlayerGameData[[#This Row],[STLOrder]])</f>
        <v>145.16</v>
      </c>
      <c r="AW383" s="8">
        <f ca="1">RANK(PlayerGameData[[#This Row],[STLTieBreak]],PlayerGameData[STLTieBreak],1)</f>
        <v>217</v>
      </c>
      <c r="AX383" s="8">
        <f ca="1">RANK(PlayerGameData[[#This Row],[BLK]],PlayerGameData[BLK],0)+PlayerGameData[[#This Row],[VisibleOrder]]</f>
        <v>32</v>
      </c>
      <c r="AY383" s="8">
        <f ca="1">IF(COUNTIF(PlayerGameData[BLKOrder],PlayerGameData[[#This Row],[BLKOrder]])&gt;1,PlayerGameData[[#This Row],[PointRank]]/100+PlayerGameData[[#This Row],[BLKOrder]],PlayerGameData[[#This Row],[BLKOrder]])</f>
        <v>34.159999999999997</v>
      </c>
      <c r="AZ383" s="8">
        <f ca="1">RANK(PlayerGameData[[#This Row],[BLKTieBreak]],PlayerGameData[BLKTieBreak],1)</f>
        <v>216</v>
      </c>
      <c r="BA383" s="11">
        <f ca="1">IFERROR(IF(PlayerGameData[[#This Row],[FGA]]&gt;$AA$5,PlayerGameData[[#This Row],[FG%*]],PlayerGameData[[#This Row],[FG%*]]*-1),-2)</f>
        <v>-2</v>
      </c>
      <c r="BB383" s="8">
        <f ca="1">RANK(PlayerGameData[[#This Row],[EligFG]],PlayerGameData[EligFG],0)+PlayerGameData[[#This Row],[VisibleOrder]]</f>
        <v>215</v>
      </c>
      <c r="BC383" s="8">
        <f ca="1">IF(COUNTIF(PlayerGameData[EligFGOrder],PlayerGameData[[#This Row],[EligFGOrder]])&gt;1,PlayerGameData[[#This Row],[PointRank]]/100+PlayerGameData[[#This Row],[EligFGOrder]],PlayerGameData[[#This Row],[EligFGOrder]])</f>
        <v>217.16</v>
      </c>
      <c r="BD383" s="8">
        <f ca="1">RANK(PlayerGameData[[#This Row],[EligFGTieBreak]],PlayerGameData[EligFGTieBreak],1)</f>
        <v>216</v>
      </c>
      <c r="BE383" s="8" t="str">
        <f>Roster!$D$3</f>
        <v>East</v>
      </c>
      <c r="BF383" s="8" t="str">
        <f>Roster!$D$2</f>
        <v>Northeast</v>
      </c>
      <c r="BG383" s="8" t="str">
        <f>Roster!$D$4</f>
        <v>North</v>
      </c>
      <c r="BH383" s="197">
        <f ca="1">IFERROR(VLOOKUP(CONCATENATE(PlayerGameData[[#This Row],[Opponent]]," ",MONTH(PlayerGameData[[#This Row],[Date]]),"/",DAY(PlayerGameData[[#This Row],[Date]]),"/",YEAR(PlayerGameData[[#This Row],[Date]])),Table35[],2,FALSE),0)</f>
        <v>1</v>
      </c>
      <c r="BI383" s="197">
        <f ca="1">IF(PlayerGameData[[#This Row],[Visible]]=1,1,1000)</f>
        <v>1</v>
      </c>
      <c r="BJ383" s="197" t="e">
        <f ca="1">_xlfn.MAXIFS(TeamGameData[Win],TeamGameData[School, Opponent,Game'#],PlayerGameData[[#This Row],[School, Opponent,Game'#]])</f>
        <v>#NAME?</v>
      </c>
      <c r="BK383" s="197" t="e">
        <f ca="1">_xlfn.MAXIFS(TeamGameData[Loss],TeamGameData[School, Opponent,Game'#],PlayerGameData[[#This Row],[School, Opponent,Game'#]])</f>
        <v>#NAME?</v>
      </c>
    </row>
    <row r="384" spans="1:63" x14ac:dyDescent="0.25">
      <c r="A384" s="8" t="str">
        <f t="shared" ca="1" si="183"/>
        <v xml:space="preserve">, </v>
      </c>
      <c r="B384" s="8" t="str">
        <f>Roster!$B$1</f>
        <v>Upton</v>
      </c>
      <c r="C384" s="8" t="str">
        <f t="shared" ca="1" si="171"/>
        <v>Midwest</v>
      </c>
      <c r="D384" s="10">
        <f t="shared" ca="1" si="172"/>
        <v>44961</v>
      </c>
      <c r="E384" s="8">
        <f t="shared" ca="1" si="173"/>
        <v>0</v>
      </c>
      <c r="F384" s="8">
        <f t="shared" ca="1" si="174"/>
        <v>0</v>
      </c>
      <c r="G384" s="8">
        <f t="shared" ca="1" si="175"/>
        <v>0</v>
      </c>
      <c r="H384" s="8">
        <f t="shared" ca="1" si="176"/>
        <v>0</v>
      </c>
      <c r="I384" s="8">
        <f t="shared" ca="1" si="177"/>
        <v>0</v>
      </c>
      <c r="J384" s="8">
        <f t="shared" ca="1" si="178"/>
        <v>0</v>
      </c>
      <c r="K384" s="8">
        <f t="shared" ca="1" si="179"/>
        <v>0</v>
      </c>
      <c r="L384" s="8">
        <f t="shared" ca="1" si="184"/>
        <v>0</v>
      </c>
      <c r="M384" s="8">
        <f t="shared" ca="1" si="185"/>
        <v>0</v>
      </c>
      <c r="N384" s="8">
        <f t="shared" ca="1" si="186"/>
        <v>0</v>
      </c>
      <c r="O384" s="8">
        <f t="shared" ca="1" si="187"/>
        <v>0</v>
      </c>
      <c r="P384" s="8">
        <f t="shared" ca="1" si="188"/>
        <v>0</v>
      </c>
      <c r="Q384" s="8">
        <f t="shared" ca="1" si="189"/>
        <v>0</v>
      </c>
      <c r="R384" s="8">
        <f t="shared" ca="1" si="190"/>
        <v>0</v>
      </c>
      <c r="S384" s="8">
        <f t="shared" ca="1" si="191"/>
        <v>0</v>
      </c>
      <c r="T384" s="8">
        <f t="shared" ca="1" si="192"/>
        <v>0</v>
      </c>
      <c r="U384" s="8">
        <f t="shared" ca="1" si="193"/>
        <v>0</v>
      </c>
      <c r="V384" s="8">
        <f t="shared" ca="1" si="194"/>
        <v>0</v>
      </c>
      <c r="W384" s="11" t="str">
        <f t="shared" ca="1" si="195"/>
        <v/>
      </c>
      <c r="X384" s="11" t="str">
        <f t="shared" ca="1" si="196"/>
        <v/>
      </c>
      <c r="Y384" s="11" t="str">
        <f t="shared" ca="1" si="197"/>
        <v/>
      </c>
      <c r="Z384" s="11" t="str">
        <f t="shared" ca="1" si="198"/>
        <v/>
      </c>
      <c r="AA384" s="11" t="str">
        <f t="shared" ca="1" si="199"/>
        <v/>
      </c>
      <c r="AB384" s="47">
        <f ca="1">PlayerGameData[[#This Row],[3FGA]]+PlayerGameData[[#This Row],[2FGA]]</f>
        <v>0</v>
      </c>
      <c r="AC384" s="47">
        <f ca="1">PlayerGameData[[#This Row],[OFF REB]]+PlayerGameData[[#This Row],[DEF REB]]</f>
        <v>0</v>
      </c>
      <c r="AD384" s="8">
        <f t="shared" si="180"/>
        <v>16</v>
      </c>
      <c r="AE384" s="8" t="str">
        <f t="shared" ca="1" si="181"/>
        <v>,  - Midwest 2/4/2023</v>
      </c>
      <c r="AF384" s="8" t="str">
        <f t="shared" ca="1" si="200"/>
        <v>R</v>
      </c>
      <c r="AG384" s="8" t="str">
        <f ca="1">IFERROR(IF(C384=0,"",IF(AND(VLOOKUP(PlayerGameData[[#This Row],[Opponent]],WYTeamInfo,2,FALSE)=Roster!$D$1,VLOOKUP(PlayerGameData[[#This Row],[Opponent]],WYTeamInfo,3,FALSE)=Roster!$D$2),"SR","")),"")</f>
        <v>SR</v>
      </c>
      <c r="AH384" s="8" t="str">
        <f>CONCATENATE(Roster!$D$1," ",Roster!$D$5)</f>
        <v>1A BB</v>
      </c>
      <c r="AI384" s="8" t="str">
        <f t="shared" ca="1" si="182"/>
        <v>Upton - Midwest 2/4/2023</v>
      </c>
      <c r="AJ384" s="8">
        <f ca="1">IFERROR(VLOOKUP(PlayerGameData[[#This Row],[School, Opponent,Game'#]],Table3[],2,FALSE),0)</f>
        <v>1</v>
      </c>
      <c r="AK384" s="8">
        <f ca="1">IF(PlayerGameData[[#This Row],[Visible]]=1,1,1000)</f>
        <v>1</v>
      </c>
      <c r="AL384" s="8">
        <f ca="1">RANK(PlayerGameData[[#This Row],[TL PTS]],PlayerGameData[TL PTS],0)+PlayerGameData[[#This Row],[VisibleOrder]]</f>
        <v>185</v>
      </c>
      <c r="AM384" s="8">
        <f ca="1">IF(COUNTIF(PlayerGameData[PointOrder],PlayerGameData[[#This Row],[PointOrder]])&gt;1,RANK(PlayerGameData[[#This Row],[FGA]],PlayerGameData[FGA],0)/100,0)+PlayerGameData[[#This Row],[PointOrder]]</f>
        <v>187.14</v>
      </c>
      <c r="AN384" s="8">
        <f ca="1">RANK(PlayerGameData[[#This Row],[PointTieBreak]],PlayerGameData[PointTieBreak],1)</f>
        <v>216</v>
      </c>
      <c r="AO384" s="8">
        <f ca="1">RANK(PlayerGameData[[#This Row],[REB]],PlayerGameData[REB],0)+PlayerGameData[[#This Row],[VisibleOrder]]</f>
        <v>192</v>
      </c>
      <c r="AP384" s="8">
        <f ca="1">IF(COUNTIF(PlayerGameData[REBOrder],PlayerGameData[[#This Row],[REBOrder]])&gt;1,PlayerGameData[[#This Row],[PointRank]]/100+PlayerGameData[[#This Row],[REBOrder]],PlayerGameData[[#This Row],[REBOrder]])</f>
        <v>194.16</v>
      </c>
      <c r="AQ384" s="8">
        <f ca="1">RANK(PlayerGameData[[#This Row],[REBTieBreak]],PlayerGameData[REBTieBreak],1)</f>
        <v>224</v>
      </c>
      <c r="AR384" s="8">
        <f ca="1">RANK(PlayerGameData[[#This Row],[AST]],PlayerGameData[AST],0)+PlayerGameData[[#This Row],[VisibleOrder]]</f>
        <v>158</v>
      </c>
      <c r="AS384" s="8">
        <f ca="1">IF(COUNTIF(PlayerGameData[ASTOrder],PlayerGameData[[#This Row],[ASTOrder]])&gt;1,PlayerGameData[[#This Row],[PointRank]]/100+PlayerGameData[[#This Row],[ASTOrder]],PlayerGameData[[#This Row],[ASTOrder]])</f>
        <v>160.16</v>
      </c>
      <c r="AT384" s="8">
        <f ca="1">RANK(PlayerGameData[[#This Row],[ASTTieBreak]],PlayerGameData[ASTTieBreak],1)</f>
        <v>221</v>
      </c>
      <c r="AU384" s="8">
        <f ca="1">RANK(PlayerGameData[[#This Row],[STL]],PlayerGameData[STL],0)+PlayerGameData[[#This Row],[VisibleOrder]]</f>
        <v>143</v>
      </c>
      <c r="AV384" s="8">
        <f ca="1">IF(COUNTIF(PlayerGameData[STLOrder],PlayerGameData[[#This Row],[STLOrder]])&gt;1,PlayerGameData[[#This Row],[PointRank]]/100+PlayerGameData[[#This Row],[STLOrder]],PlayerGameData[[#This Row],[STLOrder]])</f>
        <v>145.16</v>
      </c>
      <c r="AW384" s="8">
        <f ca="1">RANK(PlayerGameData[[#This Row],[STLTieBreak]],PlayerGameData[STLTieBreak],1)</f>
        <v>217</v>
      </c>
      <c r="AX384" s="8">
        <f ca="1">RANK(PlayerGameData[[#This Row],[BLK]],PlayerGameData[BLK],0)+PlayerGameData[[#This Row],[VisibleOrder]]</f>
        <v>32</v>
      </c>
      <c r="AY384" s="8">
        <f ca="1">IF(COUNTIF(PlayerGameData[BLKOrder],PlayerGameData[[#This Row],[BLKOrder]])&gt;1,PlayerGameData[[#This Row],[PointRank]]/100+PlayerGameData[[#This Row],[BLKOrder]],PlayerGameData[[#This Row],[BLKOrder]])</f>
        <v>34.159999999999997</v>
      </c>
      <c r="AZ384" s="8">
        <f ca="1">RANK(PlayerGameData[[#This Row],[BLKTieBreak]],PlayerGameData[BLKTieBreak],1)</f>
        <v>216</v>
      </c>
      <c r="BA384" s="11">
        <f ca="1">IFERROR(IF(PlayerGameData[[#This Row],[FGA]]&gt;$AA$5,PlayerGameData[[#This Row],[FG%*]],PlayerGameData[[#This Row],[FG%*]]*-1),-2)</f>
        <v>-2</v>
      </c>
      <c r="BB384" s="8">
        <f ca="1">RANK(PlayerGameData[[#This Row],[EligFG]],PlayerGameData[EligFG],0)+PlayerGameData[[#This Row],[VisibleOrder]]</f>
        <v>215</v>
      </c>
      <c r="BC384" s="8">
        <f ca="1">IF(COUNTIF(PlayerGameData[EligFGOrder],PlayerGameData[[#This Row],[EligFGOrder]])&gt;1,PlayerGameData[[#This Row],[PointRank]]/100+PlayerGameData[[#This Row],[EligFGOrder]],PlayerGameData[[#This Row],[EligFGOrder]])</f>
        <v>217.16</v>
      </c>
      <c r="BD384" s="8">
        <f ca="1">RANK(PlayerGameData[[#This Row],[EligFGTieBreak]],PlayerGameData[EligFGTieBreak],1)</f>
        <v>216</v>
      </c>
      <c r="BE384" s="8" t="str">
        <f>Roster!$D$3</f>
        <v>East</v>
      </c>
      <c r="BF384" s="8" t="str">
        <f>Roster!$D$2</f>
        <v>Northeast</v>
      </c>
      <c r="BG384" s="8" t="str">
        <f>Roster!$D$4</f>
        <v>North</v>
      </c>
      <c r="BH384" s="197">
        <f ca="1">IFERROR(VLOOKUP(CONCATENATE(PlayerGameData[[#This Row],[Opponent]]," ",MONTH(PlayerGameData[[#This Row],[Date]]),"/",DAY(PlayerGameData[[#This Row],[Date]]),"/",YEAR(PlayerGameData[[#This Row],[Date]])),Table35[],2,FALSE),0)</f>
        <v>1</v>
      </c>
      <c r="BI384" s="197">
        <f ca="1">IF(PlayerGameData[[#This Row],[Visible]]=1,1,1000)</f>
        <v>1</v>
      </c>
      <c r="BJ384" s="197" t="e">
        <f ca="1">_xlfn.MAXIFS(TeamGameData[Win],TeamGameData[School, Opponent,Game'#],PlayerGameData[[#This Row],[School, Opponent,Game'#]])</f>
        <v>#NAME?</v>
      </c>
      <c r="BK384" s="197" t="e">
        <f ca="1">_xlfn.MAXIFS(TeamGameData[Loss],TeamGameData[School, Opponent,Game'#],PlayerGameData[[#This Row],[School, Opponent,Game'#]])</f>
        <v>#NAME?</v>
      </c>
    </row>
    <row r="385" spans="1:63" x14ac:dyDescent="0.25">
      <c r="A385" s="8" t="str">
        <f t="shared" ca="1" si="183"/>
        <v xml:space="preserve">, </v>
      </c>
      <c r="B385" s="8" t="str">
        <f>Roster!$B$1</f>
        <v>Upton</v>
      </c>
      <c r="C385" s="8" t="str">
        <f t="shared" ca="1" si="171"/>
        <v>Midwest</v>
      </c>
      <c r="D385" s="10">
        <f t="shared" ca="1" si="172"/>
        <v>44961</v>
      </c>
      <c r="E385" s="8">
        <f t="shared" ca="1" si="173"/>
        <v>0</v>
      </c>
      <c r="F385" s="8">
        <f t="shared" ca="1" si="174"/>
        <v>0</v>
      </c>
      <c r="G385" s="8">
        <f t="shared" ca="1" si="175"/>
        <v>0</v>
      </c>
      <c r="H385" s="8">
        <f t="shared" ca="1" si="176"/>
        <v>0</v>
      </c>
      <c r="I385" s="8">
        <f t="shared" ca="1" si="177"/>
        <v>0</v>
      </c>
      <c r="J385" s="8">
        <f t="shared" ca="1" si="178"/>
        <v>0</v>
      </c>
      <c r="K385" s="8">
        <f t="shared" ca="1" si="179"/>
        <v>0</v>
      </c>
      <c r="L385" s="8">
        <f t="shared" ca="1" si="184"/>
        <v>0</v>
      </c>
      <c r="M385" s="8">
        <f t="shared" ca="1" si="185"/>
        <v>0</v>
      </c>
      <c r="N385" s="8">
        <f t="shared" ca="1" si="186"/>
        <v>0</v>
      </c>
      <c r="O385" s="8">
        <f t="shared" ca="1" si="187"/>
        <v>0</v>
      </c>
      <c r="P385" s="8">
        <f t="shared" ca="1" si="188"/>
        <v>0</v>
      </c>
      <c r="Q385" s="8">
        <f t="shared" ca="1" si="189"/>
        <v>0</v>
      </c>
      <c r="R385" s="8">
        <f t="shared" ca="1" si="190"/>
        <v>0</v>
      </c>
      <c r="S385" s="8">
        <f t="shared" ca="1" si="191"/>
        <v>0</v>
      </c>
      <c r="T385" s="8">
        <f t="shared" ca="1" si="192"/>
        <v>0</v>
      </c>
      <c r="U385" s="8">
        <f t="shared" ca="1" si="193"/>
        <v>0</v>
      </c>
      <c r="V385" s="8">
        <f t="shared" ca="1" si="194"/>
        <v>0</v>
      </c>
      <c r="W385" s="11" t="str">
        <f t="shared" ca="1" si="195"/>
        <v/>
      </c>
      <c r="X385" s="11" t="str">
        <f t="shared" ca="1" si="196"/>
        <v/>
      </c>
      <c r="Y385" s="11" t="str">
        <f t="shared" ca="1" si="197"/>
        <v/>
      </c>
      <c r="Z385" s="11" t="str">
        <f t="shared" ca="1" si="198"/>
        <v/>
      </c>
      <c r="AA385" s="11" t="str">
        <f t="shared" ca="1" si="199"/>
        <v/>
      </c>
      <c r="AB385" s="47">
        <f ca="1">PlayerGameData[[#This Row],[3FGA]]+PlayerGameData[[#This Row],[2FGA]]</f>
        <v>0</v>
      </c>
      <c r="AC385" s="47">
        <f ca="1">PlayerGameData[[#This Row],[OFF REB]]+PlayerGameData[[#This Row],[DEF REB]]</f>
        <v>0</v>
      </c>
      <c r="AD385" s="8">
        <f t="shared" si="180"/>
        <v>16</v>
      </c>
      <c r="AE385" s="8" t="str">
        <f t="shared" ca="1" si="181"/>
        <v>,  - Midwest 2/4/2023</v>
      </c>
      <c r="AF385" s="8" t="str">
        <f t="shared" ca="1" si="200"/>
        <v>R</v>
      </c>
      <c r="AG385" s="8" t="str">
        <f ca="1">IFERROR(IF(C385=0,"",IF(AND(VLOOKUP(PlayerGameData[[#This Row],[Opponent]],WYTeamInfo,2,FALSE)=Roster!$D$1,VLOOKUP(PlayerGameData[[#This Row],[Opponent]],WYTeamInfo,3,FALSE)=Roster!$D$2),"SR","")),"")</f>
        <v>SR</v>
      </c>
      <c r="AH385" s="8" t="str">
        <f>CONCATENATE(Roster!$D$1," ",Roster!$D$5)</f>
        <v>1A BB</v>
      </c>
      <c r="AI385" s="8" t="str">
        <f t="shared" ca="1" si="182"/>
        <v>Upton - Midwest 2/4/2023</v>
      </c>
      <c r="AJ385" s="8">
        <f ca="1">IFERROR(VLOOKUP(PlayerGameData[[#This Row],[School, Opponent,Game'#]],Table3[],2,FALSE),0)</f>
        <v>1</v>
      </c>
      <c r="AK385" s="8">
        <f ca="1">IF(PlayerGameData[[#This Row],[Visible]]=1,1,1000)</f>
        <v>1</v>
      </c>
      <c r="AL385" s="8">
        <f ca="1">RANK(PlayerGameData[[#This Row],[TL PTS]],PlayerGameData[TL PTS],0)+PlayerGameData[[#This Row],[VisibleOrder]]</f>
        <v>185</v>
      </c>
      <c r="AM385" s="8">
        <f ca="1">IF(COUNTIF(PlayerGameData[PointOrder],PlayerGameData[[#This Row],[PointOrder]])&gt;1,RANK(PlayerGameData[[#This Row],[FGA]],PlayerGameData[FGA],0)/100,0)+PlayerGameData[[#This Row],[PointOrder]]</f>
        <v>187.14</v>
      </c>
      <c r="AN385" s="8">
        <f ca="1">RANK(PlayerGameData[[#This Row],[PointTieBreak]],PlayerGameData[PointTieBreak],1)</f>
        <v>216</v>
      </c>
      <c r="AO385" s="8">
        <f ca="1">RANK(PlayerGameData[[#This Row],[REB]],PlayerGameData[REB],0)+PlayerGameData[[#This Row],[VisibleOrder]]</f>
        <v>192</v>
      </c>
      <c r="AP385" s="8">
        <f ca="1">IF(COUNTIF(PlayerGameData[REBOrder],PlayerGameData[[#This Row],[REBOrder]])&gt;1,PlayerGameData[[#This Row],[PointRank]]/100+PlayerGameData[[#This Row],[REBOrder]],PlayerGameData[[#This Row],[REBOrder]])</f>
        <v>194.16</v>
      </c>
      <c r="AQ385" s="8">
        <f ca="1">RANK(PlayerGameData[[#This Row],[REBTieBreak]],PlayerGameData[REBTieBreak],1)</f>
        <v>224</v>
      </c>
      <c r="AR385" s="8">
        <f ca="1">RANK(PlayerGameData[[#This Row],[AST]],PlayerGameData[AST],0)+PlayerGameData[[#This Row],[VisibleOrder]]</f>
        <v>158</v>
      </c>
      <c r="AS385" s="8">
        <f ca="1">IF(COUNTIF(PlayerGameData[ASTOrder],PlayerGameData[[#This Row],[ASTOrder]])&gt;1,PlayerGameData[[#This Row],[PointRank]]/100+PlayerGameData[[#This Row],[ASTOrder]],PlayerGameData[[#This Row],[ASTOrder]])</f>
        <v>160.16</v>
      </c>
      <c r="AT385" s="8">
        <f ca="1">RANK(PlayerGameData[[#This Row],[ASTTieBreak]],PlayerGameData[ASTTieBreak],1)</f>
        <v>221</v>
      </c>
      <c r="AU385" s="8">
        <f ca="1">RANK(PlayerGameData[[#This Row],[STL]],PlayerGameData[STL],0)+PlayerGameData[[#This Row],[VisibleOrder]]</f>
        <v>143</v>
      </c>
      <c r="AV385" s="8">
        <f ca="1">IF(COUNTIF(PlayerGameData[STLOrder],PlayerGameData[[#This Row],[STLOrder]])&gt;1,PlayerGameData[[#This Row],[PointRank]]/100+PlayerGameData[[#This Row],[STLOrder]],PlayerGameData[[#This Row],[STLOrder]])</f>
        <v>145.16</v>
      </c>
      <c r="AW385" s="8">
        <f ca="1">RANK(PlayerGameData[[#This Row],[STLTieBreak]],PlayerGameData[STLTieBreak],1)</f>
        <v>217</v>
      </c>
      <c r="AX385" s="8">
        <f ca="1">RANK(PlayerGameData[[#This Row],[BLK]],PlayerGameData[BLK],0)+PlayerGameData[[#This Row],[VisibleOrder]]</f>
        <v>32</v>
      </c>
      <c r="AY385" s="8">
        <f ca="1">IF(COUNTIF(PlayerGameData[BLKOrder],PlayerGameData[[#This Row],[BLKOrder]])&gt;1,PlayerGameData[[#This Row],[PointRank]]/100+PlayerGameData[[#This Row],[BLKOrder]],PlayerGameData[[#This Row],[BLKOrder]])</f>
        <v>34.159999999999997</v>
      </c>
      <c r="AZ385" s="8">
        <f ca="1">RANK(PlayerGameData[[#This Row],[BLKTieBreak]],PlayerGameData[BLKTieBreak],1)</f>
        <v>216</v>
      </c>
      <c r="BA385" s="11">
        <f ca="1">IFERROR(IF(PlayerGameData[[#This Row],[FGA]]&gt;$AA$5,PlayerGameData[[#This Row],[FG%*]],PlayerGameData[[#This Row],[FG%*]]*-1),-2)</f>
        <v>-2</v>
      </c>
      <c r="BB385" s="8">
        <f ca="1">RANK(PlayerGameData[[#This Row],[EligFG]],PlayerGameData[EligFG],0)+PlayerGameData[[#This Row],[VisibleOrder]]</f>
        <v>215</v>
      </c>
      <c r="BC385" s="8">
        <f ca="1">IF(COUNTIF(PlayerGameData[EligFGOrder],PlayerGameData[[#This Row],[EligFGOrder]])&gt;1,PlayerGameData[[#This Row],[PointRank]]/100+PlayerGameData[[#This Row],[EligFGOrder]],PlayerGameData[[#This Row],[EligFGOrder]])</f>
        <v>217.16</v>
      </c>
      <c r="BD385" s="8">
        <f ca="1">RANK(PlayerGameData[[#This Row],[EligFGTieBreak]],PlayerGameData[EligFGTieBreak],1)</f>
        <v>216</v>
      </c>
      <c r="BE385" s="8" t="str">
        <f>Roster!$D$3</f>
        <v>East</v>
      </c>
      <c r="BF385" s="8" t="str">
        <f>Roster!$D$2</f>
        <v>Northeast</v>
      </c>
      <c r="BG385" s="8" t="str">
        <f>Roster!$D$4</f>
        <v>North</v>
      </c>
      <c r="BH385" s="197">
        <f ca="1">IFERROR(VLOOKUP(CONCATENATE(PlayerGameData[[#This Row],[Opponent]]," ",MONTH(PlayerGameData[[#This Row],[Date]]),"/",DAY(PlayerGameData[[#This Row],[Date]]),"/",YEAR(PlayerGameData[[#This Row],[Date]])),Table35[],2,FALSE),0)</f>
        <v>1</v>
      </c>
      <c r="BI385" s="197">
        <f ca="1">IF(PlayerGameData[[#This Row],[Visible]]=1,1,1000)</f>
        <v>1</v>
      </c>
      <c r="BJ385" s="197" t="e">
        <f ca="1">_xlfn.MAXIFS(TeamGameData[Win],TeamGameData[School, Opponent,Game'#],PlayerGameData[[#This Row],[School, Opponent,Game'#]])</f>
        <v>#NAME?</v>
      </c>
      <c r="BK385" s="197" t="e">
        <f ca="1">_xlfn.MAXIFS(TeamGameData[Loss],TeamGameData[School, Opponent,Game'#],PlayerGameData[[#This Row],[School, Opponent,Game'#]])</f>
        <v>#NAME?</v>
      </c>
    </row>
    <row r="386" spans="1:63" x14ac:dyDescent="0.25">
      <c r="A386" s="8" t="str">
        <f t="shared" ca="1" si="183"/>
        <v xml:space="preserve">, </v>
      </c>
      <c r="B386" s="8" t="str">
        <f>Roster!$B$1</f>
        <v>Upton</v>
      </c>
      <c r="C386" s="8" t="str">
        <f t="shared" ca="1" si="171"/>
        <v>Midwest</v>
      </c>
      <c r="D386" s="10">
        <f t="shared" ca="1" si="172"/>
        <v>44961</v>
      </c>
      <c r="E386" s="8">
        <f t="shared" ca="1" si="173"/>
        <v>0</v>
      </c>
      <c r="F386" s="8">
        <f t="shared" ca="1" si="174"/>
        <v>0</v>
      </c>
      <c r="G386" s="8">
        <f t="shared" ca="1" si="175"/>
        <v>0</v>
      </c>
      <c r="H386" s="8">
        <f t="shared" ca="1" si="176"/>
        <v>0</v>
      </c>
      <c r="I386" s="8">
        <f t="shared" ca="1" si="177"/>
        <v>0</v>
      </c>
      <c r="J386" s="8">
        <f t="shared" ca="1" si="178"/>
        <v>0</v>
      </c>
      <c r="K386" s="8">
        <f t="shared" ca="1" si="179"/>
        <v>0</v>
      </c>
      <c r="L386" s="8">
        <f t="shared" ca="1" si="184"/>
        <v>0</v>
      </c>
      <c r="M386" s="8">
        <f t="shared" ca="1" si="185"/>
        <v>0</v>
      </c>
      <c r="N386" s="8">
        <f t="shared" ca="1" si="186"/>
        <v>0</v>
      </c>
      <c r="O386" s="8">
        <f t="shared" ca="1" si="187"/>
        <v>0</v>
      </c>
      <c r="P386" s="8">
        <f t="shared" ca="1" si="188"/>
        <v>0</v>
      </c>
      <c r="Q386" s="8">
        <f t="shared" ca="1" si="189"/>
        <v>0</v>
      </c>
      <c r="R386" s="8">
        <f t="shared" ca="1" si="190"/>
        <v>0</v>
      </c>
      <c r="S386" s="8">
        <f t="shared" ca="1" si="191"/>
        <v>0</v>
      </c>
      <c r="T386" s="8">
        <f t="shared" ca="1" si="192"/>
        <v>0</v>
      </c>
      <c r="U386" s="8">
        <f t="shared" ca="1" si="193"/>
        <v>0</v>
      </c>
      <c r="V386" s="8">
        <f t="shared" ca="1" si="194"/>
        <v>0</v>
      </c>
      <c r="W386" s="11" t="str">
        <f t="shared" ca="1" si="195"/>
        <v/>
      </c>
      <c r="X386" s="11" t="str">
        <f t="shared" ca="1" si="196"/>
        <v/>
      </c>
      <c r="Y386" s="11" t="str">
        <f t="shared" ca="1" si="197"/>
        <v/>
      </c>
      <c r="Z386" s="11" t="str">
        <f t="shared" ca="1" si="198"/>
        <v/>
      </c>
      <c r="AA386" s="11" t="str">
        <f t="shared" ca="1" si="199"/>
        <v/>
      </c>
      <c r="AB386" s="47">
        <f ca="1">PlayerGameData[[#This Row],[3FGA]]+PlayerGameData[[#This Row],[2FGA]]</f>
        <v>0</v>
      </c>
      <c r="AC386" s="47">
        <f ca="1">PlayerGameData[[#This Row],[OFF REB]]+PlayerGameData[[#This Row],[DEF REB]]</f>
        <v>0</v>
      </c>
      <c r="AD386" s="8">
        <f t="shared" si="180"/>
        <v>16</v>
      </c>
      <c r="AE386" s="8" t="str">
        <f t="shared" ca="1" si="181"/>
        <v>,  - Midwest 2/4/2023</v>
      </c>
      <c r="AF386" s="8" t="str">
        <f t="shared" ca="1" si="200"/>
        <v>R</v>
      </c>
      <c r="AG386" s="8" t="str">
        <f ca="1">IFERROR(IF(C386=0,"",IF(AND(VLOOKUP(PlayerGameData[[#This Row],[Opponent]],WYTeamInfo,2,FALSE)=Roster!$D$1,VLOOKUP(PlayerGameData[[#This Row],[Opponent]],WYTeamInfo,3,FALSE)=Roster!$D$2),"SR","")),"")</f>
        <v>SR</v>
      </c>
      <c r="AH386" s="8" t="str">
        <f>CONCATENATE(Roster!$D$1," ",Roster!$D$5)</f>
        <v>1A BB</v>
      </c>
      <c r="AI386" s="8" t="str">
        <f t="shared" ca="1" si="182"/>
        <v>Upton - Midwest 2/4/2023</v>
      </c>
      <c r="AJ386" s="8">
        <f ca="1">IFERROR(VLOOKUP(PlayerGameData[[#This Row],[School, Opponent,Game'#]],Table3[],2,FALSE),0)</f>
        <v>1</v>
      </c>
      <c r="AK386" s="8">
        <f ca="1">IF(PlayerGameData[[#This Row],[Visible]]=1,1,1000)</f>
        <v>1</v>
      </c>
      <c r="AL386" s="8">
        <f ca="1">RANK(PlayerGameData[[#This Row],[TL PTS]],PlayerGameData[TL PTS],0)+PlayerGameData[[#This Row],[VisibleOrder]]</f>
        <v>185</v>
      </c>
      <c r="AM386" s="8">
        <f ca="1">IF(COUNTIF(PlayerGameData[PointOrder],PlayerGameData[[#This Row],[PointOrder]])&gt;1,RANK(PlayerGameData[[#This Row],[FGA]],PlayerGameData[FGA],0)/100,0)+PlayerGameData[[#This Row],[PointOrder]]</f>
        <v>187.14</v>
      </c>
      <c r="AN386" s="8">
        <f ca="1">RANK(PlayerGameData[[#This Row],[PointTieBreak]],PlayerGameData[PointTieBreak],1)</f>
        <v>216</v>
      </c>
      <c r="AO386" s="8">
        <f ca="1">RANK(PlayerGameData[[#This Row],[REB]],PlayerGameData[REB],0)+PlayerGameData[[#This Row],[VisibleOrder]]</f>
        <v>192</v>
      </c>
      <c r="AP386" s="8">
        <f ca="1">IF(COUNTIF(PlayerGameData[REBOrder],PlayerGameData[[#This Row],[REBOrder]])&gt;1,PlayerGameData[[#This Row],[PointRank]]/100+PlayerGameData[[#This Row],[REBOrder]],PlayerGameData[[#This Row],[REBOrder]])</f>
        <v>194.16</v>
      </c>
      <c r="AQ386" s="8">
        <f ca="1">RANK(PlayerGameData[[#This Row],[REBTieBreak]],PlayerGameData[REBTieBreak],1)</f>
        <v>224</v>
      </c>
      <c r="AR386" s="8">
        <f ca="1">RANK(PlayerGameData[[#This Row],[AST]],PlayerGameData[AST],0)+PlayerGameData[[#This Row],[VisibleOrder]]</f>
        <v>158</v>
      </c>
      <c r="AS386" s="8">
        <f ca="1">IF(COUNTIF(PlayerGameData[ASTOrder],PlayerGameData[[#This Row],[ASTOrder]])&gt;1,PlayerGameData[[#This Row],[PointRank]]/100+PlayerGameData[[#This Row],[ASTOrder]],PlayerGameData[[#This Row],[ASTOrder]])</f>
        <v>160.16</v>
      </c>
      <c r="AT386" s="8">
        <f ca="1">RANK(PlayerGameData[[#This Row],[ASTTieBreak]],PlayerGameData[ASTTieBreak],1)</f>
        <v>221</v>
      </c>
      <c r="AU386" s="8">
        <f ca="1">RANK(PlayerGameData[[#This Row],[STL]],PlayerGameData[STL],0)+PlayerGameData[[#This Row],[VisibleOrder]]</f>
        <v>143</v>
      </c>
      <c r="AV386" s="8">
        <f ca="1">IF(COUNTIF(PlayerGameData[STLOrder],PlayerGameData[[#This Row],[STLOrder]])&gt;1,PlayerGameData[[#This Row],[PointRank]]/100+PlayerGameData[[#This Row],[STLOrder]],PlayerGameData[[#This Row],[STLOrder]])</f>
        <v>145.16</v>
      </c>
      <c r="AW386" s="8">
        <f ca="1">RANK(PlayerGameData[[#This Row],[STLTieBreak]],PlayerGameData[STLTieBreak],1)</f>
        <v>217</v>
      </c>
      <c r="AX386" s="8">
        <f ca="1">RANK(PlayerGameData[[#This Row],[BLK]],PlayerGameData[BLK],0)+PlayerGameData[[#This Row],[VisibleOrder]]</f>
        <v>32</v>
      </c>
      <c r="AY386" s="8">
        <f ca="1">IF(COUNTIF(PlayerGameData[BLKOrder],PlayerGameData[[#This Row],[BLKOrder]])&gt;1,PlayerGameData[[#This Row],[PointRank]]/100+PlayerGameData[[#This Row],[BLKOrder]],PlayerGameData[[#This Row],[BLKOrder]])</f>
        <v>34.159999999999997</v>
      </c>
      <c r="AZ386" s="8">
        <f ca="1">RANK(PlayerGameData[[#This Row],[BLKTieBreak]],PlayerGameData[BLKTieBreak],1)</f>
        <v>216</v>
      </c>
      <c r="BA386" s="11">
        <f ca="1">IFERROR(IF(PlayerGameData[[#This Row],[FGA]]&gt;$AA$5,PlayerGameData[[#This Row],[FG%*]],PlayerGameData[[#This Row],[FG%*]]*-1),-2)</f>
        <v>-2</v>
      </c>
      <c r="BB386" s="8">
        <f ca="1">RANK(PlayerGameData[[#This Row],[EligFG]],PlayerGameData[EligFG],0)+PlayerGameData[[#This Row],[VisibleOrder]]</f>
        <v>215</v>
      </c>
      <c r="BC386" s="8">
        <f ca="1">IF(COUNTIF(PlayerGameData[EligFGOrder],PlayerGameData[[#This Row],[EligFGOrder]])&gt;1,PlayerGameData[[#This Row],[PointRank]]/100+PlayerGameData[[#This Row],[EligFGOrder]],PlayerGameData[[#This Row],[EligFGOrder]])</f>
        <v>217.16</v>
      </c>
      <c r="BD386" s="8">
        <f ca="1">RANK(PlayerGameData[[#This Row],[EligFGTieBreak]],PlayerGameData[EligFGTieBreak],1)</f>
        <v>216</v>
      </c>
      <c r="BE386" s="8" t="str">
        <f>Roster!$D$3</f>
        <v>East</v>
      </c>
      <c r="BF386" s="8" t="str">
        <f>Roster!$D$2</f>
        <v>Northeast</v>
      </c>
      <c r="BG386" s="8" t="str">
        <f>Roster!$D$4</f>
        <v>North</v>
      </c>
      <c r="BH386" s="197">
        <f ca="1">IFERROR(VLOOKUP(CONCATENATE(PlayerGameData[[#This Row],[Opponent]]," ",MONTH(PlayerGameData[[#This Row],[Date]]),"/",DAY(PlayerGameData[[#This Row],[Date]]),"/",YEAR(PlayerGameData[[#This Row],[Date]])),Table35[],2,FALSE),0)</f>
        <v>1</v>
      </c>
      <c r="BI386" s="197">
        <f ca="1">IF(PlayerGameData[[#This Row],[Visible]]=1,1,1000)</f>
        <v>1</v>
      </c>
      <c r="BJ386" s="197" t="e">
        <f ca="1">_xlfn.MAXIFS(TeamGameData[Win],TeamGameData[School, Opponent,Game'#],PlayerGameData[[#This Row],[School, Opponent,Game'#]])</f>
        <v>#NAME?</v>
      </c>
      <c r="BK386" s="197" t="e">
        <f ca="1">_xlfn.MAXIFS(TeamGameData[Loss],TeamGameData[School, Opponent,Game'#],PlayerGameData[[#This Row],[School, Opponent,Game'#]])</f>
        <v>#NAME?</v>
      </c>
    </row>
    <row r="387" spans="1:63" x14ac:dyDescent="0.25">
      <c r="A387" s="8" t="str">
        <f t="shared" ca="1" si="183"/>
        <v xml:space="preserve">, </v>
      </c>
      <c r="B387" s="8" t="str">
        <f>Roster!$B$1</f>
        <v>Upton</v>
      </c>
      <c r="C387" s="8" t="str">
        <f t="shared" ca="1" si="171"/>
        <v>Midwest</v>
      </c>
      <c r="D387" s="10">
        <f t="shared" ca="1" si="172"/>
        <v>44961</v>
      </c>
      <c r="E387" s="8">
        <f t="shared" ca="1" si="173"/>
        <v>0</v>
      </c>
      <c r="F387" s="8">
        <f t="shared" ca="1" si="174"/>
        <v>0</v>
      </c>
      <c r="G387" s="8">
        <f t="shared" ca="1" si="175"/>
        <v>0</v>
      </c>
      <c r="H387" s="8">
        <f t="shared" ca="1" si="176"/>
        <v>0</v>
      </c>
      <c r="I387" s="8">
        <f t="shared" ca="1" si="177"/>
        <v>0</v>
      </c>
      <c r="J387" s="8">
        <f t="shared" ca="1" si="178"/>
        <v>0</v>
      </c>
      <c r="K387" s="8">
        <f t="shared" ca="1" si="179"/>
        <v>0</v>
      </c>
      <c r="L387" s="8">
        <f t="shared" ca="1" si="184"/>
        <v>0</v>
      </c>
      <c r="M387" s="8">
        <f t="shared" ca="1" si="185"/>
        <v>0</v>
      </c>
      <c r="N387" s="8">
        <f t="shared" ca="1" si="186"/>
        <v>0</v>
      </c>
      <c r="O387" s="8">
        <f t="shared" ca="1" si="187"/>
        <v>0</v>
      </c>
      <c r="P387" s="8">
        <f t="shared" ca="1" si="188"/>
        <v>0</v>
      </c>
      <c r="Q387" s="8">
        <f t="shared" ca="1" si="189"/>
        <v>0</v>
      </c>
      <c r="R387" s="8">
        <f t="shared" ca="1" si="190"/>
        <v>0</v>
      </c>
      <c r="S387" s="8">
        <f t="shared" ca="1" si="191"/>
        <v>0</v>
      </c>
      <c r="T387" s="8">
        <f t="shared" ca="1" si="192"/>
        <v>0</v>
      </c>
      <c r="U387" s="8">
        <f t="shared" ca="1" si="193"/>
        <v>0</v>
      </c>
      <c r="V387" s="8">
        <f t="shared" ca="1" si="194"/>
        <v>0</v>
      </c>
      <c r="W387" s="11" t="str">
        <f t="shared" ca="1" si="195"/>
        <v/>
      </c>
      <c r="X387" s="11" t="str">
        <f t="shared" ca="1" si="196"/>
        <v/>
      </c>
      <c r="Y387" s="11" t="str">
        <f t="shared" ca="1" si="197"/>
        <v/>
      </c>
      <c r="Z387" s="11" t="str">
        <f t="shared" ca="1" si="198"/>
        <v/>
      </c>
      <c r="AA387" s="11" t="str">
        <f t="shared" ca="1" si="199"/>
        <v/>
      </c>
      <c r="AB387" s="47">
        <f ca="1">PlayerGameData[[#This Row],[3FGA]]+PlayerGameData[[#This Row],[2FGA]]</f>
        <v>0</v>
      </c>
      <c r="AC387" s="47">
        <f ca="1">PlayerGameData[[#This Row],[OFF REB]]+PlayerGameData[[#This Row],[DEF REB]]</f>
        <v>0</v>
      </c>
      <c r="AD387" s="8">
        <f t="shared" si="180"/>
        <v>16</v>
      </c>
      <c r="AE387" s="8" t="str">
        <f t="shared" ca="1" si="181"/>
        <v>,  - Midwest 2/4/2023</v>
      </c>
      <c r="AF387" s="8" t="str">
        <f t="shared" ca="1" si="200"/>
        <v>R</v>
      </c>
      <c r="AG387" s="8" t="str">
        <f ca="1">IFERROR(IF(C387=0,"",IF(AND(VLOOKUP(PlayerGameData[[#This Row],[Opponent]],WYTeamInfo,2,FALSE)=Roster!$D$1,VLOOKUP(PlayerGameData[[#This Row],[Opponent]],WYTeamInfo,3,FALSE)=Roster!$D$2),"SR","")),"")</f>
        <v>SR</v>
      </c>
      <c r="AH387" s="8" t="str">
        <f>CONCATENATE(Roster!$D$1," ",Roster!$D$5)</f>
        <v>1A BB</v>
      </c>
      <c r="AI387" s="8" t="str">
        <f t="shared" ca="1" si="182"/>
        <v>Upton - Midwest 2/4/2023</v>
      </c>
      <c r="AJ387" s="8">
        <f ca="1">IFERROR(VLOOKUP(PlayerGameData[[#This Row],[School, Opponent,Game'#]],Table3[],2,FALSE),0)</f>
        <v>1</v>
      </c>
      <c r="AK387" s="8">
        <f ca="1">IF(PlayerGameData[[#This Row],[Visible]]=1,1,1000)</f>
        <v>1</v>
      </c>
      <c r="AL387" s="8">
        <f ca="1">RANK(PlayerGameData[[#This Row],[TL PTS]],PlayerGameData[TL PTS],0)+PlayerGameData[[#This Row],[VisibleOrder]]</f>
        <v>185</v>
      </c>
      <c r="AM387" s="8">
        <f ca="1">IF(COUNTIF(PlayerGameData[PointOrder],PlayerGameData[[#This Row],[PointOrder]])&gt;1,RANK(PlayerGameData[[#This Row],[FGA]],PlayerGameData[FGA],0)/100,0)+PlayerGameData[[#This Row],[PointOrder]]</f>
        <v>187.14</v>
      </c>
      <c r="AN387" s="8">
        <f ca="1">RANK(PlayerGameData[[#This Row],[PointTieBreak]],PlayerGameData[PointTieBreak],1)</f>
        <v>216</v>
      </c>
      <c r="AO387" s="8">
        <f ca="1">RANK(PlayerGameData[[#This Row],[REB]],PlayerGameData[REB],0)+PlayerGameData[[#This Row],[VisibleOrder]]</f>
        <v>192</v>
      </c>
      <c r="AP387" s="8">
        <f ca="1">IF(COUNTIF(PlayerGameData[REBOrder],PlayerGameData[[#This Row],[REBOrder]])&gt;1,PlayerGameData[[#This Row],[PointRank]]/100+PlayerGameData[[#This Row],[REBOrder]],PlayerGameData[[#This Row],[REBOrder]])</f>
        <v>194.16</v>
      </c>
      <c r="AQ387" s="8">
        <f ca="1">RANK(PlayerGameData[[#This Row],[REBTieBreak]],PlayerGameData[REBTieBreak],1)</f>
        <v>224</v>
      </c>
      <c r="AR387" s="8">
        <f ca="1">RANK(PlayerGameData[[#This Row],[AST]],PlayerGameData[AST],0)+PlayerGameData[[#This Row],[VisibleOrder]]</f>
        <v>158</v>
      </c>
      <c r="AS387" s="8">
        <f ca="1">IF(COUNTIF(PlayerGameData[ASTOrder],PlayerGameData[[#This Row],[ASTOrder]])&gt;1,PlayerGameData[[#This Row],[PointRank]]/100+PlayerGameData[[#This Row],[ASTOrder]],PlayerGameData[[#This Row],[ASTOrder]])</f>
        <v>160.16</v>
      </c>
      <c r="AT387" s="8">
        <f ca="1">RANK(PlayerGameData[[#This Row],[ASTTieBreak]],PlayerGameData[ASTTieBreak],1)</f>
        <v>221</v>
      </c>
      <c r="AU387" s="8">
        <f ca="1">RANK(PlayerGameData[[#This Row],[STL]],PlayerGameData[STL],0)+PlayerGameData[[#This Row],[VisibleOrder]]</f>
        <v>143</v>
      </c>
      <c r="AV387" s="8">
        <f ca="1">IF(COUNTIF(PlayerGameData[STLOrder],PlayerGameData[[#This Row],[STLOrder]])&gt;1,PlayerGameData[[#This Row],[PointRank]]/100+PlayerGameData[[#This Row],[STLOrder]],PlayerGameData[[#This Row],[STLOrder]])</f>
        <v>145.16</v>
      </c>
      <c r="AW387" s="8">
        <f ca="1">RANK(PlayerGameData[[#This Row],[STLTieBreak]],PlayerGameData[STLTieBreak],1)</f>
        <v>217</v>
      </c>
      <c r="AX387" s="8">
        <f ca="1">RANK(PlayerGameData[[#This Row],[BLK]],PlayerGameData[BLK],0)+PlayerGameData[[#This Row],[VisibleOrder]]</f>
        <v>32</v>
      </c>
      <c r="AY387" s="8">
        <f ca="1">IF(COUNTIF(PlayerGameData[BLKOrder],PlayerGameData[[#This Row],[BLKOrder]])&gt;1,PlayerGameData[[#This Row],[PointRank]]/100+PlayerGameData[[#This Row],[BLKOrder]],PlayerGameData[[#This Row],[BLKOrder]])</f>
        <v>34.159999999999997</v>
      </c>
      <c r="AZ387" s="8">
        <f ca="1">RANK(PlayerGameData[[#This Row],[BLKTieBreak]],PlayerGameData[BLKTieBreak],1)</f>
        <v>216</v>
      </c>
      <c r="BA387" s="11">
        <f ca="1">IFERROR(IF(PlayerGameData[[#This Row],[FGA]]&gt;$AA$5,PlayerGameData[[#This Row],[FG%*]],PlayerGameData[[#This Row],[FG%*]]*-1),-2)</f>
        <v>-2</v>
      </c>
      <c r="BB387" s="8">
        <f ca="1">RANK(PlayerGameData[[#This Row],[EligFG]],PlayerGameData[EligFG],0)+PlayerGameData[[#This Row],[VisibleOrder]]</f>
        <v>215</v>
      </c>
      <c r="BC387" s="8">
        <f ca="1">IF(COUNTIF(PlayerGameData[EligFGOrder],PlayerGameData[[#This Row],[EligFGOrder]])&gt;1,PlayerGameData[[#This Row],[PointRank]]/100+PlayerGameData[[#This Row],[EligFGOrder]],PlayerGameData[[#This Row],[EligFGOrder]])</f>
        <v>217.16</v>
      </c>
      <c r="BD387" s="8">
        <f ca="1">RANK(PlayerGameData[[#This Row],[EligFGTieBreak]],PlayerGameData[EligFGTieBreak],1)</f>
        <v>216</v>
      </c>
      <c r="BE387" s="8" t="str">
        <f>Roster!$D$3</f>
        <v>East</v>
      </c>
      <c r="BF387" s="8" t="str">
        <f>Roster!$D$2</f>
        <v>Northeast</v>
      </c>
      <c r="BG387" s="8" t="str">
        <f>Roster!$D$4</f>
        <v>North</v>
      </c>
      <c r="BH387" s="197">
        <f ca="1">IFERROR(VLOOKUP(CONCATENATE(PlayerGameData[[#This Row],[Opponent]]," ",MONTH(PlayerGameData[[#This Row],[Date]]),"/",DAY(PlayerGameData[[#This Row],[Date]]),"/",YEAR(PlayerGameData[[#This Row],[Date]])),Table35[],2,FALSE),0)</f>
        <v>1</v>
      </c>
      <c r="BI387" s="197">
        <f ca="1">IF(PlayerGameData[[#This Row],[Visible]]=1,1,1000)</f>
        <v>1</v>
      </c>
      <c r="BJ387" s="197" t="e">
        <f ca="1">_xlfn.MAXIFS(TeamGameData[Win],TeamGameData[School, Opponent,Game'#],PlayerGameData[[#This Row],[School, Opponent,Game'#]])</f>
        <v>#NAME?</v>
      </c>
      <c r="BK387" s="197" t="e">
        <f ca="1">_xlfn.MAXIFS(TeamGameData[Loss],TeamGameData[School, Opponent,Game'#],PlayerGameData[[#This Row],[School, Opponent,Game'#]])</f>
        <v>#NAME?</v>
      </c>
    </row>
    <row r="388" spans="1:63" x14ac:dyDescent="0.25">
      <c r="A388" s="8" t="str">
        <f t="shared" ca="1" si="183"/>
        <v xml:space="preserve">, </v>
      </c>
      <c r="B388" s="8" t="str">
        <f>Roster!$B$1</f>
        <v>Upton</v>
      </c>
      <c r="C388" s="8" t="str">
        <f t="shared" ca="1" si="171"/>
        <v>Midwest</v>
      </c>
      <c r="D388" s="10">
        <f t="shared" ca="1" si="172"/>
        <v>44961</v>
      </c>
      <c r="E388" s="8">
        <f t="shared" ca="1" si="173"/>
        <v>0</v>
      </c>
      <c r="F388" s="8">
        <f t="shared" ca="1" si="174"/>
        <v>0</v>
      </c>
      <c r="G388" s="8">
        <f t="shared" ca="1" si="175"/>
        <v>0</v>
      </c>
      <c r="H388" s="8">
        <f t="shared" ca="1" si="176"/>
        <v>0</v>
      </c>
      <c r="I388" s="8">
        <f t="shared" ca="1" si="177"/>
        <v>0</v>
      </c>
      <c r="J388" s="8">
        <f t="shared" ca="1" si="178"/>
        <v>0</v>
      </c>
      <c r="K388" s="8">
        <f t="shared" ca="1" si="179"/>
        <v>0</v>
      </c>
      <c r="L388" s="8">
        <f t="shared" ca="1" si="184"/>
        <v>0</v>
      </c>
      <c r="M388" s="8">
        <f t="shared" ca="1" si="185"/>
        <v>0</v>
      </c>
      <c r="N388" s="8">
        <f t="shared" ca="1" si="186"/>
        <v>0</v>
      </c>
      <c r="O388" s="8">
        <f t="shared" ca="1" si="187"/>
        <v>0</v>
      </c>
      <c r="P388" s="8">
        <f t="shared" ca="1" si="188"/>
        <v>0</v>
      </c>
      <c r="Q388" s="8">
        <f t="shared" ca="1" si="189"/>
        <v>0</v>
      </c>
      <c r="R388" s="8">
        <f t="shared" ca="1" si="190"/>
        <v>0</v>
      </c>
      <c r="S388" s="8">
        <f t="shared" ca="1" si="191"/>
        <v>0</v>
      </c>
      <c r="T388" s="8">
        <f t="shared" ca="1" si="192"/>
        <v>0</v>
      </c>
      <c r="U388" s="8">
        <f t="shared" ca="1" si="193"/>
        <v>0</v>
      </c>
      <c r="V388" s="8">
        <f t="shared" ca="1" si="194"/>
        <v>0</v>
      </c>
      <c r="W388" s="11" t="str">
        <f t="shared" ca="1" si="195"/>
        <v/>
      </c>
      <c r="X388" s="11" t="str">
        <f t="shared" ca="1" si="196"/>
        <v/>
      </c>
      <c r="Y388" s="11" t="str">
        <f t="shared" ca="1" si="197"/>
        <v/>
      </c>
      <c r="Z388" s="11" t="str">
        <f t="shared" ca="1" si="198"/>
        <v/>
      </c>
      <c r="AA388" s="11" t="str">
        <f t="shared" ca="1" si="199"/>
        <v/>
      </c>
      <c r="AB388" s="47">
        <f ca="1">PlayerGameData[[#This Row],[3FGA]]+PlayerGameData[[#This Row],[2FGA]]</f>
        <v>0</v>
      </c>
      <c r="AC388" s="47">
        <f ca="1">PlayerGameData[[#This Row],[OFF REB]]+PlayerGameData[[#This Row],[DEF REB]]</f>
        <v>0</v>
      </c>
      <c r="AD388" s="8">
        <f t="shared" si="180"/>
        <v>16</v>
      </c>
      <c r="AE388" s="8" t="str">
        <f t="shared" ca="1" si="181"/>
        <v>,  - Midwest 2/4/2023</v>
      </c>
      <c r="AF388" s="8" t="str">
        <f t="shared" ca="1" si="200"/>
        <v>R</v>
      </c>
      <c r="AG388" s="8" t="str">
        <f ca="1">IFERROR(IF(C388=0,"",IF(AND(VLOOKUP(PlayerGameData[[#This Row],[Opponent]],WYTeamInfo,2,FALSE)=Roster!$D$1,VLOOKUP(PlayerGameData[[#This Row],[Opponent]],WYTeamInfo,3,FALSE)=Roster!$D$2),"SR","")),"")</f>
        <v>SR</v>
      </c>
      <c r="AH388" s="8" t="str">
        <f>CONCATENATE(Roster!$D$1," ",Roster!$D$5)</f>
        <v>1A BB</v>
      </c>
      <c r="AI388" s="8" t="str">
        <f t="shared" ca="1" si="182"/>
        <v>Upton - Midwest 2/4/2023</v>
      </c>
      <c r="AJ388" s="8">
        <f ca="1">IFERROR(VLOOKUP(PlayerGameData[[#This Row],[School, Opponent,Game'#]],Table3[],2,FALSE),0)</f>
        <v>1</v>
      </c>
      <c r="AK388" s="8">
        <f ca="1">IF(PlayerGameData[[#This Row],[Visible]]=1,1,1000)</f>
        <v>1</v>
      </c>
      <c r="AL388" s="8">
        <f ca="1">RANK(PlayerGameData[[#This Row],[TL PTS]],PlayerGameData[TL PTS],0)+PlayerGameData[[#This Row],[VisibleOrder]]</f>
        <v>185</v>
      </c>
      <c r="AM388" s="8">
        <f ca="1">IF(COUNTIF(PlayerGameData[PointOrder],PlayerGameData[[#This Row],[PointOrder]])&gt;1,RANK(PlayerGameData[[#This Row],[FGA]],PlayerGameData[FGA],0)/100,0)+PlayerGameData[[#This Row],[PointOrder]]</f>
        <v>187.14</v>
      </c>
      <c r="AN388" s="8">
        <f ca="1">RANK(PlayerGameData[[#This Row],[PointTieBreak]],PlayerGameData[PointTieBreak],1)</f>
        <v>216</v>
      </c>
      <c r="AO388" s="8">
        <f ca="1">RANK(PlayerGameData[[#This Row],[REB]],PlayerGameData[REB],0)+PlayerGameData[[#This Row],[VisibleOrder]]</f>
        <v>192</v>
      </c>
      <c r="AP388" s="8">
        <f ca="1">IF(COUNTIF(PlayerGameData[REBOrder],PlayerGameData[[#This Row],[REBOrder]])&gt;1,PlayerGameData[[#This Row],[PointRank]]/100+PlayerGameData[[#This Row],[REBOrder]],PlayerGameData[[#This Row],[REBOrder]])</f>
        <v>194.16</v>
      </c>
      <c r="AQ388" s="8">
        <f ca="1">RANK(PlayerGameData[[#This Row],[REBTieBreak]],PlayerGameData[REBTieBreak],1)</f>
        <v>224</v>
      </c>
      <c r="AR388" s="8">
        <f ca="1">RANK(PlayerGameData[[#This Row],[AST]],PlayerGameData[AST],0)+PlayerGameData[[#This Row],[VisibleOrder]]</f>
        <v>158</v>
      </c>
      <c r="AS388" s="8">
        <f ca="1">IF(COUNTIF(PlayerGameData[ASTOrder],PlayerGameData[[#This Row],[ASTOrder]])&gt;1,PlayerGameData[[#This Row],[PointRank]]/100+PlayerGameData[[#This Row],[ASTOrder]],PlayerGameData[[#This Row],[ASTOrder]])</f>
        <v>160.16</v>
      </c>
      <c r="AT388" s="8">
        <f ca="1">RANK(PlayerGameData[[#This Row],[ASTTieBreak]],PlayerGameData[ASTTieBreak],1)</f>
        <v>221</v>
      </c>
      <c r="AU388" s="8">
        <f ca="1">RANK(PlayerGameData[[#This Row],[STL]],PlayerGameData[STL],0)+PlayerGameData[[#This Row],[VisibleOrder]]</f>
        <v>143</v>
      </c>
      <c r="AV388" s="8">
        <f ca="1">IF(COUNTIF(PlayerGameData[STLOrder],PlayerGameData[[#This Row],[STLOrder]])&gt;1,PlayerGameData[[#This Row],[PointRank]]/100+PlayerGameData[[#This Row],[STLOrder]],PlayerGameData[[#This Row],[STLOrder]])</f>
        <v>145.16</v>
      </c>
      <c r="AW388" s="8">
        <f ca="1">RANK(PlayerGameData[[#This Row],[STLTieBreak]],PlayerGameData[STLTieBreak],1)</f>
        <v>217</v>
      </c>
      <c r="AX388" s="8">
        <f ca="1">RANK(PlayerGameData[[#This Row],[BLK]],PlayerGameData[BLK],0)+PlayerGameData[[#This Row],[VisibleOrder]]</f>
        <v>32</v>
      </c>
      <c r="AY388" s="8">
        <f ca="1">IF(COUNTIF(PlayerGameData[BLKOrder],PlayerGameData[[#This Row],[BLKOrder]])&gt;1,PlayerGameData[[#This Row],[PointRank]]/100+PlayerGameData[[#This Row],[BLKOrder]],PlayerGameData[[#This Row],[BLKOrder]])</f>
        <v>34.159999999999997</v>
      </c>
      <c r="AZ388" s="8">
        <f ca="1">RANK(PlayerGameData[[#This Row],[BLKTieBreak]],PlayerGameData[BLKTieBreak],1)</f>
        <v>216</v>
      </c>
      <c r="BA388" s="11">
        <f ca="1">IFERROR(IF(PlayerGameData[[#This Row],[FGA]]&gt;$AA$5,PlayerGameData[[#This Row],[FG%*]],PlayerGameData[[#This Row],[FG%*]]*-1),-2)</f>
        <v>-2</v>
      </c>
      <c r="BB388" s="8">
        <f ca="1">RANK(PlayerGameData[[#This Row],[EligFG]],PlayerGameData[EligFG],0)+PlayerGameData[[#This Row],[VisibleOrder]]</f>
        <v>215</v>
      </c>
      <c r="BC388" s="8">
        <f ca="1">IF(COUNTIF(PlayerGameData[EligFGOrder],PlayerGameData[[#This Row],[EligFGOrder]])&gt;1,PlayerGameData[[#This Row],[PointRank]]/100+PlayerGameData[[#This Row],[EligFGOrder]],PlayerGameData[[#This Row],[EligFGOrder]])</f>
        <v>217.16</v>
      </c>
      <c r="BD388" s="8">
        <f ca="1">RANK(PlayerGameData[[#This Row],[EligFGTieBreak]],PlayerGameData[EligFGTieBreak],1)</f>
        <v>216</v>
      </c>
      <c r="BE388" s="8" t="str">
        <f>Roster!$D$3</f>
        <v>East</v>
      </c>
      <c r="BF388" s="8" t="str">
        <f>Roster!$D$2</f>
        <v>Northeast</v>
      </c>
      <c r="BG388" s="8" t="str">
        <f>Roster!$D$4</f>
        <v>North</v>
      </c>
      <c r="BH388" s="197">
        <f ca="1">IFERROR(VLOOKUP(CONCATENATE(PlayerGameData[[#This Row],[Opponent]]," ",MONTH(PlayerGameData[[#This Row],[Date]]),"/",DAY(PlayerGameData[[#This Row],[Date]]),"/",YEAR(PlayerGameData[[#This Row],[Date]])),Table35[],2,FALSE),0)</f>
        <v>1</v>
      </c>
      <c r="BI388" s="197">
        <f ca="1">IF(PlayerGameData[[#This Row],[Visible]]=1,1,1000)</f>
        <v>1</v>
      </c>
      <c r="BJ388" s="197" t="e">
        <f ca="1">_xlfn.MAXIFS(TeamGameData[Win],TeamGameData[School, Opponent,Game'#],PlayerGameData[[#This Row],[School, Opponent,Game'#]])</f>
        <v>#NAME?</v>
      </c>
      <c r="BK388" s="197" t="e">
        <f ca="1">_xlfn.MAXIFS(TeamGameData[Loss],TeamGameData[School, Opponent,Game'#],PlayerGameData[[#This Row],[School, Opponent,Game'#]])</f>
        <v>#NAME?</v>
      </c>
    </row>
    <row r="389" spans="1:63" x14ac:dyDescent="0.25">
      <c r="A389" s="8" t="str">
        <f t="shared" ca="1" si="183"/>
        <v xml:space="preserve">, </v>
      </c>
      <c r="B389" s="8" t="str">
        <f>Roster!$B$1</f>
        <v>Upton</v>
      </c>
      <c r="C389" s="8" t="str">
        <f t="shared" ca="1" si="171"/>
        <v>Midwest</v>
      </c>
      <c r="D389" s="10">
        <f t="shared" ca="1" si="172"/>
        <v>44961</v>
      </c>
      <c r="E389" s="8">
        <f t="shared" ca="1" si="173"/>
        <v>0</v>
      </c>
      <c r="F389" s="8">
        <f t="shared" ca="1" si="174"/>
        <v>0</v>
      </c>
      <c r="G389" s="8">
        <f t="shared" ca="1" si="175"/>
        <v>0</v>
      </c>
      <c r="H389" s="8">
        <f t="shared" ca="1" si="176"/>
        <v>0</v>
      </c>
      <c r="I389" s="8">
        <f t="shared" ca="1" si="177"/>
        <v>0</v>
      </c>
      <c r="J389" s="8">
        <f t="shared" ca="1" si="178"/>
        <v>0</v>
      </c>
      <c r="K389" s="8">
        <f t="shared" ca="1" si="179"/>
        <v>0</v>
      </c>
      <c r="L389" s="8">
        <f t="shared" ca="1" si="184"/>
        <v>0</v>
      </c>
      <c r="M389" s="8">
        <f t="shared" ca="1" si="185"/>
        <v>0</v>
      </c>
      <c r="N389" s="8">
        <f t="shared" ca="1" si="186"/>
        <v>0</v>
      </c>
      <c r="O389" s="8">
        <f t="shared" ca="1" si="187"/>
        <v>0</v>
      </c>
      <c r="P389" s="8">
        <f t="shared" ca="1" si="188"/>
        <v>0</v>
      </c>
      <c r="Q389" s="8">
        <f t="shared" ca="1" si="189"/>
        <v>0</v>
      </c>
      <c r="R389" s="8">
        <f t="shared" ca="1" si="190"/>
        <v>0</v>
      </c>
      <c r="S389" s="8">
        <f t="shared" ca="1" si="191"/>
        <v>0</v>
      </c>
      <c r="T389" s="8">
        <f t="shared" ca="1" si="192"/>
        <v>0</v>
      </c>
      <c r="U389" s="8">
        <f t="shared" ca="1" si="193"/>
        <v>0</v>
      </c>
      <c r="V389" s="8">
        <f t="shared" ca="1" si="194"/>
        <v>0</v>
      </c>
      <c r="W389" s="11" t="str">
        <f t="shared" ca="1" si="195"/>
        <v/>
      </c>
      <c r="X389" s="11" t="str">
        <f t="shared" ca="1" si="196"/>
        <v/>
      </c>
      <c r="Y389" s="11" t="str">
        <f t="shared" ca="1" si="197"/>
        <v/>
      </c>
      <c r="Z389" s="11" t="str">
        <f t="shared" ca="1" si="198"/>
        <v/>
      </c>
      <c r="AA389" s="11" t="str">
        <f t="shared" ca="1" si="199"/>
        <v/>
      </c>
      <c r="AB389" s="47">
        <f ca="1">PlayerGameData[[#This Row],[3FGA]]+PlayerGameData[[#This Row],[2FGA]]</f>
        <v>0</v>
      </c>
      <c r="AC389" s="47">
        <f ca="1">PlayerGameData[[#This Row],[OFF REB]]+PlayerGameData[[#This Row],[DEF REB]]</f>
        <v>0</v>
      </c>
      <c r="AD389" s="8">
        <f t="shared" si="180"/>
        <v>16</v>
      </c>
      <c r="AE389" s="8" t="str">
        <f t="shared" ca="1" si="181"/>
        <v>,  - Midwest 2/4/2023</v>
      </c>
      <c r="AF389" s="8" t="str">
        <f t="shared" ca="1" si="200"/>
        <v>R</v>
      </c>
      <c r="AG389" s="8" t="str">
        <f ca="1">IFERROR(IF(C389=0,"",IF(AND(VLOOKUP(PlayerGameData[[#This Row],[Opponent]],WYTeamInfo,2,FALSE)=Roster!$D$1,VLOOKUP(PlayerGameData[[#This Row],[Opponent]],WYTeamInfo,3,FALSE)=Roster!$D$2),"SR","")),"")</f>
        <v>SR</v>
      </c>
      <c r="AH389" s="8" t="str">
        <f>CONCATENATE(Roster!$D$1," ",Roster!$D$5)</f>
        <v>1A BB</v>
      </c>
      <c r="AI389" s="8" t="str">
        <f t="shared" ca="1" si="182"/>
        <v>Upton - Midwest 2/4/2023</v>
      </c>
      <c r="AJ389" s="8">
        <f ca="1">IFERROR(VLOOKUP(PlayerGameData[[#This Row],[School, Opponent,Game'#]],Table3[],2,FALSE),0)</f>
        <v>1</v>
      </c>
      <c r="AK389" s="8">
        <f ca="1">IF(PlayerGameData[[#This Row],[Visible]]=1,1,1000)</f>
        <v>1</v>
      </c>
      <c r="AL389" s="8">
        <f ca="1">RANK(PlayerGameData[[#This Row],[TL PTS]],PlayerGameData[TL PTS],0)+PlayerGameData[[#This Row],[VisibleOrder]]</f>
        <v>185</v>
      </c>
      <c r="AM389" s="8">
        <f ca="1">IF(COUNTIF(PlayerGameData[PointOrder],PlayerGameData[[#This Row],[PointOrder]])&gt;1,RANK(PlayerGameData[[#This Row],[FGA]],PlayerGameData[FGA],0)/100,0)+PlayerGameData[[#This Row],[PointOrder]]</f>
        <v>187.14</v>
      </c>
      <c r="AN389" s="8">
        <f ca="1">RANK(PlayerGameData[[#This Row],[PointTieBreak]],PlayerGameData[PointTieBreak],1)</f>
        <v>216</v>
      </c>
      <c r="AO389" s="8">
        <f ca="1">RANK(PlayerGameData[[#This Row],[REB]],PlayerGameData[REB],0)+PlayerGameData[[#This Row],[VisibleOrder]]</f>
        <v>192</v>
      </c>
      <c r="AP389" s="8">
        <f ca="1">IF(COUNTIF(PlayerGameData[REBOrder],PlayerGameData[[#This Row],[REBOrder]])&gt;1,PlayerGameData[[#This Row],[PointRank]]/100+PlayerGameData[[#This Row],[REBOrder]],PlayerGameData[[#This Row],[REBOrder]])</f>
        <v>194.16</v>
      </c>
      <c r="AQ389" s="8">
        <f ca="1">RANK(PlayerGameData[[#This Row],[REBTieBreak]],PlayerGameData[REBTieBreak],1)</f>
        <v>224</v>
      </c>
      <c r="AR389" s="8">
        <f ca="1">RANK(PlayerGameData[[#This Row],[AST]],PlayerGameData[AST],0)+PlayerGameData[[#This Row],[VisibleOrder]]</f>
        <v>158</v>
      </c>
      <c r="AS389" s="8">
        <f ca="1">IF(COUNTIF(PlayerGameData[ASTOrder],PlayerGameData[[#This Row],[ASTOrder]])&gt;1,PlayerGameData[[#This Row],[PointRank]]/100+PlayerGameData[[#This Row],[ASTOrder]],PlayerGameData[[#This Row],[ASTOrder]])</f>
        <v>160.16</v>
      </c>
      <c r="AT389" s="8">
        <f ca="1">RANK(PlayerGameData[[#This Row],[ASTTieBreak]],PlayerGameData[ASTTieBreak],1)</f>
        <v>221</v>
      </c>
      <c r="AU389" s="8">
        <f ca="1">RANK(PlayerGameData[[#This Row],[STL]],PlayerGameData[STL],0)+PlayerGameData[[#This Row],[VisibleOrder]]</f>
        <v>143</v>
      </c>
      <c r="AV389" s="8">
        <f ca="1">IF(COUNTIF(PlayerGameData[STLOrder],PlayerGameData[[#This Row],[STLOrder]])&gt;1,PlayerGameData[[#This Row],[PointRank]]/100+PlayerGameData[[#This Row],[STLOrder]],PlayerGameData[[#This Row],[STLOrder]])</f>
        <v>145.16</v>
      </c>
      <c r="AW389" s="8">
        <f ca="1">RANK(PlayerGameData[[#This Row],[STLTieBreak]],PlayerGameData[STLTieBreak],1)</f>
        <v>217</v>
      </c>
      <c r="AX389" s="8">
        <f ca="1">RANK(PlayerGameData[[#This Row],[BLK]],PlayerGameData[BLK],0)+PlayerGameData[[#This Row],[VisibleOrder]]</f>
        <v>32</v>
      </c>
      <c r="AY389" s="8">
        <f ca="1">IF(COUNTIF(PlayerGameData[BLKOrder],PlayerGameData[[#This Row],[BLKOrder]])&gt;1,PlayerGameData[[#This Row],[PointRank]]/100+PlayerGameData[[#This Row],[BLKOrder]],PlayerGameData[[#This Row],[BLKOrder]])</f>
        <v>34.159999999999997</v>
      </c>
      <c r="AZ389" s="8">
        <f ca="1">RANK(PlayerGameData[[#This Row],[BLKTieBreak]],PlayerGameData[BLKTieBreak],1)</f>
        <v>216</v>
      </c>
      <c r="BA389" s="11">
        <f ca="1">IFERROR(IF(PlayerGameData[[#This Row],[FGA]]&gt;$AA$5,PlayerGameData[[#This Row],[FG%*]],PlayerGameData[[#This Row],[FG%*]]*-1),-2)</f>
        <v>-2</v>
      </c>
      <c r="BB389" s="8">
        <f ca="1">RANK(PlayerGameData[[#This Row],[EligFG]],PlayerGameData[EligFG],0)+PlayerGameData[[#This Row],[VisibleOrder]]</f>
        <v>215</v>
      </c>
      <c r="BC389" s="8">
        <f ca="1">IF(COUNTIF(PlayerGameData[EligFGOrder],PlayerGameData[[#This Row],[EligFGOrder]])&gt;1,PlayerGameData[[#This Row],[PointRank]]/100+PlayerGameData[[#This Row],[EligFGOrder]],PlayerGameData[[#This Row],[EligFGOrder]])</f>
        <v>217.16</v>
      </c>
      <c r="BD389" s="8">
        <f ca="1">RANK(PlayerGameData[[#This Row],[EligFGTieBreak]],PlayerGameData[EligFGTieBreak],1)</f>
        <v>216</v>
      </c>
      <c r="BE389" s="8" t="str">
        <f>Roster!$D$3</f>
        <v>East</v>
      </c>
      <c r="BF389" s="8" t="str">
        <f>Roster!$D$2</f>
        <v>Northeast</v>
      </c>
      <c r="BG389" s="8" t="str">
        <f>Roster!$D$4</f>
        <v>North</v>
      </c>
      <c r="BH389" s="197">
        <f ca="1">IFERROR(VLOOKUP(CONCATENATE(PlayerGameData[[#This Row],[Opponent]]," ",MONTH(PlayerGameData[[#This Row],[Date]]),"/",DAY(PlayerGameData[[#This Row],[Date]]),"/",YEAR(PlayerGameData[[#This Row],[Date]])),Table35[],2,FALSE),0)</f>
        <v>1</v>
      </c>
      <c r="BI389" s="197">
        <f ca="1">IF(PlayerGameData[[#This Row],[Visible]]=1,1,1000)</f>
        <v>1</v>
      </c>
      <c r="BJ389" s="197" t="e">
        <f ca="1">_xlfn.MAXIFS(TeamGameData[Win],TeamGameData[School, Opponent,Game'#],PlayerGameData[[#This Row],[School, Opponent,Game'#]])</f>
        <v>#NAME?</v>
      </c>
      <c r="BK389" s="197" t="e">
        <f ca="1">_xlfn.MAXIFS(TeamGameData[Loss],TeamGameData[School, Opponent,Game'#],PlayerGameData[[#This Row],[School, Opponent,Game'#]])</f>
        <v>#NAME?</v>
      </c>
    </row>
    <row r="390" spans="1:63" x14ac:dyDescent="0.25">
      <c r="A390" s="8" t="str">
        <f t="shared" ca="1" si="183"/>
        <v xml:space="preserve">Team, </v>
      </c>
      <c r="B390" s="8" t="str">
        <f>Roster!$B$1</f>
        <v>Upton</v>
      </c>
      <c r="C390" s="8" t="str">
        <f t="shared" ca="1" si="171"/>
        <v>Midwest</v>
      </c>
      <c r="D390" s="10">
        <f t="shared" ca="1" si="172"/>
        <v>44961</v>
      </c>
      <c r="E390" s="8">
        <f t="shared" ca="1" si="173"/>
        <v>0</v>
      </c>
      <c r="F390" s="8">
        <f t="shared" ca="1" si="174"/>
        <v>0</v>
      </c>
      <c r="G390" s="8">
        <f t="shared" ca="1" si="175"/>
        <v>0</v>
      </c>
      <c r="H390" s="8">
        <f t="shared" ca="1" si="176"/>
        <v>0</v>
      </c>
      <c r="I390" s="8">
        <f t="shared" ca="1" si="177"/>
        <v>0</v>
      </c>
      <c r="J390" s="8">
        <f t="shared" ca="1" si="178"/>
        <v>0</v>
      </c>
      <c r="K390" s="8">
        <f t="shared" ca="1" si="179"/>
        <v>0</v>
      </c>
      <c r="L390" s="8">
        <f t="shared" ca="1" si="184"/>
        <v>0</v>
      </c>
      <c r="M390" s="8">
        <f t="shared" ca="1" si="185"/>
        <v>0</v>
      </c>
      <c r="N390" s="8">
        <f t="shared" ca="1" si="186"/>
        <v>0</v>
      </c>
      <c r="O390" s="8">
        <f t="shared" ca="1" si="187"/>
        <v>0</v>
      </c>
      <c r="P390" s="8">
        <f t="shared" ca="1" si="188"/>
        <v>0</v>
      </c>
      <c r="Q390" s="8">
        <f t="shared" ca="1" si="189"/>
        <v>0</v>
      </c>
      <c r="R390" s="8">
        <f t="shared" ca="1" si="190"/>
        <v>0</v>
      </c>
      <c r="S390" s="8">
        <f t="shared" ca="1" si="191"/>
        <v>0</v>
      </c>
      <c r="T390" s="8">
        <f t="shared" ca="1" si="192"/>
        <v>0</v>
      </c>
      <c r="U390" s="8">
        <f t="shared" ca="1" si="193"/>
        <v>0</v>
      </c>
      <c r="V390" s="8">
        <f t="shared" ca="1" si="194"/>
        <v>0</v>
      </c>
      <c r="W390" s="11" t="str">
        <f t="shared" ca="1" si="195"/>
        <v/>
      </c>
      <c r="X390" s="11" t="str">
        <f t="shared" ca="1" si="196"/>
        <v/>
      </c>
      <c r="Y390" s="11" t="str">
        <f t="shared" ca="1" si="197"/>
        <v/>
      </c>
      <c r="Z390" s="11" t="str">
        <f t="shared" ca="1" si="198"/>
        <v/>
      </c>
      <c r="AA390" s="11" t="str">
        <f t="shared" ca="1" si="199"/>
        <v/>
      </c>
      <c r="AB390" s="47">
        <f ca="1">PlayerGameData[[#This Row],[3FGA]]+PlayerGameData[[#This Row],[2FGA]]</f>
        <v>0</v>
      </c>
      <c r="AC390" s="47">
        <f ca="1">PlayerGameData[[#This Row],[OFF REB]]+PlayerGameData[[#This Row],[DEF REB]]</f>
        <v>0</v>
      </c>
      <c r="AD390" s="8">
        <f t="shared" si="180"/>
        <v>16</v>
      </c>
      <c r="AE390" s="8" t="str">
        <f t="shared" ca="1" si="181"/>
        <v>Team,  - Midwest 2/4/2023</v>
      </c>
      <c r="AF390" s="8" t="str">
        <f t="shared" ca="1" si="200"/>
        <v>R</v>
      </c>
      <c r="AG390" s="8" t="str">
        <f ca="1">IFERROR(IF(C390=0,"",IF(AND(VLOOKUP(PlayerGameData[[#This Row],[Opponent]],WYTeamInfo,2,FALSE)=Roster!$D$1,VLOOKUP(PlayerGameData[[#This Row],[Opponent]],WYTeamInfo,3,FALSE)=Roster!$D$2),"SR","")),"")</f>
        <v>SR</v>
      </c>
      <c r="AH390" s="8" t="str">
        <f>CONCATENATE(Roster!$D$1," ",Roster!$D$5)</f>
        <v>1A BB</v>
      </c>
      <c r="AI390" s="8" t="str">
        <f t="shared" ca="1" si="182"/>
        <v>Upton - Midwest 2/4/2023</v>
      </c>
      <c r="AJ390" s="8">
        <f ca="1">IFERROR(VLOOKUP(PlayerGameData[[#This Row],[School, Opponent,Game'#]],Table3[],2,FALSE),0)</f>
        <v>1</v>
      </c>
      <c r="AK390" s="8">
        <f ca="1">IF(PlayerGameData[[#This Row],[Visible]]=1,1,1000)</f>
        <v>1</v>
      </c>
      <c r="AL390" s="8">
        <f ca="1">RANK(PlayerGameData[[#This Row],[TL PTS]],PlayerGameData[TL PTS],0)+PlayerGameData[[#This Row],[VisibleOrder]]</f>
        <v>185</v>
      </c>
      <c r="AM390" s="8">
        <f ca="1">IF(COUNTIF(PlayerGameData[PointOrder],PlayerGameData[[#This Row],[PointOrder]])&gt;1,RANK(PlayerGameData[[#This Row],[FGA]],PlayerGameData[FGA],0)/100,0)+PlayerGameData[[#This Row],[PointOrder]]</f>
        <v>187.14</v>
      </c>
      <c r="AN390" s="8">
        <f ca="1">RANK(PlayerGameData[[#This Row],[PointTieBreak]],PlayerGameData[PointTieBreak],1)</f>
        <v>216</v>
      </c>
      <c r="AO390" s="8">
        <f ca="1">RANK(PlayerGameData[[#This Row],[REB]],PlayerGameData[REB],0)+PlayerGameData[[#This Row],[VisibleOrder]]</f>
        <v>192</v>
      </c>
      <c r="AP390" s="8">
        <f ca="1">IF(COUNTIF(PlayerGameData[REBOrder],PlayerGameData[[#This Row],[REBOrder]])&gt;1,PlayerGameData[[#This Row],[PointRank]]/100+PlayerGameData[[#This Row],[REBOrder]],PlayerGameData[[#This Row],[REBOrder]])</f>
        <v>194.16</v>
      </c>
      <c r="AQ390" s="8">
        <f ca="1">RANK(PlayerGameData[[#This Row],[REBTieBreak]],PlayerGameData[REBTieBreak],1)</f>
        <v>224</v>
      </c>
      <c r="AR390" s="8">
        <f ca="1">RANK(PlayerGameData[[#This Row],[AST]],PlayerGameData[AST],0)+PlayerGameData[[#This Row],[VisibleOrder]]</f>
        <v>158</v>
      </c>
      <c r="AS390" s="8">
        <f ca="1">IF(COUNTIF(PlayerGameData[ASTOrder],PlayerGameData[[#This Row],[ASTOrder]])&gt;1,PlayerGameData[[#This Row],[PointRank]]/100+PlayerGameData[[#This Row],[ASTOrder]],PlayerGameData[[#This Row],[ASTOrder]])</f>
        <v>160.16</v>
      </c>
      <c r="AT390" s="8">
        <f ca="1">RANK(PlayerGameData[[#This Row],[ASTTieBreak]],PlayerGameData[ASTTieBreak],1)</f>
        <v>221</v>
      </c>
      <c r="AU390" s="8">
        <f ca="1">RANK(PlayerGameData[[#This Row],[STL]],PlayerGameData[STL],0)+PlayerGameData[[#This Row],[VisibleOrder]]</f>
        <v>143</v>
      </c>
      <c r="AV390" s="8">
        <f ca="1">IF(COUNTIF(PlayerGameData[STLOrder],PlayerGameData[[#This Row],[STLOrder]])&gt;1,PlayerGameData[[#This Row],[PointRank]]/100+PlayerGameData[[#This Row],[STLOrder]],PlayerGameData[[#This Row],[STLOrder]])</f>
        <v>145.16</v>
      </c>
      <c r="AW390" s="8">
        <f ca="1">RANK(PlayerGameData[[#This Row],[STLTieBreak]],PlayerGameData[STLTieBreak],1)</f>
        <v>217</v>
      </c>
      <c r="AX390" s="8">
        <f ca="1">RANK(PlayerGameData[[#This Row],[BLK]],PlayerGameData[BLK],0)+PlayerGameData[[#This Row],[VisibleOrder]]</f>
        <v>32</v>
      </c>
      <c r="AY390" s="8">
        <f ca="1">IF(COUNTIF(PlayerGameData[BLKOrder],PlayerGameData[[#This Row],[BLKOrder]])&gt;1,PlayerGameData[[#This Row],[PointRank]]/100+PlayerGameData[[#This Row],[BLKOrder]],PlayerGameData[[#This Row],[BLKOrder]])</f>
        <v>34.159999999999997</v>
      </c>
      <c r="AZ390" s="8">
        <f ca="1">RANK(PlayerGameData[[#This Row],[BLKTieBreak]],PlayerGameData[BLKTieBreak],1)</f>
        <v>216</v>
      </c>
      <c r="BA390" s="11">
        <f ca="1">IFERROR(IF(PlayerGameData[[#This Row],[FGA]]&gt;$AA$5,PlayerGameData[[#This Row],[FG%*]],PlayerGameData[[#This Row],[FG%*]]*-1),-2)</f>
        <v>-2</v>
      </c>
      <c r="BB390" s="8">
        <f ca="1">RANK(PlayerGameData[[#This Row],[EligFG]],PlayerGameData[EligFG],0)+PlayerGameData[[#This Row],[VisibleOrder]]</f>
        <v>215</v>
      </c>
      <c r="BC390" s="8">
        <f ca="1">IF(COUNTIF(PlayerGameData[EligFGOrder],PlayerGameData[[#This Row],[EligFGOrder]])&gt;1,PlayerGameData[[#This Row],[PointRank]]/100+PlayerGameData[[#This Row],[EligFGOrder]],PlayerGameData[[#This Row],[EligFGOrder]])</f>
        <v>217.16</v>
      </c>
      <c r="BD390" s="8">
        <f ca="1">RANK(PlayerGameData[[#This Row],[EligFGTieBreak]],PlayerGameData[EligFGTieBreak],1)</f>
        <v>216</v>
      </c>
      <c r="BE390" s="8" t="str">
        <f>Roster!$D$3</f>
        <v>East</v>
      </c>
      <c r="BF390" s="8" t="str">
        <f>Roster!$D$2</f>
        <v>Northeast</v>
      </c>
      <c r="BG390" s="8" t="str">
        <f>Roster!$D$4</f>
        <v>North</v>
      </c>
      <c r="BH390" s="197">
        <f ca="1">IFERROR(VLOOKUP(CONCATENATE(PlayerGameData[[#This Row],[Opponent]]," ",MONTH(PlayerGameData[[#This Row],[Date]]),"/",DAY(PlayerGameData[[#This Row],[Date]]),"/",YEAR(PlayerGameData[[#This Row],[Date]])),Table35[],2,FALSE),0)</f>
        <v>1</v>
      </c>
      <c r="BI390" s="197">
        <f ca="1">IF(PlayerGameData[[#This Row],[Visible]]=1,1,1000)</f>
        <v>1</v>
      </c>
      <c r="BJ390" s="197" t="e">
        <f ca="1">_xlfn.MAXIFS(TeamGameData[Win],TeamGameData[School, Opponent,Game'#],PlayerGameData[[#This Row],[School, Opponent,Game'#]])</f>
        <v>#NAME?</v>
      </c>
      <c r="BK390" s="197" t="e">
        <f ca="1">_xlfn.MAXIFS(TeamGameData[Loss],TeamGameData[School, Opponent,Game'#],PlayerGameData[[#This Row],[School, Opponent,Game'#]])</f>
        <v>#NAME?</v>
      </c>
    </row>
    <row r="391" spans="1:63" x14ac:dyDescent="0.25">
      <c r="A391" s="8" t="str">
        <f t="shared" ca="1" si="183"/>
        <v>Landon Butler, 1</v>
      </c>
      <c r="B391" s="8" t="str">
        <f>Roster!$B$1</f>
        <v>Upton</v>
      </c>
      <c r="C391" s="8" t="str">
        <f t="shared" ref="C391:C454" ca="1" si="201">INDIRECT("'game1 ("&amp;$AD391&amp;")'!$b$3")</f>
        <v>Sundance</v>
      </c>
      <c r="D391" s="10">
        <f t="shared" ref="D391:D454" ca="1" si="202">INDIRECT("'game1 ("&amp;$AD391&amp;")'!$m$4")</f>
        <v>44964</v>
      </c>
      <c r="E391" s="8">
        <f t="shared" ref="E391:E454" ca="1" si="203">INDIRECT("'game1 ("&amp;$AD391&amp;")'!"&amp;ADDRESS(ROW(A$7)+MOD(ROW(A391)-7,24),COLUMN(D391)))</f>
        <v>0</v>
      </c>
      <c r="F391" s="8">
        <f t="shared" ref="F391:F454" ca="1" si="204">IF(INDIRECT("'game1 ("&amp;$AD391&amp;")'!"&amp;ADDRESS(ROW(B$7)+MOD(ROW(B391)-7,24),COLUMN(C391)))="s",1,0)</f>
        <v>0</v>
      </c>
      <c r="G391" s="8">
        <f t="shared" ref="G391:G454" ca="1" si="205">INDIRECT("'game1 ("&amp;$AD391&amp;")'!"&amp;ADDRESS(ROW(B$7)+MOD(ROW(B391)-7,24),COLUMN(E391)))</f>
        <v>0</v>
      </c>
      <c r="H391" s="8">
        <f t="shared" ref="H391:H454" ca="1" si="206">INDIRECT("'game1 ("&amp;$AD391&amp;")'!"&amp;ADDRESS(ROW(B$7)+MOD(ROW(B391)-7,24),COLUMN(F391)))</f>
        <v>0</v>
      </c>
      <c r="I391" s="8">
        <f t="shared" ref="I391:I454" ca="1" si="207">INDIRECT("'game1 ("&amp;$AD391&amp;")'!"&amp;ADDRESS(ROW(C$7)+MOD(ROW(C391)-7,24),COLUMN(G391)))</f>
        <v>0</v>
      </c>
      <c r="J391" s="8">
        <f t="shared" ref="J391:J454" ca="1" si="208">INDIRECT("'game1 ("&amp;$AD391&amp;")'!"&amp;ADDRESS(ROW(D$7)+MOD(ROW(D391)-7,24),COLUMN(H391)))</f>
        <v>0</v>
      </c>
      <c r="K391" s="8">
        <f t="shared" ref="K391:K454" ca="1" si="209">INDIRECT("'game1 ("&amp;$AD391&amp;")'!"&amp;ADDRESS(ROW(E$7)+MOD(ROW(E391)-7,24),COLUMN(I391)))</f>
        <v>0</v>
      </c>
      <c r="L391" s="8">
        <f t="shared" ca="1" si="184"/>
        <v>0</v>
      </c>
      <c r="M391" s="8">
        <f t="shared" ca="1" si="185"/>
        <v>0</v>
      </c>
      <c r="N391" s="8">
        <f t="shared" ca="1" si="186"/>
        <v>0</v>
      </c>
      <c r="O391" s="8">
        <f t="shared" ca="1" si="187"/>
        <v>0</v>
      </c>
      <c r="P391" s="8">
        <f t="shared" ca="1" si="188"/>
        <v>0</v>
      </c>
      <c r="Q391" s="8">
        <f t="shared" ca="1" si="189"/>
        <v>0</v>
      </c>
      <c r="R391" s="8">
        <f t="shared" ca="1" si="190"/>
        <v>0</v>
      </c>
      <c r="S391" s="8">
        <f t="shared" ca="1" si="191"/>
        <v>0</v>
      </c>
      <c r="T391" s="8">
        <f t="shared" ca="1" si="192"/>
        <v>0</v>
      </c>
      <c r="U391" s="8">
        <f t="shared" ca="1" si="193"/>
        <v>0</v>
      </c>
      <c r="V391" s="8">
        <f t="shared" ca="1" si="194"/>
        <v>0</v>
      </c>
      <c r="W391" s="11" t="str">
        <f t="shared" ca="1" si="195"/>
        <v/>
      </c>
      <c r="X391" s="11" t="str">
        <f t="shared" ca="1" si="196"/>
        <v/>
      </c>
      <c r="Y391" s="11" t="str">
        <f t="shared" ca="1" si="197"/>
        <v/>
      </c>
      <c r="Z391" s="11" t="str">
        <f t="shared" ca="1" si="198"/>
        <v/>
      </c>
      <c r="AA391" s="11" t="str">
        <f t="shared" ca="1" si="199"/>
        <v/>
      </c>
      <c r="AB391" s="47">
        <f ca="1">PlayerGameData[[#This Row],[3FGA]]+PlayerGameData[[#This Row],[2FGA]]</f>
        <v>0</v>
      </c>
      <c r="AC391" s="47">
        <f ca="1">PlayerGameData[[#This Row],[OFF REB]]+PlayerGameData[[#This Row],[DEF REB]]</f>
        <v>0</v>
      </c>
      <c r="AD391" s="8">
        <f t="shared" ref="AD391:AD454" si="210">INT((ROW(A391)-7)/24)+1</f>
        <v>17</v>
      </c>
      <c r="AE391" s="8" t="str">
        <f t="shared" ref="AE391:AE454" ca="1" si="211">CONCATENATE(A391," - ",C391," ",MONTH(D391),"/",DAY(D391),"/",YEAR(D391))</f>
        <v>Landon Butler, 1 - Sundance 2/7/2023</v>
      </c>
      <c r="AF391" s="8" t="str">
        <f t="shared" ca="1" si="200"/>
        <v/>
      </c>
      <c r="AG391" s="8" t="str">
        <f ca="1">IFERROR(IF(C391=0,"",IF(AND(VLOOKUP(PlayerGameData[[#This Row],[Opponent]],WYTeamInfo,2,FALSE)=Roster!$D$1,VLOOKUP(PlayerGameData[[#This Row],[Opponent]],WYTeamInfo,3,FALSE)=Roster!$D$2),"SR","")),"")</f>
        <v/>
      </c>
      <c r="AH391" s="8" t="str">
        <f>CONCATENATE(Roster!$D$1," ",Roster!$D$5)</f>
        <v>1A BB</v>
      </c>
      <c r="AI391" s="8" t="str">
        <f t="shared" ref="AI391:AI454" ca="1" si="212">IF($C391&lt;&gt;0,CONCATENATE($B391," - ",$C391," ",MONTH($D391),"/",DAY($D391),"/",YEAR($D391)),"Blank")</f>
        <v>Upton - Sundance 2/7/2023</v>
      </c>
      <c r="AJ391" s="8">
        <f ca="1">IFERROR(VLOOKUP(PlayerGameData[[#This Row],[School, Opponent,Game'#]],Table3[],2,FALSE),0)</f>
        <v>1</v>
      </c>
      <c r="AK391" s="8">
        <f ca="1">IF(PlayerGameData[[#This Row],[Visible]]=1,1,1000)</f>
        <v>1</v>
      </c>
      <c r="AL391" s="8">
        <f ca="1">RANK(PlayerGameData[[#This Row],[TL PTS]],PlayerGameData[TL PTS],0)+PlayerGameData[[#This Row],[VisibleOrder]]</f>
        <v>185</v>
      </c>
      <c r="AM391" s="8">
        <f ca="1">IF(COUNTIF(PlayerGameData[PointOrder],PlayerGameData[[#This Row],[PointOrder]])&gt;1,RANK(PlayerGameData[[#This Row],[FGA]],PlayerGameData[FGA],0)/100,0)+PlayerGameData[[#This Row],[PointOrder]]</f>
        <v>187.14</v>
      </c>
      <c r="AN391" s="8">
        <f ca="1">RANK(PlayerGameData[[#This Row],[PointTieBreak]],PlayerGameData[PointTieBreak],1)</f>
        <v>216</v>
      </c>
      <c r="AO391" s="8">
        <f ca="1">RANK(PlayerGameData[[#This Row],[REB]],PlayerGameData[REB],0)+PlayerGameData[[#This Row],[VisibleOrder]]</f>
        <v>192</v>
      </c>
      <c r="AP391" s="8">
        <f ca="1">IF(COUNTIF(PlayerGameData[REBOrder],PlayerGameData[[#This Row],[REBOrder]])&gt;1,PlayerGameData[[#This Row],[PointRank]]/100+PlayerGameData[[#This Row],[REBOrder]],PlayerGameData[[#This Row],[REBOrder]])</f>
        <v>194.16</v>
      </c>
      <c r="AQ391" s="8">
        <f ca="1">RANK(PlayerGameData[[#This Row],[REBTieBreak]],PlayerGameData[REBTieBreak],1)</f>
        <v>224</v>
      </c>
      <c r="AR391" s="8">
        <f ca="1">RANK(PlayerGameData[[#This Row],[AST]],PlayerGameData[AST],0)+PlayerGameData[[#This Row],[VisibleOrder]]</f>
        <v>158</v>
      </c>
      <c r="AS391" s="8">
        <f ca="1">IF(COUNTIF(PlayerGameData[ASTOrder],PlayerGameData[[#This Row],[ASTOrder]])&gt;1,PlayerGameData[[#This Row],[PointRank]]/100+PlayerGameData[[#This Row],[ASTOrder]],PlayerGameData[[#This Row],[ASTOrder]])</f>
        <v>160.16</v>
      </c>
      <c r="AT391" s="8">
        <f ca="1">RANK(PlayerGameData[[#This Row],[ASTTieBreak]],PlayerGameData[ASTTieBreak],1)</f>
        <v>221</v>
      </c>
      <c r="AU391" s="8">
        <f ca="1">RANK(PlayerGameData[[#This Row],[STL]],PlayerGameData[STL],0)+PlayerGameData[[#This Row],[VisibleOrder]]</f>
        <v>143</v>
      </c>
      <c r="AV391" s="8">
        <f ca="1">IF(COUNTIF(PlayerGameData[STLOrder],PlayerGameData[[#This Row],[STLOrder]])&gt;1,PlayerGameData[[#This Row],[PointRank]]/100+PlayerGameData[[#This Row],[STLOrder]],PlayerGameData[[#This Row],[STLOrder]])</f>
        <v>145.16</v>
      </c>
      <c r="AW391" s="8">
        <f ca="1">RANK(PlayerGameData[[#This Row],[STLTieBreak]],PlayerGameData[STLTieBreak],1)</f>
        <v>217</v>
      </c>
      <c r="AX391" s="8">
        <f ca="1">RANK(PlayerGameData[[#This Row],[BLK]],PlayerGameData[BLK],0)+PlayerGameData[[#This Row],[VisibleOrder]]</f>
        <v>32</v>
      </c>
      <c r="AY391" s="8">
        <f ca="1">IF(COUNTIF(PlayerGameData[BLKOrder],PlayerGameData[[#This Row],[BLKOrder]])&gt;1,PlayerGameData[[#This Row],[PointRank]]/100+PlayerGameData[[#This Row],[BLKOrder]],PlayerGameData[[#This Row],[BLKOrder]])</f>
        <v>34.159999999999997</v>
      </c>
      <c r="AZ391" s="8">
        <f ca="1">RANK(PlayerGameData[[#This Row],[BLKTieBreak]],PlayerGameData[BLKTieBreak],1)</f>
        <v>216</v>
      </c>
      <c r="BA391" s="11">
        <f ca="1">IFERROR(IF(PlayerGameData[[#This Row],[FGA]]&gt;$AA$5,PlayerGameData[[#This Row],[FG%*]],PlayerGameData[[#This Row],[FG%*]]*-1),-2)</f>
        <v>-2</v>
      </c>
      <c r="BB391" s="8">
        <f ca="1">RANK(PlayerGameData[[#This Row],[EligFG]],PlayerGameData[EligFG],0)+PlayerGameData[[#This Row],[VisibleOrder]]</f>
        <v>215</v>
      </c>
      <c r="BC391" s="8">
        <f ca="1">IF(COUNTIF(PlayerGameData[EligFGOrder],PlayerGameData[[#This Row],[EligFGOrder]])&gt;1,PlayerGameData[[#This Row],[PointRank]]/100+PlayerGameData[[#This Row],[EligFGOrder]],PlayerGameData[[#This Row],[EligFGOrder]])</f>
        <v>217.16</v>
      </c>
      <c r="BD391" s="8">
        <f ca="1">RANK(PlayerGameData[[#This Row],[EligFGTieBreak]],PlayerGameData[EligFGTieBreak],1)</f>
        <v>216</v>
      </c>
      <c r="BE391" s="8" t="str">
        <f>Roster!$D$3</f>
        <v>East</v>
      </c>
      <c r="BF391" s="8" t="str">
        <f>Roster!$D$2</f>
        <v>Northeast</v>
      </c>
      <c r="BG391" s="8" t="str">
        <f>Roster!$D$4</f>
        <v>North</v>
      </c>
      <c r="BH391" s="197">
        <f ca="1">IFERROR(VLOOKUP(CONCATENATE(PlayerGameData[[#This Row],[Opponent]]," ",MONTH(PlayerGameData[[#This Row],[Date]]),"/",DAY(PlayerGameData[[#This Row],[Date]]),"/",YEAR(PlayerGameData[[#This Row],[Date]])),Table35[],2,FALSE),0)</f>
        <v>1</v>
      </c>
      <c r="BI391" s="197">
        <f ca="1">IF(PlayerGameData[[#This Row],[Visible]]=1,1,1000)</f>
        <v>1</v>
      </c>
      <c r="BJ391" s="197" t="e">
        <f ca="1">_xlfn.MAXIFS(TeamGameData[Win],TeamGameData[School, Opponent,Game'#],PlayerGameData[[#This Row],[School, Opponent,Game'#]])</f>
        <v>#NAME?</v>
      </c>
      <c r="BK391" s="197" t="e">
        <f ca="1">_xlfn.MAXIFS(TeamGameData[Loss],TeamGameData[School, Opponent,Game'#],PlayerGameData[[#This Row],[School, Opponent,Game'#]])</f>
        <v>#NAME?</v>
      </c>
    </row>
    <row r="392" spans="1:63" x14ac:dyDescent="0.25">
      <c r="A392" s="8" t="str">
        <f t="shared" ref="A392:A455" ca="1" si="213">CONCATENATE(INDIRECT("Roster!B"&amp;ROW(A$7)+MOD(ROW(A392)-7,24)),", ",INDIRECT("Roster!a"&amp;ROW(A$7)+MOD(ROW(A392)-7,24)))</f>
        <v>Logan Timberman, 3</v>
      </c>
      <c r="B392" s="8" t="str">
        <f>Roster!$B$1</f>
        <v>Upton</v>
      </c>
      <c r="C392" s="8" t="str">
        <f t="shared" ca="1" si="201"/>
        <v>Sundance</v>
      </c>
      <c r="D392" s="10">
        <f t="shared" ca="1" si="202"/>
        <v>44964</v>
      </c>
      <c r="E392" s="8">
        <f t="shared" ca="1" si="203"/>
        <v>1</v>
      </c>
      <c r="F392" s="8">
        <f t="shared" ca="1" si="204"/>
        <v>1</v>
      </c>
      <c r="G392" s="8">
        <f t="shared" ca="1" si="205"/>
        <v>26</v>
      </c>
      <c r="H392" s="8">
        <f t="shared" ca="1" si="206"/>
        <v>2</v>
      </c>
      <c r="I392" s="8">
        <f t="shared" ca="1" si="207"/>
        <v>7</v>
      </c>
      <c r="J392" s="8">
        <f t="shared" ca="1" si="208"/>
        <v>4</v>
      </c>
      <c r="K392" s="8">
        <f t="shared" ca="1" si="209"/>
        <v>6</v>
      </c>
      <c r="L392" s="8">
        <f t="shared" ref="L392:L455" ca="1" si="214">INDIRECT("'game1 ("&amp;$AD392&amp;")'!"&amp;ADDRESS(ROW(G$7)+MOD(ROW(G392)-7,24),COLUMN(J392)))</f>
        <v>3</v>
      </c>
      <c r="M392" s="8">
        <f t="shared" ref="M392:M455" ca="1" si="215">INDIRECT("'game1 ("&amp;$AD392&amp;")'!"&amp;ADDRESS(ROW(H$7)+MOD(ROW(H392)-7,24),COLUMN(K392)))</f>
        <v>5</v>
      </c>
      <c r="N392" s="8">
        <f t="shared" ref="N392:N455" ca="1" si="216">INDIRECT("'game1 ("&amp;$AD392&amp;")'!"&amp;ADDRESS(ROW(I$7)+MOD(ROW(I392)-7,24),COLUMN(L392)))</f>
        <v>4</v>
      </c>
      <c r="O392" s="8">
        <f t="shared" ref="O392:O455" ca="1" si="217">INDIRECT("'game1 ("&amp;$AD392&amp;")'!"&amp;ADDRESS(ROW(J$7)+MOD(ROW(J392)-7,24),COLUMN(M392)))</f>
        <v>6</v>
      </c>
      <c r="P392" s="8">
        <f t="shared" ref="P392:P455" ca="1" si="218">INDIRECT("'game1 ("&amp;$AD392&amp;")'!"&amp;ADDRESS(ROW(K$7)+MOD(ROW(K392)-7,24),COLUMN(N392)))</f>
        <v>4</v>
      </c>
      <c r="Q392" s="8">
        <f t="shared" ref="Q392:Q455" ca="1" si="219">INDIRECT("'game1 ("&amp;$AD392&amp;")'!"&amp;ADDRESS(ROW(L$7)+MOD(ROW(L392)-7,24),COLUMN(O392)))</f>
        <v>3</v>
      </c>
      <c r="R392" s="8">
        <f t="shared" ref="R392:R455" ca="1" si="220">INDIRECT("'game1 ("&amp;$AD392&amp;")'!"&amp;ADDRESS(ROW(M$7)+MOD(ROW(M392)-7,24),COLUMN(P392)))</f>
        <v>0</v>
      </c>
      <c r="S392" s="8">
        <f t="shared" ref="S392:S455" ca="1" si="221">INDIRECT("'game1 ("&amp;$AD392&amp;")'!"&amp;ADDRESS(ROW(N$7)+MOD(ROW(N392)-7,24),COLUMN(Q392)))</f>
        <v>2</v>
      </c>
      <c r="T392" s="8">
        <f t="shared" ref="T392:T455" ca="1" si="222">INDIRECT("'game1 ("&amp;$AD392&amp;")'!"&amp;ADDRESS(ROW(O$7)+MOD(ROW(O392)-7,24),COLUMN(R392)))</f>
        <v>2</v>
      </c>
      <c r="U392" s="8">
        <f t="shared" ref="U392:U455" ca="1" si="223">INDIRECT("'game1 ("&amp;$AD392&amp;")'!"&amp;ADDRESS(ROW(P$7)+MOD(ROW(P392)-7,24),COLUMN(S392)))</f>
        <v>0</v>
      </c>
      <c r="V392" s="8">
        <f t="shared" ref="V392:V455" ca="1" si="224">INDIRECT("'game1 ("&amp;$AD392&amp;")'!"&amp;ADDRESS(ROW(Q$7)+MOD(ROW(Q392)-7,24),COLUMN(T392)))</f>
        <v>17</v>
      </c>
      <c r="W392" s="11">
        <f t="shared" ref="W392:W455" ca="1" si="225">INDIRECT("'game1 ("&amp;$AD392&amp;")'!"&amp;ADDRESS(ROW(R$7)+MOD(ROW(R392)-7,24),COLUMN(U392)))</f>
        <v>0.2857142857142857</v>
      </c>
      <c r="X392" s="11">
        <f t="shared" ref="X392:X455" ca="1" si="226">INDIRECT("'game1 ("&amp;$AD392&amp;")'!"&amp;ADDRESS(ROW(S$7)+MOD(ROW(S392)-7,24),COLUMN(V392)))</f>
        <v>0.66666666666666663</v>
      </c>
      <c r="Y392" s="11">
        <f t="shared" ref="Y392:Y455" ca="1" si="227">INDIRECT("'game1 ("&amp;$AD392&amp;")'!"&amp;ADDRESS(ROW(T$7)+MOD(ROW(T392)-7,24),COLUMN(W392)))</f>
        <v>0.6</v>
      </c>
      <c r="Z392" s="11">
        <f t="shared" ref="Z392:Z455" ca="1" si="228">INDIRECT("'game1 ("&amp;$AD392&amp;")'!"&amp;ADDRESS(ROW(U$7)+MOD(ROW(U392)-7,24),COLUMN(X392)))</f>
        <v>0.46153846153846156</v>
      </c>
      <c r="AA392" s="11">
        <f t="shared" ref="AA392:AA455" ca="1" si="229">INDIRECT("'game1 ("&amp;$AD392&amp;")'!"&amp;ADDRESS(ROW(V$7)+MOD(ROW(V392)-7,24),COLUMN(Y392)))</f>
        <v>0.53846153846153844</v>
      </c>
      <c r="AB392" s="47">
        <f ca="1">PlayerGameData[[#This Row],[3FGA]]+PlayerGameData[[#This Row],[2FGA]]</f>
        <v>13</v>
      </c>
      <c r="AC392" s="47">
        <f ca="1">PlayerGameData[[#This Row],[OFF REB]]+PlayerGameData[[#This Row],[DEF REB]]</f>
        <v>10</v>
      </c>
      <c r="AD392" s="8">
        <f t="shared" si="210"/>
        <v>17</v>
      </c>
      <c r="AE392" s="8" t="str">
        <f t="shared" ca="1" si="211"/>
        <v>Logan Timberman, 3 - Sundance 2/7/2023</v>
      </c>
      <c r="AF392" s="8" t="str">
        <f t="shared" ref="AF392:AF455" ca="1" si="230">IFERROR(INDIRECT("'game1 ("&amp;$AD392&amp;")'!$a$2"),"")</f>
        <v/>
      </c>
      <c r="AG392" s="8" t="str">
        <f ca="1">IFERROR(IF(C392=0,"",IF(AND(VLOOKUP(PlayerGameData[[#This Row],[Opponent]],WYTeamInfo,2,FALSE)=Roster!$D$1,VLOOKUP(PlayerGameData[[#This Row],[Opponent]],WYTeamInfo,3,FALSE)=Roster!$D$2),"SR","")),"")</f>
        <v/>
      </c>
      <c r="AH392" s="8" t="str">
        <f>CONCATENATE(Roster!$D$1," ",Roster!$D$5)</f>
        <v>1A BB</v>
      </c>
      <c r="AI392" s="8" t="str">
        <f t="shared" ca="1" si="212"/>
        <v>Upton - Sundance 2/7/2023</v>
      </c>
      <c r="AJ392" s="8">
        <f ca="1">IFERROR(VLOOKUP(PlayerGameData[[#This Row],[School, Opponent,Game'#]],Table3[],2,FALSE),0)</f>
        <v>1</v>
      </c>
      <c r="AK392" s="8">
        <f ca="1">IF(PlayerGameData[[#This Row],[Visible]]=1,1,1000)</f>
        <v>1</v>
      </c>
      <c r="AL392" s="8">
        <f ca="1">RANK(PlayerGameData[[#This Row],[TL PTS]],PlayerGameData[TL PTS],0)+PlayerGameData[[#This Row],[VisibleOrder]]</f>
        <v>18</v>
      </c>
      <c r="AM392" s="8">
        <f ca="1">IF(COUNTIF(PlayerGameData[PointOrder],PlayerGameData[[#This Row],[PointOrder]])&gt;1,RANK(PlayerGameData[[#This Row],[FGA]],PlayerGameData[FGA],0)/100,0)+PlayerGameData[[#This Row],[PointOrder]]</f>
        <v>18.170000000000002</v>
      </c>
      <c r="AN392" s="8">
        <f ca="1">RANK(PlayerGameData[[#This Row],[PointTieBreak]],PlayerGameData[PointTieBreak],1)</f>
        <v>18</v>
      </c>
      <c r="AO392" s="8">
        <f ca="1">RANK(PlayerGameData[[#This Row],[REB]],PlayerGameData[REB],0)+PlayerGameData[[#This Row],[VisibleOrder]]</f>
        <v>6</v>
      </c>
      <c r="AP392" s="8">
        <f ca="1">IF(COUNTIF(PlayerGameData[REBOrder],PlayerGameData[[#This Row],[REBOrder]])&gt;1,PlayerGameData[[#This Row],[PointRank]]/100+PlayerGameData[[#This Row],[REBOrder]],PlayerGameData[[#This Row],[REBOrder]])</f>
        <v>6.18</v>
      </c>
      <c r="AQ392" s="8">
        <f ca="1">RANK(PlayerGameData[[#This Row],[REBTieBreak]],PlayerGameData[REBTieBreak],1)</f>
        <v>7</v>
      </c>
      <c r="AR392" s="8">
        <f ca="1">RANK(PlayerGameData[[#This Row],[AST]],PlayerGameData[AST],0)+PlayerGameData[[#This Row],[VisibleOrder]]</f>
        <v>24</v>
      </c>
      <c r="AS392" s="8">
        <f ca="1">IF(COUNTIF(PlayerGameData[ASTOrder],PlayerGameData[[#This Row],[ASTOrder]])&gt;1,PlayerGameData[[#This Row],[PointRank]]/100+PlayerGameData[[#This Row],[ASTOrder]],PlayerGameData[[#This Row],[ASTOrder]])</f>
        <v>24.18</v>
      </c>
      <c r="AT392" s="8">
        <f ca="1">RANK(PlayerGameData[[#This Row],[ASTTieBreak]],PlayerGameData[ASTTieBreak],1)</f>
        <v>25</v>
      </c>
      <c r="AU392" s="8">
        <f ca="1">RANK(PlayerGameData[[#This Row],[STL]],PlayerGameData[STL],0)+PlayerGameData[[#This Row],[VisibleOrder]]</f>
        <v>26</v>
      </c>
      <c r="AV392" s="8">
        <f ca="1">IF(COUNTIF(PlayerGameData[STLOrder],PlayerGameData[[#This Row],[STLOrder]])&gt;1,PlayerGameData[[#This Row],[PointRank]]/100+PlayerGameData[[#This Row],[STLOrder]],PlayerGameData[[#This Row],[STLOrder]])</f>
        <v>26.18</v>
      </c>
      <c r="AW392" s="8">
        <f ca="1">RANK(PlayerGameData[[#This Row],[STLTieBreak]],PlayerGameData[STLTieBreak],1)</f>
        <v>27</v>
      </c>
      <c r="AX392" s="8">
        <f ca="1">RANK(PlayerGameData[[#This Row],[BLK]],PlayerGameData[BLK],0)+PlayerGameData[[#This Row],[VisibleOrder]]</f>
        <v>32</v>
      </c>
      <c r="AY392" s="8">
        <f ca="1">IF(COUNTIF(PlayerGameData[BLKOrder],PlayerGameData[[#This Row],[BLKOrder]])&gt;1,PlayerGameData[[#This Row],[PointRank]]/100+PlayerGameData[[#This Row],[BLKOrder]],PlayerGameData[[#This Row],[BLKOrder]])</f>
        <v>32.18</v>
      </c>
      <c r="AZ392" s="8">
        <f ca="1">RANK(PlayerGameData[[#This Row],[BLKTieBreak]],PlayerGameData[BLKTieBreak],1)</f>
        <v>46</v>
      </c>
      <c r="BA392" s="11">
        <f ca="1">IFERROR(IF(PlayerGameData[[#This Row],[FGA]]&gt;$AA$5,PlayerGameData[[#This Row],[FG%*]],PlayerGameData[[#This Row],[FG%*]]*-1),-2)</f>
        <v>0.46153846153846156</v>
      </c>
      <c r="BB392" s="8">
        <f ca="1">RANK(PlayerGameData[[#This Row],[EligFG]],PlayerGameData[EligFG],0)+PlayerGameData[[#This Row],[VisibleOrder]]</f>
        <v>55</v>
      </c>
      <c r="BC392" s="8">
        <f ca="1">IF(COUNTIF(PlayerGameData[EligFGOrder],PlayerGameData[[#This Row],[EligFGOrder]])&gt;1,PlayerGameData[[#This Row],[PointRank]]/100+PlayerGameData[[#This Row],[EligFGOrder]],PlayerGameData[[#This Row],[EligFGOrder]])</f>
        <v>55</v>
      </c>
      <c r="BD392" s="8">
        <f ca="1">RANK(PlayerGameData[[#This Row],[EligFGTieBreak]],PlayerGameData[EligFGTieBreak],1)</f>
        <v>54</v>
      </c>
      <c r="BE392" s="8" t="str">
        <f>Roster!$D$3</f>
        <v>East</v>
      </c>
      <c r="BF392" s="8" t="str">
        <f>Roster!$D$2</f>
        <v>Northeast</v>
      </c>
      <c r="BG392" s="8" t="str">
        <f>Roster!$D$4</f>
        <v>North</v>
      </c>
      <c r="BH392" s="197">
        <f ca="1">IFERROR(VLOOKUP(CONCATENATE(PlayerGameData[[#This Row],[Opponent]]," ",MONTH(PlayerGameData[[#This Row],[Date]]),"/",DAY(PlayerGameData[[#This Row],[Date]]),"/",YEAR(PlayerGameData[[#This Row],[Date]])),Table35[],2,FALSE),0)</f>
        <v>1</v>
      </c>
      <c r="BI392" s="197">
        <f ca="1">IF(PlayerGameData[[#This Row],[Visible]]=1,1,1000)</f>
        <v>1</v>
      </c>
      <c r="BJ392" s="197" t="e">
        <f ca="1">_xlfn.MAXIFS(TeamGameData[Win],TeamGameData[School, Opponent,Game'#],PlayerGameData[[#This Row],[School, Opponent,Game'#]])</f>
        <v>#NAME?</v>
      </c>
      <c r="BK392" s="197" t="e">
        <f ca="1">_xlfn.MAXIFS(TeamGameData[Loss],TeamGameData[School, Opponent,Game'#],PlayerGameData[[#This Row],[School, Opponent,Game'#]])</f>
        <v>#NAME?</v>
      </c>
    </row>
    <row r="393" spans="1:63" x14ac:dyDescent="0.25">
      <c r="A393" s="8" t="str">
        <f t="shared" ca="1" si="213"/>
        <v>Chase Mills, 5</v>
      </c>
      <c r="B393" s="8" t="str">
        <f>Roster!$B$1</f>
        <v>Upton</v>
      </c>
      <c r="C393" s="8" t="str">
        <f t="shared" ca="1" si="201"/>
        <v>Sundance</v>
      </c>
      <c r="D393" s="10">
        <f t="shared" ca="1" si="202"/>
        <v>44964</v>
      </c>
      <c r="E393" s="8">
        <f t="shared" ca="1" si="203"/>
        <v>1</v>
      </c>
      <c r="F393" s="8">
        <f t="shared" ca="1" si="204"/>
        <v>1</v>
      </c>
      <c r="G393" s="8">
        <f t="shared" ca="1" si="205"/>
        <v>29</v>
      </c>
      <c r="H393" s="8">
        <f t="shared" ca="1" si="206"/>
        <v>4</v>
      </c>
      <c r="I393" s="8">
        <f t="shared" ca="1" si="207"/>
        <v>7</v>
      </c>
      <c r="J393" s="8">
        <f t="shared" ca="1" si="208"/>
        <v>4</v>
      </c>
      <c r="K393" s="8">
        <f t="shared" ca="1" si="209"/>
        <v>7</v>
      </c>
      <c r="L393" s="8">
        <f t="shared" ca="1" si="214"/>
        <v>1</v>
      </c>
      <c r="M393" s="8">
        <f t="shared" ca="1" si="215"/>
        <v>2</v>
      </c>
      <c r="N393" s="8">
        <f t="shared" ca="1" si="216"/>
        <v>3</v>
      </c>
      <c r="O393" s="8">
        <f t="shared" ca="1" si="217"/>
        <v>5</v>
      </c>
      <c r="P393" s="8">
        <f t="shared" ca="1" si="218"/>
        <v>5</v>
      </c>
      <c r="Q393" s="8">
        <f t="shared" ca="1" si="219"/>
        <v>2</v>
      </c>
      <c r="R393" s="8">
        <f t="shared" ca="1" si="220"/>
        <v>0</v>
      </c>
      <c r="S393" s="8">
        <f t="shared" ca="1" si="221"/>
        <v>1</v>
      </c>
      <c r="T393" s="8">
        <f t="shared" ca="1" si="222"/>
        <v>1</v>
      </c>
      <c r="U393" s="8">
        <f t="shared" ca="1" si="223"/>
        <v>2</v>
      </c>
      <c r="V393" s="8">
        <f t="shared" ca="1" si="224"/>
        <v>21</v>
      </c>
      <c r="W393" s="11">
        <f t="shared" ca="1" si="225"/>
        <v>0.5714285714285714</v>
      </c>
      <c r="X393" s="11">
        <f t="shared" ca="1" si="226"/>
        <v>0.5714285714285714</v>
      </c>
      <c r="Y393" s="11">
        <f t="shared" ca="1" si="227"/>
        <v>0.5</v>
      </c>
      <c r="Z393" s="11">
        <f t="shared" ca="1" si="228"/>
        <v>0.5714285714285714</v>
      </c>
      <c r="AA393" s="11">
        <f t="shared" ca="1" si="229"/>
        <v>0.7142857142857143</v>
      </c>
      <c r="AB393" s="47">
        <f ca="1">PlayerGameData[[#This Row],[3FGA]]+PlayerGameData[[#This Row],[2FGA]]</f>
        <v>14</v>
      </c>
      <c r="AC393" s="47">
        <f ca="1">PlayerGameData[[#This Row],[OFF REB]]+PlayerGameData[[#This Row],[DEF REB]]</f>
        <v>8</v>
      </c>
      <c r="AD393" s="8">
        <f t="shared" si="210"/>
        <v>17</v>
      </c>
      <c r="AE393" s="8" t="str">
        <f t="shared" ca="1" si="211"/>
        <v>Chase Mills, 5 - Sundance 2/7/2023</v>
      </c>
      <c r="AF393" s="8" t="str">
        <f t="shared" ca="1" si="230"/>
        <v/>
      </c>
      <c r="AG393" s="8" t="str">
        <f ca="1">IFERROR(IF(C393=0,"",IF(AND(VLOOKUP(PlayerGameData[[#This Row],[Opponent]],WYTeamInfo,2,FALSE)=Roster!$D$1,VLOOKUP(PlayerGameData[[#This Row],[Opponent]],WYTeamInfo,3,FALSE)=Roster!$D$2),"SR","")),"")</f>
        <v/>
      </c>
      <c r="AH393" s="8" t="str">
        <f>CONCATENATE(Roster!$D$1," ",Roster!$D$5)</f>
        <v>1A BB</v>
      </c>
      <c r="AI393" s="8" t="str">
        <f t="shared" ca="1" si="212"/>
        <v>Upton - Sundance 2/7/2023</v>
      </c>
      <c r="AJ393" s="8">
        <f ca="1">IFERROR(VLOOKUP(PlayerGameData[[#This Row],[School, Opponent,Game'#]],Table3[],2,FALSE),0)</f>
        <v>1</v>
      </c>
      <c r="AK393" s="8">
        <f ca="1">IF(PlayerGameData[[#This Row],[Visible]]=1,1,1000)</f>
        <v>1</v>
      </c>
      <c r="AL393" s="8">
        <f ca="1">RANK(PlayerGameData[[#This Row],[TL PTS]],PlayerGameData[TL PTS],0)+PlayerGameData[[#This Row],[VisibleOrder]]</f>
        <v>5</v>
      </c>
      <c r="AM393" s="8">
        <f ca="1">IF(COUNTIF(PlayerGameData[PointOrder],PlayerGameData[[#This Row],[PointOrder]])&gt;1,RANK(PlayerGameData[[#This Row],[FGA]],PlayerGameData[FGA],0)/100,0)+PlayerGameData[[#This Row],[PointOrder]]</f>
        <v>5.15</v>
      </c>
      <c r="AN393" s="8">
        <f ca="1">RANK(PlayerGameData[[#This Row],[PointTieBreak]],PlayerGameData[PointTieBreak],1)</f>
        <v>4</v>
      </c>
      <c r="AO393" s="8">
        <f ca="1">RANK(PlayerGameData[[#This Row],[REB]],PlayerGameData[REB],0)+PlayerGameData[[#This Row],[VisibleOrder]]</f>
        <v>21</v>
      </c>
      <c r="AP393" s="8">
        <f ca="1">IF(COUNTIF(PlayerGameData[REBOrder],PlayerGameData[[#This Row],[REBOrder]])&gt;1,PlayerGameData[[#This Row],[PointRank]]/100+PlayerGameData[[#This Row],[REBOrder]],PlayerGameData[[#This Row],[REBOrder]])</f>
        <v>21.04</v>
      </c>
      <c r="AQ393" s="8">
        <f ca="1">RANK(PlayerGameData[[#This Row],[REBTieBreak]],PlayerGameData[REBTieBreak],1)</f>
        <v>20</v>
      </c>
      <c r="AR393" s="8">
        <f ca="1">RANK(PlayerGameData[[#This Row],[AST]],PlayerGameData[AST],0)+PlayerGameData[[#This Row],[VisibleOrder]]</f>
        <v>14</v>
      </c>
      <c r="AS393" s="8">
        <f ca="1">IF(COUNTIF(PlayerGameData[ASTOrder],PlayerGameData[[#This Row],[ASTOrder]])&gt;1,PlayerGameData[[#This Row],[PointRank]]/100+PlayerGameData[[#This Row],[ASTOrder]],PlayerGameData[[#This Row],[ASTOrder]])</f>
        <v>14.04</v>
      </c>
      <c r="AT393" s="8">
        <f ca="1">RANK(PlayerGameData[[#This Row],[ASTTieBreak]],PlayerGameData[ASTTieBreak],1)</f>
        <v>13</v>
      </c>
      <c r="AU393" s="8">
        <f ca="1">RANK(PlayerGameData[[#This Row],[STL]],PlayerGameData[STL],0)+PlayerGameData[[#This Row],[VisibleOrder]]</f>
        <v>48</v>
      </c>
      <c r="AV393" s="8">
        <f ca="1">IF(COUNTIF(PlayerGameData[STLOrder],PlayerGameData[[#This Row],[STLOrder]])&gt;1,PlayerGameData[[#This Row],[PointRank]]/100+PlayerGameData[[#This Row],[STLOrder]],PlayerGameData[[#This Row],[STLOrder]])</f>
        <v>48.04</v>
      </c>
      <c r="AW393" s="8">
        <f ca="1">RANK(PlayerGameData[[#This Row],[STLTieBreak]],PlayerGameData[STLTieBreak],1)</f>
        <v>47</v>
      </c>
      <c r="AX393" s="8">
        <f ca="1">RANK(PlayerGameData[[#This Row],[BLK]],PlayerGameData[BLK],0)+PlayerGameData[[#This Row],[VisibleOrder]]</f>
        <v>32</v>
      </c>
      <c r="AY393" s="8">
        <f ca="1">IF(COUNTIF(PlayerGameData[BLKOrder],PlayerGameData[[#This Row],[BLKOrder]])&gt;1,PlayerGameData[[#This Row],[PointRank]]/100+PlayerGameData[[#This Row],[BLKOrder]],PlayerGameData[[#This Row],[BLKOrder]])</f>
        <v>32.04</v>
      </c>
      <c r="AZ393" s="8">
        <f ca="1">RANK(PlayerGameData[[#This Row],[BLKTieBreak]],PlayerGameData[BLKTieBreak],1)</f>
        <v>34</v>
      </c>
      <c r="BA393" s="11">
        <f ca="1">IFERROR(IF(PlayerGameData[[#This Row],[FGA]]&gt;$AA$5,PlayerGameData[[#This Row],[FG%*]],PlayerGameData[[#This Row],[FG%*]]*-1),-2)</f>
        <v>0.5714285714285714</v>
      </c>
      <c r="BB393" s="8">
        <f ca="1">RANK(PlayerGameData[[#This Row],[EligFG]],PlayerGameData[EligFG],0)+PlayerGameData[[#This Row],[VisibleOrder]]</f>
        <v>27</v>
      </c>
      <c r="BC393" s="8">
        <f ca="1">IF(COUNTIF(PlayerGameData[EligFGOrder],PlayerGameData[[#This Row],[EligFGOrder]])&gt;1,PlayerGameData[[#This Row],[PointRank]]/100+PlayerGameData[[#This Row],[EligFGOrder]],PlayerGameData[[#This Row],[EligFGOrder]])</f>
        <v>27.04</v>
      </c>
      <c r="BD393" s="8">
        <f ca="1">RANK(PlayerGameData[[#This Row],[EligFGTieBreak]],PlayerGameData[EligFGTieBreak],1)</f>
        <v>26</v>
      </c>
      <c r="BE393" s="8" t="str">
        <f>Roster!$D$3</f>
        <v>East</v>
      </c>
      <c r="BF393" s="8" t="str">
        <f>Roster!$D$2</f>
        <v>Northeast</v>
      </c>
      <c r="BG393" s="8" t="str">
        <f>Roster!$D$4</f>
        <v>North</v>
      </c>
      <c r="BH393" s="197">
        <f ca="1">IFERROR(VLOOKUP(CONCATENATE(PlayerGameData[[#This Row],[Opponent]]," ",MONTH(PlayerGameData[[#This Row],[Date]]),"/",DAY(PlayerGameData[[#This Row],[Date]]),"/",YEAR(PlayerGameData[[#This Row],[Date]])),Table35[],2,FALSE),0)</f>
        <v>1</v>
      </c>
      <c r="BI393" s="197">
        <f ca="1">IF(PlayerGameData[[#This Row],[Visible]]=1,1,1000)</f>
        <v>1</v>
      </c>
      <c r="BJ393" s="197" t="e">
        <f ca="1">_xlfn.MAXIFS(TeamGameData[Win],TeamGameData[School, Opponent,Game'#],PlayerGameData[[#This Row],[School, Opponent,Game'#]])</f>
        <v>#NAME?</v>
      </c>
      <c r="BK393" s="197" t="e">
        <f ca="1">_xlfn.MAXIFS(TeamGameData[Loss],TeamGameData[School, Opponent,Game'#],PlayerGameData[[#This Row],[School, Opponent,Game'#]])</f>
        <v>#NAME?</v>
      </c>
    </row>
    <row r="394" spans="1:63" x14ac:dyDescent="0.25">
      <c r="A394" s="8" t="str">
        <f t="shared" ca="1" si="213"/>
        <v>Rhett Watt, 10</v>
      </c>
      <c r="B394" s="8" t="str">
        <f>Roster!$B$1</f>
        <v>Upton</v>
      </c>
      <c r="C394" s="8" t="str">
        <f t="shared" ca="1" si="201"/>
        <v>Sundance</v>
      </c>
      <c r="D394" s="10">
        <f t="shared" ca="1" si="202"/>
        <v>44964</v>
      </c>
      <c r="E394" s="8">
        <f t="shared" ca="1" si="203"/>
        <v>1</v>
      </c>
      <c r="F394" s="8">
        <f t="shared" ca="1" si="204"/>
        <v>1</v>
      </c>
      <c r="G394" s="8">
        <f t="shared" ca="1" si="205"/>
        <v>25</v>
      </c>
      <c r="H394" s="8">
        <f t="shared" ca="1" si="206"/>
        <v>1</v>
      </c>
      <c r="I394" s="8">
        <f t="shared" ca="1" si="207"/>
        <v>7</v>
      </c>
      <c r="J394" s="8">
        <f t="shared" ca="1" si="208"/>
        <v>3</v>
      </c>
      <c r="K394" s="8">
        <f t="shared" ca="1" si="209"/>
        <v>5</v>
      </c>
      <c r="L394" s="8">
        <f t="shared" ca="1" si="214"/>
        <v>1</v>
      </c>
      <c r="M394" s="8">
        <f t="shared" ca="1" si="215"/>
        <v>1</v>
      </c>
      <c r="N394" s="8">
        <f t="shared" ca="1" si="216"/>
        <v>0</v>
      </c>
      <c r="O394" s="8">
        <f t="shared" ca="1" si="217"/>
        <v>1</v>
      </c>
      <c r="P394" s="8">
        <f t="shared" ca="1" si="218"/>
        <v>2</v>
      </c>
      <c r="Q394" s="8">
        <f t="shared" ca="1" si="219"/>
        <v>2</v>
      </c>
      <c r="R394" s="8">
        <f t="shared" ca="1" si="220"/>
        <v>0</v>
      </c>
      <c r="S394" s="8">
        <f t="shared" ca="1" si="221"/>
        <v>2</v>
      </c>
      <c r="T394" s="8">
        <f t="shared" ca="1" si="222"/>
        <v>1</v>
      </c>
      <c r="U394" s="8">
        <f t="shared" ca="1" si="223"/>
        <v>0</v>
      </c>
      <c r="V394" s="8">
        <f t="shared" ca="1" si="224"/>
        <v>10</v>
      </c>
      <c r="W394" s="11">
        <f t="shared" ca="1" si="225"/>
        <v>0.14285714285714285</v>
      </c>
      <c r="X394" s="11">
        <f t="shared" ca="1" si="226"/>
        <v>0.6</v>
      </c>
      <c r="Y394" s="11">
        <f t="shared" ca="1" si="227"/>
        <v>1</v>
      </c>
      <c r="Z394" s="11">
        <f t="shared" ca="1" si="228"/>
        <v>0.33333333333333331</v>
      </c>
      <c r="AA394" s="11">
        <f t="shared" ca="1" si="229"/>
        <v>0.375</v>
      </c>
      <c r="AB394" s="47">
        <f ca="1">PlayerGameData[[#This Row],[3FGA]]+PlayerGameData[[#This Row],[2FGA]]</f>
        <v>12</v>
      </c>
      <c r="AC394" s="47">
        <f ca="1">PlayerGameData[[#This Row],[OFF REB]]+PlayerGameData[[#This Row],[DEF REB]]</f>
        <v>1</v>
      </c>
      <c r="AD394" s="8">
        <f t="shared" si="210"/>
        <v>17</v>
      </c>
      <c r="AE394" s="8" t="str">
        <f t="shared" ca="1" si="211"/>
        <v>Rhett Watt, 10 - Sundance 2/7/2023</v>
      </c>
      <c r="AF394" s="8" t="str">
        <f t="shared" ca="1" si="230"/>
        <v/>
      </c>
      <c r="AG394" s="8" t="str">
        <f ca="1">IFERROR(IF(C394=0,"",IF(AND(VLOOKUP(PlayerGameData[[#This Row],[Opponent]],WYTeamInfo,2,FALSE)=Roster!$D$1,VLOOKUP(PlayerGameData[[#This Row],[Opponent]],WYTeamInfo,3,FALSE)=Roster!$D$2),"SR","")),"")</f>
        <v/>
      </c>
      <c r="AH394" s="8" t="str">
        <f>CONCATENATE(Roster!$D$1," ",Roster!$D$5)</f>
        <v>1A BB</v>
      </c>
      <c r="AI394" s="8" t="str">
        <f t="shared" ca="1" si="212"/>
        <v>Upton - Sundance 2/7/2023</v>
      </c>
      <c r="AJ394" s="8">
        <f ca="1">IFERROR(VLOOKUP(PlayerGameData[[#This Row],[School, Opponent,Game'#]],Table3[],2,FALSE),0)</f>
        <v>1</v>
      </c>
      <c r="AK394" s="8">
        <f ca="1">IF(PlayerGameData[[#This Row],[Visible]]=1,1,1000)</f>
        <v>1</v>
      </c>
      <c r="AL394" s="8">
        <f ca="1">RANK(PlayerGameData[[#This Row],[TL PTS]],PlayerGameData[TL PTS],0)+PlayerGameData[[#This Row],[VisibleOrder]]</f>
        <v>66</v>
      </c>
      <c r="AM394" s="8">
        <f ca="1">IF(COUNTIF(PlayerGameData[PointOrder],PlayerGameData[[#This Row],[PointOrder]])&gt;1,RANK(PlayerGameData[[#This Row],[FGA]],PlayerGameData[FGA],0)/100,0)+PlayerGameData[[#This Row],[PointOrder]]</f>
        <v>66.25</v>
      </c>
      <c r="AN394" s="8">
        <f ca="1">RANK(PlayerGameData[[#This Row],[PointTieBreak]],PlayerGameData[PointTieBreak],1)</f>
        <v>66</v>
      </c>
      <c r="AO394" s="8">
        <f ca="1">RANK(PlayerGameData[[#This Row],[REB]],PlayerGameData[REB],0)+PlayerGameData[[#This Row],[VisibleOrder]]</f>
        <v>163</v>
      </c>
      <c r="AP394" s="8">
        <f ca="1">IF(COUNTIF(PlayerGameData[REBOrder],PlayerGameData[[#This Row],[REBOrder]])&gt;1,PlayerGameData[[#This Row],[PointRank]]/100+PlayerGameData[[#This Row],[REBOrder]],PlayerGameData[[#This Row],[REBOrder]])</f>
        <v>163.66</v>
      </c>
      <c r="AQ394" s="8">
        <f ca="1">RANK(PlayerGameData[[#This Row],[REBTieBreak]],PlayerGameData[REBTieBreak],1)</f>
        <v>164</v>
      </c>
      <c r="AR394" s="8">
        <f ca="1">RANK(PlayerGameData[[#This Row],[AST]],PlayerGameData[AST],0)+PlayerGameData[[#This Row],[VisibleOrder]]</f>
        <v>69</v>
      </c>
      <c r="AS394" s="8">
        <f ca="1">IF(COUNTIF(PlayerGameData[ASTOrder],PlayerGameData[[#This Row],[ASTOrder]])&gt;1,PlayerGameData[[#This Row],[PointRank]]/100+PlayerGameData[[#This Row],[ASTOrder]],PlayerGameData[[#This Row],[ASTOrder]])</f>
        <v>69.66</v>
      </c>
      <c r="AT394" s="8">
        <f ca="1">RANK(PlayerGameData[[#This Row],[ASTTieBreak]],PlayerGameData[ASTTieBreak],1)</f>
        <v>83</v>
      </c>
      <c r="AU394" s="8">
        <f ca="1">RANK(PlayerGameData[[#This Row],[STL]],PlayerGameData[STL],0)+PlayerGameData[[#This Row],[VisibleOrder]]</f>
        <v>48</v>
      </c>
      <c r="AV394" s="8">
        <f ca="1">IF(COUNTIF(PlayerGameData[STLOrder],PlayerGameData[[#This Row],[STLOrder]])&gt;1,PlayerGameData[[#This Row],[PointRank]]/100+PlayerGameData[[#This Row],[STLOrder]],PlayerGameData[[#This Row],[STLOrder]])</f>
        <v>48.66</v>
      </c>
      <c r="AW394" s="8">
        <f ca="1">RANK(PlayerGameData[[#This Row],[STLTieBreak]],PlayerGameData[STLTieBreak],1)</f>
        <v>59</v>
      </c>
      <c r="AX394" s="8">
        <f ca="1">RANK(PlayerGameData[[#This Row],[BLK]],PlayerGameData[BLK],0)+PlayerGameData[[#This Row],[VisibleOrder]]</f>
        <v>32</v>
      </c>
      <c r="AY394" s="8">
        <f ca="1">IF(COUNTIF(PlayerGameData[BLKOrder],PlayerGameData[[#This Row],[BLKOrder]])&gt;1,PlayerGameData[[#This Row],[PointRank]]/100+PlayerGameData[[#This Row],[BLKOrder]],PlayerGameData[[#This Row],[BLKOrder]])</f>
        <v>32.659999999999997</v>
      </c>
      <c r="AZ394" s="8">
        <f ca="1">RANK(PlayerGameData[[#This Row],[BLKTieBreak]],PlayerGameData[BLKTieBreak],1)</f>
        <v>83</v>
      </c>
      <c r="BA394" s="11">
        <f ca="1">IFERROR(IF(PlayerGameData[[#This Row],[FGA]]&gt;$AA$5,PlayerGameData[[#This Row],[FG%*]],PlayerGameData[[#This Row],[FG%*]]*-1),-2)</f>
        <v>0.33333333333333331</v>
      </c>
      <c r="BB394" s="8">
        <f ca="1">RANK(PlayerGameData[[#This Row],[EligFG]],PlayerGameData[EligFG],0)+PlayerGameData[[#This Row],[VisibleOrder]]</f>
        <v>80</v>
      </c>
      <c r="BC394" s="8">
        <f ca="1">IF(COUNTIF(PlayerGameData[EligFGOrder],PlayerGameData[[#This Row],[EligFGOrder]])&gt;1,PlayerGameData[[#This Row],[PointRank]]/100+PlayerGameData[[#This Row],[EligFGOrder]],PlayerGameData[[#This Row],[EligFGOrder]])</f>
        <v>80.66</v>
      </c>
      <c r="BD394" s="8">
        <f ca="1">RANK(PlayerGameData[[#This Row],[EligFGTieBreak]],PlayerGameData[EligFGTieBreak],1)</f>
        <v>79</v>
      </c>
      <c r="BE394" s="8" t="str">
        <f>Roster!$D$3</f>
        <v>East</v>
      </c>
      <c r="BF394" s="8" t="str">
        <f>Roster!$D$2</f>
        <v>Northeast</v>
      </c>
      <c r="BG394" s="8" t="str">
        <f>Roster!$D$4</f>
        <v>North</v>
      </c>
      <c r="BH394" s="197">
        <f ca="1">IFERROR(VLOOKUP(CONCATENATE(PlayerGameData[[#This Row],[Opponent]]," ",MONTH(PlayerGameData[[#This Row],[Date]]),"/",DAY(PlayerGameData[[#This Row],[Date]]),"/",YEAR(PlayerGameData[[#This Row],[Date]])),Table35[],2,FALSE),0)</f>
        <v>1</v>
      </c>
      <c r="BI394" s="197">
        <f ca="1">IF(PlayerGameData[[#This Row],[Visible]]=1,1,1000)</f>
        <v>1</v>
      </c>
      <c r="BJ394" s="197" t="e">
        <f ca="1">_xlfn.MAXIFS(TeamGameData[Win],TeamGameData[School, Opponent,Game'#],PlayerGameData[[#This Row],[School, Opponent,Game'#]])</f>
        <v>#NAME?</v>
      </c>
      <c r="BK394" s="197" t="e">
        <f ca="1">_xlfn.MAXIFS(TeamGameData[Loss],TeamGameData[School, Opponent,Game'#],PlayerGameData[[#This Row],[School, Opponent,Game'#]])</f>
        <v>#NAME?</v>
      </c>
    </row>
    <row r="395" spans="1:63" x14ac:dyDescent="0.25">
      <c r="A395" s="8" t="str">
        <f t="shared" ca="1" si="213"/>
        <v>Keith Coburn, 11</v>
      </c>
      <c r="B395" s="8" t="str">
        <f>Roster!$B$1</f>
        <v>Upton</v>
      </c>
      <c r="C395" s="8" t="str">
        <f t="shared" ca="1" si="201"/>
        <v>Sundance</v>
      </c>
      <c r="D395" s="10">
        <f t="shared" ca="1" si="202"/>
        <v>44964</v>
      </c>
      <c r="E395" s="8">
        <f t="shared" ca="1" si="203"/>
        <v>0</v>
      </c>
      <c r="F395" s="8">
        <f t="shared" ca="1" si="204"/>
        <v>0</v>
      </c>
      <c r="G395" s="8">
        <f t="shared" ca="1" si="205"/>
        <v>0</v>
      </c>
      <c r="H395" s="8">
        <f t="shared" ca="1" si="206"/>
        <v>0</v>
      </c>
      <c r="I395" s="8">
        <f t="shared" ca="1" si="207"/>
        <v>0</v>
      </c>
      <c r="J395" s="8">
        <f t="shared" ca="1" si="208"/>
        <v>0</v>
      </c>
      <c r="K395" s="8">
        <f t="shared" ca="1" si="209"/>
        <v>0</v>
      </c>
      <c r="L395" s="8">
        <f t="shared" ca="1" si="214"/>
        <v>0</v>
      </c>
      <c r="M395" s="8">
        <f t="shared" ca="1" si="215"/>
        <v>0</v>
      </c>
      <c r="N395" s="8">
        <f t="shared" ca="1" si="216"/>
        <v>0</v>
      </c>
      <c r="O395" s="8">
        <f t="shared" ca="1" si="217"/>
        <v>0</v>
      </c>
      <c r="P395" s="8">
        <f t="shared" ca="1" si="218"/>
        <v>0</v>
      </c>
      <c r="Q395" s="8">
        <f t="shared" ca="1" si="219"/>
        <v>0</v>
      </c>
      <c r="R395" s="8">
        <f t="shared" ca="1" si="220"/>
        <v>0</v>
      </c>
      <c r="S395" s="8">
        <f t="shared" ca="1" si="221"/>
        <v>0</v>
      </c>
      <c r="T395" s="8">
        <f t="shared" ca="1" si="222"/>
        <v>0</v>
      </c>
      <c r="U395" s="8">
        <f t="shared" ca="1" si="223"/>
        <v>0</v>
      </c>
      <c r="V395" s="8">
        <f t="shared" ca="1" si="224"/>
        <v>0</v>
      </c>
      <c r="W395" s="11" t="str">
        <f t="shared" ca="1" si="225"/>
        <v/>
      </c>
      <c r="X395" s="11" t="str">
        <f t="shared" ca="1" si="226"/>
        <v/>
      </c>
      <c r="Y395" s="11" t="str">
        <f t="shared" ca="1" si="227"/>
        <v/>
      </c>
      <c r="Z395" s="11" t="str">
        <f t="shared" ca="1" si="228"/>
        <v/>
      </c>
      <c r="AA395" s="11" t="str">
        <f t="shared" ca="1" si="229"/>
        <v/>
      </c>
      <c r="AB395" s="47">
        <f ca="1">PlayerGameData[[#This Row],[3FGA]]+PlayerGameData[[#This Row],[2FGA]]</f>
        <v>0</v>
      </c>
      <c r="AC395" s="47">
        <f ca="1">PlayerGameData[[#This Row],[OFF REB]]+PlayerGameData[[#This Row],[DEF REB]]</f>
        <v>0</v>
      </c>
      <c r="AD395" s="8">
        <f t="shared" si="210"/>
        <v>17</v>
      </c>
      <c r="AE395" s="8" t="str">
        <f t="shared" ca="1" si="211"/>
        <v>Keith Coburn, 11 - Sundance 2/7/2023</v>
      </c>
      <c r="AF395" s="8" t="str">
        <f t="shared" ca="1" si="230"/>
        <v/>
      </c>
      <c r="AG395" s="8" t="str">
        <f ca="1">IFERROR(IF(C395=0,"",IF(AND(VLOOKUP(PlayerGameData[[#This Row],[Opponent]],WYTeamInfo,2,FALSE)=Roster!$D$1,VLOOKUP(PlayerGameData[[#This Row],[Opponent]],WYTeamInfo,3,FALSE)=Roster!$D$2),"SR","")),"")</f>
        <v/>
      </c>
      <c r="AH395" s="8" t="str">
        <f>CONCATENATE(Roster!$D$1," ",Roster!$D$5)</f>
        <v>1A BB</v>
      </c>
      <c r="AI395" s="8" t="str">
        <f t="shared" ca="1" si="212"/>
        <v>Upton - Sundance 2/7/2023</v>
      </c>
      <c r="AJ395" s="8">
        <f ca="1">IFERROR(VLOOKUP(PlayerGameData[[#This Row],[School, Opponent,Game'#]],Table3[],2,FALSE),0)</f>
        <v>1</v>
      </c>
      <c r="AK395" s="8">
        <f ca="1">IF(PlayerGameData[[#This Row],[Visible]]=1,1,1000)</f>
        <v>1</v>
      </c>
      <c r="AL395" s="8">
        <f ca="1">RANK(PlayerGameData[[#This Row],[TL PTS]],PlayerGameData[TL PTS],0)+PlayerGameData[[#This Row],[VisibleOrder]]</f>
        <v>185</v>
      </c>
      <c r="AM395" s="8">
        <f ca="1">IF(COUNTIF(PlayerGameData[PointOrder],PlayerGameData[[#This Row],[PointOrder]])&gt;1,RANK(PlayerGameData[[#This Row],[FGA]],PlayerGameData[FGA],0)/100,0)+PlayerGameData[[#This Row],[PointOrder]]</f>
        <v>187.14</v>
      </c>
      <c r="AN395" s="8">
        <f ca="1">RANK(PlayerGameData[[#This Row],[PointTieBreak]],PlayerGameData[PointTieBreak],1)</f>
        <v>216</v>
      </c>
      <c r="AO395" s="8">
        <f ca="1">RANK(PlayerGameData[[#This Row],[REB]],PlayerGameData[REB],0)+PlayerGameData[[#This Row],[VisibleOrder]]</f>
        <v>192</v>
      </c>
      <c r="AP395" s="8">
        <f ca="1">IF(COUNTIF(PlayerGameData[REBOrder],PlayerGameData[[#This Row],[REBOrder]])&gt;1,PlayerGameData[[#This Row],[PointRank]]/100+PlayerGameData[[#This Row],[REBOrder]],PlayerGameData[[#This Row],[REBOrder]])</f>
        <v>194.16</v>
      </c>
      <c r="AQ395" s="8">
        <f ca="1">RANK(PlayerGameData[[#This Row],[REBTieBreak]],PlayerGameData[REBTieBreak],1)</f>
        <v>224</v>
      </c>
      <c r="AR395" s="8">
        <f ca="1">RANK(PlayerGameData[[#This Row],[AST]],PlayerGameData[AST],0)+PlayerGameData[[#This Row],[VisibleOrder]]</f>
        <v>158</v>
      </c>
      <c r="AS395" s="8">
        <f ca="1">IF(COUNTIF(PlayerGameData[ASTOrder],PlayerGameData[[#This Row],[ASTOrder]])&gt;1,PlayerGameData[[#This Row],[PointRank]]/100+PlayerGameData[[#This Row],[ASTOrder]],PlayerGameData[[#This Row],[ASTOrder]])</f>
        <v>160.16</v>
      </c>
      <c r="AT395" s="8">
        <f ca="1">RANK(PlayerGameData[[#This Row],[ASTTieBreak]],PlayerGameData[ASTTieBreak],1)</f>
        <v>221</v>
      </c>
      <c r="AU395" s="8">
        <f ca="1">RANK(PlayerGameData[[#This Row],[STL]],PlayerGameData[STL],0)+PlayerGameData[[#This Row],[VisibleOrder]]</f>
        <v>143</v>
      </c>
      <c r="AV395" s="8">
        <f ca="1">IF(COUNTIF(PlayerGameData[STLOrder],PlayerGameData[[#This Row],[STLOrder]])&gt;1,PlayerGameData[[#This Row],[PointRank]]/100+PlayerGameData[[#This Row],[STLOrder]],PlayerGameData[[#This Row],[STLOrder]])</f>
        <v>145.16</v>
      </c>
      <c r="AW395" s="8">
        <f ca="1">RANK(PlayerGameData[[#This Row],[STLTieBreak]],PlayerGameData[STLTieBreak],1)</f>
        <v>217</v>
      </c>
      <c r="AX395" s="8">
        <f ca="1">RANK(PlayerGameData[[#This Row],[BLK]],PlayerGameData[BLK],0)+PlayerGameData[[#This Row],[VisibleOrder]]</f>
        <v>32</v>
      </c>
      <c r="AY395" s="8">
        <f ca="1">IF(COUNTIF(PlayerGameData[BLKOrder],PlayerGameData[[#This Row],[BLKOrder]])&gt;1,PlayerGameData[[#This Row],[PointRank]]/100+PlayerGameData[[#This Row],[BLKOrder]],PlayerGameData[[#This Row],[BLKOrder]])</f>
        <v>34.159999999999997</v>
      </c>
      <c r="AZ395" s="8">
        <f ca="1">RANK(PlayerGameData[[#This Row],[BLKTieBreak]],PlayerGameData[BLKTieBreak],1)</f>
        <v>216</v>
      </c>
      <c r="BA395" s="11">
        <f ca="1">IFERROR(IF(PlayerGameData[[#This Row],[FGA]]&gt;$AA$5,PlayerGameData[[#This Row],[FG%*]],PlayerGameData[[#This Row],[FG%*]]*-1),-2)</f>
        <v>-2</v>
      </c>
      <c r="BB395" s="8">
        <f ca="1">RANK(PlayerGameData[[#This Row],[EligFG]],PlayerGameData[EligFG],0)+PlayerGameData[[#This Row],[VisibleOrder]]</f>
        <v>215</v>
      </c>
      <c r="BC395" s="8">
        <f ca="1">IF(COUNTIF(PlayerGameData[EligFGOrder],PlayerGameData[[#This Row],[EligFGOrder]])&gt;1,PlayerGameData[[#This Row],[PointRank]]/100+PlayerGameData[[#This Row],[EligFGOrder]],PlayerGameData[[#This Row],[EligFGOrder]])</f>
        <v>217.16</v>
      </c>
      <c r="BD395" s="8">
        <f ca="1">RANK(PlayerGameData[[#This Row],[EligFGTieBreak]],PlayerGameData[EligFGTieBreak],1)</f>
        <v>216</v>
      </c>
      <c r="BE395" s="8" t="str">
        <f>Roster!$D$3</f>
        <v>East</v>
      </c>
      <c r="BF395" s="8" t="str">
        <f>Roster!$D$2</f>
        <v>Northeast</v>
      </c>
      <c r="BG395" s="8" t="str">
        <f>Roster!$D$4</f>
        <v>North</v>
      </c>
      <c r="BH395" s="197">
        <f ca="1">IFERROR(VLOOKUP(CONCATENATE(PlayerGameData[[#This Row],[Opponent]]," ",MONTH(PlayerGameData[[#This Row],[Date]]),"/",DAY(PlayerGameData[[#This Row],[Date]]),"/",YEAR(PlayerGameData[[#This Row],[Date]])),Table35[],2,FALSE),0)</f>
        <v>1</v>
      </c>
      <c r="BI395" s="197">
        <f ca="1">IF(PlayerGameData[[#This Row],[Visible]]=1,1,1000)</f>
        <v>1</v>
      </c>
      <c r="BJ395" s="197" t="e">
        <f ca="1">_xlfn.MAXIFS(TeamGameData[Win],TeamGameData[School, Opponent,Game'#],PlayerGameData[[#This Row],[School, Opponent,Game'#]])</f>
        <v>#NAME?</v>
      </c>
      <c r="BK395" s="197" t="e">
        <f ca="1">_xlfn.MAXIFS(TeamGameData[Loss],TeamGameData[School, Opponent,Game'#],PlayerGameData[[#This Row],[School, Opponent,Game'#]])</f>
        <v>#NAME?</v>
      </c>
    </row>
    <row r="396" spans="1:63" x14ac:dyDescent="0.25">
      <c r="A396" s="8" t="str">
        <f t="shared" ca="1" si="213"/>
        <v>Carson Barritt, 14</v>
      </c>
      <c r="B396" s="8" t="str">
        <f>Roster!$B$1</f>
        <v>Upton</v>
      </c>
      <c r="C396" s="8" t="str">
        <f t="shared" ca="1" si="201"/>
        <v>Sundance</v>
      </c>
      <c r="D396" s="10">
        <f t="shared" ca="1" si="202"/>
        <v>44964</v>
      </c>
      <c r="E396" s="8">
        <f t="shared" ca="1" si="203"/>
        <v>0</v>
      </c>
      <c r="F396" s="8">
        <f t="shared" ca="1" si="204"/>
        <v>0</v>
      </c>
      <c r="G396" s="8">
        <f t="shared" ca="1" si="205"/>
        <v>0</v>
      </c>
      <c r="H396" s="8">
        <f t="shared" ca="1" si="206"/>
        <v>0</v>
      </c>
      <c r="I396" s="8">
        <f t="shared" ca="1" si="207"/>
        <v>0</v>
      </c>
      <c r="J396" s="8">
        <f t="shared" ca="1" si="208"/>
        <v>0</v>
      </c>
      <c r="K396" s="8">
        <f t="shared" ca="1" si="209"/>
        <v>0</v>
      </c>
      <c r="L396" s="8">
        <f t="shared" ca="1" si="214"/>
        <v>0</v>
      </c>
      <c r="M396" s="8">
        <f t="shared" ca="1" si="215"/>
        <v>0</v>
      </c>
      <c r="N396" s="8">
        <f t="shared" ca="1" si="216"/>
        <v>0</v>
      </c>
      <c r="O396" s="8">
        <f t="shared" ca="1" si="217"/>
        <v>0</v>
      </c>
      <c r="P396" s="8">
        <f t="shared" ca="1" si="218"/>
        <v>0</v>
      </c>
      <c r="Q396" s="8">
        <f t="shared" ca="1" si="219"/>
        <v>0</v>
      </c>
      <c r="R396" s="8">
        <f t="shared" ca="1" si="220"/>
        <v>0</v>
      </c>
      <c r="S396" s="8">
        <f t="shared" ca="1" si="221"/>
        <v>0</v>
      </c>
      <c r="T396" s="8">
        <f t="shared" ca="1" si="222"/>
        <v>0</v>
      </c>
      <c r="U396" s="8">
        <f t="shared" ca="1" si="223"/>
        <v>0</v>
      </c>
      <c r="V396" s="8">
        <f t="shared" ca="1" si="224"/>
        <v>0</v>
      </c>
      <c r="W396" s="11" t="str">
        <f t="shared" ca="1" si="225"/>
        <v/>
      </c>
      <c r="X396" s="11" t="str">
        <f t="shared" ca="1" si="226"/>
        <v/>
      </c>
      <c r="Y396" s="11" t="str">
        <f t="shared" ca="1" si="227"/>
        <v/>
      </c>
      <c r="Z396" s="11" t="str">
        <f t="shared" ca="1" si="228"/>
        <v/>
      </c>
      <c r="AA396" s="11" t="str">
        <f t="shared" ca="1" si="229"/>
        <v/>
      </c>
      <c r="AB396" s="47">
        <f ca="1">PlayerGameData[[#This Row],[3FGA]]+PlayerGameData[[#This Row],[2FGA]]</f>
        <v>0</v>
      </c>
      <c r="AC396" s="47">
        <f ca="1">PlayerGameData[[#This Row],[OFF REB]]+PlayerGameData[[#This Row],[DEF REB]]</f>
        <v>0</v>
      </c>
      <c r="AD396" s="8">
        <f t="shared" si="210"/>
        <v>17</v>
      </c>
      <c r="AE396" s="8" t="str">
        <f t="shared" ca="1" si="211"/>
        <v>Carson Barritt, 14 - Sundance 2/7/2023</v>
      </c>
      <c r="AF396" s="8" t="str">
        <f t="shared" ca="1" si="230"/>
        <v/>
      </c>
      <c r="AG396" s="8" t="str">
        <f ca="1">IFERROR(IF(C396=0,"",IF(AND(VLOOKUP(PlayerGameData[[#This Row],[Opponent]],WYTeamInfo,2,FALSE)=Roster!$D$1,VLOOKUP(PlayerGameData[[#This Row],[Opponent]],WYTeamInfo,3,FALSE)=Roster!$D$2),"SR","")),"")</f>
        <v/>
      </c>
      <c r="AH396" s="8" t="str">
        <f>CONCATENATE(Roster!$D$1," ",Roster!$D$5)</f>
        <v>1A BB</v>
      </c>
      <c r="AI396" s="8" t="str">
        <f t="shared" ca="1" si="212"/>
        <v>Upton - Sundance 2/7/2023</v>
      </c>
      <c r="AJ396" s="8">
        <f ca="1">IFERROR(VLOOKUP(PlayerGameData[[#This Row],[School, Opponent,Game'#]],Table3[],2,FALSE),0)</f>
        <v>1</v>
      </c>
      <c r="AK396" s="8">
        <f ca="1">IF(PlayerGameData[[#This Row],[Visible]]=1,1,1000)</f>
        <v>1</v>
      </c>
      <c r="AL396" s="8">
        <f ca="1">RANK(PlayerGameData[[#This Row],[TL PTS]],PlayerGameData[TL PTS],0)+PlayerGameData[[#This Row],[VisibleOrder]]</f>
        <v>185</v>
      </c>
      <c r="AM396" s="8">
        <f ca="1">IF(COUNTIF(PlayerGameData[PointOrder],PlayerGameData[[#This Row],[PointOrder]])&gt;1,RANK(PlayerGameData[[#This Row],[FGA]],PlayerGameData[FGA],0)/100,0)+PlayerGameData[[#This Row],[PointOrder]]</f>
        <v>187.14</v>
      </c>
      <c r="AN396" s="8">
        <f ca="1">RANK(PlayerGameData[[#This Row],[PointTieBreak]],PlayerGameData[PointTieBreak],1)</f>
        <v>216</v>
      </c>
      <c r="AO396" s="8">
        <f ca="1">RANK(PlayerGameData[[#This Row],[REB]],PlayerGameData[REB],0)+PlayerGameData[[#This Row],[VisibleOrder]]</f>
        <v>192</v>
      </c>
      <c r="AP396" s="8">
        <f ca="1">IF(COUNTIF(PlayerGameData[REBOrder],PlayerGameData[[#This Row],[REBOrder]])&gt;1,PlayerGameData[[#This Row],[PointRank]]/100+PlayerGameData[[#This Row],[REBOrder]],PlayerGameData[[#This Row],[REBOrder]])</f>
        <v>194.16</v>
      </c>
      <c r="AQ396" s="8">
        <f ca="1">RANK(PlayerGameData[[#This Row],[REBTieBreak]],PlayerGameData[REBTieBreak],1)</f>
        <v>224</v>
      </c>
      <c r="AR396" s="8">
        <f ca="1">RANK(PlayerGameData[[#This Row],[AST]],PlayerGameData[AST],0)+PlayerGameData[[#This Row],[VisibleOrder]]</f>
        <v>158</v>
      </c>
      <c r="AS396" s="8">
        <f ca="1">IF(COUNTIF(PlayerGameData[ASTOrder],PlayerGameData[[#This Row],[ASTOrder]])&gt;1,PlayerGameData[[#This Row],[PointRank]]/100+PlayerGameData[[#This Row],[ASTOrder]],PlayerGameData[[#This Row],[ASTOrder]])</f>
        <v>160.16</v>
      </c>
      <c r="AT396" s="8">
        <f ca="1">RANK(PlayerGameData[[#This Row],[ASTTieBreak]],PlayerGameData[ASTTieBreak],1)</f>
        <v>221</v>
      </c>
      <c r="AU396" s="8">
        <f ca="1">RANK(PlayerGameData[[#This Row],[STL]],PlayerGameData[STL],0)+PlayerGameData[[#This Row],[VisibleOrder]]</f>
        <v>143</v>
      </c>
      <c r="AV396" s="8">
        <f ca="1">IF(COUNTIF(PlayerGameData[STLOrder],PlayerGameData[[#This Row],[STLOrder]])&gt;1,PlayerGameData[[#This Row],[PointRank]]/100+PlayerGameData[[#This Row],[STLOrder]],PlayerGameData[[#This Row],[STLOrder]])</f>
        <v>145.16</v>
      </c>
      <c r="AW396" s="8">
        <f ca="1">RANK(PlayerGameData[[#This Row],[STLTieBreak]],PlayerGameData[STLTieBreak],1)</f>
        <v>217</v>
      </c>
      <c r="AX396" s="8">
        <f ca="1">RANK(PlayerGameData[[#This Row],[BLK]],PlayerGameData[BLK],0)+PlayerGameData[[#This Row],[VisibleOrder]]</f>
        <v>32</v>
      </c>
      <c r="AY396" s="8">
        <f ca="1">IF(COUNTIF(PlayerGameData[BLKOrder],PlayerGameData[[#This Row],[BLKOrder]])&gt;1,PlayerGameData[[#This Row],[PointRank]]/100+PlayerGameData[[#This Row],[BLKOrder]],PlayerGameData[[#This Row],[BLKOrder]])</f>
        <v>34.159999999999997</v>
      </c>
      <c r="AZ396" s="8">
        <f ca="1">RANK(PlayerGameData[[#This Row],[BLKTieBreak]],PlayerGameData[BLKTieBreak],1)</f>
        <v>216</v>
      </c>
      <c r="BA396" s="11">
        <f ca="1">IFERROR(IF(PlayerGameData[[#This Row],[FGA]]&gt;$AA$5,PlayerGameData[[#This Row],[FG%*]],PlayerGameData[[#This Row],[FG%*]]*-1),-2)</f>
        <v>-2</v>
      </c>
      <c r="BB396" s="8">
        <f ca="1">RANK(PlayerGameData[[#This Row],[EligFG]],PlayerGameData[EligFG],0)+PlayerGameData[[#This Row],[VisibleOrder]]</f>
        <v>215</v>
      </c>
      <c r="BC396" s="8">
        <f ca="1">IF(COUNTIF(PlayerGameData[EligFGOrder],PlayerGameData[[#This Row],[EligFGOrder]])&gt;1,PlayerGameData[[#This Row],[PointRank]]/100+PlayerGameData[[#This Row],[EligFGOrder]],PlayerGameData[[#This Row],[EligFGOrder]])</f>
        <v>217.16</v>
      </c>
      <c r="BD396" s="8">
        <f ca="1">RANK(PlayerGameData[[#This Row],[EligFGTieBreak]],PlayerGameData[EligFGTieBreak],1)</f>
        <v>216</v>
      </c>
      <c r="BE396" s="8" t="str">
        <f>Roster!$D$3</f>
        <v>East</v>
      </c>
      <c r="BF396" s="8" t="str">
        <f>Roster!$D$2</f>
        <v>Northeast</v>
      </c>
      <c r="BG396" s="8" t="str">
        <f>Roster!$D$4</f>
        <v>North</v>
      </c>
      <c r="BH396" s="197">
        <f ca="1">IFERROR(VLOOKUP(CONCATENATE(PlayerGameData[[#This Row],[Opponent]]," ",MONTH(PlayerGameData[[#This Row],[Date]]),"/",DAY(PlayerGameData[[#This Row],[Date]]),"/",YEAR(PlayerGameData[[#This Row],[Date]])),Table35[],2,FALSE),0)</f>
        <v>1</v>
      </c>
      <c r="BI396" s="197">
        <f ca="1">IF(PlayerGameData[[#This Row],[Visible]]=1,1,1000)</f>
        <v>1</v>
      </c>
      <c r="BJ396" s="197" t="e">
        <f ca="1">_xlfn.MAXIFS(TeamGameData[Win],TeamGameData[School, Opponent,Game'#],PlayerGameData[[#This Row],[School, Opponent,Game'#]])</f>
        <v>#NAME?</v>
      </c>
      <c r="BK396" s="197" t="e">
        <f ca="1">_xlfn.MAXIFS(TeamGameData[Loss],TeamGameData[School, Opponent,Game'#],PlayerGameData[[#This Row],[School, Opponent,Game'#]])</f>
        <v>#NAME?</v>
      </c>
    </row>
    <row r="397" spans="1:63" x14ac:dyDescent="0.25">
      <c r="A397" s="8" t="str">
        <f t="shared" ca="1" si="213"/>
        <v>Ben Carpenter, 21</v>
      </c>
      <c r="B397" s="8" t="str">
        <f>Roster!$B$1</f>
        <v>Upton</v>
      </c>
      <c r="C397" s="8" t="str">
        <f t="shared" ca="1" si="201"/>
        <v>Sundance</v>
      </c>
      <c r="D397" s="10">
        <f t="shared" ca="1" si="202"/>
        <v>44964</v>
      </c>
      <c r="E397" s="8">
        <f t="shared" ca="1" si="203"/>
        <v>0</v>
      </c>
      <c r="F397" s="8">
        <f t="shared" ca="1" si="204"/>
        <v>0</v>
      </c>
      <c r="G397" s="8">
        <f t="shared" ca="1" si="205"/>
        <v>0</v>
      </c>
      <c r="H397" s="8">
        <f t="shared" ca="1" si="206"/>
        <v>0</v>
      </c>
      <c r="I397" s="8">
        <f t="shared" ca="1" si="207"/>
        <v>0</v>
      </c>
      <c r="J397" s="8">
        <f t="shared" ca="1" si="208"/>
        <v>0</v>
      </c>
      <c r="K397" s="8">
        <f t="shared" ca="1" si="209"/>
        <v>0</v>
      </c>
      <c r="L397" s="8">
        <f t="shared" ca="1" si="214"/>
        <v>0</v>
      </c>
      <c r="M397" s="8">
        <f t="shared" ca="1" si="215"/>
        <v>0</v>
      </c>
      <c r="N397" s="8">
        <f t="shared" ca="1" si="216"/>
        <v>0</v>
      </c>
      <c r="O397" s="8">
        <f t="shared" ca="1" si="217"/>
        <v>0</v>
      </c>
      <c r="P397" s="8">
        <f t="shared" ca="1" si="218"/>
        <v>0</v>
      </c>
      <c r="Q397" s="8">
        <f t="shared" ca="1" si="219"/>
        <v>0</v>
      </c>
      <c r="R397" s="8">
        <f t="shared" ca="1" si="220"/>
        <v>0</v>
      </c>
      <c r="S397" s="8">
        <f t="shared" ca="1" si="221"/>
        <v>0</v>
      </c>
      <c r="T397" s="8">
        <f t="shared" ca="1" si="222"/>
        <v>0</v>
      </c>
      <c r="U397" s="8">
        <f t="shared" ca="1" si="223"/>
        <v>0</v>
      </c>
      <c r="V397" s="8">
        <f t="shared" ca="1" si="224"/>
        <v>0</v>
      </c>
      <c r="W397" s="11" t="str">
        <f t="shared" ca="1" si="225"/>
        <v/>
      </c>
      <c r="X397" s="11" t="str">
        <f t="shared" ca="1" si="226"/>
        <v/>
      </c>
      <c r="Y397" s="11" t="str">
        <f t="shared" ca="1" si="227"/>
        <v/>
      </c>
      <c r="Z397" s="11" t="str">
        <f t="shared" ca="1" si="228"/>
        <v/>
      </c>
      <c r="AA397" s="11" t="str">
        <f t="shared" ca="1" si="229"/>
        <v/>
      </c>
      <c r="AB397" s="47">
        <f ca="1">PlayerGameData[[#This Row],[3FGA]]+PlayerGameData[[#This Row],[2FGA]]</f>
        <v>0</v>
      </c>
      <c r="AC397" s="47">
        <f ca="1">PlayerGameData[[#This Row],[OFF REB]]+PlayerGameData[[#This Row],[DEF REB]]</f>
        <v>0</v>
      </c>
      <c r="AD397" s="8">
        <f t="shared" si="210"/>
        <v>17</v>
      </c>
      <c r="AE397" s="8" t="str">
        <f t="shared" ca="1" si="211"/>
        <v>Ben Carpenter, 21 - Sundance 2/7/2023</v>
      </c>
      <c r="AF397" s="8" t="str">
        <f t="shared" ca="1" si="230"/>
        <v/>
      </c>
      <c r="AG397" s="8" t="str">
        <f ca="1">IFERROR(IF(C397=0,"",IF(AND(VLOOKUP(PlayerGameData[[#This Row],[Opponent]],WYTeamInfo,2,FALSE)=Roster!$D$1,VLOOKUP(PlayerGameData[[#This Row],[Opponent]],WYTeamInfo,3,FALSE)=Roster!$D$2),"SR","")),"")</f>
        <v/>
      </c>
      <c r="AH397" s="8" t="str">
        <f>CONCATENATE(Roster!$D$1," ",Roster!$D$5)</f>
        <v>1A BB</v>
      </c>
      <c r="AI397" s="8" t="str">
        <f t="shared" ca="1" si="212"/>
        <v>Upton - Sundance 2/7/2023</v>
      </c>
      <c r="AJ397" s="8">
        <f ca="1">IFERROR(VLOOKUP(PlayerGameData[[#This Row],[School, Opponent,Game'#]],Table3[],2,FALSE),0)</f>
        <v>1</v>
      </c>
      <c r="AK397" s="8">
        <f ca="1">IF(PlayerGameData[[#This Row],[Visible]]=1,1,1000)</f>
        <v>1</v>
      </c>
      <c r="AL397" s="8">
        <f ca="1">RANK(PlayerGameData[[#This Row],[TL PTS]],PlayerGameData[TL PTS],0)+PlayerGameData[[#This Row],[VisibleOrder]]</f>
        <v>185</v>
      </c>
      <c r="AM397" s="8">
        <f ca="1">IF(COUNTIF(PlayerGameData[PointOrder],PlayerGameData[[#This Row],[PointOrder]])&gt;1,RANK(PlayerGameData[[#This Row],[FGA]],PlayerGameData[FGA],0)/100,0)+PlayerGameData[[#This Row],[PointOrder]]</f>
        <v>187.14</v>
      </c>
      <c r="AN397" s="8">
        <f ca="1">RANK(PlayerGameData[[#This Row],[PointTieBreak]],PlayerGameData[PointTieBreak],1)</f>
        <v>216</v>
      </c>
      <c r="AO397" s="8">
        <f ca="1">RANK(PlayerGameData[[#This Row],[REB]],PlayerGameData[REB],0)+PlayerGameData[[#This Row],[VisibleOrder]]</f>
        <v>192</v>
      </c>
      <c r="AP397" s="8">
        <f ca="1">IF(COUNTIF(PlayerGameData[REBOrder],PlayerGameData[[#This Row],[REBOrder]])&gt;1,PlayerGameData[[#This Row],[PointRank]]/100+PlayerGameData[[#This Row],[REBOrder]],PlayerGameData[[#This Row],[REBOrder]])</f>
        <v>194.16</v>
      </c>
      <c r="AQ397" s="8">
        <f ca="1">RANK(PlayerGameData[[#This Row],[REBTieBreak]],PlayerGameData[REBTieBreak],1)</f>
        <v>224</v>
      </c>
      <c r="AR397" s="8">
        <f ca="1">RANK(PlayerGameData[[#This Row],[AST]],PlayerGameData[AST],0)+PlayerGameData[[#This Row],[VisibleOrder]]</f>
        <v>158</v>
      </c>
      <c r="AS397" s="8">
        <f ca="1">IF(COUNTIF(PlayerGameData[ASTOrder],PlayerGameData[[#This Row],[ASTOrder]])&gt;1,PlayerGameData[[#This Row],[PointRank]]/100+PlayerGameData[[#This Row],[ASTOrder]],PlayerGameData[[#This Row],[ASTOrder]])</f>
        <v>160.16</v>
      </c>
      <c r="AT397" s="8">
        <f ca="1">RANK(PlayerGameData[[#This Row],[ASTTieBreak]],PlayerGameData[ASTTieBreak],1)</f>
        <v>221</v>
      </c>
      <c r="AU397" s="8">
        <f ca="1">RANK(PlayerGameData[[#This Row],[STL]],PlayerGameData[STL],0)+PlayerGameData[[#This Row],[VisibleOrder]]</f>
        <v>143</v>
      </c>
      <c r="AV397" s="8">
        <f ca="1">IF(COUNTIF(PlayerGameData[STLOrder],PlayerGameData[[#This Row],[STLOrder]])&gt;1,PlayerGameData[[#This Row],[PointRank]]/100+PlayerGameData[[#This Row],[STLOrder]],PlayerGameData[[#This Row],[STLOrder]])</f>
        <v>145.16</v>
      </c>
      <c r="AW397" s="8">
        <f ca="1">RANK(PlayerGameData[[#This Row],[STLTieBreak]],PlayerGameData[STLTieBreak],1)</f>
        <v>217</v>
      </c>
      <c r="AX397" s="8">
        <f ca="1">RANK(PlayerGameData[[#This Row],[BLK]],PlayerGameData[BLK],0)+PlayerGameData[[#This Row],[VisibleOrder]]</f>
        <v>32</v>
      </c>
      <c r="AY397" s="8">
        <f ca="1">IF(COUNTIF(PlayerGameData[BLKOrder],PlayerGameData[[#This Row],[BLKOrder]])&gt;1,PlayerGameData[[#This Row],[PointRank]]/100+PlayerGameData[[#This Row],[BLKOrder]],PlayerGameData[[#This Row],[BLKOrder]])</f>
        <v>34.159999999999997</v>
      </c>
      <c r="AZ397" s="8">
        <f ca="1">RANK(PlayerGameData[[#This Row],[BLKTieBreak]],PlayerGameData[BLKTieBreak],1)</f>
        <v>216</v>
      </c>
      <c r="BA397" s="11">
        <f ca="1">IFERROR(IF(PlayerGameData[[#This Row],[FGA]]&gt;$AA$5,PlayerGameData[[#This Row],[FG%*]],PlayerGameData[[#This Row],[FG%*]]*-1),-2)</f>
        <v>-2</v>
      </c>
      <c r="BB397" s="8">
        <f ca="1">RANK(PlayerGameData[[#This Row],[EligFG]],PlayerGameData[EligFG],0)+PlayerGameData[[#This Row],[VisibleOrder]]</f>
        <v>215</v>
      </c>
      <c r="BC397" s="8">
        <f ca="1">IF(COUNTIF(PlayerGameData[EligFGOrder],PlayerGameData[[#This Row],[EligFGOrder]])&gt;1,PlayerGameData[[#This Row],[PointRank]]/100+PlayerGameData[[#This Row],[EligFGOrder]],PlayerGameData[[#This Row],[EligFGOrder]])</f>
        <v>217.16</v>
      </c>
      <c r="BD397" s="8">
        <f ca="1">RANK(PlayerGameData[[#This Row],[EligFGTieBreak]],PlayerGameData[EligFGTieBreak],1)</f>
        <v>216</v>
      </c>
      <c r="BE397" s="8" t="str">
        <f>Roster!$D$3</f>
        <v>East</v>
      </c>
      <c r="BF397" s="8" t="str">
        <f>Roster!$D$2</f>
        <v>Northeast</v>
      </c>
      <c r="BG397" s="8" t="str">
        <f>Roster!$D$4</f>
        <v>North</v>
      </c>
      <c r="BH397" s="197">
        <f ca="1">IFERROR(VLOOKUP(CONCATENATE(PlayerGameData[[#This Row],[Opponent]]," ",MONTH(PlayerGameData[[#This Row],[Date]]),"/",DAY(PlayerGameData[[#This Row],[Date]]),"/",YEAR(PlayerGameData[[#This Row],[Date]])),Table35[],2,FALSE),0)</f>
        <v>1</v>
      </c>
      <c r="BI397" s="197">
        <f ca="1">IF(PlayerGameData[[#This Row],[Visible]]=1,1,1000)</f>
        <v>1</v>
      </c>
      <c r="BJ397" s="197" t="e">
        <f ca="1">_xlfn.MAXIFS(TeamGameData[Win],TeamGameData[School, Opponent,Game'#],PlayerGameData[[#This Row],[School, Opponent,Game'#]])</f>
        <v>#NAME?</v>
      </c>
      <c r="BK397" s="197" t="e">
        <f ca="1">_xlfn.MAXIFS(TeamGameData[Loss],TeamGameData[School, Opponent,Game'#],PlayerGameData[[#This Row],[School, Opponent,Game'#]])</f>
        <v>#NAME?</v>
      </c>
    </row>
    <row r="398" spans="1:63" x14ac:dyDescent="0.25">
      <c r="A398" s="8" t="str">
        <f t="shared" ca="1" si="213"/>
        <v>Ethan Schiller, 23</v>
      </c>
      <c r="B398" s="8" t="str">
        <f>Roster!$B$1</f>
        <v>Upton</v>
      </c>
      <c r="C398" s="8" t="str">
        <f t="shared" ca="1" si="201"/>
        <v>Sundance</v>
      </c>
      <c r="D398" s="10">
        <f t="shared" ca="1" si="202"/>
        <v>44964</v>
      </c>
      <c r="E398" s="8">
        <f t="shared" ca="1" si="203"/>
        <v>1</v>
      </c>
      <c r="F398" s="8">
        <f t="shared" ca="1" si="204"/>
        <v>1</v>
      </c>
      <c r="G398" s="8">
        <f t="shared" ca="1" si="205"/>
        <v>25</v>
      </c>
      <c r="H398" s="8">
        <f t="shared" ca="1" si="206"/>
        <v>0</v>
      </c>
      <c r="I398" s="8">
        <f t="shared" ca="1" si="207"/>
        <v>4</v>
      </c>
      <c r="J398" s="8">
        <f t="shared" ca="1" si="208"/>
        <v>3</v>
      </c>
      <c r="K398" s="8">
        <f t="shared" ca="1" si="209"/>
        <v>4</v>
      </c>
      <c r="L398" s="8">
        <f t="shared" ca="1" si="214"/>
        <v>2</v>
      </c>
      <c r="M398" s="8">
        <f t="shared" ca="1" si="215"/>
        <v>3</v>
      </c>
      <c r="N398" s="8">
        <f t="shared" ca="1" si="216"/>
        <v>2</v>
      </c>
      <c r="O398" s="8">
        <f t="shared" ca="1" si="217"/>
        <v>6</v>
      </c>
      <c r="P398" s="8">
        <f t="shared" ca="1" si="218"/>
        <v>2</v>
      </c>
      <c r="Q398" s="8">
        <f t="shared" ca="1" si="219"/>
        <v>2</v>
      </c>
      <c r="R398" s="8">
        <f t="shared" ca="1" si="220"/>
        <v>2</v>
      </c>
      <c r="S398" s="8">
        <f t="shared" ca="1" si="221"/>
        <v>4</v>
      </c>
      <c r="T398" s="8">
        <f t="shared" ca="1" si="222"/>
        <v>3</v>
      </c>
      <c r="U398" s="8">
        <f t="shared" ca="1" si="223"/>
        <v>0</v>
      </c>
      <c r="V398" s="8">
        <f t="shared" ca="1" si="224"/>
        <v>8</v>
      </c>
      <c r="W398" s="11">
        <f t="shared" ca="1" si="225"/>
        <v>0</v>
      </c>
      <c r="X398" s="11">
        <f t="shared" ca="1" si="226"/>
        <v>0.75</v>
      </c>
      <c r="Y398" s="11">
        <f t="shared" ca="1" si="227"/>
        <v>0.66666666666666663</v>
      </c>
      <c r="Z398" s="11">
        <f t="shared" ca="1" si="228"/>
        <v>0.375</v>
      </c>
      <c r="AA398" s="11">
        <f t="shared" ca="1" si="229"/>
        <v>0.375</v>
      </c>
      <c r="AB398" s="47">
        <f ca="1">PlayerGameData[[#This Row],[3FGA]]+PlayerGameData[[#This Row],[2FGA]]</f>
        <v>8</v>
      </c>
      <c r="AC398" s="47">
        <f ca="1">PlayerGameData[[#This Row],[OFF REB]]+PlayerGameData[[#This Row],[DEF REB]]</f>
        <v>8</v>
      </c>
      <c r="AD398" s="8">
        <f t="shared" si="210"/>
        <v>17</v>
      </c>
      <c r="AE398" s="8" t="str">
        <f t="shared" ca="1" si="211"/>
        <v>Ethan Schiller, 23 - Sundance 2/7/2023</v>
      </c>
      <c r="AF398" s="8" t="str">
        <f t="shared" ca="1" si="230"/>
        <v/>
      </c>
      <c r="AG398" s="8" t="str">
        <f ca="1">IFERROR(IF(C398=0,"",IF(AND(VLOOKUP(PlayerGameData[[#This Row],[Opponent]],WYTeamInfo,2,FALSE)=Roster!$D$1,VLOOKUP(PlayerGameData[[#This Row],[Opponent]],WYTeamInfo,3,FALSE)=Roster!$D$2),"SR","")),"")</f>
        <v/>
      </c>
      <c r="AH398" s="8" t="str">
        <f>CONCATENATE(Roster!$D$1," ",Roster!$D$5)</f>
        <v>1A BB</v>
      </c>
      <c r="AI398" s="8" t="str">
        <f t="shared" ca="1" si="212"/>
        <v>Upton - Sundance 2/7/2023</v>
      </c>
      <c r="AJ398" s="8">
        <f ca="1">IFERROR(VLOOKUP(PlayerGameData[[#This Row],[School, Opponent,Game'#]],Table3[],2,FALSE),0)</f>
        <v>1</v>
      </c>
      <c r="AK398" s="8">
        <f ca="1">IF(PlayerGameData[[#This Row],[Visible]]=1,1,1000)</f>
        <v>1</v>
      </c>
      <c r="AL398" s="8">
        <f ca="1">RANK(PlayerGameData[[#This Row],[TL PTS]],PlayerGameData[TL PTS],0)+PlayerGameData[[#This Row],[VisibleOrder]]</f>
        <v>82</v>
      </c>
      <c r="AM398" s="8">
        <f ca="1">IF(COUNTIF(PlayerGameData[PointOrder],PlayerGameData[[#This Row],[PointOrder]])&gt;1,RANK(PlayerGameData[[#This Row],[FGA]],PlayerGameData[FGA],0)/100,0)+PlayerGameData[[#This Row],[PointOrder]]</f>
        <v>82.76</v>
      </c>
      <c r="AN398" s="8">
        <f ca="1">RANK(PlayerGameData[[#This Row],[PointTieBreak]],PlayerGameData[PointTieBreak],1)</f>
        <v>86</v>
      </c>
      <c r="AO398" s="8">
        <f ca="1">RANK(PlayerGameData[[#This Row],[REB]],PlayerGameData[REB],0)+PlayerGameData[[#This Row],[VisibleOrder]]</f>
        <v>21</v>
      </c>
      <c r="AP398" s="8">
        <f ca="1">IF(COUNTIF(PlayerGameData[REBOrder],PlayerGameData[[#This Row],[REBOrder]])&gt;1,PlayerGameData[[#This Row],[PointRank]]/100+PlayerGameData[[#This Row],[REBOrder]],PlayerGameData[[#This Row],[REBOrder]])</f>
        <v>21.86</v>
      </c>
      <c r="AQ398" s="8">
        <f ca="1">RANK(PlayerGameData[[#This Row],[REBTieBreak]],PlayerGameData[REBTieBreak],1)</f>
        <v>25</v>
      </c>
      <c r="AR398" s="8">
        <f ca="1">RANK(PlayerGameData[[#This Row],[AST]],PlayerGameData[AST],0)+PlayerGameData[[#This Row],[VisibleOrder]]</f>
        <v>69</v>
      </c>
      <c r="AS398" s="8">
        <f ca="1">IF(COUNTIF(PlayerGameData[ASTOrder],PlayerGameData[[#This Row],[ASTOrder]])&gt;1,PlayerGameData[[#This Row],[PointRank]]/100+PlayerGameData[[#This Row],[ASTOrder]],PlayerGameData[[#This Row],[ASTOrder]])</f>
        <v>69.86</v>
      </c>
      <c r="AT398" s="8">
        <f ca="1">RANK(PlayerGameData[[#This Row],[ASTTieBreak]],PlayerGameData[ASTTieBreak],1)</f>
        <v>88</v>
      </c>
      <c r="AU398" s="8">
        <f ca="1">RANK(PlayerGameData[[#This Row],[STL]],PlayerGameData[STL],0)+PlayerGameData[[#This Row],[VisibleOrder]]</f>
        <v>48</v>
      </c>
      <c r="AV398" s="8">
        <f ca="1">IF(COUNTIF(PlayerGameData[STLOrder],PlayerGameData[[#This Row],[STLOrder]])&gt;1,PlayerGameData[[#This Row],[PointRank]]/100+PlayerGameData[[#This Row],[STLOrder]],PlayerGameData[[#This Row],[STLOrder]])</f>
        <v>48.86</v>
      </c>
      <c r="AW398" s="8">
        <f ca="1">RANK(PlayerGameData[[#This Row],[STLTieBreak]],PlayerGameData[STLTieBreak],1)</f>
        <v>66</v>
      </c>
      <c r="AX398" s="8">
        <f ca="1">RANK(PlayerGameData[[#This Row],[BLK]],PlayerGameData[BLK],0)+PlayerGameData[[#This Row],[VisibleOrder]]</f>
        <v>5</v>
      </c>
      <c r="AY398" s="8">
        <f ca="1">IF(COUNTIF(PlayerGameData[BLKOrder],PlayerGameData[[#This Row],[BLKOrder]])&gt;1,PlayerGameData[[#This Row],[PointRank]]/100+PlayerGameData[[#This Row],[BLKOrder]],PlayerGameData[[#This Row],[BLKOrder]])</f>
        <v>5.86</v>
      </c>
      <c r="AZ398" s="8">
        <f ca="1">RANK(PlayerGameData[[#This Row],[BLKTieBreak]],PlayerGameData[BLKTieBreak],1)</f>
        <v>8</v>
      </c>
      <c r="BA398" s="11">
        <f ca="1">IFERROR(IF(PlayerGameData[[#This Row],[FGA]]&gt;$AA$5,PlayerGameData[[#This Row],[FG%*]],PlayerGameData[[#This Row],[FG%*]]*-1),-2)</f>
        <v>0.375</v>
      </c>
      <c r="BB398" s="8">
        <f ca="1">RANK(PlayerGameData[[#This Row],[EligFG]],PlayerGameData[EligFG],0)+PlayerGameData[[#This Row],[VisibleOrder]]</f>
        <v>73</v>
      </c>
      <c r="BC398" s="8">
        <f ca="1">IF(COUNTIF(PlayerGameData[EligFGOrder],PlayerGameData[[#This Row],[EligFGOrder]])&gt;1,PlayerGameData[[#This Row],[PointRank]]/100+PlayerGameData[[#This Row],[EligFGOrder]],PlayerGameData[[#This Row],[EligFGOrder]])</f>
        <v>73.86</v>
      </c>
      <c r="BD398" s="8">
        <f ca="1">RANK(PlayerGameData[[#This Row],[EligFGTieBreak]],PlayerGameData[EligFGTieBreak],1)</f>
        <v>75</v>
      </c>
      <c r="BE398" s="8" t="str">
        <f>Roster!$D$3</f>
        <v>East</v>
      </c>
      <c r="BF398" s="8" t="str">
        <f>Roster!$D$2</f>
        <v>Northeast</v>
      </c>
      <c r="BG398" s="8" t="str">
        <f>Roster!$D$4</f>
        <v>North</v>
      </c>
      <c r="BH398" s="197">
        <f ca="1">IFERROR(VLOOKUP(CONCATENATE(PlayerGameData[[#This Row],[Opponent]]," ",MONTH(PlayerGameData[[#This Row],[Date]]),"/",DAY(PlayerGameData[[#This Row],[Date]]),"/",YEAR(PlayerGameData[[#This Row],[Date]])),Table35[],2,FALSE),0)</f>
        <v>1</v>
      </c>
      <c r="BI398" s="197">
        <f ca="1">IF(PlayerGameData[[#This Row],[Visible]]=1,1,1000)</f>
        <v>1</v>
      </c>
      <c r="BJ398" s="197" t="e">
        <f ca="1">_xlfn.MAXIFS(TeamGameData[Win],TeamGameData[School, Opponent,Game'#],PlayerGameData[[#This Row],[School, Opponent,Game'#]])</f>
        <v>#NAME?</v>
      </c>
      <c r="BK398" s="197" t="e">
        <f ca="1">_xlfn.MAXIFS(TeamGameData[Loss],TeamGameData[School, Opponent,Game'#],PlayerGameData[[#This Row],[School, Opponent,Game'#]])</f>
        <v>#NAME?</v>
      </c>
    </row>
    <row r="399" spans="1:63" x14ac:dyDescent="0.25">
      <c r="A399" s="8" t="str">
        <f t="shared" ca="1" si="213"/>
        <v>Bridger Bruce, 25</v>
      </c>
      <c r="B399" s="8" t="str">
        <f>Roster!$B$1</f>
        <v>Upton</v>
      </c>
      <c r="C399" s="8" t="str">
        <f t="shared" ca="1" si="201"/>
        <v>Sundance</v>
      </c>
      <c r="D399" s="10">
        <f t="shared" ca="1" si="202"/>
        <v>44964</v>
      </c>
      <c r="E399" s="8">
        <f t="shared" ca="1" si="203"/>
        <v>1</v>
      </c>
      <c r="F399" s="8">
        <f t="shared" ca="1" si="204"/>
        <v>0</v>
      </c>
      <c r="G399" s="8">
        <f t="shared" ca="1" si="205"/>
        <v>12</v>
      </c>
      <c r="H399" s="8">
        <f t="shared" ca="1" si="206"/>
        <v>0</v>
      </c>
      <c r="I399" s="8">
        <f t="shared" ca="1" si="207"/>
        <v>1</v>
      </c>
      <c r="J399" s="8">
        <f t="shared" ca="1" si="208"/>
        <v>0</v>
      </c>
      <c r="K399" s="8">
        <f t="shared" ca="1" si="209"/>
        <v>0</v>
      </c>
      <c r="L399" s="8">
        <f t="shared" ca="1" si="214"/>
        <v>0</v>
      </c>
      <c r="M399" s="8">
        <f t="shared" ca="1" si="215"/>
        <v>0</v>
      </c>
      <c r="N399" s="8">
        <f t="shared" ca="1" si="216"/>
        <v>1</v>
      </c>
      <c r="O399" s="8">
        <f t="shared" ca="1" si="217"/>
        <v>1</v>
      </c>
      <c r="P399" s="8">
        <f t="shared" ca="1" si="218"/>
        <v>3</v>
      </c>
      <c r="Q399" s="8">
        <f t="shared" ca="1" si="219"/>
        <v>1</v>
      </c>
      <c r="R399" s="8">
        <f t="shared" ca="1" si="220"/>
        <v>0</v>
      </c>
      <c r="S399" s="8">
        <f t="shared" ca="1" si="221"/>
        <v>2</v>
      </c>
      <c r="T399" s="8">
        <f t="shared" ca="1" si="222"/>
        <v>2</v>
      </c>
      <c r="U399" s="8">
        <f t="shared" ca="1" si="223"/>
        <v>0</v>
      </c>
      <c r="V399" s="8">
        <f t="shared" ca="1" si="224"/>
        <v>0</v>
      </c>
      <c r="W399" s="11">
        <f t="shared" ca="1" si="225"/>
        <v>0</v>
      </c>
      <c r="X399" s="11" t="str">
        <f t="shared" ca="1" si="226"/>
        <v/>
      </c>
      <c r="Y399" s="11" t="str">
        <f t="shared" ca="1" si="227"/>
        <v/>
      </c>
      <c r="Z399" s="11">
        <f t="shared" ca="1" si="228"/>
        <v>0</v>
      </c>
      <c r="AA399" s="11">
        <f t="shared" ca="1" si="229"/>
        <v>0</v>
      </c>
      <c r="AB399" s="47">
        <f ca="1">PlayerGameData[[#This Row],[3FGA]]+PlayerGameData[[#This Row],[2FGA]]</f>
        <v>1</v>
      </c>
      <c r="AC399" s="47">
        <f ca="1">PlayerGameData[[#This Row],[OFF REB]]+PlayerGameData[[#This Row],[DEF REB]]</f>
        <v>2</v>
      </c>
      <c r="AD399" s="8">
        <f t="shared" si="210"/>
        <v>17</v>
      </c>
      <c r="AE399" s="8" t="str">
        <f t="shared" ca="1" si="211"/>
        <v>Bridger Bruce, 25 - Sundance 2/7/2023</v>
      </c>
      <c r="AF399" s="8" t="str">
        <f t="shared" ca="1" si="230"/>
        <v/>
      </c>
      <c r="AG399" s="8" t="str">
        <f ca="1">IFERROR(IF(C399=0,"",IF(AND(VLOOKUP(PlayerGameData[[#This Row],[Opponent]],WYTeamInfo,2,FALSE)=Roster!$D$1,VLOOKUP(PlayerGameData[[#This Row],[Opponent]],WYTeamInfo,3,FALSE)=Roster!$D$2),"SR","")),"")</f>
        <v/>
      </c>
      <c r="AH399" s="8" t="str">
        <f>CONCATENATE(Roster!$D$1," ",Roster!$D$5)</f>
        <v>1A BB</v>
      </c>
      <c r="AI399" s="8" t="str">
        <f t="shared" ca="1" si="212"/>
        <v>Upton - Sundance 2/7/2023</v>
      </c>
      <c r="AJ399" s="8">
        <f ca="1">IFERROR(VLOOKUP(PlayerGameData[[#This Row],[School, Opponent,Game'#]],Table3[],2,FALSE),0)</f>
        <v>1</v>
      </c>
      <c r="AK399" s="8">
        <f ca="1">IF(PlayerGameData[[#This Row],[Visible]]=1,1,1000)</f>
        <v>1</v>
      </c>
      <c r="AL399" s="8">
        <f ca="1">RANK(PlayerGameData[[#This Row],[TL PTS]],PlayerGameData[TL PTS],0)+PlayerGameData[[#This Row],[VisibleOrder]]</f>
        <v>185</v>
      </c>
      <c r="AM399" s="8">
        <f ca="1">IF(COUNTIF(PlayerGameData[PointOrder],PlayerGameData[[#This Row],[PointOrder]])&gt;1,RANK(PlayerGameData[[#This Row],[FGA]],PlayerGameData[FGA],0)/100,0)+PlayerGameData[[#This Row],[PointOrder]]</f>
        <v>186.82</v>
      </c>
      <c r="AN399" s="8">
        <f ca="1">RANK(PlayerGameData[[#This Row],[PointTieBreak]],PlayerGameData[PointTieBreak],1)</f>
        <v>196</v>
      </c>
      <c r="AO399" s="8">
        <f ca="1">RANK(PlayerGameData[[#This Row],[REB]],PlayerGameData[REB],0)+PlayerGameData[[#This Row],[VisibleOrder]]</f>
        <v>137</v>
      </c>
      <c r="AP399" s="8">
        <f ca="1">IF(COUNTIF(PlayerGameData[REBOrder],PlayerGameData[[#This Row],[REBOrder]])&gt;1,PlayerGameData[[#This Row],[PointRank]]/100+PlayerGameData[[#This Row],[REBOrder]],PlayerGameData[[#This Row],[REBOrder]])</f>
        <v>138.96</v>
      </c>
      <c r="AQ399" s="8">
        <f ca="1">RANK(PlayerGameData[[#This Row],[REBTieBreak]],PlayerGameData[REBTieBreak],1)</f>
        <v>157</v>
      </c>
      <c r="AR399" s="8">
        <f ca="1">RANK(PlayerGameData[[#This Row],[AST]],PlayerGameData[AST],0)+PlayerGameData[[#This Row],[VisibleOrder]]</f>
        <v>39</v>
      </c>
      <c r="AS399" s="8">
        <f ca="1">IF(COUNTIF(PlayerGameData[ASTOrder],PlayerGameData[[#This Row],[ASTOrder]])&gt;1,PlayerGameData[[#This Row],[PointRank]]/100+PlayerGameData[[#This Row],[ASTOrder]],PlayerGameData[[#This Row],[ASTOrder]])</f>
        <v>40.96</v>
      </c>
      <c r="AT399" s="8">
        <f ca="1">RANK(PlayerGameData[[#This Row],[ASTTieBreak]],PlayerGameData[ASTTieBreak],1)</f>
        <v>67</v>
      </c>
      <c r="AU399" s="8">
        <f ca="1">RANK(PlayerGameData[[#This Row],[STL]],PlayerGameData[STL],0)+PlayerGameData[[#This Row],[VisibleOrder]]</f>
        <v>84</v>
      </c>
      <c r="AV399" s="8">
        <f ca="1">IF(COUNTIF(PlayerGameData[STLOrder],PlayerGameData[[#This Row],[STLOrder]])&gt;1,PlayerGameData[[#This Row],[PointRank]]/100+PlayerGameData[[#This Row],[STLOrder]],PlayerGameData[[#This Row],[STLOrder]])</f>
        <v>85.96</v>
      </c>
      <c r="AW399" s="8">
        <f ca="1">RANK(PlayerGameData[[#This Row],[STLTieBreak]],PlayerGameData[STLTieBreak],1)</f>
        <v>139</v>
      </c>
      <c r="AX399" s="8">
        <f ca="1">RANK(PlayerGameData[[#This Row],[BLK]],PlayerGameData[BLK],0)+PlayerGameData[[#This Row],[VisibleOrder]]</f>
        <v>32</v>
      </c>
      <c r="AY399" s="8">
        <f ca="1">IF(COUNTIF(PlayerGameData[BLKOrder],PlayerGameData[[#This Row],[BLKOrder]])&gt;1,PlayerGameData[[#This Row],[PointRank]]/100+PlayerGameData[[#This Row],[BLKOrder]],PlayerGameData[[#This Row],[BLKOrder]])</f>
        <v>33.96</v>
      </c>
      <c r="AZ399" s="8">
        <f ca="1">RANK(PlayerGameData[[#This Row],[BLKTieBreak]],PlayerGameData[BLKTieBreak],1)</f>
        <v>196</v>
      </c>
      <c r="BA399" s="11">
        <f ca="1">IFERROR(IF(PlayerGameData[[#This Row],[FGA]]&gt;$AA$5,PlayerGameData[[#This Row],[FG%*]],PlayerGameData[[#This Row],[FG%*]]*-1),-2)</f>
        <v>0</v>
      </c>
      <c r="BB399" s="8">
        <f ca="1">RANK(PlayerGameData[[#This Row],[EligFG]],PlayerGameData[EligFG],0)+PlayerGameData[[#This Row],[VisibleOrder]]</f>
        <v>117</v>
      </c>
      <c r="BC399" s="8">
        <f ca="1">IF(COUNTIF(PlayerGameData[EligFGOrder],PlayerGameData[[#This Row],[EligFGOrder]])&gt;1,PlayerGameData[[#This Row],[PointRank]]/100+PlayerGameData[[#This Row],[EligFGOrder]],PlayerGameData[[#This Row],[EligFGOrder]])</f>
        <v>118.96</v>
      </c>
      <c r="BD399" s="8">
        <f ca="1">RANK(PlayerGameData[[#This Row],[EligFGTieBreak]],PlayerGameData[EligFGTieBreak],1)</f>
        <v>138</v>
      </c>
      <c r="BE399" s="8" t="str">
        <f>Roster!$D$3</f>
        <v>East</v>
      </c>
      <c r="BF399" s="8" t="str">
        <f>Roster!$D$2</f>
        <v>Northeast</v>
      </c>
      <c r="BG399" s="8" t="str">
        <f>Roster!$D$4</f>
        <v>North</v>
      </c>
      <c r="BH399" s="197">
        <f ca="1">IFERROR(VLOOKUP(CONCATENATE(PlayerGameData[[#This Row],[Opponent]]," ",MONTH(PlayerGameData[[#This Row],[Date]]),"/",DAY(PlayerGameData[[#This Row],[Date]]),"/",YEAR(PlayerGameData[[#This Row],[Date]])),Table35[],2,FALSE),0)</f>
        <v>1</v>
      </c>
      <c r="BI399" s="197">
        <f ca="1">IF(PlayerGameData[[#This Row],[Visible]]=1,1,1000)</f>
        <v>1</v>
      </c>
      <c r="BJ399" s="197" t="e">
        <f ca="1">_xlfn.MAXIFS(TeamGameData[Win],TeamGameData[School, Opponent,Game'#],PlayerGameData[[#This Row],[School, Opponent,Game'#]])</f>
        <v>#NAME?</v>
      </c>
      <c r="BK399" s="197" t="e">
        <f ca="1">_xlfn.MAXIFS(TeamGameData[Loss],TeamGameData[School, Opponent,Game'#],PlayerGameData[[#This Row],[School, Opponent,Game'#]])</f>
        <v>#NAME?</v>
      </c>
    </row>
    <row r="400" spans="1:63" x14ac:dyDescent="0.25">
      <c r="A400" s="8" t="str">
        <f t="shared" ca="1" si="213"/>
        <v>Kailer Duarte, 31</v>
      </c>
      <c r="B400" s="8" t="str">
        <f>Roster!$B$1</f>
        <v>Upton</v>
      </c>
      <c r="C400" s="8" t="str">
        <f t="shared" ca="1" si="201"/>
        <v>Sundance</v>
      </c>
      <c r="D400" s="10">
        <f t="shared" ca="1" si="202"/>
        <v>44964</v>
      </c>
      <c r="E400" s="8">
        <f t="shared" ca="1" si="203"/>
        <v>1</v>
      </c>
      <c r="F400" s="8">
        <f t="shared" ca="1" si="204"/>
        <v>1</v>
      </c>
      <c r="G400" s="8">
        <f t="shared" ca="1" si="205"/>
        <v>25</v>
      </c>
      <c r="H400" s="8">
        <f t="shared" ca="1" si="206"/>
        <v>0</v>
      </c>
      <c r="I400" s="8">
        <f t="shared" ca="1" si="207"/>
        <v>4</v>
      </c>
      <c r="J400" s="8">
        <f t="shared" ca="1" si="208"/>
        <v>1</v>
      </c>
      <c r="K400" s="8">
        <f t="shared" ca="1" si="209"/>
        <v>5</v>
      </c>
      <c r="L400" s="8">
        <f t="shared" ca="1" si="214"/>
        <v>1</v>
      </c>
      <c r="M400" s="8">
        <f t="shared" ca="1" si="215"/>
        <v>2</v>
      </c>
      <c r="N400" s="8">
        <f t="shared" ca="1" si="216"/>
        <v>3</v>
      </c>
      <c r="O400" s="8">
        <f t="shared" ca="1" si="217"/>
        <v>1</v>
      </c>
      <c r="P400" s="8">
        <f t="shared" ca="1" si="218"/>
        <v>2</v>
      </c>
      <c r="Q400" s="8">
        <f t="shared" ca="1" si="219"/>
        <v>1</v>
      </c>
      <c r="R400" s="8">
        <f t="shared" ca="1" si="220"/>
        <v>0</v>
      </c>
      <c r="S400" s="8">
        <f t="shared" ca="1" si="221"/>
        <v>3</v>
      </c>
      <c r="T400" s="8">
        <f t="shared" ca="1" si="222"/>
        <v>3</v>
      </c>
      <c r="U400" s="8">
        <f t="shared" ca="1" si="223"/>
        <v>0</v>
      </c>
      <c r="V400" s="8">
        <f t="shared" ca="1" si="224"/>
        <v>3</v>
      </c>
      <c r="W400" s="11">
        <f t="shared" ca="1" si="225"/>
        <v>0</v>
      </c>
      <c r="X400" s="11">
        <f t="shared" ca="1" si="226"/>
        <v>0.2</v>
      </c>
      <c r="Y400" s="11">
        <f t="shared" ca="1" si="227"/>
        <v>0.5</v>
      </c>
      <c r="Z400" s="11">
        <f t="shared" ca="1" si="228"/>
        <v>0.1111111111111111</v>
      </c>
      <c r="AA400" s="11">
        <f t="shared" ca="1" si="229"/>
        <v>0.1111111111111111</v>
      </c>
      <c r="AB400" s="47">
        <f ca="1">PlayerGameData[[#This Row],[3FGA]]+PlayerGameData[[#This Row],[2FGA]]</f>
        <v>9</v>
      </c>
      <c r="AC400" s="47">
        <f ca="1">PlayerGameData[[#This Row],[OFF REB]]+PlayerGameData[[#This Row],[DEF REB]]</f>
        <v>4</v>
      </c>
      <c r="AD400" s="8">
        <f t="shared" si="210"/>
        <v>17</v>
      </c>
      <c r="AE400" s="8" t="str">
        <f t="shared" ca="1" si="211"/>
        <v>Kailer Duarte, 31 - Sundance 2/7/2023</v>
      </c>
      <c r="AF400" s="8" t="str">
        <f t="shared" ca="1" si="230"/>
        <v/>
      </c>
      <c r="AG400" s="8" t="str">
        <f ca="1">IFERROR(IF(C400=0,"",IF(AND(VLOOKUP(PlayerGameData[[#This Row],[Opponent]],WYTeamInfo,2,FALSE)=Roster!$D$1,VLOOKUP(PlayerGameData[[#This Row],[Opponent]],WYTeamInfo,3,FALSE)=Roster!$D$2),"SR","")),"")</f>
        <v/>
      </c>
      <c r="AH400" s="8" t="str">
        <f>CONCATENATE(Roster!$D$1," ",Roster!$D$5)</f>
        <v>1A BB</v>
      </c>
      <c r="AI400" s="8" t="str">
        <f t="shared" ca="1" si="212"/>
        <v>Upton - Sundance 2/7/2023</v>
      </c>
      <c r="AJ400" s="8">
        <f ca="1">IFERROR(VLOOKUP(PlayerGameData[[#This Row],[School, Opponent,Game'#]],Table3[],2,FALSE),0)</f>
        <v>1</v>
      </c>
      <c r="AK400" s="8">
        <f ca="1">IF(PlayerGameData[[#This Row],[Visible]]=1,1,1000)</f>
        <v>1</v>
      </c>
      <c r="AL400" s="8">
        <f ca="1">RANK(PlayerGameData[[#This Row],[TL PTS]],PlayerGameData[TL PTS],0)+PlayerGameData[[#This Row],[VisibleOrder]]</f>
        <v>135</v>
      </c>
      <c r="AM400" s="8">
        <f ca="1">IF(COUNTIF(PlayerGameData[PointOrder],PlayerGameData[[#This Row],[PointOrder]])&gt;1,RANK(PlayerGameData[[#This Row],[FGA]],PlayerGameData[FGA],0)/100,0)+PlayerGameData[[#This Row],[PointOrder]]</f>
        <v>135.59</v>
      </c>
      <c r="AN400" s="8">
        <f ca="1">RANK(PlayerGameData[[#This Row],[PointTieBreak]],PlayerGameData[PointTieBreak],1)</f>
        <v>134</v>
      </c>
      <c r="AO400" s="8">
        <f ca="1">RANK(PlayerGameData[[#This Row],[REB]],PlayerGameData[REB],0)+PlayerGameData[[#This Row],[VisibleOrder]]</f>
        <v>79</v>
      </c>
      <c r="AP400" s="8">
        <f ca="1">IF(COUNTIF(PlayerGameData[REBOrder],PlayerGameData[[#This Row],[REBOrder]])&gt;1,PlayerGameData[[#This Row],[PointRank]]/100+PlayerGameData[[#This Row],[REBOrder]],PlayerGameData[[#This Row],[REBOrder]])</f>
        <v>80.34</v>
      </c>
      <c r="AQ400" s="8">
        <f ca="1">RANK(PlayerGameData[[#This Row],[REBTieBreak]],PlayerGameData[REBTieBreak],1)</f>
        <v>103</v>
      </c>
      <c r="AR400" s="8">
        <f ca="1">RANK(PlayerGameData[[#This Row],[AST]],PlayerGameData[AST],0)+PlayerGameData[[#This Row],[VisibleOrder]]</f>
        <v>69</v>
      </c>
      <c r="AS400" s="8">
        <f ca="1">IF(COUNTIF(PlayerGameData[ASTOrder],PlayerGameData[[#This Row],[ASTOrder]])&gt;1,PlayerGameData[[#This Row],[PointRank]]/100+PlayerGameData[[#This Row],[ASTOrder]],PlayerGameData[[#This Row],[ASTOrder]])</f>
        <v>70.34</v>
      </c>
      <c r="AT400" s="8">
        <f ca="1">RANK(PlayerGameData[[#This Row],[ASTTieBreak]],PlayerGameData[ASTTieBreak],1)</f>
        <v>102</v>
      </c>
      <c r="AU400" s="8">
        <f ca="1">RANK(PlayerGameData[[#This Row],[STL]],PlayerGameData[STL],0)+PlayerGameData[[#This Row],[VisibleOrder]]</f>
        <v>84</v>
      </c>
      <c r="AV400" s="8">
        <f ca="1">IF(COUNTIF(PlayerGameData[STLOrder],PlayerGameData[[#This Row],[STLOrder]])&gt;1,PlayerGameData[[#This Row],[PointRank]]/100+PlayerGameData[[#This Row],[STLOrder]],PlayerGameData[[#This Row],[STLOrder]])</f>
        <v>85.34</v>
      </c>
      <c r="AW400" s="8">
        <f ca="1">RANK(PlayerGameData[[#This Row],[STLTieBreak]],PlayerGameData[STLTieBreak],1)</f>
        <v>121</v>
      </c>
      <c r="AX400" s="8">
        <f ca="1">RANK(PlayerGameData[[#This Row],[BLK]],PlayerGameData[BLK],0)+PlayerGameData[[#This Row],[VisibleOrder]]</f>
        <v>32</v>
      </c>
      <c r="AY400" s="8">
        <f ca="1">IF(COUNTIF(PlayerGameData[BLKOrder],PlayerGameData[[#This Row],[BLKOrder]])&gt;1,PlayerGameData[[#This Row],[PointRank]]/100+PlayerGameData[[#This Row],[BLKOrder]],PlayerGameData[[#This Row],[BLKOrder]])</f>
        <v>33.340000000000003</v>
      </c>
      <c r="AZ400" s="8">
        <f ca="1">RANK(PlayerGameData[[#This Row],[BLKTieBreak]],PlayerGameData[BLKTieBreak],1)</f>
        <v>138</v>
      </c>
      <c r="BA400" s="11">
        <f ca="1">IFERROR(IF(PlayerGameData[[#This Row],[FGA]]&gt;$AA$5,PlayerGameData[[#This Row],[FG%*]],PlayerGameData[[#This Row],[FG%*]]*-1),-2)</f>
        <v>0.1111111111111111</v>
      </c>
      <c r="BB400" s="8">
        <f ca="1">RANK(PlayerGameData[[#This Row],[EligFG]],PlayerGameData[EligFG],0)+PlayerGameData[[#This Row],[VisibleOrder]]</f>
        <v>114</v>
      </c>
      <c r="BC400" s="8">
        <f ca="1">IF(COUNTIF(PlayerGameData[EligFGOrder],PlayerGameData[[#This Row],[EligFGOrder]])&gt;1,PlayerGameData[[#This Row],[PointRank]]/100+PlayerGameData[[#This Row],[EligFGOrder]],PlayerGameData[[#This Row],[EligFGOrder]])</f>
        <v>115.34</v>
      </c>
      <c r="BD400" s="8">
        <f ca="1">RANK(PlayerGameData[[#This Row],[EligFGTieBreak]],PlayerGameData[EligFGTieBreak],1)</f>
        <v>114</v>
      </c>
      <c r="BE400" s="8" t="str">
        <f>Roster!$D$3</f>
        <v>East</v>
      </c>
      <c r="BF400" s="8" t="str">
        <f>Roster!$D$2</f>
        <v>Northeast</v>
      </c>
      <c r="BG400" s="8" t="str">
        <f>Roster!$D$4</f>
        <v>North</v>
      </c>
      <c r="BH400" s="197">
        <f ca="1">IFERROR(VLOOKUP(CONCATENATE(PlayerGameData[[#This Row],[Opponent]]," ",MONTH(PlayerGameData[[#This Row],[Date]]),"/",DAY(PlayerGameData[[#This Row],[Date]]),"/",YEAR(PlayerGameData[[#This Row],[Date]])),Table35[],2,FALSE),0)</f>
        <v>1</v>
      </c>
      <c r="BI400" s="197">
        <f ca="1">IF(PlayerGameData[[#This Row],[Visible]]=1,1,1000)</f>
        <v>1</v>
      </c>
      <c r="BJ400" s="197" t="e">
        <f ca="1">_xlfn.MAXIFS(TeamGameData[Win],TeamGameData[School, Opponent,Game'#],PlayerGameData[[#This Row],[School, Opponent,Game'#]])</f>
        <v>#NAME?</v>
      </c>
      <c r="BK400" s="197" t="e">
        <f ca="1">_xlfn.MAXIFS(TeamGameData[Loss],TeamGameData[School, Opponent,Game'#],PlayerGameData[[#This Row],[School, Opponent,Game'#]])</f>
        <v>#NAME?</v>
      </c>
    </row>
    <row r="401" spans="1:63" x14ac:dyDescent="0.25">
      <c r="A401" s="8" t="str">
        <f t="shared" ca="1" si="213"/>
        <v>Matt Stirmel, 33</v>
      </c>
      <c r="B401" s="8" t="str">
        <f>Roster!$B$1</f>
        <v>Upton</v>
      </c>
      <c r="C401" s="8" t="str">
        <f t="shared" ca="1" si="201"/>
        <v>Sundance</v>
      </c>
      <c r="D401" s="10">
        <f t="shared" ca="1" si="202"/>
        <v>44964</v>
      </c>
      <c r="E401" s="8">
        <f t="shared" ca="1" si="203"/>
        <v>0</v>
      </c>
      <c r="F401" s="8">
        <f t="shared" ca="1" si="204"/>
        <v>0</v>
      </c>
      <c r="G401" s="8">
        <f t="shared" ca="1" si="205"/>
        <v>0</v>
      </c>
      <c r="H401" s="8">
        <f t="shared" ca="1" si="206"/>
        <v>0</v>
      </c>
      <c r="I401" s="8">
        <f t="shared" ca="1" si="207"/>
        <v>0</v>
      </c>
      <c r="J401" s="8">
        <f t="shared" ca="1" si="208"/>
        <v>0</v>
      </c>
      <c r="K401" s="8">
        <f t="shared" ca="1" si="209"/>
        <v>0</v>
      </c>
      <c r="L401" s="8">
        <f t="shared" ca="1" si="214"/>
        <v>0</v>
      </c>
      <c r="M401" s="8">
        <f t="shared" ca="1" si="215"/>
        <v>0</v>
      </c>
      <c r="N401" s="8">
        <f t="shared" ca="1" si="216"/>
        <v>0</v>
      </c>
      <c r="O401" s="8">
        <f t="shared" ca="1" si="217"/>
        <v>0</v>
      </c>
      <c r="P401" s="8">
        <f t="shared" ca="1" si="218"/>
        <v>0</v>
      </c>
      <c r="Q401" s="8">
        <f t="shared" ca="1" si="219"/>
        <v>0</v>
      </c>
      <c r="R401" s="8">
        <f t="shared" ca="1" si="220"/>
        <v>0</v>
      </c>
      <c r="S401" s="8">
        <f t="shared" ca="1" si="221"/>
        <v>0</v>
      </c>
      <c r="T401" s="8">
        <f t="shared" ca="1" si="222"/>
        <v>0</v>
      </c>
      <c r="U401" s="8">
        <f t="shared" ca="1" si="223"/>
        <v>0</v>
      </c>
      <c r="V401" s="8">
        <f t="shared" ca="1" si="224"/>
        <v>0</v>
      </c>
      <c r="W401" s="11" t="str">
        <f t="shared" ca="1" si="225"/>
        <v/>
      </c>
      <c r="X401" s="11" t="str">
        <f t="shared" ca="1" si="226"/>
        <v/>
      </c>
      <c r="Y401" s="11" t="str">
        <f t="shared" ca="1" si="227"/>
        <v/>
      </c>
      <c r="Z401" s="11" t="str">
        <f t="shared" ca="1" si="228"/>
        <v/>
      </c>
      <c r="AA401" s="11" t="str">
        <f t="shared" ca="1" si="229"/>
        <v/>
      </c>
      <c r="AB401" s="47">
        <f ca="1">PlayerGameData[[#This Row],[3FGA]]+PlayerGameData[[#This Row],[2FGA]]</f>
        <v>0</v>
      </c>
      <c r="AC401" s="47">
        <f ca="1">PlayerGameData[[#This Row],[OFF REB]]+PlayerGameData[[#This Row],[DEF REB]]</f>
        <v>0</v>
      </c>
      <c r="AD401" s="8">
        <f t="shared" si="210"/>
        <v>17</v>
      </c>
      <c r="AE401" s="8" t="str">
        <f t="shared" ca="1" si="211"/>
        <v>Matt Stirmel, 33 - Sundance 2/7/2023</v>
      </c>
      <c r="AF401" s="8" t="str">
        <f t="shared" ca="1" si="230"/>
        <v/>
      </c>
      <c r="AG401" s="8" t="str">
        <f ca="1">IFERROR(IF(C401=0,"",IF(AND(VLOOKUP(PlayerGameData[[#This Row],[Opponent]],WYTeamInfo,2,FALSE)=Roster!$D$1,VLOOKUP(PlayerGameData[[#This Row],[Opponent]],WYTeamInfo,3,FALSE)=Roster!$D$2),"SR","")),"")</f>
        <v/>
      </c>
      <c r="AH401" s="8" t="str">
        <f>CONCATENATE(Roster!$D$1," ",Roster!$D$5)</f>
        <v>1A BB</v>
      </c>
      <c r="AI401" s="8" t="str">
        <f t="shared" ca="1" si="212"/>
        <v>Upton - Sundance 2/7/2023</v>
      </c>
      <c r="AJ401" s="8">
        <f ca="1">IFERROR(VLOOKUP(PlayerGameData[[#This Row],[School, Opponent,Game'#]],Table3[],2,FALSE),0)</f>
        <v>1</v>
      </c>
      <c r="AK401" s="8">
        <f ca="1">IF(PlayerGameData[[#This Row],[Visible]]=1,1,1000)</f>
        <v>1</v>
      </c>
      <c r="AL401" s="8">
        <f ca="1">RANK(PlayerGameData[[#This Row],[TL PTS]],PlayerGameData[TL PTS],0)+PlayerGameData[[#This Row],[VisibleOrder]]</f>
        <v>185</v>
      </c>
      <c r="AM401" s="8">
        <f ca="1">IF(COUNTIF(PlayerGameData[PointOrder],PlayerGameData[[#This Row],[PointOrder]])&gt;1,RANK(PlayerGameData[[#This Row],[FGA]],PlayerGameData[FGA],0)/100,0)+PlayerGameData[[#This Row],[PointOrder]]</f>
        <v>187.14</v>
      </c>
      <c r="AN401" s="8">
        <f ca="1">RANK(PlayerGameData[[#This Row],[PointTieBreak]],PlayerGameData[PointTieBreak],1)</f>
        <v>216</v>
      </c>
      <c r="AO401" s="8">
        <f ca="1">RANK(PlayerGameData[[#This Row],[REB]],PlayerGameData[REB],0)+PlayerGameData[[#This Row],[VisibleOrder]]</f>
        <v>192</v>
      </c>
      <c r="AP401" s="8">
        <f ca="1">IF(COUNTIF(PlayerGameData[REBOrder],PlayerGameData[[#This Row],[REBOrder]])&gt;1,PlayerGameData[[#This Row],[PointRank]]/100+PlayerGameData[[#This Row],[REBOrder]],PlayerGameData[[#This Row],[REBOrder]])</f>
        <v>194.16</v>
      </c>
      <c r="AQ401" s="8">
        <f ca="1">RANK(PlayerGameData[[#This Row],[REBTieBreak]],PlayerGameData[REBTieBreak],1)</f>
        <v>224</v>
      </c>
      <c r="AR401" s="8">
        <f ca="1">RANK(PlayerGameData[[#This Row],[AST]],PlayerGameData[AST],0)+PlayerGameData[[#This Row],[VisibleOrder]]</f>
        <v>158</v>
      </c>
      <c r="AS401" s="8">
        <f ca="1">IF(COUNTIF(PlayerGameData[ASTOrder],PlayerGameData[[#This Row],[ASTOrder]])&gt;1,PlayerGameData[[#This Row],[PointRank]]/100+PlayerGameData[[#This Row],[ASTOrder]],PlayerGameData[[#This Row],[ASTOrder]])</f>
        <v>160.16</v>
      </c>
      <c r="AT401" s="8">
        <f ca="1">RANK(PlayerGameData[[#This Row],[ASTTieBreak]],PlayerGameData[ASTTieBreak],1)</f>
        <v>221</v>
      </c>
      <c r="AU401" s="8">
        <f ca="1">RANK(PlayerGameData[[#This Row],[STL]],PlayerGameData[STL],0)+PlayerGameData[[#This Row],[VisibleOrder]]</f>
        <v>143</v>
      </c>
      <c r="AV401" s="8">
        <f ca="1">IF(COUNTIF(PlayerGameData[STLOrder],PlayerGameData[[#This Row],[STLOrder]])&gt;1,PlayerGameData[[#This Row],[PointRank]]/100+PlayerGameData[[#This Row],[STLOrder]],PlayerGameData[[#This Row],[STLOrder]])</f>
        <v>145.16</v>
      </c>
      <c r="AW401" s="8">
        <f ca="1">RANK(PlayerGameData[[#This Row],[STLTieBreak]],PlayerGameData[STLTieBreak],1)</f>
        <v>217</v>
      </c>
      <c r="AX401" s="8">
        <f ca="1">RANK(PlayerGameData[[#This Row],[BLK]],PlayerGameData[BLK],0)+PlayerGameData[[#This Row],[VisibleOrder]]</f>
        <v>32</v>
      </c>
      <c r="AY401" s="8">
        <f ca="1">IF(COUNTIF(PlayerGameData[BLKOrder],PlayerGameData[[#This Row],[BLKOrder]])&gt;1,PlayerGameData[[#This Row],[PointRank]]/100+PlayerGameData[[#This Row],[BLKOrder]],PlayerGameData[[#This Row],[BLKOrder]])</f>
        <v>34.159999999999997</v>
      </c>
      <c r="AZ401" s="8">
        <f ca="1">RANK(PlayerGameData[[#This Row],[BLKTieBreak]],PlayerGameData[BLKTieBreak],1)</f>
        <v>216</v>
      </c>
      <c r="BA401" s="11">
        <f ca="1">IFERROR(IF(PlayerGameData[[#This Row],[FGA]]&gt;$AA$5,PlayerGameData[[#This Row],[FG%*]],PlayerGameData[[#This Row],[FG%*]]*-1),-2)</f>
        <v>-2</v>
      </c>
      <c r="BB401" s="8">
        <f ca="1">RANK(PlayerGameData[[#This Row],[EligFG]],PlayerGameData[EligFG],0)+PlayerGameData[[#This Row],[VisibleOrder]]</f>
        <v>215</v>
      </c>
      <c r="BC401" s="8">
        <f ca="1">IF(COUNTIF(PlayerGameData[EligFGOrder],PlayerGameData[[#This Row],[EligFGOrder]])&gt;1,PlayerGameData[[#This Row],[PointRank]]/100+PlayerGameData[[#This Row],[EligFGOrder]],PlayerGameData[[#This Row],[EligFGOrder]])</f>
        <v>217.16</v>
      </c>
      <c r="BD401" s="8">
        <f ca="1">RANK(PlayerGameData[[#This Row],[EligFGTieBreak]],PlayerGameData[EligFGTieBreak],1)</f>
        <v>216</v>
      </c>
      <c r="BE401" s="8" t="str">
        <f>Roster!$D$3</f>
        <v>East</v>
      </c>
      <c r="BF401" s="8" t="str">
        <f>Roster!$D$2</f>
        <v>Northeast</v>
      </c>
      <c r="BG401" s="8" t="str">
        <f>Roster!$D$4</f>
        <v>North</v>
      </c>
      <c r="BH401" s="197">
        <f ca="1">IFERROR(VLOOKUP(CONCATENATE(PlayerGameData[[#This Row],[Opponent]]," ",MONTH(PlayerGameData[[#This Row],[Date]]),"/",DAY(PlayerGameData[[#This Row],[Date]]),"/",YEAR(PlayerGameData[[#This Row],[Date]])),Table35[],2,FALSE),0)</f>
        <v>1</v>
      </c>
      <c r="BI401" s="197">
        <f ca="1">IF(PlayerGameData[[#This Row],[Visible]]=1,1,1000)</f>
        <v>1</v>
      </c>
      <c r="BJ401" s="197" t="e">
        <f ca="1">_xlfn.MAXIFS(TeamGameData[Win],TeamGameData[School, Opponent,Game'#],PlayerGameData[[#This Row],[School, Opponent,Game'#]])</f>
        <v>#NAME?</v>
      </c>
      <c r="BK401" s="197" t="e">
        <f ca="1">_xlfn.MAXIFS(TeamGameData[Loss],TeamGameData[School, Opponent,Game'#],PlayerGameData[[#This Row],[School, Opponent,Game'#]])</f>
        <v>#NAME?</v>
      </c>
    </row>
    <row r="402" spans="1:63" x14ac:dyDescent="0.25">
      <c r="A402" s="8" t="str">
        <f t="shared" ca="1" si="213"/>
        <v>Jacob McNutt, 34</v>
      </c>
      <c r="B402" s="8" t="str">
        <f>Roster!$B$1</f>
        <v>Upton</v>
      </c>
      <c r="C402" s="8" t="str">
        <f t="shared" ca="1" si="201"/>
        <v>Sundance</v>
      </c>
      <c r="D402" s="10">
        <f t="shared" ca="1" si="202"/>
        <v>44964</v>
      </c>
      <c r="E402" s="8">
        <f t="shared" ca="1" si="203"/>
        <v>0</v>
      </c>
      <c r="F402" s="8">
        <f t="shared" ca="1" si="204"/>
        <v>0</v>
      </c>
      <c r="G402" s="8">
        <f t="shared" ca="1" si="205"/>
        <v>0</v>
      </c>
      <c r="H402" s="8">
        <f t="shared" ca="1" si="206"/>
        <v>0</v>
      </c>
      <c r="I402" s="8">
        <f t="shared" ca="1" si="207"/>
        <v>0</v>
      </c>
      <c r="J402" s="8">
        <f t="shared" ca="1" si="208"/>
        <v>0</v>
      </c>
      <c r="K402" s="8">
        <f t="shared" ca="1" si="209"/>
        <v>0</v>
      </c>
      <c r="L402" s="8">
        <f t="shared" ca="1" si="214"/>
        <v>0</v>
      </c>
      <c r="M402" s="8">
        <f t="shared" ca="1" si="215"/>
        <v>0</v>
      </c>
      <c r="N402" s="8">
        <f t="shared" ca="1" si="216"/>
        <v>0</v>
      </c>
      <c r="O402" s="8">
        <f t="shared" ca="1" si="217"/>
        <v>0</v>
      </c>
      <c r="P402" s="8">
        <f t="shared" ca="1" si="218"/>
        <v>0</v>
      </c>
      <c r="Q402" s="8">
        <f t="shared" ca="1" si="219"/>
        <v>0</v>
      </c>
      <c r="R402" s="8">
        <f t="shared" ca="1" si="220"/>
        <v>0</v>
      </c>
      <c r="S402" s="8">
        <f t="shared" ca="1" si="221"/>
        <v>0</v>
      </c>
      <c r="T402" s="8">
        <f t="shared" ca="1" si="222"/>
        <v>0</v>
      </c>
      <c r="U402" s="8">
        <f t="shared" ca="1" si="223"/>
        <v>0</v>
      </c>
      <c r="V402" s="8">
        <f t="shared" ca="1" si="224"/>
        <v>0</v>
      </c>
      <c r="W402" s="11" t="str">
        <f t="shared" ca="1" si="225"/>
        <v/>
      </c>
      <c r="X402" s="11" t="str">
        <f t="shared" ca="1" si="226"/>
        <v/>
      </c>
      <c r="Y402" s="11" t="str">
        <f t="shared" ca="1" si="227"/>
        <v/>
      </c>
      <c r="Z402" s="11" t="str">
        <f t="shared" ca="1" si="228"/>
        <v/>
      </c>
      <c r="AA402" s="11" t="str">
        <f t="shared" ca="1" si="229"/>
        <v/>
      </c>
      <c r="AB402" s="47">
        <f ca="1">PlayerGameData[[#This Row],[3FGA]]+PlayerGameData[[#This Row],[2FGA]]</f>
        <v>0</v>
      </c>
      <c r="AC402" s="47">
        <f ca="1">PlayerGameData[[#This Row],[OFF REB]]+PlayerGameData[[#This Row],[DEF REB]]</f>
        <v>0</v>
      </c>
      <c r="AD402" s="8">
        <f t="shared" si="210"/>
        <v>17</v>
      </c>
      <c r="AE402" s="8" t="str">
        <f t="shared" ca="1" si="211"/>
        <v>Jacob McNutt, 34 - Sundance 2/7/2023</v>
      </c>
      <c r="AF402" s="8" t="str">
        <f t="shared" ca="1" si="230"/>
        <v/>
      </c>
      <c r="AG402" s="8" t="str">
        <f ca="1">IFERROR(IF(C402=0,"",IF(AND(VLOOKUP(PlayerGameData[[#This Row],[Opponent]],WYTeamInfo,2,FALSE)=Roster!$D$1,VLOOKUP(PlayerGameData[[#This Row],[Opponent]],WYTeamInfo,3,FALSE)=Roster!$D$2),"SR","")),"")</f>
        <v/>
      </c>
      <c r="AH402" s="8" t="str">
        <f>CONCATENATE(Roster!$D$1," ",Roster!$D$5)</f>
        <v>1A BB</v>
      </c>
      <c r="AI402" s="8" t="str">
        <f t="shared" ca="1" si="212"/>
        <v>Upton - Sundance 2/7/2023</v>
      </c>
      <c r="AJ402" s="8">
        <f ca="1">IFERROR(VLOOKUP(PlayerGameData[[#This Row],[School, Opponent,Game'#]],Table3[],2,FALSE),0)</f>
        <v>1</v>
      </c>
      <c r="AK402" s="8">
        <f ca="1">IF(PlayerGameData[[#This Row],[Visible]]=1,1,1000)</f>
        <v>1</v>
      </c>
      <c r="AL402" s="8">
        <f ca="1">RANK(PlayerGameData[[#This Row],[TL PTS]],PlayerGameData[TL PTS],0)+PlayerGameData[[#This Row],[VisibleOrder]]</f>
        <v>185</v>
      </c>
      <c r="AM402" s="8">
        <f ca="1">IF(COUNTIF(PlayerGameData[PointOrder],PlayerGameData[[#This Row],[PointOrder]])&gt;1,RANK(PlayerGameData[[#This Row],[FGA]],PlayerGameData[FGA],0)/100,0)+PlayerGameData[[#This Row],[PointOrder]]</f>
        <v>187.14</v>
      </c>
      <c r="AN402" s="8">
        <f ca="1">RANK(PlayerGameData[[#This Row],[PointTieBreak]],PlayerGameData[PointTieBreak],1)</f>
        <v>216</v>
      </c>
      <c r="AO402" s="8">
        <f ca="1">RANK(PlayerGameData[[#This Row],[REB]],PlayerGameData[REB],0)+PlayerGameData[[#This Row],[VisibleOrder]]</f>
        <v>192</v>
      </c>
      <c r="AP402" s="8">
        <f ca="1">IF(COUNTIF(PlayerGameData[REBOrder],PlayerGameData[[#This Row],[REBOrder]])&gt;1,PlayerGameData[[#This Row],[PointRank]]/100+PlayerGameData[[#This Row],[REBOrder]],PlayerGameData[[#This Row],[REBOrder]])</f>
        <v>194.16</v>
      </c>
      <c r="AQ402" s="8">
        <f ca="1">RANK(PlayerGameData[[#This Row],[REBTieBreak]],PlayerGameData[REBTieBreak],1)</f>
        <v>224</v>
      </c>
      <c r="AR402" s="8">
        <f ca="1">RANK(PlayerGameData[[#This Row],[AST]],PlayerGameData[AST],0)+PlayerGameData[[#This Row],[VisibleOrder]]</f>
        <v>158</v>
      </c>
      <c r="AS402" s="8">
        <f ca="1">IF(COUNTIF(PlayerGameData[ASTOrder],PlayerGameData[[#This Row],[ASTOrder]])&gt;1,PlayerGameData[[#This Row],[PointRank]]/100+PlayerGameData[[#This Row],[ASTOrder]],PlayerGameData[[#This Row],[ASTOrder]])</f>
        <v>160.16</v>
      </c>
      <c r="AT402" s="8">
        <f ca="1">RANK(PlayerGameData[[#This Row],[ASTTieBreak]],PlayerGameData[ASTTieBreak],1)</f>
        <v>221</v>
      </c>
      <c r="AU402" s="8">
        <f ca="1">RANK(PlayerGameData[[#This Row],[STL]],PlayerGameData[STL],0)+PlayerGameData[[#This Row],[VisibleOrder]]</f>
        <v>143</v>
      </c>
      <c r="AV402" s="8">
        <f ca="1">IF(COUNTIF(PlayerGameData[STLOrder],PlayerGameData[[#This Row],[STLOrder]])&gt;1,PlayerGameData[[#This Row],[PointRank]]/100+PlayerGameData[[#This Row],[STLOrder]],PlayerGameData[[#This Row],[STLOrder]])</f>
        <v>145.16</v>
      </c>
      <c r="AW402" s="8">
        <f ca="1">RANK(PlayerGameData[[#This Row],[STLTieBreak]],PlayerGameData[STLTieBreak],1)</f>
        <v>217</v>
      </c>
      <c r="AX402" s="8">
        <f ca="1">RANK(PlayerGameData[[#This Row],[BLK]],PlayerGameData[BLK],0)+PlayerGameData[[#This Row],[VisibleOrder]]</f>
        <v>32</v>
      </c>
      <c r="AY402" s="8">
        <f ca="1">IF(COUNTIF(PlayerGameData[BLKOrder],PlayerGameData[[#This Row],[BLKOrder]])&gt;1,PlayerGameData[[#This Row],[PointRank]]/100+PlayerGameData[[#This Row],[BLKOrder]],PlayerGameData[[#This Row],[BLKOrder]])</f>
        <v>34.159999999999997</v>
      </c>
      <c r="AZ402" s="8">
        <f ca="1">RANK(PlayerGameData[[#This Row],[BLKTieBreak]],PlayerGameData[BLKTieBreak],1)</f>
        <v>216</v>
      </c>
      <c r="BA402" s="11">
        <f ca="1">IFERROR(IF(PlayerGameData[[#This Row],[FGA]]&gt;$AA$5,PlayerGameData[[#This Row],[FG%*]],PlayerGameData[[#This Row],[FG%*]]*-1),-2)</f>
        <v>-2</v>
      </c>
      <c r="BB402" s="8">
        <f ca="1">RANK(PlayerGameData[[#This Row],[EligFG]],PlayerGameData[EligFG],0)+PlayerGameData[[#This Row],[VisibleOrder]]</f>
        <v>215</v>
      </c>
      <c r="BC402" s="8">
        <f ca="1">IF(COUNTIF(PlayerGameData[EligFGOrder],PlayerGameData[[#This Row],[EligFGOrder]])&gt;1,PlayerGameData[[#This Row],[PointRank]]/100+PlayerGameData[[#This Row],[EligFGOrder]],PlayerGameData[[#This Row],[EligFGOrder]])</f>
        <v>217.16</v>
      </c>
      <c r="BD402" s="8">
        <f ca="1">RANK(PlayerGameData[[#This Row],[EligFGTieBreak]],PlayerGameData[EligFGTieBreak],1)</f>
        <v>216</v>
      </c>
      <c r="BE402" s="8" t="str">
        <f>Roster!$D$3</f>
        <v>East</v>
      </c>
      <c r="BF402" s="8" t="str">
        <f>Roster!$D$2</f>
        <v>Northeast</v>
      </c>
      <c r="BG402" s="8" t="str">
        <f>Roster!$D$4</f>
        <v>North</v>
      </c>
      <c r="BH402" s="197">
        <f ca="1">IFERROR(VLOOKUP(CONCATENATE(PlayerGameData[[#This Row],[Opponent]]," ",MONTH(PlayerGameData[[#This Row],[Date]]),"/",DAY(PlayerGameData[[#This Row],[Date]]),"/",YEAR(PlayerGameData[[#This Row],[Date]])),Table35[],2,FALSE),0)</f>
        <v>1</v>
      </c>
      <c r="BI402" s="197">
        <f ca="1">IF(PlayerGameData[[#This Row],[Visible]]=1,1,1000)</f>
        <v>1</v>
      </c>
      <c r="BJ402" s="197" t="e">
        <f ca="1">_xlfn.MAXIFS(TeamGameData[Win],TeamGameData[School, Opponent,Game'#],PlayerGameData[[#This Row],[School, Opponent,Game'#]])</f>
        <v>#NAME?</v>
      </c>
      <c r="BK402" s="197" t="e">
        <f ca="1">_xlfn.MAXIFS(TeamGameData[Loss],TeamGameData[School, Opponent,Game'#],PlayerGameData[[#This Row],[School, Opponent,Game'#]])</f>
        <v>#NAME?</v>
      </c>
    </row>
    <row r="403" spans="1:63" x14ac:dyDescent="0.25">
      <c r="A403" s="8" t="str">
        <f t="shared" ca="1" si="213"/>
        <v>Ryan Baker, 35</v>
      </c>
      <c r="B403" s="8" t="str">
        <f>Roster!$B$1</f>
        <v>Upton</v>
      </c>
      <c r="C403" s="8" t="str">
        <f t="shared" ca="1" si="201"/>
        <v>Sundance</v>
      </c>
      <c r="D403" s="10">
        <f t="shared" ca="1" si="202"/>
        <v>44964</v>
      </c>
      <c r="E403" s="8">
        <f t="shared" ca="1" si="203"/>
        <v>1</v>
      </c>
      <c r="F403" s="8">
        <f t="shared" ca="1" si="204"/>
        <v>0</v>
      </c>
      <c r="G403" s="8">
        <f t="shared" ca="1" si="205"/>
        <v>8</v>
      </c>
      <c r="H403" s="8">
        <f t="shared" ca="1" si="206"/>
        <v>0</v>
      </c>
      <c r="I403" s="8">
        <f t="shared" ca="1" si="207"/>
        <v>0</v>
      </c>
      <c r="J403" s="8">
        <f t="shared" ca="1" si="208"/>
        <v>0</v>
      </c>
      <c r="K403" s="8">
        <f t="shared" ca="1" si="209"/>
        <v>0</v>
      </c>
      <c r="L403" s="8">
        <f t="shared" ca="1" si="214"/>
        <v>0</v>
      </c>
      <c r="M403" s="8">
        <f t="shared" ca="1" si="215"/>
        <v>0</v>
      </c>
      <c r="N403" s="8">
        <f t="shared" ca="1" si="216"/>
        <v>0</v>
      </c>
      <c r="O403" s="8">
        <f t="shared" ca="1" si="217"/>
        <v>0</v>
      </c>
      <c r="P403" s="8">
        <f t="shared" ca="1" si="218"/>
        <v>1</v>
      </c>
      <c r="Q403" s="8">
        <f t="shared" ca="1" si="219"/>
        <v>0</v>
      </c>
      <c r="R403" s="8">
        <f t="shared" ca="1" si="220"/>
        <v>0</v>
      </c>
      <c r="S403" s="8">
        <f t="shared" ca="1" si="221"/>
        <v>1</v>
      </c>
      <c r="T403" s="8">
        <f t="shared" ca="1" si="222"/>
        <v>0</v>
      </c>
      <c r="U403" s="8">
        <f t="shared" ca="1" si="223"/>
        <v>0</v>
      </c>
      <c r="V403" s="8">
        <f t="shared" ca="1" si="224"/>
        <v>0</v>
      </c>
      <c r="W403" s="11" t="str">
        <f t="shared" ca="1" si="225"/>
        <v/>
      </c>
      <c r="X403" s="11" t="str">
        <f t="shared" ca="1" si="226"/>
        <v/>
      </c>
      <c r="Y403" s="11" t="str">
        <f t="shared" ca="1" si="227"/>
        <v/>
      </c>
      <c r="Z403" s="11" t="str">
        <f t="shared" ca="1" si="228"/>
        <v/>
      </c>
      <c r="AA403" s="11" t="str">
        <f t="shared" ca="1" si="229"/>
        <v/>
      </c>
      <c r="AB403" s="47">
        <f ca="1">PlayerGameData[[#This Row],[3FGA]]+PlayerGameData[[#This Row],[2FGA]]</f>
        <v>0</v>
      </c>
      <c r="AC403" s="47">
        <f ca="1">PlayerGameData[[#This Row],[OFF REB]]+PlayerGameData[[#This Row],[DEF REB]]</f>
        <v>0</v>
      </c>
      <c r="AD403" s="8">
        <f t="shared" si="210"/>
        <v>17</v>
      </c>
      <c r="AE403" s="8" t="str">
        <f t="shared" ca="1" si="211"/>
        <v>Ryan Baker, 35 - Sundance 2/7/2023</v>
      </c>
      <c r="AF403" s="8" t="str">
        <f t="shared" ca="1" si="230"/>
        <v/>
      </c>
      <c r="AG403" s="8" t="str">
        <f ca="1">IFERROR(IF(C403=0,"",IF(AND(VLOOKUP(PlayerGameData[[#This Row],[Opponent]],WYTeamInfo,2,FALSE)=Roster!$D$1,VLOOKUP(PlayerGameData[[#This Row],[Opponent]],WYTeamInfo,3,FALSE)=Roster!$D$2),"SR","")),"")</f>
        <v/>
      </c>
      <c r="AH403" s="8" t="str">
        <f>CONCATENATE(Roster!$D$1," ",Roster!$D$5)</f>
        <v>1A BB</v>
      </c>
      <c r="AI403" s="8" t="str">
        <f t="shared" ca="1" si="212"/>
        <v>Upton - Sundance 2/7/2023</v>
      </c>
      <c r="AJ403" s="8">
        <f ca="1">IFERROR(VLOOKUP(PlayerGameData[[#This Row],[School, Opponent,Game'#]],Table3[],2,FALSE),0)</f>
        <v>1</v>
      </c>
      <c r="AK403" s="8">
        <f ca="1">IF(PlayerGameData[[#This Row],[Visible]]=1,1,1000)</f>
        <v>1</v>
      </c>
      <c r="AL403" s="8">
        <f ca="1">RANK(PlayerGameData[[#This Row],[TL PTS]],PlayerGameData[TL PTS],0)+PlayerGameData[[#This Row],[VisibleOrder]]</f>
        <v>185</v>
      </c>
      <c r="AM403" s="8">
        <f ca="1">IF(COUNTIF(PlayerGameData[PointOrder],PlayerGameData[[#This Row],[PointOrder]])&gt;1,RANK(PlayerGameData[[#This Row],[FGA]],PlayerGameData[FGA],0)/100,0)+PlayerGameData[[#This Row],[PointOrder]]</f>
        <v>187.14</v>
      </c>
      <c r="AN403" s="8">
        <f ca="1">RANK(PlayerGameData[[#This Row],[PointTieBreak]],PlayerGameData[PointTieBreak],1)</f>
        <v>216</v>
      </c>
      <c r="AO403" s="8">
        <f ca="1">RANK(PlayerGameData[[#This Row],[REB]],PlayerGameData[REB],0)+PlayerGameData[[#This Row],[VisibleOrder]]</f>
        <v>192</v>
      </c>
      <c r="AP403" s="8">
        <f ca="1">IF(COUNTIF(PlayerGameData[REBOrder],PlayerGameData[[#This Row],[REBOrder]])&gt;1,PlayerGameData[[#This Row],[PointRank]]/100+PlayerGameData[[#This Row],[REBOrder]],PlayerGameData[[#This Row],[REBOrder]])</f>
        <v>194.16</v>
      </c>
      <c r="AQ403" s="8">
        <f ca="1">RANK(PlayerGameData[[#This Row],[REBTieBreak]],PlayerGameData[REBTieBreak],1)</f>
        <v>224</v>
      </c>
      <c r="AR403" s="8">
        <f ca="1">RANK(PlayerGameData[[#This Row],[AST]],PlayerGameData[AST],0)+PlayerGameData[[#This Row],[VisibleOrder]]</f>
        <v>115</v>
      </c>
      <c r="AS403" s="8">
        <f ca="1">IF(COUNTIF(PlayerGameData[ASTOrder],PlayerGameData[[#This Row],[ASTOrder]])&gt;1,PlayerGameData[[#This Row],[PointRank]]/100+PlayerGameData[[#This Row],[ASTOrder]],PlayerGameData[[#This Row],[ASTOrder]])</f>
        <v>117.16</v>
      </c>
      <c r="AT403" s="8">
        <f ca="1">RANK(PlayerGameData[[#This Row],[ASTTieBreak]],PlayerGameData[ASTTieBreak],1)</f>
        <v>152</v>
      </c>
      <c r="AU403" s="8">
        <f ca="1">RANK(PlayerGameData[[#This Row],[STL]],PlayerGameData[STL],0)+PlayerGameData[[#This Row],[VisibleOrder]]</f>
        <v>143</v>
      </c>
      <c r="AV403" s="8">
        <f ca="1">IF(COUNTIF(PlayerGameData[STLOrder],PlayerGameData[[#This Row],[STLOrder]])&gt;1,PlayerGameData[[#This Row],[PointRank]]/100+PlayerGameData[[#This Row],[STLOrder]],PlayerGameData[[#This Row],[STLOrder]])</f>
        <v>145.16</v>
      </c>
      <c r="AW403" s="8">
        <f ca="1">RANK(PlayerGameData[[#This Row],[STLTieBreak]],PlayerGameData[STLTieBreak],1)</f>
        <v>217</v>
      </c>
      <c r="AX403" s="8">
        <f ca="1">RANK(PlayerGameData[[#This Row],[BLK]],PlayerGameData[BLK],0)+PlayerGameData[[#This Row],[VisibleOrder]]</f>
        <v>32</v>
      </c>
      <c r="AY403" s="8">
        <f ca="1">IF(COUNTIF(PlayerGameData[BLKOrder],PlayerGameData[[#This Row],[BLKOrder]])&gt;1,PlayerGameData[[#This Row],[PointRank]]/100+PlayerGameData[[#This Row],[BLKOrder]],PlayerGameData[[#This Row],[BLKOrder]])</f>
        <v>34.159999999999997</v>
      </c>
      <c r="AZ403" s="8">
        <f ca="1">RANK(PlayerGameData[[#This Row],[BLKTieBreak]],PlayerGameData[BLKTieBreak],1)</f>
        <v>216</v>
      </c>
      <c r="BA403" s="11">
        <f ca="1">IFERROR(IF(PlayerGameData[[#This Row],[FGA]]&gt;$AA$5,PlayerGameData[[#This Row],[FG%*]],PlayerGameData[[#This Row],[FG%*]]*-1),-2)</f>
        <v>-2</v>
      </c>
      <c r="BB403" s="8">
        <f ca="1">RANK(PlayerGameData[[#This Row],[EligFG]],PlayerGameData[EligFG],0)+PlayerGameData[[#This Row],[VisibleOrder]]</f>
        <v>215</v>
      </c>
      <c r="BC403" s="8">
        <f ca="1">IF(COUNTIF(PlayerGameData[EligFGOrder],PlayerGameData[[#This Row],[EligFGOrder]])&gt;1,PlayerGameData[[#This Row],[PointRank]]/100+PlayerGameData[[#This Row],[EligFGOrder]],PlayerGameData[[#This Row],[EligFGOrder]])</f>
        <v>217.16</v>
      </c>
      <c r="BD403" s="8">
        <f ca="1">RANK(PlayerGameData[[#This Row],[EligFGTieBreak]],PlayerGameData[EligFGTieBreak],1)</f>
        <v>216</v>
      </c>
      <c r="BE403" s="8" t="str">
        <f>Roster!$D$3</f>
        <v>East</v>
      </c>
      <c r="BF403" s="8" t="str">
        <f>Roster!$D$2</f>
        <v>Northeast</v>
      </c>
      <c r="BG403" s="8" t="str">
        <f>Roster!$D$4</f>
        <v>North</v>
      </c>
      <c r="BH403" s="197">
        <f ca="1">IFERROR(VLOOKUP(CONCATENATE(PlayerGameData[[#This Row],[Opponent]]," ",MONTH(PlayerGameData[[#This Row],[Date]]),"/",DAY(PlayerGameData[[#This Row],[Date]]),"/",YEAR(PlayerGameData[[#This Row],[Date]])),Table35[],2,FALSE),0)</f>
        <v>1</v>
      </c>
      <c r="BI403" s="197">
        <f ca="1">IF(PlayerGameData[[#This Row],[Visible]]=1,1,1000)</f>
        <v>1</v>
      </c>
      <c r="BJ403" s="197" t="e">
        <f ca="1">_xlfn.MAXIFS(TeamGameData[Win],TeamGameData[School, Opponent,Game'#],PlayerGameData[[#This Row],[School, Opponent,Game'#]])</f>
        <v>#NAME?</v>
      </c>
      <c r="BK403" s="197" t="e">
        <f ca="1">_xlfn.MAXIFS(TeamGameData[Loss],TeamGameData[School, Opponent,Game'#],PlayerGameData[[#This Row],[School, Opponent,Game'#]])</f>
        <v>#NAME?</v>
      </c>
    </row>
    <row r="404" spans="1:63" x14ac:dyDescent="0.25">
      <c r="A404" s="8" t="str">
        <f t="shared" ca="1" si="213"/>
        <v xml:space="preserve">, </v>
      </c>
      <c r="B404" s="8" t="str">
        <f>Roster!$B$1</f>
        <v>Upton</v>
      </c>
      <c r="C404" s="8" t="str">
        <f t="shared" ca="1" si="201"/>
        <v>Sundance</v>
      </c>
      <c r="D404" s="10">
        <f t="shared" ca="1" si="202"/>
        <v>44964</v>
      </c>
      <c r="E404" s="8">
        <f t="shared" ca="1" si="203"/>
        <v>0</v>
      </c>
      <c r="F404" s="8">
        <f t="shared" ca="1" si="204"/>
        <v>0</v>
      </c>
      <c r="G404" s="8">
        <f t="shared" ca="1" si="205"/>
        <v>0</v>
      </c>
      <c r="H404" s="8">
        <f t="shared" ca="1" si="206"/>
        <v>0</v>
      </c>
      <c r="I404" s="8">
        <f t="shared" ca="1" si="207"/>
        <v>0</v>
      </c>
      <c r="J404" s="8">
        <f t="shared" ca="1" si="208"/>
        <v>0</v>
      </c>
      <c r="K404" s="8">
        <f t="shared" ca="1" si="209"/>
        <v>0</v>
      </c>
      <c r="L404" s="8">
        <f t="shared" ca="1" si="214"/>
        <v>0</v>
      </c>
      <c r="M404" s="8">
        <f t="shared" ca="1" si="215"/>
        <v>0</v>
      </c>
      <c r="N404" s="8">
        <f t="shared" ca="1" si="216"/>
        <v>0</v>
      </c>
      <c r="O404" s="8">
        <f t="shared" ca="1" si="217"/>
        <v>0</v>
      </c>
      <c r="P404" s="8">
        <f t="shared" ca="1" si="218"/>
        <v>0</v>
      </c>
      <c r="Q404" s="8">
        <f t="shared" ca="1" si="219"/>
        <v>0</v>
      </c>
      <c r="R404" s="8">
        <f t="shared" ca="1" si="220"/>
        <v>0</v>
      </c>
      <c r="S404" s="8">
        <f t="shared" ca="1" si="221"/>
        <v>0</v>
      </c>
      <c r="T404" s="8">
        <f t="shared" ca="1" si="222"/>
        <v>0</v>
      </c>
      <c r="U404" s="8">
        <f t="shared" ca="1" si="223"/>
        <v>0</v>
      </c>
      <c r="V404" s="8">
        <f t="shared" ca="1" si="224"/>
        <v>0</v>
      </c>
      <c r="W404" s="11" t="str">
        <f t="shared" ca="1" si="225"/>
        <v/>
      </c>
      <c r="X404" s="11" t="str">
        <f t="shared" ca="1" si="226"/>
        <v/>
      </c>
      <c r="Y404" s="11" t="str">
        <f t="shared" ca="1" si="227"/>
        <v/>
      </c>
      <c r="Z404" s="11" t="str">
        <f t="shared" ca="1" si="228"/>
        <v/>
      </c>
      <c r="AA404" s="11" t="str">
        <f t="shared" ca="1" si="229"/>
        <v/>
      </c>
      <c r="AB404" s="47">
        <f ca="1">PlayerGameData[[#This Row],[3FGA]]+PlayerGameData[[#This Row],[2FGA]]</f>
        <v>0</v>
      </c>
      <c r="AC404" s="47">
        <f ca="1">PlayerGameData[[#This Row],[OFF REB]]+PlayerGameData[[#This Row],[DEF REB]]</f>
        <v>0</v>
      </c>
      <c r="AD404" s="8">
        <f t="shared" si="210"/>
        <v>17</v>
      </c>
      <c r="AE404" s="8" t="str">
        <f t="shared" ca="1" si="211"/>
        <v>,  - Sundance 2/7/2023</v>
      </c>
      <c r="AF404" s="8" t="str">
        <f t="shared" ca="1" si="230"/>
        <v/>
      </c>
      <c r="AG404" s="8" t="str">
        <f ca="1">IFERROR(IF(C404=0,"",IF(AND(VLOOKUP(PlayerGameData[[#This Row],[Opponent]],WYTeamInfo,2,FALSE)=Roster!$D$1,VLOOKUP(PlayerGameData[[#This Row],[Opponent]],WYTeamInfo,3,FALSE)=Roster!$D$2),"SR","")),"")</f>
        <v/>
      </c>
      <c r="AH404" s="8" t="str">
        <f>CONCATENATE(Roster!$D$1," ",Roster!$D$5)</f>
        <v>1A BB</v>
      </c>
      <c r="AI404" s="8" t="str">
        <f t="shared" ca="1" si="212"/>
        <v>Upton - Sundance 2/7/2023</v>
      </c>
      <c r="AJ404" s="8">
        <f ca="1">IFERROR(VLOOKUP(PlayerGameData[[#This Row],[School, Opponent,Game'#]],Table3[],2,FALSE),0)</f>
        <v>1</v>
      </c>
      <c r="AK404" s="8">
        <f ca="1">IF(PlayerGameData[[#This Row],[Visible]]=1,1,1000)</f>
        <v>1</v>
      </c>
      <c r="AL404" s="8">
        <f ca="1">RANK(PlayerGameData[[#This Row],[TL PTS]],PlayerGameData[TL PTS],0)+PlayerGameData[[#This Row],[VisibleOrder]]</f>
        <v>185</v>
      </c>
      <c r="AM404" s="8">
        <f ca="1">IF(COUNTIF(PlayerGameData[PointOrder],PlayerGameData[[#This Row],[PointOrder]])&gt;1,RANK(PlayerGameData[[#This Row],[FGA]],PlayerGameData[FGA],0)/100,0)+PlayerGameData[[#This Row],[PointOrder]]</f>
        <v>187.14</v>
      </c>
      <c r="AN404" s="8">
        <f ca="1">RANK(PlayerGameData[[#This Row],[PointTieBreak]],PlayerGameData[PointTieBreak],1)</f>
        <v>216</v>
      </c>
      <c r="AO404" s="8">
        <f ca="1">RANK(PlayerGameData[[#This Row],[REB]],PlayerGameData[REB],0)+PlayerGameData[[#This Row],[VisibleOrder]]</f>
        <v>192</v>
      </c>
      <c r="AP404" s="8">
        <f ca="1">IF(COUNTIF(PlayerGameData[REBOrder],PlayerGameData[[#This Row],[REBOrder]])&gt;1,PlayerGameData[[#This Row],[PointRank]]/100+PlayerGameData[[#This Row],[REBOrder]],PlayerGameData[[#This Row],[REBOrder]])</f>
        <v>194.16</v>
      </c>
      <c r="AQ404" s="8">
        <f ca="1">RANK(PlayerGameData[[#This Row],[REBTieBreak]],PlayerGameData[REBTieBreak],1)</f>
        <v>224</v>
      </c>
      <c r="AR404" s="8">
        <f ca="1">RANK(PlayerGameData[[#This Row],[AST]],PlayerGameData[AST],0)+PlayerGameData[[#This Row],[VisibleOrder]]</f>
        <v>158</v>
      </c>
      <c r="AS404" s="8">
        <f ca="1">IF(COUNTIF(PlayerGameData[ASTOrder],PlayerGameData[[#This Row],[ASTOrder]])&gt;1,PlayerGameData[[#This Row],[PointRank]]/100+PlayerGameData[[#This Row],[ASTOrder]],PlayerGameData[[#This Row],[ASTOrder]])</f>
        <v>160.16</v>
      </c>
      <c r="AT404" s="8">
        <f ca="1">RANK(PlayerGameData[[#This Row],[ASTTieBreak]],PlayerGameData[ASTTieBreak],1)</f>
        <v>221</v>
      </c>
      <c r="AU404" s="8">
        <f ca="1">RANK(PlayerGameData[[#This Row],[STL]],PlayerGameData[STL],0)+PlayerGameData[[#This Row],[VisibleOrder]]</f>
        <v>143</v>
      </c>
      <c r="AV404" s="8">
        <f ca="1">IF(COUNTIF(PlayerGameData[STLOrder],PlayerGameData[[#This Row],[STLOrder]])&gt;1,PlayerGameData[[#This Row],[PointRank]]/100+PlayerGameData[[#This Row],[STLOrder]],PlayerGameData[[#This Row],[STLOrder]])</f>
        <v>145.16</v>
      </c>
      <c r="AW404" s="8">
        <f ca="1">RANK(PlayerGameData[[#This Row],[STLTieBreak]],PlayerGameData[STLTieBreak],1)</f>
        <v>217</v>
      </c>
      <c r="AX404" s="8">
        <f ca="1">RANK(PlayerGameData[[#This Row],[BLK]],PlayerGameData[BLK],0)+PlayerGameData[[#This Row],[VisibleOrder]]</f>
        <v>32</v>
      </c>
      <c r="AY404" s="8">
        <f ca="1">IF(COUNTIF(PlayerGameData[BLKOrder],PlayerGameData[[#This Row],[BLKOrder]])&gt;1,PlayerGameData[[#This Row],[PointRank]]/100+PlayerGameData[[#This Row],[BLKOrder]],PlayerGameData[[#This Row],[BLKOrder]])</f>
        <v>34.159999999999997</v>
      </c>
      <c r="AZ404" s="8">
        <f ca="1">RANK(PlayerGameData[[#This Row],[BLKTieBreak]],PlayerGameData[BLKTieBreak],1)</f>
        <v>216</v>
      </c>
      <c r="BA404" s="11">
        <f ca="1">IFERROR(IF(PlayerGameData[[#This Row],[FGA]]&gt;$AA$5,PlayerGameData[[#This Row],[FG%*]],PlayerGameData[[#This Row],[FG%*]]*-1),-2)</f>
        <v>-2</v>
      </c>
      <c r="BB404" s="8">
        <f ca="1">RANK(PlayerGameData[[#This Row],[EligFG]],PlayerGameData[EligFG],0)+PlayerGameData[[#This Row],[VisibleOrder]]</f>
        <v>215</v>
      </c>
      <c r="BC404" s="8">
        <f ca="1">IF(COUNTIF(PlayerGameData[EligFGOrder],PlayerGameData[[#This Row],[EligFGOrder]])&gt;1,PlayerGameData[[#This Row],[PointRank]]/100+PlayerGameData[[#This Row],[EligFGOrder]],PlayerGameData[[#This Row],[EligFGOrder]])</f>
        <v>217.16</v>
      </c>
      <c r="BD404" s="8">
        <f ca="1">RANK(PlayerGameData[[#This Row],[EligFGTieBreak]],PlayerGameData[EligFGTieBreak],1)</f>
        <v>216</v>
      </c>
      <c r="BE404" s="8" t="str">
        <f>Roster!$D$3</f>
        <v>East</v>
      </c>
      <c r="BF404" s="8" t="str">
        <f>Roster!$D$2</f>
        <v>Northeast</v>
      </c>
      <c r="BG404" s="8" t="str">
        <f>Roster!$D$4</f>
        <v>North</v>
      </c>
      <c r="BH404" s="197">
        <f ca="1">IFERROR(VLOOKUP(CONCATENATE(PlayerGameData[[#This Row],[Opponent]]," ",MONTH(PlayerGameData[[#This Row],[Date]]),"/",DAY(PlayerGameData[[#This Row],[Date]]),"/",YEAR(PlayerGameData[[#This Row],[Date]])),Table35[],2,FALSE),0)</f>
        <v>1</v>
      </c>
      <c r="BI404" s="197">
        <f ca="1">IF(PlayerGameData[[#This Row],[Visible]]=1,1,1000)</f>
        <v>1</v>
      </c>
      <c r="BJ404" s="197" t="e">
        <f ca="1">_xlfn.MAXIFS(TeamGameData[Win],TeamGameData[School, Opponent,Game'#],PlayerGameData[[#This Row],[School, Opponent,Game'#]])</f>
        <v>#NAME?</v>
      </c>
      <c r="BK404" s="197" t="e">
        <f ca="1">_xlfn.MAXIFS(TeamGameData[Loss],TeamGameData[School, Opponent,Game'#],PlayerGameData[[#This Row],[School, Opponent,Game'#]])</f>
        <v>#NAME?</v>
      </c>
    </row>
    <row r="405" spans="1:63" x14ac:dyDescent="0.25">
      <c r="A405" s="8" t="str">
        <f t="shared" ca="1" si="213"/>
        <v xml:space="preserve">, </v>
      </c>
      <c r="B405" s="8" t="str">
        <f>Roster!$B$1</f>
        <v>Upton</v>
      </c>
      <c r="C405" s="8" t="str">
        <f t="shared" ca="1" si="201"/>
        <v>Sundance</v>
      </c>
      <c r="D405" s="10">
        <f t="shared" ca="1" si="202"/>
        <v>44964</v>
      </c>
      <c r="E405" s="8">
        <f t="shared" ca="1" si="203"/>
        <v>0</v>
      </c>
      <c r="F405" s="8">
        <f t="shared" ca="1" si="204"/>
        <v>0</v>
      </c>
      <c r="G405" s="8">
        <f t="shared" ca="1" si="205"/>
        <v>0</v>
      </c>
      <c r="H405" s="8">
        <f t="shared" ca="1" si="206"/>
        <v>0</v>
      </c>
      <c r="I405" s="8">
        <f t="shared" ca="1" si="207"/>
        <v>0</v>
      </c>
      <c r="J405" s="8">
        <f t="shared" ca="1" si="208"/>
        <v>0</v>
      </c>
      <c r="K405" s="8">
        <f t="shared" ca="1" si="209"/>
        <v>0</v>
      </c>
      <c r="L405" s="8">
        <f t="shared" ca="1" si="214"/>
        <v>0</v>
      </c>
      <c r="M405" s="8">
        <f t="shared" ca="1" si="215"/>
        <v>0</v>
      </c>
      <c r="N405" s="8">
        <f t="shared" ca="1" si="216"/>
        <v>0</v>
      </c>
      <c r="O405" s="8">
        <f t="shared" ca="1" si="217"/>
        <v>0</v>
      </c>
      <c r="P405" s="8">
        <f t="shared" ca="1" si="218"/>
        <v>0</v>
      </c>
      <c r="Q405" s="8">
        <f t="shared" ca="1" si="219"/>
        <v>0</v>
      </c>
      <c r="R405" s="8">
        <f t="shared" ca="1" si="220"/>
        <v>0</v>
      </c>
      <c r="S405" s="8">
        <f t="shared" ca="1" si="221"/>
        <v>0</v>
      </c>
      <c r="T405" s="8">
        <f t="shared" ca="1" si="222"/>
        <v>0</v>
      </c>
      <c r="U405" s="8">
        <f t="shared" ca="1" si="223"/>
        <v>0</v>
      </c>
      <c r="V405" s="8">
        <f t="shared" ca="1" si="224"/>
        <v>0</v>
      </c>
      <c r="W405" s="11" t="str">
        <f t="shared" ca="1" si="225"/>
        <v/>
      </c>
      <c r="X405" s="11" t="str">
        <f t="shared" ca="1" si="226"/>
        <v/>
      </c>
      <c r="Y405" s="11" t="str">
        <f t="shared" ca="1" si="227"/>
        <v/>
      </c>
      <c r="Z405" s="11" t="str">
        <f t="shared" ca="1" si="228"/>
        <v/>
      </c>
      <c r="AA405" s="11" t="str">
        <f t="shared" ca="1" si="229"/>
        <v/>
      </c>
      <c r="AB405" s="47">
        <f ca="1">PlayerGameData[[#This Row],[3FGA]]+PlayerGameData[[#This Row],[2FGA]]</f>
        <v>0</v>
      </c>
      <c r="AC405" s="47">
        <f ca="1">PlayerGameData[[#This Row],[OFF REB]]+PlayerGameData[[#This Row],[DEF REB]]</f>
        <v>0</v>
      </c>
      <c r="AD405" s="8">
        <f t="shared" si="210"/>
        <v>17</v>
      </c>
      <c r="AE405" s="8" t="str">
        <f t="shared" ca="1" si="211"/>
        <v>,  - Sundance 2/7/2023</v>
      </c>
      <c r="AF405" s="8" t="str">
        <f t="shared" ca="1" si="230"/>
        <v/>
      </c>
      <c r="AG405" s="8" t="str">
        <f ca="1">IFERROR(IF(C405=0,"",IF(AND(VLOOKUP(PlayerGameData[[#This Row],[Opponent]],WYTeamInfo,2,FALSE)=Roster!$D$1,VLOOKUP(PlayerGameData[[#This Row],[Opponent]],WYTeamInfo,3,FALSE)=Roster!$D$2),"SR","")),"")</f>
        <v/>
      </c>
      <c r="AH405" s="8" t="str">
        <f>CONCATENATE(Roster!$D$1," ",Roster!$D$5)</f>
        <v>1A BB</v>
      </c>
      <c r="AI405" s="8" t="str">
        <f t="shared" ca="1" si="212"/>
        <v>Upton - Sundance 2/7/2023</v>
      </c>
      <c r="AJ405" s="8">
        <f ca="1">IFERROR(VLOOKUP(PlayerGameData[[#This Row],[School, Opponent,Game'#]],Table3[],2,FALSE),0)</f>
        <v>1</v>
      </c>
      <c r="AK405" s="8">
        <f ca="1">IF(PlayerGameData[[#This Row],[Visible]]=1,1,1000)</f>
        <v>1</v>
      </c>
      <c r="AL405" s="8">
        <f ca="1">RANK(PlayerGameData[[#This Row],[TL PTS]],PlayerGameData[TL PTS],0)+PlayerGameData[[#This Row],[VisibleOrder]]</f>
        <v>185</v>
      </c>
      <c r="AM405" s="8">
        <f ca="1">IF(COUNTIF(PlayerGameData[PointOrder],PlayerGameData[[#This Row],[PointOrder]])&gt;1,RANK(PlayerGameData[[#This Row],[FGA]],PlayerGameData[FGA],0)/100,0)+PlayerGameData[[#This Row],[PointOrder]]</f>
        <v>187.14</v>
      </c>
      <c r="AN405" s="8">
        <f ca="1">RANK(PlayerGameData[[#This Row],[PointTieBreak]],PlayerGameData[PointTieBreak],1)</f>
        <v>216</v>
      </c>
      <c r="AO405" s="8">
        <f ca="1">RANK(PlayerGameData[[#This Row],[REB]],PlayerGameData[REB],0)+PlayerGameData[[#This Row],[VisibleOrder]]</f>
        <v>192</v>
      </c>
      <c r="AP405" s="8">
        <f ca="1">IF(COUNTIF(PlayerGameData[REBOrder],PlayerGameData[[#This Row],[REBOrder]])&gt;1,PlayerGameData[[#This Row],[PointRank]]/100+PlayerGameData[[#This Row],[REBOrder]],PlayerGameData[[#This Row],[REBOrder]])</f>
        <v>194.16</v>
      </c>
      <c r="AQ405" s="8">
        <f ca="1">RANK(PlayerGameData[[#This Row],[REBTieBreak]],PlayerGameData[REBTieBreak],1)</f>
        <v>224</v>
      </c>
      <c r="AR405" s="8">
        <f ca="1">RANK(PlayerGameData[[#This Row],[AST]],PlayerGameData[AST],0)+PlayerGameData[[#This Row],[VisibleOrder]]</f>
        <v>158</v>
      </c>
      <c r="AS405" s="8">
        <f ca="1">IF(COUNTIF(PlayerGameData[ASTOrder],PlayerGameData[[#This Row],[ASTOrder]])&gt;1,PlayerGameData[[#This Row],[PointRank]]/100+PlayerGameData[[#This Row],[ASTOrder]],PlayerGameData[[#This Row],[ASTOrder]])</f>
        <v>160.16</v>
      </c>
      <c r="AT405" s="8">
        <f ca="1">RANK(PlayerGameData[[#This Row],[ASTTieBreak]],PlayerGameData[ASTTieBreak],1)</f>
        <v>221</v>
      </c>
      <c r="AU405" s="8">
        <f ca="1">RANK(PlayerGameData[[#This Row],[STL]],PlayerGameData[STL],0)+PlayerGameData[[#This Row],[VisibleOrder]]</f>
        <v>143</v>
      </c>
      <c r="AV405" s="8">
        <f ca="1">IF(COUNTIF(PlayerGameData[STLOrder],PlayerGameData[[#This Row],[STLOrder]])&gt;1,PlayerGameData[[#This Row],[PointRank]]/100+PlayerGameData[[#This Row],[STLOrder]],PlayerGameData[[#This Row],[STLOrder]])</f>
        <v>145.16</v>
      </c>
      <c r="AW405" s="8">
        <f ca="1">RANK(PlayerGameData[[#This Row],[STLTieBreak]],PlayerGameData[STLTieBreak],1)</f>
        <v>217</v>
      </c>
      <c r="AX405" s="8">
        <f ca="1">RANK(PlayerGameData[[#This Row],[BLK]],PlayerGameData[BLK],0)+PlayerGameData[[#This Row],[VisibleOrder]]</f>
        <v>32</v>
      </c>
      <c r="AY405" s="8">
        <f ca="1">IF(COUNTIF(PlayerGameData[BLKOrder],PlayerGameData[[#This Row],[BLKOrder]])&gt;1,PlayerGameData[[#This Row],[PointRank]]/100+PlayerGameData[[#This Row],[BLKOrder]],PlayerGameData[[#This Row],[BLKOrder]])</f>
        <v>34.159999999999997</v>
      </c>
      <c r="AZ405" s="8">
        <f ca="1">RANK(PlayerGameData[[#This Row],[BLKTieBreak]],PlayerGameData[BLKTieBreak],1)</f>
        <v>216</v>
      </c>
      <c r="BA405" s="11">
        <f ca="1">IFERROR(IF(PlayerGameData[[#This Row],[FGA]]&gt;$AA$5,PlayerGameData[[#This Row],[FG%*]],PlayerGameData[[#This Row],[FG%*]]*-1),-2)</f>
        <v>-2</v>
      </c>
      <c r="BB405" s="8">
        <f ca="1">RANK(PlayerGameData[[#This Row],[EligFG]],PlayerGameData[EligFG],0)+PlayerGameData[[#This Row],[VisibleOrder]]</f>
        <v>215</v>
      </c>
      <c r="BC405" s="8">
        <f ca="1">IF(COUNTIF(PlayerGameData[EligFGOrder],PlayerGameData[[#This Row],[EligFGOrder]])&gt;1,PlayerGameData[[#This Row],[PointRank]]/100+PlayerGameData[[#This Row],[EligFGOrder]],PlayerGameData[[#This Row],[EligFGOrder]])</f>
        <v>217.16</v>
      </c>
      <c r="BD405" s="8">
        <f ca="1">RANK(PlayerGameData[[#This Row],[EligFGTieBreak]],PlayerGameData[EligFGTieBreak],1)</f>
        <v>216</v>
      </c>
      <c r="BE405" s="8" t="str">
        <f>Roster!$D$3</f>
        <v>East</v>
      </c>
      <c r="BF405" s="8" t="str">
        <f>Roster!$D$2</f>
        <v>Northeast</v>
      </c>
      <c r="BG405" s="8" t="str">
        <f>Roster!$D$4</f>
        <v>North</v>
      </c>
      <c r="BH405" s="197">
        <f ca="1">IFERROR(VLOOKUP(CONCATENATE(PlayerGameData[[#This Row],[Opponent]]," ",MONTH(PlayerGameData[[#This Row],[Date]]),"/",DAY(PlayerGameData[[#This Row],[Date]]),"/",YEAR(PlayerGameData[[#This Row],[Date]])),Table35[],2,FALSE),0)</f>
        <v>1</v>
      </c>
      <c r="BI405" s="197">
        <f ca="1">IF(PlayerGameData[[#This Row],[Visible]]=1,1,1000)</f>
        <v>1</v>
      </c>
      <c r="BJ405" s="197" t="e">
        <f ca="1">_xlfn.MAXIFS(TeamGameData[Win],TeamGameData[School, Opponent,Game'#],PlayerGameData[[#This Row],[School, Opponent,Game'#]])</f>
        <v>#NAME?</v>
      </c>
      <c r="BK405" s="197" t="e">
        <f ca="1">_xlfn.MAXIFS(TeamGameData[Loss],TeamGameData[School, Opponent,Game'#],PlayerGameData[[#This Row],[School, Opponent,Game'#]])</f>
        <v>#NAME?</v>
      </c>
    </row>
    <row r="406" spans="1:63" x14ac:dyDescent="0.25">
      <c r="A406" s="8" t="str">
        <f t="shared" ca="1" si="213"/>
        <v xml:space="preserve">, </v>
      </c>
      <c r="B406" s="8" t="str">
        <f>Roster!$B$1</f>
        <v>Upton</v>
      </c>
      <c r="C406" s="8" t="str">
        <f t="shared" ca="1" si="201"/>
        <v>Sundance</v>
      </c>
      <c r="D406" s="10">
        <f t="shared" ca="1" si="202"/>
        <v>44964</v>
      </c>
      <c r="E406" s="8">
        <f t="shared" ca="1" si="203"/>
        <v>0</v>
      </c>
      <c r="F406" s="8">
        <f t="shared" ca="1" si="204"/>
        <v>0</v>
      </c>
      <c r="G406" s="8">
        <f t="shared" ca="1" si="205"/>
        <v>0</v>
      </c>
      <c r="H406" s="8">
        <f t="shared" ca="1" si="206"/>
        <v>0</v>
      </c>
      <c r="I406" s="8">
        <f t="shared" ca="1" si="207"/>
        <v>0</v>
      </c>
      <c r="J406" s="8">
        <f t="shared" ca="1" si="208"/>
        <v>0</v>
      </c>
      <c r="K406" s="8">
        <f t="shared" ca="1" si="209"/>
        <v>0</v>
      </c>
      <c r="L406" s="8">
        <f t="shared" ca="1" si="214"/>
        <v>0</v>
      </c>
      <c r="M406" s="8">
        <f t="shared" ca="1" si="215"/>
        <v>0</v>
      </c>
      <c r="N406" s="8">
        <f t="shared" ca="1" si="216"/>
        <v>0</v>
      </c>
      <c r="O406" s="8">
        <f t="shared" ca="1" si="217"/>
        <v>0</v>
      </c>
      <c r="P406" s="8">
        <f t="shared" ca="1" si="218"/>
        <v>0</v>
      </c>
      <c r="Q406" s="8">
        <f t="shared" ca="1" si="219"/>
        <v>0</v>
      </c>
      <c r="R406" s="8">
        <f t="shared" ca="1" si="220"/>
        <v>0</v>
      </c>
      <c r="S406" s="8">
        <f t="shared" ca="1" si="221"/>
        <v>0</v>
      </c>
      <c r="T406" s="8">
        <f t="shared" ca="1" si="222"/>
        <v>0</v>
      </c>
      <c r="U406" s="8">
        <f t="shared" ca="1" si="223"/>
        <v>0</v>
      </c>
      <c r="V406" s="8">
        <f t="shared" ca="1" si="224"/>
        <v>0</v>
      </c>
      <c r="W406" s="11" t="str">
        <f t="shared" ca="1" si="225"/>
        <v/>
      </c>
      <c r="X406" s="11" t="str">
        <f t="shared" ca="1" si="226"/>
        <v/>
      </c>
      <c r="Y406" s="11" t="str">
        <f t="shared" ca="1" si="227"/>
        <v/>
      </c>
      <c r="Z406" s="11" t="str">
        <f t="shared" ca="1" si="228"/>
        <v/>
      </c>
      <c r="AA406" s="11" t="str">
        <f t="shared" ca="1" si="229"/>
        <v/>
      </c>
      <c r="AB406" s="47">
        <f ca="1">PlayerGameData[[#This Row],[3FGA]]+PlayerGameData[[#This Row],[2FGA]]</f>
        <v>0</v>
      </c>
      <c r="AC406" s="47">
        <f ca="1">PlayerGameData[[#This Row],[OFF REB]]+PlayerGameData[[#This Row],[DEF REB]]</f>
        <v>0</v>
      </c>
      <c r="AD406" s="8">
        <f t="shared" si="210"/>
        <v>17</v>
      </c>
      <c r="AE406" s="8" t="str">
        <f t="shared" ca="1" si="211"/>
        <v>,  - Sundance 2/7/2023</v>
      </c>
      <c r="AF406" s="8" t="str">
        <f t="shared" ca="1" si="230"/>
        <v/>
      </c>
      <c r="AG406" s="8" t="str">
        <f ca="1">IFERROR(IF(C406=0,"",IF(AND(VLOOKUP(PlayerGameData[[#This Row],[Opponent]],WYTeamInfo,2,FALSE)=Roster!$D$1,VLOOKUP(PlayerGameData[[#This Row],[Opponent]],WYTeamInfo,3,FALSE)=Roster!$D$2),"SR","")),"")</f>
        <v/>
      </c>
      <c r="AH406" s="8" t="str">
        <f>CONCATENATE(Roster!$D$1," ",Roster!$D$5)</f>
        <v>1A BB</v>
      </c>
      <c r="AI406" s="8" t="str">
        <f t="shared" ca="1" si="212"/>
        <v>Upton - Sundance 2/7/2023</v>
      </c>
      <c r="AJ406" s="8">
        <f ca="1">IFERROR(VLOOKUP(PlayerGameData[[#This Row],[School, Opponent,Game'#]],Table3[],2,FALSE),0)</f>
        <v>1</v>
      </c>
      <c r="AK406" s="8">
        <f ca="1">IF(PlayerGameData[[#This Row],[Visible]]=1,1,1000)</f>
        <v>1</v>
      </c>
      <c r="AL406" s="8">
        <f ca="1">RANK(PlayerGameData[[#This Row],[TL PTS]],PlayerGameData[TL PTS],0)+PlayerGameData[[#This Row],[VisibleOrder]]</f>
        <v>185</v>
      </c>
      <c r="AM406" s="8">
        <f ca="1">IF(COUNTIF(PlayerGameData[PointOrder],PlayerGameData[[#This Row],[PointOrder]])&gt;1,RANK(PlayerGameData[[#This Row],[FGA]],PlayerGameData[FGA],0)/100,0)+PlayerGameData[[#This Row],[PointOrder]]</f>
        <v>187.14</v>
      </c>
      <c r="AN406" s="8">
        <f ca="1">RANK(PlayerGameData[[#This Row],[PointTieBreak]],PlayerGameData[PointTieBreak],1)</f>
        <v>216</v>
      </c>
      <c r="AO406" s="8">
        <f ca="1">RANK(PlayerGameData[[#This Row],[REB]],PlayerGameData[REB],0)+PlayerGameData[[#This Row],[VisibleOrder]]</f>
        <v>192</v>
      </c>
      <c r="AP406" s="8">
        <f ca="1">IF(COUNTIF(PlayerGameData[REBOrder],PlayerGameData[[#This Row],[REBOrder]])&gt;1,PlayerGameData[[#This Row],[PointRank]]/100+PlayerGameData[[#This Row],[REBOrder]],PlayerGameData[[#This Row],[REBOrder]])</f>
        <v>194.16</v>
      </c>
      <c r="AQ406" s="8">
        <f ca="1">RANK(PlayerGameData[[#This Row],[REBTieBreak]],PlayerGameData[REBTieBreak],1)</f>
        <v>224</v>
      </c>
      <c r="AR406" s="8">
        <f ca="1">RANK(PlayerGameData[[#This Row],[AST]],PlayerGameData[AST],0)+PlayerGameData[[#This Row],[VisibleOrder]]</f>
        <v>158</v>
      </c>
      <c r="AS406" s="8">
        <f ca="1">IF(COUNTIF(PlayerGameData[ASTOrder],PlayerGameData[[#This Row],[ASTOrder]])&gt;1,PlayerGameData[[#This Row],[PointRank]]/100+PlayerGameData[[#This Row],[ASTOrder]],PlayerGameData[[#This Row],[ASTOrder]])</f>
        <v>160.16</v>
      </c>
      <c r="AT406" s="8">
        <f ca="1">RANK(PlayerGameData[[#This Row],[ASTTieBreak]],PlayerGameData[ASTTieBreak],1)</f>
        <v>221</v>
      </c>
      <c r="AU406" s="8">
        <f ca="1">RANK(PlayerGameData[[#This Row],[STL]],PlayerGameData[STL],0)+PlayerGameData[[#This Row],[VisibleOrder]]</f>
        <v>143</v>
      </c>
      <c r="AV406" s="8">
        <f ca="1">IF(COUNTIF(PlayerGameData[STLOrder],PlayerGameData[[#This Row],[STLOrder]])&gt;1,PlayerGameData[[#This Row],[PointRank]]/100+PlayerGameData[[#This Row],[STLOrder]],PlayerGameData[[#This Row],[STLOrder]])</f>
        <v>145.16</v>
      </c>
      <c r="AW406" s="8">
        <f ca="1">RANK(PlayerGameData[[#This Row],[STLTieBreak]],PlayerGameData[STLTieBreak],1)</f>
        <v>217</v>
      </c>
      <c r="AX406" s="8">
        <f ca="1">RANK(PlayerGameData[[#This Row],[BLK]],PlayerGameData[BLK],0)+PlayerGameData[[#This Row],[VisibleOrder]]</f>
        <v>32</v>
      </c>
      <c r="AY406" s="8">
        <f ca="1">IF(COUNTIF(PlayerGameData[BLKOrder],PlayerGameData[[#This Row],[BLKOrder]])&gt;1,PlayerGameData[[#This Row],[PointRank]]/100+PlayerGameData[[#This Row],[BLKOrder]],PlayerGameData[[#This Row],[BLKOrder]])</f>
        <v>34.159999999999997</v>
      </c>
      <c r="AZ406" s="8">
        <f ca="1">RANK(PlayerGameData[[#This Row],[BLKTieBreak]],PlayerGameData[BLKTieBreak],1)</f>
        <v>216</v>
      </c>
      <c r="BA406" s="11">
        <f ca="1">IFERROR(IF(PlayerGameData[[#This Row],[FGA]]&gt;$AA$5,PlayerGameData[[#This Row],[FG%*]],PlayerGameData[[#This Row],[FG%*]]*-1),-2)</f>
        <v>-2</v>
      </c>
      <c r="BB406" s="8">
        <f ca="1">RANK(PlayerGameData[[#This Row],[EligFG]],PlayerGameData[EligFG],0)+PlayerGameData[[#This Row],[VisibleOrder]]</f>
        <v>215</v>
      </c>
      <c r="BC406" s="8">
        <f ca="1">IF(COUNTIF(PlayerGameData[EligFGOrder],PlayerGameData[[#This Row],[EligFGOrder]])&gt;1,PlayerGameData[[#This Row],[PointRank]]/100+PlayerGameData[[#This Row],[EligFGOrder]],PlayerGameData[[#This Row],[EligFGOrder]])</f>
        <v>217.16</v>
      </c>
      <c r="BD406" s="8">
        <f ca="1">RANK(PlayerGameData[[#This Row],[EligFGTieBreak]],PlayerGameData[EligFGTieBreak],1)</f>
        <v>216</v>
      </c>
      <c r="BE406" s="8" t="str">
        <f>Roster!$D$3</f>
        <v>East</v>
      </c>
      <c r="BF406" s="8" t="str">
        <f>Roster!$D$2</f>
        <v>Northeast</v>
      </c>
      <c r="BG406" s="8" t="str">
        <f>Roster!$D$4</f>
        <v>North</v>
      </c>
      <c r="BH406" s="197">
        <f ca="1">IFERROR(VLOOKUP(CONCATENATE(PlayerGameData[[#This Row],[Opponent]]," ",MONTH(PlayerGameData[[#This Row],[Date]]),"/",DAY(PlayerGameData[[#This Row],[Date]]),"/",YEAR(PlayerGameData[[#This Row],[Date]])),Table35[],2,FALSE),0)</f>
        <v>1</v>
      </c>
      <c r="BI406" s="197">
        <f ca="1">IF(PlayerGameData[[#This Row],[Visible]]=1,1,1000)</f>
        <v>1</v>
      </c>
      <c r="BJ406" s="197" t="e">
        <f ca="1">_xlfn.MAXIFS(TeamGameData[Win],TeamGameData[School, Opponent,Game'#],PlayerGameData[[#This Row],[School, Opponent,Game'#]])</f>
        <v>#NAME?</v>
      </c>
      <c r="BK406" s="197" t="e">
        <f ca="1">_xlfn.MAXIFS(TeamGameData[Loss],TeamGameData[School, Opponent,Game'#],PlayerGameData[[#This Row],[School, Opponent,Game'#]])</f>
        <v>#NAME?</v>
      </c>
    </row>
    <row r="407" spans="1:63" x14ac:dyDescent="0.25">
      <c r="A407" s="8" t="str">
        <f t="shared" ca="1" si="213"/>
        <v xml:space="preserve">, </v>
      </c>
      <c r="B407" s="8" t="str">
        <f>Roster!$B$1</f>
        <v>Upton</v>
      </c>
      <c r="C407" s="8" t="str">
        <f t="shared" ca="1" si="201"/>
        <v>Sundance</v>
      </c>
      <c r="D407" s="10">
        <f t="shared" ca="1" si="202"/>
        <v>44964</v>
      </c>
      <c r="E407" s="8">
        <f t="shared" ca="1" si="203"/>
        <v>0</v>
      </c>
      <c r="F407" s="8">
        <f t="shared" ca="1" si="204"/>
        <v>0</v>
      </c>
      <c r="G407" s="8">
        <f t="shared" ca="1" si="205"/>
        <v>0</v>
      </c>
      <c r="H407" s="8">
        <f t="shared" ca="1" si="206"/>
        <v>0</v>
      </c>
      <c r="I407" s="8">
        <f t="shared" ca="1" si="207"/>
        <v>0</v>
      </c>
      <c r="J407" s="8">
        <f t="shared" ca="1" si="208"/>
        <v>0</v>
      </c>
      <c r="K407" s="8">
        <f t="shared" ca="1" si="209"/>
        <v>0</v>
      </c>
      <c r="L407" s="8">
        <f t="shared" ca="1" si="214"/>
        <v>0</v>
      </c>
      <c r="M407" s="8">
        <f t="shared" ca="1" si="215"/>
        <v>0</v>
      </c>
      <c r="N407" s="8">
        <f t="shared" ca="1" si="216"/>
        <v>0</v>
      </c>
      <c r="O407" s="8">
        <f t="shared" ca="1" si="217"/>
        <v>0</v>
      </c>
      <c r="P407" s="8">
        <f t="shared" ca="1" si="218"/>
        <v>0</v>
      </c>
      <c r="Q407" s="8">
        <f t="shared" ca="1" si="219"/>
        <v>0</v>
      </c>
      <c r="R407" s="8">
        <f t="shared" ca="1" si="220"/>
        <v>0</v>
      </c>
      <c r="S407" s="8">
        <f t="shared" ca="1" si="221"/>
        <v>0</v>
      </c>
      <c r="T407" s="8">
        <f t="shared" ca="1" si="222"/>
        <v>0</v>
      </c>
      <c r="U407" s="8">
        <f t="shared" ca="1" si="223"/>
        <v>0</v>
      </c>
      <c r="V407" s="8">
        <f t="shared" ca="1" si="224"/>
        <v>0</v>
      </c>
      <c r="W407" s="11" t="str">
        <f t="shared" ca="1" si="225"/>
        <v/>
      </c>
      <c r="X407" s="11" t="str">
        <f t="shared" ca="1" si="226"/>
        <v/>
      </c>
      <c r="Y407" s="11" t="str">
        <f t="shared" ca="1" si="227"/>
        <v/>
      </c>
      <c r="Z407" s="11" t="str">
        <f t="shared" ca="1" si="228"/>
        <v/>
      </c>
      <c r="AA407" s="11" t="str">
        <f t="shared" ca="1" si="229"/>
        <v/>
      </c>
      <c r="AB407" s="47">
        <f ca="1">PlayerGameData[[#This Row],[3FGA]]+PlayerGameData[[#This Row],[2FGA]]</f>
        <v>0</v>
      </c>
      <c r="AC407" s="47">
        <f ca="1">PlayerGameData[[#This Row],[OFF REB]]+PlayerGameData[[#This Row],[DEF REB]]</f>
        <v>0</v>
      </c>
      <c r="AD407" s="8">
        <f t="shared" si="210"/>
        <v>17</v>
      </c>
      <c r="AE407" s="8" t="str">
        <f t="shared" ca="1" si="211"/>
        <v>,  - Sundance 2/7/2023</v>
      </c>
      <c r="AF407" s="8" t="str">
        <f t="shared" ca="1" si="230"/>
        <v/>
      </c>
      <c r="AG407" s="8" t="str">
        <f ca="1">IFERROR(IF(C407=0,"",IF(AND(VLOOKUP(PlayerGameData[[#This Row],[Opponent]],WYTeamInfo,2,FALSE)=Roster!$D$1,VLOOKUP(PlayerGameData[[#This Row],[Opponent]],WYTeamInfo,3,FALSE)=Roster!$D$2),"SR","")),"")</f>
        <v/>
      </c>
      <c r="AH407" s="8" t="str">
        <f>CONCATENATE(Roster!$D$1," ",Roster!$D$5)</f>
        <v>1A BB</v>
      </c>
      <c r="AI407" s="8" t="str">
        <f t="shared" ca="1" si="212"/>
        <v>Upton - Sundance 2/7/2023</v>
      </c>
      <c r="AJ407" s="8">
        <f ca="1">IFERROR(VLOOKUP(PlayerGameData[[#This Row],[School, Opponent,Game'#]],Table3[],2,FALSE),0)</f>
        <v>1</v>
      </c>
      <c r="AK407" s="8">
        <f ca="1">IF(PlayerGameData[[#This Row],[Visible]]=1,1,1000)</f>
        <v>1</v>
      </c>
      <c r="AL407" s="8">
        <f ca="1">RANK(PlayerGameData[[#This Row],[TL PTS]],PlayerGameData[TL PTS],0)+PlayerGameData[[#This Row],[VisibleOrder]]</f>
        <v>185</v>
      </c>
      <c r="AM407" s="8">
        <f ca="1">IF(COUNTIF(PlayerGameData[PointOrder],PlayerGameData[[#This Row],[PointOrder]])&gt;1,RANK(PlayerGameData[[#This Row],[FGA]],PlayerGameData[FGA],0)/100,0)+PlayerGameData[[#This Row],[PointOrder]]</f>
        <v>187.14</v>
      </c>
      <c r="AN407" s="8">
        <f ca="1">RANK(PlayerGameData[[#This Row],[PointTieBreak]],PlayerGameData[PointTieBreak],1)</f>
        <v>216</v>
      </c>
      <c r="AO407" s="8">
        <f ca="1">RANK(PlayerGameData[[#This Row],[REB]],PlayerGameData[REB],0)+PlayerGameData[[#This Row],[VisibleOrder]]</f>
        <v>192</v>
      </c>
      <c r="AP407" s="8">
        <f ca="1">IF(COUNTIF(PlayerGameData[REBOrder],PlayerGameData[[#This Row],[REBOrder]])&gt;1,PlayerGameData[[#This Row],[PointRank]]/100+PlayerGameData[[#This Row],[REBOrder]],PlayerGameData[[#This Row],[REBOrder]])</f>
        <v>194.16</v>
      </c>
      <c r="AQ407" s="8">
        <f ca="1">RANK(PlayerGameData[[#This Row],[REBTieBreak]],PlayerGameData[REBTieBreak],1)</f>
        <v>224</v>
      </c>
      <c r="AR407" s="8">
        <f ca="1">RANK(PlayerGameData[[#This Row],[AST]],PlayerGameData[AST],0)+PlayerGameData[[#This Row],[VisibleOrder]]</f>
        <v>158</v>
      </c>
      <c r="AS407" s="8">
        <f ca="1">IF(COUNTIF(PlayerGameData[ASTOrder],PlayerGameData[[#This Row],[ASTOrder]])&gt;1,PlayerGameData[[#This Row],[PointRank]]/100+PlayerGameData[[#This Row],[ASTOrder]],PlayerGameData[[#This Row],[ASTOrder]])</f>
        <v>160.16</v>
      </c>
      <c r="AT407" s="8">
        <f ca="1">RANK(PlayerGameData[[#This Row],[ASTTieBreak]],PlayerGameData[ASTTieBreak],1)</f>
        <v>221</v>
      </c>
      <c r="AU407" s="8">
        <f ca="1">RANK(PlayerGameData[[#This Row],[STL]],PlayerGameData[STL],0)+PlayerGameData[[#This Row],[VisibleOrder]]</f>
        <v>143</v>
      </c>
      <c r="AV407" s="8">
        <f ca="1">IF(COUNTIF(PlayerGameData[STLOrder],PlayerGameData[[#This Row],[STLOrder]])&gt;1,PlayerGameData[[#This Row],[PointRank]]/100+PlayerGameData[[#This Row],[STLOrder]],PlayerGameData[[#This Row],[STLOrder]])</f>
        <v>145.16</v>
      </c>
      <c r="AW407" s="8">
        <f ca="1">RANK(PlayerGameData[[#This Row],[STLTieBreak]],PlayerGameData[STLTieBreak],1)</f>
        <v>217</v>
      </c>
      <c r="AX407" s="8">
        <f ca="1">RANK(PlayerGameData[[#This Row],[BLK]],PlayerGameData[BLK],0)+PlayerGameData[[#This Row],[VisibleOrder]]</f>
        <v>32</v>
      </c>
      <c r="AY407" s="8">
        <f ca="1">IF(COUNTIF(PlayerGameData[BLKOrder],PlayerGameData[[#This Row],[BLKOrder]])&gt;1,PlayerGameData[[#This Row],[PointRank]]/100+PlayerGameData[[#This Row],[BLKOrder]],PlayerGameData[[#This Row],[BLKOrder]])</f>
        <v>34.159999999999997</v>
      </c>
      <c r="AZ407" s="8">
        <f ca="1">RANK(PlayerGameData[[#This Row],[BLKTieBreak]],PlayerGameData[BLKTieBreak],1)</f>
        <v>216</v>
      </c>
      <c r="BA407" s="11">
        <f ca="1">IFERROR(IF(PlayerGameData[[#This Row],[FGA]]&gt;$AA$5,PlayerGameData[[#This Row],[FG%*]],PlayerGameData[[#This Row],[FG%*]]*-1),-2)</f>
        <v>-2</v>
      </c>
      <c r="BB407" s="8">
        <f ca="1">RANK(PlayerGameData[[#This Row],[EligFG]],PlayerGameData[EligFG],0)+PlayerGameData[[#This Row],[VisibleOrder]]</f>
        <v>215</v>
      </c>
      <c r="BC407" s="8">
        <f ca="1">IF(COUNTIF(PlayerGameData[EligFGOrder],PlayerGameData[[#This Row],[EligFGOrder]])&gt;1,PlayerGameData[[#This Row],[PointRank]]/100+PlayerGameData[[#This Row],[EligFGOrder]],PlayerGameData[[#This Row],[EligFGOrder]])</f>
        <v>217.16</v>
      </c>
      <c r="BD407" s="8">
        <f ca="1">RANK(PlayerGameData[[#This Row],[EligFGTieBreak]],PlayerGameData[EligFGTieBreak],1)</f>
        <v>216</v>
      </c>
      <c r="BE407" s="8" t="str">
        <f>Roster!$D$3</f>
        <v>East</v>
      </c>
      <c r="BF407" s="8" t="str">
        <f>Roster!$D$2</f>
        <v>Northeast</v>
      </c>
      <c r="BG407" s="8" t="str">
        <f>Roster!$D$4</f>
        <v>North</v>
      </c>
      <c r="BH407" s="197">
        <f ca="1">IFERROR(VLOOKUP(CONCATENATE(PlayerGameData[[#This Row],[Opponent]]," ",MONTH(PlayerGameData[[#This Row],[Date]]),"/",DAY(PlayerGameData[[#This Row],[Date]]),"/",YEAR(PlayerGameData[[#This Row],[Date]])),Table35[],2,FALSE),0)</f>
        <v>1</v>
      </c>
      <c r="BI407" s="197">
        <f ca="1">IF(PlayerGameData[[#This Row],[Visible]]=1,1,1000)</f>
        <v>1</v>
      </c>
      <c r="BJ407" s="197" t="e">
        <f ca="1">_xlfn.MAXIFS(TeamGameData[Win],TeamGameData[School, Opponent,Game'#],PlayerGameData[[#This Row],[School, Opponent,Game'#]])</f>
        <v>#NAME?</v>
      </c>
      <c r="BK407" s="197" t="e">
        <f ca="1">_xlfn.MAXIFS(TeamGameData[Loss],TeamGameData[School, Opponent,Game'#],PlayerGameData[[#This Row],[School, Opponent,Game'#]])</f>
        <v>#NAME?</v>
      </c>
    </row>
    <row r="408" spans="1:63" x14ac:dyDescent="0.25">
      <c r="A408" s="8" t="str">
        <f t="shared" ca="1" si="213"/>
        <v xml:space="preserve">, </v>
      </c>
      <c r="B408" s="8" t="str">
        <f>Roster!$B$1</f>
        <v>Upton</v>
      </c>
      <c r="C408" s="8" t="str">
        <f t="shared" ca="1" si="201"/>
        <v>Sundance</v>
      </c>
      <c r="D408" s="10">
        <f t="shared" ca="1" si="202"/>
        <v>44964</v>
      </c>
      <c r="E408" s="8">
        <f t="shared" ca="1" si="203"/>
        <v>0</v>
      </c>
      <c r="F408" s="8">
        <f t="shared" ca="1" si="204"/>
        <v>0</v>
      </c>
      <c r="G408" s="8">
        <f t="shared" ca="1" si="205"/>
        <v>0</v>
      </c>
      <c r="H408" s="8">
        <f t="shared" ca="1" si="206"/>
        <v>0</v>
      </c>
      <c r="I408" s="8">
        <f t="shared" ca="1" si="207"/>
        <v>0</v>
      </c>
      <c r="J408" s="8">
        <f t="shared" ca="1" si="208"/>
        <v>0</v>
      </c>
      <c r="K408" s="8">
        <f t="shared" ca="1" si="209"/>
        <v>0</v>
      </c>
      <c r="L408" s="8">
        <f t="shared" ca="1" si="214"/>
        <v>0</v>
      </c>
      <c r="M408" s="8">
        <f t="shared" ca="1" si="215"/>
        <v>0</v>
      </c>
      <c r="N408" s="8">
        <f t="shared" ca="1" si="216"/>
        <v>0</v>
      </c>
      <c r="O408" s="8">
        <f t="shared" ca="1" si="217"/>
        <v>0</v>
      </c>
      <c r="P408" s="8">
        <f t="shared" ca="1" si="218"/>
        <v>0</v>
      </c>
      <c r="Q408" s="8">
        <f t="shared" ca="1" si="219"/>
        <v>0</v>
      </c>
      <c r="R408" s="8">
        <f t="shared" ca="1" si="220"/>
        <v>0</v>
      </c>
      <c r="S408" s="8">
        <f t="shared" ca="1" si="221"/>
        <v>0</v>
      </c>
      <c r="T408" s="8">
        <f t="shared" ca="1" si="222"/>
        <v>0</v>
      </c>
      <c r="U408" s="8">
        <f t="shared" ca="1" si="223"/>
        <v>0</v>
      </c>
      <c r="V408" s="8">
        <f t="shared" ca="1" si="224"/>
        <v>0</v>
      </c>
      <c r="W408" s="11" t="str">
        <f t="shared" ca="1" si="225"/>
        <v/>
      </c>
      <c r="X408" s="11" t="str">
        <f t="shared" ca="1" si="226"/>
        <v/>
      </c>
      <c r="Y408" s="11" t="str">
        <f t="shared" ca="1" si="227"/>
        <v/>
      </c>
      <c r="Z408" s="11" t="str">
        <f t="shared" ca="1" si="228"/>
        <v/>
      </c>
      <c r="AA408" s="11" t="str">
        <f t="shared" ca="1" si="229"/>
        <v/>
      </c>
      <c r="AB408" s="47">
        <f ca="1">PlayerGameData[[#This Row],[3FGA]]+PlayerGameData[[#This Row],[2FGA]]</f>
        <v>0</v>
      </c>
      <c r="AC408" s="47">
        <f ca="1">PlayerGameData[[#This Row],[OFF REB]]+PlayerGameData[[#This Row],[DEF REB]]</f>
        <v>0</v>
      </c>
      <c r="AD408" s="8">
        <f t="shared" si="210"/>
        <v>17</v>
      </c>
      <c r="AE408" s="8" t="str">
        <f t="shared" ca="1" si="211"/>
        <v>,  - Sundance 2/7/2023</v>
      </c>
      <c r="AF408" s="8" t="str">
        <f t="shared" ca="1" si="230"/>
        <v/>
      </c>
      <c r="AG408" s="8" t="str">
        <f ca="1">IFERROR(IF(C408=0,"",IF(AND(VLOOKUP(PlayerGameData[[#This Row],[Opponent]],WYTeamInfo,2,FALSE)=Roster!$D$1,VLOOKUP(PlayerGameData[[#This Row],[Opponent]],WYTeamInfo,3,FALSE)=Roster!$D$2),"SR","")),"")</f>
        <v/>
      </c>
      <c r="AH408" s="8" t="str">
        <f>CONCATENATE(Roster!$D$1," ",Roster!$D$5)</f>
        <v>1A BB</v>
      </c>
      <c r="AI408" s="8" t="str">
        <f t="shared" ca="1" si="212"/>
        <v>Upton - Sundance 2/7/2023</v>
      </c>
      <c r="AJ408" s="8">
        <f ca="1">IFERROR(VLOOKUP(PlayerGameData[[#This Row],[School, Opponent,Game'#]],Table3[],2,FALSE),0)</f>
        <v>1</v>
      </c>
      <c r="AK408" s="8">
        <f ca="1">IF(PlayerGameData[[#This Row],[Visible]]=1,1,1000)</f>
        <v>1</v>
      </c>
      <c r="AL408" s="8">
        <f ca="1">RANK(PlayerGameData[[#This Row],[TL PTS]],PlayerGameData[TL PTS],0)+PlayerGameData[[#This Row],[VisibleOrder]]</f>
        <v>185</v>
      </c>
      <c r="AM408" s="8">
        <f ca="1">IF(COUNTIF(PlayerGameData[PointOrder],PlayerGameData[[#This Row],[PointOrder]])&gt;1,RANK(PlayerGameData[[#This Row],[FGA]],PlayerGameData[FGA],0)/100,0)+PlayerGameData[[#This Row],[PointOrder]]</f>
        <v>187.14</v>
      </c>
      <c r="AN408" s="8">
        <f ca="1">RANK(PlayerGameData[[#This Row],[PointTieBreak]],PlayerGameData[PointTieBreak],1)</f>
        <v>216</v>
      </c>
      <c r="AO408" s="8">
        <f ca="1">RANK(PlayerGameData[[#This Row],[REB]],PlayerGameData[REB],0)+PlayerGameData[[#This Row],[VisibleOrder]]</f>
        <v>192</v>
      </c>
      <c r="AP408" s="8">
        <f ca="1">IF(COUNTIF(PlayerGameData[REBOrder],PlayerGameData[[#This Row],[REBOrder]])&gt;1,PlayerGameData[[#This Row],[PointRank]]/100+PlayerGameData[[#This Row],[REBOrder]],PlayerGameData[[#This Row],[REBOrder]])</f>
        <v>194.16</v>
      </c>
      <c r="AQ408" s="8">
        <f ca="1">RANK(PlayerGameData[[#This Row],[REBTieBreak]],PlayerGameData[REBTieBreak],1)</f>
        <v>224</v>
      </c>
      <c r="AR408" s="8">
        <f ca="1">RANK(PlayerGameData[[#This Row],[AST]],PlayerGameData[AST],0)+PlayerGameData[[#This Row],[VisibleOrder]]</f>
        <v>158</v>
      </c>
      <c r="AS408" s="8">
        <f ca="1">IF(COUNTIF(PlayerGameData[ASTOrder],PlayerGameData[[#This Row],[ASTOrder]])&gt;1,PlayerGameData[[#This Row],[PointRank]]/100+PlayerGameData[[#This Row],[ASTOrder]],PlayerGameData[[#This Row],[ASTOrder]])</f>
        <v>160.16</v>
      </c>
      <c r="AT408" s="8">
        <f ca="1">RANK(PlayerGameData[[#This Row],[ASTTieBreak]],PlayerGameData[ASTTieBreak],1)</f>
        <v>221</v>
      </c>
      <c r="AU408" s="8">
        <f ca="1">RANK(PlayerGameData[[#This Row],[STL]],PlayerGameData[STL],0)+PlayerGameData[[#This Row],[VisibleOrder]]</f>
        <v>143</v>
      </c>
      <c r="AV408" s="8">
        <f ca="1">IF(COUNTIF(PlayerGameData[STLOrder],PlayerGameData[[#This Row],[STLOrder]])&gt;1,PlayerGameData[[#This Row],[PointRank]]/100+PlayerGameData[[#This Row],[STLOrder]],PlayerGameData[[#This Row],[STLOrder]])</f>
        <v>145.16</v>
      </c>
      <c r="AW408" s="8">
        <f ca="1">RANK(PlayerGameData[[#This Row],[STLTieBreak]],PlayerGameData[STLTieBreak],1)</f>
        <v>217</v>
      </c>
      <c r="AX408" s="8">
        <f ca="1">RANK(PlayerGameData[[#This Row],[BLK]],PlayerGameData[BLK],0)+PlayerGameData[[#This Row],[VisibleOrder]]</f>
        <v>32</v>
      </c>
      <c r="AY408" s="8">
        <f ca="1">IF(COUNTIF(PlayerGameData[BLKOrder],PlayerGameData[[#This Row],[BLKOrder]])&gt;1,PlayerGameData[[#This Row],[PointRank]]/100+PlayerGameData[[#This Row],[BLKOrder]],PlayerGameData[[#This Row],[BLKOrder]])</f>
        <v>34.159999999999997</v>
      </c>
      <c r="AZ408" s="8">
        <f ca="1">RANK(PlayerGameData[[#This Row],[BLKTieBreak]],PlayerGameData[BLKTieBreak],1)</f>
        <v>216</v>
      </c>
      <c r="BA408" s="11">
        <f ca="1">IFERROR(IF(PlayerGameData[[#This Row],[FGA]]&gt;$AA$5,PlayerGameData[[#This Row],[FG%*]],PlayerGameData[[#This Row],[FG%*]]*-1),-2)</f>
        <v>-2</v>
      </c>
      <c r="BB408" s="8">
        <f ca="1">RANK(PlayerGameData[[#This Row],[EligFG]],PlayerGameData[EligFG],0)+PlayerGameData[[#This Row],[VisibleOrder]]</f>
        <v>215</v>
      </c>
      <c r="BC408" s="8">
        <f ca="1">IF(COUNTIF(PlayerGameData[EligFGOrder],PlayerGameData[[#This Row],[EligFGOrder]])&gt;1,PlayerGameData[[#This Row],[PointRank]]/100+PlayerGameData[[#This Row],[EligFGOrder]],PlayerGameData[[#This Row],[EligFGOrder]])</f>
        <v>217.16</v>
      </c>
      <c r="BD408" s="8">
        <f ca="1">RANK(PlayerGameData[[#This Row],[EligFGTieBreak]],PlayerGameData[EligFGTieBreak],1)</f>
        <v>216</v>
      </c>
      <c r="BE408" s="8" t="str">
        <f>Roster!$D$3</f>
        <v>East</v>
      </c>
      <c r="BF408" s="8" t="str">
        <f>Roster!$D$2</f>
        <v>Northeast</v>
      </c>
      <c r="BG408" s="8" t="str">
        <f>Roster!$D$4</f>
        <v>North</v>
      </c>
      <c r="BH408" s="197">
        <f ca="1">IFERROR(VLOOKUP(CONCATENATE(PlayerGameData[[#This Row],[Opponent]]," ",MONTH(PlayerGameData[[#This Row],[Date]]),"/",DAY(PlayerGameData[[#This Row],[Date]]),"/",YEAR(PlayerGameData[[#This Row],[Date]])),Table35[],2,FALSE),0)</f>
        <v>1</v>
      </c>
      <c r="BI408" s="197">
        <f ca="1">IF(PlayerGameData[[#This Row],[Visible]]=1,1,1000)</f>
        <v>1</v>
      </c>
      <c r="BJ408" s="197" t="e">
        <f ca="1">_xlfn.MAXIFS(TeamGameData[Win],TeamGameData[School, Opponent,Game'#],PlayerGameData[[#This Row],[School, Opponent,Game'#]])</f>
        <v>#NAME?</v>
      </c>
      <c r="BK408" s="197" t="e">
        <f ca="1">_xlfn.MAXIFS(TeamGameData[Loss],TeamGameData[School, Opponent,Game'#],PlayerGameData[[#This Row],[School, Opponent,Game'#]])</f>
        <v>#NAME?</v>
      </c>
    </row>
    <row r="409" spans="1:63" x14ac:dyDescent="0.25">
      <c r="A409" s="8" t="str">
        <f t="shared" ca="1" si="213"/>
        <v xml:space="preserve">, </v>
      </c>
      <c r="B409" s="8" t="str">
        <f>Roster!$B$1</f>
        <v>Upton</v>
      </c>
      <c r="C409" s="8" t="str">
        <f t="shared" ca="1" si="201"/>
        <v>Sundance</v>
      </c>
      <c r="D409" s="10">
        <f t="shared" ca="1" si="202"/>
        <v>44964</v>
      </c>
      <c r="E409" s="8">
        <f t="shared" ca="1" si="203"/>
        <v>0</v>
      </c>
      <c r="F409" s="8">
        <f t="shared" ca="1" si="204"/>
        <v>0</v>
      </c>
      <c r="G409" s="8">
        <f t="shared" ca="1" si="205"/>
        <v>0</v>
      </c>
      <c r="H409" s="8">
        <f t="shared" ca="1" si="206"/>
        <v>0</v>
      </c>
      <c r="I409" s="8">
        <f t="shared" ca="1" si="207"/>
        <v>0</v>
      </c>
      <c r="J409" s="8">
        <f t="shared" ca="1" si="208"/>
        <v>0</v>
      </c>
      <c r="K409" s="8">
        <f t="shared" ca="1" si="209"/>
        <v>0</v>
      </c>
      <c r="L409" s="8">
        <f t="shared" ca="1" si="214"/>
        <v>0</v>
      </c>
      <c r="M409" s="8">
        <f t="shared" ca="1" si="215"/>
        <v>0</v>
      </c>
      <c r="N409" s="8">
        <f t="shared" ca="1" si="216"/>
        <v>0</v>
      </c>
      <c r="O409" s="8">
        <f t="shared" ca="1" si="217"/>
        <v>0</v>
      </c>
      <c r="P409" s="8">
        <f t="shared" ca="1" si="218"/>
        <v>0</v>
      </c>
      <c r="Q409" s="8">
        <f t="shared" ca="1" si="219"/>
        <v>0</v>
      </c>
      <c r="R409" s="8">
        <f t="shared" ca="1" si="220"/>
        <v>0</v>
      </c>
      <c r="S409" s="8">
        <f t="shared" ca="1" si="221"/>
        <v>0</v>
      </c>
      <c r="T409" s="8">
        <f t="shared" ca="1" si="222"/>
        <v>0</v>
      </c>
      <c r="U409" s="8">
        <f t="shared" ca="1" si="223"/>
        <v>0</v>
      </c>
      <c r="V409" s="8">
        <f t="shared" ca="1" si="224"/>
        <v>0</v>
      </c>
      <c r="W409" s="11" t="str">
        <f t="shared" ca="1" si="225"/>
        <v/>
      </c>
      <c r="X409" s="11" t="str">
        <f t="shared" ca="1" si="226"/>
        <v/>
      </c>
      <c r="Y409" s="11" t="str">
        <f t="shared" ca="1" si="227"/>
        <v/>
      </c>
      <c r="Z409" s="11" t="str">
        <f t="shared" ca="1" si="228"/>
        <v/>
      </c>
      <c r="AA409" s="11" t="str">
        <f t="shared" ca="1" si="229"/>
        <v/>
      </c>
      <c r="AB409" s="47">
        <f ca="1">PlayerGameData[[#This Row],[3FGA]]+PlayerGameData[[#This Row],[2FGA]]</f>
        <v>0</v>
      </c>
      <c r="AC409" s="47">
        <f ca="1">PlayerGameData[[#This Row],[OFF REB]]+PlayerGameData[[#This Row],[DEF REB]]</f>
        <v>0</v>
      </c>
      <c r="AD409" s="8">
        <f t="shared" si="210"/>
        <v>17</v>
      </c>
      <c r="AE409" s="8" t="str">
        <f t="shared" ca="1" si="211"/>
        <v>,  - Sundance 2/7/2023</v>
      </c>
      <c r="AF409" s="8" t="str">
        <f t="shared" ca="1" si="230"/>
        <v/>
      </c>
      <c r="AG409" s="8" t="str">
        <f ca="1">IFERROR(IF(C409=0,"",IF(AND(VLOOKUP(PlayerGameData[[#This Row],[Opponent]],WYTeamInfo,2,FALSE)=Roster!$D$1,VLOOKUP(PlayerGameData[[#This Row],[Opponent]],WYTeamInfo,3,FALSE)=Roster!$D$2),"SR","")),"")</f>
        <v/>
      </c>
      <c r="AH409" s="8" t="str">
        <f>CONCATENATE(Roster!$D$1," ",Roster!$D$5)</f>
        <v>1A BB</v>
      </c>
      <c r="AI409" s="8" t="str">
        <f t="shared" ca="1" si="212"/>
        <v>Upton - Sundance 2/7/2023</v>
      </c>
      <c r="AJ409" s="8">
        <f ca="1">IFERROR(VLOOKUP(PlayerGameData[[#This Row],[School, Opponent,Game'#]],Table3[],2,FALSE),0)</f>
        <v>1</v>
      </c>
      <c r="AK409" s="8">
        <f ca="1">IF(PlayerGameData[[#This Row],[Visible]]=1,1,1000)</f>
        <v>1</v>
      </c>
      <c r="AL409" s="8">
        <f ca="1">RANK(PlayerGameData[[#This Row],[TL PTS]],PlayerGameData[TL PTS],0)+PlayerGameData[[#This Row],[VisibleOrder]]</f>
        <v>185</v>
      </c>
      <c r="AM409" s="8">
        <f ca="1">IF(COUNTIF(PlayerGameData[PointOrder],PlayerGameData[[#This Row],[PointOrder]])&gt;1,RANK(PlayerGameData[[#This Row],[FGA]],PlayerGameData[FGA],0)/100,0)+PlayerGameData[[#This Row],[PointOrder]]</f>
        <v>187.14</v>
      </c>
      <c r="AN409" s="8">
        <f ca="1">RANK(PlayerGameData[[#This Row],[PointTieBreak]],PlayerGameData[PointTieBreak],1)</f>
        <v>216</v>
      </c>
      <c r="AO409" s="8">
        <f ca="1">RANK(PlayerGameData[[#This Row],[REB]],PlayerGameData[REB],0)+PlayerGameData[[#This Row],[VisibleOrder]]</f>
        <v>192</v>
      </c>
      <c r="AP409" s="8">
        <f ca="1">IF(COUNTIF(PlayerGameData[REBOrder],PlayerGameData[[#This Row],[REBOrder]])&gt;1,PlayerGameData[[#This Row],[PointRank]]/100+PlayerGameData[[#This Row],[REBOrder]],PlayerGameData[[#This Row],[REBOrder]])</f>
        <v>194.16</v>
      </c>
      <c r="AQ409" s="8">
        <f ca="1">RANK(PlayerGameData[[#This Row],[REBTieBreak]],PlayerGameData[REBTieBreak],1)</f>
        <v>224</v>
      </c>
      <c r="AR409" s="8">
        <f ca="1">RANK(PlayerGameData[[#This Row],[AST]],PlayerGameData[AST],0)+PlayerGameData[[#This Row],[VisibleOrder]]</f>
        <v>158</v>
      </c>
      <c r="AS409" s="8">
        <f ca="1">IF(COUNTIF(PlayerGameData[ASTOrder],PlayerGameData[[#This Row],[ASTOrder]])&gt;1,PlayerGameData[[#This Row],[PointRank]]/100+PlayerGameData[[#This Row],[ASTOrder]],PlayerGameData[[#This Row],[ASTOrder]])</f>
        <v>160.16</v>
      </c>
      <c r="AT409" s="8">
        <f ca="1">RANK(PlayerGameData[[#This Row],[ASTTieBreak]],PlayerGameData[ASTTieBreak],1)</f>
        <v>221</v>
      </c>
      <c r="AU409" s="8">
        <f ca="1">RANK(PlayerGameData[[#This Row],[STL]],PlayerGameData[STL],0)+PlayerGameData[[#This Row],[VisibleOrder]]</f>
        <v>143</v>
      </c>
      <c r="AV409" s="8">
        <f ca="1">IF(COUNTIF(PlayerGameData[STLOrder],PlayerGameData[[#This Row],[STLOrder]])&gt;1,PlayerGameData[[#This Row],[PointRank]]/100+PlayerGameData[[#This Row],[STLOrder]],PlayerGameData[[#This Row],[STLOrder]])</f>
        <v>145.16</v>
      </c>
      <c r="AW409" s="8">
        <f ca="1">RANK(PlayerGameData[[#This Row],[STLTieBreak]],PlayerGameData[STLTieBreak],1)</f>
        <v>217</v>
      </c>
      <c r="AX409" s="8">
        <f ca="1">RANK(PlayerGameData[[#This Row],[BLK]],PlayerGameData[BLK],0)+PlayerGameData[[#This Row],[VisibleOrder]]</f>
        <v>32</v>
      </c>
      <c r="AY409" s="8">
        <f ca="1">IF(COUNTIF(PlayerGameData[BLKOrder],PlayerGameData[[#This Row],[BLKOrder]])&gt;1,PlayerGameData[[#This Row],[PointRank]]/100+PlayerGameData[[#This Row],[BLKOrder]],PlayerGameData[[#This Row],[BLKOrder]])</f>
        <v>34.159999999999997</v>
      </c>
      <c r="AZ409" s="8">
        <f ca="1">RANK(PlayerGameData[[#This Row],[BLKTieBreak]],PlayerGameData[BLKTieBreak],1)</f>
        <v>216</v>
      </c>
      <c r="BA409" s="11">
        <f ca="1">IFERROR(IF(PlayerGameData[[#This Row],[FGA]]&gt;$AA$5,PlayerGameData[[#This Row],[FG%*]],PlayerGameData[[#This Row],[FG%*]]*-1),-2)</f>
        <v>-2</v>
      </c>
      <c r="BB409" s="8">
        <f ca="1">RANK(PlayerGameData[[#This Row],[EligFG]],PlayerGameData[EligFG],0)+PlayerGameData[[#This Row],[VisibleOrder]]</f>
        <v>215</v>
      </c>
      <c r="BC409" s="8">
        <f ca="1">IF(COUNTIF(PlayerGameData[EligFGOrder],PlayerGameData[[#This Row],[EligFGOrder]])&gt;1,PlayerGameData[[#This Row],[PointRank]]/100+PlayerGameData[[#This Row],[EligFGOrder]],PlayerGameData[[#This Row],[EligFGOrder]])</f>
        <v>217.16</v>
      </c>
      <c r="BD409" s="8">
        <f ca="1">RANK(PlayerGameData[[#This Row],[EligFGTieBreak]],PlayerGameData[EligFGTieBreak],1)</f>
        <v>216</v>
      </c>
      <c r="BE409" s="8" t="str">
        <f>Roster!$D$3</f>
        <v>East</v>
      </c>
      <c r="BF409" s="8" t="str">
        <f>Roster!$D$2</f>
        <v>Northeast</v>
      </c>
      <c r="BG409" s="8" t="str">
        <f>Roster!$D$4</f>
        <v>North</v>
      </c>
      <c r="BH409" s="197">
        <f ca="1">IFERROR(VLOOKUP(CONCATENATE(PlayerGameData[[#This Row],[Opponent]]," ",MONTH(PlayerGameData[[#This Row],[Date]]),"/",DAY(PlayerGameData[[#This Row],[Date]]),"/",YEAR(PlayerGameData[[#This Row],[Date]])),Table35[],2,FALSE),0)</f>
        <v>1</v>
      </c>
      <c r="BI409" s="197">
        <f ca="1">IF(PlayerGameData[[#This Row],[Visible]]=1,1,1000)</f>
        <v>1</v>
      </c>
      <c r="BJ409" s="197" t="e">
        <f ca="1">_xlfn.MAXIFS(TeamGameData[Win],TeamGameData[School, Opponent,Game'#],PlayerGameData[[#This Row],[School, Opponent,Game'#]])</f>
        <v>#NAME?</v>
      </c>
      <c r="BK409" s="197" t="e">
        <f ca="1">_xlfn.MAXIFS(TeamGameData[Loss],TeamGameData[School, Opponent,Game'#],PlayerGameData[[#This Row],[School, Opponent,Game'#]])</f>
        <v>#NAME?</v>
      </c>
    </row>
    <row r="410" spans="1:63" x14ac:dyDescent="0.25">
      <c r="A410" s="8" t="str">
        <f t="shared" ca="1" si="213"/>
        <v xml:space="preserve">, </v>
      </c>
      <c r="B410" s="8" t="str">
        <f>Roster!$B$1</f>
        <v>Upton</v>
      </c>
      <c r="C410" s="8" t="str">
        <f t="shared" ca="1" si="201"/>
        <v>Sundance</v>
      </c>
      <c r="D410" s="10">
        <f t="shared" ca="1" si="202"/>
        <v>44964</v>
      </c>
      <c r="E410" s="8">
        <f t="shared" ca="1" si="203"/>
        <v>0</v>
      </c>
      <c r="F410" s="8">
        <f t="shared" ca="1" si="204"/>
        <v>0</v>
      </c>
      <c r="G410" s="8">
        <f t="shared" ca="1" si="205"/>
        <v>0</v>
      </c>
      <c r="H410" s="8">
        <f t="shared" ca="1" si="206"/>
        <v>0</v>
      </c>
      <c r="I410" s="8">
        <f t="shared" ca="1" si="207"/>
        <v>0</v>
      </c>
      <c r="J410" s="8">
        <f t="shared" ca="1" si="208"/>
        <v>0</v>
      </c>
      <c r="K410" s="8">
        <f t="shared" ca="1" si="209"/>
        <v>0</v>
      </c>
      <c r="L410" s="8">
        <f t="shared" ca="1" si="214"/>
        <v>0</v>
      </c>
      <c r="M410" s="8">
        <f t="shared" ca="1" si="215"/>
        <v>0</v>
      </c>
      <c r="N410" s="8">
        <f t="shared" ca="1" si="216"/>
        <v>0</v>
      </c>
      <c r="O410" s="8">
        <f t="shared" ca="1" si="217"/>
        <v>0</v>
      </c>
      <c r="P410" s="8">
        <f t="shared" ca="1" si="218"/>
        <v>0</v>
      </c>
      <c r="Q410" s="8">
        <f t="shared" ca="1" si="219"/>
        <v>0</v>
      </c>
      <c r="R410" s="8">
        <f t="shared" ca="1" si="220"/>
        <v>0</v>
      </c>
      <c r="S410" s="8">
        <f t="shared" ca="1" si="221"/>
        <v>0</v>
      </c>
      <c r="T410" s="8">
        <f t="shared" ca="1" si="222"/>
        <v>0</v>
      </c>
      <c r="U410" s="8">
        <f t="shared" ca="1" si="223"/>
        <v>0</v>
      </c>
      <c r="V410" s="8">
        <f t="shared" ca="1" si="224"/>
        <v>0</v>
      </c>
      <c r="W410" s="11" t="str">
        <f t="shared" ca="1" si="225"/>
        <v/>
      </c>
      <c r="X410" s="11" t="str">
        <f t="shared" ca="1" si="226"/>
        <v/>
      </c>
      <c r="Y410" s="11" t="str">
        <f t="shared" ca="1" si="227"/>
        <v/>
      </c>
      <c r="Z410" s="11" t="str">
        <f t="shared" ca="1" si="228"/>
        <v/>
      </c>
      <c r="AA410" s="11" t="str">
        <f t="shared" ca="1" si="229"/>
        <v/>
      </c>
      <c r="AB410" s="47">
        <f ca="1">PlayerGameData[[#This Row],[3FGA]]+PlayerGameData[[#This Row],[2FGA]]</f>
        <v>0</v>
      </c>
      <c r="AC410" s="47">
        <f ca="1">PlayerGameData[[#This Row],[OFF REB]]+PlayerGameData[[#This Row],[DEF REB]]</f>
        <v>0</v>
      </c>
      <c r="AD410" s="8">
        <f t="shared" si="210"/>
        <v>17</v>
      </c>
      <c r="AE410" s="8" t="str">
        <f t="shared" ca="1" si="211"/>
        <v>,  - Sundance 2/7/2023</v>
      </c>
      <c r="AF410" s="8" t="str">
        <f t="shared" ca="1" si="230"/>
        <v/>
      </c>
      <c r="AG410" s="8" t="str">
        <f ca="1">IFERROR(IF(C410=0,"",IF(AND(VLOOKUP(PlayerGameData[[#This Row],[Opponent]],WYTeamInfo,2,FALSE)=Roster!$D$1,VLOOKUP(PlayerGameData[[#This Row],[Opponent]],WYTeamInfo,3,FALSE)=Roster!$D$2),"SR","")),"")</f>
        <v/>
      </c>
      <c r="AH410" s="8" t="str">
        <f>CONCATENATE(Roster!$D$1," ",Roster!$D$5)</f>
        <v>1A BB</v>
      </c>
      <c r="AI410" s="8" t="str">
        <f t="shared" ca="1" si="212"/>
        <v>Upton - Sundance 2/7/2023</v>
      </c>
      <c r="AJ410" s="8">
        <f ca="1">IFERROR(VLOOKUP(PlayerGameData[[#This Row],[School, Opponent,Game'#]],Table3[],2,FALSE),0)</f>
        <v>1</v>
      </c>
      <c r="AK410" s="8">
        <f ca="1">IF(PlayerGameData[[#This Row],[Visible]]=1,1,1000)</f>
        <v>1</v>
      </c>
      <c r="AL410" s="8">
        <f ca="1">RANK(PlayerGameData[[#This Row],[TL PTS]],PlayerGameData[TL PTS],0)+PlayerGameData[[#This Row],[VisibleOrder]]</f>
        <v>185</v>
      </c>
      <c r="AM410" s="8">
        <f ca="1">IF(COUNTIF(PlayerGameData[PointOrder],PlayerGameData[[#This Row],[PointOrder]])&gt;1,RANK(PlayerGameData[[#This Row],[FGA]],PlayerGameData[FGA],0)/100,0)+PlayerGameData[[#This Row],[PointOrder]]</f>
        <v>187.14</v>
      </c>
      <c r="AN410" s="8">
        <f ca="1">RANK(PlayerGameData[[#This Row],[PointTieBreak]],PlayerGameData[PointTieBreak],1)</f>
        <v>216</v>
      </c>
      <c r="AO410" s="8">
        <f ca="1">RANK(PlayerGameData[[#This Row],[REB]],PlayerGameData[REB],0)+PlayerGameData[[#This Row],[VisibleOrder]]</f>
        <v>192</v>
      </c>
      <c r="AP410" s="8">
        <f ca="1">IF(COUNTIF(PlayerGameData[REBOrder],PlayerGameData[[#This Row],[REBOrder]])&gt;1,PlayerGameData[[#This Row],[PointRank]]/100+PlayerGameData[[#This Row],[REBOrder]],PlayerGameData[[#This Row],[REBOrder]])</f>
        <v>194.16</v>
      </c>
      <c r="AQ410" s="8">
        <f ca="1">RANK(PlayerGameData[[#This Row],[REBTieBreak]],PlayerGameData[REBTieBreak],1)</f>
        <v>224</v>
      </c>
      <c r="AR410" s="8">
        <f ca="1">RANK(PlayerGameData[[#This Row],[AST]],PlayerGameData[AST],0)+PlayerGameData[[#This Row],[VisibleOrder]]</f>
        <v>158</v>
      </c>
      <c r="AS410" s="8">
        <f ca="1">IF(COUNTIF(PlayerGameData[ASTOrder],PlayerGameData[[#This Row],[ASTOrder]])&gt;1,PlayerGameData[[#This Row],[PointRank]]/100+PlayerGameData[[#This Row],[ASTOrder]],PlayerGameData[[#This Row],[ASTOrder]])</f>
        <v>160.16</v>
      </c>
      <c r="AT410" s="8">
        <f ca="1">RANK(PlayerGameData[[#This Row],[ASTTieBreak]],PlayerGameData[ASTTieBreak],1)</f>
        <v>221</v>
      </c>
      <c r="AU410" s="8">
        <f ca="1">RANK(PlayerGameData[[#This Row],[STL]],PlayerGameData[STL],0)+PlayerGameData[[#This Row],[VisibleOrder]]</f>
        <v>143</v>
      </c>
      <c r="AV410" s="8">
        <f ca="1">IF(COUNTIF(PlayerGameData[STLOrder],PlayerGameData[[#This Row],[STLOrder]])&gt;1,PlayerGameData[[#This Row],[PointRank]]/100+PlayerGameData[[#This Row],[STLOrder]],PlayerGameData[[#This Row],[STLOrder]])</f>
        <v>145.16</v>
      </c>
      <c r="AW410" s="8">
        <f ca="1">RANK(PlayerGameData[[#This Row],[STLTieBreak]],PlayerGameData[STLTieBreak],1)</f>
        <v>217</v>
      </c>
      <c r="AX410" s="8">
        <f ca="1">RANK(PlayerGameData[[#This Row],[BLK]],PlayerGameData[BLK],0)+PlayerGameData[[#This Row],[VisibleOrder]]</f>
        <v>32</v>
      </c>
      <c r="AY410" s="8">
        <f ca="1">IF(COUNTIF(PlayerGameData[BLKOrder],PlayerGameData[[#This Row],[BLKOrder]])&gt;1,PlayerGameData[[#This Row],[PointRank]]/100+PlayerGameData[[#This Row],[BLKOrder]],PlayerGameData[[#This Row],[BLKOrder]])</f>
        <v>34.159999999999997</v>
      </c>
      <c r="AZ410" s="8">
        <f ca="1">RANK(PlayerGameData[[#This Row],[BLKTieBreak]],PlayerGameData[BLKTieBreak],1)</f>
        <v>216</v>
      </c>
      <c r="BA410" s="11">
        <f ca="1">IFERROR(IF(PlayerGameData[[#This Row],[FGA]]&gt;$AA$5,PlayerGameData[[#This Row],[FG%*]],PlayerGameData[[#This Row],[FG%*]]*-1),-2)</f>
        <v>-2</v>
      </c>
      <c r="BB410" s="8">
        <f ca="1">RANK(PlayerGameData[[#This Row],[EligFG]],PlayerGameData[EligFG],0)+PlayerGameData[[#This Row],[VisibleOrder]]</f>
        <v>215</v>
      </c>
      <c r="BC410" s="8">
        <f ca="1">IF(COUNTIF(PlayerGameData[EligFGOrder],PlayerGameData[[#This Row],[EligFGOrder]])&gt;1,PlayerGameData[[#This Row],[PointRank]]/100+PlayerGameData[[#This Row],[EligFGOrder]],PlayerGameData[[#This Row],[EligFGOrder]])</f>
        <v>217.16</v>
      </c>
      <c r="BD410" s="8">
        <f ca="1">RANK(PlayerGameData[[#This Row],[EligFGTieBreak]],PlayerGameData[EligFGTieBreak],1)</f>
        <v>216</v>
      </c>
      <c r="BE410" s="8" t="str">
        <f>Roster!$D$3</f>
        <v>East</v>
      </c>
      <c r="BF410" s="8" t="str">
        <f>Roster!$D$2</f>
        <v>Northeast</v>
      </c>
      <c r="BG410" s="8" t="str">
        <f>Roster!$D$4</f>
        <v>North</v>
      </c>
      <c r="BH410" s="197">
        <f ca="1">IFERROR(VLOOKUP(CONCATENATE(PlayerGameData[[#This Row],[Opponent]]," ",MONTH(PlayerGameData[[#This Row],[Date]]),"/",DAY(PlayerGameData[[#This Row],[Date]]),"/",YEAR(PlayerGameData[[#This Row],[Date]])),Table35[],2,FALSE),0)</f>
        <v>1</v>
      </c>
      <c r="BI410" s="197">
        <f ca="1">IF(PlayerGameData[[#This Row],[Visible]]=1,1,1000)</f>
        <v>1</v>
      </c>
      <c r="BJ410" s="197" t="e">
        <f ca="1">_xlfn.MAXIFS(TeamGameData[Win],TeamGameData[School, Opponent,Game'#],PlayerGameData[[#This Row],[School, Opponent,Game'#]])</f>
        <v>#NAME?</v>
      </c>
      <c r="BK410" s="197" t="e">
        <f ca="1">_xlfn.MAXIFS(TeamGameData[Loss],TeamGameData[School, Opponent,Game'#],PlayerGameData[[#This Row],[School, Opponent,Game'#]])</f>
        <v>#NAME?</v>
      </c>
    </row>
    <row r="411" spans="1:63" x14ac:dyDescent="0.25">
      <c r="A411" s="8" t="str">
        <f t="shared" ca="1" si="213"/>
        <v xml:space="preserve">, </v>
      </c>
      <c r="B411" s="8" t="str">
        <f>Roster!$B$1</f>
        <v>Upton</v>
      </c>
      <c r="C411" s="8" t="str">
        <f t="shared" ca="1" si="201"/>
        <v>Sundance</v>
      </c>
      <c r="D411" s="10">
        <f t="shared" ca="1" si="202"/>
        <v>44964</v>
      </c>
      <c r="E411" s="8">
        <f t="shared" ca="1" si="203"/>
        <v>0</v>
      </c>
      <c r="F411" s="8">
        <f t="shared" ca="1" si="204"/>
        <v>0</v>
      </c>
      <c r="G411" s="8">
        <f t="shared" ca="1" si="205"/>
        <v>0</v>
      </c>
      <c r="H411" s="8">
        <f t="shared" ca="1" si="206"/>
        <v>0</v>
      </c>
      <c r="I411" s="8">
        <f t="shared" ca="1" si="207"/>
        <v>0</v>
      </c>
      <c r="J411" s="8">
        <f t="shared" ca="1" si="208"/>
        <v>0</v>
      </c>
      <c r="K411" s="8">
        <f t="shared" ca="1" si="209"/>
        <v>0</v>
      </c>
      <c r="L411" s="8">
        <f t="shared" ca="1" si="214"/>
        <v>0</v>
      </c>
      <c r="M411" s="8">
        <f t="shared" ca="1" si="215"/>
        <v>0</v>
      </c>
      <c r="N411" s="8">
        <f t="shared" ca="1" si="216"/>
        <v>0</v>
      </c>
      <c r="O411" s="8">
        <f t="shared" ca="1" si="217"/>
        <v>0</v>
      </c>
      <c r="P411" s="8">
        <f t="shared" ca="1" si="218"/>
        <v>0</v>
      </c>
      <c r="Q411" s="8">
        <f t="shared" ca="1" si="219"/>
        <v>0</v>
      </c>
      <c r="R411" s="8">
        <f t="shared" ca="1" si="220"/>
        <v>0</v>
      </c>
      <c r="S411" s="8">
        <f t="shared" ca="1" si="221"/>
        <v>0</v>
      </c>
      <c r="T411" s="8">
        <f t="shared" ca="1" si="222"/>
        <v>0</v>
      </c>
      <c r="U411" s="8">
        <f t="shared" ca="1" si="223"/>
        <v>0</v>
      </c>
      <c r="V411" s="8">
        <f t="shared" ca="1" si="224"/>
        <v>0</v>
      </c>
      <c r="W411" s="11" t="str">
        <f t="shared" ca="1" si="225"/>
        <v/>
      </c>
      <c r="X411" s="11" t="str">
        <f t="shared" ca="1" si="226"/>
        <v/>
      </c>
      <c r="Y411" s="11" t="str">
        <f t="shared" ca="1" si="227"/>
        <v/>
      </c>
      <c r="Z411" s="11" t="str">
        <f t="shared" ca="1" si="228"/>
        <v/>
      </c>
      <c r="AA411" s="11" t="str">
        <f t="shared" ca="1" si="229"/>
        <v/>
      </c>
      <c r="AB411" s="47">
        <f ca="1">PlayerGameData[[#This Row],[3FGA]]+PlayerGameData[[#This Row],[2FGA]]</f>
        <v>0</v>
      </c>
      <c r="AC411" s="47">
        <f ca="1">PlayerGameData[[#This Row],[OFF REB]]+PlayerGameData[[#This Row],[DEF REB]]</f>
        <v>0</v>
      </c>
      <c r="AD411" s="8">
        <f t="shared" si="210"/>
        <v>17</v>
      </c>
      <c r="AE411" s="8" t="str">
        <f t="shared" ca="1" si="211"/>
        <v>,  - Sundance 2/7/2023</v>
      </c>
      <c r="AF411" s="8" t="str">
        <f t="shared" ca="1" si="230"/>
        <v/>
      </c>
      <c r="AG411" s="8" t="str">
        <f ca="1">IFERROR(IF(C411=0,"",IF(AND(VLOOKUP(PlayerGameData[[#This Row],[Opponent]],WYTeamInfo,2,FALSE)=Roster!$D$1,VLOOKUP(PlayerGameData[[#This Row],[Opponent]],WYTeamInfo,3,FALSE)=Roster!$D$2),"SR","")),"")</f>
        <v/>
      </c>
      <c r="AH411" s="8" t="str">
        <f>CONCATENATE(Roster!$D$1," ",Roster!$D$5)</f>
        <v>1A BB</v>
      </c>
      <c r="AI411" s="8" t="str">
        <f t="shared" ca="1" si="212"/>
        <v>Upton - Sundance 2/7/2023</v>
      </c>
      <c r="AJ411" s="8">
        <f ca="1">IFERROR(VLOOKUP(PlayerGameData[[#This Row],[School, Opponent,Game'#]],Table3[],2,FALSE),0)</f>
        <v>1</v>
      </c>
      <c r="AK411" s="8">
        <f ca="1">IF(PlayerGameData[[#This Row],[Visible]]=1,1,1000)</f>
        <v>1</v>
      </c>
      <c r="AL411" s="8">
        <f ca="1">RANK(PlayerGameData[[#This Row],[TL PTS]],PlayerGameData[TL PTS],0)+PlayerGameData[[#This Row],[VisibleOrder]]</f>
        <v>185</v>
      </c>
      <c r="AM411" s="8">
        <f ca="1">IF(COUNTIF(PlayerGameData[PointOrder],PlayerGameData[[#This Row],[PointOrder]])&gt;1,RANK(PlayerGameData[[#This Row],[FGA]],PlayerGameData[FGA],0)/100,0)+PlayerGameData[[#This Row],[PointOrder]]</f>
        <v>187.14</v>
      </c>
      <c r="AN411" s="8">
        <f ca="1">RANK(PlayerGameData[[#This Row],[PointTieBreak]],PlayerGameData[PointTieBreak],1)</f>
        <v>216</v>
      </c>
      <c r="AO411" s="8">
        <f ca="1">RANK(PlayerGameData[[#This Row],[REB]],PlayerGameData[REB],0)+PlayerGameData[[#This Row],[VisibleOrder]]</f>
        <v>192</v>
      </c>
      <c r="AP411" s="8">
        <f ca="1">IF(COUNTIF(PlayerGameData[REBOrder],PlayerGameData[[#This Row],[REBOrder]])&gt;1,PlayerGameData[[#This Row],[PointRank]]/100+PlayerGameData[[#This Row],[REBOrder]],PlayerGameData[[#This Row],[REBOrder]])</f>
        <v>194.16</v>
      </c>
      <c r="AQ411" s="8">
        <f ca="1">RANK(PlayerGameData[[#This Row],[REBTieBreak]],PlayerGameData[REBTieBreak],1)</f>
        <v>224</v>
      </c>
      <c r="AR411" s="8">
        <f ca="1">RANK(PlayerGameData[[#This Row],[AST]],PlayerGameData[AST],0)+PlayerGameData[[#This Row],[VisibleOrder]]</f>
        <v>158</v>
      </c>
      <c r="AS411" s="8">
        <f ca="1">IF(COUNTIF(PlayerGameData[ASTOrder],PlayerGameData[[#This Row],[ASTOrder]])&gt;1,PlayerGameData[[#This Row],[PointRank]]/100+PlayerGameData[[#This Row],[ASTOrder]],PlayerGameData[[#This Row],[ASTOrder]])</f>
        <v>160.16</v>
      </c>
      <c r="AT411" s="8">
        <f ca="1">RANK(PlayerGameData[[#This Row],[ASTTieBreak]],PlayerGameData[ASTTieBreak],1)</f>
        <v>221</v>
      </c>
      <c r="AU411" s="8">
        <f ca="1">RANK(PlayerGameData[[#This Row],[STL]],PlayerGameData[STL],0)+PlayerGameData[[#This Row],[VisibleOrder]]</f>
        <v>143</v>
      </c>
      <c r="AV411" s="8">
        <f ca="1">IF(COUNTIF(PlayerGameData[STLOrder],PlayerGameData[[#This Row],[STLOrder]])&gt;1,PlayerGameData[[#This Row],[PointRank]]/100+PlayerGameData[[#This Row],[STLOrder]],PlayerGameData[[#This Row],[STLOrder]])</f>
        <v>145.16</v>
      </c>
      <c r="AW411" s="8">
        <f ca="1">RANK(PlayerGameData[[#This Row],[STLTieBreak]],PlayerGameData[STLTieBreak],1)</f>
        <v>217</v>
      </c>
      <c r="AX411" s="8">
        <f ca="1">RANK(PlayerGameData[[#This Row],[BLK]],PlayerGameData[BLK],0)+PlayerGameData[[#This Row],[VisibleOrder]]</f>
        <v>32</v>
      </c>
      <c r="AY411" s="8">
        <f ca="1">IF(COUNTIF(PlayerGameData[BLKOrder],PlayerGameData[[#This Row],[BLKOrder]])&gt;1,PlayerGameData[[#This Row],[PointRank]]/100+PlayerGameData[[#This Row],[BLKOrder]],PlayerGameData[[#This Row],[BLKOrder]])</f>
        <v>34.159999999999997</v>
      </c>
      <c r="AZ411" s="8">
        <f ca="1">RANK(PlayerGameData[[#This Row],[BLKTieBreak]],PlayerGameData[BLKTieBreak],1)</f>
        <v>216</v>
      </c>
      <c r="BA411" s="11">
        <f ca="1">IFERROR(IF(PlayerGameData[[#This Row],[FGA]]&gt;$AA$5,PlayerGameData[[#This Row],[FG%*]],PlayerGameData[[#This Row],[FG%*]]*-1),-2)</f>
        <v>-2</v>
      </c>
      <c r="BB411" s="8">
        <f ca="1">RANK(PlayerGameData[[#This Row],[EligFG]],PlayerGameData[EligFG],0)+PlayerGameData[[#This Row],[VisibleOrder]]</f>
        <v>215</v>
      </c>
      <c r="BC411" s="8">
        <f ca="1">IF(COUNTIF(PlayerGameData[EligFGOrder],PlayerGameData[[#This Row],[EligFGOrder]])&gt;1,PlayerGameData[[#This Row],[PointRank]]/100+PlayerGameData[[#This Row],[EligFGOrder]],PlayerGameData[[#This Row],[EligFGOrder]])</f>
        <v>217.16</v>
      </c>
      <c r="BD411" s="8">
        <f ca="1">RANK(PlayerGameData[[#This Row],[EligFGTieBreak]],PlayerGameData[EligFGTieBreak],1)</f>
        <v>216</v>
      </c>
      <c r="BE411" s="8" t="str">
        <f>Roster!$D$3</f>
        <v>East</v>
      </c>
      <c r="BF411" s="8" t="str">
        <f>Roster!$D$2</f>
        <v>Northeast</v>
      </c>
      <c r="BG411" s="8" t="str">
        <f>Roster!$D$4</f>
        <v>North</v>
      </c>
      <c r="BH411" s="197">
        <f ca="1">IFERROR(VLOOKUP(CONCATENATE(PlayerGameData[[#This Row],[Opponent]]," ",MONTH(PlayerGameData[[#This Row],[Date]]),"/",DAY(PlayerGameData[[#This Row],[Date]]),"/",YEAR(PlayerGameData[[#This Row],[Date]])),Table35[],2,FALSE),0)</f>
        <v>1</v>
      </c>
      <c r="BI411" s="197">
        <f ca="1">IF(PlayerGameData[[#This Row],[Visible]]=1,1,1000)</f>
        <v>1</v>
      </c>
      <c r="BJ411" s="197" t="e">
        <f ca="1">_xlfn.MAXIFS(TeamGameData[Win],TeamGameData[School, Opponent,Game'#],PlayerGameData[[#This Row],[School, Opponent,Game'#]])</f>
        <v>#NAME?</v>
      </c>
      <c r="BK411" s="197" t="e">
        <f ca="1">_xlfn.MAXIFS(TeamGameData[Loss],TeamGameData[School, Opponent,Game'#],PlayerGameData[[#This Row],[School, Opponent,Game'#]])</f>
        <v>#NAME?</v>
      </c>
    </row>
    <row r="412" spans="1:63" x14ac:dyDescent="0.25">
      <c r="A412" s="8" t="str">
        <f t="shared" ca="1" si="213"/>
        <v xml:space="preserve">, </v>
      </c>
      <c r="B412" s="8" t="str">
        <f>Roster!$B$1</f>
        <v>Upton</v>
      </c>
      <c r="C412" s="8" t="str">
        <f t="shared" ca="1" si="201"/>
        <v>Sundance</v>
      </c>
      <c r="D412" s="10">
        <f t="shared" ca="1" si="202"/>
        <v>44964</v>
      </c>
      <c r="E412" s="8">
        <f t="shared" ca="1" si="203"/>
        <v>0</v>
      </c>
      <c r="F412" s="8">
        <f t="shared" ca="1" si="204"/>
        <v>0</v>
      </c>
      <c r="G412" s="8">
        <f t="shared" ca="1" si="205"/>
        <v>0</v>
      </c>
      <c r="H412" s="8">
        <f t="shared" ca="1" si="206"/>
        <v>0</v>
      </c>
      <c r="I412" s="8">
        <f t="shared" ca="1" si="207"/>
        <v>0</v>
      </c>
      <c r="J412" s="8">
        <f t="shared" ca="1" si="208"/>
        <v>0</v>
      </c>
      <c r="K412" s="8">
        <f t="shared" ca="1" si="209"/>
        <v>0</v>
      </c>
      <c r="L412" s="8">
        <f t="shared" ca="1" si="214"/>
        <v>0</v>
      </c>
      <c r="M412" s="8">
        <f t="shared" ca="1" si="215"/>
        <v>0</v>
      </c>
      <c r="N412" s="8">
        <f t="shared" ca="1" si="216"/>
        <v>0</v>
      </c>
      <c r="O412" s="8">
        <f t="shared" ca="1" si="217"/>
        <v>0</v>
      </c>
      <c r="P412" s="8">
        <f t="shared" ca="1" si="218"/>
        <v>0</v>
      </c>
      <c r="Q412" s="8">
        <f t="shared" ca="1" si="219"/>
        <v>0</v>
      </c>
      <c r="R412" s="8">
        <f t="shared" ca="1" si="220"/>
        <v>0</v>
      </c>
      <c r="S412" s="8">
        <f t="shared" ca="1" si="221"/>
        <v>0</v>
      </c>
      <c r="T412" s="8">
        <f t="shared" ca="1" si="222"/>
        <v>0</v>
      </c>
      <c r="U412" s="8">
        <f t="shared" ca="1" si="223"/>
        <v>0</v>
      </c>
      <c r="V412" s="8">
        <f t="shared" ca="1" si="224"/>
        <v>0</v>
      </c>
      <c r="W412" s="11" t="str">
        <f t="shared" ca="1" si="225"/>
        <v/>
      </c>
      <c r="X412" s="11" t="str">
        <f t="shared" ca="1" si="226"/>
        <v/>
      </c>
      <c r="Y412" s="11" t="str">
        <f t="shared" ca="1" si="227"/>
        <v/>
      </c>
      <c r="Z412" s="11" t="str">
        <f t="shared" ca="1" si="228"/>
        <v/>
      </c>
      <c r="AA412" s="11" t="str">
        <f t="shared" ca="1" si="229"/>
        <v/>
      </c>
      <c r="AB412" s="47">
        <f ca="1">PlayerGameData[[#This Row],[3FGA]]+PlayerGameData[[#This Row],[2FGA]]</f>
        <v>0</v>
      </c>
      <c r="AC412" s="47">
        <f ca="1">PlayerGameData[[#This Row],[OFF REB]]+PlayerGameData[[#This Row],[DEF REB]]</f>
        <v>0</v>
      </c>
      <c r="AD412" s="8">
        <f t="shared" si="210"/>
        <v>17</v>
      </c>
      <c r="AE412" s="8" t="str">
        <f t="shared" ca="1" si="211"/>
        <v>,  - Sundance 2/7/2023</v>
      </c>
      <c r="AF412" s="8" t="str">
        <f t="shared" ca="1" si="230"/>
        <v/>
      </c>
      <c r="AG412" s="8" t="str">
        <f ca="1">IFERROR(IF(C412=0,"",IF(AND(VLOOKUP(PlayerGameData[[#This Row],[Opponent]],WYTeamInfo,2,FALSE)=Roster!$D$1,VLOOKUP(PlayerGameData[[#This Row],[Opponent]],WYTeamInfo,3,FALSE)=Roster!$D$2),"SR","")),"")</f>
        <v/>
      </c>
      <c r="AH412" s="8" t="str">
        <f>CONCATENATE(Roster!$D$1," ",Roster!$D$5)</f>
        <v>1A BB</v>
      </c>
      <c r="AI412" s="8" t="str">
        <f t="shared" ca="1" si="212"/>
        <v>Upton - Sundance 2/7/2023</v>
      </c>
      <c r="AJ412" s="8">
        <f ca="1">IFERROR(VLOOKUP(PlayerGameData[[#This Row],[School, Opponent,Game'#]],Table3[],2,FALSE),0)</f>
        <v>1</v>
      </c>
      <c r="AK412" s="8">
        <f ca="1">IF(PlayerGameData[[#This Row],[Visible]]=1,1,1000)</f>
        <v>1</v>
      </c>
      <c r="AL412" s="8">
        <f ca="1">RANK(PlayerGameData[[#This Row],[TL PTS]],PlayerGameData[TL PTS],0)+PlayerGameData[[#This Row],[VisibleOrder]]</f>
        <v>185</v>
      </c>
      <c r="AM412" s="8">
        <f ca="1">IF(COUNTIF(PlayerGameData[PointOrder],PlayerGameData[[#This Row],[PointOrder]])&gt;1,RANK(PlayerGameData[[#This Row],[FGA]],PlayerGameData[FGA],0)/100,0)+PlayerGameData[[#This Row],[PointOrder]]</f>
        <v>187.14</v>
      </c>
      <c r="AN412" s="8">
        <f ca="1">RANK(PlayerGameData[[#This Row],[PointTieBreak]],PlayerGameData[PointTieBreak],1)</f>
        <v>216</v>
      </c>
      <c r="AO412" s="8">
        <f ca="1">RANK(PlayerGameData[[#This Row],[REB]],PlayerGameData[REB],0)+PlayerGameData[[#This Row],[VisibleOrder]]</f>
        <v>192</v>
      </c>
      <c r="AP412" s="8">
        <f ca="1">IF(COUNTIF(PlayerGameData[REBOrder],PlayerGameData[[#This Row],[REBOrder]])&gt;1,PlayerGameData[[#This Row],[PointRank]]/100+PlayerGameData[[#This Row],[REBOrder]],PlayerGameData[[#This Row],[REBOrder]])</f>
        <v>194.16</v>
      </c>
      <c r="AQ412" s="8">
        <f ca="1">RANK(PlayerGameData[[#This Row],[REBTieBreak]],PlayerGameData[REBTieBreak],1)</f>
        <v>224</v>
      </c>
      <c r="AR412" s="8">
        <f ca="1">RANK(PlayerGameData[[#This Row],[AST]],PlayerGameData[AST],0)+PlayerGameData[[#This Row],[VisibleOrder]]</f>
        <v>158</v>
      </c>
      <c r="AS412" s="8">
        <f ca="1">IF(COUNTIF(PlayerGameData[ASTOrder],PlayerGameData[[#This Row],[ASTOrder]])&gt;1,PlayerGameData[[#This Row],[PointRank]]/100+PlayerGameData[[#This Row],[ASTOrder]],PlayerGameData[[#This Row],[ASTOrder]])</f>
        <v>160.16</v>
      </c>
      <c r="AT412" s="8">
        <f ca="1">RANK(PlayerGameData[[#This Row],[ASTTieBreak]],PlayerGameData[ASTTieBreak],1)</f>
        <v>221</v>
      </c>
      <c r="AU412" s="8">
        <f ca="1">RANK(PlayerGameData[[#This Row],[STL]],PlayerGameData[STL],0)+PlayerGameData[[#This Row],[VisibleOrder]]</f>
        <v>143</v>
      </c>
      <c r="AV412" s="8">
        <f ca="1">IF(COUNTIF(PlayerGameData[STLOrder],PlayerGameData[[#This Row],[STLOrder]])&gt;1,PlayerGameData[[#This Row],[PointRank]]/100+PlayerGameData[[#This Row],[STLOrder]],PlayerGameData[[#This Row],[STLOrder]])</f>
        <v>145.16</v>
      </c>
      <c r="AW412" s="8">
        <f ca="1">RANK(PlayerGameData[[#This Row],[STLTieBreak]],PlayerGameData[STLTieBreak],1)</f>
        <v>217</v>
      </c>
      <c r="AX412" s="8">
        <f ca="1">RANK(PlayerGameData[[#This Row],[BLK]],PlayerGameData[BLK],0)+PlayerGameData[[#This Row],[VisibleOrder]]</f>
        <v>32</v>
      </c>
      <c r="AY412" s="8">
        <f ca="1">IF(COUNTIF(PlayerGameData[BLKOrder],PlayerGameData[[#This Row],[BLKOrder]])&gt;1,PlayerGameData[[#This Row],[PointRank]]/100+PlayerGameData[[#This Row],[BLKOrder]],PlayerGameData[[#This Row],[BLKOrder]])</f>
        <v>34.159999999999997</v>
      </c>
      <c r="AZ412" s="8">
        <f ca="1">RANK(PlayerGameData[[#This Row],[BLKTieBreak]],PlayerGameData[BLKTieBreak],1)</f>
        <v>216</v>
      </c>
      <c r="BA412" s="11">
        <f ca="1">IFERROR(IF(PlayerGameData[[#This Row],[FGA]]&gt;$AA$5,PlayerGameData[[#This Row],[FG%*]],PlayerGameData[[#This Row],[FG%*]]*-1),-2)</f>
        <v>-2</v>
      </c>
      <c r="BB412" s="8">
        <f ca="1">RANK(PlayerGameData[[#This Row],[EligFG]],PlayerGameData[EligFG],0)+PlayerGameData[[#This Row],[VisibleOrder]]</f>
        <v>215</v>
      </c>
      <c r="BC412" s="8">
        <f ca="1">IF(COUNTIF(PlayerGameData[EligFGOrder],PlayerGameData[[#This Row],[EligFGOrder]])&gt;1,PlayerGameData[[#This Row],[PointRank]]/100+PlayerGameData[[#This Row],[EligFGOrder]],PlayerGameData[[#This Row],[EligFGOrder]])</f>
        <v>217.16</v>
      </c>
      <c r="BD412" s="8">
        <f ca="1">RANK(PlayerGameData[[#This Row],[EligFGTieBreak]],PlayerGameData[EligFGTieBreak],1)</f>
        <v>216</v>
      </c>
      <c r="BE412" s="8" t="str">
        <f>Roster!$D$3</f>
        <v>East</v>
      </c>
      <c r="BF412" s="8" t="str">
        <f>Roster!$D$2</f>
        <v>Northeast</v>
      </c>
      <c r="BG412" s="8" t="str">
        <f>Roster!$D$4</f>
        <v>North</v>
      </c>
      <c r="BH412" s="197">
        <f ca="1">IFERROR(VLOOKUP(CONCATENATE(PlayerGameData[[#This Row],[Opponent]]," ",MONTH(PlayerGameData[[#This Row],[Date]]),"/",DAY(PlayerGameData[[#This Row],[Date]]),"/",YEAR(PlayerGameData[[#This Row],[Date]])),Table35[],2,FALSE),0)</f>
        <v>1</v>
      </c>
      <c r="BI412" s="197">
        <f ca="1">IF(PlayerGameData[[#This Row],[Visible]]=1,1,1000)</f>
        <v>1</v>
      </c>
      <c r="BJ412" s="197" t="e">
        <f ca="1">_xlfn.MAXIFS(TeamGameData[Win],TeamGameData[School, Opponent,Game'#],PlayerGameData[[#This Row],[School, Opponent,Game'#]])</f>
        <v>#NAME?</v>
      </c>
      <c r="BK412" s="197" t="e">
        <f ca="1">_xlfn.MAXIFS(TeamGameData[Loss],TeamGameData[School, Opponent,Game'#],PlayerGameData[[#This Row],[School, Opponent,Game'#]])</f>
        <v>#NAME?</v>
      </c>
    </row>
    <row r="413" spans="1:63" x14ac:dyDescent="0.25">
      <c r="A413" s="8" t="str">
        <f t="shared" ca="1" si="213"/>
        <v xml:space="preserve">, </v>
      </c>
      <c r="B413" s="8" t="str">
        <f>Roster!$B$1</f>
        <v>Upton</v>
      </c>
      <c r="C413" s="8" t="str">
        <f t="shared" ca="1" si="201"/>
        <v>Sundance</v>
      </c>
      <c r="D413" s="10">
        <f t="shared" ca="1" si="202"/>
        <v>44964</v>
      </c>
      <c r="E413" s="8">
        <f t="shared" ca="1" si="203"/>
        <v>0</v>
      </c>
      <c r="F413" s="8">
        <f t="shared" ca="1" si="204"/>
        <v>0</v>
      </c>
      <c r="G413" s="8">
        <f t="shared" ca="1" si="205"/>
        <v>0</v>
      </c>
      <c r="H413" s="8">
        <f t="shared" ca="1" si="206"/>
        <v>0</v>
      </c>
      <c r="I413" s="8">
        <f t="shared" ca="1" si="207"/>
        <v>0</v>
      </c>
      <c r="J413" s="8">
        <f t="shared" ca="1" si="208"/>
        <v>0</v>
      </c>
      <c r="K413" s="8">
        <f t="shared" ca="1" si="209"/>
        <v>0</v>
      </c>
      <c r="L413" s="8">
        <f t="shared" ca="1" si="214"/>
        <v>0</v>
      </c>
      <c r="M413" s="8">
        <f t="shared" ca="1" si="215"/>
        <v>0</v>
      </c>
      <c r="N413" s="8">
        <f t="shared" ca="1" si="216"/>
        <v>0</v>
      </c>
      <c r="O413" s="8">
        <f t="shared" ca="1" si="217"/>
        <v>0</v>
      </c>
      <c r="P413" s="8">
        <f t="shared" ca="1" si="218"/>
        <v>0</v>
      </c>
      <c r="Q413" s="8">
        <f t="shared" ca="1" si="219"/>
        <v>0</v>
      </c>
      <c r="R413" s="8">
        <f t="shared" ca="1" si="220"/>
        <v>0</v>
      </c>
      <c r="S413" s="8">
        <f t="shared" ca="1" si="221"/>
        <v>0</v>
      </c>
      <c r="T413" s="8">
        <f t="shared" ca="1" si="222"/>
        <v>0</v>
      </c>
      <c r="U413" s="8">
        <f t="shared" ca="1" si="223"/>
        <v>0</v>
      </c>
      <c r="V413" s="8">
        <f t="shared" ca="1" si="224"/>
        <v>0</v>
      </c>
      <c r="W413" s="11" t="str">
        <f t="shared" ca="1" si="225"/>
        <v/>
      </c>
      <c r="X413" s="11" t="str">
        <f t="shared" ca="1" si="226"/>
        <v/>
      </c>
      <c r="Y413" s="11" t="str">
        <f t="shared" ca="1" si="227"/>
        <v/>
      </c>
      <c r="Z413" s="11" t="str">
        <f t="shared" ca="1" si="228"/>
        <v/>
      </c>
      <c r="AA413" s="11" t="str">
        <f t="shared" ca="1" si="229"/>
        <v/>
      </c>
      <c r="AB413" s="47">
        <f ca="1">PlayerGameData[[#This Row],[3FGA]]+PlayerGameData[[#This Row],[2FGA]]</f>
        <v>0</v>
      </c>
      <c r="AC413" s="47">
        <f ca="1">PlayerGameData[[#This Row],[OFF REB]]+PlayerGameData[[#This Row],[DEF REB]]</f>
        <v>0</v>
      </c>
      <c r="AD413" s="8">
        <f t="shared" si="210"/>
        <v>17</v>
      </c>
      <c r="AE413" s="8" t="str">
        <f t="shared" ca="1" si="211"/>
        <v>,  - Sundance 2/7/2023</v>
      </c>
      <c r="AF413" s="8" t="str">
        <f t="shared" ca="1" si="230"/>
        <v/>
      </c>
      <c r="AG413" s="8" t="str">
        <f ca="1">IFERROR(IF(C413=0,"",IF(AND(VLOOKUP(PlayerGameData[[#This Row],[Opponent]],WYTeamInfo,2,FALSE)=Roster!$D$1,VLOOKUP(PlayerGameData[[#This Row],[Opponent]],WYTeamInfo,3,FALSE)=Roster!$D$2),"SR","")),"")</f>
        <v/>
      </c>
      <c r="AH413" s="8" t="str">
        <f>CONCATENATE(Roster!$D$1," ",Roster!$D$5)</f>
        <v>1A BB</v>
      </c>
      <c r="AI413" s="8" t="str">
        <f t="shared" ca="1" si="212"/>
        <v>Upton - Sundance 2/7/2023</v>
      </c>
      <c r="AJ413" s="8">
        <f ca="1">IFERROR(VLOOKUP(PlayerGameData[[#This Row],[School, Opponent,Game'#]],Table3[],2,FALSE),0)</f>
        <v>1</v>
      </c>
      <c r="AK413" s="8">
        <f ca="1">IF(PlayerGameData[[#This Row],[Visible]]=1,1,1000)</f>
        <v>1</v>
      </c>
      <c r="AL413" s="8">
        <f ca="1">RANK(PlayerGameData[[#This Row],[TL PTS]],PlayerGameData[TL PTS],0)+PlayerGameData[[#This Row],[VisibleOrder]]</f>
        <v>185</v>
      </c>
      <c r="AM413" s="8">
        <f ca="1">IF(COUNTIF(PlayerGameData[PointOrder],PlayerGameData[[#This Row],[PointOrder]])&gt;1,RANK(PlayerGameData[[#This Row],[FGA]],PlayerGameData[FGA],0)/100,0)+PlayerGameData[[#This Row],[PointOrder]]</f>
        <v>187.14</v>
      </c>
      <c r="AN413" s="8">
        <f ca="1">RANK(PlayerGameData[[#This Row],[PointTieBreak]],PlayerGameData[PointTieBreak],1)</f>
        <v>216</v>
      </c>
      <c r="AO413" s="8">
        <f ca="1">RANK(PlayerGameData[[#This Row],[REB]],PlayerGameData[REB],0)+PlayerGameData[[#This Row],[VisibleOrder]]</f>
        <v>192</v>
      </c>
      <c r="AP413" s="8">
        <f ca="1">IF(COUNTIF(PlayerGameData[REBOrder],PlayerGameData[[#This Row],[REBOrder]])&gt;1,PlayerGameData[[#This Row],[PointRank]]/100+PlayerGameData[[#This Row],[REBOrder]],PlayerGameData[[#This Row],[REBOrder]])</f>
        <v>194.16</v>
      </c>
      <c r="AQ413" s="8">
        <f ca="1">RANK(PlayerGameData[[#This Row],[REBTieBreak]],PlayerGameData[REBTieBreak],1)</f>
        <v>224</v>
      </c>
      <c r="AR413" s="8">
        <f ca="1">RANK(PlayerGameData[[#This Row],[AST]],PlayerGameData[AST],0)+PlayerGameData[[#This Row],[VisibleOrder]]</f>
        <v>158</v>
      </c>
      <c r="AS413" s="8">
        <f ca="1">IF(COUNTIF(PlayerGameData[ASTOrder],PlayerGameData[[#This Row],[ASTOrder]])&gt;1,PlayerGameData[[#This Row],[PointRank]]/100+PlayerGameData[[#This Row],[ASTOrder]],PlayerGameData[[#This Row],[ASTOrder]])</f>
        <v>160.16</v>
      </c>
      <c r="AT413" s="8">
        <f ca="1">RANK(PlayerGameData[[#This Row],[ASTTieBreak]],PlayerGameData[ASTTieBreak],1)</f>
        <v>221</v>
      </c>
      <c r="AU413" s="8">
        <f ca="1">RANK(PlayerGameData[[#This Row],[STL]],PlayerGameData[STL],0)+PlayerGameData[[#This Row],[VisibleOrder]]</f>
        <v>143</v>
      </c>
      <c r="AV413" s="8">
        <f ca="1">IF(COUNTIF(PlayerGameData[STLOrder],PlayerGameData[[#This Row],[STLOrder]])&gt;1,PlayerGameData[[#This Row],[PointRank]]/100+PlayerGameData[[#This Row],[STLOrder]],PlayerGameData[[#This Row],[STLOrder]])</f>
        <v>145.16</v>
      </c>
      <c r="AW413" s="8">
        <f ca="1">RANK(PlayerGameData[[#This Row],[STLTieBreak]],PlayerGameData[STLTieBreak],1)</f>
        <v>217</v>
      </c>
      <c r="AX413" s="8">
        <f ca="1">RANK(PlayerGameData[[#This Row],[BLK]],PlayerGameData[BLK],0)+PlayerGameData[[#This Row],[VisibleOrder]]</f>
        <v>32</v>
      </c>
      <c r="AY413" s="8">
        <f ca="1">IF(COUNTIF(PlayerGameData[BLKOrder],PlayerGameData[[#This Row],[BLKOrder]])&gt;1,PlayerGameData[[#This Row],[PointRank]]/100+PlayerGameData[[#This Row],[BLKOrder]],PlayerGameData[[#This Row],[BLKOrder]])</f>
        <v>34.159999999999997</v>
      </c>
      <c r="AZ413" s="8">
        <f ca="1">RANK(PlayerGameData[[#This Row],[BLKTieBreak]],PlayerGameData[BLKTieBreak],1)</f>
        <v>216</v>
      </c>
      <c r="BA413" s="11">
        <f ca="1">IFERROR(IF(PlayerGameData[[#This Row],[FGA]]&gt;$AA$5,PlayerGameData[[#This Row],[FG%*]],PlayerGameData[[#This Row],[FG%*]]*-1),-2)</f>
        <v>-2</v>
      </c>
      <c r="BB413" s="8">
        <f ca="1">RANK(PlayerGameData[[#This Row],[EligFG]],PlayerGameData[EligFG],0)+PlayerGameData[[#This Row],[VisibleOrder]]</f>
        <v>215</v>
      </c>
      <c r="BC413" s="8">
        <f ca="1">IF(COUNTIF(PlayerGameData[EligFGOrder],PlayerGameData[[#This Row],[EligFGOrder]])&gt;1,PlayerGameData[[#This Row],[PointRank]]/100+PlayerGameData[[#This Row],[EligFGOrder]],PlayerGameData[[#This Row],[EligFGOrder]])</f>
        <v>217.16</v>
      </c>
      <c r="BD413" s="8">
        <f ca="1">RANK(PlayerGameData[[#This Row],[EligFGTieBreak]],PlayerGameData[EligFGTieBreak],1)</f>
        <v>216</v>
      </c>
      <c r="BE413" s="8" t="str">
        <f>Roster!$D$3</f>
        <v>East</v>
      </c>
      <c r="BF413" s="8" t="str">
        <f>Roster!$D$2</f>
        <v>Northeast</v>
      </c>
      <c r="BG413" s="8" t="str">
        <f>Roster!$D$4</f>
        <v>North</v>
      </c>
      <c r="BH413" s="197">
        <f ca="1">IFERROR(VLOOKUP(CONCATENATE(PlayerGameData[[#This Row],[Opponent]]," ",MONTH(PlayerGameData[[#This Row],[Date]]),"/",DAY(PlayerGameData[[#This Row],[Date]]),"/",YEAR(PlayerGameData[[#This Row],[Date]])),Table35[],2,FALSE),0)</f>
        <v>1</v>
      </c>
      <c r="BI413" s="197">
        <f ca="1">IF(PlayerGameData[[#This Row],[Visible]]=1,1,1000)</f>
        <v>1</v>
      </c>
      <c r="BJ413" s="197" t="e">
        <f ca="1">_xlfn.MAXIFS(TeamGameData[Win],TeamGameData[School, Opponent,Game'#],PlayerGameData[[#This Row],[School, Opponent,Game'#]])</f>
        <v>#NAME?</v>
      </c>
      <c r="BK413" s="197" t="e">
        <f ca="1">_xlfn.MAXIFS(TeamGameData[Loss],TeamGameData[School, Opponent,Game'#],PlayerGameData[[#This Row],[School, Opponent,Game'#]])</f>
        <v>#NAME?</v>
      </c>
    </row>
    <row r="414" spans="1:63" x14ac:dyDescent="0.25">
      <c r="A414" s="8" t="str">
        <f t="shared" ca="1" si="213"/>
        <v xml:space="preserve">Team, </v>
      </c>
      <c r="B414" s="8" t="str">
        <f>Roster!$B$1</f>
        <v>Upton</v>
      </c>
      <c r="C414" s="8" t="str">
        <f t="shared" ca="1" si="201"/>
        <v>Sundance</v>
      </c>
      <c r="D414" s="10">
        <f t="shared" ca="1" si="202"/>
        <v>44964</v>
      </c>
      <c r="E414" s="8">
        <f t="shared" ca="1" si="203"/>
        <v>0</v>
      </c>
      <c r="F414" s="8">
        <f t="shared" ca="1" si="204"/>
        <v>0</v>
      </c>
      <c r="G414" s="8">
        <f t="shared" ca="1" si="205"/>
        <v>0</v>
      </c>
      <c r="H414" s="8">
        <f t="shared" ca="1" si="206"/>
        <v>0</v>
      </c>
      <c r="I414" s="8">
        <f t="shared" ca="1" si="207"/>
        <v>0</v>
      </c>
      <c r="J414" s="8">
        <f t="shared" ca="1" si="208"/>
        <v>0</v>
      </c>
      <c r="K414" s="8">
        <f t="shared" ca="1" si="209"/>
        <v>0</v>
      </c>
      <c r="L414" s="8">
        <f t="shared" ca="1" si="214"/>
        <v>0</v>
      </c>
      <c r="M414" s="8">
        <f t="shared" ca="1" si="215"/>
        <v>0</v>
      </c>
      <c r="N414" s="8">
        <f t="shared" ca="1" si="216"/>
        <v>0</v>
      </c>
      <c r="O414" s="8">
        <f t="shared" ca="1" si="217"/>
        <v>0</v>
      </c>
      <c r="P414" s="8">
        <f t="shared" ca="1" si="218"/>
        <v>0</v>
      </c>
      <c r="Q414" s="8">
        <f t="shared" ca="1" si="219"/>
        <v>0</v>
      </c>
      <c r="R414" s="8">
        <f t="shared" ca="1" si="220"/>
        <v>0</v>
      </c>
      <c r="S414" s="8">
        <f t="shared" ca="1" si="221"/>
        <v>0</v>
      </c>
      <c r="T414" s="8">
        <f t="shared" ca="1" si="222"/>
        <v>0</v>
      </c>
      <c r="U414" s="8">
        <f t="shared" ca="1" si="223"/>
        <v>0</v>
      </c>
      <c r="V414" s="8">
        <f t="shared" ca="1" si="224"/>
        <v>0</v>
      </c>
      <c r="W414" s="11" t="str">
        <f t="shared" ca="1" si="225"/>
        <v/>
      </c>
      <c r="X414" s="11" t="str">
        <f t="shared" ca="1" si="226"/>
        <v/>
      </c>
      <c r="Y414" s="11" t="str">
        <f t="shared" ca="1" si="227"/>
        <v/>
      </c>
      <c r="Z414" s="11" t="str">
        <f t="shared" ca="1" si="228"/>
        <v/>
      </c>
      <c r="AA414" s="11" t="str">
        <f t="shared" ca="1" si="229"/>
        <v/>
      </c>
      <c r="AB414" s="47">
        <f ca="1">PlayerGameData[[#This Row],[3FGA]]+PlayerGameData[[#This Row],[2FGA]]</f>
        <v>0</v>
      </c>
      <c r="AC414" s="47">
        <f ca="1">PlayerGameData[[#This Row],[OFF REB]]+PlayerGameData[[#This Row],[DEF REB]]</f>
        <v>0</v>
      </c>
      <c r="AD414" s="8">
        <f t="shared" si="210"/>
        <v>17</v>
      </c>
      <c r="AE414" s="8" t="str">
        <f t="shared" ca="1" si="211"/>
        <v>Team,  - Sundance 2/7/2023</v>
      </c>
      <c r="AF414" s="8" t="str">
        <f t="shared" ca="1" si="230"/>
        <v/>
      </c>
      <c r="AG414" s="8" t="str">
        <f ca="1">IFERROR(IF(C414=0,"",IF(AND(VLOOKUP(PlayerGameData[[#This Row],[Opponent]],WYTeamInfo,2,FALSE)=Roster!$D$1,VLOOKUP(PlayerGameData[[#This Row],[Opponent]],WYTeamInfo,3,FALSE)=Roster!$D$2),"SR","")),"")</f>
        <v/>
      </c>
      <c r="AH414" s="8" t="str">
        <f>CONCATENATE(Roster!$D$1," ",Roster!$D$5)</f>
        <v>1A BB</v>
      </c>
      <c r="AI414" s="8" t="str">
        <f t="shared" ca="1" si="212"/>
        <v>Upton - Sundance 2/7/2023</v>
      </c>
      <c r="AJ414" s="8">
        <f ca="1">IFERROR(VLOOKUP(PlayerGameData[[#This Row],[School, Opponent,Game'#]],Table3[],2,FALSE),0)</f>
        <v>1</v>
      </c>
      <c r="AK414" s="8">
        <f ca="1">IF(PlayerGameData[[#This Row],[Visible]]=1,1,1000)</f>
        <v>1</v>
      </c>
      <c r="AL414" s="8">
        <f ca="1">RANK(PlayerGameData[[#This Row],[TL PTS]],PlayerGameData[TL PTS],0)+PlayerGameData[[#This Row],[VisibleOrder]]</f>
        <v>185</v>
      </c>
      <c r="AM414" s="8">
        <f ca="1">IF(COUNTIF(PlayerGameData[PointOrder],PlayerGameData[[#This Row],[PointOrder]])&gt;1,RANK(PlayerGameData[[#This Row],[FGA]],PlayerGameData[FGA],0)/100,0)+PlayerGameData[[#This Row],[PointOrder]]</f>
        <v>187.14</v>
      </c>
      <c r="AN414" s="8">
        <f ca="1">RANK(PlayerGameData[[#This Row],[PointTieBreak]],PlayerGameData[PointTieBreak],1)</f>
        <v>216</v>
      </c>
      <c r="AO414" s="8">
        <f ca="1">RANK(PlayerGameData[[#This Row],[REB]],PlayerGameData[REB],0)+PlayerGameData[[#This Row],[VisibleOrder]]</f>
        <v>192</v>
      </c>
      <c r="AP414" s="8">
        <f ca="1">IF(COUNTIF(PlayerGameData[REBOrder],PlayerGameData[[#This Row],[REBOrder]])&gt;1,PlayerGameData[[#This Row],[PointRank]]/100+PlayerGameData[[#This Row],[REBOrder]],PlayerGameData[[#This Row],[REBOrder]])</f>
        <v>194.16</v>
      </c>
      <c r="AQ414" s="8">
        <f ca="1">RANK(PlayerGameData[[#This Row],[REBTieBreak]],PlayerGameData[REBTieBreak],1)</f>
        <v>224</v>
      </c>
      <c r="AR414" s="8">
        <f ca="1">RANK(PlayerGameData[[#This Row],[AST]],PlayerGameData[AST],0)+PlayerGameData[[#This Row],[VisibleOrder]]</f>
        <v>158</v>
      </c>
      <c r="AS414" s="8">
        <f ca="1">IF(COUNTIF(PlayerGameData[ASTOrder],PlayerGameData[[#This Row],[ASTOrder]])&gt;1,PlayerGameData[[#This Row],[PointRank]]/100+PlayerGameData[[#This Row],[ASTOrder]],PlayerGameData[[#This Row],[ASTOrder]])</f>
        <v>160.16</v>
      </c>
      <c r="AT414" s="8">
        <f ca="1">RANK(PlayerGameData[[#This Row],[ASTTieBreak]],PlayerGameData[ASTTieBreak],1)</f>
        <v>221</v>
      </c>
      <c r="AU414" s="8">
        <f ca="1">RANK(PlayerGameData[[#This Row],[STL]],PlayerGameData[STL],0)+PlayerGameData[[#This Row],[VisibleOrder]]</f>
        <v>143</v>
      </c>
      <c r="AV414" s="8">
        <f ca="1">IF(COUNTIF(PlayerGameData[STLOrder],PlayerGameData[[#This Row],[STLOrder]])&gt;1,PlayerGameData[[#This Row],[PointRank]]/100+PlayerGameData[[#This Row],[STLOrder]],PlayerGameData[[#This Row],[STLOrder]])</f>
        <v>145.16</v>
      </c>
      <c r="AW414" s="8">
        <f ca="1">RANK(PlayerGameData[[#This Row],[STLTieBreak]],PlayerGameData[STLTieBreak],1)</f>
        <v>217</v>
      </c>
      <c r="AX414" s="8">
        <f ca="1">RANK(PlayerGameData[[#This Row],[BLK]],PlayerGameData[BLK],0)+PlayerGameData[[#This Row],[VisibleOrder]]</f>
        <v>32</v>
      </c>
      <c r="AY414" s="8">
        <f ca="1">IF(COUNTIF(PlayerGameData[BLKOrder],PlayerGameData[[#This Row],[BLKOrder]])&gt;1,PlayerGameData[[#This Row],[PointRank]]/100+PlayerGameData[[#This Row],[BLKOrder]],PlayerGameData[[#This Row],[BLKOrder]])</f>
        <v>34.159999999999997</v>
      </c>
      <c r="AZ414" s="8">
        <f ca="1">RANK(PlayerGameData[[#This Row],[BLKTieBreak]],PlayerGameData[BLKTieBreak],1)</f>
        <v>216</v>
      </c>
      <c r="BA414" s="11">
        <f ca="1">IFERROR(IF(PlayerGameData[[#This Row],[FGA]]&gt;$AA$5,PlayerGameData[[#This Row],[FG%*]],PlayerGameData[[#This Row],[FG%*]]*-1),-2)</f>
        <v>-2</v>
      </c>
      <c r="BB414" s="8">
        <f ca="1">RANK(PlayerGameData[[#This Row],[EligFG]],PlayerGameData[EligFG],0)+PlayerGameData[[#This Row],[VisibleOrder]]</f>
        <v>215</v>
      </c>
      <c r="BC414" s="8">
        <f ca="1">IF(COUNTIF(PlayerGameData[EligFGOrder],PlayerGameData[[#This Row],[EligFGOrder]])&gt;1,PlayerGameData[[#This Row],[PointRank]]/100+PlayerGameData[[#This Row],[EligFGOrder]],PlayerGameData[[#This Row],[EligFGOrder]])</f>
        <v>217.16</v>
      </c>
      <c r="BD414" s="8">
        <f ca="1">RANK(PlayerGameData[[#This Row],[EligFGTieBreak]],PlayerGameData[EligFGTieBreak],1)</f>
        <v>216</v>
      </c>
      <c r="BE414" s="8" t="str">
        <f>Roster!$D$3</f>
        <v>East</v>
      </c>
      <c r="BF414" s="8" t="str">
        <f>Roster!$D$2</f>
        <v>Northeast</v>
      </c>
      <c r="BG414" s="8" t="str">
        <f>Roster!$D$4</f>
        <v>North</v>
      </c>
      <c r="BH414" s="197">
        <f ca="1">IFERROR(VLOOKUP(CONCATENATE(PlayerGameData[[#This Row],[Opponent]]," ",MONTH(PlayerGameData[[#This Row],[Date]]),"/",DAY(PlayerGameData[[#This Row],[Date]]),"/",YEAR(PlayerGameData[[#This Row],[Date]])),Table35[],2,FALSE),0)</f>
        <v>1</v>
      </c>
      <c r="BI414" s="197">
        <f ca="1">IF(PlayerGameData[[#This Row],[Visible]]=1,1,1000)</f>
        <v>1</v>
      </c>
      <c r="BJ414" s="197" t="e">
        <f ca="1">_xlfn.MAXIFS(TeamGameData[Win],TeamGameData[School, Opponent,Game'#],PlayerGameData[[#This Row],[School, Opponent,Game'#]])</f>
        <v>#NAME?</v>
      </c>
      <c r="BK414" s="197" t="e">
        <f ca="1">_xlfn.MAXIFS(TeamGameData[Loss],TeamGameData[School, Opponent,Game'#],PlayerGameData[[#This Row],[School, Opponent,Game'#]])</f>
        <v>#NAME?</v>
      </c>
    </row>
    <row r="415" spans="1:63" x14ac:dyDescent="0.25">
      <c r="A415" s="8" t="str">
        <f t="shared" ca="1" si="213"/>
        <v>Landon Butler, 1</v>
      </c>
      <c r="B415" s="8" t="str">
        <f>Roster!$B$1</f>
        <v>Upton</v>
      </c>
      <c r="C415" s="8" t="str">
        <f t="shared" ca="1" si="201"/>
        <v>Arvada Clearmont</v>
      </c>
      <c r="D415" s="10">
        <f t="shared" ca="1" si="202"/>
        <v>44968</v>
      </c>
      <c r="E415" s="8">
        <f t="shared" ca="1" si="203"/>
        <v>1</v>
      </c>
      <c r="F415" s="8">
        <f t="shared" ca="1" si="204"/>
        <v>0</v>
      </c>
      <c r="G415" s="8">
        <f t="shared" ca="1" si="205"/>
        <v>10</v>
      </c>
      <c r="H415" s="8">
        <f t="shared" ca="1" si="206"/>
        <v>0</v>
      </c>
      <c r="I415" s="8">
        <f t="shared" ca="1" si="207"/>
        <v>1</v>
      </c>
      <c r="J415" s="8">
        <f t="shared" ca="1" si="208"/>
        <v>0</v>
      </c>
      <c r="K415" s="8">
        <f t="shared" ca="1" si="209"/>
        <v>0</v>
      </c>
      <c r="L415" s="8">
        <f t="shared" ca="1" si="214"/>
        <v>0</v>
      </c>
      <c r="M415" s="8">
        <f t="shared" ca="1" si="215"/>
        <v>0</v>
      </c>
      <c r="N415" s="8">
        <f t="shared" ca="1" si="216"/>
        <v>0</v>
      </c>
      <c r="O415" s="8">
        <f t="shared" ca="1" si="217"/>
        <v>0</v>
      </c>
      <c r="P415" s="8">
        <f t="shared" ca="1" si="218"/>
        <v>1</v>
      </c>
      <c r="Q415" s="8">
        <f t="shared" ca="1" si="219"/>
        <v>1</v>
      </c>
      <c r="R415" s="8">
        <f t="shared" ca="1" si="220"/>
        <v>0</v>
      </c>
      <c r="S415" s="8">
        <f t="shared" ca="1" si="221"/>
        <v>2</v>
      </c>
      <c r="T415" s="8">
        <f t="shared" ca="1" si="222"/>
        <v>1</v>
      </c>
      <c r="U415" s="8">
        <f t="shared" ca="1" si="223"/>
        <v>0</v>
      </c>
      <c r="V415" s="8">
        <f t="shared" ca="1" si="224"/>
        <v>0</v>
      </c>
      <c r="W415" s="11">
        <f t="shared" ca="1" si="225"/>
        <v>0</v>
      </c>
      <c r="X415" s="11" t="str">
        <f t="shared" ca="1" si="226"/>
        <v/>
      </c>
      <c r="Y415" s="11" t="str">
        <f t="shared" ca="1" si="227"/>
        <v/>
      </c>
      <c r="Z415" s="11">
        <f t="shared" ca="1" si="228"/>
        <v>0</v>
      </c>
      <c r="AA415" s="11">
        <f t="shared" ca="1" si="229"/>
        <v>0</v>
      </c>
      <c r="AB415" s="47">
        <f ca="1">PlayerGameData[[#This Row],[3FGA]]+PlayerGameData[[#This Row],[2FGA]]</f>
        <v>1</v>
      </c>
      <c r="AC415" s="47">
        <f ca="1">PlayerGameData[[#This Row],[OFF REB]]+PlayerGameData[[#This Row],[DEF REB]]</f>
        <v>0</v>
      </c>
      <c r="AD415" s="8">
        <f t="shared" si="210"/>
        <v>18</v>
      </c>
      <c r="AE415" s="8" t="str">
        <f t="shared" ca="1" si="211"/>
        <v>Landon Butler, 1 - Arvada Clearmont 2/11/2023</v>
      </c>
      <c r="AF415" s="8" t="str">
        <f t="shared" ca="1" si="230"/>
        <v>R</v>
      </c>
      <c r="AG415" s="8" t="str">
        <f ca="1">IFERROR(IF(C415=0,"",IF(AND(VLOOKUP(PlayerGameData[[#This Row],[Opponent]],WYTeamInfo,2,FALSE)=Roster!$D$1,VLOOKUP(PlayerGameData[[#This Row],[Opponent]],WYTeamInfo,3,FALSE)=Roster!$D$2),"SR","")),"")</f>
        <v>SR</v>
      </c>
      <c r="AH415" s="8" t="str">
        <f>CONCATENATE(Roster!$D$1," ",Roster!$D$5)</f>
        <v>1A BB</v>
      </c>
      <c r="AI415" s="8" t="str">
        <f t="shared" ca="1" si="212"/>
        <v>Upton - Arvada Clearmont 2/11/2023</v>
      </c>
      <c r="AJ415" s="8">
        <f ca="1">IFERROR(VLOOKUP(PlayerGameData[[#This Row],[School, Opponent,Game'#]],Table3[],2,FALSE),0)</f>
        <v>1</v>
      </c>
      <c r="AK415" s="8">
        <f ca="1">IF(PlayerGameData[[#This Row],[Visible]]=1,1,1000)</f>
        <v>1</v>
      </c>
      <c r="AL415" s="8">
        <f ca="1">RANK(PlayerGameData[[#This Row],[TL PTS]],PlayerGameData[TL PTS],0)+PlayerGameData[[#This Row],[VisibleOrder]]</f>
        <v>185</v>
      </c>
      <c r="AM415" s="8">
        <f ca="1">IF(COUNTIF(PlayerGameData[PointOrder],PlayerGameData[[#This Row],[PointOrder]])&gt;1,RANK(PlayerGameData[[#This Row],[FGA]],PlayerGameData[FGA],0)/100,0)+PlayerGameData[[#This Row],[PointOrder]]</f>
        <v>186.82</v>
      </c>
      <c r="AN415" s="8">
        <f ca="1">RANK(PlayerGameData[[#This Row],[PointTieBreak]],PlayerGameData[PointTieBreak],1)</f>
        <v>196</v>
      </c>
      <c r="AO415" s="8">
        <f ca="1">RANK(PlayerGameData[[#This Row],[REB]],PlayerGameData[REB],0)+PlayerGameData[[#This Row],[VisibleOrder]]</f>
        <v>192</v>
      </c>
      <c r="AP415" s="8">
        <f ca="1">IF(COUNTIF(PlayerGameData[REBOrder],PlayerGameData[[#This Row],[REBOrder]])&gt;1,PlayerGameData[[#This Row],[PointRank]]/100+PlayerGameData[[#This Row],[REBOrder]],PlayerGameData[[#This Row],[REBOrder]])</f>
        <v>193.96</v>
      </c>
      <c r="AQ415" s="8">
        <f ca="1">RANK(PlayerGameData[[#This Row],[REBTieBreak]],PlayerGameData[REBTieBreak],1)</f>
        <v>213</v>
      </c>
      <c r="AR415" s="8">
        <f ca="1">RANK(PlayerGameData[[#This Row],[AST]],PlayerGameData[AST],0)+PlayerGameData[[#This Row],[VisibleOrder]]</f>
        <v>115</v>
      </c>
      <c r="AS415" s="8">
        <f ca="1">IF(COUNTIF(PlayerGameData[ASTOrder],PlayerGameData[[#This Row],[ASTOrder]])&gt;1,PlayerGameData[[#This Row],[PointRank]]/100+PlayerGameData[[#This Row],[ASTOrder]],PlayerGameData[[#This Row],[ASTOrder]])</f>
        <v>116.96</v>
      </c>
      <c r="AT415" s="8">
        <f ca="1">RANK(PlayerGameData[[#This Row],[ASTTieBreak]],PlayerGameData[ASTTieBreak],1)</f>
        <v>148</v>
      </c>
      <c r="AU415" s="8">
        <f ca="1">RANK(PlayerGameData[[#This Row],[STL]],PlayerGameData[STL],0)+PlayerGameData[[#This Row],[VisibleOrder]]</f>
        <v>84</v>
      </c>
      <c r="AV415" s="8">
        <f ca="1">IF(COUNTIF(PlayerGameData[STLOrder],PlayerGameData[[#This Row],[STLOrder]])&gt;1,PlayerGameData[[#This Row],[PointRank]]/100+PlayerGameData[[#This Row],[STLOrder]],PlayerGameData[[#This Row],[STLOrder]])</f>
        <v>85.96</v>
      </c>
      <c r="AW415" s="8">
        <f ca="1">RANK(PlayerGameData[[#This Row],[STLTieBreak]],PlayerGameData[STLTieBreak],1)</f>
        <v>139</v>
      </c>
      <c r="AX415" s="8">
        <f ca="1">RANK(PlayerGameData[[#This Row],[BLK]],PlayerGameData[BLK],0)+PlayerGameData[[#This Row],[VisibleOrder]]</f>
        <v>32</v>
      </c>
      <c r="AY415" s="8">
        <f ca="1">IF(COUNTIF(PlayerGameData[BLKOrder],PlayerGameData[[#This Row],[BLKOrder]])&gt;1,PlayerGameData[[#This Row],[PointRank]]/100+PlayerGameData[[#This Row],[BLKOrder]],PlayerGameData[[#This Row],[BLKOrder]])</f>
        <v>33.96</v>
      </c>
      <c r="AZ415" s="8">
        <f ca="1">RANK(PlayerGameData[[#This Row],[BLKTieBreak]],PlayerGameData[BLKTieBreak],1)</f>
        <v>196</v>
      </c>
      <c r="BA415" s="11">
        <f ca="1">IFERROR(IF(PlayerGameData[[#This Row],[FGA]]&gt;$AA$5,PlayerGameData[[#This Row],[FG%*]],PlayerGameData[[#This Row],[FG%*]]*-1),-2)</f>
        <v>0</v>
      </c>
      <c r="BB415" s="8">
        <f ca="1">RANK(PlayerGameData[[#This Row],[EligFG]],PlayerGameData[EligFG],0)+PlayerGameData[[#This Row],[VisibleOrder]]</f>
        <v>117</v>
      </c>
      <c r="BC415" s="8">
        <f ca="1">IF(COUNTIF(PlayerGameData[EligFGOrder],PlayerGameData[[#This Row],[EligFGOrder]])&gt;1,PlayerGameData[[#This Row],[PointRank]]/100+PlayerGameData[[#This Row],[EligFGOrder]],PlayerGameData[[#This Row],[EligFGOrder]])</f>
        <v>118.96</v>
      </c>
      <c r="BD415" s="8">
        <f ca="1">RANK(PlayerGameData[[#This Row],[EligFGTieBreak]],PlayerGameData[EligFGTieBreak],1)</f>
        <v>138</v>
      </c>
      <c r="BE415" s="8" t="str">
        <f>Roster!$D$3</f>
        <v>East</v>
      </c>
      <c r="BF415" s="8" t="str">
        <f>Roster!$D$2</f>
        <v>Northeast</v>
      </c>
      <c r="BG415" s="8" t="str">
        <f>Roster!$D$4</f>
        <v>North</v>
      </c>
      <c r="BH415" s="197">
        <f ca="1">IFERROR(VLOOKUP(CONCATENATE(PlayerGameData[[#This Row],[Opponent]]," ",MONTH(PlayerGameData[[#This Row],[Date]]),"/",DAY(PlayerGameData[[#This Row],[Date]]),"/",YEAR(PlayerGameData[[#This Row],[Date]])),Table35[],2,FALSE),0)</f>
        <v>1</v>
      </c>
      <c r="BI415" s="197">
        <f ca="1">IF(PlayerGameData[[#This Row],[Visible]]=1,1,1000)</f>
        <v>1</v>
      </c>
      <c r="BJ415" s="197" t="e">
        <f ca="1">_xlfn.MAXIFS(TeamGameData[Win],TeamGameData[School, Opponent,Game'#],PlayerGameData[[#This Row],[School, Opponent,Game'#]])</f>
        <v>#NAME?</v>
      </c>
      <c r="BK415" s="197" t="e">
        <f ca="1">_xlfn.MAXIFS(TeamGameData[Loss],TeamGameData[School, Opponent,Game'#],PlayerGameData[[#This Row],[School, Opponent,Game'#]])</f>
        <v>#NAME?</v>
      </c>
    </row>
    <row r="416" spans="1:63" x14ac:dyDescent="0.25">
      <c r="A416" s="8" t="str">
        <f t="shared" ca="1" si="213"/>
        <v>Logan Timberman, 3</v>
      </c>
      <c r="B416" s="8" t="str">
        <f>Roster!$B$1</f>
        <v>Upton</v>
      </c>
      <c r="C416" s="8" t="str">
        <f t="shared" ca="1" si="201"/>
        <v>Arvada Clearmont</v>
      </c>
      <c r="D416" s="10">
        <f t="shared" ca="1" si="202"/>
        <v>44968</v>
      </c>
      <c r="E416" s="8">
        <f t="shared" ca="1" si="203"/>
        <v>1</v>
      </c>
      <c r="F416" s="8">
        <f t="shared" ca="1" si="204"/>
        <v>1</v>
      </c>
      <c r="G416" s="8">
        <f t="shared" ca="1" si="205"/>
        <v>16</v>
      </c>
      <c r="H416" s="8">
        <f t="shared" ca="1" si="206"/>
        <v>2</v>
      </c>
      <c r="I416" s="8">
        <f t="shared" ca="1" si="207"/>
        <v>5</v>
      </c>
      <c r="J416" s="8">
        <f t="shared" ca="1" si="208"/>
        <v>1</v>
      </c>
      <c r="K416" s="8">
        <f t="shared" ca="1" si="209"/>
        <v>2</v>
      </c>
      <c r="L416" s="8">
        <f t="shared" ca="1" si="214"/>
        <v>0</v>
      </c>
      <c r="M416" s="8">
        <f t="shared" ca="1" si="215"/>
        <v>2</v>
      </c>
      <c r="N416" s="8">
        <f t="shared" ca="1" si="216"/>
        <v>1</v>
      </c>
      <c r="O416" s="8">
        <f t="shared" ca="1" si="217"/>
        <v>1</v>
      </c>
      <c r="P416" s="8">
        <f t="shared" ca="1" si="218"/>
        <v>0</v>
      </c>
      <c r="Q416" s="8">
        <f t="shared" ca="1" si="219"/>
        <v>2</v>
      </c>
      <c r="R416" s="8">
        <f t="shared" ca="1" si="220"/>
        <v>0</v>
      </c>
      <c r="S416" s="8">
        <f t="shared" ca="1" si="221"/>
        <v>0</v>
      </c>
      <c r="T416" s="8">
        <f t="shared" ca="1" si="222"/>
        <v>1</v>
      </c>
      <c r="U416" s="8">
        <f t="shared" ca="1" si="223"/>
        <v>0</v>
      </c>
      <c r="V416" s="8">
        <f t="shared" ca="1" si="224"/>
        <v>8</v>
      </c>
      <c r="W416" s="11">
        <f t="shared" ca="1" si="225"/>
        <v>0.4</v>
      </c>
      <c r="X416" s="11">
        <f t="shared" ca="1" si="226"/>
        <v>0.5</v>
      </c>
      <c r="Y416" s="11">
        <f t="shared" ca="1" si="227"/>
        <v>0</v>
      </c>
      <c r="Z416" s="11">
        <f t="shared" ca="1" si="228"/>
        <v>0.42857142857142855</v>
      </c>
      <c r="AA416" s="11">
        <f t="shared" ca="1" si="229"/>
        <v>0.5714285714285714</v>
      </c>
      <c r="AB416" s="47">
        <f ca="1">PlayerGameData[[#This Row],[3FGA]]+PlayerGameData[[#This Row],[2FGA]]</f>
        <v>7</v>
      </c>
      <c r="AC416" s="47">
        <f ca="1">PlayerGameData[[#This Row],[OFF REB]]+PlayerGameData[[#This Row],[DEF REB]]</f>
        <v>2</v>
      </c>
      <c r="AD416" s="8">
        <f t="shared" si="210"/>
        <v>18</v>
      </c>
      <c r="AE416" s="8" t="str">
        <f t="shared" ca="1" si="211"/>
        <v>Logan Timberman, 3 - Arvada Clearmont 2/11/2023</v>
      </c>
      <c r="AF416" s="8" t="str">
        <f t="shared" ca="1" si="230"/>
        <v>R</v>
      </c>
      <c r="AG416" s="8" t="str">
        <f ca="1">IFERROR(IF(C416=0,"",IF(AND(VLOOKUP(PlayerGameData[[#This Row],[Opponent]],WYTeamInfo,2,FALSE)=Roster!$D$1,VLOOKUP(PlayerGameData[[#This Row],[Opponent]],WYTeamInfo,3,FALSE)=Roster!$D$2),"SR","")),"")</f>
        <v>SR</v>
      </c>
      <c r="AH416" s="8" t="str">
        <f>CONCATENATE(Roster!$D$1," ",Roster!$D$5)</f>
        <v>1A BB</v>
      </c>
      <c r="AI416" s="8" t="str">
        <f t="shared" ca="1" si="212"/>
        <v>Upton - Arvada Clearmont 2/11/2023</v>
      </c>
      <c r="AJ416" s="8">
        <f ca="1">IFERROR(VLOOKUP(PlayerGameData[[#This Row],[School, Opponent,Game'#]],Table3[],2,FALSE),0)</f>
        <v>1</v>
      </c>
      <c r="AK416" s="8">
        <f ca="1">IF(PlayerGameData[[#This Row],[Visible]]=1,1,1000)</f>
        <v>1</v>
      </c>
      <c r="AL416" s="8">
        <f ca="1">RANK(PlayerGameData[[#This Row],[TL PTS]],PlayerGameData[TL PTS],0)+PlayerGameData[[#This Row],[VisibleOrder]]</f>
        <v>82</v>
      </c>
      <c r="AM416" s="8">
        <f ca="1">IF(COUNTIF(PlayerGameData[PointOrder],PlayerGameData[[#This Row],[PointOrder]])&gt;1,RANK(PlayerGameData[[#This Row],[FGA]],PlayerGameData[FGA],0)/100,0)+PlayerGameData[[#This Row],[PointOrder]]</f>
        <v>82.93</v>
      </c>
      <c r="AN416" s="8">
        <f ca="1">RANK(PlayerGameData[[#This Row],[PointTieBreak]],PlayerGameData[PointTieBreak],1)</f>
        <v>88</v>
      </c>
      <c r="AO416" s="8">
        <f ca="1">RANK(PlayerGameData[[#This Row],[REB]],PlayerGameData[REB],0)+PlayerGameData[[#This Row],[VisibleOrder]]</f>
        <v>137</v>
      </c>
      <c r="AP416" s="8">
        <f ca="1">IF(COUNTIF(PlayerGameData[REBOrder],PlayerGameData[[#This Row],[REBOrder]])&gt;1,PlayerGameData[[#This Row],[PointRank]]/100+PlayerGameData[[#This Row],[REBOrder]],PlayerGameData[[#This Row],[REBOrder]])</f>
        <v>137.88</v>
      </c>
      <c r="AQ416" s="8">
        <f ca="1">RANK(PlayerGameData[[#This Row],[REBTieBreak]],PlayerGameData[REBTieBreak],1)</f>
        <v>142</v>
      </c>
      <c r="AR416" s="8">
        <f ca="1">RANK(PlayerGameData[[#This Row],[AST]],PlayerGameData[AST],0)+PlayerGameData[[#This Row],[VisibleOrder]]</f>
        <v>158</v>
      </c>
      <c r="AS416" s="8">
        <f ca="1">IF(COUNTIF(PlayerGameData[ASTOrder],PlayerGameData[[#This Row],[ASTOrder]])&gt;1,PlayerGameData[[#This Row],[PointRank]]/100+PlayerGameData[[#This Row],[ASTOrder]],PlayerGameData[[#This Row],[ASTOrder]])</f>
        <v>158.88</v>
      </c>
      <c r="AT416" s="8">
        <f ca="1">RANK(PlayerGameData[[#This Row],[ASTTieBreak]],PlayerGameData[ASTTieBreak],1)</f>
        <v>163</v>
      </c>
      <c r="AU416" s="8">
        <f ca="1">RANK(PlayerGameData[[#This Row],[STL]],PlayerGameData[STL],0)+PlayerGameData[[#This Row],[VisibleOrder]]</f>
        <v>48</v>
      </c>
      <c r="AV416" s="8">
        <f ca="1">IF(COUNTIF(PlayerGameData[STLOrder],PlayerGameData[[#This Row],[STLOrder]])&gt;1,PlayerGameData[[#This Row],[PointRank]]/100+PlayerGameData[[#This Row],[STLOrder]],PlayerGameData[[#This Row],[STLOrder]])</f>
        <v>48.88</v>
      </c>
      <c r="AW416" s="8">
        <f ca="1">RANK(PlayerGameData[[#This Row],[STLTieBreak]],PlayerGameData[STLTieBreak],1)</f>
        <v>67</v>
      </c>
      <c r="AX416" s="8">
        <f ca="1">RANK(PlayerGameData[[#This Row],[BLK]],PlayerGameData[BLK],0)+PlayerGameData[[#This Row],[VisibleOrder]]</f>
        <v>32</v>
      </c>
      <c r="AY416" s="8">
        <f ca="1">IF(COUNTIF(PlayerGameData[BLKOrder],PlayerGameData[[#This Row],[BLKOrder]])&gt;1,PlayerGameData[[#This Row],[PointRank]]/100+PlayerGameData[[#This Row],[BLKOrder]],PlayerGameData[[#This Row],[BLKOrder]])</f>
        <v>32.880000000000003</v>
      </c>
      <c r="AZ416" s="8">
        <f ca="1">RANK(PlayerGameData[[#This Row],[BLKTieBreak]],PlayerGameData[BLKTieBreak],1)</f>
        <v>98</v>
      </c>
      <c r="BA416" s="11">
        <f ca="1">IFERROR(IF(PlayerGameData[[#This Row],[FGA]]&gt;$AA$5,PlayerGameData[[#This Row],[FG%*]],PlayerGameData[[#This Row],[FG%*]]*-1),-2)</f>
        <v>0.42857142857142855</v>
      </c>
      <c r="BB416" s="8">
        <f ca="1">RANK(PlayerGameData[[#This Row],[EligFG]],PlayerGameData[EligFG],0)+PlayerGameData[[#This Row],[VisibleOrder]]</f>
        <v>63</v>
      </c>
      <c r="BC416" s="8">
        <f ca="1">IF(COUNTIF(PlayerGameData[EligFGOrder],PlayerGameData[[#This Row],[EligFGOrder]])&gt;1,PlayerGameData[[#This Row],[PointRank]]/100+PlayerGameData[[#This Row],[EligFGOrder]],PlayerGameData[[#This Row],[EligFGOrder]])</f>
        <v>63.88</v>
      </c>
      <c r="BD416" s="8">
        <f ca="1">RANK(PlayerGameData[[#This Row],[EligFGTieBreak]],PlayerGameData[EligFGTieBreak],1)</f>
        <v>62</v>
      </c>
      <c r="BE416" s="8" t="str">
        <f>Roster!$D$3</f>
        <v>East</v>
      </c>
      <c r="BF416" s="8" t="str">
        <f>Roster!$D$2</f>
        <v>Northeast</v>
      </c>
      <c r="BG416" s="8" t="str">
        <f>Roster!$D$4</f>
        <v>North</v>
      </c>
      <c r="BH416" s="197">
        <f ca="1">IFERROR(VLOOKUP(CONCATENATE(PlayerGameData[[#This Row],[Opponent]]," ",MONTH(PlayerGameData[[#This Row],[Date]]),"/",DAY(PlayerGameData[[#This Row],[Date]]),"/",YEAR(PlayerGameData[[#This Row],[Date]])),Table35[],2,FALSE),0)</f>
        <v>1</v>
      </c>
      <c r="BI416" s="197">
        <f ca="1">IF(PlayerGameData[[#This Row],[Visible]]=1,1,1000)</f>
        <v>1</v>
      </c>
      <c r="BJ416" s="197" t="e">
        <f ca="1">_xlfn.MAXIFS(TeamGameData[Win],TeamGameData[School, Opponent,Game'#],PlayerGameData[[#This Row],[School, Opponent,Game'#]])</f>
        <v>#NAME?</v>
      </c>
      <c r="BK416" s="197" t="e">
        <f ca="1">_xlfn.MAXIFS(TeamGameData[Loss],TeamGameData[School, Opponent,Game'#],PlayerGameData[[#This Row],[School, Opponent,Game'#]])</f>
        <v>#NAME?</v>
      </c>
    </row>
    <row r="417" spans="1:63" x14ac:dyDescent="0.25">
      <c r="A417" s="8" t="str">
        <f t="shared" ca="1" si="213"/>
        <v>Chase Mills, 5</v>
      </c>
      <c r="B417" s="8" t="str">
        <f>Roster!$B$1</f>
        <v>Upton</v>
      </c>
      <c r="C417" s="8" t="str">
        <f t="shared" ca="1" si="201"/>
        <v>Arvada Clearmont</v>
      </c>
      <c r="D417" s="10">
        <f t="shared" ca="1" si="202"/>
        <v>44968</v>
      </c>
      <c r="E417" s="8">
        <f t="shared" ca="1" si="203"/>
        <v>1</v>
      </c>
      <c r="F417" s="8">
        <f t="shared" ca="1" si="204"/>
        <v>1</v>
      </c>
      <c r="G417" s="8">
        <f t="shared" ca="1" si="205"/>
        <v>13</v>
      </c>
      <c r="H417" s="8">
        <f t="shared" ca="1" si="206"/>
        <v>1</v>
      </c>
      <c r="I417" s="8">
        <f t="shared" ca="1" si="207"/>
        <v>4</v>
      </c>
      <c r="J417" s="8">
        <f t="shared" ca="1" si="208"/>
        <v>7</v>
      </c>
      <c r="K417" s="8">
        <f t="shared" ca="1" si="209"/>
        <v>9</v>
      </c>
      <c r="L417" s="8">
        <f t="shared" ca="1" si="214"/>
        <v>0</v>
      </c>
      <c r="M417" s="8">
        <f t="shared" ca="1" si="215"/>
        <v>0</v>
      </c>
      <c r="N417" s="8">
        <f t="shared" ca="1" si="216"/>
        <v>6</v>
      </c>
      <c r="O417" s="8">
        <f t="shared" ca="1" si="217"/>
        <v>0</v>
      </c>
      <c r="P417" s="8">
        <f t="shared" ca="1" si="218"/>
        <v>0</v>
      </c>
      <c r="Q417" s="8">
        <f t="shared" ca="1" si="219"/>
        <v>2</v>
      </c>
      <c r="R417" s="8">
        <f t="shared" ca="1" si="220"/>
        <v>0</v>
      </c>
      <c r="S417" s="8">
        <f t="shared" ca="1" si="221"/>
        <v>1</v>
      </c>
      <c r="T417" s="8">
        <f t="shared" ca="1" si="222"/>
        <v>0</v>
      </c>
      <c r="U417" s="8">
        <f t="shared" ca="1" si="223"/>
        <v>0</v>
      </c>
      <c r="V417" s="8">
        <f t="shared" ca="1" si="224"/>
        <v>17</v>
      </c>
      <c r="W417" s="11">
        <f t="shared" ca="1" si="225"/>
        <v>0.25</v>
      </c>
      <c r="X417" s="11">
        <f t="shared" ca="1" si="226"/>
        <v>0.77777777777777779</v>
      </c>
      <c r="Y417" s="11" t="str">
        <f t="shared" ca="1" si="227"/>
        <v/>
      </c>
      <c r="Z417" s="11">
        <f t="shared" ca="1" si="228"/>
        <v>0.61538461538461542</v>
      </c>
      <c r="AA417" s="11">
        <f t="shared" ca="1" si="229"/>
        <v>0.65384615384615385</v>
      </c>
      <c r="AB417" s="47">
        <f ca="1">PlayerGameData[[#This Row],[3FGA]]+PlayerGameData[[#This Row],[2FGA]]</f>
        <v>13</v>
      </c>
      <c r="AC417" s="47">
        <f ca="1">PlayerGameData[[#This Row],[OFF REB]]+PlayerGameData[[#This Row],[DEF REB]]</f>
        <v>6</v>
      </c>
      <c r="AD417" s="8">
        <f t="shared" si="210"/>
        <v>18</v>
      </c>
      <c r="AE417" s="8" t="str">
        <f t="shared" ca="1" si="211"/>
        <v>Chase Mills, 5 - Arvada Clearmont 2/11/2023</v>
      </c>
      <c r="AF417" s="8" t="str">
        <f t="shared" ca="1" si="230"/>
        <v>R</v>
      </c>
      <c r="AG417" s="8" t="str">
        <f ca="1">IFERROR(IF(C417=0,"",IF(AND(VLOOKUP(PlayerGameData[[#This Row],[Opponent]],WYTeamInfo,2,FALSE)=Roster!$D$1,VLOOKUP(PlayerGameData[[#This Row],[Opponent]],WYTeamInfo,3,FALSE)=Roster!$D$2),"SR","")),"")</f>
        <v>SR</v>
      </c>
      <c r="AH417" s="8" t="str">
        <f>CONCATENATE(Roster!$D$1," ",Roster!$D$5)</f>
        <v>1A BB</v>
      </c>
      <c r="AI417" s="8" t="str">
        <f t="shared" ca="1" si="212"/>
        <v>Upton - Arvada Clearmont 2/11/2023</v>
      </c>
      <c r="AJ417" s="8">
        <f ca="1">IFERROR(VLOOKUP(PlayerGameData[[#This Row],[School, Opponent,Game'#]],Table3[],2,FALSE),0)</f>
        <v>1</v>
      </c>
      <c r="AK417" s="8">
        <f ca="1">IF(PlayerGameData[[#This Row],[Visible]]=1,1,1000)</f>
        <v>1</v>
      </c>
      <c r="AL417" s="8">
        <f ca="1">RANK(PlayerGameData[[#This Row],[TL PTS]],PlayerGameData[TL PTS],0)+PlayerGameData[[#This Row],[VisibleOrder]]</f>
        <v>18</v>
      </c>
      <c r="AM417" s="8">
        <f ca="1">IF(COUNTIF(PlayerGameData[PointOrder],PlayerGameData[[#This Row],[PointOrder]])&gt;1,RANK(PlayerGameData[[#This Row],[FGA]],PlayerGameData[FGA],0)/100,0)+PlayerGameData[[#This Row],[PointOrder]]</f>
        <v>18.170000000000002</v>
      </c>
      <c r="AN417" s="8">
        <f ca="1">RANK(PlayerGameData[[#This Row],[PointTieBreak]],PlayerGameData[PointTieBreak],1)</f>
        <v>18</v>
      </c>
      <c r="AO417" s="8">
        <f ca="1">RANK(PlayerGameData[[#This Row],[REB]],PlayerGameData[REB],0)+PlayerGameData[[#This Row],[VisibleOrder]]</f>
        <v>38</v>
      </c>
      <c r="AP417" s="8">
        <f ca="1">IF(COUNTIF(PlayerGameData[REBOrder],PlayerGameData[[#This Row],[REBOrder]])&gt;1,PlayerGameData[[#This Row],[PointRank]]/100+PlayerGameData[[#This Row],[REBOrder]],PlayerGameData[[#This Row],[REBOrder]])</f>
        <v>38.18</v>
      </c>
      <c r="AQ417" s="8">
        <f ca="1">RANK(PlayerGameData[[#This Row],[REBTieBreak]],PlayerGameData[REBTieBreak],1)</f>
        <v>38</v>
      </c>
      <c r="AR417" s="8">
        <f ca="1">RANK(PlayerGameData[[#This Row],[AST]],PlayerGameData[AST],0)+PlayerGameData[[#This Row],[VisibleOrder]]</f>
        <v>158</v>
      </c>
      <c r="AS417" s="8">
        <f ca="1">IF(COUNTIF(PlayerGameData[ASTOrder],PlayerGameData[[#This Row],[ASTOrder]])&gt;1,PlayerGameData[[#This Row],[PointRank]]/100+PlayerGameData[[#This Row],[ASTOrder]],PlayerGameData[[#This Row],[ASTOrder]])</f>
        <v>158.18</v>
      </c>
      <c r="AT417" s="8">
        <f ca="1">RANK(PlayerGameData[[#This Row],[ASTTieBreak]],PlayerGameData[ASTTieBreak],1)</f>
        <v>159</v>
      </c>
      <c r="AU417" s="8">
        <f ca="1">RANK(PlayerGameData[[#This Row],[STL]],PlayerGameData[STL],0)+PlayerGameData[[#This Row],[VisibleOrder]]</f>
        <v>48</v>
      </c>
      <c r="AV417" s="8">
        <f ca="1">IF(COUNTIF(PlayerGameData[STLOrder],PlayerGameData[[#This Row],[STLOrder]])&gt;1,PlayerGameData[[#This Row],[PointRank]]/100+PlayerGameData[[#This Row],[STLOrder]],PlayerGameData[[#This Row],[STLOrder]])</f>
        <v>48.18</v>
      </c>
      <c r="AW417" s="8">
        <f ca="1">RANK(PlayerGameData[[#This Row],[STLTieBreak]],PlayerGameData[STLTieBreak],1)</f>
        <v>49</v>
      </c>
      <c r="AX417" s="8">
        <f ca="1">RANK(PlayerGameData[[#This Row],[BLK]],PlayerGameData[BLK],0)+PlayerGameData[[#This Row],[VisibleOrder]]</f>
        <v>32</v>
      </c>
      <c r="AY417" s="8">
        <f ca="1">IF(COUNTIF(PlayerGameData[BLKOrder],PlayerGameData[[#This Row],[BLKOrder]])&gt;1,PlayerGameData[[#This Row],[PointRank]]/100+PlayerGameData[[#This Row],[BLKOrder]],PlayerGameData[[#This Row],[BLKOrder]])</f>
        <v>32.18</v>
      </c>
      <c r="AZ417" s="8">
        <f ca="1">RANK(PlayerGameData[[#This Row],[BLKTieBreak]],PlayerGameData[BLKTieBreak],1)</f>
        <v>46</v>
      </c>
      <c r="BA417" s="11">
        <f ca="1">IFERROR(IF(PlayerGameData[[#This Row],[FGA]]&gt;$AA$5,PlayerGameData[[#This Row],[FG%*]],PlayerGameData[[#This Row],[FG%*]]*-1),-2)</f>
        <v>0.61538461538461542</v>
      </c>
      <c r="BB417" s="8">
        <f ca="1">RANK(PlayerGameData[[#This Row],[EligFG]],PlayerGameData[EligFG],0)+PlayerGameData[[#This Row],[VisibleOrder]]</f>
        <v>20</v>
      </c>
      <c r="BC417" s="8">
        <f ca="1">IF(COUNTIF(PlayerGameData[EligFGOrder],PlayerGameData[[#This Row],[EligFGOrder]])&gt;1,PlayerGameData[[#This Row],[PointRank]]/100+PlayerGameData[[#This Row],[EligFGOrder]],PlayerGameData[[#This Row],[EligFGOrder]])</f>
        <v>20</v>
      </c>
      <c r="BD417" s="8">
        <f ca="1">RANK(PlayerGameData[[#This Row],[EligFGTieBreak]],PlayerGameData[EligFGTieBreak],1)</f>
        <v>19</v>
      </c>
      <c r="BE417" s="8" t="str">
        <f>Roster!$D$3</f>
        <v>East</v>
      </c>
      <c r="BF417" s="8" t="str">
        <f>Roster!$D$2</f>
        <v>Northeast</v>
      </c>
      <c r="BG417" s="8" t="str">
        <f>Roster!$D$4</f>
        <v>North</v>
      </c>
      <c r="BH417" s="197">
        <f ca="1">IFERROR(VLOOKUP(CONCATENATE(PlayerGameData[[#This Row],[Opponent]]," ",MONTH(PlayerGameData[[#This Row],[Date]]),"/",DAY(PlayerGameData[[#This Row],[Date]]),"/",YEAR(PlayerGameData[[#This Row],[Date]])),Table35[],2,FALSE),0)</f>
        <v>1</v>
      </c>
      <c r="BI417" s="197">
        <f ca="1">IF(PlayerGameData[[#This Row],[Visible]]=1,1,1000)</f>
        <v>1</v>
      </c>
      <c r="BJ417" s="197" t="e">
        <f ca="1">_xlfn.MAXIFS(TeamGameData[Win],TeamGameData[School, Opponent,Game'#],PlayerGameData[[#This Row],[School, Opponent,Game'#]])</f>
        <v>#NAME?</v>
      </c>
      <c r="BK417" s="197" t="e">
        <f ca="1">_xlfn.MAXIFS(TeamGameData[Loss],TeamGameData[School, Opponent,Game'#],PlayerGameData[[#This Row],[School, Opponent,Game'#]])</f>
        <v>#NAME?</v>
      </c>
    </row>
    <row r="418" spans="1:63" x14ac:dyDescent="0.25">
      <c r="A418" s="8" t="str">
        <f t="shared" ca="1" si="213"/>
        <v>Rhett Watt, 10</v>
      </c>
      <c r="B418" s="8" t="str">
        <f>Roster!$B$1</f>
        <v>Upton</v>
      </c>
      <c r="C418" s="8" t="str">
        <f t="shared" ca="1" si="201"/>
        <v>Arvada Clearmont</v>
      </c>
      <c r="D418" s="10">
        <f t="shared" ca="1" si="202"/>
        <v>44968</v>
      </c>
      <c r="E418" s="8">
        <f t="shared" ca="1" si="203"/>
        <v>1</v>
      </c>
      <c r="F418" s="8">
        <f t="shared" ca="1" si="204"/>
        <v>1</v>
      </c>
      <c r="G418" s="8">
        <f t="shared" ca="1" si="205"/>
        <v>14</v>
      </c>
      <c r="H418" s="8">
        <f t="shared" ca="1" si="206"/>
        <v>1</v>
      </c>
      <c r="I418" s="8">
        <f t="shared" ca="1" si="207"/>
        <v>3</v>
      </c>
      <c r="J418" s="8">
        <f t="shared" ca="1" si="208"/>
        <v>3</v>
      </c>
      <c r="K418" s="8">
        <f t="shared" ca="1" si="209"/>
        <v>6</v>
      </c>
      <c r="L418" s="8">
        <f t="shared" ca="1" si="214"/>
        <v>0</v>
      </c>
      <c r="M418" s="8">
        <f t="shared" ca="1" si="215"/>
        <v>0</v>
      </c>
      <c r="N418" s="8">
        <f t="shared" ca="1" si="216"/>
        <v>3</v>
      </c>
      <c r="O418" s="8">
        <f t="shared" ca="1" si="217"/>
        <v>1</v>
      </c>
      <c r="P418" s="8">
        <f t="shared" ca="1" si="218"/>
        <v>1</v>
      </c>
      <c r="Q418" s="8">
        <f t="shared" ca="1" si="219"/>
        <v>3</v>
      </c>
      <c r="R418" s="8">
        <f t="shared" ca="1" si="220"/>
        <v>0</v>
      </c>
      <c r="S418" s="8">
        <f t="shared" ca="1" si="221"/>
        <v>0</v>
      </c>
      <c r="T418" s="8">
        <f t="shared" ca="1" si="222"/>
        <v>1</v>
      </c>
      <c r="U418" s="8">
        <f t="shared" ca="1" si="223"/>
        <v>0</v>
      </c>
      <c r="V418" s="8">
        <f t="shared" ca="1" si="224"/>
        <v>9</v>
      </c>
      <c r="W418" s="11">
        <f t="shared" ca="1" si="225"/>
        <v>0.33333333333333331</v>
      </c>
      <c r="X418" s="11">
        <f t="shared" ca="1" si="226"/>
        <v>0.5</v>
      </c>
      <c r="Y418" s="11" t="str">
        <f t="shared" ca="1" si="227"/>
        <v/>
      </c>
      <c r="Z418" s="11">
        <f t="shared" ca="1" si="228"/>
        <v>0.44444444444444442</v>
      </c>
      <c r="AA418" s="11">
        <f t="shared" ca="1" si="229"/>
        <v>0.5</v>
      </c>
      <c r="AB418" s="47">
        <f ca="1">PlayerGameData[[#This Row],[3FGA]]+PlayerGameData[[#This Row],[2FGA]]</f>
        <v>9</v>
      </c>
      <c r="AC418" s="47">
        <f ca="1">PlayerGameData[[#This Row],[OFF REB]]+PlayerGameData[[#This Row],[DEF REB]]</f>
        <v>4</v>
      </c>
      <c r="AD418" s="8">
        <f t="shared" si="210"/>
        <v>18</v>
      </c>
      <c r="AE418" s="8" t="str">
        <f t="shared" ca="1" si="211"/>
        <v>Rhett Watt, 10 - Arvada Clearmont 2/11/2023</v>
      </c>
      <c r="AF418" s="8" t="str">
        <f t="shared" ca="1" si="230"/>
        <v>R</v>
      </c>
      <c r="AG418" s="8" t="str">
        <f ca="1">IFERROR(IF(C418=0,"",IF(AND(VLOOKUP(PlayerGameData[[#This Row],[Opponent]],WYTeamInfo,2,FALSE)=Roster!$D$1,VLOOKUP(PlayerGameData[[#This Row],[Opponent]],WYTeamInfo,3,FALSE)=Roster!$D$2),"SR","")),"")</f>
        <v>SR</v>
      </c>
      <c r="AH418" s="8" t="str">
        <f>CONCATENATE(Roster!$D$1," ",Roster!$D$5)</f>
        <v>1A BB</v>
      </c>
      <c r="AI418" s="8" t="str">
        <f t="shared" ca="1" si="212"/>
        <v>Upton - Arvada Clearmont 2/11/2023</v>
      </c>
      <c r="AJ418" s="8">
        <f ca="1">IFERROR(VLOOKUP(PlayerGameData[[#This Row],[School, Opponent,Game'#]],Table3[],2,FALSE),0)</f>
        <v>1</v>
      </c>
      <c r="AK418" s="8">
        <f ca="1">IF(PlayerGameData[[#This Row],[Visible]]=1,1,1000)</f>
        <v>1</v>
      </c>
      <c r="AL418" s="8">
        <f ca="1">RANK(PlayerGameData[[#This Row],[TL PTS]],PlayerGameData[TL PTS],0)+PlayerGameData[[#This Row],[VisibleOrder]]</f>
        <v>75</v>
      </c>
      <c r="AM418" s="8">
        <f ca="1">IF(COUNTIF(PlayerGameData[PointOrder],PlayerGameData[[#This Row],[PointOrder]])&gt;1,RANK(PlayerGameData[[#This Row],[FGA]],PlayerGameData[FGA],0)/100,0)+PlayerGameData[[#This Row],[PointOrder]]</f>
        <v>75.59</v>
      </c>
      <c r="AN418" s="8">
        <f ca="1">RANK(PlayerGameData[[#This Row],[PointTieBreak]],PlayerGameData[PointTieBreak],1)</f>
        <v>77</v>
      </c>
      <c r="AO418" s="8">
        <f ca="1">RANK(PlayerGameData[[#This Row],[REB]],PlayerGameData[REB],0)+PlayerGameData[[#This Row],[VisibleOrder]]</f>
        <v>79</v>
      </c>
      <c r="AP418" s="8">
        <f ca="1">IF(COUNTIF(PlayerGameData[REBOrder],PlayerGameData[[#This Row],[REBOrder]])&gt;1,PlayerGameData[[#This Row],[PointRank]]/100+PlayerGameData[[#This Row],[REBOrder]],PlayerGameData[[#This Row],[REBOrder]])</f>
        <v>79.77</v>
      </c>
      <c r="AQ418" s="8">
        <f ca="1">RANK(PlayerGameData[[#This Row],[REBTieBreak]],PlayerGameData[REBTieBreak],1)</f>
        <v>92</v>
      </c>
      <c r="AR418" s="8">
        <f ca="1">RANK(PlayerGameData[[#This Row],[AST]],PlayerGameData[AST],0)+PlayerGameData[[#This Row],[VisibleOrder]]</f>
        <v>115</v>
      </c>
      <c r="AS418" s="8">
        <f ca="1">IF(COUNTIF(PlayerGameData[ASTOrder],PlayerGameData[[#This Row],[ASTOrder]])&gt;1,PlayerGameData[[#This Row],[PointRank]]/100+PlayerGameData[[#This Row],[ASTOrder]],PlayerGameData[[#This Row],[ASTOrder]])</f>
        <v>115.77</v>
      </c>
      <c r="AT418" s="8">
        <f ca="1">RANK(PlayerGameData[[#This Row],[ASTTieBreak]],PlayerGameData[ASTTieBreak],1)</f>
        <v>125</v>
      </c>
      <c r="AU418" s="8">
        <f ca="1">RANK(PlayerGameData[[#This Row],[STL]],PlayerGameData[STL],0)+PlayerGameData[[#This Row],[VisibleOrder]]</f>
        <v>26</v>
      </c>
      <c r="AV418" s="8">
        <f ca="1">IF(COUNTIF(PlayerGameData[STLOrder],PlayerGameData[[#This Row],[STLOrder]])&gt;1,PlayerGameData[[#This Row],[PointRank]]/100+PlayerGameData[[#This Row],[STLOrder]],PlayerGameData[[#This Row],[STLOrder]])</f>
        <v>26.77</v>
      </c>
      <c r="AW418" s="8">
        <f ca="1">RANK(PlayerGameData[[#This Row],[STLTieBreak]],PlayerGameData[STLTieBreak],1)</f>
        <v>38</v>
      </c>
      <c r="AX418" s="8">
        <f ca="1">RANK(PlayerGameData[[#This Row],[BLK]],PlayerGameData[BLK],0)+PlayerGameData[[#This Row],[VisibleOrder]]</f>
        <v>32</v>
      </c>
      <c r="AY418" s="8">
        <f ca="1">IF(COUNTIF(PlayerGameData[BLKOrder],PlayerGameData[[#This Row],[BLKOrder]])&gt;1,PlayerGameData[[#This Row],[PointRank]]/100+PlayerGameData[[#This Row],[BLKOrder]],PlayerGameData[[#This Row],[BLKOrder]])</f>
        <v>32.770000000000003</v>
      </c>
      <c r="AZ418" s="8">
        <f ca="1">RANK(PlayerGameData[[#This Row],[BLKTieBreak]],PlayerGameData[BLKTieBreak],1)</f>
        <v>92</v>
      </c>
      <c r="BA418" s="11">
        <f ca="1">IFERROR(IF(PlayerGameData[[#This Row],[FGA]]&gt;$AA$5,PlayerGameData[[#This Row],[FG%*]],PlayerGameData[[#This Row],[FG%*]]*-1),-2)</f>
        <v>0.44444444444444442</v>
      </c>
      <c r="BB418" s="8">
        <f ca="1">RANK(PlayerGameData[[#This Row],[EligFG]],PlayerGameData[EligFG],0)+PlayerGameData[[#This Row],[VisibleOrder]]</f>
        <v>56</v>
      </c>
      <c r="BC418" s="8">
        <f ca="1">IF(COUNTIF(PlayerGameData[EligFGOrder],PlayerGameData[[#This Row],[EligFGOrder]])&gt;1,PlayerGameData[[#This Row],[PointRank]]/100+PlayerGameData[[#This Row],[EligFGOrder]],PlayerGameData[[#This Row],[EligFGOrder]])</f>
        <v>56.77</v>
      </c>
      <c r="BD418" s="8">
        <f ca="1">RANK(PlayerGameData[[#This Row],[EligFGTieBreak]],PlayerGameData[EligFGTieBreak],1)</f>
        <v>59</v>
      </c>
      <c r="BE418" s="8" t="str">
        <f>Roster!$D$3</f>
        <v>East</v>
      </c>
      <c r="BF418" s="8" t="str">
        <f>Roster!$D$2</f>
        <v>Northeast</v>
      </c>
      <c r="BG418" s="8" t="str">
        <f>Roster!$D$4</f>
        <v>North</v>
      </c>
      <c r="BH418" s="197">
        <f ca="1">IFERROR(VLOOKUP(CONCATENATE(PlayerGameData[[#This Row],[Opponent]]," ",MONTH(PlayerGameData[[#This Row],[Date]]),"/",DAY(PlayerGameData[[#This Row],[Date]]),"/",YEAR(PlayerGameData[[#This Row],[Date]])),Table35[],2,FALSE),0)</f>
        <v>1</v>
      </c>
      <c r="BI418" s="197">
        <f ca="1">IF(PlayerGameData[[#This Row],[Visible]]=1,1,1000)</f>
        <v>1</v>
      </c>
      <c r="BJ418" s="197" t="e">
        <f ca="1">_xlfn.MAXIFS(TeamGameData[Win],TeamGameData[School, Opponent,Game'#],PlayerGameData[[#This Row],[School, Opponent,Game'#]])</f>
        <v>#NAME?</v>
      </c>
      <c r="BK418" s="197" t="e">
        <f ca="1">_xlfn.MAXIFS(TeamGameData[Loss],TeamGameData[School, Opponent,Game'#],PlayerGameData[[#This Row],[School, Opponent,Game'#]])</f>
        <v>#NAME?</v>
      </c>
    </row>
    <row r="419" spans="1:63" x14ac:dyDescent="0.25">
      <c r="A419" s="8" t="str">
        <f t="shared" ca="1" si="213"/>
        <v>Keith Coburn, 11</v>
      </c>
      <c r="B419" s="8" t="str">
        <f>Roster!$B$1</f>
        <v>Upton</v>
      </c>
      <c r="C419" s="8" t="str">
        <f t="shared" ca="1" si="201"/>
        <v>Arvada Clearmont</v>
      </c>
      <c r="D419" s="10">
        <f t="shared" ca="1" si="202"/>
        <v>44968</v>
      </c>
      <c r="E419" s="8">
        <f t="shared" ca="1" si="203"/>
        <v>1</v>
      </c>
      <c r="F419" s="8">
        <f t="shared" ca="1" si="204"/>
        <v>0</v>
      </c>
      <c r="G419" s="8">
        <f t="shared" ca="1" si="205"/>
        <v>7</v>
      </c>
      <c r="H419" s="8">
        <f t="shared" ca="1" si="206"/>
        <v>0</v>
      </c>
      <c r="I419" s="8">
        <f t="shared" ca="1" si="207"/>
        <v>1</v>
      </c>
      <c r="J419" s="8">
        <f t="shared" ca="1" si="208"/>
        <v>0</v>
      </c>
      <c r="K419" s="8">
        <f t="shared" ca="1" si="209"/>
        <v>0</v>
      </c>
      <c r="L419" s="8">
        <f t="shared" ca="1" si="214"/>
        <v>0</v>
      </c>
      <c r="M419" s="8">
        <f t="shared" ca="1" si="215"/>
        <v>0</v>
      </c>
      <c r="N419" s="8">
        <f t="shared" ca="1" si="216"/>
        <v>0</v>
      </c>
      <c r="O419" s="8">
        <f t="shared" ca="1" si="217"/>
        <v>3</v>
      </c>
      <c r="P419" s="8">
        <f t="shared" ca="1" si="218"/>
        <v>0</v>
      </c>
      <c r="Q419" s="8">
        <f t="shared" ca="1" si="219"/>
        <v>0</v>
      </c>
      <c r="R419" s="8">
        <f t="shared" ca="1" si="220"/>
        <v>0</v>
      </c>
      <c r="S419" s="8">
        <f t="shared" ca="1" si="221"/>
        <v>3</v>
      </c>
      <c r="T419" s="8">
        <f t="shared" ca="1" si="222"/>
        <v>0</v>
      </c>
      <c r="U419" s="8">
        <f t="shared" ca="1" si="223"/>
        <v>0</v>
      </c>
      <c r="V419" s="8">
        <f t="shared" ca="1" si="224"/>
        <v>0</v>
      </c>
      <c r="W419" s="11">
        <f t="shared" ca="1" si="225"/>
        <v>0</v>
      </c>
      <c r="X419" s="11" t="str">
        <f t="shared" ca="1" si="226"/>
        <v/>
      </c>
      <c r="Y419" s="11" t="str">
        <f t="shared" ca="1" si="227"/>
        <v/>
      </c>
      <c r="Z419" s="11">
        <f t="shared" ca="1" si="228"/>
        <v>0</v>
      </c>
      <c r="AA419" s="11">
        <f t="shared" ca="1" si="229"/>
        <v>0</v>
      </c>
      <c r="AB419" s="47">
        <f ca="1">PlayerGameData[[#This Row],[3FGA]]+PlayerGameData[[#This Row],[2FGA]]</f>
        <v>1</v>
      </c>
      <c r="AC419" s="47">
        <f ca="1">PlayerGameData[[#This Row],[OFF REB]]+PlayerGameData[[#This Row],[DEF REB]]</f>
        <v>3</v>
      </c>
      <c r="AD419" s="8">
        <f t="shared" si="210"/>
        <v>18</v>
      </c>
      <c r="AE419" s="8" t="str">
        <f t="shared" ca="1" si="211"/>
        <v>Keith Coburn, 11 - Arvada Clearmont 2/11/2023</v>
      </c>
      <c r="AF419" s="8" t="str">
        <f t="shared" ca="1" si="230"/>
        <v>R</v>
      </c>
      <c r="AG419" s="8" t="str">
        <f ca="1">IFERROR(IF(C419=0,"",IF(AND(VLOOKUP(PlayerGameData[[#This Row],[Opponent]],WYTeamInfo,2,FALSE)=Roster!$D$1,VLOOKUP(PlayerGameData[[#This Row],[Opponent]],WYTeamInfo,3,FALSE)=Roster!$D$2),"SR","")),"")</f>
        <v>SR</v>
      </c>
      <c r="AH419" s="8" t="str">
        <f>CONCATENATE(Roster!$D$1," ",Roster!$D$5)</f>
        <v>1A BB</v>
      </c>
      <c r="AI419" s="8" t="str">
        <f t="shared" ca="1" si="212"/>
        <v>Upton - Arvada Clearmont 2/11/2023</v>
      </c>
      <c r="AJ419" s="8">
        <f ca="1">IFERROR(VLOOKUP(PlayerGameData[[#This Row],[School, Opponent,Game'#]],Table3[],2,FALSE),0)</f>
        <v>1</v>
      </c>
      <c r="AK419" s="8">
        <f ca="1">IF(PlayerGameData[[#This Row],[Visible]]=1,1,1000)</f>
        <v>1</v>
      </c>
      <c r="AL419" s="8">
        <f ca="1">RANK(PlayerGameData[[#This Row],[TL PTS]],PlayerGameData[TL PTS],0)+PlayerGameData[[#This Row],[VisibleOrder]]</f>
        <v>185</v>
      </c>
      <c r="AM419" s="8">
        <f ca="1">IF(COUNTIF(PlayerGameData[PointOrder],PlayerGameData[[#This Row],[PointOrder]])&gt;1,RANK(PlayerGameData[[#This Row],[FGA]],PlayerGameData[FGA],0)/100,0)+PlayerGameData[[#This Row],[PointOrder]]</f>
        <v>186.82</v>
      </c>
      <c r="AN419" s="8">
        <f ca="1">RANK(PlayerGameData[[#This Row],[PointTieBreak]],PlayerGameData[PointTieBreak],1)</f>
        <v>196</v>
      </c>
      <c r="AO419" s="8">
        <f ca="1">RANK(PlayerGameData[[#This Row],[REB]],PlayerGameData[REB],0)+PlayerGameData[[#This Row],[VisibleOrder]]</f>
        <v>108</v>
      </c>
      <c r="AP419" s="8">
        <f ca="1">IF(COUNTIF(PlayerGameData[REBOrder],PlayerGameData[[#This Row],[REBOrder]])&gt;1,PlayerGameData[[#This Row],[PointRank]]/100+PlayerGameData[[#This Row],[REBOrder]],PlayerGameData[[#This Row],[REBOrder]])</f>
        <v>109.96</v>
      </c>
      <c r="AQ419" s="8">
        <f ca="1">RANK(PlayerGameData[[#This Row],[REBTieBreak]],PlayerGameData[REBTieBreak],1)</f>
        <v>135</v>
      </c>
      <c r="AR419" s="8">
        <f ca="1">RANK(PlayerGameData[[#This Row],[AST]],PlayerGameData[AST],0)+PlayerGameData[[#This Row],[VisibleOrder]]</f>
        <v>158</v>
      </c>
      <c r="AS419" s="8">
        <f ca="1">IF(COUNTIF(PlayerGameData[ASTOrder],PlayerGameData[[#This Row],[ASTOrder]])&gt;1,PlayerGameData[[#This Row],[PointRank]]/100+PlayerGameData[[#This Row],[ASTOrder]],PlayerGameData[[#This Row],[ASTOrder]])</f>
        <v>159.96</v>
      </c>
      <c r="AT419" s="8">
        <f ca="1">RANK(PlayerGameData[[#This Row],[ASTTieBreak]],PlayerGameData[ASTTieBreak],1)</f>
        <v>208</v>
      </c>
      <c r="AU419" s="8">
        <f ca="1">RANK(PlayerGameData[[#This Row],[STL]],PlayerGameData[STL],0)+PlayerGameData[[#This Row],[VisibleOrder]]</f>
        <v>143</v>
      </c>
      <c r="AV419" s="8">
        <f ca="1">IF(COUNTIF(PlayerGameData[STLOrder],PlayerGameData[[#This Row],[STLOrder]])&gt;1,PlayerGameData[[#This Row],[PointRank]]/100+PlayerGameData[[#This Row],[STLOrder]],PlayerGameData[[#This Row],[STLOrder]])</f>
        <v>144.96</v>
      </c>
      <c r="AW419" s="8">
        <f ca="1">RANK(PlayerGameData[[#This Row],[STLTieBreak]],PlayerGameData[STLTieBreak],1)</f>
        <v>200</v>
      </c>
      <c r="AX419" s="8">
        <f ca="1">RANK(PlayerGameData[[#This Row],[BLK]],PlayerGameData[BLK],0)+PlayerGameData[[#This Row],[VisibleOrder]]</f>
        <v>32</v>
      </c>
      <c r="AY419" s="8">
        <f ca="1">IF(COUNTIF(PlayerGameData[BLKOrder],PlayerGameData[[#This Row],[BLKOrder]])&gt;1,PlayerGameData[[#This Row],[PointRank]]/100+PlayerGameData[[#This Row],[BLKOrder]],PlayerGameData[[#This Row],[BLKOrder]])</f>
        <v>33.96</v>
      </c>
      <c r="AZ419" s="8">
        <f ca="1">RANK(PlayerGameData[[#This Row],[BLKTieBreak]],PlayerGameData[BLKTieBreak],1)</f>
        <v>196</v>
      </c>
      <c r="BA419" s="11">
        <f ca="1">IFERROR(IF(PlayerGameData[[#This Row],[FGA]]&gt;$AA$5,PlayerGameData[[#This Row],[FG%*]],PlayerGameData[[#This Row],[FG%*]]*-1),-2)</f>
        <v>0</v>
      </c>
      <c r="BB419" s="8">
        <f ca="1">RANK(PlayerGameData[[#This Row],[EligFG]],PlayerGameData[EligFG],0)+PlayerGameData[[#This Row],[VisibleOrder]]</f>
        <v>117</v>
      </c>
      <c r="BC419" s="8">
        <f ca="1">IF(COUNTIF(PlayerGameData[EligFGOrder],PlayerGameData[[#This Row],[EligFGOrder]])&gt;1,PlayerGameData[[#This Row],[PointRank]]/100+PlayerGameData[[#This Row],[EligFGOrder]],PlayerGameData[[#This Row],[EligFGOrder]])</f>
        <v>118.96</v>
      </c>
      <c r="BD419" s="8">
        <f ca="1">RANK(PlayerGameData[[#This Row],[EligFGTieBreak]],PlayerGameData[EligFGTieBreak],1)</f>
        <v>138</v>
      </c>
      <c r="BE419" s="8" t="str">
        <f>Roster!$D$3</f>
        <v>East</v>
      </c>
      <c r="BF419" s="8" t="str">
        <f>Roster!$D$2</f>
        <v>Northeast</v>
      </c>
      <c r="BG419" s="8" t="str">
        <f>Roster!$D$4</f>
        <v>North</v>
      </c>
      <c r="BH419" s="197">
        <f ca="1">IFERROR(VLOOKUP(CONCATENATE(PlayerGameData[[#This Row],[Opponent]]," ",MONTH(PlayerGameData[[#This Row],[Date]]),"/",DAY(PlayerGameData[[#This Row],[Date]]),"/",YEAR(PlayerGameData[[#This Row],[Date]])),Table35[],2,FALSE),0)</f>
        <v>1</v>
      </c>
      <c r="BI419" s="197">
        <f ca="1">IF(PlayerGameData[[#This Row],[Visible]]=1,1,1000)</f>
        <v>1</v>
      </c>
      <c r="BJ419" s="197" t="e">
        <f ca="1">_xlfn.MAXIFS(TeamGameData[Win],TeamGameData[School, Opponent,Game'#],PlayerGameData[[#This Row],[School, Opponent,Game'#]])</f>
        <v>#NAME?</v>
      </c>
      <c r="BK419" s="197" t="e">
        <f ca="1">_xlfn.MAXIFS(TeamGameData[Loss],TeamGameData[School, Opponent,Game'#],PlayerGameData[[#This Row],[School, Opponent,Game'#]])</f>
        <v>#NAME?</v>
      </c>
    </row>
    <row r="420" spans="1:63" x14ac:dyDescent="0.25">
      <c r="A420" s="8" t="str">
        <f t="shared" ca="1" si="213"/>
        <v>Carson Barritt, 14</v>
      </c>
      <c r="B420" s="8" t="str">
        <f>Roster!$B$1</f>
        <v>Upton</v>
      </c>
      <c r="C420" s="8" t="str">
        <f t="shared" ca="1" si="201"/>
        <v>Arvada Clearmont</v>
      </c>
      <c r="D420" s="10">
        <f t="shared" ca="1" si="202"/>
        <v>44968</v>
      </c>
      <c r="E420" s="8">
        <f t="shared" ca="1" si="203"/>
        <v>1</v>
      </c>
      <c r="F420" s="8">
        <f t="shared" ca="1" si="204"/>
        <v>0</v>
      </c>
      <c r="G420" s="8">
        <f t="shared" ca="1" si="205"/>
        <v>4</v>
      </c>
      <c r="H420" s="8">
        <f t="shared" ca="1" si="206"/>
        <v>1</v>
      </c>
      <c r="I420" s="8">
        <f t="shared" ca="1" si="207"/>
        <v>1</v>
      </c>
      <c r="J420" s="8">
        <f t="shared" ca="1" si="208"/>
        <v>0</v>
      </c>
      <c r="K420" s="8">
        <f t="shared" ca="1" si="209"/>
        <v>0</v>
      </c>
      <c r="L420" s="8">
        <f t="shared" ca="1" si="214"/>
        <v>0</v>
      </c>
      <c r="M420" s="8">
        <f t="shared" ca="1" si="215"/>
        <v>0</v>
      </c>
      <c r="N420" s="8">
        <f t="shared" ca="1" si="216"/>
        <v>0</v>
      </c>
      <c r="O420" s="8">
        <f t="shared" ca="1" si="217"/>
        <v>0</v>
      </c>
      <c r="P420" s="8">
        <f t="shared" ca="1" si="218"/>
        <v>1</v>
      </c>
      <c r="Q420" s="8">
        <f t="shared" ca="1" si="219"/>
        <v>0</v>
      </c>
      <c r="R420" s="8">
        <f t="shared" ca="1" si="220"/>
        <v>0</v>
      </c>
      <c r="S420" s="8">
        <f t="shared" ca="1" si="221"/>
        <v>1</v>
      </c>
      <c r="T420" s="8">
        <f t="shared" ca="1" si="222"/>
        <v>1</v>
      </c>
      <c r="U420" s="8">
        <f t="shared" ca="1" si="223"/>
        <v>0</v>
      </c>
      <c r="V420" s="8">
        <f t="shared" ca="1" si="224"/>
        <v>3</v>
      </c>
      <c r="W420" s="11">
        <f t="shared" ca="1" si="225"/>
        <v>1</v>
      </c>
      <c r="X420" s="11" t="str">
        <f t="shared" ca="1" si="226"/>
        <v/>
      </c>
      <c r="Y420" s="11" t="str">
        <f t="shared" ca="1" si="227"/>
        <v/>
      </c>
      <c r="Z420" s="11">
        <f t="shared" ca="1" si="228"/>
        <v>1</v>
      </c>
      <c r="AA420" s="11">
        <f t="shared" ca="1" si="229"/>
        <v>1.5</v>
      </c>
      <c r="AB420" s="47">
        <f ca="1">PlayerGameData[[#This Row],[3FGA]]+PlayerGameData[[#This Row],[2FGA]]</f>
        <v>1</v>
      </c>
      <c r="AC420" s="47">
        <f ca="1">PlayerGameData[[#This Row],[OFF REB]]+PlayerGameData[[#This Row],[DEF REB]]</f>
        <v>0</v>
      </c>
      <c r="AD420" s="8">
        <f t="shared" si="210"/>
        <v>18</v>
      </c>
      <c r="AE420" s="8" t="str">
        <f t="shared" ca="1" si="211"/>
        <v>Carson Barritt, 14 - Arvada Clearmont 2/11/2023</v>
      </c>
      <c r="AF420" s="8" t="str">
        <f t="shared" ca="1" si="230"/>
        <v>R</v>
      </c>
      <c r="AG420" s="8" t="str">
        <f ca="1">IFERROR(IF(C420=0,"",IF(AND(VLOOKUP(PlayerGameData[[#This Row],[Opponent]],WYTeamInfo,2,FALSE)=Roster!$D$1,VLOOKUP(PlayerGameData[[#This Row],[Opponent]],WYTeamInfo,3,FALSE)=Roster!$D$2),"SR","")),"")</f>
        <v>SR</v>
      </c>
      <c r="AH420" s="8" t="str">
        <f>CONCATENATE(Roster!$D$1," ",Roster!$D$5)</f>
        <v>1A BB</v>
      </c>
      <c r="AI420" s="8" t="str">
        <f t="shared" ca="1" si="212"/>
        <v>Upton - Arvada Clearmont 2/11/2023</v>
      </c>
      <c r="AJ420" s="8">
        <f ca="1">IFERROR(VLOOKUP(PlayerGameData[[#This Row],[School, Opponent,Game'#]],Table3[],2,FALSE),0)</f>
        <v>1</v>
      </c>
      <c r="AK420" s="8">
        <f ca="1">IF(PlayerGameData[[#This Row],[Visible]]=1,1,1000)</f>
        <v>1</v>
      </c>
      <c r="AL420" s="8">
        <f ca="1">RANK(PlayerGameData[[#This Row],[TL PTS]],PlayerGameData[TL PTS],0)+PlayerGameData[[#This Row],[VisibleOrder]]</f>
        <v>135</v>
      </c>
      <c r="AM420" s="8">
        <f ca="1">IF(COUNTIF(PlayerGameData[PointOrder],PlayerGameData[[#This Row],[PointOrder]])&gt;1,RANK(PlayerGameData[[#This Row],[FGA]],PlayerGameData[FGA],0)/100,0)+PlayerGameData[[#This Row],[PointOrder]]</f>
        <v>136.82</v>
      </c>
      <c r="AN420" s="8">
        <f ca="1">RANK(PlayerGameData[[#This Row],[PointTieBreak]],PlayerGameData[PointTieBreak],1)</f>
        <v>145</v>
      </c>
      <c r="AO420" s="8">
        <f ca="1">RANK(PlayerGameData[[#This Row],[REB]],PlayerGameData[REB],0)+PlayerGameData[[#This Row],[VisibleOrder]]</f>
        <v>192</v>
      </c>
      <c r="AP420" s="8">
        <f ca="1">IF(COUNTIF(PlayerGameData[REBOrder],PlayerGameData[[#This Row],[REBOrder]])&gt;1,PlayerGameData[[#This Row],[PointRank]]/100+PlayerGameData[[#This Row],[REBOrder]],PlayerGameData[[#This Row],[REBOrder]])</f>
        <v>193.45</v>
      </c>
      <c r="AQ420" s="8">
        <f ca="1">RANK(PlayerGameData[[#This Row],[REBTieBreak]],PlayerGameData[REBTieBreak],1)</f>
        <v>199</v>
      </c>
      <c r="AR420" s="8">
        <f ca="1">RANK(PlayerGameData[[#This Row],[AST]],PlayerGameData[AST],0)+PlayerGameData[[#This Row],[VisibleOrder]]</f>
        <v>115</v>
      </c>
      <c r="AS420" s="8">
        <f ca="1">IF(COUNTIF(PlayerGameData[ASTOrder],PlayerGameData[[#This Row],[ASTOrder]])&gt;1,PlayerGameData[[#This Row],[PointRank]]/100+PlayerGameData[[#This Row],[ASTOrder]],PlayerGameData[[#This Row],[ASTOrder]])</f>
        <v>116.45</v>
      </c>
      <c r="AT420" s="8">
        <f ca="1">RANK(PlayerGameData[[#This Row],[ASTTieBreak]],PlayerGameData[ASTTieBreak],1)</f>
        <v>140</v>
      </c>
      <c r="AU420" s="8">
        <f ca="1">RANK(PlayerGameData[[#This Row],[STL]],PlayerGameData[STL],0)+PlayerGameData[[#This Row],[VisibleOrder]]</f>
        <v>143</v>
      </c>
      <c r="AV420" s="8">
        <f ca="1">IF(COUNTIF(PlayerGameData[STLOrder],PlayerGameData[[#This Row],[STLOrder]])&gt;1,PlayerGameData[[#This Row],[PointRank]]/100+PlayerGameData[[#This Row],[STLOrder]],PlayerGameData[[#This Row],[STLOrder]])</f>
        <v>144.44999999999999</v>
      </c>
      <c r="AW420" s="8">
        <f ca="1">RANK(PlayerGameData[[#This Row],[STLTieBreak]],PlayerGameData[STLTieBreak],1)</f>
        <v>172</v>
      </c>
      <c r="AX420" s="8">
        <f ca="1">RANK(PlayerGameData[[#This Row],[BLK]],PlayerGameData[BLK],0)+PlayerGameData[[#This Row],[VisibleOrder]]</f>
        <v>32</v>
      </c>
      <c r="AY420" s="8">
        <f ca="1">IF(COUNTIF(PlayerGameData[BLKOrder],PlayerGameData[[#This Row],[BLKOrder]])&gt;1,PlayerGameData[[#This Row],[PointRank]]/100+PlayerGameData[[#This Row],[BLKOrder]],PlayerGameData[[#This Row],[BLKOrder]])</f>
        <v>33.450000000000003</v>
      </c>
      <c r="AZ420" s="8">
        <f ca="1">RANK(PlayerGameData[[#This Row],[BLKTieBreak]],PlayerGameData[BLKTieBreak],1)</f>
        <v>149</v>
      </c>
      <c r="BA420" s="11">
        <f ca="1">IFERROR(IF(PlayerGameData[[#This Row],[FGA]]&gt;$AA$5,PlayerGameData[[#This Row],[FG%*]],PlayerGameData[[#This Row],[FG%*]]*-1),-2)</f>
        <v>-1</v>
      </c>
      <c r="BB420" s="8">
        <f ca="1">RANK(PlayerGameData[[#This Row],[EligFG]],PlayerGameData[EligFG],0)+PlayerGameData[[#This Row],[VisibleOrder]]</f>
        <v>203</v>
      </c>
      <c r="BC420" s="8">
        <f ca="1">IF(COUNTIF(PlayerGameData[EligFGOrder],PlayerGameData[[#This Row],[EligFGOrder]])&gt;1,PlayerGameData[[#This Row],[PointRank]]/100+PlayerGameData[[#This Row],[EligFGOrder]],PlayerGameData[[#This Row],[EligFGOrder]])</f>
        <v>204.45</v>
      </c>
      <c r="BD420" s="8">
        <f ca="1">RANK(PlayerGameData[[#This Row],[EligFGTieBreak]],PlayerGameData[EligFGTieBreak],1)</f>
        <v>206</v>
      </c>
      <c r="BE420" s="8" t="str">
        <f>Roster!$D$3</f>
        <v>East</v>
      </c>
      <c r="BF420" s="8" t="str">
        <f>Roster!$D$2</f>
        <v>Northeast</v>
      </c>
      <c r="BG420" s="8" t="str">
        <f>Roster!$D$4</f>
        <v>North</v>
      </c>
      <c r="BH420" s="197">
        <f ca="1">IFERROR(VLOOKUP(CONCATENATE(PlayerGameData[[#This Row],[Opponent]]," ",MONTH(PlayerGameData[[#This Row],[Date]]),"/",DAY(PlayerGameData[[#This Row],[Date]]),"/",YEAR(PlayerGameData[[#This Row],[Date]])),Table35[],2,FALSE),0)</f>
        <v>1</v>
      </c>
      <c r="BI420" s="197">
        <f ca="1">IF(PlayerGameData[[#This Row],[Visible]]=1,1,1000)</f>
        <v>1</v>
      </c>
      <c r="BJ420" s="197" t="e">
        <f ca="1">_xlfn.MAXIFS(TeamGameData[Win],TeamGameData[School, Opponent,Game'#],PlayerGameData[[#This Row],[School, Opponent,Game'#]])</f>
        <v>#NAME?</v>
      </c>
      <c r="BK420" s="197" t="e">
        <f ca="1">_xlfn.MAXIFS(TeamGameData[Loss],TeamGameData[School, Opponent,Game'#],PlayerGameData[[#This Row],[School, Opponent,Game'#]])</f>
        <v>#NAME?</v>
      </c>
    </row>
    <row r="421" spans="1:63" x14ac:dyDescent="0.25">
      <c r="A421" s="8" t="str">
        <f t="shared" ca="1" si="213"/>
        <v>Ben Carpenter, 21</v>
      </c>
      <c r="B421" s="8" t="str">
        <f>Roster!$B$1</f>
        <v>Upton</v>
      </c>
      <c r="C421" s="8" t="str">
        <f t="shared" ca="1" si="201"/>
        <v>Arvada Clearmont</v>
      </c>
      <c r="D421" s="10">
        <f t="shared" ca="1" si="202"/>
        <v>44968</v>
      </c>
      <c r="E421" s="8">
        <f t="shared" ca="1" si="203"/>
        <v>1</v>
      </c>
      <c r="F421" s="8">
        <f t="shared" ca="1" si="204"/>
        <v>0</v>
      </c>
      <c r="G421" s="8">
        <f t="shared" ca="1" si="205"/>
        <v>4</v>
      </c>
      <c r="H421" s="8">
        <f t="shared" ca="1" si="206"/>
        <v>0</v>
      </c>
      <c r="I421" s="8">
        <f t="shared" ca="1" si="207"/>
        <v>0</v>
      </c>
      <c r="J421" s="8">
        <f t="shared" ca="1" si="208"/>
        <v>0</v>
      </c>
      <c r="K421" s="8">
        <f t="shared" ca="1" si="209"/>
        <v>0</v>
      </c>
      <c r="L421" s="8">
        <f t="shared" ca="1" si="214"/>
        <v>0</v>
      </c>
      <c r="M421" s="8">
        <f t="shared" ca="1" si="215"/>
        <v>0</v>
      </c>
      <c r="N421" s="8">
        <f t="shared" ca="1" si="216"/>
        <v>0</v>
      </c>
      <c r="O421" s="8">
        <f t="shared" ca="1" si="217"/>
        <v>0</v>
      </c>
      <c r="P421" s="8">
        <f t="shared" ca="1" si="218"/>
        <v>0</v>
      </c>
      <c r="Q421" s="8">
        <f t="shared" ca="1" si="219"/>
        <v>0</v>
      </c>
      <c r="R421" s="8">
        <f t="shared" ca="1" si="220"/>
        <v>0</v>
      </c>
      <c r="S421" s="8">
        <f t="shared" ca="1" si="221"/>
        <v>0</v>
      </c>
      <c r="T421" s="8">
        <f t="shared" ca="1" si="222"/>
        <v>1</v>
      </c>
      <c r="U421" s="8">
        <f t="shared" ca="1" si="223"/>
        <v>0</v>
      </c>
      <c r="V421" s="8">
        <f t="shared" ca="1" si="224"/>
        <v>0</v>
      </c>
      <c r="W421" s="11" t="str">
        <f t="shared" ca="1" si="225"/>
        <v/>
      </c>
      <c r="X421" s="11" t="str">
        <f t="shared" ca="1" si="226"/>
        <v/>
      </c>
      <c r="Y421" s="11" t="str">
        <f t="shared" ca="1" si="227"/>
        <v/>
      </c>
      <c r="Z421" s="11" t="str">
        <f t="shared" ca="1" si="228"/>
        <v/>
      </c>
      <c r="AA421" s="11" t="str">
        <f t="shared" ca="1" si="229"/>
        <v/>
      </c>
      <c r="AB421" s="47">
        <f ca="1">PlayerGameData[[#This Row],[3FGA]]+PlayerGameData[[#This Row],[2FGA]]</f>
        <v>0</v>
      </c>
      <c r="AC421" s="47">
        <f ca="1">PlayerGameData[[#This Row],[OFF REB]]+PlayerGameData[[#This Row],[DEF REB]]</f>
        <v>0</v>
      </c>
      <c r="AD421" s="8">
        <f t="shared" si="210"/>
        <v>18</v>
      </c>
      <c r="AE421" s="8" t="str">
        <f t="shared" ca="1" si="211"/>
        <v>Ben Carpenter, 21 - Arvada Clearmont 2/11/2023</v>
      </c>
      <c r="AF421" s="8" t="str">
        <f t="shared" ca="1" si="230"/>
        <v>R</v>
      </c>
      <c r="AG421" s="8" t="str">
        <f ca="1">IFERROR(IF(C421=0,"",IF(AND(VLOOKUP(PlayerGameData[[#This Row],[Opponent]],WYTeamInfo,2,FALSE)=Roster!$D$1,VLOOKUP(PlayerGameData[[#This Row],[Opponent]],WYTeamInfo,3,FALSE)=Roster!$D$2),"SR","")),"")</f>
        <v>SR</v>
      </c>
      <c r="AH421" s="8" t="str">
        <f>CONCATENATE(Roster!$D$1," ",Roster!$D$5)</f>
        <v>1A BB</v>
      </c>
      <c r="AI421" s="8" t="str">
        <f t="shared" ca="1" si="212"/>
        <v>Upton - Arvada Clearmont 2/11/2023</v>
      </c>
      <c r="AJ421" s="8">
        <f ca="1">IFERROR(VLOOKUP(PlayerGameData[[#This Row],[School, Opponent,Game'#]],Table3[],2,FALSE),0)</f>
        <v>1</v>
      </c>
      <c r="AK421" s="8">
        <f ca="1">IF(PlayerGameData[[#This Row],[Visible]]=1,1,1000)</f>
        <v>1</v>
      </c>
      <c r="AL421" s="8">
        <f ca="1">RANK(PlayerGameData[[#This Row],[TL PTS]],PlayerGameData[TL PTS],0)+PlayerGameData[[#This Row],[VisibleOrder]]</f>
        <v>185</v>
      </c>
      <c r="AM421" s="8">
        <f ca="1">IF(COUNTIF(PlayerGameData[PointOrder],PlayerGameData[[#This Row],[PointOrder]])&gt;1,RANK(PlayerGameData[[#This Row],[FGA]],PlayerGameData[FGA],0)/100,0)+PlayerGameData[[#This Row],[PointOrder]]</f>
        <v>187.14</v>
      </c>
      <c r="AN421" s="8">
        <f ca="1">RANK(PlayerGameData[[#This Row],[PointTieBreak]],PlayerGameData[PointTieBreak],1)</f>
        <v>216</v>
      </c>
      <c r="AO421" s="8">
        <f ca="1">RANK(PlayerGameData[[#This Row],[REB]],PlayerGameData[REB],0)+PlayerGameData[[#This Row],[VisibleOrder]]</f>
        <v>192</v>
      </c>
      <c r="AP421" s="8">
        <f ca="1">IF(COUNTIF(PlayerGameData[REBOrder],PlayerGameData[[#This Row],[REBOrder]])&gt;1,PlayerGameData[[#This Row],[PointRank]]/100+PlayerGameData[[#This Row],[REBOrder]],PlayerGameData[[#This Row],[REBOrder]])</f>
        <v>194.16</v>
      </c>
      <c r="AQ421" s="8">
        <f ca="1">RANK(PlayerGameData[[#This Row],[REBTieBreak]],PlayerGameData[REBTieBreak],1)</f>
        <v>224</v>
      </c>
      <c r="AR421" s="8">
        <f ca="1">RANK(PlayerGameData[[#This Row],[AST]],PlayerGameData[AST],0)+PlayerGameData[[#This Row],[VisibleOrder]]</f>
        <v>158</v>
      </c>
      <c r="AS421" s="8">
        <f ca="1">IF(COUNTIF(PlayerGameData[ASTOrder],PlayerGameData[[#This Row],[ASTOrder]])&gt;1,PlayerGameData[[#This Row],[PointRank]]/100+PlayerGameData[[#This Row],[ASTOrder]],PlayerGameData[[#This Row],[ASTOrder]])</f>
        <v>160.16</v>
      </c>
      <c r="AT421" s="8">
        <f ca="1">RANK(PlayerGameData[[#This Row],[ASTTieBreak]],PlayerGameData[ASTTieBreak],1)</f>
        <v>221</v>
      </c>
      <c r="AU421" s="8">
        <f ca="1">RANK(PlayerGameData[[#This Row],[STL]],PlayerGameData[STL],0)+PlayerGameData[[#This Row],[VisibleOrder]]</f>
        <v>143</v>
      </c>
      <c r="AV421" s="8">
        <f ca="1">IF(COUNTIF(PlayerGameData[STLOrder],PlayerGameData[[#This Row],[STLOrder]])&gt;1,PlayerGameData[[#This Row],[PointRank]]/100+PlayerGameData[[#This Row],[STLOrder]],PlayerGameData[[#This Row],[STLOrder]])</f>
        <v>145.16</v>
      </c>
      <c r="AW421" s="8">
        <f ca="1">RANK(PlayerGameData[[#This Row],[STLTieBreak]],PlayerGameData[STLTieBreak],1)</f>
        <v>217</v>
      </c>
      <c r="AX421" s="8">
        <f ca="1">RANK(PlayerGameData[[#This Row],[BLK]],PlayerGameData[BLK],0)+PlayerGameData[[#This Row],[VisibleOrder]]</f>
        <v>32</v>
      </c>
      <c r="AY421" s="8">
        <f ca="1">IF(COUNTIF(PlayerGameData[BLKOrder],PlayerGameData[[#This Row],[BLKOrder]])&gt;1,PlayerGameData[[#This Row],[PointRank]]/100+PlayerGameData[[#This Row],[BLKOrder]],PlayerGameData[[#This Row],[BLKOrder]])</f>
        <v>34.159999999999997</v>
      </c>
      <c r="AZ421" s="8">
        <f ca="1">RANK(PlayerGameData[[#This Row],[BLKTieBreak]],PlayerGameData[BLKTieBreak],1)</f>
        <v>216</v>
      </c>
      <c r="BA421" s="11">
        <f ca="1">IFERROR(IF(PlayerGameData[[#This Row],[FGA]]&gt;$AA$5,PlayerGameData[[#This Row],[FG%*]],PlayerGameData[[#This Row],[FG%*]]*-1),-2)</f>
        <v>-2</v>
      </c>
      <c r="BB421" s="8">
        <f ca="1">RANK(PlayerGameData[[#This Row],[EligFG]],PlayerGameData[EligFG],0)+PlayerGameData[[#This Row],[VisibleOrder]]</f>
        <v>215</v>
      </c>
      <c r="BC421" s="8">
        <f ca="1">IF(COUNTIF(PlayerGameData[EligFGOrder],PlayerGameData[[#This Row],[EligFGOrder]])&gt;1,PlayerGameData[[#This Row],[PointRank]]/100+PlayerGameData[[#This Row],[EligFGOrder]],PlayerGameData[[#This Row],[EligFGOrder]])</f>
        <v>217.16</v>
      </c>
      <c r="BD421" s="8">
        <f ca="1">RANK(PlayerGameData[[#This Row],[EligFGTieBreak]],PlayerGameData[EligFGTieBreak],1)</f>
        <v>216</v>
      </c>
      <c r="BE421" s="8" t="str">
        <f>Roster!$D$3</f>
        <v>East</v>
      </c>
      <c r="BF421" s="8" t="str">
        <f>Roster!$D$2</f>
        <v>Northeast</v>
      </c>
      <c r="BG421" s="8" t="str">
        <f>Roster!$D$4</f>
        <v>North</v>
      </c>
      <c r="BH421" s="197">
        <f ca="1">IFERROR(VLOOKUP(CONCATENATE(PlayerGameData[[#This Row],[Opponent]]," ",MONTH(PlayerGameData[[#This Row],[Date]]),"/",DAY(PlayerGameData[[#This Row],[Date]]),"/",YEAR(PlayerGameData[[#This Row],[Date]])),Table35[],2,FALSE),0)</f>
        <v>1</v>
      </c>
      <c r="BI421" s="197">
        <f ca="1">IF(PlayerGameData[[#This Row],[Visible]]=1,1,1000)</f>
        <v>1</v>
      </c>
      <c r="BJ421" s="197" t="e">
        <f ca="1">_xlfn.MAXIFS(TeamGameData[Win],TeamGameData[School, Opponent,Game'#],PlayerGameData[[#This Row],[School, Opponent,Game'#]])</f>
        <v>#NAME?</v>
      </c>
      <c r="BK421" s="197" t="e">
        <f ca="1">_xlfn.MAXIFS(TeamGameData[Loss],TeamGameData[School, Opponent,Game'#],PlayerGameData[[#This Row],[School, Opponent,Game'#]])</f>
        <v>#NAME?</v>
      </c>
    </row>
    <row r="422" spans="1:63" x14ac:dyDescent="0.25">
      <c r="A422" s="8" t="str">
        <f t="shared" ca="1" si="213"/>
        <v>Ethan Schiller, 23</v>
      </c>
      <c r="B422" s="8" t="str">
        <f>Roster!$B$1</f>
        <v>Upton</v>
      </c>
      <c r="C422" s="8" t="str">
        <f t="shared" ca="1" si="201"/>
        <v>Arvada Clearmont</v>
      </c>
      <c r="D422" s="10">
        <f t="shared" ca="1" si="202"/>
        <v>44968</v>
      </c>
      <c r="E422" s="8">
        <f t="shared" ca="1" si="203"/>
        <v>1</v>
      </c>
      <c r="F422" s="8">
        <f t="shared" ca="1" si="204"/>
        <v>1</v>
      </c>
      <c r="G422" s="8">
        <f t="shared" ca="1" si="205"/>
        <v>12</v>
      </c>
      <c r="H422" s="8">
        <f t="shared" ca="1" si="206"/>
        <v>0</v>
      </c>
      <c r="I422" s="8">
        <f t="shared" ca="1" si="207"/>
        <v>0</v>
      </c>
      <c r="J422" s="8">
        <f t="shared" ca="1" si="208"/>
        <v>2</v>
      </c>
      <c r="K422" s="8">
        <f t="shared" ca="1" si="209"/>
        <v>4</v>
      </c>
      <c r="L422" s="8">
        <f t="shared" ca="1" si="214"/>
        <v>0</v>
      </c>
      <c r="M422" s="8">
        <f t="shared" ca="1" si="215"/>
        <v>0</v>
      </c>
      <c r="N422" s="8">
        <f t="shared" ca="1" si="216"/>
        <v>2</v>
      </c>
      <c r="O422" s="8">
        <f t="shared" ca="1" si="217"/>
        <v>1</v>
      </c>
      <c r="P422" s="8">
        <f t="shared" ca="1" si="218"/>
        <v>5</v>
      </c>
      <c r="Q422" s="8">
        <f t="shared" ca="1" si="219"/>
        <v>5</v>
      </c>
      <c r="R422" s="8">
        <f t="shared" ca="1" si="220"/>
        <v>0</v>
      </c>
      <c r="S422" s="8">
        <f t="shared" ca="1" si="221"/>
        <v>1</v>
      </c>
      <c r="T422" s="8">
        <f t="shared" ca="1" si="222"/>
        <v>1</v>
      </c>
      <c r="U422" s="8">
        <f t="shared" ca="1" si="223"/>
        <v>0</v>
      </c>
      <c r="V422" s="8">
        <f t="shared" ca="1" si="224"/>
        <v>4</v>
      </c>
      <c r="W422" s="11" t="str">
        <f t="shared" ca="1" si="225"/>
        <v/>
      </c>
      <c r="X422" s="11">
        <f t="shared" ca="1" si="226"/>
        <v>0.5</v>
      </c>
      <c r="Y422" s="11" t="str">
        <f t="shared" ca="1" si="227"/>
        <v/>
      </c>
      <c r="Z422" s="11">
        <f t="shared" ca="1" si="228"/>
        <v>0.5</v>
      </c>
      <c r="AA422" s="11">
        <f t="shared" ca="1" si="229"/>
        <v>0.5</v>
      </c>
      <c r="AB422" s="47">
        <f ca="1">PlayerGameData[[#This Row],[3FGA]]+PlayerGameData[[#This Row],[2FGA]]</f>
        <v>4</v>
      </c>
      <c r="AC422" s="47">
        <f ca="1">PlayerGameData[[#This Row],[OFF REB]]+PlayerGameData[[#This Row],[DEF REB]]</f>
        <v>3</v>
      </c>
      <c r="AD422" s="8">
        <f t="shared" si="210"/>
        <v>18</v>
      </c>
      <c r="AE422" s="8" t="str">
        <f t="shared" ca="1" si="211"/>
        <v>Ethan Schiller, 23 - Arvada Clearmont 2/11/2023</v>
      </c>
      <c r="AF422" s="8" t="str">
        <f t="shared" ca="1" si="230"/>
        <v>R</v>
      </c>
      <c r="AG422" s="8" t="str">
        <f ca="1">IFERROR(IF(C422=0,"",IF(AND(VLOOKUP(PlayerGameData[[#This Row],[Opponent]],WYTeamInfo,2,FALSE)=Roster!$D$1,VLOOKUP(PlayerGameData[[#This Row],[Opponent]],WYTeamInfo,3,FALSE)=Roster!$D$2),"SR","")),"")</f>
        <v>SR</v>
      </c>
      <c r="AH422" s="8" t="str">
        <f>CONCATENATE(Roster!$D$1," ",Roster!$D$5)</f>
        <v>1A BB</v>
      </c>
      <c r="AI422" s="8" t="str">
        <f t="shared" ca="1" si="212"/>
        <v>Upton - Arvada Clearmont 2/11/2023</v>
      </c>
      <c r="AJ422" s="8">
        <f ca="1">IFERROR(VLOOKUP(PlayerGameData[[#This Row],[School, Opponent,Game'#]],Table3[],2,FALSE),0)</f>
        <v>1</v>
      </c>
      <c r="AK422" s="8">
        <f ca="1">IF(PlayerGameData[[#This Row],[Visible]]=1,1,1000)</f>
        <v>1</v>
      </c>
      <c r="AL422" s="8">
        <f ca="1">RANK(PlayerGameData[[#This Row],[TL PTS]],PlayerGameData[TL PTS],0)+PlayerGameData[[#This Row],[VisibleOrder]]</f>
        <v>118</v>
      </c>
      <c r="AM422" s="8">
        <f ca="1">IF(COUNTIF(PlayerGameData[PointOrder],PlayerGameData[[#This Row],[PointOrder]])&gt;1,RANK(PlayerGameData[[#This Row],[FGA]],PlayerGameData[FGA],0)/100,0)+PlayerGameData[[#This Row],[PointOrder]]</f>
        <v>119.27</v>
      </c>
      <c r="AN422" s="8">
        <f ca="1">RANK(PlayerGameData[[#This Row],[PointTieBreak]],PlayerGameData[PointTieBreak],1)</f>
        <v>125</v>
      </c>
      <c r="AO422" s="8">
        <f ca="1">RANK(PlayerGameData[[#This Row],[REB]],PlayerGameData[REB],0)+PlayerGameData[[#This Row],[VisibleOrder]]</f>
        <v>108</v>
      </c>
      <c r="AP422" s="8">
        <f ca="1">IF(COUNTIF(PlayerGameData[REBOrder],PlayerGameData[[#This Row],[REBOrder]])&gt;1,PlayerGameData[[#This Row],[PointRank]]/100+PlayerGameData[[#This Row],[REBOrder]],PlayerGameData[[#This Row],[REBOrder]])</f>
        <v>109.25</v>
      </c>
      <c r="AQ422" s="8">
        <f ca="1">RANK(PlayerGameData[[#This Row],[REBTieBreak]],PlayerGameData[REBTieBreak],1)</f>
        <v>121</v>
      </c>
      <c r="AR422" s="8">
        <f ca="1">RANK(PlayerGameData[[#This Row],[AST]],PlayerGameData[AST],0)+PlayerGameData[[#This Row],[VisibleOrder]]</f>
        <v>14</v>
      </c>
      <c r="AS422" s="8">
        <f ca="1">IF(COUNTIF(PlayerGameData[ASTOrder],PlayerGameData[[#This Row],[ASTOrder]])&gt;1,PlayerGameData[[#This Row],[PointRank]]/100+PlayerGameData[[#This Row],[ASTOrder]],PlayerGameData[[#This Row],[ASTOrder]])</f>
        <v>15.25</v>
      </c>
      <c r="AT422" s="8">
        <f ca="1">RANK(PlayerGameData[[#This Row],[ASTTieBreak]],PlayerGameData[ASTTieBreak],1)</f>
        <v>22</v>
      </c>
      <c r="AU422" s="8">
        <f ca="1">RANK(PlayerGameData[[#This Row],[STL]],PlayerGameData[STL],0)+PlayerGameData[[#This Row],[VisibleOrder]]</f>
        <v>4</v>
      </c>
      <c r="AV422" s="8">
        <f ca="1">IF(COUNTIF(PlayerGameData[STLOrder],PlayerGameData[[#This Row],[STLOrder]])&gt;1,PlayerGameData[[#This Row],[PointRank]]/100+PlayerGameData[[#This Row],[STLOrder]],PlayerGameData[[#This Row],[STLOrder]])</f>
        <v>5.25</v>
      </c>
      <c r="AW422" s="8">
        <f ca="1">RANK(PlayerGameData[[#This Row],[STLTieBreak]],PlayerGameData[STLTieBreak],1)</f>
        <v>7</v>
      </c>
      <c r="AX422" s="8">
        <f ca="1">RANK(PlayerGameData[[#This Row],[BLK]],PlayerGameData[BLK],0)+PlayerGameData[[#This Row],[VisibleOrder]]</f>
        <v>32</v>
      </c>
      <c r="AY422" s="8">
        <f ca="1">IF(COUNTIF(PlayerGameData[BLKOrder],PlayerGameData[[#This Row],[BLKOrder]])&gt;1,PlayerGameData[[#This Row],[PointRank]]/100+PlayerGameData[[#This Row],[BLKOrder]],PlayerGameData[[#This Row],[BLKOrder]])</f>
        <v>33.25</v>
      </c>
      <c r="AZ422" s="8">
        <f ca="1">RANK(PlayerGameData[[#This Row],[BLKTieBreak]],PlayerGameData[BLKTieBreak],1)</f>
        <v>129</v>
      </c>
      <c r="BA422" s="11">
        <f ca="1">IFERROR(IF(PlayerGameData[[#This Row],[FGA]]&gt;$AA$5,PlayerGameData[[#This Row],[FG%*]],PlayerGameData[[#This Row],[FG%*]]*-1),-2)</f>
        <v>-0.5</v>
      </c>
      <c r="BB422" s="8">
        <f ca="1">RANK(PlayerGameData[[#This Row],[EligFG]],PlayerGameData[EligFG],0)+PlayerGameData[[#This Row],[VisibleOrder]]</f>
        <v>182</v>
      </c>
      <c r="BC422" s="8">
        <f ca="1">IF(COUNTIF(PlayerGameData[EligFGOrder],PlayerGameData[[#This Row],[EligFGOrder]])&gt;1,PlayerGameData[[#This Row],[PointRank]]/100+PlayerGameData[[#This Row],[EligFGOrder]],PlayerGameData[[#This Row],[EligFGOrder]])</f>
        <v>183.25</v>
      </c>
      <c r="BD422" s="8">
        <f ca="1">RANK(PlayerGameData[[#This Row],[EligFGTieBreak]],PlayerGameData[EligFGTieBreak],1)</f>
        <v>181</v>
      </c>
      <c r="BE422" s="8" t="str">
        <f>Roster!$D$3</f>
        <v>East</v>
      </c>
      <c r="BF422" s="8" t="str">
        <f>Roster!$D$2</f>
        <v>Northeast</v>
      </c>
      <c r="BG422" s="8" t="str">
        <f>Roster!$D$4</f>
        <v>North</v>
      </c>
      <c r="BH422" s="197">
        <f ca="1">IFERROR(VLOOKUP(CONCATENATE(PlayerGameData[[#This Row],[Opponent]]," ",MONTH(PlayerGameData[[#This Row],[Date]]),"/",DAY(PlayerGameData[[#This Row],[Date]]),"/",YEAR(PlayerGameData[[#This Row],[Date]])),Table35[],2,FALSE),0)</f>
        <v>1</v>
      </c>
      <c r="BI422" s="197">
        <f ca="1">IF(PlayerGameData[[#This Row],[Visible]]=1,1,1000)</f>
        <v>1</v>
      </c>
      <c r="BJ422" s="197" t="e">
        <f ca="1">_xlfn.MAXIFS(TeamGameData[Win],TeamGameData[School, Opponent,Game'#],PlayerGameData[[#This Row],[School, Opponent,Game'#]])</f>
        <v>#NAME?</v>
      </c>
      <c r="BK422" s="197" t="e">
        <f ca="1">_xlfn.MAXIFS(TeamGameData[Loss],TeamGameData[School, Opponent,Game'#],PlayerGameData[[#This Row],[School, Opponent,Game'#]])</f>
        <v>#NAME?</v>
      </c>
    </row>
    <row r="423" spans="1:63" x14ac:dyDescent="0.25">
      <c r="A423" s="8" t="str">
        <f t="shared" ca="1" si="213"/>
        <v>Bridger Bruce, 25</v>
      </c>
      <c r="B423" s="8" t="str">
        <f>Roster!$B$1</f>
        <v>Upton</v>
      </c>
      <c r="C423" s="8" t="str">
        <f t="shared" ca="1" si="201"/>
        <v>Arvada Clearmont</v>
      </c>
      <c r="D423" s="10">
        <f t="shared" ca="1" si="202"/>
        <v>44968</v>
      </c>
      <c r="E423" s="8">
        <f t="shared" ca="1" si="203"/>
        <v>1</v>
      </c>
      <c r="F423" s="8">
        <f t="shared" ca="1" si="204"/>
        <v>0</v>
      </c>
      <c r="G423" s="8">
        <f t="shared" ca="1" si="205"/>
        <v>12</v>
      </c>
      <c r="H423" s="8">
        <f t="shared" ca="1" si="206"/>
        <v>0</v>
      </c>
      <c r="I423" s="8">
        <f t="shared" ca="1" si="207"/>
        <v>1</v>
      </c>
      <c r="J423" s="8">
        <f t="shared" ca="1" si="208"/>
        <v>0</v>
      </c>
      <c r="K423" s="8">
        <f t="shared" ca="1" si="209"/>
        <v>1</v>
      </c>
      <c r="L423" s="8">
        <f t="shared" ca="1" si="214"/>
        <v>1</v>
      </c>
      <c r="M423" s="8">
        <f t="shared" ca="1" si="215"/>
        <v>2</v>
      </c>
      <c r="N423" s="8">
        <f t="shared" ca="1" si="216"/>
        <v>0</v>
      </c>
      <c r="O423" s="8">
        <f t="shared" ca="1" si="217"/>
        <v>2</v>
      </c>
      <c r="P423" s="8">
        <f t="shared" ca="1" si="218"/>
        <v>4</v>
      </c>
      <c r="Q423" s="8">
        <f t="shared" ca="1" si="219"/>
        <v>1</v>
      </c>
      <c r="R423" s="8">
        <f t="shared" ca="1" si="220"/>
        <v>0</v>
      </c>
      <c r="S423" s="8">
        <f t="shared" ca="1" si="221"/>
        <v>0</v>
      </c>
      <c r="T423" s="8">
        <f t="shared" ca="1" si="222"/>
        <v>0</v>
      </c>
      <c r="U423" s="8">
        <f t="shared" ca="1" si="223"/>
        <v>0</v>
      </c>
      <c r="V423" s="8">
        <f t="shared" ca="1" si="224"/>
        <v>1</v>
      </c>
      <c r="W423" s="11">
        <f t="shared" ca="1" si="225"/>
        <v>0</v>
      </c>
      <c r="X423" s="11">
        <f t="shared" ca="1" si="226"/>
        <v>0</v>
      </c>
      <c r="Y423" s="11">
        <f t="shared" ca="1" si="227"/>
        <v>0.5</v>
      </c>
      <c r="Z423" s="11">
        <f t="shared" ca="1" si="228"/>
        <v>0</v>
      </c>
      <c r="AA423" s="11">
        <f t="shared" ca="1" si="229"/>
        <v>0</v>
      </c>
      <c r="AB423" s="47">
        <f ca="1">PlayerGameData[[#This Row],[3FGA]]+PlayerGameData[[#This Row],[2FGA]]</f>
        <v>2</v>
      </c>
      <c r="AC423" s="47">
        <f ca="1">PlayerGameData[[#This Row],[OFF REB]]+PlayerGameData[[#This Row],[DEF REB]]</f>
        <v>2</v>
      </c>
      <c r="AD423" s="8">
        <f t="shared" si="210"/>
        <v>18</v>
      </c>
      <c r="AE423" s="8" t="str">
        <f t="shared" ca="1" si="211"/>
        <v>Bridger Bruce, 25 - Arvada Clearmont 2/11/2023</v>
      </c>
      <c r="AF423" s="8" t="str">
        <f t="shared" ca="1" si="230"/>
        <v>R</v>
      </c>
      <c r="AG423" s="8" t="str">
        <f ca="1">IFERROR(IF(C423=0,"",IF(AND(VLOOKUP(PlayerGameData[[#This Row],[Opponent]],WYTeamInfo,2,FALSE)=Roster!$D$1,VLOOKUP(PlayerGameData[[#This Row],[Opponent]],WYTeamInfo,3,FALSE)=Roster!$D$2),"SR","")),"")</f>
        <v>SR</v>
      </c>
      <c r="AH423" s="8" t="str">
        <f>CONCATENATE(Roster!$D$1," ",Roster!$D$5)</f>
        <v>1A BB</v>
      </c>
      <c r="AI423" s="8" t="str">
        <f t="shared" ca="1" si="212"/>
        <v>Upton - Arvada Clearmont 2/11/2023</v>
      </c>
      <c r="AJ423" s="8">
        <f ca="1">IFERROR(VLOOKUP(PlayerGameData[[#This Row],[School, Opponent,Game'#]],Table3[],2,FALSE),0)</f>
        <v>1</v>
      </c>
      <c r="AK423" s="8">
        <f ca="1">IF(PlayerGameData[[#This Row],[Visible]]=1,1,1000)</f>
        <v>1</v>
      </c>
      <c r="AL423" s="8">
        <f ca="1">RANK(PlayerGameData[[#This Row],[TL PTS]],PlayerGameData[TL PTS],0)+PlayerGameData[[#This Row],[VisibleOrder]]</f>
        <v>176</v>
      </c>
      <c r="AM423" s="8">
        <f ca="1">IF(COUNTIF(PlayerGameData[PointOrder],PlayerGameData[[#This Row],[PointOrder]])&gt;1,RANK(PlayerGameData[[#This Row],[FGA]],PlayerGameData[FGA],0)/100,0)+PlayerGameData[[#This Row],[PointOrder]]</f>
        <v>177.61</v>
      </c>
      <c r="AN423" s="8">
        <f ca="1">RANK(PlayerGameData[[#This Row],[PointTieBreak]],PlayerGameData[PointTieBreak],1)</f>
        <v>178</v>
      </c>
      <c r="AO423" s="8">
        <f ca="1">RANK(PlayerGameData[[#This Row],[REB]],PlayerGameData[REB],0)+PlayerGameData[[#This Row],[VisibleOrder]]</f>
        <v>137</v>
      </c>
      <c r="AP423" s="8">
        <f ca="1">IF(COUNTIF(PlayerGameData[REBOrder],PlayerGameData[[#This Row],[REBOrder]])&gt;1,PlayerGameData[[#This Row],[PointRank]]/100+PlayerGameData[[#This Row],[REBOrder]],PlayerGameData[[#This Row],[REBOrder]])</f>
        <v>138.78</v>
      </c>
      <c r="AQ423" s="8">
        <f ca="1">RANK(PlayerGameData[[#This Row],[REBTieBreak]],PlayerGameData[REBTieBreak],1)</f>
        <v>155</v>
      </c>
      <c r="AR423" s="8">
        <f ca="1">RANK(PlayerGameData[[#This Row],[AST]],PlayerGameData[AST],0)+PlayerGameData[[#This Row],[VisibleOrder]]</f>
        <v>24</v>
      </c>
      <c r="AS423" s="8">
        <f ca="1">IF(COUNTIF(PlayerGameData[ASTOrder],PlayerGameData[[#This Row],[ASTOrder]])&gt;1,PlayerGameData[[#This Row],[PointRank]]/100+PlayerGameData[[#This Row],[ASTOrder]],PlayerGameData[[#This Row],[ASTOrder]])</f>
        <v>25.78</v>
      </c>
      <c r="AT423" s="8">
        <f ca="1">RANK(PlayerGameData[[#This Row],[ASTTieBreak]],PlayerGameData[ASTTieBreak],1)</f>
        <v>36</v>
      </c>
      <c r="AU423" s="8">
        <f ca="1">RANK(PlayerGameData[[#This Row],[STL]],PlayerGameData[STL],0)+PlayerGameData[[#This Row],[VisibleOrder]]</f>
        <v>84</v>
      </c>
      <c r="AV423" s="8">
        <f ca="1">IF(COUNTIF(PlayerGameData[STLOrder],PlayerGameData[[#This Row],[STLOrder]])&gt;1,PlayerGameData[[#This Row],[PointRank]]/100+PlayerGameData[[#This Row],[STLOrder]],PlayerGameData[[#This Row],[STLOrder]])</f>
        <v>85.78</v>
      </c>
      <c r="AW423" s="8">
        <f ca="1">RANK(PlayerGameData[[#This Row],[STLTieBreak]],PlayerGameData[STLTieBreak],1)</f>
        <v>133</v>
      </c>
      <c r="AX423" s="8">
        <f ca="1">RANK(PlayerGameData[[#This Row],[BLK]],PlayerGameData[BLK],0)+PlayerGameData[[#This Row],[VisibleOrder]]</f>
        <v>32</v>
      </c>
      <c r="AY423" s="8">
        <f ca="1">IF(COUNTIF(PlayerGameData[BLKOrder],PlayerGameData[[#This Row],[BLKOrder]])&gt;1,PlayerGameData[[#This Row],[PointRank]]/100+PlayerGameData[[#This Row],[BLKOrder]],PlayerGameData[[#This Row],[BLKOrder]])</f>
        <v>33.78</v>
      </c>
      <c r="AZ423" s="8">
        <f ca="1">RANK(PlayerGameData[[#This Row],[BLKTieBreak]],PlayerGameData[BLKTieBreak],1)</f>
        <v>179</v>
      </c>
      <c r="BA423" s="11">
        <f ca="1">IFERROR(IF(PlayerGameData[[#This Row],[FGA]]&gt;$AA$5,PlayerGameData[[#This Row],[FG%*]],PlayerGameData[[#This Row],[FG%*]]*-1),-2)</f>
        <v>0</v>
      </c>
      <c r="BB423" s="8">
        <f ca="1">RANK(PlayerGameData[[#This Row],[EligFG]],PlayerGameData[EligFG],0)+PlayerGameData[[#This Row],[VisibleOrder]]</f>
        <v>117</v>
      </c>
      <c r="BC423" s="8">
        <f ca="1">IF(COUNTIF(PlayerGameData[EligFGOrder],PlayerGameData[[#This Row],[EligFGOrder]])&gt;1,PlayerGameData[[#This Row],[PointRank]]/100+PlayerGameData[[#This Row],[EligFGOrder]],PlayerGameData[[#This Row],[EligFGOrder]])</f>
        <v>118.78</v>
      </c>
      <c r="BD423" s="8">
        <f ca="1">RANK(PlayerGameData[[#This Row],[EligFGTieBreak]],PlayerGameData[EligFGTieBreak],1)</f>
        <v>121</v>
      </c>
      <c r="BE423" s="8" t="str">
        <f>Roster!$D$3</f>
        <v>East</v>
      </c>
      <c r="BF423" s="8" t="str">
        <f>Roster!$D$2</f>
        <v>Northeast</v>
      </c>
      <c r="BG423" s="8" t="str">
        <f>Roster!$D$4</f>
        <v>North</v>
      </c>
      <c r="BH423" s="197">
        <f ca="1">IFERROR(VLOOKUP(CONCATENATE(PlayerGameData[[#This Row],[Opponent]]," ",MONTH(PlayerGameData[[#This Row],[Date]]),"/",DAY(PlayerGameData[[#This Row],[Date]]),"/",YEAR(PlayerGameData[[#This Row],[Date]])),Table35[],2,FALSE),0)</f>
        <v>1</v>
      </c>
      <c r="BI423" s="197">
        <f ca="1">IF(PlayerGameData[[#This Row],[Visible]]=1,1,1000)</f>
        <v>1</v>
      </c>
      <c r="BJ423" s="197" t="e">
        <f ca="1">_xlfn.MAXIFS(TeamGameData[Win],TeamGameData[School, Opponent,Game'#],PlayerGameData[[#This Row],[School, Opponent,Game'#]])</f>
        <v>#NAME?</v>
      </c>
      <c r="BK423" s="197" t="e">
        <f ca="1">_xlfn.MAXIFS(TeamGameData[Loss],TeamGameData[School, Opponent,Game'#],PlayerGameData[[#This Row],[School, Opponent,Game'#]])</f>
        <v>#NAME?</v>
      </c>
    </row>
    <row r="424" spans="1:63" x14ac:dyDescent="0.25">
      <c r="A424" s="8" t="str">
        <f t="shared" ca="1" si="213"/>
        <v>Kailer Duarte, 31</v>
      </c>
      <c r="B424" s="8" t="str">
        <f>Roster!$B$1</f>
        <v>Upton</v>
      </c>
      <c r="C424" s="8" t="str">
        <f t="shared" ca="1" si="201"/>
        <v>Arvada Clearmont</v>
      </c>
      <c r="D424" s="10">
        <f t="shared" ca="1" si="202"/>
        <v>44968</v>
      </c>
      <c r="E424" s="8">
        <f t="shared" ca="1" si="203"/>
        <v>1</v>
      </c>
      <c r="F424" s="8">
        <f t="shared" ca="1" si="204"/>
        <v>1</v>
      </c>
      <c r="G424" s="8">
        <f t="shared" ca="1" si="205"/>
        <v>12</v>
      </c>
      <c r="H424" s="8">
        <f t="shared" ca="1" si="206"/>
        <v>1</v>
      </c>
      <c r="I424" s="8">
        <f t="shared" ca="1" si="207"/>
        <v>3</v>
      </c>
      <c r="J424" s="8">
        <f t="shared" ca="1" si="208"/>
        <v>4</v>
      </c>
      <c r="K424" s="8">
        <f t="shared" ca="1" si="209"/>
        <v>7</v>
      </c>
      <c r="L424" s="8">
        <f t="shared" ca="1" si="214"/>
        <v>0</v>
      </c>
      <c r="M424" s="8">
        <f t="shared" ca="1" si="215"/>
        <v>0</v>
      </c>
      <c r="N424" s="8">
        <f t="shared" ca="1" si="216"/>
        <v>5</v>
      </c>
      <c r="O424" s="8">
        <f t="shared" ca="1" si="217"/>
        <v>0</v>
      </c>
      <c r="P424" s="8">
        <f t="shared" ca="1" si="218"/>
        <v>0</v>
      </c>
      <c r="Q424" s="8">
        <f t="shared" ca="1" si="219"/>
        <v>2</v>
      </c>
      <c r="R424" s="8">
        <f t="shared" ca="1" si="220"/>
        <v>0</v>
      </c>
      <c r="S424" s="8">
        <f t="shared" ca="1" si="221"/>
        <v>1</v>
      </c>
      <c r="T424" s="8">
        <f t="shared" ca="1" si="222"/>
        <v>0</v>
      </c>
      <c r="U424" s="8">
        <f t="shared" ca="1" si="223"/>
        <v>0</v>
      </c>
      <c r="V424" s="8">
        <f t="shared" ca="1" si="224"/>
        <v>11</v>
      </c>
      <c r="W424" s="11">
        <f t="shared" ca="1" si="225"/>
        <v>0.33333333333333331</v>
      </c>
      <c r="X424" s="11">
        <f t="shared" ca="1" si="226"/>
        <v>0.5714285714285714</v>
      </c>
      <c r="Y424" s="11" t="str">
        <f t="shared" ca="1" si="227"/>
        <v/>
      </c>
      <c r="Z424" s="11">
        <f t="shared" ca="1" si="228"/>
        <v>0.5</v>
      </c>
      <c r="AA424" s="11">
        <f t="shared" ca="1" si="229"/>
        <v>0.55000000000000004</v>
      </c>
      <c r="AB424" s="47">
        <f ca="1">PlayerGameData[[#This Row],[3FGA]]+PlayerGameData[[#This Row],[2FGA]]</f>
        <v>10</v>
      </c>
      <c r="AC424" s="47">
        <f ca="1">PlayerGameData[[#This Row],[OFF REB]]+PlayerGameData[[#This Row],[DEF REB]]</f>
        <v>5</v>
      </c>
      <c r="AD424" s="8">
        <f t="shared" si="210"/>
        <v>18</v>
      </c>
      <c r="AE424" s="8" t="str">
        <f t="shared" ca="1" si="211"/>
        <v>Kailer Duarte, 31 - Arvada Clearmont 2/11/2023</v>
      </c>
      <c r="AF424" s="8" t="str">
        <f t="shared" ca="1" si="230"/>
        <v>R</v>
      </c>
      <c r="AG424" s="8" t="str">
        <f ca="1">IFERROR(IF(C424=0,"",IF(AND(VLOOKUP(PlayerGameData[[#This Row],[Opponent]],WYTeamInfo,2,FALSE)=Roster!$D$1,VLOOKUP(PlayerGameData[[#This Row],[Opponent]],WYTeamInfo,3,FALSE)=Roster!$D$2),"SR","")),"")</f>
        <v>SR</v>
      </c>
      <c r="AH424" s="8" t="str">
        <f>CONCATENATE(Roster!$D$1," ",Roster!$D$5)</f>
        <v>1A BB</v>
      </c>
      <c r="AI424" s="8" t="str">
        <f t="shared" ca="1" si="212"/>
        <v>Upton - Arvada Clearmont 2/11/2023</v>
      </c>
      <c r="AJ424" s="8">
        <f ca="1">IFERROR(VLOOKUP(PlayerGameData[[#This Row],[School, Opponent,Game'#]],Table3[],2,FALSE),0)</f>
        <v>1</v>
      </c>
      <c r="AK424" s="8">
        <f ca="1">IF(PlayerGameData[[#This Row],[Visible]]=1,1,1000)</f>
        <v>1</v>
      </c>
      <c r="AL424" s="8">
        <f ca="1">RANK(PlayerGameData[[#This Row],[TL PTS]],PlayerGameData[TL PTS],0)+PlayerGameData[[#This Row],[VisibleOrder]]</f>
        <v>58</v>
      </c>
      <c r="AM424" s="8">
        <f ca="1">IF(COUNTIF(PlayerGameData[PointOrder],PlayerGameData[[#This Row],[PointOrder]])&gt;1,RANK(PlayerGameData[[#This Row],[FGA]],PlayerGameData[FGA],0)/100,0)+PlayerGameData[[#This Row],[PointOrder]]</f>
        <v>58.43</v>
      </c>
      <c r="AN424" s="8">
        <f ca="1">RANK(PlayerGameData[[#This Row],[PointTieBreak]],PlayerGameData[PointTieBreak],1)</f>
        <v>58</v>
      </c>
      <c r="AO424" s="8">
        <f ca="1">RANK(PlayerGameData[[#This Row],[REB]],PlayerGameData[REB],0)+PlayerGameData[[#This Row],[VisibleOrder]]</f>
        <v>52</v>
      </c>
      <c r="AP424" s="8">
        <f ca="1">IF(COUNTIF(PlayerGameData[REBOrder],PlayerGameData[[#This Row],[REBOrder]])&gt;1,PlayerGameData[[#This Row],[PointRank]]/100+PlayerGameData[[#This Row],[REBOrder]],PlayerGameData[[#This Row],[REBOrder]])</f>
        <v>52.58</v>
      </c>
      <c r="AQ424" s="8">
        <f ca="1">RANK(PlayerGameData[[#This Row],[REBTieBreak]],PlayerGameData[REBTieBreak],1)</f>
        <v>60</v>
      </c>
      <c r="AR424" s="8">
        <f ca="1">RANK(PlayerGameData[[#This Row],[AST]],PlayerGameData[AST],0)+PlayerGameData[[#This Row],[VisibleOrder]]</f>
        <v>158</v>
      </c>
      <c r="AS424" s="8">
        <f ca="1">IF(COUNTIF(PlayerGameData[ASTOrder],PlayerGameData[[#This Row],[ASTOrder]])&gt;1,PlayerGameData[[#This Row],[PointRank]]/100+PlayerGameData[[#This Row],[ASTOrder]],PlayerGameData[[#This Row],[ASTOrder]])</f>
        <v>158.58000000000001</v>
      </c>
      <c r="AT424" s="8">
        <f ca="1">RANK(PlayerGameData[[#This Row],[ASTTieBreak]],PlayerGameData[ASTTieBreak],1)</f>
        <v>162</v>
      </c>
      <c r="AU424" s="8">
        <f ca="1">RANK(PlayerGameData[[#This Row],[STL]],PlayerGameData[STL],0)+PlayerGameData[[#This Row],[VisibleOrder]]</f>
        <v>48</v>
      </c>
      <c r="AV424" s="8">
        <f ca="1">IF(COUNTIF(PlayerGameData[STLOrder],PlayerGameData[[#This Row],[STLOrder]])&gt;1,PlayerGameData[[#This Row],[PointRank]]/100+PlayerGameData[[#This Row],[STLOrder]],PlayerGameData[[#This Row],[STLOrder]])</f>
        <v>48.58</v>
      </c>
      <c r="AW424" s="8">
        <f ca="1">RANK(PlayerGameData[[#This Row],[STLTieBreak]],PlayerGameData[STLTieBreak],1)</f>
        <v>56</v>
      </c>
      <c r="AX424" s="8">
        <f ca="1">RANK(PlayerGameData[[#This Row],[BLK]],PlayerGameData[BLK],0)+PlayerGameData[[#This Row],[VisibleOrder]]</f>
        <v>32</v>
      </c>
      <c r="AY424" s="8">
        <f ca="1">IF(COUNTIF(PlayerGameData[BLKOrder],PlayerGameData[[#This Row],[BLKOrder]])&gt;1,PlayerGameData[[#This Row],[PointRank]]/100+PlayerGameData[[#This Row],[BLKOrder]],PlayerGameData[[#This Row],[BLKOrder]])</f>
        <v>32.58</v>
      </c>
      <c r="AZ424" s="8">
        <f ca="1">RANK(PlayerGameData[[#This Row],[BLKTieBreak]],PlayerGameData[BLKTieBreak],1)</f>
        <v>76</v>
      </c>
      <c r="BA424" s="11">
        <f ca="1">IFERROR(IF(PlayerGameData[[#This Row],[FGA]]&gt;$AA$5,PlayerGameData[[#This Row],[FG%*]],PlayerGameData[[#This Row],[FG%*]]*-1),-2)</f>
        <v>0.5</v>
      </c>
      <c r="BB424" s="8">
        <f ca="1">RANK(PlayerGameData[[#This Row],[EligFG]],PlayerGameData[EligFG],0)+PlayerGameData[[#This Row],[VisibleOrder]]</f>
        <v>39</v>
      </c>
      <c r="BC424" s="8">
        <f ca="1">IF(COUNTIF(PlayerGameData[EligFGOrder],PlayerGameData[[#This Row],[EligFGOrder]])&gt;1,PlayerGameData[[#This Row],[PointRank]]/100+PlayerGameData[[#This Row],[EligFGOrder]],PlayerGameData[[#This Row],[EligFGOrder]])</f>
        <v>39.58</v>
      </c>
      <c r="BD424" s="8">
        <f ca="1">RANK(PlayerGameData[[#This Row],[EligFGTieBreak]],PlayerGameData[EligFGTieBreak],1)</f>
        <v>46</v>
      </c>
      <c r="BE424" s="8" t="str">
        <f>Roster!$D$3</f>
        <v>East</v>
      </c>
      <c r="BF424" s="8" t="str">
        <f>Roster!$D$2</f>
        <v>Northeast</v>
      </c>
      <c r="BG424" s="8" t="str">
        <f>Roster!$D$4</f>
        <v>North</v>
      </c>
      <c r="BH424" s="197">
        <f ca="1">IFERROR(VLOOKUP(CONCATENATE(PlayerGameData[[#This Row],[Opponent]]," ",MONTH(PlayerGameData[[#This Row],[Date]]),"/",DAY(PlayerGameData[[#This Row],[Date]]),"/",YEAR(PlayerGameData[[#This Row],[Date]])),Table35[],2,FALSE),0)</f>
        <v>1</v>
      </c>
      <c r="BI424" s="197">
        <f ca="1">IF(PlayerGameData[[#This Row],[Visible]]=1,1,1000)</f>
        <v>1</v>
      </c>
      <c r="BJ424" s="197" t="e">
        <f ca="1">_xlfn.MAXIFS(TeamGameData[Win],TeamGameData[School, Opponent,Game'#],PlayerGameData[[#This Row],[School, Opponent,Game'#]])</f>
        <v>#NAME?</v>
      </c>
      <c r="BK424" s="197" t="e">
        <f ca="1">_xlfn.MAXIFS(TeamGameData[Loss],TeamGameData[School, Opponent,Game'#],PlayerGameData[[#This Row],[School, Opponent,Game'#]])</f>
        <v>#NAME?</v>
      </c>
    </row>
    <row r="425" spans="1:63" x14ac:dyDescent="0.25">
      <c r="A425" s="8" t="str">
        <f t="shared" ca="1" si="213"/>
        <v>Matt Stirmel, 33</v>
      </c>
      <c r="B425" s="8" t="str">
        <f>Roster!$B$1</f>
        <v>Upton</v>
      </c>
      <c r="C425" s="8" t="str">
        <f t="shared" ca="1" si="201"/>
        <v>Arvada Clearmont</v>
      </c>
      <c r="D425" s="10">
        <f t="shared" ca="1" si="202"/>
        <v>44968</v>
      </c>
      <c r="E425" s="8">
        <f t="shared" ca="1" si="203"/>
        <v>1</v>
      </c>
      <c r="F425" s="8">
        <f t="shared" ca="1" si="204"/>
        <v>0</v>
      </c>
      <c r="G425" s="8">
        <f t="shared" ca="1" si="205"/>
        <v>3</v>
      </c>
      <c r="H425" s="8">
        <f t="shared" ca="1" si="206"/>
        <v>0</v>
      </c>
      <c r="I425" s="8">
        <f t="shared" ca="1" si="207"/>
        <v>0</v>
      </c>
      <c r="J425" s="8">
        <f t="shared" ca="1" si="208"/>
        <v>1</v>
      </c>
      <c r="K425" s="8">
        <f t="shared" ca="1" si="209"/>
        <v>1</v>
      </c>
      <c r="L425" s="8">
        <f t="shared" ca="1" si="214"/>
        <v>0</v>
      </c>
      <c r="M425" s="8">
        <f t="shared" ca="1" si="215"/>
        <v>0</v>
      </c>
      <c r="N425" s="8">
        <f t="shared" ca="1" si="216"/>
        <v>0</v>
      </c>
      <c r="O425" s="8">
        <f t="shared" ca="1" si="217"/>
        <v>0</v>
      </c>
      <c r="P425" s="8">
        <f t="shared" ca="1" si="218"/>
        <v>0</v>
      </c>
      <c r="Q425" s="8">
        <f t="shared" ca="1" si="219"/>
        <v>0</v>
      </c>
      <c r="R425" s="8">
        <f t="shared" ca="1" si="220"/>
        <v>0</v>
      </c>
      <c r="S425" s="8">
        <f t="shared" ca="1" si="221"/>
        <v>0</v>
      </c>
      <c r="T425" s="8">
        <f t="shared" ca="1" si="222"/>
        <v>0</v>
      </c>
      <c r="U425" s="8">
        <f t="shared" ca="1" si="223"/>
        <v>0</v>
      </c>
      <c r="V425" s="8">
        <f t="shared" ca="1" si="224"/>
        <v>2</v>
      </c>
      <c r="W425" s="11" t="str">
        <f t="shared" ca="1" si="225"/>
        <v/>
      </c>
      <c r="X425" s="11">
        <f t="shared" ca="1" si="226"/>
        <v>1</v>
      </c>
      <c r="Y425" s="11" t="str">
        <f t="shared" ca="1" si="227"/>
        <v/>
      </c>
      <c r="Z425" s="11">
        <f t="shared" ca="1" si="228"/>
        <v>1</v>
      </c>
      <c r="AA425" s="11">
        <f t="shared" ca="1" si="229"/>
        <v>1</v>
      </c>
      <c r="AB425" s="47">
        <f ca="1">PlayerGameData[[#This Row],[3FGA]]+PlayerGameData[[#This Row],[2FGA]]</f>
        <v>1</v>
      </c>
      <c r="AC425" s="47">
        <f ca="1">PlayerGameData[[#This Row],[OFF REB]]+PlayerGameData[[#This Row],[DEF REB]]</f>
        <v>0</v>
      </c>
      <c r="AD425" s="8">
        <f t="shared" si="210"/>
        <v>18</v>
      </c>
      <c r="AE425" s="8" t="str">
        <f t="shared" ca="1" si="211"/>
        <v>Matt Stirmel, 33 - Arvada Clearmont 2/11/2023</v>
      </c>
      <c r="AF425" s="8" t="str">
        <f t="shared" ca="1" si="230"/>
        <v>R</v>
      </c>
      <c r="AG425" s="8" t="str">
        <f ca="1">IFERROR(IF(C425=0,"",IF(AND(VLOOKUP(PlayerGameData[[#This Row],[Opponent]],WYTeamInfo,2,FALSE)=Roster!$D$1,VLOOKUP(PlayerGameData[[#This Row],[Opponent]],WYTeamInfo,3,FALSE)=Roster!$D$2),"SR","")),"")</f>
        <v>SR</v>
      </c>
      <c r="AH425" s="8" t="str">
        <f>CONCATENATE(Roster!$D$1," ",Roster!$D$5)</f>
        <v>1A BB</v>
      </c>
      <c r="AI425" s="8" t="str">
        <f t="shared" ca="1" si="212"/>
        <v>Upton - Arvada Clearmont 2/11/2023</v>
      </c>
      <c r="AJ425" s="8">
        <f ca="1">IFERROR(VLOOKUP(PlayerGameData[[#This Row],[School, Opponent,Game'#]],Table3[],2,FALSE),0)</f>
        <v>1</v>
      </c>
      <c r="AK425" s="8">
        <f ca="1">IF(PlayerGameData[[#This Row],[Visible]]=1,1,1000)</f>
        <v>1</v>
      </c>
      <c r="AL425" s="8">
        <f ca="1">RANK(PlayerGameData[[#This Row],[TL PTS]],PlayerGameData[TL PTS],0)+PlayerGameData[[#This Row],[VisibleOrder]]</f>
        <v>152</v>
      </c>
      <c r="AM425" s="8">
        <f ca="1">IF(COUNTIF(PlayerGameData[PointOrder],PlayerGameData[[#This Row],[PointOrder]])&gt;1,RANK(PlayerGameData[[#This Row],[FGA]],PlayerGameData[FGA],0)/100,0)+PlayerGameData[[#This Row],[PointOrder]]</f>
        <v>153.82</v>
      </c>
      <c r="AN425" s="8">
        <f ca="1">RANK(PlayerGameData[[#This Row],[PointTieBreak]],PlayerGameData[PointTieBreak],1)</f>
        <v>172</v>
      </c>
      <c r="AO425" s="8">
        <f ca="1">RANK(PlayerGameData[[#This Row],[REB]],PlayerGameData[REB],0)+PlayerGameData[[#This Row],[VisibleOrder]]</f>
        <v>192</v>
      </c>
      <c r="AP425" s="8">
        <f ca="1">IF(COUNTIF(PlayerGameData[REBOrder],PlayerGameData[[#This Row],[REBOrder]])&gt;1,PlayerGameData[[#This Row],[PointRank]]/100+PlayerGameData[[#This Row],[REBOrder]],PlayerGameData[[#This Row],[REBOrder]])</f>
        <v>193.72</v>
      </c>
      <c r="AQ425" s="8">
        <f ca="1">RANK(PlayerGameData[[#This Row],[REBTieBreak]],PlayerGameData[REBTieBreak],1)</f>
        <v>206</v>
      </c>
      <c r="AR425" s="8">
        <f ca="1">RANK(PlayerGameData[[#This Row],[AST]],PlayerGameData[AST],0)+PlayerGameData[[#This Row],[VisibleOrder]]</f>
        <v>158</v>
      </c>
      <c r="AS425" s="8">
        <f ca="1">IF(COUNTIF(PlayerGameData[ASTOrder],PlayerGameData[[#This Row],[ASTOrder]])&gt;1,PlayerGameData[[#This Row],[PointRank]]/100+PlayerGameData[[#This Row],[ASTOrder]],PlayerGameData[[#This Row],[ASTOrder]])</f>
        <v>159.72</v>
      </c>
      <c r="AT425" s="8">
        <f ca="1">RANK(PlayerGameData[[#This Row],[ASTTieBreak]],PlayerGameData[ASTTieBreak],1)</f>
        <v>192</v>
      </c>
      <c r="AU425" s="8">
        <f ca="1">RANK(PlayerGameData[[#This Row],[STL]],PlayerGameData[STL],0)+PlayerGameData[[#This Row],[VisibleOrder]]</f>
        <v>143</v>
      </c>
      <c r="AV425" s="8">
        <f ca="1">IF(COUNTIF(PlayerGameData[STLOrder],PlayerGameData[[#This Row],[STLOrder]])&gt;1,PlayerGameData[[#This Row],[PointRank]]/100+PlayerGameData[[#This Row],[STLOrder]],PlayerGameData[[#This Row],[STLOrder]])</f>
        <v>144.72</v>
      </c>
      <c r="AW425" s="8">
        <f ca="1">RANK(PlayerGameData[[#This Row],[STLTieBreak]],PlayerGameData[STLTieBreak],1)</f>
        <v>185</v>
      </c>
      <c r="AX425" s="8">
        <f ca="1">RANK(PlayerGameData[[#This Row],[BLK]],PlayerGameData[BLK],0)+PlayerGameData[[#This Row],[VisibleOrder]]</f>
        <v>32</v>
      </c>
      <c r="AY425" s="8">
        <f ca="1">IF(COUNTIF(PlayerGameData[BLKOrder],PlayerGameData[[#This Row],[BLKOrder]])&gt;1,PlayerGameData[[#This Row],[PointRank]]/100+PlayerGameData[[#This Row],[BLKOrder]],PlayerGameData[[#This Row],[BLKOrder]])</f>
        <v>33.72</v>
      </c>
      <c r="AZ425" s="8">
        <f ca="1">RANK(PlayerGameData[[#This Row],[BLKTieBreak]],PlayerGameData[BLKTieBreak],1)</f>
        <v>173</v>
      </c>
      <c r="BA425" s="11">
        <f ca="1">IFERROR(IF(PlayerGameData[[#This Row],[FGA]]&gt;$AA$5,PlayerGameData[[#This Row],[FG%*]],PlayerGameData[[#This Row],[FG%*]]*-1),-2)</f>
        <v>-1</v>
      </c>
      <c r="BB425" s="8">
        <f ca="1">RANK(PlayerGameData[[#This Row],[EligFG]],PlayerGameData[EligFG],0)+PlayerGameData[[#This Row],[VisibleOrder]]</f>
        <v>203</v>
      </c>
      <c r="BC425" s="8">
        <f ca="1">IF(COUNTIF(PlayerGameData[EligFGOrder],PlayerGameData[[#This Row],[EligFGOrder]])&gt;1,PlayerGameData[[#This Row],[PointRank]]/100+PlayerGameData[[#This Row],[EligFGOrder]],PlayerGameData[[#This Row],[EligFGOrder]])</f>
        <v>204.72</v>
      </c>
      <c r="BD425" s="8">
        <f ca="1">RANK(PlayerGameData[[#This Row],[EligFGTieBreak]],PlayerGameData[EligFGTieBreak],1)</f>
        <v>212</v>
      </c>
      <c r="BE425" s="8" t="str">
        <f>Roster!$D$3</f>
        <v>East</v>
      </c>
      <c r="BF425" s="8" t="str">
        <f>Roster!$D$2</f>
        <v>Northeast</v>
      </c>
      <c r="BG425" s="8" t="str">
        <f>Roster!$D$4</f>
        <v>North</v>
      </c>
      <c r="BH425" s="197">
        <f ca="1">IFERROR(VLOOKUP(CONCATENATE(PlayerGameData[[#This Row],[Opponent]]," ",MONTH(PlayerGameData[[#This Row],[Date]]),"/",DAY(PlayerGameData[[#This Row],[Date]]),"/",YEAR(PlayerGameData[[#This Row],[Date]])),Table35[],2,FALSE),0)</f>
        <v>1</v>
      </c>
      <c r="BI425" s="197">
        <f ca="1">IF(PlayerGameData[[#This Row],[Visible]]=1,1,1000)</f>
        <v>1</v>
      </c>
      <c r="BJ425" s="197" t="e">
        <f ca="1">_xlfn.MAXIFS(TeamGameData[Win],TeamGameData[School, Opponent,Game'#],PlayerGameData[[#This Row],[School, Opponent,Game'#]])</f>
        <v>#NAME?</v>
      </c>
      <c r="BK425" s="197" t="e">
        <f ca="1">_xlfn.MAXIFS(TeamGameData[Loss],TeamGameData[School, Opponent,Game'#],PlayerGameData[[#This Row],[School, Opponent,Game'#]])</f>
        <v>#NAME?</v>
      </c>
    </row>
    <row r="426" spans="1:63" x14ac:dyDescent="0.25">
      <c r="A426" s="8" t="str">
        <f t="shared" ca="1" si="213"/>
        <v>Jacob McNutt, 34</v>
      </c>
      <c r="B426" s="8" t="str">
        <f>Roster!$B$1</f>
        <v>Upton</v>
      </c>
      <c r="C426" s="8" t="str">
        <f t="shared" ca="1" si="201"/>
        <v>Arvada Clearmont</v>
      </c>
      <c r="D426" s="10">
        <f t="shared" ca="1" si="202"/>
        <v>44968</v>
      </c>
      <c r="E426" s="8">
        <f t="shared" ca="1" si="203"/>
        <v>1</v>
      </c>
      <c r="F426" s="8">
        <f t="shared" ca="1" si="204"/>
        <v>0</v>
      </c>
      <c r="G426" s="8">
        <f t="shared" ca="1" si="205"/>
        <v>2</v>
      </c>
      <c r="H426" s="8">
        <f t="shared" ca="1" si="206"/>
        <v>1</v>
      </c>
      <c r="I426" s="8">
        <f t="shared" ca="1" si="207"/>
        <v>4</v>
      </c>
      <c r="J426" s="8">
        <f t="shared" ca="1" si="208"/>
        <v>0</v>
      </c>
      <c r="K426" s="8">
        <f t="shared" ca="1" si="209"/>
        <v>0</v>
      </c>
      <c r="L426" s="8">
        <f t="shared" ca="1" si="214"/>
        <v>0</v>
      </c>
      <c r="M426" s="8">
        <f t="shared" ca="1" si="215"/>
        <v>0</v>
      </c>
      <c r="N426" s="8">
        <f t="shared" ca="1" si="216"/>
        <v>0</v>
      </c>
      <c r="O426" s="8">
        <f t="shared" ca="1" si="217"/>
        <v>0</v>
      </c>
      <c r="P426" s="8">
        <f t="shared" ca="1" si="218"/>
        <v>0</v>
      </c>
      <c r="Q426" s="8">
        <f t="shared" ca="1" si="219"/>
        <v>0</v>
      </c>
      <c r="R426" s="8">
        <f t="shared" ca="1" si="220"/>
        <v>0</v>
      </c>
      <c r="S426" s="8">
        <f t="shared" ca="1" si="221"/>
        <v>0</v>
      </c>
      <c r="T426" s="8">
        <f t="shared" ca="1" si="222"/>
        <v>0</v>
      </c>
      <c r="U426" s="8">
        <f t="shared" ca="1" si="223"/>
        <v>0</v>
      </c>
      <c r="V426" s="8">
        <f t="shared" ca="1" si="224"/>
        <v>3</v>
      </c>
      <c r="W426" s="11">
        <f t="shared" ca="1" si="225"/>
        <v>0.25</v>
      </c>
      <c r="X426" s="11" t="str">
        <f t="shared" ca="1" si="226"/>
        <v/>
      </c>
      <c r="Y426" s="11" t="str">
        <f t="shared" ca="1" si="227"/>
        <v/>
      </c>
      <c r="Z426" s="11">
        <f t="shared" ca="1" si="228"/>
        <v>0.25</v>
      </c>
      <c r="AA426" s="11">
        <f t="shared" ca="1" si="229"/>
        <v>0.375</v>
      </c>
      <c r="AB426" s="47">
        <f ca="1">PlayerGameData[[#This Row],[3FGA]]+PlayerGameData[[#This Row],[2FGA]]</f>
        <v>4</v>
      </c>
      <c r="AC426" s="47">
        <f ca="1">PlayerGameData[[#This Row],[OFF REB]]+PlayerGameData[[#This Row],[DEF REB]]</f>
        <v>0</v>
      </c>
      <c r="AD426" s="8">
        <f t="shared" si="210"/>
        <v>18</v>
      </c>
      <c r="AE426" s="8" t="str">
        <f t="shared" ca="1" si="211"/>
        <v>Jacob McNutt, 34 - Arvada Clearmont 2/11/2023</v>
      </c>
      <c r="AF426" s="8" t="str">
        <f t="shared" ca="1" si="230"/>
        <v>R</v>
      </c>
      <c r="AG426" s="8" t="str">
        <f ca="1">IFERROR(IF(C426=0,"",IF(AND(VLOOKUP(PlayerGameData[[#This Row],[Opponent]],WYTeamInfo,2,FALSE)=Roster!$D$1,VLOOKUP(PlayerGameData[[#This Row],[Opponent]],WYTeamInfo,3,FALSE)=Roster!$D$2),"SR","")),"")</f>
        <v>SR</v>
      </c>
      <c r="AH426" s="8" t="str">
        <f>CONCATENATE(Roster!$D$1," ",Roster!$D$5)</f>
        <v>1A BB</v>
      </c>
      <c r="AI426" s="8" t="str">
        <f t="shared" ca="1" si="212"/>
        <v>Upton - Arvada Clearmont 2/11/2023</v>
      </c>
      <c r="AJ426" s="8">
        <f ca="1">IFERROR(VLOOKUP(PlayerGameData[[#This Row],[School, Opponent,Game'#]],Table3[],2,FALSE),0)</f>
        <v>1</v>
      </c>
      <c r="AK426" s="8">
        <f ca="1">IF(PlayerGameData[[#This Row],[Visible]]=1,1,1000)</f>
        <v>1</v>
      </c>
      <c r="AL426" s="8">
        <f ca="1">RANK(PlayerGameData[[#This Row],[TL PTS]],PlayerGameData[TL PTS],0)+PlayerGameData[[#This Row],[VisibleOrder]]</f>
        <v>135</v>
      </c>
      <c r="AM426" s="8">
        <f ca="1">IF(COUNTIF(PlayerGameData[PointOrder],PlayerGameData[[#This Row],[PointOrder]])&gt;1,RANK(PlayerGameData[[#This Row],[FGA]],PlayerGameData[FGA],0)/100,0)+PlayerGameData[[#This Row],[PointOrder]]</f>
        <v>136.27000000000001</v>
      </c>
      <c r="AN426" s="8">
        <f ca="1">RANK(PlayerGameData[[#This Row],[PointTieBreak]],PlayerGameData[PointTieBreak],1)</f>
        <v>136</v>
      </c>
      <c r="AO426" s="8">
        <f ca="1">RANK(PlayerGameData[[#This Row],[REB]],PlayerGameData[REB],0)+PlayerGameData[[#This Row],[VisibleOrder]]</f>
        <v>192</v>
      </c>
      <c r="AP426" s="8">
        <f ca="1">IF(COUNTIF(PlayerGameData[REBOrder],PlayerGameData[[#This Row],[REBOrder]])&gt;1,PlayerGameData[[#This Row],[PointRank]]/100+PlayerGameData[[#This Row],[REBOrder]],PlayerGameData[[#This Row],[REBOrder]])</f>
        <v>193.36</v>
      </c>
      <c r="AQ426" s="8">
        <f ca="1">RANK(PlayerGameData[[#This Row],[REBTieBreak]],PlayerGameData[REBTieBreak],1)</f>
        <v>195</v>
      </c>
      <c r="AR426" s="8">
        <f ca="1">RANK(PlayerGameData[[#This Row],[AST]],PlayerGameData[AST],0)+PlayerGameData[[#This Row],[VisibleOrder]]</f>
        <v>158</v>
      </c>
      <c r="AS426" s="8">
        <f ca="1">IF(COUNTIF(PlayerGameData[ASTOrder],PlayerGameData[[#This Row],[ASTOrder]])&gt;1,PlayerGameData[[#This Row],[PointRank]]/100+PlayerGameData[[#This Row],[ASTOrder]],PlayerGameData[[#This Row],[ASTOrder]])</f>
        <v>159.36000000000001</v>
      </c>
      <c r="AT426" s="8">
        <f ca="1">RANK(PlayerGameData[[#This Row],[ASTTieBreak]],PlayerGameData[ASTTieBreak],1)</f>
        <v>173</v>
      </c>
      <c r="AU426" s="8">
        <f ca="1">RANK(PlayerGameData[[#This Row],[STL]],PlayerGameData[STL],0)+PlayerGameData[[#This Row],[VisibleOrder]]</f>
        <v>143</v>
      </c>
      <c r="AV426" s="8">
        <f ca="1">IF(COUNTIF(PlayerGameData[STLOrder],PlayerGameData[[#This Row],[STLOrder]])&gt;1,PlayerGameData[[#This Row],[PointRank]]/100+PlayerGameData[[#This Row],[STLOrder]],PlayerGameData[[#This Row],[STLOrder]])</f>
        <v>144.36000000000001</v>
      </c>
      <c r="AW426" s="8">
        <f ca="1">RANK(PlayerGameData[[#This Row],[STLTieBreak]],PlayerGameData[STLTieBreak],1)</f>
        <v>165</v>
      </c>
      <c r="AX426" s="8">
        <f ca="1">RANK(PlayerGameData[[#This Row],[BLK]],PlayerGameData[BLK],0)+PlayerGameData[[#This Row],[VisibleOrder]]</f>
        <v>32</v>
      </c>
      <c r="AY426" s="8">
        <f ca="1">IF(COUNTIF(PlayerGameData[BLKOrder],PlayerGameData[[#This Row],[BLKOrder]])&gt;1,PlayerGameData[[#This Row],[PointRank]]/100+PlayerGameData[[#This Row],[BLKOrder]],PlayerGameData[[#This Row],[BLKOrder]])</f>
        <v>33.36</v>
      </c>
      <c r="AZ426" s="8">
        <f ca="1">RANK(PlayerGameData[[#This Row],[BLKTieBreak]],PlayerGameData[BLKTieBreak],1)</f>
        <v>140</v>
      </c>
      <c r="BA426" s="11">
        <f ca="1">IFERROR(IF(PlayerGameData[[#This Row],[FGA]]&gt;$AA$5,PlayerGameData[[#This Row],[FG%*]],PlayerGameData[[#This Row],[FG%*]]*-1),-2)</f>
        <v>-0.25</v>
      </c>
      <c r="BB426" s="8">
        <f ca="1">RANK(PlayerGameData[[#This Row],[EligFG]],PlayerGameData[EligFG],0)+PlayerGameData[[#This Row],[VisibleOrder]]</f>
        <v>160</v>
      </c>
      <c r="BC426" s="8">
        <f ca="1">IF(COUNTIF(PlayerGameData[EligFGOrder],PlayerGameData[[#This Row],[EligFGOrder]])&gt;1,PlayerGameData[[#This Row],[PointRank]]/100+PlayerGameData[[#This Row],[EligFGOrder]],PlayerGameData[[#This Row],[EligFGOrder]])</f>
        <v>161.36000000000001</v>
      </c>
      <c r="BD426" s="8">
        <f ca="1">RANK(PlayerGameData[[#This Row],[EligFGTieBreak]],PlayerGameData[EligFGTieBreak],1)</f>
        <v>160</v>
      </c>
      <c r="BE426" s="8" t="str">
        <f>Roster!$D$3</f>
        <v>East</v>
      </c>
      <c r="BF426" s="8" t="str">
        <f>Roster!$D$2</f>
        <v>Northeast</v>
      </c>
      <c r="BG426" s="8" t="str">
        <f>Roster!$D$4</f>
        <v>North</v>
      </c>
      <c r="BH426" s="197">
        <f ca="1">IFERROR(VLOOKUP(CONCATENATE(PlayerGameData[[#This Row],[Opponent]]," ",MONTH(PlayerGameData[[#This Row],[Date]]),"/",DAY(PlayerGameData[[#This Row],[Date]]),"/",YEAR(PlayerGameData[[#This Row],[Date]])),Table35[],2,FALSE),0)</f>
        <v>1</v>
      </c>
      <c r="BI426" s="197">
        <f ca="1">IF(PlayerGameData[[#This Row],[Visible]]=1,1,1000)</f>
        <v>1</v>
      </c>
      <c r="BJ426" s="197" t="e">
        <f ca="1">_xlfn.MAXIFS(TeamGameData[Win],TeamGameData[School, Opponent,Game'#],PlayerGameData[[#This Row],[School, Opponent,Game'#]])</f>
        <v>#NAME?</v>
      </c>
      <c r="BK426" s="197" t="e">
        <f ca="1">_xlfn.MAXIFS(TeamGameData[Loss],TeamGameData[School, Opponent,Game'#],PlayerGameData[[#This Row],[School, Opponent,Game'#]])</f>
        <v>#NAME?</v>
      </c>
    </row>
    <row r="427" spans="1:63" x14ac:dyDescent="0.25">
      <c r="A427" s="8" t="str">
        <f t="shared" ca="1" si="213"/>
        <v>Ryan Baker, 35</v>
      </c>
      <c r="B427" s="8" t="str">
        <f>Roster!$B$1</f>
        <v>Upton</v>
      </c>
      <c r="C427" s="8" t="str">
        <f t="shared" ca="1" si="201"/>
        <v>Arvada Clearmont</v>
      </c>
      <c r="D427" s="10">
        <f t="shared" ca="1" si="202"/>
        <v>44968</v>
      </c>
      <c r="E427" s="8">
        <f t="shared" ca="1" si="203"/>
        <v>1</v>
      </c>
      <c r="F427" s="8">
        <f t="shared" ca="1" si="204"/>
        <v>0</v>
      </c>
      <c r="G427" s="8">
        <f t="shared" ca="1" si="205"/>
        <v>17</v>
      </c>
      <c r="H427" s="8">
        <f t="shared" ca="1" si="206"/>
        <v>0</v>
      </c>
      <c r="I427" s="8">
        <f t="shared" ca="1" si="207"/>
        <v>1</v>
      </c>
      <c r="J427" s="8">
        <f t="shared" ca="1" si="208"/>
        <v>1</v>
      </c>
      <c r="K427" s="8">
        <f t="shared" ca="1" si="209"/>
        <v>1</v>
      </c>
      <c r="L427" s="8">
        <f t="shared" ca="1" si="214"/>
        <v>2</v>
      </c>
      <c r="M427" s="8">
        <f t="shared" ca="1" si="215"/>
        <v>2</v>
      </c>
      <c r="N427" s="8">
        <f t="shared" ca="1" si="216"/>
        <v>1</v>
      </c>
      <c r="O427" s="8">
        <f t="shared" ca="1" si="217"/>
        <v>4</v>
      </c>
      <c r="P427" s="8">
        <f t="shared" ca="1" si="218"/>
        <v>3</v>
      </c>
      <c r="Q427" s="8">
        <f t="shared" ca="1" si="219"/>
        <v>3</v>
      </c>
      <c r="R427" s="8">
        <f t="shared" ca="1" si="220"/>
        <v>0</v>
      </c>
      <c r="S427" s="8">
        <f t="shared" ca="1" si="221"/>
        <v>0</v>
      </c>
      <c r="T427" s="8">
        <f t="shared" ca="1" si="222"/>
        <v>2</v>
      </c>
      <c r="U427" s="8">
        <f t="shared" ca="1" si="223"/>
        <v>0</v>
      </c>
      <c r="V427" s="8">
        <f t="shared" ca="1" si="224"/>
        <v>4</v>
      </c>
      <c r="W427" s="11">
        <f t="shared" ca="1" si="225"/>
        <v>0</v>
      </c>
      <c r="X427" s="11">
        <f t="shared" ca="1" si="226"/>
        <v>1</v>
      </c>
      <c r="Y427" s="11">
        <f t="shared" ca="1" si="227"/>
        <v>1</v>
      </c>
      <c r="Z427" s="11">
        <f t="shared" ca="1" si="228"/>
        <v>0.5</v>
      </c>
      <c r="AA427" s="11">
        <f t="shared" ca="1" si="229"/>
        <v>0.5</v>
      </c>
      <c r="AB427" s="47">
        <f ca="1">PlayerGameData[[#This Row],[3FGA]]+PlayerGameData[[#This Row],[2FGA]]</f>
        <v>2</v>
      </c>
      <c r="AC427" s="47">
        <f ca="1">PlayerGameData[[#This Row],[OFF REB]]+PlayerGameData[[#This Row],[DEF REB]]</f>
        <v>5</v>
      </c>
      <c r="AD427" s="8">
        <f t="shared" si="210"/>
        <v>18</v>
      </c>
      <c r="AE427" s="8" t="str">
        <f t="shared" ca="1" si="211"/>
        <v>Ryan Baker, 35 - Arvada Clearmont 2/11/2023</v>
      </c>
      <c r="AF427" s="8" t="str">
        <f t="shared" ca="1" si="230"/>
        <v>R</v>
      </c>
      <c r="AG427" s="8" t="str">
        <f ca="1">IFERROR(IF(C427=0,"",IF(AND(VLOOKUP(PlayerGameData[[#This Row],[Opponent]],WYTeamInfo,2,FALSE)=Roster!$D$1,VLOOKUP(PlayerGameData[[#This Row],[Opponent]],WYTeamInfo,3,FALSE)=Roster!$D$2),"SR","")),"")</f>
        <v>SR</v>
      </c>
      <c r="AH427" s="8" t="str">
        <f>CONCATENATE(Roster!$D$1," ",Roster!$D$5)</f>
        <v>1A BB</v>
      </c>
      <c r="AI427" s="8" t="str">
        <f t="shared" ca="1" si="212"/>
        <v>Upton - Arvada Clearmont 2/11/2023</v>
      </c>
      <c r="AJ427" s="8">
        <f ca="1">IFERROR(VLOOKUP(PlayerGameData[[#This Row],[School, Opponent,Game'#]],Table3[],2,FALSE),0)</f>
        <v>1</v>
      </c>
      <c r="AK427" s="8">
        <f ca="1">IF(PlayerGameData[[#This Row],[Visible]]=1,1,1000)</f>
        <v>1</v>
      </c>
      <c r="AL427" s="8">
        <f ca="1">RANK(PlayerGameData[[#This Row],[TL PTS]],PlayerGameData[TL PTS],0)+PlayerGameData[[#This Row],[VisibleOrder]]</f>
        <v>118</v>
      </c>
      <c r="AM427" s="8">
        <f ca="1">IF(COUNTIF(PlayerGameData[PointOrder],PlayerGameData[[#This Row],[PointOrder]])&gt;1,RANK(PlayerGameData[[#This Row],[FGA]],PlayerGameData[FGA],0)/100,0)+PlayerGameData[[#This Row],[PointOrder]]</f>
        <v>119.61</v>
      </c>
      <c r="AN427" s="8">
        <f ca="1">RANK(PlayerGameData[[#This Row],[PointTieBreak]],PlayerGameData[PointTieBreak],1)</f>
        <v>131</v>
      </c>
      <c r="AO427" s="8">
        <f ca="1">RANK(PlayerGameData[[#This Row],[REB]],PlayerGameData[REB],0)+PlayerGameData[[#This Row],[VisibleOrder]]</f>
        <v>52</v>
      </c>
      <c r="AP427" s="8">
        <f ca="1">IF(COUNTIF(PlayerGameData[REBOrder],PlayerGameData[[#This Row],[REBOrder]])&gt;1,PlayerGameData[[#This Row],[PointRank]]/100+PlayerGameData[[#This Row],[REBOrder]],PlayerGameData[[#This Row],[REBOrder]])</f>
        <v>53.31</v>
      </c>
      <c r="AQ427" s="8">
        <f ca="1">RANK(PlayerGameData[[#This Row],[REBTieBreak]],PlayerGameData[REBTieBreak],1)</f>
        <v>71</v>
      </c>
      <c r="AR427" s="8">
        <f ca="1">RANK(PlayerGameData[[#This Row],[AST]],PlayerGameData[AST],0)+PlayerGameData[[#This Row],[VisibleOrder]]</f>
        <v>39</v>
      </c>
      <c r="AS427" s="8">
        <f ca="1">IF(COUNTIF(PlayerGameData[ASTOrder],PlayerGameData[[#This Row],[ASTOrder]])&gt;1,PlayerGameData[[#This Row],[PointRank]]/100+PlayerGameData[[#This Row],[ASTOrder]],PlayerGameData[[#This Row],[ASTOrder]])</f>
        <v>40.31</v>
      </c>
      <c r="AT427" s="8">
        <f ca="1">RANK(PlayerGameData[[#This Row],[ASTTieBreak]],PlayerGameData[ASTTieBreak],1)</f>
        <v>61</v>
      </c>
      <c r="AU427" s="8">
        <f ca="1">RANK(PlayerGameData[[#This Row],[STL]],PlayerGameData[STL],0)+PlayerGameData[[#This Row],[VisibleOrder]]</f>
        <v>26</v>
      </c>
      <c r="AV427" s="8">
        <f ca="1">IF(COUNTIF(PlayerGameData[STLOrder],PlayerGameData[[#This Row],[STLOrder]])&gt;1,PlayerGameData[[#This Row],[PointRank]]/100+PlayerGameData[[#This Row],[STLOrder]],PlayerGameData[[#This Row],[STLOrder]])</f>
        <v>27.31</v>
      </c>
      <c r="AW427" s="8">
        <f ca="1">RANK(PlayerGameData[[#This Row],[STLTieBreak]],PlayerGameData[STLTieBreak],1)</f>
        <v>45</v>
      </c>
      <c r="AX427" s="8">
        <f ca="1">RANK(PlayerGameData[[#This Row],[BLK]],PlayerGameData[BLK],0)+PlayerGameData[[#This Row],[VisibleOrder]]</f>
        <v>32</v>
      </c>
      <c r="AY427" s="8">
        <f ca="1">IF(COUNTIF(PlayerGameData[BLKOrder],PlayerGameData[[#This Row],[BLKOrder]])&gt;1,PlayerGameData[[#This Row],[PointRank]]/100+PlayerGameData[[#This Row],[BLKOrder]],PlayerGameData[[#This Row],[BLKOrder]])</f>
        <v>33.31</v>
      </c>
      <c r="AZ427" s="8">
        <f ca="1">RANK(PlayerGameData[[#This Row],[BLKTieBreak]],PlayerGameData[BLKTieBreak],1)</f>
        <v>135</v>
      </c>
      <c r="BA427" s="11">
        <f ca="1">IFERROR(IF(PlayerGameData[[#This Row],[FGA]]&gt;$AA$5,PlayerGameData[[#This Row],[FG%*]],PlayerGameData[[#This Row],[FG%*]]*-1),-2)</f>
        <v>-0.5</v>
      </c>
      <c r="BB427" s="8">
        <f ca="1">RANK(PlayerGameData[[#This Row],[EligFG]],PlayerGameData[EligFG],0)+PlayerGameData[[#This Row],[VisibleOrder]]</f>
        <v>182</v>
      </c>
      <c r="BC427" s="8">
        <f ca="1">IF(COUNTIF(PlayerGameData[EligFGOrder],PlayerGameData[[#This Row],[EligFGOrder]])&gt;1,PlayerGameData[[#This Row],[PointRank]]/100+PlayerGameData[[#This Row],[EligFGOrder]],PlayerGameData[[#This Row],[EligFGOrder]])</f>
        <v>183.31</v>
      </c>
      <c r="BD427" s="8">
        <f ca="1">RANK(PlayerGameData[[#This Row],[EligFGTieBreak]],PlayerGameData[EligFGTieBreak],1)</f>
        <v>186</v>
      </c>
      <c r="BE427" s="8" t="str">
        <f>Roster!$D$3</f>
        <v>East</v>
      </c>
      <c r="BF427" s="8" t="str">
        <f>Roster!$D$2</f>
        <v>Northeast</v>
      </c>
      <c r="BG427" s="8" t="str">
        <f>Roster!$D$4</f>
        <v>North</v>
      </c>
      <c r="BH427" s="197">
        <f ca="1">IFERROR(VLOOKUP(CONCATENATE(PlayerGameData[[#This Row],[Opponent]]," ",MONTH(PlayerGameData[[#This Row],[Date]]),"/",DAY(PlayerGameData[[#This Row],[Date]]),"/",YEAR(PlayerGameData[[#This Row],[Date]])),Table35[],2,FALSE),0)</f>
        <v>1</v>
      </c>
      <c r="BI427" s="197">
        <f ca="1">IF(PlayerGameData[[#This Row],[Visible]]=1,1,1000)</f>
        <v>1</v>
      </c>
      <c r="BJ427" s="197" t="e">
        <f ca="1">_xlfn.MAXIFS(TeamGameData[Win],TeamGameData[School, Opponent,Game'#],PlayerGameData[[#This Row],[School, Opponent,Game'#]])</f>
        <v>#NAME?</v>
      </c>
      <c r="BK427" s="197" t="e">
        <f ca="1">_xlfn.MAXIFS(TeamGameData[Loss],TeamGameData[School, Opponent,Game'#],PlayerGameData[[#This Row],[School, Opponent,Game'#]])</f>
        <v>#NAME?</v>
      </c>
    </row>
    <row r="428" spans="1:63" x14ac:dyDescent="0.25">
      <c r="A428" s="8" t="str">
        <f t="shared" ca="1" si="213"/>
        <v xml:space="preserve">, </v>
      </c>
      <c r="B428" s="8" t="str">
        <f>Roster!$B$1</f>
        <v>Upton</v>
      </c>
      <c r="C428" s="8" t="str">
        <f t="shared" ca="1" si="201"/>
        <v>Arvada Clearmont</v>
      </c>
      <c r="D428" s="10">
        <f t="shared" ca="1" si="202"/>
        <v>44968</v>
      </c>
      <c r="E428" s="8">
        <f t="shared" ca="1" si="203"/>
        <v>0</v>
      </c>
      <c r="F428" s="8">
        <f t="shared" ca="1" si="204"/>
        <v>0</v>
      </c>
      <c r="G428" s="8">
        <f t="shared" ca="1" si="205"/>
        <v>0</v>
      </c>
      <c r="H428" s="8">
        <f t="shared" ca="1" si="206"/>
        <v>0</v>
      </c>
      <c r="I428" s="8">
        <f t="shared" ca="1" si="207"/>
        <v>0</v>
      </c>
      <c r="J428" s="8">
        <f t="shared" ca="1" si="208"/>
        <v>0</v>
      </c>
      <c r="K428" s="8">
        <f t="shared" ca="1" si="209"/>
        <v>0</v>
      </c>
      <c r="L428" s="8">
        <f t="shared" ca="1" si="214"/>
        <v>0</v>
      </c>
      <c r="M428" s="8">
        <f t="shared" ca="1" si="215"/>
        <v>0</v>
      </c>
      <c r="N428" s="8">
        <f t="shared" ca="1" si="216"/>
        <v>0</v>
      </c>
      <c r="O428" s="8">
        <f t="shared" ca="1" si="217"/>
        <v>0</v>
      </c>
      <c r="P428" s="8">
        <f t="shared" ca="1" si="218"/>
        <v>0</v>
      </c>
      <c r="Q428" s="8">
        <f t="shared" ca="1" si="219"/>
        <v>0</v>
      </c>
      <c r="R428" s="8">
        <f t="shared" ca="1" si="220"/>
        <v>0</v>
      </c>
      <c r="S428" s="8">
        <f t="shared" ca="1" si="221"/>
        <v>0</v>
      </c>
      <c r="T428" s="8">
        <f t="shared" ca="1" si="222"/>
        <v>0</v>
      </c>
      <c r="U428" s="8">
        <f t="shared" ca="1" si="223"/>
        <v>0</v>
      </c>
      <c r="V428" s="8">
        <f t="shared" ca="1" si="224"/>
        <v>0</v>
      </c>
      <c r="W428" s="11" t="str">
        <f t="shared" ca="1" si="225"/>
        <v/>
      </c>
      <c r="X428" s="11" t="str">
        <f t="shared" ca="1" si="226"/>
        <v/>
      </c>
      <c r="Y428" s="11" t="str">
        <f t="shared" ca="1" si="227"/>
        <v/>
      </c>
      <c r="Z428" s="11" t="str">
        <f t="shared" ca="1" si="228"/>
        <v/>
      </c>
      <c r="AA428" s="11" t="str">
        <f t="shared" ca="1" si="229"/>
        <v/>
      </c>
      <c r="AB428" s="47">
        <f ca="1">PlayerGameData[[#This Row],[3FGA]]+PlayerGameData[[#This Row],[2FGA]]</f>
        <v>0</v>
      </c>
      <c r="AC428" s="47">
        <f ca="1">PlayerGameData[[#This Row],[OFF REB]]+PlayerGameData[[#This Row],[DEF REB]]</f>
        <v>0</v>
      </c>
      <c r="AD428" s="8">
        <f t="shared" si="210"/>
        <v>18</v>
      </c>
      <c r="AE428" s="8" t="str">
        <f t="shared" ca="1" si="211"/>
        <v>,  - Arvada Clearmont 2/11/2023</v>
      </c>
      <c r="AF428" s="8" t="str">
        <f t="shared" ca="1" si="230"/>
        <v>R</v>
      </c>
      <c r="AG428" s="8" t="str">
        <f ca="1">IFERROR(IF(C428=0,"",IF(AND(VLOOKUP(PlayerGameData[[#This Row],[Opponent]],WYTeamInfo,2,FALSE)=Roster!$D$1,VLOOKUP(PlayerGameData[[#This Row],[Opponent]],WYTeamInfo,3,FALSE)=Roster!$D$2),"SR","")),"")</f>
        <v>SR</v>
      </c>
      <c r="AH428" s="8" t="str">
        <f>CONCATENATE(Roster!$D$1," ",Roster!$D$5)</f>
        <v>1A BB</v>
      </c>
      <c r="AI428" s="8" t="str">
        <f t="shared" ca="1" si="212"/>
        <v>Upton - Arvada Clearmont 2/11/2023</v>
      </c>
      <c r="AJ428" s="8">
        <f ca="1">IFERROR(VLOOKUP(PlayerGameData[[#This Row],[School, Opponent,Game'#]],Table3[],2,FALSE),0)</f>
        <v>1</v>
      </c>
      <c r="AK428" s="8">
        <f ca="1">IF(PlayerGameData[[#This Row],[Visible]]=1,1,1000)</f>
        <v>1</v>
      </c>
      <c r="AL428" s="8">
        <f ca="1">RANK(PlayerGameData[[#This Row],[TL PTS]],PlayerGameData[TL PTS],0)+PlayerGameData[[#This Row],[VisibleOrder]]</f>
        <v>185</v>
      </c>
      <c r="AM428" s="8">
        <f ca="1">IF(COUNTIF(PlayerGameData[PointOrder],PlayerGameData[[#This Row],[PointOrder]])&gt;1,RANK(PlayerGameData[[#This Row],[FGA]],PlayerGameData[FGA],0)/100,0)+PlayerGameData[[#This Row],[PointOrder]]</f>
        <v>187.14</v>
      </c>
      <c r="AN428" s="8">
        <f ca="1">RANK(PlayerGameData[[#This Row],[PointTieBreak]],PlayerGameData[PointTieBreak],1)</f>
        <v>216</v>
      </c>
      <c r="AO428" s="8">
        <f ca="1">RANK(PlayerGameData[[#This Row],[REB]],PlayerGameData[REB],0)+PlayerGameData[[#This Row],[VisibleOrder]]</f>
        <v>192</v>
      </c>
      <c r="AP428" s="8">
        <f ca="1">IF(COUNTIF(PlayerGameData[REBOrder],PlayerGameData[[#This Row],[REBOrder]])&gt;1,PlayerGameData[[#This Row],[PointRank]]/100+PlayerGameData[[#This Row],[REBOrder]],PlayerGameData[[#This Row],[REBOrder]])</f>
        <v>194.16</v>
      </c>
      <c r="AQ428" s="8">
        <f ca="1">RANK(PlayerGameData[[#This Row],[REBTieBreak]],PlayerGameData[REBTieBreak],1)</f>
        <v>224</v>
      </c>
      <c r="AR428" s="8">
        <f ca="1">RANK(PlayerGameData[[#This Row],[AST]],PlayerGameData[AST],0)+PlayerGameData[[#This Row],[VisibleOrder]]</f>
        <v>158</v>
      </c>
      <c r="AS428" s="8">
        <f ca="1">IF(COUNTIF(PlayerGameData[ASTOrder],PlayerGameData[[#This Row],[ASTOrder]])&gt;1,PlayerGameData[[#This Row],[PointRank]]/100+PlayerGameData[[#This Row],[ASTOrder]],PlayerGameData[[#This Row],[ASTOrder]])</f>
        <v>160.16</v>
      </c>
      <c r="AT428" s="8">
        <f ca="1">RANK(PlayerGameData[[#This Row],[ASTTieBreak]],PlayerGameData[ASTTieBreak],1)</f>
        <v>221</v>
      </c>
      <c r="AU428" s="8">
        <f ca="1">RANK(PlayerGameData[[#This Row],[STL]],PlayerGameData[STL],0)+PlayerGameData[[#This Row],[VisibleOrder]]</f>
        <v>143</v>
      </c>
      <c r="AV428" s="8">
        <f ca="1">IF(COUNTIF(PlayerGameData[STLOrder],PlayerGameData[[#This Row],[STLOrder]])&gt;1,PlayerGameData[[#This Row],[PointRank]]/100+PlayerGameData[[#This Row],[STLOrder]],PlayerGameData[[#This Row],[STLOrder]])</f>
        <v>145.16</v>
      </c>
      <c r="AW428" s="8">
        <f ca="1">RANK(PlayerGameData[[#This Row],[STLTieBreak]],PlayerGameData[STLTieBreak],1)</f>
        <v>217</v>
      </c>
      <c r="AX428" s="8">
        <f ca="1">RANK(PlayerGameData[[#This Row],[BLK]],PlayerGameData[BLK],0)+PlayerGameData[[#This Row],[VisibleOrder]]</f>
        <v>32</v>
      </c>
      <c r="AY428" s="8">
        <f ca="1">IF(COUNTIF(PlayerGameData[BLKOrder],PlayerGameData[[#This Row],[BLKOrder]])&gt;1,PlayerGameData[[#This Row],[PointRank]]/100+PlayerGameData[[#This Row],[BLKOrder]],PlayerGameData[[#This Row],[BLKOrder]])</f>
        <v>34.159999999999997</v>
      </c>
      <c r="AZ428" s="8">
        <f ca="1">RANK(PlayerGameData[[#This Row],[BLKTieBreak]],PlayerGameData[BLKTieBreak],1)</f>
        <v>216</v>
      </c>
      <c r="BA428" s="11">
        <f ca="1">IFERROR(IF(PlayerGameData[[#This Row],[FGA]]&gt;$AA$5,PlayerGameData[[#This Row],[FG%*]],PlayerGameData[[#This Row],[FG%*]]*-1),-2)</f>
        <v>-2</v>
      </c>
      <c r="BB428" s="8">
        <f ca="1">RANK(PlayerGameData[[#This Row],[EligFG]],PlayerGameData[EligFG],0)+PlayerGameData[[#This Row],[VisibleOrder]]</f>
        <v>215</v>
      </c>
      <c r="BC428" s="8">
        <f ca="1">IF(COUNTIF(PlayerGameData[EligFGOrder],PlayerGameData[[#This Row],[EligFGOrder]])&gt;1,PlayerGameData[[#This Row],[PointRank]]/100+PlayerGameData[[#This Row],[EligFGOrder]],PlayerGameData[[#This Row],[EligFGOrder]])</f>
        <v>217.16</v>
      </c>
      <c r="BD428" s="8">
        <f ca="1">RANK(PlayerGameData[[#This Row],[EligFGTieBreak]],PlayerGameData[EligFGTieBreak],1)</f>
        <v>216</v>
      </c>
      <c r="BE428" s="8" t="str">
        <f>Roster!$D$3</f>
        <v>East</v>
      </c>
      <c r="BF428" s="8" t="str">
        <f>Roster!$D$2</f>
        <v>Northeast</v>
      </c>
      <c r="BG428" s="8" t="str">
        <f>Roster!$D$4</f>
        <v>North</v>
      </c>
      <c r="BH428" s="197">
        <f ca="1">IFERROR(VLOOKUP(CONCATENATE(PlayerGameData[[#This Row],[Opponent]]," ",MONTH(PlayerGameData[[#This Row],[Date]]),"/",DAY(PlayerGameData[[#This Row],[Date]]),"/",YEAR(PlayerGameData[[#This Row],[Date]])),Table35[],2,FALSE),0)</f>
        <v>1</v>
      </c>
      <c r="BI428" s="197">
        <f ca="1">IF(PlayerGameData[[#This Row],[Visible]]=1,1,1000)</f>
        <v>1</v>
      </c>
      <c r="BJ428" s="197" t="e">
        <f ca="1">_xlfn.MAXIFS(TeamGameData[Win],TeamGameData[School, Opponent,Game'#],PlayerGameData[[#This Row],[School, Opponent,Game'#]])</f>
        <v>#NAME?</v>
      </c>
      <c r="BK428" s="197" t="e">
        <f ca="1">_xlfn.MAXIFS(TeamGameData[Loss],TeamGameData[School, Opponent,Game'#],PlayerGameData[[#This Row],[School, Opponent,Game'#]])</f>
        <v>#NAME?</v>
      </c>
    </row>
    <row r="429" spans="1:63" x14ac:dyDescent="0.25">
      <c r="A429" s="8" t="str">
        <f t="shared" ca="1" si="213"/>
        <v xml:space="preserve">, </v>
      </c>
      <c r="B429" s="8" t="str">
        <f>Roster!$B$1</f>
        <v>Upton</v>
      </c>
      <c r="C429" s="8" t="str">
        <f t="shared" ca="1" si="201"/>
        <v>Arvada Clearmont</v>
      </c>
      <c r="D429" s="10">
        <f t="shared" ca="1" si="202"/>
        <v>44968</v>
      </c>
      <c r="E429" s="8">
        <f t="shared" ca="1" si="203"/>
        <v>0</v>
      </c>
      <c r="F429" s="8">
        <f t="shared" ca="1" si="204"/>
        <v>0</v>
      </c>
      <c r="G429" s="8">
        <f t="shared" ca="1" si="205"/>
        <v>0</v>
      </c>
      <c r="H429" s="8">
        <f t="shared" ca="1" si="206"/>
        <v>0</v>
      </c>
      <c r="I429" s="8">
        <f t="shared" ca="1" si="207"/>
        <v>0</v>
      </c>
      <c r="J429" s="8">
        <f t="shared" ca="1" si="208"/>
        <v>0</v>
      </c>
      <c r="K429" s="8">
        <f t="shared" ca="1" si="209"/>
        <v>0</v>
      </c>
      <c r="L429" s="8">
        <f t="shared" ca="1" si="214"/>
        <v>0</v>
      </c>
      <c r="M429" s="8">
        <f t="shared" ca="1" si="215"/>
        <v>0</v>
      </c>
      <c r="N429" s="8">
        <f t="shared" ca="1" si="216"/>
        <v>0</v>
      </c>
      <c r="O429" s="8">
        <f t="shared" ca="1" si="217"/>
        <v>0</v>
      </c>
      <c r="P429" s="8">
        <f t="shared" ca="1" si="218"/>
        <v>0</v>
      </c>
      <c r="Q429" s="8">
        <f t="shared" ca="1" si="219"/>
        <v>0</v>
      </c>
      <c r="R429" s="8">
        <f t="shared" ca="1" si="220"/>
        <v>0</v>
      </c>
      <c r="S429" s="8">
        <f t="shared" ca="1" si="221"/>
        <v>0</v>
      </c>
      <c r="T429" s="8">
        <f t="shared" ca="1" si="222"/>
        <v>0</v>
      </c>
      <c r="U429" s="8">
        <f t="shared" ca="1" si="223"/>
        <v>0</v>
      </c>
      <c r="V429" s="8">
        <f t="shared" ca="1" si="224"/>
        <v>0</v>
      </c>
      <c r="W429" s="11" t="str">
        <f t="shared" ca="1" si="225"/>
        <v/>
      </c>
      <c r="X429" s="11" t="str">
        <f t="shared" ca="1" si="226"/>
        <v/>
      </c>
      <c r="Y429" s="11" t="str">
        <f t="shared" ca="1" si="227"/>
        <v/>
      </c>
      <c r="Z429" s="11" t="str">
        <f t="shared" ca="1" si="228"/>
        <v/>
      </c>
      <c r="AA429" s="11" t="str">
        <f t="shared" ca="1" si="229"/>
        <v/>
      </c>
      <c r="AB429" s="47">
        <f ca="1">PlayerGameData[[#This Row],[3FGA]]+PlayerGameData[[#This Row],[2FGA]]</f>
        <v>0</v>
      </c>
      <c r="AC429" s="47">
        <f ca="1">PlayerGameData[[#This Row],[OFF REB]]+PlayerGameData[[#This Row],[DEF REB]]</f>
        <v>0</v>
      </c>
      <c r="AD429" s="8">
        <f t="shared" si="210"/>
        <v>18</v>
      </c>
      <c r="AE429" s="8" t="str">
        <f t="shared" ca="1" si="211"/>
        <v>,  - Arvada Clearmont 2/11/2023</v>
      </c>
      <c r="AF429" s="8" t="str">
        <f t="shared" ca="1" si="230"/>
        <v>R</v>
      </c>
      <c r="AG429" s="8" t="str">
        <f ca="1">IFERROR(IF(C429=0,"",IF(AND(VLOOKUP(PlayerGameData[[#This Row],[Opponent]],WYTeamInfo,2,FALSE)=Roster!$D$1,VLOOKUP(PlayerGameData[[#This Row],[Opponent]],WYTeamInfo,3,FALSE)=Roster!$D$2),"SR","")),"")</f>
        <v>SR</v>
      </c>
      <c r="AH429" s="8" t="str">
        <f>CONCATENATE(Roster!$D$1," ",Roster!$D$5)</f>
        <v>1A BB</v>
      </c>
      <c r="AI429" s="8" t="str">
        <f t="shared" ca="1" si="212"/>
        <v>Upton - Arvada Clearmont 2/11/2023</v>
      </c>
      <c r="AJ429" s="8">
        <f ca="1">IFERROR(VLOOKUP(PlayerGameData[[#This Row],[School, Opponent,Game'#]],Table3[],2,FALSE),0)</f>
        <v>1</v>
      </c>
      <c r="AK429" s="8">
        <f ca="1">IF(PlayerGameData[[#This Row],[Visible]]=1,1,1000)</f>
        <v>1</v>
      </c>
      <c r="AL429" s="8">
        <f ca="1">RANK(PlayerGameData[[#This Row],[TL PTS]],PlayerGameData[TL PTS],0)+PlayerGameData[[#This Row],[VisibleOrder]]</f>
        <v>185</v>
      </c>
      <c r="AM429" s="8">
        <f ca="1">IF(COUNTIF(PlayerGameData[PointOrder],PlayerGameData[[#This Row],[PointOrder]])&gt;1,RANK(PlayerGameData[[#This Row],[FGA]],PlayerGameData[FGA],0)/100,0)+PlayerGameData[[#This Row],[PointOrder]]</f>
        <v>187.14</v>
      </c>
      <c r="AN429" s="8">
        <f ca="1">RANK(PlayerGameData[[#This Row],[PointTieBreak]],PlayerGameData[PointTieBreak],1)</f>
        <v>216</v>
      </c>
      <c r="AO429" s="8">
        <f ca="1">RANK(PlayerGameData[[#This Row],[REB]],PlayerGameData[REB],0)+PlayerGameData[[#This Row],[VisibleOrder]]</f>
        <v>192</v>
      </c>
      <c r="AP429" s="8">
        <f ca="1">IF(COUNTIF(PlayerGameData[REBOrder],PlayerGameData[[#This Row],[REBOrder]])&gt;1,PlayerGameData[[#This Row],[PointRank]]/100+PlayerGameData[[#This Row],[REBOrder]],PlayerGameData[[#This Row],[REBOrder]])</f>
        <v>194.16</v>
      </c>
      <c r="AQ429" s="8">
        <f ca="1">RANK(PlayerGameData[[#This Row],[REBTieBreak]],PlayerGameData[REBTieBreak],1)</f>
        <v>224</v>
      </c>
      <c r="AR429" s="8">
        <f ca="1">RANK(PlayerGameData[[#This Row],[AST]],PlayerGameData[AST],0)+PlayerGameData[[#This Row],[VisibleOrder]]</f>
        <v>158</v>
      </c>
      <c r="AS429" s="8">
        <f ca="1">IF(COUNTIF(PlayerGameData[ASTOrder],PlayerGameData[[#This Row],[ASTOrder]])&gt;1,PlayerGameData[[#This Row],[PointRank]]/100+PlayerGameData[[#This Row],[ASTOrder]],PlayerGameData[[#This Row],[ASTOrder]])</f>
        <v>160.16</v>
      </c>
      <c r="AT429" s="8">
        <f ca="1">RANK(PlayerGameData[[#This Row],[ASTTieBreak]],PlayerGameData[ASTTieBreak],1)</f>
        <v>221</v>
      </c>
      <c r="AU429" s="8">
        <f ca="1">RANK(PlayerGameData[[#This Row],[STL]],PlayerGameData[STL],0)+PlayerGameData[[#This Row],[VisibleOrder]]</f>
        <v>143</v>
      </c>
      <c r="AV429" s="8">
        <f ca="1">IF(COUNTIF(PlayerGameData[STLOrder],PlayerGameData[[#This Row],[STLOrder]])&gt;1,PlayerGameData[[#This Row],[PointRank]]/100+PlayerGameData[[#This Row],[STLOrder]],PlayerGameData[[#This Row],[STLOrder]])</f>
        <v>145.16</v>
      </c>
      <c r="AW429" s="8">
        <f ca="1">RANK(PlayerGameData[[#This Row],[STLTieBreak]],PlayerGameData[STLTieBreak],1)</f>
        <v>217</v>
      </c>
      <c r="AX429" s="8">
        <f ca="1">RANK(PlayerGameData[[#This Row],[BLK]],PlayerGameData[BLK],0)+PlayerGameData[[#This Row],[VisibleOrder]]</f>
        <v>32</v>
      </c>
      <c r="AY429" s="8">
        <f ca="1">IF(COUNTIF(PlayerGameData[BLKOrder],PlayerGameData[[#This Row],[BLKOrder]])&gt;1,PlayerGameData[[#This Row],[PointRank]]/100+PlayerGameData[[#This Row],[BLKOrder]],PlayerGameData[[#This Row],[BLKOrder]])</f>
        <v>34.159999999999997</v>
      </c>
      <c r="AZ429" s="8">
        <f ca="1">RANK(PlayerGameData[[#This Row],[BLKTieBreak]],PlayerGameData[BLKTieBreak],1)</f>
        <v>216</v>
      </c>
      <c r="BA429" s="11">
        <f ca="1">IFERROR(IF(PlayerGameData[[#This Row],[FGA]]&gt;$AA$5,PlayerGameData[[#This Row],[FG%*]],PlayerGameData[[#This Row],[FG%*]]*-1),-2)</f>
        <v>-2</v>
      </c>
      <c r="BB429" s="8">
        <f ca="1">RANK(PlayerGameData[[#This Row],[EligFG]],PlayerGameData[EligFG],0)+PlayerGameData[[#This Row],[VisibleOrder]]</f>
        <v>215</v>
      </c>
      <c r="BC429" s="8">
        <f ca="1">IF(COUNTIF(PlayerGameData[EligFGOrder],PlayerGameData[[#This Row],[EligFGOrder]])&gt;1,PlayerGameData[[#This Row],[PointRank]]/100+PlayerGameData[[#This Row],[EligFGOrder]],PlayerGameData[[#This Row],[EligFGOrder]])</f>
        <v>217.16</v>
      </c>
      <c r="BD429" s="8">
        <f ca="1">RANK(PlayerGameData[[#This Row],[EligFGTieBreak]],PlayerGameData[EligFGTieBreak],1)</f>
        <v>216</v>
      </c>
      <c r="BE429" s="8" t="str">
        <f>Roster!$D$3</f>
        <v>East</v>
      </c>
      <c r="BF429" s="8" t="str">
        <f>Roster!$D$2</f>
        <v>Northeast</v>
      </c>
      <c r="BG429" s="8" t="str">
        <f>Roster!$D$4</f>
        <v>North</v>
      </c>
      <c r="BH429" s="197">
        <f ca="1">IFERROR(VLOOKUP(CONCATENATE(PlayerGameData[[#This Row],[Opponent]]," ",MONTH(PlayerGameData[[#This Row],[Date]]),"/",DAY(PlayerGameData[[#This Row],[Date]]),"/",YEAR(PlayerGameData[[#This Row],[Date]])),Table35[],2,FALSE),0)</f>
        <v>1</v>
      </c>
      <c r="BI429" s="197">
        <f ca="1">IF(PlayerGameData[[#This Row],[Visible]]=1,1,1000)</f>
        <v>1</v>
      </c>
      <c r="BJ429" s="197" t="e">
        <f ca="1">_xlfn.MAXIFS(TeamGameData[Win],TeamGameData[School, Opponent,Game'#],PlayerGameData[[#This Row],[School, Opponent,Game'#]])</f>
        <v>#NAME?</v>
      </c>
      <c r="BK429" s="197" t="e">
        <f ca="1">_xlfn.MAXIFS(TeamGameData[Loss],TeamGameData[School, Opponent,Game'#],PlayerGameData[[#This Row],[School, Opponent,Game'#]])</f>
        <v>#NAME?</v>
      </c>
    </row>
    <row r="430" spans="1:63" x14ac:dyDescent="0.25">
      <c r="A430" s="8" t="str">
        <f t="shared" ca="1" si="213"/>
        <v xml:space="preserve">, </v>
      </c>
      <c r="B430" s="8" t="str">
        <f>Roster!$B$1</f>
        <v>Upton</v>
      </c>
      <c r="C430" s="8" t="str">
        <f t="shared" ca="1" si="201"/>
        <v>Arvada Clearmont</v>
      </c>
      <c r="D430" s="10">
        <f t="shared" ca="1" si="202"/>
        <v>44968</v>
      </c>
      <c r="E430" s="8">
        <f t="shared" ca="1" si="203"/>
        <v>0</v>
      </c>
      <c r="F430" s="8">
        <f t="shared" ca="1" si="204"/>
        <v>0</v>
      </c>
      <c r="G430" s="8">
        <f t="shared" ca="1" si="205"/>
        <v>0</v>
      </c>
      <c r="H430" s="8">
        <f t="shared" ca="1" si="206"/>
        <v>0</v>
      </c>
      <c r="I430" s="8">
        <f t="shared" ca="1" si="207"/>
        <v>0</v>
      </c>
      <c r="J430" s="8">
        <f t="shared" ca="1" si="208"/>
        <v>0</v>
      </c>
      <c r="K430" s="8">
        <f t="shared" ca="1" si="209"/>
        <v>0</v>
      </c>
      <c r="L430" s="8">
        <f t="shared" ca="1" si="214"/>
        <v>0</v>
      </c>
      <c r="M430" s="8">
        <f t="shared" ca="1" si="215"/>
        <v>0</v>
      </c>
      <c r="N430" s="8">
        <f t="shared" ca="1" si="216"/>
        <v>0</v>
      </c>
      <c r="O430" s="8">
        <f t="shared" ca="1" si="217"/>
        <v>0</v>
      </c>
      <c r="P430" s="8">
        <f t="shared" ca="1" si="218"/>
        <v>0</v>
      </c>
      <c r="Q430" s="8">
        <f t="shared" ca="1" si="219"/>
        <v>0</v>
      </c>
      <c r="R430" s="8">
        <f t="shared" ca="1" si="220"/>
        <v>0</v>
      </c>
      <c r="S430" s="8">
        <f t="shared" ca="1" si="221"/>
        <v>0</v>
      </c>
      <c r="T430" s="8">
        <f t="shared" ca="1" si="222"/>
        <v>0</v>
      </c>
      <c r="U430" s="8">
        <f t="shared" ca="1" si="223"/>
        <v>0</v>
      </c>
      <c r="V430" s="8">
        <f t="shared" ca="1" si="224"/>
        <v>0</v>
      </c>
      <c r="W430" s="11" t="str">
        <f t="shared" ca="1" si="225"/>
        <v/>
      </c>
      <c r="X430" s="11" t="str">
        <f t="shared" ca="1" si="226"/>
        <v/>
      </c>
      <c r="Y430" s="11" t="str">
        <f t="shared" ca="1" si="227"/>
        <v/>
      </c>
      <c r="Z430" s="11" t="str">
        <f t="shared" ca="1" si="228"/>
        <v/>
      </c>
      <c r="AA430" s="11" t="str">
        <f t="shared" ca="1" si="229"/>
        <v/>
      </c>
      <c r="AB430" s="47">
        <f ca="1">PlayerGameData[[#This Row],[3FGA]]+PlayerGameData[[#This Row],[2FGA]]</f>
        <v>0</v>
      </c>
      <c r="AC430" s="47">
        <f ca="1">PlayerGameData[[#This Row],[OFF REB]]+PlayerGameData[[#This Row],[DEF REB]]</f>
        <v>0</v>
      </c>
      <c r="AD430" s="8">
        <f t="shared" si="210"/>
        <v>18</v>
      </c>
      <c r="AE430" s="8" t="str">
        <f t="shared" ca="1" si="211"/>
        <v>,  - Arvada Clearmont 2/11/2023</v>
      </c>
      <c r="AF430" s="8" t="str">
        <f t="shared" ca="1" si="230"/>
        <v>R</v>
      </c>
      <c r="AG430" s="8" t="str">
        <f ca="1">IFERROR(IF(C430=0,"",IF(AND(VLOOKUP(PlayerGameData[[#This Row],[Opponent]],WYTeamInfo,2,FALSE)=Roster!$D$1,VLOOKUP(PlayerGameData[[#This Row],[Opponent]],WYTeamInfo,3,FALSE)=Roster!$D$2),"SR","")),"")</f>
        <v>SR</v>
      </c>
      <c r="AH430" s="8" t="str">
        <f>CONCATENATE(Roster!$D$1," ",Roster!$D$5)</f>
        <v>1A BB</v>
      </c>
      <c r="AI430" s="8" t="str">
        <f t="shared" ca="1" si="212"/>
        <v>Upton - Arvada Clearmont 2/11/2023</v>
      </c>
      <c r="AJ430" s="8">
        <f ca="1">IFERROR(VLOOKUP(PlayerGameData[[#This Row],[School, Opponent,Game'#]],Table3[],2,FALSE),0)</f>
        <v>1</v>
      </c>
      <c r="AK430" s="8">
        <f ca="1">IF(PlayerGameData[[#This Row],[Visible]]=1,1,1000)</f>
        <v>1</v>
      </c>
      <c r="AL430" s="8">
        <f ca="1">RANK(PlayerGameData[[#This Row],[TL PTS]],PlayerGameData[TL PTS],0)+PlayerGameData[[#This Row],[VisibleOrder]]</f>
        <v>185</v>
      </c>
      <c r="AM430" s="8">
        <f ca="1">IF(COUNTIF(PlayerGameData[PointOrder],PlayerGameData[[#This Row],[PointOrder]])&gt;1,RANK(PlayerGameData[[#This Row],[FGA]],PlayerGameData[FGA],0)/100,0)+PlayerGameData[[#This Row],[PointOrder]]</f>
        <v>187.14</v>
      </c>
      <c r="AN430" s="8">
        <f ca="1">RANK(PlayerGameData[[#This Row],[PointTieBreak]],PlayerGameData[PointTieBreak],1)</f>
        <v>216</v>
      </c>
      <c r="AO430" s="8">
        <f ca="1">RANK(PlayerGameData[[#This Row],[REB]],PlayerGameData[REB],0)+PlayerGameData[[#This Row],[VisibleOrder]]</f>
        <v>192</v>
      </c>
      <c r="AP430" s="8">
        <f ca="1">IF(COUNTIF(PlayerGameData[REBOrder],PlayerGameData[[#This Row],[REBOrder]])&gt;1,PlayerGameData[[#This Row],[PointRank]]/100+PlayerGameData[[#This Row],[REBOrder]],PlayerGameData[[#This Row],[REBOrder]])</f>
        <v>194.16</v>
      </c>
      <c r="AQ430" s="8">
        <f ca="1">RANK(PlayerGameData[[#This Row],[REBTieBreak]],PlayerGameData[REBTieBreak],1)</f>
        <v>224</v>
      </c>
      <c r="AR430" s="8">
        <f ca="1">RANK(PlayerGameData[[#This Row],[AST]],PlayerGameData[AST],0)+PlayerGameData[[#This Row],[VisibleOrder]]</f>
        <v>158</v>
      </c>
      <c r="AS430" s="8">
        <f ca="1">IF(COUNTIF(PlayerGameData[ASTOrder],PlayerGameData[[#This Row],[ASTOrder]])&gt;1,PlayerGameData[[#This Row],[PointRank]]/100+PlayerGameData[[#This Row],[ASTOrder]],PlayerGameData[[#This Row],[ASTOrder]])</f>
        <v>160.16</v>
      </c>
      <c r="AT430" s="8">
        <f ca="1">RANK(PlayerGameData[[#This Row],[ASTTieBreak]],PlayerGameData[ASTTieBreak],1)</f>
        <v>221</v>
      </c>
      <c r="AU430" s="8">
        <f ca="1">RANK(PlayerGameData[[#This Row],[STL]],PlayerGameData[STL],0)+PlayerGameData[[#This Row],[VisibleOrder]]</f>
        <v>143</v>
      </c>
      <c r="AV430" s="8">
        <f ca="1">IF(COUNTIF(PlayerGameData[STLOrder],PlayerGameData[[#This Row],[STLOrder]])&gt;1,PlayerGameData[[#This Row],[PointRank]]/100+PlayerGameData[[#This Row],[STLOrder]],PlayerGameData[[#This Row],[STLOrder]])</f>
        <v>145.16</v>
      </c>
      <c r="AW430" s="8">
        <f ca="1">RANK(PlayerGameData[[#This Row],[STLTieBreak]],PlayerGameData[STLTieBreak],1)</f>
        <v>217</v>
      </c>
      <c r="AX430" s="8">
        <f ca="1">RANK(PlayerGameData[[#This Row],[BLK]],PlayerGameData[BLK],0)+PlayerGameData[[#This Row],[VisibleOrder]]</f>
        <v>32</v>
      </c>
      <c r="AY430" s="8">
        <f ca="1">IF(COUNTIF(PlayerGameData[BLKOrder],PlayerGameData[[#This Row],[BLKOrder]])&gt;1,PlayerGameData[[#This Row],[PointRank]]/100+PlayerGameData[[#This Row],[BLKOrder]],PlayerGameData[[#This Row],[BLKOrder]])</f>
        <v>34.159999999999997</v>
      </c>
      <c r="AZ430" s="8">
        <f ca="1">RANK(PlayerGameData[[#This Row],[BLKTieBreak]],PlayerGameData[BLKTieBreak],1)</f>
        <v>216</v>
      </c>
      <c r="BA430" s="11">
        <f ca="1">IFERROR(IF(PlayerGameData[[#This Row],[FGA]]&gt;$AA$5,PlayerGameData[[#This Row],[FG%*]],PlayerGameData[[#This Row],[FG%*]]*-1),-2)</f>
        <v>-2</v>
      </c>
      <c r="BB430" s="8">
        <f ca="1">RANK(PlayerGameData[[#This Row],[EligFG]],PlayerGameData[EligFG],0)+PlayerGameData[[#This Row],[VisibleOrder]]</f>
        <v>215</v>
      </c>
      <c r="BC430" s="8">
        <f ca="1">IF(COUNTIF(PlayerGameData[EligFGOrder],PlayerGameData[[#This Row],[EligFGOrder]])&gt;1,PlayerGameData[[#This Row],[PointRank]]/100+PlayerGameData[[#This Row],[EligFGOrder]],PlayerGameData[[#This Row],[EligFGOrder]])</f>
        <v>217.16</v>
      </c>
      <c r="BD430" s="8">
        <f ca="1">RANK(PlayerGameData[[#This Row],[EligFGTieBreak]],PlayerGameData[EligFGTieBreak],1)</f>
        <v>216</v>
      </c>
      <c r="BE430" s="8" t="str">
        <f>Roster!$D$3</f>
        <v>East</v>
      </c>
      <c r="BF430" s="8" t="str">
        <f>Roster!$D$2</f>
        <v>Northeast</v>
      </c>
      <c r="BG430" s="8" t="str">
        <f>Roster!$D$4</f>
        <v>North</v>
      </c>
      <c r="BH430" s="197">
        <f ca="1">IFERROR(VLOOKUP(CONCATENATE(PlayerGameData[[#This Row],[Opponent]]," ",MONTH(PlayerGameData[[#This Row],[Date]]),"/",DAY(PlayerGameData[[#This Row],[Date]]),"/",YEAR(PlayerGameData[[#This Row],[Date]])),Table35[],2,FALSE),0)</f>
        <v>1</v>
      </c>
      <c r="BI430" s="197">
        <f ca="1">IF(PlayerGameData[[#This Row],[Visible]]=1,1,1000)</f>
        <v>1</v>
      </c>
      <c r="BJ430" s="197" t="e">
        <f ca="1">_xlfn.MAXIFS(TeamGameData[Win],TeamGameData[School, Opponent,Game'#],PlayerGameData[[#This Row],[School, Opponent,Game'#]])</f>
        <v>#NAME?</v>
      </c>
      <c r="BK430" s="197" t="e">
        <f ca="1">_xlfn.MAXIFS(TeamGameData[Loss],TeamGameData[School, Opponent,Game'#],PlayerGameData[[#This Row],[School, Opponent,Game'#]])</f>
        <v>#NAME?</v>
      </c>
    </row>
    <row r="431" spans="1:63" x14ac:dyDescent="0.25">
      <c r="A431" s="8" t="str">
        <f t="shared" ca="1" si="213"/>
        <v xml:space="preserve">, </v>
      </c>
      <c r="B431" s="8" t="str">
        <f>Roster!$B$1</f>
        <v>Upton</v>
      </c>
      <c r="C431" s="8" t="str">
        <f t="shared" ca="1" si="201"/>
        <v>Arvada Clearmont</v>
      </c>
      <c r="D431" s="10">
        <f t="shared" ca="1" si="202"/>
        <v>44968</v>
      </c>
      <c r="E431" s="8">
        <f t="shared" ca="1" si="203"/>
        <v>0</v>
      </c>
      <c r="F431" s="8">
        <f t="shared" ca="1" si="204"/>
        <v>0</v>
      </c>
      <c r="G431" s="8">
        <f t="shared" ca="1" si="205"/>
        <v>0</v>
      </c>
      <c r="H431" s="8">
        <f t="shared" ca="1" si="206"/>
        <v>0</v>
      </c>
      <c r="I431" s="8">
        <f t="shared" ca="1" si="207"/>
        <v>0</v>
      </c>
      <c r="J431" s="8">
        <f t="shared" ca="1" si="208"/>
        <v>0</v>
      </c>
      <c r="K431" s="8">
        <f t="shared" ca="1" si="209"/>
        <v>0</v>
      </c>
      <c r="L431" s="8">
        <f t="shared" ca="1" si="214"/>
        <v>0</v>
      </c>
      <c r="M431" s="8">
        <f t="shared" ca="1" si="215"/>
        <v>0</v>
      </c>
      <c r="N431" s="8">
        <f t="shared" ca="1" si="216"/>
        <v>0</v>
      </c>
      <c r="O431" s="8">
        <f t="shared" ca="1" si="217"/>
        <v>0</v>
      </c>
      <c r="P431" s="8">
        <f t="shared" ca="1" si="218"/>
        <v>0</v>
      </c>
      <c r="Q431" s="8">
        <f t="shared" ca="1" si="219"/>
        <v>0</v>
      </c>
      <c r="R431" s="8">
        <f t="shared" ca="1" si="220"/>
        <v>0</v>
      </c>
      <c r="S431" s="8">
        <f t="shared" ca="1" si="221"/>
        <v>0</v>
      </c>
      <c r="T431" s="8">
        <f t="shared" ca="1" si="222"/>
        <v>0</v>
      </c>
      <c r="U431" s="8">
        <f t="shared" ca="1" si="223"/>
        <v>0</v>
      </c>
      <c r="V431" s="8">
        <f t="shared" ca="1" si="224"/>
        <v>0</v>
      </c>
      <c r="W431" s="11" t="str">
        <f t="shared" ca="1" si="225"/>
        <v/>
      </c>
      <c r="X431" s="11" t="str">
        <f t="shared" ca="1" si="226"/>
        <v/>
      </c>
      <c r="Y431" s="11" t="str">
        <f t="shared" ca="1" si="227"/>
        <v/>
      </c>
      <c r="Z431" s="11" t="str">
        <f t="shared" ca="1" si="228"/>
        <v/>
      </c>
      <c r="AA431" s="11" t="str">
        <f t="shared" ca="1" si="229"/>
        <v/>
      </c>
      <c r="AB431" s="47">
        <f ca="1">PlayerGameData[[#This Row],[3FGA]]+PlayerGameData[[#This Row],[2FGA]]</f>
        <v>0</v>
      </c>
      <c r="AC431" s="47">
        <f ca="1">PlayerGameData[[#This Row],[OFF REB]]+PlayerGameData[[#This Row],[DEF REB]]</f>
        <v>0</v>
      </c>
      <c r="AD431" s="8">
        <f t="shared" si="210"/>
        <v>18</v>
      </c>
      <c r="AE431" s="8" t="str">
        <f t="shared" ca="1" si="211"/>
        <v>,  - Arvada Clearmont 2/11/2023</v>
      </c>
      <c r="AF431" s="8" t="str">
        <f t="shared" ca="1" si="230"/>
        <v>R</v>
      </c>
      <c r="AG431" s="8" t="str">
        <f ca="1">IFERROR(IF(C431=0,"",IF(AND(VLOOKUP(PlayerGameData[[#This Row],[Opponent]],WYTeamInfo,2,FALSE)=Roster!$D$1,VLOOKUP(PlayerGameData[[#This Row],[Opponent]],WYTeamInfo,3,FALSE)=Roster!$D$2),"SR","")),"")</f>
        <v>SR</v>
      </c>
      <c r="AH431" s="8" t="str">
        <f>CONCATENATE(Roster!$D$1," ",Roster!$D$5)</f>
        <v>1A BB</v>
      </c>
      <c r="AI431" s="8" t="str">
        <f t="shared" ca="1" si="212"/>
        <v>Upton - Arvada Clearmont 2/11/2023</v>
      </c>
      <c r="AJ431" s="8">
        <f ca="1">IFERROR(VLOOKUP(PlayerGameData[[#This Row],[School, Opponent,Game'#]],Table3[],2,FALSE),0)</f>
        <v>1</v>
      </c>
      <c r="AK431" s="8">
        <f ca="1">IF(PlayerGameData[[#This Row],[Visible]]=1,1,1000)</f>
        <v>1</v>
      </c>
      <c r="AL431" s="8">
        <f ca="1">RANK(PlayerGameData[[#This Row],[TL PTS]],PlayerGameData[TL PTS],0)+PlayerGameData[[#This Row],[VisibleOrder]]</f>
        <v>185</v>
      </c>
      <c r="AM431" s="8">
        <f ca="1">IF(COUNTIF(PlayerGameData[PointOrder],PlayerGameData[[#This Row],[PointOrder]])&gt;1,RANK(PlayerGameData[[#This Row],[FGA]],PlayerGameData[FGA],0)/100,0)+PlayerGameData[[#This Row],[PointOrder]]</f>
        <v>187.14</v>
      </c>
      <c r="AN431" s="8">
        <f ca="1">RANK(PlayerGameData[[#This Row],[PointTieBreak]],PlayerGameData[PointTieBreak],1)</f>
        <v>216</v>
      </c>
      <c r="AO431" s="8">
        <f ca="1">RANK(PlayerGameData[[#This Row],[REB]],PlayerGameData[REB],0)+PlayerGameData[[#This Row],[VisibleOrder]]</f>
        <v>192</v>
      </c>
      <c r="AP431" s="8">
        <f ca="1">IF(COUNTIF(PlayerGameData[REBOrder],PlayerGameData[[#This Row],[REBOrder]])&gt;1,PlayerGameData[[#This Row],[PointRank]]/100+PlayerGameData[[#This Row],[REBOrder]],PlayerGameData[[#This Row],[REBOrder]])</f>
        <v>194.16</v>
      </c>
      <c r="AQ431" s="8">
        <f ca="1">RANK(PlayerGameData[[#This Row],[REBTieBreak]],PlayerGameData[REBTieBreak],1)</f>
        <v>224</v>
      </c>
      <c r="AR431" s="8">
        <f ca="1">RANK(PlayerGameData[[#This Row],[AST]],PlayerGameData[AST],0)+PlayerGameData[[#This Row],[VisibleOrder]]</f>
        <v>158</v>
      </c>
      <c r="AS431" s="8">
        <f ca="1">IF(COUNTIF(PlayerGameData[ASTOrder],PlayerGameData[[#This Row],[ASTOrder]])&gt;1,PlayerGameData[[#This Row],[PointRank]]/100+PlayerGameData[[#This Row],[ASTOrder]],PlayerGameData[[#This Row],[ASTOrder]])</f>
        <v>160.16</v>
      </c>
      <c r="AT431" s="8">
        <f ca="1">RANK(PlayerGameData[[#This Row],[ASTTieBreak]],PlayerGameData[ASTTieBreak],1)</f>
        <v>221</v>
      </c>
      <c r="AU431" s="8">
        <f ca="1">RANK(PlayerGameData[[#This Row],[STL]],PlayerGameData[STL],0)+PlayerGameData[[#This Row],[VisibleOrder]]</f>
        <v>143</v>
      </c>
      <c r="AV431" s="8">
        <f ca="1">IF(COUNTIF(PlayerGameData[STLOrder],PlayerGameData[[#This Row],[STLOrder]])&gt;1,PlayerGameData[[#This Row],[PointRank]]/100+PlayerGameData[[#This Row],[STLOrder]],PlayerGameData[[#This Row],[STLOrder]])</f>
        <v>145.16</v>
      </c>
      <c r="AW431" s="8">
        <f ca="1">RANK(PlayerGameData[[#This Row],[STLTieBreak]],PlayerGameData[STLTieBreak],1)</f>
        <v>217</v>
      </c>
      <c r="AX431" s="8">
        <f ca="1">RANK(PlayerGameData[[#This Row],[BLK]],PlayerGameData[BLK],0)+PlayerGameData[[#This Row],[VisibleOrder]]</f>
        <v>32</v>
      </c>
      <c r="AY431" s="8">
        <f ca="1">IF(COUNTIF(PlayerGameData[BLKOrder],PlayerGameData[[#This Row],[BLKOrder]])&gt;1,PlayerGameData[[#This Row],[PointRank]]/100+PlayerGameData[[#This Row],[BLKOrder]],PlayerGameData[[#This Row],[BLKOrder]])</f>
        <v>34.159999999999997</v>
      </c>
      <c r="AZ431" s="8">
        <f ca="1">RANK(PlayerGameData[[#This Row],[BLKTieBreak]],PlayerGameData[BLKTieBreak],1)</f>
        <v>216</v>
      </c>
      <c r="BA431" s="11">
        <f ca="1">IFERROR(IF(PlayerGameData[[#This Row],[FGA]]&gt;$AA$5,PlayerGameData[[#This Row],[FG%*]],PlayerGameData[[#This Row],[FG%*]]*-1),-2)</f>
        <v>-2</v>
      </c>
      <c r="BB431" s="8">
        <f ca="1">RANK(PlayerGameData[[#This Row],[EligFG]],PlayerGameData[EligFG],0)+PlayerGameData[[#This Row],[VisibleOrder]]</f>
        <v>215</v>
      </c>
      <c r="BC431" s="8">
        <f ca="1">IF(COUNTIF(PlayerGameData[EligFGOrder],PlayerGameData[[#This Row],[EligFGOrder]])&gt;1,PlayerGameData[[#This Row],[PointRank]]/100+PlayerGameData[[#This Row],[EligFGOrder]],PlayerGameData[[#This Row],[EligFGOrder]])</f>
        <v>217.16</v>
      </c>
      <c r="BD431" s="8">
        <f ca="1">RANK(PlayerGameData[[#This Row],[EligFGTieBreak]],PlayerGameData[EligFGTieBreak],1)</f>
        <v>216</v>
      </c>
      <c r="BE431" s="8" t="str">
        <f>Roster!$D$3</f>
        <v>East</v>
      </c>
      <c r="BF431" s="8" t="str">
        <f>Roster!$D$2</f>
        <v>Northeast</v>
      </c>
      <c r="BG431" s="8" t="str">
        <f>Roster!$D$4</f>
        <v>North</v>
      </c>
      <c r="BH431" s="197">
        <f ca="1">IFERROR(VLOOKUP(CONCATENATE(PlayerGameData[[#This Row],[Opponent]]," ",MONTH(PlayerGameData[[#This Row],[Date]]),"/",DAY(PlayerGameData[[#This Row],[Date]]),"/",YEAR(PlayerGameData[[#This Row],[Date]])),Table35[],2,FALSE),0)</f>
        <v>1</v>
      </c>
      <c r="BI431" s="197">
        <f ca="1">IF(PlayerGameData[[#This Row],[Visible]]=1,1,1000)</f>
        <v>1</v>
      </c>
      <c r="BJ431" s="197" t="e">
        <f ca="1">_xlfn.MAXIFS(TeamGameData[Win],TeamGameData[School, Opponent,Game'#],PlayerGameData[[#This Row],[School, Opponent,Game'#]])</f>
        <v>#NAME?</v>
      </c>
      <c r="BK431" s="197" t="e">
        <f ca="1">_xlfn.MAXIFS(TeamGameData[Loss],TeamGameData[School, Opponent,Game'#],PlayerGameData[[#This Row],[School, Opponent,Game'#]])</f>
        <v>#NAME?</v>
      </c>
    </row>
    <row r="432" spans="1:63" x14ac:dyDescent="0.25">
      <c r="A432" s="8" t="str">
        <f t="shared" ca="1" si="213"/>
        <v xml:space="preserve">, </v>
      </c>
      <c r="B432" s="8" t="str">
        <f>Roster!$B$1</f>
        <v>Upton</v>
      </c>
      <c r="C432" s="8" t="str">
        <f t="shared" ca="1" si="201"/>
        <v>Arvada Clearmont</v>
      </c>
      <c r="D432" s="10">
        <f t="shared" ca="1" si="202"/>
        <v>44968</v>
      </c>
      <c r="E432" s="8">
        <f t="shared" ca="1" si="203"/>
        <v>0</v>
      </c>
      <c r="F432" s="8">
        <f t="shared" ca="1" si="204"/>
        <v>0</v>
      </c>
      <c r="G432" s="8">
        <f t="shared" ca="1" si="205"/>
        <v>0</v>
      </c>
      <c r="H432" s="8">
        <f t="shared" ca="1" si="206"/>
        <v>0</v>
      </c>
      <c r="I432" s="8">
        <f t="shared" ca="1" si="207"/>
        <v>0</v>
      </c>
      <c r="J432" s="8">
        <f t="shared" ca="1" si="208"/>
        <v>0</v>
      </c>
      <c r="K432" s="8">
        <f t="shared" ca="1" si="209"/>
        <v>0</v>
      </c>
      <c r="L432" s="8">
        <f t="shared" ca="1" si="214"/>
        <v>0</v>
      </c>
      <c r="M432" s="8">
        <f t="shared" ca="1" si="215"/>
        <v>0</v>
      </c>
      <c r="N432" s="8">
        <f t="shared" ca="1" si="216"/>
        <v>0</v>
      </c>
      <c r="O432" s="8">
        <f t="shared" ca="1" si="217"/>
        <v>0</v>
      </c>
      <c r="P432" s="8">
        <f t="shared" ca="1" si="218"/>
        <v>0</v>
      </c>
      <c r="Q432" s="8">
        <f t="shared" ca="1" si="219"/>
        <v>0</v>
      </c>
      <c r="R432" s="8">
        <f t="shared" ca="1" si="220"/>
        <v>0</v>
      </c>
      <c r="S432" s="8">
        <f t="shared" ca="1" si="221"/>
        <v>0</v>
      </c>
      <c r="T432" s="8">
        <f t="shared" ca="1" si="222"/>
        <v>0</v>
      </c>
      <c r="U432" s="8">
        <f t="shared" ca="1" si="223"/>
        <v>0</v>
      </c>
      <c r="V432" s="8">
        <f t="shared" ca="1" si="224"/>
        <v>0</v>
      </c>
      <c r="W432" s="11" t="str">
        <f t="shared" ca="1" si="225"/>
        <v/>
      </c>
      <c r="X432" s="11" t="str">
        <f t="shared" ca="1" si="226"/>
        <v/>
      </c>
      <c r="Y432" s="11" t="str">
        <f t="shared" ca="1" si="227"/>
        <v/>
      </c>
      <c r="Z432" s="11" t="str">
        <f t="shared" ca="1" si="228"/>
        <v/>
      </c>
      <c r="AA432" s="11" t="str">
        <f t="shared" ca="1" si="229"/>
        <v/>
      </c>
      <c r="AB432" s="47">
        <f ca="1">PlayerGameData[[#This Row],[3FGA]]+PlayerGameData[[#This Row],[2FGA]]</f>
        <v>0</v>
      </c>
      <c r="AC432" s="47">
        <f ca="1">PlayerGameData[[#This Row],[OFF REB]]+PlayerGameData[[#This Row],[DEF REB]]</f>
        <v>0</v>
      </c>
      <c r="AD432" s="8">
        <f t="shared" si="210"/>
        <v>18</v>
      </c>
      <c r="AE432" s="8" t="str">
        <f t="shared" ca="1" si="211"/>
        <v>,  - Arvada Clearmont 2/11/2023</v>
      </c>
      <c r="AF432" s="8" t="str">
        <f t="shared" ca="1" si="230"/>
        <v>R</v>
      </c>
      <c r="AG432" s="8" t="str">
        <f ca="1">IFERROR(IF(C432=0,"",IF(AND(VLOOKUP(PlayerGameData[[#This Row],[Opponent]],WYTeamInfo,2,FALSE)=Roster!$D$1,VLOOKUP(PlayerGameData[[#This Row],[Opponent]],WYTeamInfo,3,FALSE)=Roster!$D$2),"SR","")),"")</f>
        <v>SR</v>
      </c>
      <c r="AH432" s="8" t="str">
        <f>CONCATENATE(Roster!$D$1," ",Roster!$D$5)</f>
        <v>1A BB</v>
      </c>
      <c r="AI432" s="8" t="str">
        <f t="shared" ca="1" si="212"/>
        <v>Upton - Arvada Clearmont 2/11/2023</v>
      </c>
      <c r="AJ432" s="8">
        <f ca="1">IFERROR(VLOOKUP(PlayerGameData[[#This Row],[School, Opponent,Game'#]],Table3[],2,FALSE),0)</f>
        <v>1</v>
      </c>
      <c r="AK432" s="8">
        <f ca="1">IF(PlayerGameData[[#This Row],[Visible]]=1,1,1000)</f>
        <v>1</v>
      </c>
      <c r="AL432" s="8">
        <f ca="1">RANK(PlayerGameData[[#This Row],[TL PTS]],PlayerGameData[TL PTS],0)+PlayerGameData[[#This Row],[VisibleOrder]]</f>
        <v>185</v>
      </c>
      <c r="AM432" s="8">
        <f ca="1">IF(COUNTIF(PlayerGameData[PointOrder],PlayerGameData[[#This Row],[PointOrder]])&gt;1,RANK(PlayerGameData[[#This Row],[FGA]],PlayerGameData[FGA],0)/100,0)+PlayerGameData[[#This Row],[PointOrder]]</f>
        <v>187.14</v>
      </c>
      <c r="AN432" s="8">
        <f ca="1">RANK(PlayerGameData[[#This Row],[PointTieBreak]],PlayerGameData[PointTieBreak],1)</f>
        <v>216</v>
      </c>
      <c r="AO432" s="8">
        <f ca="1">RANK(PlayerGameData[[#This Row],[REB]],PlayerGameData[REB],0)+PlayerGameData[[#This Row],[VisibleOrder]]</f>
        <v>192</v>
      </c>
      <c r="AP432" s="8">
        <f ca="1">IF(COUNTIF(PlayerGameData[REBOrder],PlayerGameData[[#This Row],[REBOrder]])&gt;1,PlayerGameData[[#This Row],[PointRank]]/100+PlayerGameData[[#This Row],[REBOrder]],PlayerGameData[[#This Row],[REBOrder]])</f>
        <v>194.16</v>
      </c>
      <c r="AQ432" s="8">
        <f ca="1">RANK(PlayerGameData[[#This Row],[REBTieBreak]],PlayerGameData[REBTieBreak],1)</f>
        <v>224</v>
      </c>
      <c r="AR432" s="8">
        <f ca="1">RANK(PlayerGameData[[#This Row],[AST]],PlayerGameData[AST],0)+PlayerGameData[[#This Row],[VisibleOrder]]</f>
        <v>158</v>
      </c>
      <c r="AS432" s="8">
        <f ca="1">IF(COUNTIF(PlayerGameData[ASTOrder],PlayerGameData[[#This Row],[ASTOrder]])&gt;1,PlayerGameData[[#This Row],[PointRank]]/100+PlayerGameData[[#This Row],[ASTOrder]],PlayerGameData[[#This Row],[ASTOrder]])</f>
        <v>160.16</v>
      </c>
      <c r="AT432" s="8">
        <f ca="1">RANK(PlayerGameData[[#This Row],[ASTTieBreak]],PlayerGameData[ASTTieBreak],1)</f>
        <v>221</v>
      </c>
      <c r="AU432" s="8">
        <f ca="1">RANK(PlayerGameData[[#This Row],[STL]],PlayerGameData[STL],0)+PlayerGameData[[#This Row],[VisibleOrder]]</f>
        <v>143</v>
      </c>
      <c r="AV432" s="8">
        <f ca="1">IF(COUNTIF(PlayerGameData[STLOrder],PlayerGameData[[#This Row],[STLOrder]])&gt;1,PlayerGameData[[#This Row],[PointRank]]/100+PlayerGameData[[#This Row],[STLOrder]],PlayerGameData[[#This Row],[STLOrder]])</f>
        <v>145.16</v>
      </c>
      <c r="AW432" s="8">
        <f ca="1">RANK(PlayerGameData[[#This Row],[STLTieBreak]],PlayerGameData[STLTieBreak],1)</f>
        <v>217</v>
      </c>
      <c r="AX432" s="8">
        <f ca="1">RANK(PlayerGameData[[#This Row],[BLK]],PlayerGameData[BLK],0)+PlayerGameData[[#This Row],[VisibleOrder]]</f>
        <v>32</v>
      </c>
      <c r="AY432" s="8">
        <f ca="1">IF(COUNTIF(PlayerGameData[BLKOrder],PlayerGameData[[#This Row],[BLKOrder]])&gt;1,PlayerGameData[[#This Row],[PointRank]]/100+PlayerGameData[[#This Row],[BLKOrder]],PlayerGameData[[#This Row],[BLKOrder]])</f>
        <v>34.159999999999997</v>
      </c>
      <c r="AZ432" s="8">
        <f ca="1">RANK(PlayerGameData[[#This Row],[BLKTieBreak]],PlayerGameData[BLKTieBreak],1)</f>
        <v>216</v>
      </c>
      <c r="BA432" s="11">
        <f ca="1">IFERROR(IF(PlayerGameData[[#This Row],[FGA]]&gt;$AA$5,PlayerGameData[[#This Row],[FG%*]],PlayerGameData[[#This Row],[FG%*]]*-1),-2)</f>
        <v>-2</v>
      </c>
      <c r="BB432" s="8">
        <f ca="1">RANK(PlayerGameData[[#This Row],[EligFG]],PlayerGameData[EligFG],0)+PlayerGameData[[#This Row],[VisibleOrder]]</f>
        <v>215</v>
      </c>
      <c r="BC432" s="8">
        <f ca="1">IF(COUNTIF(PlayerGameData[EligFGOrder],PlayerGameData[[#This Row],[EligFGOrder]])&gt;1,PlayerGameData[[#This Row],[PointRank]]/100+PlayerGameData[[#This Row],[EligFGOrder]],PlayerGameData[[#This Row],[EligFGOrder]])</f>
        <v>217.16</v>
      </c>
      <c r="BD432" s="8">
        <f ca="1">RANK(PlayerGameData[[#This Row],[EligFGTieBreak]],PlayerGameData[EligFGTieBreak],1)</f>
        <v>216</v>
      </c>
      <c r="BE432" s="8" t="str">
        <f>Roster!$D$3</f>
        <v>East</v>
      </c>
      <c r="BF432" s="8" t="str">
        <f>Roster!$D$2</f>
        <v>Northeast</v>
      </c>
      <c r="BG432" s="8" t="str">
        <f>Roster!$D$4</f>
        <v>North</v>
      </c>
      <c r="BH432" s="197">
        <f ca="1">IFERROR(VLOOKUP(CONCATENATE(PlayerGameData[[#This Row],[Opponent]]," ",MONTH(PlayerGameData[[#This Row],[Date]]),"/",DAY(PlayerGameData[[#This Row],[Date]]),"/",YEAR(PlayerGameData[[#This Row],[Date]])),Table35[],2,FALSE),0)</f>
        <v>1</v>
      </c>
      <c r="BI432" s="197">
        <f ca="1">IF(PlayerGameData[[#This Row],[Visible]]=1,1,1000)</f>
        <v>1</v>
      </c>
      <c r="BJ432" s="197" t="e">
        <f ca="1">_xlfn.MAXIFS(TeamGameData[Win],TeamGameData[School, Opponent,Game'#],PlayerGameData[[#This Row],[School, Opponent,Game'#]])</f>
        <v>#NAME?</v>
      </c>
      <c r="BK432" s="197" t="e">
        <f ca="1">_xlfn.MAXIFS(TeamGameData[Loss],TeamGameData[School, Opponent,Game'#],PlayerGameData[[#This Row],[School, Opponent,Game'#]])</f>
        <v>#NAME?</v>
      </c>
    </row>
    <row r="433" spans="1:63" x14ac:dyDescent="0.25">
      <c r="A433" s="8" t="str">
        <f t="shared" ca="1" si="213"/>
        <v xml:space="preserve">, </v>
      </c>
      <c r="B433" s="8" t="str">
        <f>Roster!$B$1</f>
        <v>Upton</v>
      </c>
      <c r="C433" s="8" t="str">
        <f t="shared" ca="1" si="201"/>
        <v>Arvada Clearmont</v>
      </c>
      <c r="D433" s="10">
        <f t="shared" ca="1" si="202"/>
        <v>44968</v>
      </c>
      <c r="E433" s="8">
        <f t="shared" ca="1" si="203"/>
        <v>0</v>
      </c>
      <c r="F433" s="8">
        <f t="shared" ca="1" si="204"/>
        <v>0</v>
      </c>
      <c r="G433" s="8">
        <f t="shared" ca="1" si="205"/>
        <v>0</v>
      </c>
      <c r="H433" s="8">
        <f t="shared" ca="1" si="206"/>
        <v>0</v>
      </c>
      <c r="I433" s="8">
        <f t="shared" ca="1" si="207"/>
        <v>0</v>
      </c>
      <c r="J433" s="8">
        <f t="shared" ca="1" si="208"/>
        <v>0</v>
      </c>
      <c r="K433" s="8">
        <f t="shared" ca="1" si="209"/>
        <v>0</v>
      </c>
      <c r="L433" s="8">
        <f t="shared" ca="1" si="214"/>
        <v>0</v>
      </c>
      <c r="M433" s="8">
        <f t="shared" ca="1" si="215"/>
        <v>0</v>
      </c>
      <c r="N433" s="8">
        <f t="shared" ca="1" si="216"/>
        <v>0</v>
      </c>
      <c r="O433" s="8">
        <f t="shared" ca="1" si="217"/>
        <v>0</v>
      </c>
      <c r="P433" s="8">
        <f t="shared" ca="1" si="218"/>
        <v>0</v>
      </c>
      <c r="Q433" s="8">
        <f t="shared" ca="1" si="219"/>
        <v>0</v>
      </c>
      <c r="R433" s="8">
        <f t="shared" ca="1" si="220"/>
        <v>0</v>
      </c>
      <c r="S433" s="8">
        <f t="shared" ca="1" si="221"/>
        <v>0</v>
      </c>
      <c r="T433" s="8">
        <f t="shared" ca="1" si="222"/>
        <v>0</v>
      </c>
      <c r="U433" s="8">
        <f t="shared" ca="1" si="223"/>
        <v>0</v>
      </c>
      <c r="V433" s="8">
        <f t="shared" ca="1" si="224"/>
        <v>0</v>
      </c>
      <c r="W433" s="11" t="str">
        <f t="shared" ca="1" si="225"/>
        <v/>
      </c>
      <c r="X433" s="11" t="str">
        <f t="shared" ca="1" si="226"/>
        <v/>
      </c>
      <c r="Y433" s="11" t="str">
        <f t="shared" ca="1" si="227"/>
        <v/>
      </c>
      <c r="Z433" s="11" t="str">
        <f t="shared" ca="1" si="228"/>
        <v/>
      </c>
      <c r="AA433" s="11" t="str">
        <f t="shared" ca="1" si="229"/>
        <v/>
      </c>
      <c r="AB433" s="47">
        <f ca="1">PlayerGameData[[#This Row],[3FGA]]+PlayerGameData[[#This Row],[2FGA]]</f>
        <v>0</v>
      </c>
      <c r="AC433" s="47">
        <f ca="1">PlayerGameData[[#This Row],[OFF REB]]+PlayerGameData[[#This Row],[DEF REB]]</f>
        <v>0</v>
      </c>
      <c r="AD433" s="8">
        <f t="shared" si="210"/>
        <v>18</v>
      </c>
      <c r="AE433" s="8" t="str">
        <f t="shared" ca="1" si="211"/>
        <v>,  - Arvada Clearmont 2/11/2023</v>
      </c>
      <c r="AF433" s="8" t="str">
        <f t="shared" ca="1" si="230"/>
        <v>R</v>
      </c>
      <c r="AG433" s="8" t="str">
        <f ca="1">IFERROR(IF(C433=0,"",IF(AND(VLOOKUP(PlayerGameData[[#This Row],[Opponent]],WYTeamInfo,2,FALSE)=Roster!$D$1,VLOOKUP(PlayerGameData[[#This Row],[Opponent]],WYTeamInfo,3,FALSE)=Roster!$D$2),"SR","")),"")</f>
        <v>SR</v>
      </c>
      <c r="AH433" s="8" t="str">
        <f>CONCATENATE(Roster!$D$1," ",Roster!$D$5)</f>
        <v>1A BB</v>
      </c>
      <c r="AI433" s="8" t="str">
        <f t="shared" ca="1" si="212"/>
        <v>Upton - Arvada Clearmont 2/11/2023</v>
      </c>
      <c r="AJ433" s="8">
        <f ca="1">IFERROR(VLOOKUP(PlayerGameData[[#This Row],[School, Opponent,Game'#]],Table3[],2,FALSE),0)</f>
        <v>1</v>
      </c>
      <c r="AK433" s="8">
        <f ca="1">IF(PlayerGameData[[#This Row],[Visible]]=1,1,1000)</f>
        <v>1</v>
      </c>
      <c r="AL433" s="8">
        <f ca="1">RANK(PlayerGameData[[#This Row],[TL PTS]],PlayerGameData[TL PTS],0)+PlayerGameData[[#This Row],[VisibleOrder]]</f>
        <v>185</v>
      </c>
      <c r="AM433" s="8">
        <f ca="1">IF(COUNTIF(PlayerGameData[PointOrder],PlayerGameData[[#This Row],[PointOrder]])&gt;1,RANK(PlayerGameData[[#This Row],[FGA]],PlayerGameData[FGA],0)/100,0)+PlayerGameData[[#This Row],[PointOrder]]</f>
        <v>187.14</v>
      </c>
      <c r="AN433" s="8">
        <f ca="1">RANK(PlayerGameData[[#This Row],[PointTieBreak]],PlayerGameData[PointTieBreak],1)</f>
        <v>216</v>
      </c>
      <c r="AO433" s="8">
        <f ca="1">RANK(PlayerGameData[[#This Row],[REB]],PlayerGameData[REB],0)+PlayerGameData[[#This Row],[VisibleOrder]]</f>
        <v>192</v>
      </c>
      <c r="AP433" s="8">
        <f ca="1">IF(COUNTIF(PlayerGameData[REBOrder],PlayerGameData[[#This Row],[REBOrder]])&gt;1,PlayerGameData[[#This Row],[PointRank]]/100+PlayerGameData[[#This Row],[REBOrder]],PlayerGameData[[#This Row],[REBOrder]])</f>
        <v>194.16</v>
      </c>
      <c r="AQ433" s="8">
        <f ca="1">RANK(PlayerGameData[[#This Row],[REBTieBreak]],PlayerGameData[REBTieBreak],1)</f>
        <v>224</v>
      </c>
      <c r="AR433" s="8">
        <f ca="1">RANK(PlayerGameData[[#This Row],[AST]],PlayerGameData[AST],0)+PlayerGameData[[#This Row],[VisibleOrder]]</f>
        <v>158</v>
      </c>
      <c r="AS433" s="8">
        <f ca="1">IF(COUNTIF(PlayerGameData[ASTOrder],PlayerGameData[[#This Row],[ASTOrder]])&gt;1,PlayerGameData[[#This Row],[PointRank]]/100+PlayerGameData[[#This Row],[ASTOrder]],PlayerGameData[[#This Row],[ASTOrder]])</f>
        <v>160.16</v>
      </c>
      <c r="AT433" s="8">
        <f ca="1">RANK(PlayerGameData[[#This Row],[ASTTieBreak]],PlayerGameData[ASTTieBreak],1)</f>
        <v>221</v>
      </c>
      <c r="AU433" s="8">
        <f ca="1">RANK(PlayerGameData[[#This Row],[STL]],PlayerGameData[STL],0)+PlayerGameData[[#This Row],[VisibleOrder]]</f>
        <v>143</v>
      </c>
      <c r="AV433" s="8">
        <f ca="1">IF(COUNTIF(PlayerGameData[STLOrder],PlayerGameData[[#This Row],[STLOrder]])&gt;1,PlayerGameData[[#This Row],[PointRank]]/100+PlayerGameData[[#This Row],[STLOrder]],PlayerGameData[[#This Row],[STLOrder]])</f>
        <v>145.16</v>
      </c>
      <c r="AW433" s="8">
        <f ca="1">RANK(PlayerGameData[[#This Row],[STLTieBreak]],PlayerGameData[STLTieBreak],1)</f>
        <v>217</v>
      </c>
      <c r="AX433" s="8">
        <f ca="1">RANK(PlayerGameData[[#This Row],[BLK]],PlayerGameData[BLK],0)+PlayerGameData[[#This Row],[VisibleOrder]]</f>
        <v>32</v>
      </c>
      <c r="AY433" s="8">
        <f ca="1">IF(COUNTIF(PlayerGameData[BLKOrder],PlayerGameData[[#This Row],[BLKOrder]])&gt;1,PlayerGameData[[#This Row],[PointRank]]/100+PlayerGameData[[#This Row],[BLKOrder]],PlayerGameData[[#This Row],[BLKOrder]])</f>
        <v>34.159999999999997</v>
      </c>
      <c r="AZ433" s="8">
        <f ca="1">RANK(PlayerGameData[[#This Row],[BLKTieBreak]],PlayerGameData[BLKTieBreak],1)</f>
        <v>216</v>
      </c>
      <c r="BA433" s="11">
        <f ca="1">IFERROR(IF(PlayerGameData[[#This Row],[FGA]]&gt;$AA$5,PlayerGameData[[#This Row],[FG%*]],PlayerGameData[[#This Row],[FG%*]]*-1),-2)</f>
        <v>-2</v>
      </c>
      <c r="BB433" s="8">
        <f ca="1">RANK(PlayerGameData[[#This Row],[EligFG]],PlayerGameData[EligFG],0)+PlayerGameData[[#This Row],[VisibleOrder]]</f>
        <v>215</v>
      </c>
      <c r="BC433" s="8">
        <f ca="1">IF(COUNTIF(PlayerGameData[EligFGOrder],PlayerGameData[[#This Row],[EligFGOrder]])&gt;1,PlayerGameData[[#This Row],[PointRank]]/100+PlayerGameData[[#This Row],[EligFGOrder]],PlayerGameData[[#This Row],[EligFGOrder]])</f>
        <v>217.16</v>
      </c>
      <c r="BD433" s="8">
        <f ca="1">RANK(PlayerGameData[[#This Row],[EligFGTieBreak]],PlayerGameData[EligFGTieBreak],1)</f>
        <v>216</v>
      </c>
      <c r="BE433" s="8" t="str">
        <f>Roster!$D$3</f>
        <v>East</v>
      </c>
      <c r="BF433" s="8" t="str">
        <f>Roster!$D$2</f>
        <v>Northeast</v>
      </c>
      <c r="BG433" s="8" t="str">
        <f>Roster!$D$4</f>
        <v>North</v>
      </c>
      <c r="BH433" s="197">
        <f ca="1">IFERROR(VLOOKUP(CONCATENATE(PlayerGameData[[#This Row],[Opponent]]," ",MONTH(PlayerGameData[[#This Row],[Date]]),"/",DAY(PlayerGameData[[#This Row],[Date]]),"/",YEAR(PlayerGameData[[#This Row],[Date]])),Table35[],2,FALSE),0)</f>
        <v>1</v>
      </c>
      <c r="BI433" s="197">
        <f ca="1">IF(PlayerGameData[[#This Row],[Visible]]=1,1,1000)</f>
        <v>1</v>
      </c>
      <c r="BJ433" s="197" t="e">
        <f ca="1">_xlfn.MAXIFS(TeamGameData[Win],TeamGameData[School, Opponent,Game'#],PlayerGameData[[#This Row],[School, Opponent,Game'#]])</f>
        <v>#NAME?</v>
      </c>
      <c r="BK433" s="197" t="e">
        <f ca="1">_xlfn.MAXIFS(TeamGameData[Loss],TeamGameData[School, Opponent,Game'#],PlayerGameData[[#This Row],[School, Opponent,Game'#]])</f>
        <v>#NAME?</v>
      </c>
    </row>
    <row r="434" spans="1:63" x14ac:dyDescent="0.25">
      <c r="A434" s="8" t="str">
        <f t="shared" ca="1" si="213"/>
        <v xml:space="preserve">, </v>
      </c>
      <c r="B434" s="8" t="str">
        <f>Roster!$B$1</f>
        <v>Upton</v>
      </c>
      <c r="C434" s="8" t="str">
        <f t="shared" ca="1" si="201"/>
        <v>Arvada Clearmont</v>
      </c>
      <c r="D434" s="10">
        <f t="shared" ca="1" si="202"/>
        <v>44968</v>
      </c>
      <c r="E434" s="8">
        <f t="shared" ca="1" si="203"/>
        <v>0</v>
      </c>
      <c r="F434" s="8">
        <f t="shared" ca="1" si="204"/>
        <v>0</v>
      </c>
      <c r="G434" s="8">
        <f t="shared" ca="1" si="205"/>
        <v>0</v>
      </c>
      <c r="H434" s="8">
        <f t="shared" ca="1" si="206"/>
        <v>0</v>
      </c>
      <c r="I434" s="8">
        <f t="shared" ca="1" si="207"/>
        <v>0</v>
      </c>
      <c r="J434" s="8">
        <f t="shared" ca="1" si="208"/>
        <v>0</v>
      </c>
      <c r="K434" s="8">
        <f t="shared" ca="1" si="209"/>
        <v>0</v>
      </c>
      <c r="L434" s="8">
        <f t="shared" ca="1" si="214"/>
        <v>0</v>
      </c>
      <c r="M434" s="8">
        <f t="shared" ca="1" si="215"/>
        <v>0</v>
      </c>
      <c r="N434" s="8">
        <f t="shared" ca="1" si="216"/>
        <v>0</v>
      </c>
      <c r="O434" s="8">
        <f t="shared" ca="1" si="217"/>
        <v>0</v>
      </c>
      <c r="P434" s="8">
        <f t="shared" ca="1" si="218"/>
        <v>0</v>
      </c>
      <c r="Q434" s="8">
        <f t="shared" ca="1" si="219"/>
        <v>0</v>
      </c>
      <c r="R434" s="8">
        <f t="shared" ca="1" si="220"/>
        <v>0</v>
      </c>
      <c r="S434" s="8">
        <f t="shared" ca="1" si="221"/>
        <v>0</v>
      </c>
      <c r="T434" s="8">
        <f t="shared" ca="1" si="222"/>
        <v>0</v>
      </c>
      <c r="U434" s="8">
        <f t="shared" ca="1" si="223"/>
        <v>0</v>
      </c>
      <c r="V434" s="8">
        <f t="shared" ca="1" si="224"/>
        <v>0</v>
      </c>
      <c r="W434" s="11" t="str">
        <f t="shared" ca="1" si="225"/>
        <v/>
      </c>
      <c r="X434" s="11" t="str">
        <f t="shared" ca="1" si="226"/>
        <v/>
      </c>
      <c r="Y434" s="11" t="str">
        <f t="shared" ca="1" si="227"/>
        <v/>
      </c>
      <c r="Z434" s="11" t="str">
        <f t="shared" ca="1" si="228"/>
        <v/>
      </c>
      <c r="AA434" s="11" t="str">
        <f t="shared" ca="1" si="229"/>
        <v/>
      </c>
      <c r="AB434" s="47">
        <f ca="1">PlayerGameData[[#This Row],[3FGA]]+PlayerGameData[[#This Row],[2FGA]]</f>
        <v>0</v>
      </c>
      <c r="AC434" s="47">
        <f ca="1">PlayerGameData[[#This Row],[OFF REB]]+PlayerGameData[[#This Row],[DEF REB]]</f>
        <v>0</v>
      </c>
      <c r="AD434" s="8">
        <f t="shared" si="210"/>
        <v>18</v>
      </c>
      <c r="AE434" s="8" t="str">
        <f t="shared" ca="1" si="211"/>
        <v>,  - Arvada Clearmont 2/11/2023</v>
      </c>
      <c r="AF434" s="8" t="str">
        <f t="shared" ca="1" si="230"/>
        <v>R</v>
      </c>
      <c r="AG434" s="8" t="str">
        <f ca="1">IFERROR(IF(C434=0,"",IF(AND(VLOOKUP(PlayerGameData[[#This Row],[Opponent]],WYTeamInfo,2,FALSE)=Roster!$D$1,VLOOKUP(PlayerGameData[[#This Row],[Opponent]],WYTeamInfo,3,FALSE)=Roster!$D$2),"SR","")),"")</f>
        <v>SR</v>
      </c>
      <c r="AH434" s="8" t="str">
        <f>CONCATENATE(Roster!$D$1," ",Roster!$D$5)</f>
        <v>1A BB</v>
      </c>
      <c r="AI434" s="8" t="str">
        <f t="shared" ca="1" si="212"/>
        <v>Upton - Arvada Clearmont 2/11/2023</v>
      </c>
      <c r="AJ434" s="8">
        <f ca="1">IFERROR(VLOOKUP(PlayerGameData[[#This Row],[School, Opponent,Game'#]],Table3[],2,FALSE),0)</f>
        <v>1</v>
      </c>
      <c r="AK434" s="8">
        <f ca="1">IF(PlayerGameData[[#This Row],[Visible]]=1,1,1000)</f>
        <v>1</v>
      </c>
      <c r="AL434" s="8">
        <f ca="1">RANK(PlayerGameData[[#This Row],[TL PTS]],PlayerGameData[TL PTS],0)+PlayerGameData[[#This Row],[VisibleOrder]]</f>
        <v>185</v>
      </c>
      <c r="AM434" s="8">
        <f ca="1">IF(COUNTIF(PlayerGameData[PointOrder],PlayerGameData[[#This Row],[PointOrder]])&gt;1,RANK(PlayerGameData[[#This Row],[FGA]],PlayerGameData[FGA],0)/100,0)+PlayerGameData[[#This Row],[PointOrder]]</f>
        <v>187.14</v>
      </c>
      <c r="AN434" s="8">
        <f ca="1">RANK(PlayerGameData[[#This Row],[PointTieBreak]],PlayerGameData[PointTieBreak],1)</f>
        <v>216</v>
      </c>
      <c r="AO434" s="8">
        <f ca="1">RANK(PlayerGameData[[#This Row],[REB]],PlayerGameData[REB],0)+PlayerGameData[[#This Row],[VisibleOrder]]</f>
        <v>192</v>
      </c>
      <c r="AP434" s="8">
        <f ca="1">IF(COUNTIF(PlayerGameData[REBOrder],PlayerGameData[[#This Row],[REBOrder]])&gt;1,PlayerGameData[[#This Row],[PointRank]]/100+PlayerGameData[[#This Row],[REBOrder]],PlayerGameData[[#This Row],[REBOrder]])</f>
        <v>194.16</v>
      </c>
      <c r="AQ434" s="8">
        <f ca="1">RANK(PlayerGameData[[#This Row],[REBTieBreak]],PlayerGameData[REBTieBreak],1)</f>
        <v>224</v>
      </c>
      <c r="AR434" s="8">
        <f ca="1">RANK(PlayerGameData[[#This Row],[AST]],PlayerGameData[AST],0)+PlayerGameData[[#This Row],[VisibleOrder]]</f>
        <v>158</v>
      </c>
      <c r="AS434" s="8">
        <f ca="1">IF(COUNTIF(PlayerGameData[ASTOrder],PlayerGameData[[#This Row],[ASTOrder]])&gt;1,PlayerGameData[[#This Row],[PointRank]]/100+PlayerGameData[[#This Row],[ASTOrder]],PlayerGameData[[#This Row],[ASTOrder]])</f>
        <v>160.16</v>
      </c>
      <c r="AT434" s="8">
        <f ca="1">RANK(PlayerGameData[[#This Row],[ASTTieBreak]],PlayerGameData[ASTTieBreak],1)</f>
        <v>221</v>
      </c>
      <c r="AU434" s="8">
        <f ca="1">RANK(PlayerGameData[[#This Row],[STL]],PlayerGameData[STL],0)+PlayerGameData[[#This Row],[VisibleOrder]]</f>
        <v>143</v>
      </c>
      <c r="AV434" s="8">
        <f ca="1">IF(COUNTIF(PlayerGameData[STLOrder],PlayerGameData[[#This Row],[STLOrder]])&gt;1,PlayerGameData[[#This Row],[PointRank]]/100+PlayerGameData[[#This Row],[STLOrder]],PlayerGameData[[#This Row],[STLOrder]])</f>
        <v>145.16</v>
      </c>
      <c r="AW434" s="8">
        <f ca="1">RANK(PlayerGameData[[#This Row],[STLTieBreak]],PlayerGameData[STLTieBreak],1)</f>
        <v>217</v>
      </c>
      <c r="AX434" s="8">
        <f ca="1">RANK(PlayerGameData[[#This Row],[BLK]],PlayerGameData[BLK],0)+PlayerGameData[[#This Row],[VisibleOrder]]</f>
        <v>32</v>
      </c>
      <c r="AY434" s="8">
        <f ca="1">IF(COUNTIF(PlayerGameData[BLKOrder],PlayerGameData[[#This Row],[BLKOrder]])&gt;1,PlayerGameData[[#This Row],[PointRank]]/100+PlayerGameData[[#This Row],[BLKOrder]],PlayerGameData[[#This Row],[BLKOrder]])</f>
        <v>34.159999999999997</v>
      </c>
      <c r="AZ434" s="8">
        <f ca="1">RANK(PlayerGameData[[#This Row],[BLKTieBreak]],PlayerGameData[BLKTieBreak],1)</f>
        <v>216</v>
      </c>
      <c r="BA434" s="11">
        <f ca="1">IFERROR(IF(PlayerGameData[[#This Row],[FGA]]&gt;$AA$5,PlayerGameData[[#This Row],[FG%*]],PlayerGameData[[#This Row],[FG%*]]*-1),-2)</f>
        <v>-2</v>
      </c>
      <c r="BB434" s="8">
        <f ca="1">RANK(PlayerGameData[[#This Row],[EligFG]],PlayerGameData[EligFG],0)+PlayerGameData[[#This Row],[VisibleOrder]]</f>
        <v>215</v>
      </c>
      <c r="BC434" s="8">
        <f ca="1">IF(COUNTIF(PlayerGameData[EligFGOrder],PlayerGameData[[#This Row],[EligFGOrder]])&gt;1,PlayerGameData[[#This Row],[PointRank]]/100+PlayerGameData[[#This Row],[EligFGOrder]],PlayerGameData[[#This Row],[EligFGOrder]])</f>
        <v>217.16</v>
      </c>
      <c r="BD434" s="8">
        <f ca="1">RANK(PlayerGameData[[#This Row],[EligFGTieBreak]],PlayerGameData[EligFGTieBreak],1)</f>
        <v>216</v>
      </c>
      <c r="BE434" s="8" t="str">
        <f>Roster!$D$3</f>
        <v>East</v>
      </c>
      <c r="BF434" s="8" t="str">
        <f>Roster!$D$2</f>
        <v>Northeast</v>
      </c>
      <c r="BG434" s="8" t="str">
        <f>Roster!$D$4</f>
        <v>North</v>
      </c>
      <c r="BH434" s="197">
        <f ca="1">IFERROR(VLOOKUP(CONCATENATE(PlayerGameData[[#This Row],[Opponent]]," ",MONTH(PlayerGameData[[#This Row],[Date]]),"/",DAY(PlayerGameData[[#This Row],[Date]]),"/",YEAR(PlayerGameData[[#This Row],[Date]])),Table35[],2,FALSE),0)</f>
        <v>1</v>
      </c>
      <c r="BI434" s="197">
        <f ca="1">IF(PlayerGameData[[#This Row],[Visible]]=1,1,1000)</f>
        <v>1</v>
      </c>
      <c r="BJ434" s="197" t="e">
        <f ca="1">_xlfn.MAXIFS(TeamGameData[Win],TeamGameData[School, Opponent,Game'#],PlayerGameData[[#This Row],[School, Opponent,Game'#]])</f>
        <v>#NAME?</v>
      </c>
      <c r="BK434" s="197" t="e">
        <f ca="1">_xlfn.MAXIFS(TeamGameData[Loss],TeamGameData[School, Opponent,Game'#],PlayerGameData[[#This Row],[School, Opponent,Game'#]])</f>
        <v>#NAME?</v>
      </c>
    </row>
    <row r="435" spans="1:63" x14ac:dyDescent="0.25">
      <c r="A435" s="8" t="str">
        <f t="shared" ca="1" si="213"/>
        <v xml:space="preserve">, </v>
      </c>
      <c r="B435" s="8" t="str">
        <f>Roster!$B$1</f>
        <v>Upton</v>
      </c>
      <c r="C435" s="8" t="str">
        <f t="shared" ca="1" si="201"/>
        <v>Arvada Clearmont</v>
      </c>
      <c r="D435" s="10">
        <f t="shared" ca="1" si="202"/>
        <v>44968</v>
      </c>
      <c r="E435" s="8">
        <f t="shared" ca="1" si="203"/>
        <v>0</v>
      </c>
      <c r="F435" s="8">
        <f t="shared" ca="1" si="204"/>
        <v>0</v>
      </c>
      <c r="G435" s="8">
        <f t="shared" ca="1" si="205"/>
        <v>0</v>
      </c>
      <c r="H435" s="8">
        <f t="shared" ca="1" si="206"/>
        <v>0</v>
      </c>
      <c r="I435" s="8">
        <f t="shared" ca="1" si="207"/>
        <v>0</v>
      </c>
      <c r="J435" s="8">
        <f t="shared" ca="1" si="208"/>
        <v>0</v>
      </c>
      <c r="K435" s="8">
        <f t="shared" ca="1" si="209"/>
        <v>0</v>
      </c>
      <c r="L435" s="8">
        <f t="shared" ca="1" si="214"/>
        <v>0</v>
      </c>
      <c r="M435" s="8">
        <f t="shared" ca="1" si="215"/>
        <v>0</v>
      </c>
      <c r="N435" s="8">
        <f t="shared" ca="1" si="216"/>
        <v>0</v>
      </c>
      <c r="O435" s="8">
        <f t="shared" ca="1" si="217"/>
        <v>0</v>
      </c>
      <c r="P435" s="8">
        <f t="shared" ca="1" si="218"/>
        <v>0</v>
      </c>
      <c r="Q435" s="8">
        <f t="shared" ca="1" si="219"/>
        <v>0</v>
      </c>
      <c r="R435" s="8">
        <f t="shared" ca="1" si="220"/>
        <v>0</v>
      </c>
      <c r="S435" s="8">
        <f t="shared" ca="1" si="221"/>
        <v>0</v>
      </c>
      <c r="T435" s="8">
        <f t="shared" ca="1" si="222"/>
        <v>0</v>
      </c>
      <c r="U435" s="8">
        <f t="shared" ca="1" si="223"/>
        <v>0</v>
      </c>
      <c r="V435" s="8">
        <f t="shared" ca="1" si="224"/>
        <v>0</v>
      </c>
      <c r="W435" s="11" t="str">
        <f t="shared" ca="1" si="225"/>
        <v/>
      </c>
      <c r="X435" s="11" t="str">
        <f t="shared" ca="1" si="226"/>
        <v/>
      </c>
      <c r="Y435" s="11" t="str">
        <f t="shared" ca="1" si="227"/>
        <v/>
      </c>
      <c r="Z435" s="11" t="str">
        <f t="shared" ca="1" si="228"/>
        <v/>
      </c>
      <c r="AA435" s="11" t="str">
        <f t="shared" ca="1" si="229"/>
        <v/>
      </c>
      <c r="AB435" s="47">
        <f ca="1">PlayerGameData[[#This Row],[3FGA]]+PlayerGameData[[#This Row],[2FGA]]</f>
        <v>0</v>
      </c>
      <c r="AC435" s="47">
        <f ca="1">PlayerGameData[[#This Row],[OFF REB]]+PlayerGameData[[#This Row],[DEF REB]]</f>
        <v>0</v>
      </c>
      <c r="AD435" s="8">
        <f t="shared" si="210"/>
        <v>18</v>
      </c>
      <c r="AE435" s="8" t="str">
        <f t="shared" ca="1" si="211"/>
        <v>,  - Arvada Clearmont 2/11/2023</v>
      </c>
      <c r="AF435" s="8" t="str">
        <f t="shared" ca="1" si="230"/>
        <v>R</v>
      </c>
      <c r="AG435" s="8" t="str">
        <f ca="1">IFERROR(IF(C435=0,"",IF(AND(VLOOKUP(PlayerGameData[[#This Row],[Opponent]],WYTeamInfo,2,FALSE)=Roster!$D$1,VLOOKUP(PlayerGameData[[#This Row],[Opponent]],WYTeamInfo,3,FALSE)=Roster!$D$2),"SR","")),"")</f>
        <v>SR</v>
      </c>
      <c r="AH435" s="8" t="str">
        <f>CONCATENATE(Roster!$D$1," ",Roster!$D$5)</f>
        <v>1A BB</v>
      </c>
      <c r="AI435" s="8" t="str">
        <f t="shared" ca="1" si="212"/>
        <v>Upton - Arvada Clearmont 2/11/2023</v>
      </c>
      <c r="AJ435" s="8">
        <f ca="1">IFERROR(VLOOKUP(PlayerGameData[[#This Row],[School, Opponent,Game'#]],Table3[],2,FALSE),0)</f>
        <v>1</v>
      </c>
      <c r="AK435" s="8">
        <f ca="1">IF(PlayerGameData[[#This Row],[Visible]]=1,1,1000)</f>
        <v>1</v>
      </c>
      <c r="AL435" s="8">
        <f ca="1">RANK(PlayerGameData[[#This Row],[TL PTS]],PlayerGameData[TL PTS],0)+PlayerGameData[[#This Row],[VisibleOrder]]</f>
        <v>185</v>
      </c>
      <c r="AM435" s="8">
        <f ca="1">IF(COUNTIF(PlayerGameData[PointOrder],PlayerGameData[[#This Row],[PointOrder]])&gt;1,RANK(PlayerGameData[[#This Row],[FGA]],PlayerGameData[FGA],0)/100,0)+PlayerGameData[[#This Row],[PointOrder]]</f>
        <v>187.14</v>
      </c>
      <c r="AN435" s="8">
        <f ca="1">RANK(PlayerGameData[[#This Row],[PointTieBreak]],PlayerGameData[PointTieBreak],1)</f>
        <v>216</v>
      </c>
      <c r="AO435" s="8">
        <f ca="1">RANK(PlayerGameData[[#This Row],[REB]],PlayerGameData[REB],0)+PlayerGameData[[#This Row],[VisibleOrder]]</f>
        <v>192</v>
      </c>
      <c r="AP435" s="8">
        <f ca="1">IF(COUNTIF(PlayerGameData[REBOrder],PlayerGameData[[#This Row],[REBOrder]])&gt;1,PlayerGameData[[#This Row],[PointRank]]/100+PlayerGameData[[#This Row],[REBOrder]],PlayerGameData[[#This Row],[REBOrder]])</f>
        <v>194.16</v>
      </c>
      <c r="AQ435" s="8">
        <f ca="1">RANK(PlayerGameData[[#This Row],[REBTieBreak]],PlayerGameData[REBTieBreak],1)</f>
        <v>224</v>
      </c>
      <c r="AR435" s="8">
        <f ca="1">RANK(PlayerGameData[[#This Row],[AST]],PlayerGameData[AST],0)+PlayerGameData[[#This Row],[VisibleOrder]]</f>
        <v>158</v>
      </c>
      <c r="AS435" s="8">
        <f ca="1">IF(COUNTIF(PlayerGameData[ASTOrder],PlayerGameData[[#This Row],[ASTOrder]])&gt;1,PlayerGameData[[#This Row],[PointRank]]/100+PlayerGameData[[#This Row],[ASTOrder]],PlayerGameData[[#This Row],[ASTOrder]])</f>
        <v>160.16</v>
      </c>
      <c r="AT435" s="8">
        <f ca="1">RANK(PlayerGameData[[#This Row],[ASTTieBreak]],PlayerGameData[ASTTieBreak],1)</f>
        <v>221</v>
      </c>
      <c r="AU435" s="8">
        <f ca="1">RANK(PlayerGameData[[#This Row],[STL]],PlayerGameData[STL],0)+PlayerGameData[[#This Row],[VisibleOrder]]</f>
        <v>143</v>
      </c>
      <c r="AV435" s="8">
        <f ca="1">IF(COUNTIF(PlayerGameData[STLOrder],PlayerGameData[[#This Row],[STLOrder]])&gt;1,PlayerGameData[[#This Row],[PointRank]]/100+PlayerGameData[[#This Row],[STLOrder]],PlayerGameData[[#This Row],[STLOrder]])</f>
        <v>145.16</v>
      </c>
      <c r="AW435" s="8">
        <f ca="1">RANK(PlayerGameData[[#This Row],[STLTieBreak]],PlayerGameData[STLTieBreak],1)</f>
        <v>217</v>
      </c>
      <c r="AX435" s="8">
        <f ca="1">RANK(PlayerGameData[[#This Row],[BLK]],PlayerGameData[BLK],0)+PlayerGameData[[#This Row],[VisibleOrder]]</f>
        <v>32</v>
      </c>
      <c r="AY435" s="8">
        <f ca="1">IF(COUNTIF(PlayerGameData[BLKOrder],PlayerGameData[[#This Row],[BLKOrder]])&gt;1,PlayerGameData[[#This Row],[PointRank]]/100+PlayerGameData[[#This Row],[BLKOrder]],PlayerGameData[[#This Row],[BLKOrder]])</f>
        <v>34.159999999999997</v>
      </c>
      <c r="AZ435" s="8">
        <f ca="1">RANK(PlayerGameData[[#This Row],[BLKTieBreak]],PlayerGameData[BLKTieBreak],1)</f>
        <v>216</v>
      </c>
      <c r="BA435" s="11">
        <f ca="1">IFERROR(IF(PlayerGameData[[#This Row],[FGA]]&gt;$AA$5,PlayerGameData[[#This Row],[FG%*]],PlayerGameData[[#This Row],[FG%*]]*-1),-2)</f>
        <v>-2</v>
      </c>
      <c r="BB435" s="8">
        <f ca="1">RANK(PlayerGameData[[#This Row],[EligFG]],PlayerGameData[EligFG],0)+PlayerGameData[[#This Row],[VisibleOrder]]</f>
        <v>215</v>
      </c>
      <c r="BC435" s="8">
        <f ca="1">IF(COUNTIF(PlayerGameData[EligFGOrder],PlayerGameData[[#This Row],[EligFGOrder]])&gt;1,PlayerGameData[[#This Row],[PointRank]]/100+PlayerGameData[[#This Row],[EligFGOrder]],PlayerGameData[[#This Row],[EligFGOrder]])</f>
        <v>217.16</v>
      </c>
      <c r="BD435" s="8">
        <f ca="1">RANK(PlayerGameData[[#This Row],[EligFGTieBreak]],PlayerGameData[EligFGTieBreak],1)</f>
        <v>216</v>
      </c>
      <c r="BE435" s="8" t="str">
        <f>Roster!$D$3</f>
        <v>East</v>
      </c>
      <c r="BF435" s="8" t="str">
        <f>Roster!$D$2</f>
        <v>Northeast</v>
      </c>
      <c r="BG435" s="8" t="str">
        <f>Roster!$D$4</f>
        <v>North</v>
      </c>
      <c r="BH435" s="197">
        <f ca="1">IFERROR(VLOOKUP(CONCATENATE(PlayerGameData[[#This Row],[Opponent]]," ",MONTH(PlayerGameData[[#This Row],[Date]]),"/",DAY(PlayerGameData[[#This Row],[Date]]),"/",YEAR(PlayerGameData[[#This Row],[Date]])),Table35[],2,FALSE),0)</f>
        <v>1</v>
      </c>
      <c r="BI435" s="197">
        <f ca="1">IF(PlayerGameData[[#This Row],[Visible]]=1,1,1000)</f>
        <v>1</v>
      </c>
      <c r="BJ435" s="197" t="e">
        <f ca="1">_xlfn.MAXIFS(TeamGameData[Win],TeamGameData[School, Opponent,Game'#],PlayerGameData[[#This Row],[School, Opponent,Game'#]])</f>
        <v>#NAME?</v>
      </c>
      <c r="BK435" s="197" t="e">
        <f ca="1">_xlfn.MAXIFS(TeamGameData[Loss],TeamGameData[School, Opponent,Game'#],PlayerGameData[[#This Row],[School, Opponent,Game'#]])</f>
        <v>#NAME?</v>
      </c>
    </row>
    <row r="436" spans="1:63" x14ac:dyDescent="0.25">
      <c r="A436" s="8" t="str">
        <f t="shared" ca="1" si="213"/>
        <v xml:space="preserve">, </v>
      </c>
      <c r="B436" s="8" t="str">
        <f>Roster!$B$1</f>
        <v>Upton</v>
      </c>
      <c r="C436" s="8" t="str">
        <f t="shared" ca="1" si="201"/>
        <v>Arvada Clearmont</v>
      </c>
      <c r="D436" s="10">
        <f t="shared" ca="1" si="202"/>
        <v>44968</v>
      </c>
      <c r="E436" s="8">
        <f t="shared" ca="1" si="203"/>
        <v>0</v>
      </c>
      <c r="F436" s="8">
        <f t="shared" ca="1" si="204"/>
        <v>0</v>
      </c>
      <c r="G436" s="8">
        <f t="shared" ca="1" si="205"/>
        <v>0</v>
      </c>
      <c r="H436" s="8">
        <f t="shared" ca="1" si="206"/>
        <v>0</v>
      </c>
      <c r="I436" s="8">
        <f t="shared" ca="1" si="207"/>
        <v>0</v>
      </c>
      <c r="J436" s="8">
        <f t="shared" ca="1" si="208"/>
        <v>0</v>
      </c>
      <c r="K436" s="8">
        <f t="shared" ca="1" si="209"/>
        <v>0</v>
      </c>
      <c r="L436" s="8">
        <f t="shared" ca="1" si="214"/>
        <v>0</v>
      </c>
      <c r="M436" s="8">
        <f t="shared" ca="1" si="215"/>
        <v>0</v>
      </c>
      <c r="N436" s="8">
        <f t="shared" ca="1" si="216"/>
        <v>0</v>
      </c>
      <c r="O436" s="8">
        <f t="shared" ca="1" si="217"/>
        <v>0</v>
      </c>
      <c r="P436" s="8">
        <f t="shared" ca="1" si="218"/>
        <v>0</v>
      </c>
      <c r="Q436" s="8">
        <f t="shared" ca="1" si="219"/>
        <v>0</v>
      </c>
      <c r="R436" s="8">
        <f t="shared" ca="1" si="220"/>
        <v>0</v>
      </c>
      <c r="S436" s="8">
        <f t="shared" ca="1" si="221"/>
        <v>0</v>
      </c>
      <c r="T436" s="8">
        <f t="shared" ca="1" si="222"/>
        <v>0</v>
      </c>
      <c r="U436" s="8">
        <f t="shared" ca="1" si="223"/>
        <v>0</v>
      </c>
      <c r="V436" s="8">
        <f t="shared" ca="1" si="224"/>
        <v>0</v>
      </c>
      <c r="W436" s="11" t="str">
        <f t="shared" ca="1" si="225"/>
        <v/>
      </c>
      <c r="X436" s="11" t="str">
        <f t="shared" ca="1" si="226"/>
        <v/>
      </c>
      <c r="Y436" s="11" t="str">
        <f t="shared" ca="1" si="227"/>
        <v/>
      </c>
      <c r="Z436" s="11" t="str">
        <f t="shared" ca="1" si="228"/>
        <v/>
      </c>
      <c r="AA436" s="11" t="str">
        <f t="shared" ca="1" si="229"/>
        <v/>
      </c>
      <c r="AB436" s="47">
        <f ca="1">PlayerGameData[[#This Row],[3FGA]]+PlayerGameData[[#This Row],[2FGA]]</f>
        <v>0</v>
      </c>
      <c r="AC436" s="47">
        <f ca="1">PlayerGameData[[#This Row],[OFF REB]]+PlayerGameData[[#This Row],[DEF REB]]</f>
        <v>0</v>
      </c>
      <c r="AD436" s="8">
        <f t="shared" si="210"/>
        <v>18</v>
      </c>
      <c r="AE436" s="8" t="str">
        <f t="shared" ca="1" si="211"/>
        <v>,  - Arvada Clearmont 2/11/2023</v>
      </c>
      <c r="AF436" s="8" t="str">
        <f t="shared" ca="1" si="230"/>
        <v>R</v>
      </c>
      <c r="AG436" s="8" t="str">
        <f ca="1">IFERROR(IF(C436=0,"",IF(AND(VLOOKUP(PlayerGameData[[#This Row],[Opponent]],WYTeamInfo,2,FALSE)=Roster!$D$1,VLOOKUP(PlayerGameData[[#This Row],[Opponent]],WYTeamInfo,3,FALSE)=Roster!$D$2),"SR","")),"")</f>
        <v>SR</v>
      </c>
      <c r="AH436" s="8" t="str">
        <f>CONCATENATE(Roster!$D$1," ",Roster!$D$5)</f>
        <v>1A BB</v>
      </c>
      <c r="AI436" s="8" t="str">
        <f t="shared" ca="1" si="212"/>
        <v>Upton - Arvada Clearmont 2/11/2023</v>
      </c>
      <c r="AJ436" s="8">
        <f ca="1">IFERROR(VLOOKUP(PlayerGameData[[#This Row],[School, Opponent,Game'#]],Table3[],2,FALSE),0)</f>
        <v>1</v>
      </c>
      <c r="AK436" s="8">
        <f ca="1">IF(PlayerGameData[[#This Row],[Visible]]=1,1,1000)</f>
        <v>1</v>
      </c>
      <c r="AL436" s="8">
        <f ca="1">RANK(PlayerGameData[[#This Row],[TL PTS]],PlayerGameData[TL PTS],0)+PlayerGameData[[#This Row],[VisibleOrder]]</f>
        <v>185</v>
      </c>
      <c r="AM436" s="8">
        <f ca="1">IF(COUNTIF(PlayerGameData[PointOrder],PlayerGameData[[#This Row],[PointOrder]])&gt;1,RANK(PlayerGameData[[#This Row],[FGA]],PlayerGameData[FGA],0)/100,0)+PlayerGameData[[#This Row],[PointOrder]]</f>
        <v>187.14</v>
      </c>
      <c r="AN436" s="8">
        <f ca="1">RANK(PlayerGameData[[#This Row],[PointTieBreak]],PlayerGameData[PointTieBreak],1)</f>
        <v>216</v>
      </c>
      <c r="AO436" s="8">
        <f ca="1">RANK(PlayerGameData[[#This Row],[REB]],PlayerGameData[REB],0)+PlayerGameData[[#This Row],[VisibleOrder]]</f>
        <v>192</v>
      </c>
      <c r="AP436" s="8">
        <f ca="1">IF(COUNTIF(PlayerGameData[REBOrder],PlayerGameData[[#This Row],[REBOrder]])&gt;1,PlayerGameData[[#This Row],[PointRank]]/100+PlayerGameData[[#This Row],[REBOrder]],PlayerGameData[[#This Row],[REBOrder]])</f>
        <v>194.16</v>
      </c>
      <c r="AQ436" s="8">
        <f ca="1">RANK(PlayerGameData[[#This Row],[REBTieBreak]],PlayerGameData[REBTieBreak],1)</f>
        <v>224</v>
      </c>
      <c r="AR436" s="8">
        <f ca="1">RANK(PlayerGameData[[#This Row],[AST]],PlayerGameData[AST],0)+PlayerGameData[[#This Row],[VisibleOrder]]</f>
        <v>158</v>
      </c>
      <c r="AS436" s="8">
        <f ca="1">IF(COUNTIF(PlayerGameData[ASTOrder],PlayerGameData[[#This Row],[ASTOrder]])&gt;1,PlayerGameData[[#This Row],[PointRank]]/100+PlayerGameData[[#This Row],[ASTOrder]],PlayerGameData[[#This Row],[ASTOrder]])</f>
        <v>160.16</v>
      </c>
      <c r="AT436" s="8">
        <f ca="1">RANK(PlayerGameData[[#This Row],[ASTTieBreak]],PlayerGameData[ASTTieBreak],1)</f>
        <v>221</v>
      </c>
      <c r="AU436" s="8">
        <f ca="1">RANK(PlayerGameData[[#This Row],[STL]],PlayerGameData[STL],0)+PlayerGameData[[#This Row],[VisibleOrder]]</f>
        <v>143</v>
      </c>
      <c r="AV436" s="8">
        <f ca="1">IF(COUNTIF(PlayerGameData[STLOrder],PlayerGameData[[#This Row],[STLOrder]])&gt;1,PlayerGameData[[#This Row],[PointRank]]/100+PlayerGameData[[#This Row],[STLOrder]],PlayerGameData[[#This Row],[STLOrder]])</f>
        <v>145.16</v>
      </c>
      <c r="AW436" s="8">
        <f ca="1">RANK(PlayerGameData[[#This Row],[STLTieBreak]],PlayerGameData[STLTieBreak],1)</f>
        <v>217</v>
      </c>
      <c r="AX436" s="8">
        <f ca="1">RANK(PlayerGameData[[#This Row],[BLK]],PlayerGameData[BLK],0)+PlayerGameData[[#This Row],[VisibleOrder]]</f>
        <v>32</v>
      </c>
      <c r="AY436" s="8">
        <f ca="1">IF(COUNTIF(PlayerGameData[BLKOrder],PlayerGameData[[#This Row],[BLKOrder]])&gt;1,PlayerGameData[[#This Row],[PointRank]]/100+PlayerGameData[[#This Row],[BLKOrder]],PlayerGameData[[#This Row],[BLKOrder]])</f>
        <v>34.159999999999997</v>
      </c>
      <c r="AZ436" s="8">
        <f ca="1">RANK(PlayerGameData[[#This Row],[BLKTieBreak]],PlayerGameData[BLKTieBreak],1)</f>
        <v>216</v>
      </c>
      <c r="BA436" s="11">
        <f ca="1">IFERROR(IF(PlayerGameData[[#This Row],[FGA]]&gt;$AA$5,PlayerGameData[[#This Row],[FG%*]],PlayerGameData[[#This Row],[FG%*]]*-1),-2)</f>
        <v>-2</v>
      </c>
      <c r="BB436" s="8">
        <f ca="1">RANK(PlayerGameData[[#This Row],[EligFG]],PlayerGameData[EligFG],0)+PlayerGameData[[#This Row],[VisibleOrder]]</f>
        <v>215</v>
      </c>
      <c r="BC436" s="8">
        <f ca="1">IF(COUNTIF(PlayerGameData[EligFGOrder],PlayerGameData[[#This Row],[EligFGOrder]])&gt;1,PlayerGameData[[#This Row],[PointRank]]/100+PlayerGameData[[#This Row],[EligFGOrder]],PlayerGameData[[#This Row],[EligFGOrder]])</f>
        <v>217.16</v>
      </c>
      <c r="BD436" s="8">
        <f ca="1">RANK(PlayerGameData[[#This Row],[EligFGTieBreak]],PlayerGameData[EligFGTieBreak],1)</f>
        <v>216</v>
      </c>
      <c r="BE436" s="8" t="str">
        <f>Roster!$D$3</f>
        <v>East</v>
      </c>
      <c r="BF436" s="8" t="str">
        <f>Roster!$D$2</f>
        <v>Northeast</v>
      </c>
      <c r="BG436" s="8" t="str">
        <f>Roster!$D$4</f>
        <v>North</v>
      </c>
      <c r="BH436" s="197">
        <f ca="1">IFERROR(VLOOKUP(CONCATENATE(PlayerGameData[[#This Row],[Opponent]]," ",MONTH(PlayerGameData[[#This Row],[Date]]),"/",DAY(PlayerGameData[[#This Row],[Date]]),"/",YEAR(PlayerGameData[[#This Row],[Date]])),Table35[],2,FALSE),0)</f>
        <v>1</v>
      </c>
      <c r="BI436" s="197">
        <f ca="1">IF(PlayerGameData[[#This Row],[Visible]]=1,1,1000)</f>
        <v>1</v>
      </c>
      <c r="BJ436" s="197" t="e">
        <f ca="1">_xlfn.MAXIFS(TeamGameData[Win],TeamGameData[School, Opponent,Game'#],PlayerGameData[[#This Row],[School, Opponent,Game'#]])</f>
        <v>#NAME?</v>
      </c>
      <c r="BK436" s="197" t="e">
        <f ca="1">_xlfn.MAXIFS(TeamGameData[Loss],TeamGameData[School, Opponent,Game'#],PlayerGameData[[#This Row],[School, Opponent,Game'#]])</f>
        <v>#NAME?</v>
      </c>
    </row>
    <row r="437" spans="1:63" x14ac:dyDescent="0.25">
      <c r="A437" s="8" t="str">
        <f t="shared" ca="1" si="213"/>
        <v xml:space="preserve">, </v>
      </c>
      <c r="B437" s="8" t="str">
        <f>Roster!$B$1</f>
        <v>Upton</v>
      </c>
      <c r="C437" s="8" t="str">
        <f t="shared" ca="1" si="201"/>
        <v>Arvada Clearmont</v>
      </c>
      <c r="D437" s="10">
        <f t="shared" ca="1" si="202"/>
        <v>44968</v>
      </c>
      <c r="E437" s="8">
        <f t="shared" ca="1" si="203"/>
        <v>0</v>
      </c>
      <c r="F437" s="8">
        <f t="shared" ca="1" si="204"/>
        <v>0</v>
      </c>
      <c r="G437" s="8">
        <f t="shared" ca="1" si="205"/>
        <v>0</v>
      </c>
      <c r="H437" s="8">
        <f t="shared" ca="1" si="206"/>
        <v>0</v>
      </c>
      <c r="I437" s="8">
        <f t="shared" ca="1" si="207"/>
        <v>0</v>
      </c>
      <c r="J437" s="8">
        <f t="shared" ca="1" si="208"/>
        <v>0</v>
      </c>
      <c r="K437" s="8">
        <f t="shared" ca="1" si="209"/>
        <v>0</v>
      </c>
      <c r="L437" s="8">
        <f t="shared" ca="1" si="214"/>
        <v>0</v>
      </c>
      <c r="M437" s="8">
        <f t="shared" ca="1" si="215"/>
        <v>0</v>
      </c>
      <c r="N437" s="8">
        <f t="shared" ca="1" si="216"/>
        <v>0</v>
      </c>
      <c r="O437" s="8">
        <f t="shared" ca="1" si="217"/>
        <v>0</v>
      </c>
      <c r="P437" s="8">
        <f t="shared" ca="1" si="218"/>
        <v>0</v>
      </c>
      <c r="Q437" s="8">
        <f t="shared" ca="1" si="219"/>
        <v>0</v>
      </c>
      <c r="R437" s="8">
        <f t="shared" ca="1" si="220"/>
        <v>0</v>
      </c>
      <c r="S437" s="8">
        <f t="shared" ca="1" si="221"/>
        <v>0</v>
      </c>
      <c r="T437" s="8">
        <f t="shared" ca="1" si="222"/>
        <v>0</v>
      </c>
      <c r="U437" s="8">
        <f t="shared" ca="1" si="223"/>
        <v>0</v>
      </c>
      <c r="V437" s="8">
        <f t="shared" ca="1" si="224"/>
        <v>0</v>
      </c>
      <c r="W437" s="11" t="str">
        <f t="shared" ca="1" si="225"/>
        <v/>
      </c>
      <c r="X437" s="11" t="str">
        <f t="shared" ca="1" si="226"/>
        <v/>
      </c>
      <c r="Y437" s="11" t="str">
        <f t="shared" ca="1" si="227"/>
        <v/>
      </c>
      <c r="Z437" s="11" t="str">
        <f t="shared" ca="1" si="228"/>
        <v/>
      </c>
      <c r="AA437" s="11" t="str">
        <f t="shared" ca="1" si="229"/>
        <v/>
      </c>
      <c r="AB437" s="47">
        <f ca="1">PlayerGameData[[#This Row],[3FGA]]+PlayerGameData[[#This Row],[2FGA]]</f>
        <v>0</v>
      </c>
      <c r="AC437" s="47">
        <f ca="1">PlayerGameData[[#This Row],[OFF REB]]+PlayerGameData[[#This Row],[DEF REB]]</f>
        <v>0</v>
      </c>
      <c r="AD437" s="8">
        <f t="shared" si="210"/>
        <v>18</v>
      </c>
      <c r="AE437" s="8" t="str">
        <f t="shared" ca="1" si="211"/>
        <v>,  - Arvada Clearmont 2/11/2023</v>
      </c>
      <c r="AF437" s="8" t="str">
        <f t="shared" ca="1" si="230"/>
        <v>R</v>
      </c>
      <c r="AG437" s="8" t="str">
        <f ca="1">IFERROR(IF(C437=0,"",IF(AND(VLOOKUP(PlayerGameData[[#This Row],[Opponent]],WYTeamInfo,2,FALSE)=Roster!$D$1,VLOOKUP(PlayerGameData[[#This Row],[Opponent]],WYTeamInfo,3,FALSE)=Roster!$D$2),"SR","")),"")</f>
        <v>SR</v>
      </c>
      <c r="AH437" s="8" t="str">
        <f>CONCATENATE(Roster!$D$1," ",Roster!$D$5)</f>
        <v>1A BB</v>
      </c>
      <c r="AI437" s="8" t="str">
        <f t="shared" ca="1" si="212"/>
        <v>Upton - Arvada Clearmont 2/11/2023</v>
      </c>
      <c r="AJ437" s="8">
        <f ca="1">IFERROR(VLOOKUP(PlayerGameData[[#This Row],[School, Opponent,Game'#]],Table3[],2,FALSE),0)</f>
        <v>1</v>
      </c>
      <c r="AK437" s="8">
        <f ca="1">IF(PlayerGameData[[#This Row],[Visible]]=1,1,1000)</f>
        <v>1</v>
      </c>
      <c r="AL437" s="8">
        <f ca="1">RANK(PlayerGameData[[#This Row],[TL PTS]],PlayerGameData[TL PTS],0)+PlayerGameData[[#This Row],[VisibleOrder]]</f>
        <v>185</v>
      </c>
      <c r="AM437" s="8">
        <f ca="1">IF(COUNTIF(PlayerGameData[PointOrder],PlayerGameData[[#This Row],[PointOrder]])&gt;1,RANK(PlayerGameData[[#This Row],[FGA]],PlayerGameData[FGA],0)/100,0)+PlayerGameData[[#This Row],[PointOrder]]</f>
        <v>187.14</v>
      </c>
      <c r="AN437" s="8">
        <f ca="1">RANK(PlayerGameData[[#This Row],[PointTieBreak]],PlayerGameData[PointTieBreak],1)</f>
        <v>216</v>
      </c>
      <c r="AO437" s="8">
        <f ca="1">RANK(PlayerGameData[[#This Row],[REB]],PlayerGameData[REB],0)+PlayerGameData[[#This Row],[VisibleOrder]]</f>
        <v>192</v>
      </c>
      <c r="AP437" s="8">
        <f ca="1">IF(COUNTIF(PlayerGameData[REBOrder],PlayerGameData[[#This Row],[REBOrder]])&gt;1,PlayerGameData[[#This Row],[PointRank]]/100+PlayerGameData[[#This Row],[REBOrder]],PlayerGameData[[#This Row],[REBOrder]])</f>
        <v>194.16</v>
      </c>
      <c r="AQ437" s="8">
        <f ca="1">RANK(PlayerGameData[[#This Row],[REBTieBreak]],PlayerGameData[REBTieBreak],1)</f>
        <v>224</v>
      </c>
      <c r="AR437" s="8">
        <f ca="1">RANK(PlayerGameData[[#This Row],[AST]],PlayerGameData[AST],0)+PlayerGameData[[#This Row],[VisibleOrder]]</f>
        <v>158</v>
      </c>
      <c r="AS437" s="8">
        <f ca="1">IF(COUNTIF(PlayerGameData[ASTOrder],PlayerGameData[[#This Row],[ASTOrder]])&gt;1,PlayerGameData[[#This Row],[PointRank]]/100+PlayerGameData[[#This Row],[ASTOrder]],PlayerGameData[[#This Row],[ASTOrder]])</f>
        <v>160.16</v>
      </c>
      <c r="AT437" s="8">
        <f ca="1">RANK(PlayerGameData[[#This Row],[ASTTieBreak]],PlayerGameData[ASTTieBreak],1)</f>
        <v>221</v>
      </c>
      <c r="AU437" s="8">
        <f ca="1">RANK(PlayerGameData[[#This Row],[STL]],PlayerGameData[STL],0)+PlayerGameData[[#This Row],[VisibleOrder]]</f>
        <v>143</v>
      </c>
      <c r="AV437" s="8">
        <f ca="1">IF(COUNTIF(PlayerGameData[STLOrder],PlayerGameData[[#This Row],[STLOrder]])&gt;1,PlayerGameData[[#This Row],[PointRank]]/100+PlayerGameData[[#This Row],[STLOrder]],PlayerGameData[[#This Row],[STLOrder]])</f>
        <v>145.16</v>
      </c>
      <c r="AW437" s="8">
        <f ca="1">RANK(PlayerGameData[[#This Row],[STLTieBreak]],PlayerGameData[STLTieBreak],1)</f>
        <v>217</v>
      </c>
      <c r="AX437" s="8">
        <f ca="1">RANK(PlayerGameData[[#This Row],[BLK]],PlayerGameData[BLK],0)+PlayerGameData[[#This Row],[VisibleOrder]]</f>
        <v>32</v>
      </c>
      <c r="AY437" s="8">
        <f ca="1">IF(COUNTIF(PlayerGameData[BLKOrder],PlayerGameData[[#This Row],[BLKOrder]])&gt;1,PlayerGameData[[#This Row],[PointRank]]/100+PlayerGameData[[#This Row],[BLKOrder]],PlayerGameData[[#This Row],[BLKOrder]])</f>
        <v>34.159999999999997</v>
      </c>
      <c r="AZ437" s="8">
        <f ca="1">RANK(PlayerGameData[[#This Row],[BLKTieBreak]],PlayerGameData[BLKTieBreak],1)</f>
        <v>216</v>
      </c>
      <c r="BA437" s="11">
        <f ca="1">IFERROR(IF(PlayerGameData[[#This Row],[FGA]]&gt;$AA$5,PlayerGameData[[#This Row],[FG%*]],PlayerGameData[[#This Row],[FG%*]]*-1),-2)</f>
        <v>-2</v>
      </c>
      <c r="BB437" s="8">
        <f ca="1">RANK(PlayerGameData[[#This Row],[EligFG]],PlayerGameData[EligFG],0)+PlayerGameData[[#This Row],[VisibleOrder]]</f>
        <v>215</v>
      </c>
      <c r="BC437" s="8">
        <f ca="1">IF(COUNTIF(PlayerGameData[EligFGOrder],PlayerGameData[[#This Row],[EligFGOrder]])&gt;1,PlayerGameData[[#This Row],[PointRank]]/100+PlayerGameData[[#This Row],[EligFGOrder]],PlayerGameData[[#This Row],[EligFGOrder]])</f>
        <v>217.16</v>
      </c>
      <c r="BD437" s="8">
        <f ca="1">RANK(PlayerGameData[[#This Row],[EligFGTieBreak]],PlayerGameData[EligFGTieBreak],1)</f>
        <v>216</v>
      </c>
      <c r="BE437" s="8" t="str">
        <f>Roster!$D$3</f>
        <v>East</v>
      </c>
      <c r="BF437" s="8" t="str">
        <f>Roster!$D$2</f>
        <v>Northeast</v>
      </c>
      <c r="BG437" s="8" t="str">
        <f>Roster!$D$4</f>
        <v>North</v>
      </c>
      <c r="BH437" s="197">
        <f ca="1">IFERROR(VLOOKUP(CONCATENATE(PlayerGameData[[#This Row],[Opponent]]," ",MONTH(PlayerGameData[[#This Row],[Date]]),"/",DAY(PlayerGameData[[#This Row],[Date]]),"/",YEAR(PlayerGameData[[#This Row],[Date]])),Table35[],2,FALSE),0)</f>
        <v>1</v>
      </c>
      <c r="BI437" s="197">
        <f ca="1">IF(PlayerGameData[[#This Row],[Visible]]=1,1,1000)</f>
        <v>1</v>
      </c>
      <c r="BJ437" s="197" t="e">
        <f ca="1">_xlfn.MAXIFS(TeamGameData[Win],TeamGameData[School, Opponent,Game'#],PlayerGameData[[#This Row],[School, Opponent,Game'#]])</f>
        <v>#NAME?</v>
      </c>
      <c r="BK437" s="197" t="e">
        <f ca="1">_xlfn.MAXIFS(TeamGameData[Loss],TeamGameData[School, Opponent,Game'#],PlayerGameData[[#This Row],[School, Opponent,Game'#]])</f>
        <v>#NAME?</v>
      </c>
    </row>
    <row r="438" spans="1:63" x14ac:dyDescent="0.25">
      <c r="A438" s="8" t="str">
        <f t="shared" ca="1" si="213"/>
        <v xml:space="preserve">Team, </v>
      </c>
      <c r="B438" s="8" t="str">
        <f>Roster!$B$1</f>
        <v>Upton</v>
      </c>
      <c r="C438" s="8" t="str">
        <f t="shared" ca="1" si="201"/>
        <v>Arvada Clearmont</v>
      </c>
      <c r="D438" s="10">
        <f t="shared" ca="1" si="202"/>
        <v>44968</v>
      </c>
      <c r="E438" s="8">
        <f t="shared" ca="1" si="203"/>
        <v>0</v>
      </c>
      <c r="F438" s="8">
        <f t="shared" ca="1" si="204"/>
        <v>0</v>
      </c>
      <c r="G438" s="8">
        <f t="shared" ca="1" si="205"/>
        <v>0</v>
      </c>
      <c r="H438" s="8">
        <f t="shared" ca="1" si="206"/>
        <v>0</v>
      </c>
      <c r="I438" s="8">
        <f t="shared" ca="1" si="207"/>
        <v>0</v>
      </c>
      <c r="J438" s="8">
        <f t="shared" ca="1" si="208"/>
        <v>0</v>
      </c>
      <c r="K438" s="8">
        <f t="shared" ca="1" si="209"/>
        <v>0</v>
      </c>
      <c r="L438" s="8">
        <f t="shared" ca="1" si="214"/>
        <v>0</v>
      </c>
      <c r="M438" s="8">
        <f t="shared" ca="1" si="215"/>
        <v>0</v>
      </c>
      <c r="N438" s="8">
        <f t="shared" ca="1" si="216"/>
        <v>0</v>
      </c>
      <c r="O438" s="8">
        <f t="shared" ca="1" si="217"/>
        <v>0</v>
      </c>
      <c r="P438" s="8">
        <f t="shared" ca="1" si="218"/>
        <v>0</v>
      </c>
      <c r="Q438" s="8">
        <f t="shared" ca="1" si="219"/>
        <v>0</v>
      </c>
      <c r="R438" s="8">
        <f t="shared" ca="1" si="220"/>
        <v>0</v>
      </c>
      <c r="S438" s="8">
        <f t="shared" ca="1" si="221"/>
        <v>0</v>
      </c>
      <c r="T438" s="8">
        <f t="shared" ca="1" si="222"/>
        <v>0</v>
      </c>
      <c r="U438" s="8">
        <f t="shared" ca="1" si="223"/>
        <v>0</v>
      </c>
      <c r="V438" s="8">
        <f t="shared" ca="1" si="224"/>
        <v>0</v>
      </c>
      <c r="W438" s="11" t="str">
        <f t="shared" ca="1" si="225"/>
        <v/>
      </c>
      <c r="X438" s="11" t="str">
        <f t="shared" ca="1" si="226"/>
        <v/>
      </c>
      <c r="Y438" s="11" t="str">
        <f t="shared" ca="1" si="227"/>
        <v/>
      </c>
      <c r="Z438" s="11" t="str">
        <f t="shared" ca="1" si="228"/>
        <v/>
      </c>
      <c r="AA438" s="11" t="str">
        <f t="shared" ca="1" si="229"/>
        <v/>
      </c>
      <c r="AB438" s="47">
        <f ca="1">PlayerGameData[[#This Row],[3FGA]]+PlayerGameData[[#This Row],[2FGA]]</f>
        <v>0</v>
      </c>
      <c r="AC438" s="47">
        <f ca="1">PlayerGameData[[#This Row],[OFF REB]]+PlayerGameData[[#This Row],[DEF REB]]</f>
        <v>0</v>
      </c>
      <c r="AD438" s="8">
        <f t="shared" si="210"/>
        <v>18</v>
      </c>
      <c r="AE438" s="8" t="str">
        <f t="shared" ca="1" si="211"/>
        <v>Team,  - Arvada Clearmont 2/11/2023</v>
      </c>
      <c r="AF438" s="8" t="str">
        <f t="shared" ca="1" si="230"/>
        <v>R</v>
      </c>
      <c r="AG438" s="8" t="str">
        <f ca="1">IFERROR(IF(C438=0,"",IF(AND(VLOOKUP(PlayerGameData[[#This Row],[Opponent]],WYTeamInfo,2,FALSE)=Roster!$D$1,VLOOKUP(PlayerGameData[[#This Row],[Opponent]],WYTeamInfo,3,FALSE)=Roster!$D$2),"SR","")),"")</f>
        <v>SR</v>
      </c>
      <c r="AH438" s="8" t="str">
        <f>CONCATENATE(Roster!$D$1," ",Roster!$D$5)</f>
        <v>1A BB</v>
      </c>
      <c r="AI438" s="8" t="str">
        <f t="shared" ca="1" si="212"/>
        <v>Upton - Arvada Clearmont 2/11/2023</v>
      </c>
      <c r="AJ438" s="8">
        <f ca="1">IFERROR(VLOOKUP(PlayerGameData[[#This Row],[School, Opponent,Game'#]],Table3[],2,FALSE),0)</f>
        <v>1</v>
      </c>
      <c r="AK438" s="8">
        <f ca="1">IF(PlayerGameData[[#This Row],[Visible]]=1,1,1000)</f>
        <v>1</v>
      </c>
      <c r="AL438" s="8">
        <f ca="1">RANK(PlayerGameData[[#This Row],[TL PTS]],PlayerGameData[TL PTS],0)+PlayerGameData[[#This Row],[VisibleOrder]]</f>
        <v>185</v>
      </c>
      <c r="AM438" s="8">
        <f ca="1">IF(COUNTIF(PlayerGameData[PointOrder],PlayerGameData[[#This Row],[PointOrder]])&gt;1,RANK(PlayerGameData[[#This Row],[FGA]],PlayerGameData[FGA],0)/100,0)+PlayerGameData[[#This Row],[PointOrder]]</f>
        <v>187.14</v>
      </c>
      <c r="AN438" s="8">
        <f ca="1">RANK(PlayerGameData[[#This Row],[PointTieBreak]],PlayerGameData[PointTieBreak],1)</f>
        <v>216</v>
      </c>
      <c r="AO438" s="8">
        <f ca="1">RANK(PlayerGameData[[#This Row],[REB]],PlayerGameData[REB],0)+PlayerGameData[[#This Row],[VisibleOrder]]</f>
        <v>192</v>
      </c>
      <c r="AP438" s="8">
        <f ca="1">IF(COUNTIF(PlayerGameData[REBOrder],PlayerGameData[[#This Row],[REBOrder]])&gt;1,PlayerGameData[[#This Row],[PointRank]]/100+PlayerGameData[[#This Row],[REBOrder]],PlayerGameData[[#This Row],[REBOrder]])</f>
        <v>194.16</v>
      </c>
      <c r="AQ438" s="8">
        <f ca="1">RANK(PlayerGameData[[#This Row],[REBTieBreak]],PlayerGameData[REBTieBreak],1)</f>
        <v>224</v>
      </c>
      <c r="AR438" s="8">
        <f ca="1">RANK(PlayerGameData[[#This Row],[AST]],PlayerGameData[AST],0)+PlayerGameData[[#This Row],[VisibleOrder]]</f>
        <v>158</v>
      </c>
      <c r="AS438" s="8">
        <f ca="1">IF(COUNTIF(PlayerGameData[ASTOrder],PlayerGameData[[#This Row],[ASTOrder]])&gt;1,PlayerGameData[[#This Row],[PointRank]]/100+PlayerGameData[[#This Row],[ASTOrder]],PlayerGameData[[#This Row],[ASTOrder]])</f>
        <v>160.16</v>
      </c>
      <c r="AT438" s="8">
        <f ca="1">RANK(PlayerGameData[[#This Row],[ASTTieBreak]],PlayerGameData[ASTTieBreak],1)</f>
        <v>221</v>
      </c>
      <c r="AU438" s="8">
        <f ca="1">RANK(PlayerGameData[[#This Row],[STL]],PlayerGameData[STL],0)+PlayerGameData[[#This Row],[VisibleOrder]]</f>
        <v>143</v>
      </c>
      <c r="AV438" s="8">
        <f ca="1">IF(COUNTIF(PlayerGameData[STLOrder],PlayerGameData[[#This Row],[STLOrder]])&gt;1,PlayerGameData[[#This Row],[PointRank]]/100+PlayerGameData[[#This Row],[STLOrder]],PlayerGameData[[#This Row],[STLOrder]])</f>
        <v>145.16</v>
      </c>
      <c r="AW438" s="8">
        <f ca="1">RANK(PlayerGameData[[#This Row],[STLTieBreak]],PlayerGameData[STLTieBreak],1)</f>
        <v>217</v>
      </c>
      <c r="AX438" s="8">
        <f ca="1">RANK(PlayerGameData[[#This Row],[BLK]],PlayerGameData[BLK],0)+PlayerGameData[[#This Row],[VisibleOrder]]</f>
        <v>32</v>
      </c>
      <c r="AY438" s="8">
        <f ca="1">IF(COUNTIF(PlayerGameData[BLKOrder],PlayerGameData[[#This Row],[BLKOrder]])&gt;1,PlayerGameData[[#This Row],[PointRank]]/100+PlayerGameData[[#This Row],[BLKOrder]],PlayerGameData[[#This Row],[BLKOrder]])</f>
        <v>34.159999999999997</v>
      </c>
      <c r="AZ438" s="8">
        <f ca="1">RANK(PlayerGameData[[#This Row],[BLKTieBreak]],PlayerGameData[BLKTieBreak],1)</f>
        <v>216</v>
      </c>
      <c r="BA438" s="11">
        <f ca="1">IFERROR(IF(PlayerGameData[[#This Row],[FGA]]&gt;$AA$5,PlayerGameData[[#This Row],[FG%*]],PlayerGameData[[#This Row],[FG%*]]*-1),-2)</f>
        <v>-2</v>
      </c>
      <c r="BB438" s="8">
        <f ca="1">RANK(PlayerGameData[[#This Row],[EligFG]],PlayerGameData[EligFG],0)+PlayerGameData[[#This Row],[VisibleOrder]]</f>
        <v>215</v>
      </c>
      <c r="BC438" s="8">
        <f ca="1">IF(COUNTIF(PlayerGameData[EligFGOrder],PlayerGameData[[#This Row],[EligFGOrder]])&gt;1,PlayerGameData[[#This Row],[PointRank]]/100+PlayerGameData[[#This Row],[EligFGOrder]],PlayerGameData[[#This Row],[EligFGOrder]])</f>
        <v>217.16</v>
      </c>
      <c r="BD438" s="8">
        <f ca="1">RANK(PlayerGameData[[#This Row],[EligFGTieBreak]],PlayerGameData[EligFGTieBreak],1)</f>
        <v>216</v>
      </c>
      <c r="BE438" s="8" t="str">
        <f>Roster!$D$3</f>
        <v>East</v>
      </c>
      <c r="BF438" s="8" t="str">
        <f>Roster!$D$2</f>
        <v>Northeast</v>
      </c>
      <c r="BG438" s="8" t="str">
        <f>Roster!$D$4</f>
        <v>North</v>
      </c>
      <c r="BH438" s="197">
        <f ca="1">IFERROR(VLOOKUP(CONCATENATE(PlayerGameData[[#This Row],[Opponent]]," ",MONTH(PlayerGameData[[#This Row],[Date]]),"/",DAY(PlayerGameData[[#This Row],[Date]]),"/",YEAR(PlayerGameData[[#This Row],[Date]])),Table35[],2,FALSE),0)</f>
        <v>1</v>
      </c>
      <c r="BI438" s="197">
        <f ca="1">IF(PlayerGameData[[#This Row],[Visible]]=1,1,1000)</f>
        <v>1</v>
      </c>
      <c r="BJ438" s="197" t="e">
        <f ca="1">_xlfn.MAXIFS(TeamGameData[Win],TeamGameData[School, Opponent,Game'#],PlayerGameData[[#This Row],[School, Opponent,Game'#]])</f>
        <v>#NAME?</v>
      </c>
      <c r="BK438" s="197" t="e">
        <f ca="1">_xlfn.MAXIFS(TeamGameData[Loss],TeamGameData[School, Opponent,Game'#],PlayerGameData[[#This Row],[School, Opponent,Game'#]])</f>
        <v>#NAME?</v>
      </c>
    </row>
    <row r="439" spans="1:63" x14ac:dyDescent="0.25">
      <c r="A439" s="8" t="str">
        <f t="shared" ca="1" si="213"/>
        <v>Landon Butler, 1</v>
      </c>
      <c r="B439" s="8" t="str">
        <f>Roster!$B$1</f>
        <v>Upton</v>
      </c>
      <c r="C439" s="8" t="str">
        <f t="shared" ca="1" si="201"/>
        <v>Hulett</v>
      </c>
      <c r="D439" s="10">
        <f t="shared" ca="1" si="202"/>
        <v>44974</v>
      </c>
      <c r="E439" s="8">
        <f t="shared" ca="1" si="203"/>
        <v>1</v>
      </c>
      <c r="F439" s="8">
        <f t="shared" ca="1" si="204"/>
        <v>0</v>
      </c>
      <c r="G439" s="8">
        <f t="shared" ca="1" si="205"/>
        <v>7</v>
      </c>
      <c r="H439" s="8">
        <f t="shared" ca="1" si="206"/>
        <v>0</v>
      </c>
      <c r="I439" s="8">
        <f t="shared" ca="1" si="207"/>
        <v>0</v>
      </c>
      <c r="J439" s="8">
        <f t="shared" ca="1" si="208"/>
        <v>0</v>
      </c>
      <c r="K439" s="8">
        <f t="shared" ca="1" si="209"/>
        <v>0</v>
      </c>
      <c r="L439" s="8">
        <f t="shared" ca="1" si="214"/>
        <v>1</v>
      </c>
      <c r="M439" s="8">
        <f t="shared" ca="1" si="215"/>
        <v>2</v>
      </c>
      <c r="N439" s="8">
        <f t="shared" ca="1" si="216"/>
        <v>0</v>
      </c>
      <c r="O439" s="8">
        <f t="shared" ca="1" si="217"/>
        <v>0</v>
      </c>
      <c r="P439" s="8">
        <f t="shared" ca="1" si="218"/>
        <v>0</v>
      </c>
      <c r="Q439" s="8">
        <f t="shared" ca="1" si="219"/>
        <v>0</v>
      </c>
      <c r="R439" s="8">
        <f t="shared" ca="1" si="220"/>
        <v>0</v>
      </c>
      <c r="S439" s="8">
        <f t="shared" ca="1" si="221"/>
        <v>0</v>
      </c>
      <c r="T439" s="8">
        <f t="shared" ca="1" si="222"/>
        <v>1</v>
      </c>
      <c r="U439" s="8">
        <f t="shared" ca="1" si="223"/>
        <v>0</v>
      </c>
      <c r="V439" s="8">
        <f t="shared" ca="1" si="224"/>
        <v>1</v>
      </c>
      <c r="W439" s="11" t="str">
        <f t="shared" ca="1" si="225"/>
        <v/>
      </c>
      <c r="X439" s="11" t="str">
        <f t="shared" ca="1" si="226"/>
        <v/>
      </c>
      <c r="Y439" s="11">
        <f t="shared" ca="1" si="227"/>
        <v>0.5</v>
      </c>
      <c r="Z439" s="11" t="str">
        <f t="shared" ca="1" si="228"/>
        <v/>
      </c>
      <c r="AA439" s="11" t="str">
        <f t="shared" ca="1" si="229"/>
        <v/>
      </c>
      <c r="AB439" s="47">
        <f ca="1">PlayerGameData[[#This Row],[3FGA]]+PlayerGameData[[#This Row],[2FGA]]</f>
        <v>0</v>
      </c>
      <c r="AC439" s="47">
        <f ca="1">PlayerGameData[[#This Row],[OFF REB]]+PlayerGameData[[#This Row],[DEF REB]]</f>
        <v>0</v>
      </c>
      <c r="AD439" s="8">
        <f t="shared" si="210"/>
        <v>19</v>
      </c>
      <c r="AE439" s="8" t="str">
        <f t="shared" ca="1" si="211"/>
        <v>Landon Butler, 1 - Hulett 2/17/2023</v>
      </c>
      <c r="AF439" s="8" t="str">
        <f t="shared" ca="1" si="230"/>
        <v>R</v>
      </c>
      <c r="AG439" s="8" t="str">
        <f ca="1">IFERROR(IF(C439=0,"",IF(AND(VLOOKUP(PlayerGameData[[#This Row],[Opponent]],WYTeamInfo,2,FALSE)=Roster!$D$1,VLOOKUP(PlayerGameData[[#This Row],[Opponent]],WYTeamInfo,3,FALSE)=Roster!$D$2),"SR","")),"")</f>
        <v>SR</v>
      </c>
      <c r="AH439" s="8" t="str">
        <f>CONCATENATE(Roster!$D$1," ",Roster!$D$5)</f>
        <v>1A BB</v>
      </c>
      <c r="AI439" s="8" t="str">
        <f t="shared" ca="1" si="212"/>
        <v>Upton - Hulett 2/17/2023</v>
      </c>
      <c r="AJ439" s="8">
        <f ca="1">IFERROR(VLOOKUP(PlayerGameData[[#This Row],[School, Opponent,Game'#]],Table3[],2,FALSE),0)</f>
        <v>1</v>
      </c>
      <c r="AK439" s="8">
        <f ca="1">IF(PlayerGameData[[#This Row],[Visible]]=1,1,1000)</f>
        <v>1</v>
      </c>
      <c r="AL439" s="8">
        <f ca="1">RANK(PlayerGameData[[#This Row],[TL PTS]],PlayerGameData[TL PTS],0)+PlayerGameData[[#This Row],[VisibleOrder]]</f>
        <v>176</v>
      </c>
      <c r="AM439" s="8">
        <f ca="1">IF(COUNTIF(PlayerGameData[PointOrder],PlayerGameData[[#This Row],[PointOrder]])&gt;1,RANK(PlayerGameData[[#This Row],[FGA]],PlayerGameData[FGA],0)/100,0)+PlayerGameData[[#This Row],[PointOrder]]</f>
        <v>178.14</v>
      </c>
      <c r="AN439" s="8">
        <f ca="1">RANK(PlayerGameData[[#This Row],[PointTieBreak]],PlayerGameData[PointTieBreak],1)</f>
        <v>183</v>
      </c>
      <c r="AO439" s="8">
        <f ca="1">RANK(PlayerGameData[[#This Row],[REB]],PlayerGameData[REB],0)+PlayerGameData[[#This Row],[VisibleOrder]]</f>
        <v>192</v>
      </c>
      <c r="AP439" s="8">
        <f ca="1">IF(COUNTIF(PlayerGameData[REBOrder],PlayerGameData[[#This Row],[REBOrder]])&gt;1,PlayerGameData[[#This Row],[PointRank]]/100+PlayerGameData[[#This Row],[REBOrder]],PlayerGameData[[#This Row],[REBOrder]])</f>
        <v>193.83</v>
      </c>
      <c r="AQ439" s="8">
        <f ca="1">RANK(PlayerGameData[[#This Row],[REBTieBreak]],PlayerGameData[REBTieBreak],1)</f>
        <v>209</v>
      </c>
      <c r="AR439" s="8">
        <f ca="1">RANK(PlayerGameData[[#This Row],[AST]],PlayerGameData[AST],0)+PlayerGameData[[#This Row],[VisibleOrder]]</f>
        <v>158</v>
      </c>
      <c r="AS439" s="8">
        <f ca="1">IF(COUNTIF(PlayerGameData[ASTOrder],PlayerGameData[[#This Row],[ASTOrder]])&gt;1,PlayerGameData[[#This Row],[PointRank]]/100+PlayerGameData[[#This Row],[ASTOrder]],PlayerGameData[[#This Row],[ASTOrder]])</f>
        <v>159.83000000000001</v>
      </c>
      <c r="AT439" s="8">
        <f ca="1">RANK(PlayerGameData[[#This Row],[ASTTieBreak]],PlayerGameData[ASTTieBreak],1)</f>
        <v>199</v>
      </c>
      <c r="AU439" s="8">
        <f ca="1">RANK(PlayerGameData[[#This Row],[STL]],PlayerGameData[STL],0)+PlayerGameData[[#This Row],[VisibleOrder]]</f>
        <v>143</v>
      </c>
      <c r="AV439" s="8">
        <f ca="1">IF(COUNTIF(PlayerGameData[STLOrder],PlayerGameData[[#This Row],[STLOrder]])&gt;1,PlayerGameData[[#This Row],[PointRank]]/100+PlayerGameData[[#This Row],[STLOrder]],PlayerGameData[[#This Row],[STLOrder]])</f>
        <v>144.83000000000001</v>
      </c>
      <c r="AW439" s="8">
        <f ca="1">RANK(PlayerGameData[[#This Row],[STLTieBreak]],PlayerGameData[STLTieBreak],1)</f>
        <v>193</v>
      </c>
      <c r="AX439" s="8">
        <f ca="1">RANK(PlayerGameData[[#This Row],[BLK]],PlayerGameData[BLK],0)+PlayerGameData[[#This Row],[VisibleOrder]]</f>
        <v>32</v>
      </c>
      <c r="AY439" s="8">
        <f ca="1">IF(COUNTIF(PlayerGameData[BLKOrder],PlayerGameData[[#This Row],[BLKOrder]])&gt;1,PlayerGameData[[#This Row],[PointRank]]/100+PlayerGameData[[#This Row],[BLKOrder]],PlayerGameData[[#This Row],[BLKOrder]])</f>
        <v>33.83</v>
      </c>
      <c r="AZ439" s="8">
        <f ca="1">RANK(PlayerGameData[[#This Row],[BLKTieBreak]],PlayerGameData[BLKTieBreak],1)</f>
        <v>184</v>
      </c>
      <c r="BA439" s="11">
        <f ca="1">IFERROR(IF(PlayerGameData[[#This Row],[FGA]]&gt;$AA$5,PlayerGameData[[#This Row],[FG%*]],PlayerGameData[[#This Row],[FG%*]]*-1),-2)</f>
        <v>-2</v>
      </c>
      <c r="BB439" s="8">
        <f ca="1">RANK(PlayerGameData[[#This Row],[EligFG]],PlayerGameData[EligFG],0)+PlayerGameData[[#This Row],[VisibleOrder]]</f>
        <v>215</v>
      </c>
      <c r="BC439" s="8">
        <f ca="1">IF(COUNTIF(PlayerGameData[EligFGOrder],PlayerGameData[[#This Row],[EligFGOrder]])&gt;1,PlayerGameData[[#This Row],[PointRank]]/100+PlayerGameData[[#This Row],[EligFGOrder]],PlayerGameData[[#This Row],[EligFGOrder]])</f>
        <v>216.83</v>
      </c>
      <c r="BD439" s="8">
        <f ca="1">RANK(PlayerGameData[[#This Row],[EligFGTieBreak]],PlayerGameData[EligFGTieBreak],1)</f>
        <v>215</v>
      </c>
      <c r="BE439" s="8" t="str">
        <f>Roster!$D$3</f>
        <v>East</v>
      </c>
      <c r="BF439" s="8" t="str">
        <f>Roster!$D$2</f>
        <v>Northeast</v>
      </c>
      <c r="BG439" s="8" t="str">
        <f>Roster!$D$4</f>
        <v>North</v>
      </c>
      <c r="BH439" s="197">
        <f ca="1">IFERROR(VLOOKUP(CONCATENATE(PlayerGameData[[#This Row],[Opponent]]," ",MONTH(PlayerGameData[[#This Row],[Date]]),"/",DAY(PlayerGameData[[#This Row],[Date]]),"/",YEAR(PlayerGameData[[#This Row],[Date]])),Table35[],2,FALSE),0)</f>
        <v>1</v>
      </c>
      <c r="BI439" s="197">
        <f ca="1">IF(PlayerGameData[[#This Row],[Visible]]=1,1,1000)</f>
        <v>1</v>
      </c>
      <c r="BJ439" s="197" t="e">
        <f ca="1">_xlfn.MAXIFS(TeamGameData[Win],TeamGameData[School, Opponent,Game'#],PlayerGameData[[#This Row],[School, Opponent,Game'#]])</f>
        <v>#NAME?</v>
      </c>
      <c r="BK439" s="197" t="e">
        <f ca="1">_xlfn.MAXIFS(TeamGameData[Loss],TeamGameData[School, Opponent,Game'#],PlayerGameData[[#This Row],[School, Opponent,Game'#]])</f>
        <v>#NAME?</v>
      </c>
    </row>
    <row r="440" spans="1:63" x14ac:dyDescent="0.25">
      <c r="A440" s="8" t="str">
        <f t="shared" ca="1" si="213"/>
        <v>Logan Timberman, 3</v>
      </c>
      <c r="B440" s="8" t="str">
        <f>Roster!$B$1</f>
        <v>Upton</v>
      </c>
      <c r="C440" s="8" t="str">
        <f t="shared" ca="1" si="201"/>
        <v>Hulett</v>
      </c>
      <c r="D440" s="10">
        <f t="shared" ca="1" si="202"/>
        <v>44974</v>
      </c>
      <c r="E440" s="8">
        <f t="shared" ca="1" si="203"/>
        <v>1</v>
      </c>
      <c r="F440" s="8">
        <f t="shared" ca="1" si="204"/>
        <v>1</v>
      </c>
      <c r="G440" s="8">
        <f t="shared" ca="1" si="205"/>
        <v>22</v>
      </c>
      <c r="H440" s="8">
        <f t="shared" ca="1" si="206"/>
        <v>0</v>
      </c>
      <c r="I440" s="8">
        <f t="shared" ca="1" si="207"/>
        <v>1</v>
      </c>
      <c r="J440" s="8">
        <f t="shared" ca="1" si="208"/>
        <v>6</v>
      </c>
      <c r="K440" s="8">
        <f t="shared" ca="1" si="209"/>
        <v>8</v>
      </c>
      <c r="L440" s="8">
        <f t="shared" ca="1" si="214"/>
        <v>0</v>
      </c>
      <c r="M440" s="8">
        <f t="shared" ca="1" si="215"/>
        <v>0</v>
      </c>
      <c r="N440" s="8">
        <f t="shared" ca="1" si="216"/>
        <v>1</v>
      </c>
      <c r="O440" s="8">
        <f t="shared" ca="1" si="217"/>
        <v>3</v>
      </c>
      <c r="P440" s="8">
        <f t="shared" ca="1" si="218"/>
        <v>4</v>
      </c>
      <c r="Q440" s="8">
        <f t="shared" ca="1" si="219"/>
        <v>5</v>
      </c>
      <c r="R440" s="8">
        <f t="shared" ca="1" si="220"/>
        <v>0</v>
      </c>
      <c r="S440" s="8">
        <f t="shared" ca="1" si="221"/>
        <v>5</v>
      </c>
      <c r="T440" s="8">
        <f t="shared" ca="1" si="222"/>
        <v>2</v>
      </c>
      <c r="U440" s="8">
        <f t="shared" ca="1" si="223"/>
        <v>0</v>
      </c>
      <c r="V440" s="8">
        <f t="shared" ca="1" si="224"/>
        <v>12</v>
      </c>
      <c r="W440" s="11">
        <f t="shared" ca="1" si="225"/>
        <v>0</v>
      </c>
      <c r="X440" s="11">
        <f t="shared" ca="1" si="226"/>
        <v>0.75</v>
      </c>
      <c r="Y440" s="11" t="str">
        <f t="shared" ca="1" si="227"/>
        <v/>
      </c>
      <c r="Z440" s="11">
        <f t="shared" ca="1" si="228"/>
        <v>0.66666666666666663</v>
      </c>
      <c r="AA440" s="11">
        <f t="shared" ca="1" si="229"/>
        <v>0.66666666666666663</v>
      </c>
      <c r="AB440" s="47">
        <f ca="1">PlayerGameData[[#This Row],[3FGA]]+PlayerGameData[[#This Row],[2FGA]]</f>
        <v>9</v>
      </c>
      <c r="AC440" s="47">
        <f ca="1">PlayerGameData[[#This Row],[OFF REB]]+PlayerGameData[[#This Row],[DEF REB]]</f>
        <v>4</v>
      </c>
      <c r="AD440" s="8">
        <f t="shared" si="210"/>
        <v>19</v>
      </c>
      <c r="AE440" s="8" t="str">
        <f t="shared" ca="1" si="211"/>
        <v>Logan Timberman, 3 - Hulett 2/17/2023</v>
      </c>
      <c r="AF440" s="8" t="str">
        <f t="shared" ca="1" si="230"/>
        <v>R</v>
      </c>
      <c r="AG440" s="8" t="str">
        <f ca="1">IFERROR(IF(C440=0,"",IF(AND(VLOOKUP(PlayerGameData[[#This Row],[Opponent]],WYTeamInfo,2,FALSE)=Roster!$D$1,VLOOKUP(PlayerGameData[[#This Row],[Opponent]],WYTeamInfo,3,FALSE)=Roster!$D$2),"SR","")),"")</f>
        <v>SR</v>
      </c>
      <c r="AH440" s="8" t="str">
        <f>CONCATENATE(Roster!$D$1," ",Roster!$D$5)</f>
        <v>1A BB</v>
      </c>
      <c r="AI440" s="8" t="str">
        <f t="shared" ca="1" si="212"/>
        <v>Upton - Hulett 2/17/2023</v>
      </c>
      <c r="AJ440" s="8">
        <f ca="1">IFERROR(VLOOKUP(PlayerGameData[[#This Row],[School, Opponent,Game'#]],Table3[],2,FALSE),0)</f>
        <v>1</v>
      </c>
      <c r="AK440" s="8">
        <f ca="1">IF(PlayerGameData[[#This Row],[Visible]]=1,1,1000)</f>
        <v>1</v>
      </c>
      <c r="AL440" s="8">
        <f ca="1">RANK(PlayerGameData[[#This Row],[TL PTS]],PlayerGameData[TL PTS],0)+PlayerGameData[[#This Row],[VisibleOrder]]</f>
        <v>51</v>
      </c>
      <c r="AM440" s="8">
        <f ca="1">IF(COUNTIF(PlayerGameData[PointOrder],PlayerGameData[[#This Row],[PointOrder]])&gt;1,RANK(PlayerGameData[[#This Row],[FGA]],PlayerGameData[FGA],0)/100,0)+PlayerGameData[[#This Row],[PointOrder]]</f>
        <v>51.59</v>
      </c>
      <c r="AN440" s="8">
        <f ca="1">RANK(PlayerGameData[[#This Row],[PointTieBreak]],PlayerGameData[PointTieBreak],1)</f>
        <v>52</v>
      </c>
      <c r="AO440" s="8">
        <f ca="1">RANK(PlayerGameData[[#This Row],[REB]],PlayerGameData[REB],0)+PlayerGameData[[#This Row],[VisibleOrder]]</f>
        <v>79</v>
      </c>
      <c r="AP440" s="8">
        <f ca="1">IF(COUNTIF(PlayerGameData[REBOrder],PlayerGameData[[#This Row],[REBOrder]])&gt;1,PlayerGameData[[#This Row],[PointRank]]/100+PlayerGameData[[#This Row],[REBOrder]],PlayerGameData[[#This Row],[REBOrder]])</f>
        <v>79.52</v>
      </c>
      <c r="AQ440" s="8">
        <f ca="1">RANK(PlayerGameData[[#This Row],[REBTieBreak]],PlayerGameData[REBTieBreak],1)</f>
        <v>88</v>
      </c>
      <c r="AR440" s="8">
        <f ca="1">RANK(PlayerGameData[[#This Row],[AST]],PlayerGameData[AST],0)+PlayerGameData[[#This Row],[VisibleOrder]]</f>
        <v>24</v>
      </c>
      <c r="AS440" s="8">
        <f ca="1">IF(COUNTIF(PlayerGameData[ASTOrder],PlayerGameData[[#This Row],[ASTOrder]])&gt;1,PlayerGameData[[#This Row],[PointRank]]/100+PlayerGameData[[#This Row],[ASTOrder]],PlayerGameData[[#This Row],[ASTOrder]])</f>
        <v>24.52</v>
      </c>
      <c r="AT440" s="8">
        <f ca="1">RANK(PlayerGameData[[#This Row],[ASTTieBreak]],PlayerGameData[ASTTieBreak],1)</f>
        <v>31</v>
      </c>
      <c r="AU440" s="8">
        <f ca="1">RANK(PlayerGameData[[#This Row],[STL]],PlayerGameData[STL],0)+PlayerGameData[[#This Row],[VisibleOrder]]</f>
        <v>4</v>
      </c>
      <c r="AV440" s="8">
        <f ca="1">IF(COUNTIF(PlayerGameData[STLOrder],PlayerGameData[[#This Row],[STLOrder]])&gt;1,PlayerGameData[[#This Row],[PointRank]]/100+PlayerGameData[[#This Row],[STLOrder]],PlayerGameData[[#This Row],[STLOrder]])</f>
        <v>4.5199999999999996</v>
      </c>
      <c r="AW440" s="8">
        <f ca="1">RANK(PlayerGameData[[#This Row],[STLTieBreak]],PlayerGameData[STLTieBreak],1)</f>
        <v>6</v>
      </c>
      <c r="AX440" s="8">
        <f ca="1">RANK(PlayerGameData[[#This Row],[BLK]],PlayerGameData[BLK],0)+PlayerGameData[[#This Row],[VisibleOrder]]</f>
        <v>32</v>
      </c>
      <c r="AY440" s="8">
        <f ca="1">IF(COUNTIF(PlayerGameData[BLKOrder],PlayerGameData[[#This Row],[BLKOrder]])&gt;1,PlayerGameData[[#This Row],[PointRank]]/100+PlayerGameData[[#This Row],[BLKOrder]],PlayerGameData[[#This Row],[BLKOrder]])</f>
        <v>32.520000000000003</v>
      </c>
      <c r="AZ440" s="8">
        <f ca="1">RANK(PlayerGameData[[#This Row],[BLKTieBreak]],PlayerGameData[BLKTieBreak],1)</f>
        <v>72</v>
      </c>
      <c r="BA440" s="11">
        <f ca="1">IFERROR(IF(PlayerGameData[[#This Row],[FGA]]&gt;$AA$5,PlayerGameData[[#This Row],[FG%*]],PlayerGameData[[#This Row],[FG%*]]*-1),-2)</f>
        <v>0.66666666666666663</v>
      </c>
      <c r="BB440" s="8">
        <f ca="1">RANK(PlayerGameData[[#This Row],[EligFG]],PlayerGameData[EligFG],0)+PlayerGameData[[#This Row],[VisibleOrder]]</f>
        <v>13</v>
      </c>
      <c r="BC440" s="8">
        <f ca="1">IF(COUNTIF(PlayerGameData[EligFGOrder],PlayerGameData[[#This Row],[EligFGOrder]])&gt;1,PlayerGameData[[#This Row],[PointRank]]/100+PlayerGameData[[#This Row],[EligFGOrder]],PlayerGameData[[#This Row],[EligFGOrder]])</f>
        <v>13.52</v>
      </c>
      <c r="BD440" s="8">
        <f ca="1">RANK(PlayerGameData[[#This Row],[EligFGTieBreak]],PlayerGameData[EligFGTieBreak],1)</f>
        <v>14</v>
      </c>
      <c r="BE440" s="8" t="str">
        <f>Roster!$D$3</f>
        <v>East</v>
      </c>
      <c r="BF440" s="8" t="str">
        <f>Roster!$D$2</f>
        <v>Northeast</v>
      </c>
      <c r="BG440" s="8" t="str">
        <f>Roster!$D$4</f>
        <v>North</v>
      </c>
      <c r="BH440" s="197">
        <f ca="1">IFERROR(VLOOKUP(CONCATENATE(PlayerGameData[[#This Row],[Opponent]]," ",MONTH(PlayerGameData[[#This Row],[Date]]),"/",DAY(PlayerGameData[[#This Row],[Date]]),"/",YEAR(PlayerGameData[[#This Row],[Date]])),Table35[],2,FALSE),0)</f>
        <v>1</v>
      </c>
      <c r="BI440" s="197">
        <f ca="1">IF(PlayerGameData[[#This Row],[Visible]]=1,1,1000)</f>
        <v>1</v>
      </c>
      <c r="BJ440" s="197" t="e">
        <f ca="1">_xlfn.MAXIFS(TeamGameData[Win],TeamGameData[School, Opponent,Game'#],PlayerGameData[[#This Row],[School, Opponent,Game'#]])</f>
        <v>#NAME?</v>
      </c>
      <c r="BK440" s="197" t="e">
        <f ca="1">_xlfn.MAXIFS(TeamGameData[Loss],TeamGameData[School, Opponent,Game'#],PlayerGameData[[#This Row],[School, Opponent,Game'#]])</f>
        <v>#NAME?</v>
      </c>
    </row>
    <row r="441" spans="1:63" x14ac:dyDescent="0.25">
      <c r="A441" s="8" t="str">
        <f t="shared" ca="1" si="213"/>
        <v>Chase Mills, 5</v>
      </c>
      <c r="B441" s="8" t="str">
        <f>Roster!$B$1</f>
        <v>Upton</v>
      </c>
      <c r="C441" s="8" t="str">
        <f t="shared" ca="1" si="201"/>
        <v>Hulett</v>
      </c>
      <c r="D441" s="10">
        <f t="shared" ca="1" si="202"/>
        <v>44974</v>
      </c>
      <c r="E441" s="8">
        <f t="shared" ca="1" si="203"/>
        <v>1</v>
      </c>
      <c r="F441" s="8">
        <f t="shared" ca="1" si="204"/>
        <v>1</v>
      </c>
      <c r="G441" s="8">
        <f t="shared" ca="1" si="205"/>
        <v>23</v>
      </c>
      <c r="H441" s="8">
        <f t="shared" ca="1" si="206"/>
        <v>1</v>
      </c>
      <c r="I441" s="8">
        <f t="shared" ca="1" si="207"/>
        <v>3</v>
      </c>
      <c r="J441" s="8">
        <f t="shared" ca="1" si="208"/>
        <v>5</v>
      </c>
      <c r="K441" s="8">
        <f t="shared" ca="1" si="209"/>
        <v>8</v>
      </c>
      <c r="L441" s="8">
        <f t="shared" ca="1" si="214"/>
        <v>0</v>
      </c>
      <c r="M441" s="8">
        <f t="shared" ca="1" si="215"/>
        <v>0</v>
      </c>
      <c r="N441" s="8">
        <f t="shared" ca="1" si="216"/>
        <v>2</v>
      </c>
      <c r="O441" s="8">
        <f t="shared" ca="1" si="217"/>
        <v>1</v>
      </c>
      <c r="P441" s="8">
        <f t="shared" ca="1" si="218"/>
        <v>5</v>
      </c>
      <c r="Q441" s="8">
        <f t="shared" ca="1" si="219"/>
        <v>0</v>
      </c>
      <c r="R441" s="8">
        <f t="shared" ca="1" si="220"/>
        <v>0</v>
      </c>
      <c r="S441" s="8">
        <f t="shared" ca="1" si="221"/>
        <v>1</v>
      </c>
      <c r="T441" s="8">
        <f t="shared" ca="1" si="222"/>
        <v>0</v>
      </c>
      <c r="U441" s="8">
        <f t="shared" ca="1" si="223"/>
        <v>0</v>
      </c>
      <c r="V441" s="8">
        <f t="shared" ca="1" si="224"/>
        <v>13</v>
      </c>
      <c r="W441" s="11">
        <f t="shared" ca="1" si="225"/>
        <v>0.33333333333333331</v>
      </c>
      <c r="X441" s="11">
        <f t="shared" ca="1" si="226"/>
        <v>0.625</v>
      </c>
      <c r="Y441" s="11" t="str">
        <f t="shared" ca="1" si="227"/>
        <v/>
      </c>
      <c r="Z441" s="11">
        <f t="shared" ca="1" si="228"/>
        <v>0.54545454545454541</v>
      </c>
      <c r="AA441" s="11">
        <f t="shared" ca="1" si="229"/>
        <v>0.59090909090909094</v>
      </c>
      <c r="AB441" s="47">
        <f ca="1">PlayerGameData[[#This Row],[3FGA]]+PlayerGameData[[#This Row],[2FGA]]</f>
        <v>11</v>
      </c>
      <c r="AC441" s="47">
        <f ca="1">PlayerGameData[[#This Row],[OFF REB]]+PlayerGameData[[#This Row],[DEF REB]]</f>
        <v>3</v>
      </c>
      <c r="AD441" s="8">
        <f t="shared" si="210"/>
        <v>19</v>
      </c>
      <c r="AE441" s="8" t="str">
        <f t="shared" ca="1" si="211"/>
        <v>Chase Mills, 5 - Hulett 2/17/2023</v>
      </c>
      <c r="AF441" s="8" t="str">
        <f t="shared" ca="1" si="230"/>
        <v>R</v>
      </c>
      <c r="AG441" s="8" t="str">
        <f ca="1">IFERROR(IF(C441=0,"",IF(AND(VLOOKUP(PlayerGameData[[#This Row],[Opponent]],WYTeamInfo,2,FALSE)=Roster!$D$1,VLOOKUP(PlayerGameData[[#This Row],[Opponent]],WYTeamInfo,3,FALSE)=Roster!$D$2),"SR","")),"")</f>
        <v>SR</v>
      </c>
      <c r="AH441" s="8" t="str">
        <f>CONCATENATE(Roster!$D$1," ",Roster!$D$5)</f>
        <v>1A BB</v>
      </c>
      <c r="AI441" s="8" t="str">
        <f t="shared" ca="1" si="212"/>
        <v>Upton - Hulett 2/17/2023</v>
      </c>
      <c r="AJ441" s="8">
        <f ca="1">IFERROR(VLOOKUP(PlayerGameData[[#This Row],[School, Opponent,Game'#]],Table3[],2,FALSE),0)</f>
        <v>1</v>
      </c>
      <c r="AK441" s="8">
        <f ca="1">IF(PlayerGameData[[#This Row],[Visible]]=1,1,1000)</f>
        <v>1</v>
      </c>
      <c r="AL441" s="8">
        <f ca="1">RANK(PlayerGameData[[#This Row],[TL PTS]],PlayerGameData[TL PTS],0)+PlayerGameData[[#This Row],[VisibleOrder]]</f>
        <v>45</v>
      </c>
      <c r="AM441" s="8">
        <f ca="1">IF(COUNTIF(PlayerGameData[PointOrder],PlayerGameData[[#This Row],[PointOrder]])&gt;1,RANK(PlayerGameData[[#This Row],[FGA]],PlayerGameData[FGA],0)/100,0)+PlayerGameData[[#This Row],[PointOrder]]</f>
        <v>45.34</v>
      </c>
      <c r="AN441" s="8">
        <f ca="1">RANK(PlayerGameData[[#This Row],[PointTieBreak]],PlayerGameData[PointTieBreak],1)</f>
        <v>45</v>
      </c>
      <c r="AO441" s="8">
        <f ca="1">RANK(PlayerGameData[[#This Row],[REB]],PlayerGameData[REB],0)+PlayerGameData[[#This Row],[VisibleOrder]]</f>
        <v>108</v>
      </c>
      <c r="AP441" s="8">
        <f ca="1">IF(COUNTIF(PlayerGameData[REBOrder],PlayerGameData[[#This Row],[REBOrder]])&gt;1,PlayerGameData[[#This Row],[PointRank]]/100+PlayerGameData[[#This Row],[REBOrder]],PlayerGameData[[#This Row],[REBOrder]])</f>
        <v>108.45</v>
      </c>
      <c r="AQ441" s="8">
        <f ca="1">RANK(PlayerGameData[[#This Row],[REBTieBreak]],PlayerGameData[REBTieBreak],1)</f>
        <v>111</v>
      </c>
      <c r="AR441" s="8">
        <f ca="1">RANK(PlayerGameData[[#This Row],[AST]],PlayerGameData[AST],0)+PlayerGameData[[#This Row],[VisibleOrder]]</f>
        <v>14</v>
      </c>
      <c r="AS441" s="8">
        <f ca="1">IF(COUNTIF(PlayerGameData[ASTOrder],PlayerGameData[[#This Row],[ASTOrder]])&gt;1,PlayerGameData[[#This Row],[PointRank]]/100+PlayerGameData[[#This Row],[ASTOrder]],PlayerGameData[[#This Row],[ASTOrder]])</f>
        <v>14.45</v>
      </c>
      <c r="AT441" s="8">
        <f ca="1">RANK(PlayerGameData[[#This Row],[ASTTieBreak]],PlayerGameData[ASTTieBreak],1)</f>
        <v>18</v>
      </c>
      <c r="AU441" s="8">
        <f ca="1">RANK(PlayerGameData[[#This Row],[STL]],PlayerGameData[STL],0)+PlayerGameData[[#This Row],[VisibleOrder]]</f>
        <v>143</v>
      </c>
      <c r="AV441" s="8">
        <f ca="1">IF(COUNTIF(PlayerGameData[STLOrder],PlayerGameData[[#This Row],[STLOrder]])&gt;1,PlayerGameData[[#This Row],[PointRank]]/100+PlayerGameData[[#This Row],[STLOrder]],PlayerGameData[[#This Row],[STLOrder]])</f>
        <v>143.44999999999999</v>
      </c>
      <c r="AW441" s="8">
        <f ca="1">RANK(PlayerGameData[[#This Row],[STLTieBreak]],PlayerGameData[STLTieBreak],1)</f>
        <v>150</v>
      </c>
      <c r="AX441" s="8">
        <f ca="1">RANK(PlayerGameData[[#This Row],[BLK]],PlayerGameData[BLK],0)+PlayerGameData[[#This Row],[VisibleOrder]]</f>
        <v>32</v>
      </c>
      <c r="AY441" s="8">
        <f ca="1">IF(COUNTIF(PlayerGameData[BLKOrder],PlayerGameData[[#This Row],[BLKOrder]])&gt;1,PlayerGameData[[#This Row],[PointRank]]/100+PlayerGameData[[#This Row],[BLKOrder]],PlayerGameData[[#This Row],[BLKOrder]])</f>
        <v>32.450000000000003</v>
      </c>
      <c r="AZ441" s="8">
        <f ca="1">RANK(PlayerGameData[[#This Row],[BLKTieBreak]],PlayerGameData[BLKTieBreak],1)</f>
        <v>66</v>
      </c>
      <c r="BA441" s="11">
        <f ca="1">IFERROR(IF(PlayerGameData[[#This Row],[FGA]]&gt;$AA$5,PlayerGameData[[#This Row],[FG%*]],PlayerGameData[[#This Row],[FG%*]]*-1),-2)</f>
        <v>0.54545454545454541</v>
      </c>
      <c r="BB441" s="8">
        <f ca="1">RANK(PlayerGameData[[#This Row],[EligFG]],PlayerGameData[EligFG],0)+PlayerGameData[[#This Row],[VisibleOrder]]</f>
        <v>33</v>
      </c>
      <c r="BC441" s="8">
        <f ca="1">IF(COUNTIF(PlayerGameData[EligFGOrder],PlayerGameData[[#This Row],[EligFGOrder]])&gt;1,PlayerGameData[[#This Row],[PointRank]]/100+PlayerGameData[[#This Row],[EligFGOrder]],PlayerGameData[[#This Row],[EligFGOrder]])</f>
        <v>33</v>
      </c>
      <c r="BD441" s="8">
        <f ca="1">RANK(PlayerGameData[[#This Row],[EligFGTieBreak]],PlayerGameData[EligFGTieBreak],1)</f>
        <v>32</v>
      </c>
      <c r="BE441" s="8" t="str">
        <f>Roster!$D$3</f>
        <v>East</v>
      </c>
      <c r="BF441" s="8" t="str">
        <f>Roster!$D$2</f>
        <v>Northeast</v>
      </c>
      <c r="BG441" s="8" t="str">
        <f>Roster!$D$4</f>
        <v>North</v>
      </c>
      <c r="BH441" s="197">
        <f ca="1">IFERROR(VLOOKUP(CONCATENATE(PlayerGameData[[#This Row],[Opponent]]," ",MONTH(PlayerGameData[[#This Row],[Date]]),"/",DAY(PlayerGameData[[#This Row],[Date]]),"/",YEAR(PlayerGameData[[#This Row],[Date]])),Table35[],2,FALSE),0)</f>
        <v>1</v>
      </c>
      <c r="BI441" s="197">
        <f ca="1">IF(PlayerGameData[[#This Row],[Visible]]=1,1,1000)</f>
        <v>1</v>
      </c>
      <c r="BJ441" s="197" t="e">
        <f ca="1">_xlfn.MAXIFS(TeamGameData[Win],TeamGameData[School, Opponent,Game'#],PlayerGameData[[#This Row],[School, Opponent,Game'#]])</f>
        <v>#NAME?</v>
      </c>
      <c r="BK441" s="197" t="e">
        <f ca="1">_xlfn.MAXIFS(TeamGameData[Loss],TeamGameData[School, Opponent,Game'#],PlayerGameData[[#This Row],[School, Opponent,Game'#]])</f>
        <v>#NAME?</v>
      </c>
    </row>
    <row r="442" spans="1:63" x14ac:dyDescent="0.25">
      <c r="A442" s="8" t="str">
        <f t="shared" ca="1" si="213"/>
        <v>Rhett Watt, 10</v>
      </c>
      <c r="B442" s="8" t="str">
        <f>Roster!$B$1</f>
        <v>Upton</v>
      </c>
      <c r="C442" s="8" t="str">
        <f t="shared" ca="1" si="201"/>
        <v>Hulett</v>
      </c>
      <c r="D442" s="10">
        <f t="shared" ca="1" si="202"/>
        <v>44974</v>
      </c>
      <c r="E442" s="8">
        <f t="shared" ca="1" si="203"/>
        <v>1</v>
      </c>
      <c r="F442" s="8">
        <f t="shared" ca="1" si="204"/>
        <v>1</v>
      </c>
      <c r="G442" s="8">
        <f t="shared" ca="1" si="205"/>
        <v>24</v>
      </c>
      <c r="H442" s="8">
        <f t="shared" ca="1" si="206"/>
        <v>3</v>
      </c>
      <c r="I442" s="8">
        <f t="shared" ca="1" si="207"/>
        <v>4</v>
      </c>
      <c r="J442" s="8">
        <f t="shared" ca="1" si="208"/>
        <v>4</v>
      </c>
      <c r="K442" s="8">
        <f t="shared" ca="1" si="209"/>
        <v>6</v>
      </c>
      <c r="L442" s="8">
        <f t="shared" ca="1" si="214"/>
        <v>0</v>
      </c>
      <c r="M442" s="8">
        <f t="shared" ca="1" si="215"/>
        <v>0</v>
      </c>
      <c r="N442" s="8">
        <f t="shared" ca="1" si="216"/>
        <v>1</v>
      </c>
      <c r="O442" s="8">
        <f t="shared" ca="1" si="217"/>
        <v>2</v>
      </c>
      <c r="P442" s="8">
        <f t="shared" ca="1" si="218"/>
        <v>2</v>
      </c>
      <c r="Q442" s="8">
        <f t="shared" ca="1" si="219"/>
        <v>1</v>
      </c>
      <c r="R442" s="8">
        <f t="shared" ca="1" si="220"/>
        <v>0</v>
      </c>
      <c r="S442" s="8">
        <f t="shared" ca="1" si="221"/>
        <v>1</v>
      </c>
      <c r="T442" s="8">
        <f t="shared" ca="1" si="222"/>
        <v>0</v>
      </c>
      <c r="U442" s="8">
        <f t="shared" ca="1" si="223"/>
        <v>0</v>
      </c>
      <c r="V442" s="8">
        <f t="shared" ca="1" si="224"/>
        <v>17</v>
      </c>
      <c r="W442" s="11">
        <f t="shared" ca="1" si="225"/>
        <v>0.75</v>
      </c>
      <c r="X442" s="11">
        <f t="shared" ca="1" si="226"/>
        <v>0.66666666666666663</v>
      </c>
      <c r="Y442" s="11" t="str">
        <f t="shared" ca="1" si="227"/>
        <v/>
      </c>
      <c r="Z442" s="11">
        <f t="shared" ca="1" si="228"/>
        <v>0.7</v>
      </c>
      <c r="AA442" s="11">
        <f t="shared" ca="1" si="229"/>
        <v>0.85</v>
      </c>
      <c r="AB442" s="47">
        <f ca="1">PlayerGameData[[#This Row],[3FGA]]+PlayerGameData[[#This Row],[2FGA]]</f>
        <v>10</v>
      </c>
      <c r="AC442" s="47">
        <f ca="1">PlayerGameData[[#This Row],[OFF REB]]+PlayerGameData[[#This Row],[DEF REB]]</f>
        <v>3</v>
      </c>
      <c r="AD442" s="8">
        <f t="shared" si="210"/>
        <v>19</v>
      </c>
      <c r="AE442" s="8" t="str">
        <f t="shared" ca="1" si="211"/>
        <v>Rhett Watt, 10 - Hulett 2/17/2023</v>
      </c>
      <c r="AF442" s="8" t="str">
        <f t="shared" ca="1" si="230"/>
        <v>R</v>
      </c>
      <c r="AG442" s="8" t="str">
        <f ca="1">IFERROR(IF(C442=0,"",IF(AND(VLOOKUP(PlayerGameData[[#This Row],[Opponent]],WYTeamInfo,2,FALSE)=Roster!$D$1,VLOOKUP(PlayerGameData[[#This Row],[Opponent]],WYTeamInfo,3,FALSE)=Roster!$D$2),"SR","")),"")</f>
        <v>SR</v>
      </c>
      <c r="AH442" s="8" t="str">
        <f>CONCATENATE(Roster!$D$1," ",Roster!$D$5)</f>
        <v>1A BB</v>
      </c>
      <c r="AI442" s="8" t="str">
        <f t="shared" ca="1" si="212"/>
        <v>Upton - Hulett 2/17/2023</v>
      </c>
      <c r="AJ442" s="8">
        <f ca="1">IFERROR(VLOOKUP(PlayerGameData[[#This Row],[School, Opponent,Game'#]],Table3[],2,FALSE),0)</f>
        <v>1</v>
      </c>
      <c r="AK442" s="8">
        <f ca="1">IF(PlayerGameData[[#This Row],[Visible]]=1,1,1000)</f>
        <v>1</v>
      </c>
      <c r="AL442" s="8">
        <f ca="1">RANK(PlayerGameData[[#This Row],[TL PTS]],PlayerGameData[TL PTS],0)+PlayerGameData[[#This Row],[VisibleOrder]]</f>
        <v>18</v>
      </c>
      <c r="AM442" s="8">
        <f ca="1">IF(COUNTIF(PlayerGameData[PointOrder],PlayerGameData[[#This Row],[PointOrder]])&gt;1,RANK(PlayerGameData[[#This Row],[FGA]],PlayerGameData[FGA],0)/100,0)+PlayerGameData[[#This Row],[PointOrder]]</f>
        <v>18.43</v>
      </c>
      <c r="AN442" s="8">
        <f ca="1">RANK(PlayerGameData[[#This Row],[PointTieBreak]],PlayerGameData[PointTieBreak],1)</f>
        <v>21</v>
      </c>
      <c r="AO442" s="8">
        <f ca="1">RANK(PlayerGameData[[#This Row],[REB]],PlayerGameData[REB],0)+PlayerGameData[[#This Row],[VisibleOrder]]</f>
        <v>108</v>
      </c>
      <c r="AP442" s="8">
        <f ca="1">IF(COUNTIF(PlayerGameData[REBOrder],PlayerGameData[[#This Row],[REBOrder]])&gt;1,PlayerGameData[[#This Row],[PointRank]]/100+PlayerGameData[[#This Row],[REBOrder]],PlayerGameData[[#This Row],[REBOrder]])</f>
        <v>108.21</v>
      </c>
      <c r="AQ442" s="8">
        <f ca="1">RANK(PlayerGameData[[#This Row],[REBTieBreak]],PlayerGameData[REBTieBreak],1)</f>
        <v>107</v>
      </c>
      <c r="AR442" s="8">
        <f ca="1">RANK(PlayerGameData[[#This Row],[AST]],PlayerGameData[AST],0)+PlayerGameData[[#This Row],[VisibleOrder]]</f>
        <v>69</v>
      </c>
      <c r="AS442" s="8">
        <f ca="1">IF(COUNTIF(PlayerGameData[ASTOrder],PlayerGameData[[#This Row],[ASTOrder]])&gt;1,PlayerGameData[[#This Row],[PointRank]]/100+PlayerGameData[[#This Row],[ASTOrder]],PlayerGameData[[#This Row],[ASTOrder]])</f>
        <v>69.209999999999994</v>
      </c>
      <c r="AT442" s="8">
        <f ca="1">RANK(PlayerGameData[[#This Row],[ASTTieBreak]],PlayerGameData[ASTTieBreak],1)</f>
        <v>73</v>
      </c>
      <c r="AU442" s="8">
        <f ca="1">RANK(PlayerGameData[[#This Row],[STL]],PlayerGameData[STL],0)+PlayerGameData[[#This Row],[VisibleOrder]]</f>
        <v>84</v>
      </c>
      <c r="AV442" s="8">
        <f ca="1">IF(COUNTIF(PlayerGameData[STLOrder],PlayerGameData[[#This Row],[STLOrder]])&gt;1,PlayerGameData[[#This Row],[PointRank]]/100+PlayerGameData[[#This Row],[STLOrder]],PlayerGameData[[#This Row],[STLOrder]])</f>
        <v>84.21</v>
      </c>
      <c r="AW442" s="8">
        <f ca="1">RANK(PlayerGameData[[#This Row],[STLTieBreak]],PlayerGameData[STLTieBreak],1)</f>
        <v>84</v>
      </c>
      <c r="AX442" s="8">
        <f ca="1">RANK(PlayerGameData[[#This Row],[BLK]],PlayerGameData[BLK],0)+PlayerGameData[[#This Row],[VisibleOrder]]</f>
        <v>32</v>
      </c>
      <c r="AY442" s="8">
        <f ca="1">IF(COUNTIF(PlayerGameData[BLKOrder],PlayerGameData[[#This Row],[BLKOrder]])&gt;1,PlayerGameData[[#This Row],[PointRank]]/100+PlayerGameData[[#This Row],[BLKOrder]],PlayerGameData[[#This Row],[BLKOrder]])</f>
        <v>32.21</v>
      </c>
      <c r="AZ442" s="8">
        <f ca="1">RANK(PlayerGameData[[#This Row],[BLKTieBreak]],PlayerGameData[BLKTieBreak],1)</f>
        <v>49</v>
      </c>
      <c r="BA442" s="11">
        <f ca="1">IFERROR(IF(PlayerGameData[[#This Row],[FGA]]&gt;$AA$5,PlayerGameData[[#This Row],[FG%*]],PlayerGameData[[#This Row],[FG%*]]*-1),-2)</f>
        <v>0.7</v>
      </c>
      <c r="BB442" s="8">
        <f ca="1">RANK(PlayerGameData[[#This Row],[EligFG]],PlayerGameData[EligFG],0)+PlayerGameData[[#This Row],[VisibleOrder]]</f>
        <v>11</v>
      </c>
      <c r="BC442" s="8">
        <f ca="1">IF(COUNTIF(PlayerGameData[EligFGOrder],PlayerGameData[[#This Row],[EligFGOrder]])&gt;1,PlayerGameData[[#This Row],[PointRank]]/100+PlayerGameData[[#This Row],[EligFGOrder]],PlayerGameData[[#This Row],[EligFGOrder]])</f>
        <v>11.21</v>
      </c>
      <c r="BD442" s="8">
        <f ca="1">RANK(PlayerGameData[[#This Row],[EligFGTieBreak]],PlayerGameData[EligFGTieBreak],1)</f>
        <v>10</v>
      </c>
      <c r="BE442" s="8" t="str">
        <f>Roster!$D$3</f>
        <v>East</v>
      </c>
      <c r="BF442" s="8" t="str">
        <f>Roster!$D$2</f>
        <v>Northeast</v>
      </c>
      <c r="BG442" s="8" t="str">
        <f>Roster!$D$4</f>
        <v>North</v>
      </c>
      <c r="BH442" s="197">
        <f ca="1">IFERROR(VLOOKUP(CONCATENATE(PlayerGameData[[#This Row],[Opponent]]," ",MONTH(PlayerGameData[[#This Row],[Date]]),"/",DAY(PlayerGameData[[#This Row],[Date]]),"/",YEAR(PlayerGameData[[#This Row],[Date]])),Table35[],2,FALSE),0)</f>
        <v>1</v>
      </c>
      <c r="BI442" s="197">
        <f ca="1">IF(PlayerGameData[[#This Row],[Visible]]=1,1,1000)</f>
        <v>1</v>
      </c>
      <c r="BJ442" s="197" t="e">
        <f ca="1">_xlfn.MAXIFS(TeamGameData[Win],TeamGameData[School, Opponent,Game'#],PlayerGameData[[#This Row],[School, Opponent,Game'#]])</f>
        <v>#NAME?</v>
      </c>
      <c r="BK442" s="197" t="e">
        <f ca="1">_xlfn.MAXIFS(TeamGameData[Loss],TeamGameData[School, Opponent,Game'#],PlayerGameData[[#This Row],[School, Opponent,Game'#]])</f>
        <v>#NAME?</v>
      </c>
    </row>
    <row r="443" spans="1:63" x14ac:dyDescent="0.25">
      <c r="A443" s="8" t="str">
        <f t="shared" ca="1" si="213"/>
        <v>Keith Coburn, 11</v>
      </c>
      <c r="B443" s="8" t="str">
        <f>Roster!$B$1</f>
        <v>Upton</v>
      </c>
      <c r="C443" s="8" t="str">
        <f t="shared" ca="1" si="201"/>
        <v>Hulett</v>
      </c>
      <c r="D443" s="10">
        <f t="shared" ca="1" si="202"/>
        <v>44974</v>
      </c>
      <c r="E443" s="8">
        <f t="shared" ca="1" si="203"/>
        <v>0</v>
      </c>
      <c r="F443" s="8">
        <f t="shared" ca="1" si="204"/>
        <v>0</v>
      </c>
      <c r="G443" s="8">
        <f t="shared" ca="1" si="205"/>
        <v>0</v>
      </c>
      <c r="H443" s="8">
        <f t="shared" ca="1" si="206"/>
        <v>0</v>
      </c>
      <c r="I443" s="8">
        <f t="shared" ca="1" si="207"/>
        <v>0</v>
      </c>
      <c r="J443" s="8">
        <f t="shared" ca="1" si="208"/>
        <v>0</v>
      </c>
      <c r="K443" s="8">
        <f t="shared" ca="1" si="209"/>
        <v>0</v>
      </c>
      <c r="L443" s="8">
        <f t="shared" ca="1" si="214"/>
        <v>0</v>
      </c>
      <c r="M443" s="8">
        <f t="shared" ca="1" si="215"/>
        <v>0</v>
      </c>
      <c r="N443" s="8">
        <f t="shared" ca="1" si="216"/>
        <v>0</v>
      </c>
      <c r="O443" s="8">
        <f t="shared" ca="1" si="217"/>
        <v>0</v>
      </c>
      <c r="P443" s="8">
        <f t="shared" ca="1" si="218"/>
        <v>0</v>
      </c>
      <c r="Q443" s="8">
        <f t="shared" ca="1" si="219"/>
        <v>0</v>
      </c>
      <c r="R443" s="8">
        <f t="shared" ca="1" si="220"/>
        <v>0</v>
      </c>
      <c r="S443" s="8">
        <f t="shared" ca="1" si="221"/>
        <v>0</v>
      </c>
      <c r="T443" s="8">
        <f t="shared" ca="1" si="222"/>
        <v>0</v>
      </c>
      <c r="U443" s="8">
        <f t="shared" ca="1" si="223"/>
        <v>0</v>
      </c>
      <c r="V443" s="8">
        <f t="shared" ca="1" si="224"/>
        <v>0</v>
      </c>
      <c r="W443" s="11" t="str">
        <f t="shared" ca="1" si="225"/>
        <v/>
      </c>
      <c r="X443" s="11" t="str">
        <f t="shared" ca="1" si="226"/>
        <v/>
      </c>
      <c r="Y443" s="11" t="str">
        <f t="shared" ca="1" si="227"/>
        <v/>
      </c>
      <c r="Z443" s="11" t="str">
        <f t="shared" ca="1" si="228"/>
        <v/>
      </c>
      <c r="AA443" s="11" t="str">
        <f t="shared" ca="1" si="229"/>
        <v/>
      </c>
      <c r="AB443" s="47">
        <f ca="1">PlayerGameData[[#This Row],[3FGA]]+PlayerGameData[[#This Row],[2FGA]]</f>
        <v>0</v>
      </c>
      <c r="AC443" s="47">
        <f ca="1">PlayerGameData[[#This Row],[OFF REB]]+PlayerGameData[[#This Row],[DEF REB]]</f>
        <v>0</v>
      </c>
      <c r="AD443" s="8">
        <f t="shared" si="210"/>
        <v>19</v>
      </c>
      <c r="AE443" s="8" t="str">
        <f t="shared" ca="1" si="211"/>
        <v>Keith Coburn, 11 - Hulett 2/17/2023</v>
      </c>
      <c r="AF443" s="8" t="str">
        <f t="shared" ca="1" si="230"/>
        <v>R</v>
      </c>
      <c r="AG443" s="8" t="str">
        <f ca="1">IFERROR(IF(C443=0,"",IF(AND(VLOOKUP(PlayerGameData[[#This Row],[Opponent]],WYTeamInfo,2,FALSE)=Roster!$D$1,VLOOKUP(PlayerGameData[[#This Row],[Opponent]],WYTeamInfo,3,FALSE)=Roster!$D$2),"SR","")),"")</f>
        <v>SR</v>
      </c>
      <c r="AH443" s="8" t="str">
        <f>CONCATENATE(Roster!$D$1," ",Roster!$D$5)</f>
        <v>1A BB</v>
      </c>
      <c r="AI443" s="8" t="str">
        <f t="shared" ca="1" si="212"/>
        <v>Upton - Hulett 2/17/2023</v>
      </c>
      <c r="AJ443" s="8">
        <f ca="1">IFERROR(VLOOKUP(PlayerGameData[[#This Row],[School, Opponent,Game'#]],Table3[],2,FALSE),0)</f>
        <v>1</v>
      </c>
      <c r="AK443" s="8">
        <f ca="1">IF(PlayerGameData[[#This Row],[Visible]]=1,1,1000)</f>
        <v>1</v>
      </c>
      <c r="AL443" s="8">
        <f ca="1">RANK(PlayerGameData[[#This Row],[TL PTS]],PlayerGameData[TL PTS],0)+PlayerGameData[[#This Row],[VisibleOrder]]</f>
        <v>185</v>
      </c>
      <c r="AM443" s="8">
        <f ca="1">IF(COUNTIF(PlayerGameData[PointOrder],PlayerGameData[[#This Row],[PointOrder]])&gt;1,RANK(PlayerGameData[[#This Row],[FGA]],PlayerGameData[FGA],0)/100,0)+PlayerGameData[[#This Row],[PointOrder]]</f>
        <v>187.14</v>
      </c>
      <c r="AN443" s="8">
        <f ca="1">RANK(PlayerGameData[[#This Row],[PointTieBreak]],PlayerGameData[PointTieBreak],1)</f>
        <v>216</v>
      </c>
      <c r="AO443" s="8">
        <f ca="1">RANK(PlayerGameData[[#This Row],[REB]],PlayerGameData[REB],0)+PlayerGameData[[#This Row],[VisibleOrder]]</f>
        <v>192</v>
      </c>
      <c r="AP443" s="8">
        <f ca="1">IF(COUNTIF(PlayerGameData[REBOrder],PlayerGameData[[#This Row],[REBOrder]])&gt;1,PlayerGameData[[#This Row],[PointRank]]/100+PlayerGameData[[#This Row],[REBOrder]],PlayerGameData[[#This Row],[REBOrder]])</f>
        <v>194.16</v>
      </c>
      <c r="AQ443" s="8">
        <f ca="1">RANK(PlayerGameData[[#This Row],[REBTieBreak]],PlayerGameData[REBTieBreak],1)</f>
        <v>224</v>
      </c>
      <c r="AR443" s="8">
        <f ca="1">RANK(PlayerGameData[[#This Row],[AST]],PlayerGameData[AST],0)+PlayerGameData[[#This Row],[VisibleOrder]]</f>
        <v>158</v>
      </c>
      <c r="AS443" s="8">
        <f ca="1">IF(COUNTIF(PlayerGameData[ASTOrder],PlayerGameData[[#This Row],[ASTOrder]])&gt;1,PlayerGameData[[#This Row],[PointRank]]/100+PlayerGameData[[#This Row],[ASTOrder]],PlayerGameData[[#This Row],[ASTOrder]])</f>
        <v>160.16</v>
      </c>
      <c r="AT443" s="8">
        <f ca="1">RANK(PlayerGameData[[#This Row],[ASTTieBreak]],PlayerGameData[ASTTieBreak],1)</f>
        <v>221</v>
      </c>
      <c r="AU443" s="8">
        <f ca="1">RANK(PlayerGameData[[#This Row],[STL]],PlayerGameData[STL],0)+PlayerGameData[[#This Row],[VisibleOrder]]</f>
        <v>143</v>
      </c>
      <c r="AV443" s="8">
        <f ca="1">IF(COUNTIF(PlayerGameData[STLOrder],PlayerGameData[[#This Row],[STLOrder]])&gt;1,PlayerGameData[[#This Row],[PointRank]]/100+PlayerGameData[[#This Row],[STLOrder]],PlayerGameData[[#This Row],[STLOrder]])</f>
        <v>145.16</v>
      </c>
      <c r="AW443" s="8">
        <f ca="1">RANK(PlayerGameData[[#This Row],[STLTieBreak]],PlayerGameData[STLTieBreak],1)</f>
        <v>217</v>
      </c>
      <c r="AX443" s="8">
        <f ca="1">RANK(PlayerGameData[[#This Row],[BLK]],PlayerGameData[BLK],0)+PlayerGameData[[#This Row],[VisibleOrder]]</f>
        <v>32</v>
      </c>
      <c r="AY443" s="8">
        <f ca="1">IF(COUNTIF(PlayerGameData[BLKOrder],PlayerGameData[[#This Row],[BLKOrder]])&gt;1,PlayerGameData[[#This Row],[PointRank]]/100+PlayerGameData[[#This Row],[BLKOrder]],PlayerGameData[[#This Row],[BLKOrder]])</f>
        <v>34.159999999999997</v>
      </c>
      <c r="AZ443" s="8">
        <f ca="1">RANK(PlayerGameData[[#This Row],[BLKTieBreak]],PlayerGameData[BLKTieBreak],1)</f>
        <v>216</v>
      </c>
      <c r="BA443" s="11">
        <f ca="1">IFERROR(IF(PlayerGameData[[#This Row],[FGA]]&gt;$AA$5,PlayerGameData[[#This Row],[FG%*]],PlayerGameData[[#This Row],[FG%*]]*-1),-2)</f>
        <v>-2</v>
      </c>
      <c r="BB443" s="8">
        <f ca="1">RANK(PlayerGameData[[#This Row],[EligFG]],PlayerGameData[EligFG],0)+PlayerGameData[[#This Row],[VisibleOrder]]</f>
        <v>215</v>
      </c>
      <c r="BC443" s="8">
        <f ca="1">IF(COUNTIF(PlayerGameData[EligFGOrder],PlayerGameData[[#This Row],[EligFGOrder]])&gt;1,PlayerGameData[[#This Row],[PointRank]]/100+PlayerGameData[[#This Row],[EligFGOrder]],PlayerGameData[[#This Row],[EligFGOrder]])</f>
        <v>217.16</v>
      </c>
      <c r="BD443" s="8">
        <f ca="1">RANK(PlayerGameData[[#This Row],[EligFGTieBreak]],PlayerGameData[EligFGTieBreak],1)</f>
        <v>216</v>
      </c>
      <c r="BE443" s="8" t="str">
        <f>Roster!$D$3</f>
        <v>East</v>
      </c>
      <c r="BF443" s="8" t="str">
        <f>Roster!$D$2</f>
        <v>Northeast</v>
      </c>
      <c r="BG443" s="8" t="str">
        <f>Roster!$D$4</f>
        <v>North</v>
      </c>
      <c r="BH443" s="197">
        <f ca="1">IFERROR(VLOOKUP(CONCATENATE(PlayerGameData[[#This Row],[Opponent]]," ",MONTH(PlayerGameData[[#This Row],[Date]]),"/",DAY(PlayerGameData[[#This Row],[Date]]),"/",YEAR(PlayerGameData[[#This Row],[Date]])),Table35[],2,FALSE),0)</f>
        <v>1</v>
      </c>
      <c r="BI443" s="197">
        <f ca="1">IF(PlayerGameData[[#This Row],[Visible]]=1,1,1000)</f>
        <v>1</v>
      </c>
      <c r="BJ443" s="197" t="e">
        <f ca="1">_xlfn.MAXIFS(TeamGameData[Win],TeamGameData[School, Opponent,Game'#],PlayerGameData[[#This Row],[School, Opponent,Game'#]])</f>
        <v>#NAME?</v>
      </c>
      <c r="BK443" s="197" t="e">
        <f ca="1">_xlfn.MAXIFS(TeamGameData[Loss],TeamGameData[School, Opponent,Game'#],PlayerGameData[[#This Row],[School, Opponent,Game'#]])</f>
        <v>#NAME?</v>
      </c>
    </row>
    <row r="444" spans="1:63" x14ac:dyDescent="0.25">
      <c r="A444" s="8" t="str">
        <f t="shared" ca="1" si="213"/>
        <v>Carson Barritt, 14</v>
      </c>
      <c r="B444" s="8" t="str">
        <f>Roster!$B$1</f>
        <v>Upton</v>
      </c>
      <c r="C444" s="8" t="str">
        <f t="shared" ca="1" si="201"/>
        <v>Hulett</v>
      </c>
      <c r="D444" s="10">
        <f t="shared" ca="1" si="202"/>
        <v>44974</v>
      </c>
      <c r="E444" s="8">
        <f t="shared" ca="1" si="203"/>
        <v>1</v>
      </c>
      <c r="F444" s="8">
        <f t="shared" ca="1" si="204"/>
        <v>0</v>
      </c>
      <c r="G444" s="8">
        <f t="shared" ca="1" si="205"/>
        <v>3</v>
      </c>
      <c r="H444" s="8">
        <f t="shared" ca="1" si="206"/>
        <v>0</v>
      </c>
      <c r="I444" s="8">
        <f t="shared" ca="1" si="207"/>
        <v>0</v>
      </c>
      <c r="J444" s="8">
        <f t="shared" ca="1" si="208"/>
        <v>0</v>
      </c>
      <c r="K444" s="8">
        <f t="shared" ca="1" si="209"/>
        <v>0</v>
      </c>
      <c r="L444" s="8">
        <f t="shared" ca="1" si="214"/>
        <v>0</v>
      </c>
      <c r="M444" s="8">
        <f t="shared" ca="1" si="215"/>
        <v>0</v>
      </c>
      <c r="N444" s="8">
        <f t="shared" ca="1" si="216"/>
        <v>0</v>
      </c>
      <c r="O444" s="8">
        <f t="shared" ca="1" si="217"/>
        <v>0</v>
      </c>
      <c r="P444" s="8">
        <f t="shared" ca="1" si="218"/>
        <v>0</v>
      </c>
      <c r="Q444" s="8">
        <f t="shared" ca="1" si="219"/>
        <v>0</v>
      </c>
      <c r="R444" s="8">
        <f t="shared" ca="1" si="220"/>
        <v>0</v>
      </c>
      <c r="S444" s="8">
        <f t="shared" ca="1" si="221"/>
        <v>1</v>
      </c>
      <c r="T444" s="8">
        <f t="shared" ca="1" si="222"/>
        <v>0</v>
      </c>
      <c r="U444" s="8">
        <f t="shared" ca="1" si="223"/>
        <v>0</v>
      </c>
      <c r="V444" s="8">
        <f t="shared" ca="1" si="224"/>
        <v>0</v>
      </c>
      <c r="W444" s="11" t="str">
        <f t="shared" ca="1" si="225"/>
        <v/>
      </c>
      <c r="X444" s="11" t="str">
        <f t="shared" ca="1" si="226"/>
        <v/>
      </c>
      <c r="Y444" s="11" t="str">
        <f t="shared" ca="1" si="227"/>
        <v/>
      </c>
      <c r="Z444" s="11" t="str">
        <f t="shared" ca="1" si="228"/>
        <v/>
      </c>
      <c r="AA444" s="11" t="str">
        <f t="shared" ca="1" si="229"/>
        <v/>
      </c>
      <c r="AB444" s="47">
        <f ca="1">PlayerGameData[[#This Row],[3FGA]]+PlayerGameData[[#This Row],[2FGA]]</f>
        <v>0</v>
      </c>
      <c r="AC444" s="47">
        <f ca="1">PlayerGameData[[#This Row],[OFF REB]]+PlayerGameData[[#This Row],[DEF REB]]</f>
        <v>0</v>
      </c>
      <c r="AD444" s="8">
        <f t="shared" si="210"/>
        <v>19</v>
      </c>
      <c r="AE444" s="8" t="str">
        <f t="shared" ca="1" si="211"/>
        <v>Carson Barritt, 14 - Hulett 2/17/2023</v>
      </c>
      <c r="AF444" s="8" t="str">
        <f t="shared" ca="1" si="230"/>
        <v>R</v>
      </c>
      <c r="AG444" s="8" t="str">
        <f ca="1">IFERROR(IF(C444=0,"",IF(AND(VLOOKUP(PlayerGameData[[#This Row],[Opponent]],WYTeamInfo,2,FALSE)=Roster!$D$1,VLOOKUP(PlayerGameData[[#This Row],[Opponent]],WYTeamInfo,3,FALSE)=Roster!$D$2),"SR","")),"")</f>
        <v>SR</v>
      </c>
      <c r="AH444" s="8" t="str">
        <f>CONCATENATE(Roster!$D$1," ",Roster!$D$5)</f>
        <v>1A BB</v>
      </c>
      <c r="AI444" s="8" t="str">
        <f t="shared" ca="1" si="212"/>
        <v>Upton - Hulett 2/17/2023</v>
      </c>
      <c r="AJ444" s="8">
        <f ca="1">IFERROR(VLOOKUP(PlayerGameData[[#This Row],[School, Opponent,Game'#]],Table3[],2,FALSE),0)</f>
        <v>1</v>
      </c>
      <c r="AK444" s="8">
        <f ca="1">IF(PlayerGameData[[#This Row],[Visible]]=1,1,1000)</f>
        <v>1</v>
      </c>
      <c r="AL444" s="8">
        <f ca="1">RANK(PlayerGameData[[#This Row],[TL PTS]],PlayerGameData[TL PTS],0)+PlayerGameData[[#This Row],[VisibleOrder]]</f>
        <v>185</v>
      </c>
      <c r="AM444" s="8">
        <f ca="1">IF(COUNTIF(PlayerGameData[PointOrder],PlayerGameData[[#This Row],[PointOrder]])&gt;1,RANK(PlayerGameData[[#This Row],[FGA]],PlayerGameData[FGA],0)/100,0)+PlayerGameData[[#This Row],[PointOrder]]</f>
        <v>187.14</v>
      </c>
      <c r="AN444" s="8">
        <f ca="1">RANK(PlayerGameData[[#This Row],[PointTieBreak]],PlayerGameData[PointTieBreak],1)</f>
        <v>216</v>
      </c>
      <c r="AO444" s="8">
        <f ca="1">RANK(PlayerGameData[[#This Row],[REB]],PlayerGameData[REB],0)+PlayerGameData[[#This Row],[VisibleOrder]]</f>
        <v>192</v>
      </c>
      <c r="AP444" s="8">
        <f ca="1">IF(COUNTIF(PlayerGameData[REBOrder],PlayerGameData[[#This Row],[REBOrder]])&gt;1,PlayerGameData[[#This Row],[PointRank]]/100+PlayerGameData[[#This Row],[REBOrder]],PlayerGameData[[#This Row],[REBOrder]])</f>
        <v>194.16</v>
      </c>
      <c r="AQ444" s="8">
        <f ca="1">RANK(PlayerGameData[[#This Row],[REBTieBreak]],PlayerGameData[REBTieBreak],1)</f>
        <v>224</v>
      </c>
      <c r="AR444" s="8">
        <f ca="1">RANK(PlayerGameData[[#This Row],[AST]],PlayerGameData[AST],0)+PlayerGameData[[#This Row],[VisibleOrder]]</f>
        <v>158</v>
      </c>
      <c r="AS444" s="8">
        <f ca="1">IF(COUNTIF(PlayerGameData[ASTOrder],PlayerGameData[[#This Row],[ASTOrder]])&gt;1,PlayerGameData[[#This Row],[PointRank]]/100+PlayerGameData[[#This Row],[ASTOrder]],PlayerGameData[[#This Row],[ASTOrder]])</f>
        <v>160.16</v>
      </c>
      <c r="AT444" s="8">
        <f ca="1">RANK(PlayerGameData[[#This Row],[ASTTieBreak]],PlayerGameData[ASTTieBreak],1)</f>
        <v>221</v>
      </c>
      <c r="AU444" s="8">
        <f ca="1">RANK(PlayerGameData[[#This Row],[STL]],PlayerGameData[STL],0)+PlayerGameData[[#This Row],[VisibleOrder]]</f>
        <v>143</v>
      </c>
      <c r="AV444" s="8">
        <f ca="1">IF(COUNTIF(PlayerGameData[STLOrder],PlayerGameData[[#This Row],[STLOrder]])&gt;1,PlayerGameData[[#This Row],[PointRank]]/100+PlayerGameData[[#This Row],[STLOrder]],PlayerGameData[[#This Row],[STLOrder]])</f>
        <v>145.16</v>
      </c>
      <c r="AW444" s="8">
        <f ca="1">RANK(PlayerGameData[[#This Row],[STLTieBreak]],PlayerGameData[STLTieBreak],1)</f>
        <v>217</v>
      </c>
      <c r="AX444" s="8">
        <f ca="1">RANK(PlayerGameData[[#This Row],[BLK]],PlayerGameData[BLK],0)+PlayerGameData[[#This Row],[VisibleOrder]]</f>
        <v>32</v>
      </c>
      <c r="AY444" s="8">
        <f ca="1">IF(COUNTIF(PlayerGameData[BLKOrder],PlayerGameData[[#This Row],[BLKOrder]])&gt;1,PlayerGameData[[#This Row],[PointRank]]/100+PlayerGameData[[#This Row],[BLKOrder]],PlayerGameData[[#This Row],[BLKOrder]])</f>
        <v>34.159999999999997</v>
      </c>
      <c r="AZ444" s="8">
        <f ca="1">RANK(PlayerGameData[[#This Row],[BLKTieBreak]],PlayerGameData[BLKTieBreak],1)</f>
        <v>216</v>
      </c>
      <c r="BA444" s="11">
        <f ca="1">IFERROR(IF(PlayerGameData[[#This Row],[FGA]]&gt;$AA$5,PlayerGameData[[#This Row],[FG%*]],PlayerGameData[[#This Row],[FG%*]]*-1),-2)</f>
        <v>-2</v>
      </c>
      <c r="BB444" s="8">
        <f ca="1">RANK(PlayerGameData[[#This Row],[EligFG]],PlayerGameData[EligFG],0)+PlayerGameData[[#This Row],[VisibleOrder]]</f>
        <v>215</v>
      </c>
      <c r="BC444" s="8">
        <f ca="1">IF(COUNTIF(PlayerGameData[EligFGOrder],PlayerGameData[[#This Row],[EligFGOrder]])&gt;1,PlayerGameData[[#This Row],[PointRank]]/100+PlayerGameData[[#This Row],[EligFGOrder]],PlayerGameData[[#This Row],[EligFGOrder]])</f>
        <v>217.16</v>
      </c>
      <c r="BD444" s="8">
        <f ca="1">RANK(PlayerGameData[[#This Row],[EligFGTieBreak]],PlayerGameData[EligFGTieBreak],1)</f>
        <v>216</v>
      </c>
      <c r="BE444" s="8" t="str">
        <f>Roster!$D$3</f>
        <v>East</v>
      </c>
      <c r="BF444" s="8" t="str">
        <f>Roster!$D$2</f>
        <v>Northeast</v>
      </c>
      <c r="BG444" s="8" t="str">
        <f>Roster!$D$4</f>
        <v>North</v>
      </c>
      <c r="BH444" s="197">
        <f ca="1">IFERROR(VLOOKUP(CONCATENATE(PlayerGameData[[#This Row],[Opponent]]," ",MONTH(PlayerGameData[[#This Row],[Date]]),"/",DAY(PlayerGameData[[#This Row],[Date]]),"/",YEAR(PlayerGameData[[#This Row],[Date]])),Table35[],2,FALSE),0)</f>
        <v>1</v>
      </c>
      <c r="BI444" s="197">
        <f ca="1">IF(PlayerGameData[[#This Row],[Visible]]=1,1,1000)</f>
        <v>1</v>
      </c>
      <c r="BJ444" s="197" t="e">
        <f ca="1">_xlfn.MAXIFS(TeamGameData[Win],TeamGameData[School, Opponent,Game'#],PlayerGameData[[#This Row],[School, Opponent,Game'#]])</f>
        <v>#NAME?</v>
      </c>
      <c r="BK444" s="197" t="e">
        <f ca="1">_xlfn.MAXIFS(TeamGameData[Loss],TeamGameData[School, Opponent,Game'#],PlayerGameData[[#This Row],[School, Opponent,Game'#]])</f>
        <v>#NAME?</v>
      </c>
    </row>
    <row r="445" spans="1:63" x14ac:dyDescent="0.25">
      <c r="A445" s="8" t="str">
        <f t="shared" ca="1" si="213"/>
        <v>Ben Carpenter, 21</v>
      </c>
      <c r="B445" s="8" t="str">
        <f>Roster!$B$1</f>
        <v>Upton</v>
      </c>
      <c r="C445" s="8" t="str">
        <f t="shared" ca="1" si="201"/>
        <v>Hulett</v>
      </c>
      <c r="D445" s="10">
        <f t="shared" ca="1" si="202"/>
        <v>44974</v>
      </c>
      <c r="E445" s="8">
        <f t="shared" ca="1" si="203"/>
        <v>1</v>
      </c>
      <c r="F445" s="8">
        <f t="shared" ca="1" si="204"/>
        <v>0</v>
      </c>
      <c r="G445" s="8">
        <f t="shared" ca="1" si="205"/>
        <v>4</v>
      </c>
      <c r="H445" s="8">
        <f t="shared" ca="1" si="206"/>
        <v>0</v>
      </c>
      <c r="I445" s="8">
        <f t="shared" ca="1" si="207"/>
        <v>0</v>
      </c>
      <c r="J445" s="8">
        <f t="shared" ca="1" si="208"/>
        <v>0</v>
      </c>
      <c r="K445" s="8">
        <f t="shared" ca="1" si="209"/>
        <v>1</v>
      </c>
      <c r="L445" s="8">
        <f t="shared" ca="1" si="214"/>
        <v>0</v>
      </c>
      <c r="M445" s="8">
        <f t="shared" ca="1" si="215"/>
        <v>0</v>
      </c>
      <c r="N445" s="8">
        <f t="shared" ca="1" si="216"/>
        <v>0</v>
      </c>
      <c r="O445" s="8">
        <f t="shared" ca="1" si="217"/>
        <v>2</v>
      </c>
      <c r="P445" s="8">
        <f t="shared" ca="1" si="218"/>
        <v>1</v>
      </c>
      <c r="Q445" s="8">
        <f t="shared" ca="1" si="219"/>
        <v>0</v>
      </c>
      <c r="R445" s="8">
        <f t="shared" ca="1" si="220"/>
        <v>0</v>
      </c>
      <c r="S445" s="8">
        <f t="shared" ca="1" si="221"/>
        <v>0</v>
      </c>
      <c r="T445" s="8">
        <f t="shared" ca="1" si="222"/>
        <v>0</v>
      </c>
      <c r="U445" s="8">
        <f t="shared" ca="1" si="223"/>
        <v>0</v>
      </c>
      <c r="V445" s="8">
        <f t="shared" ca="1" si="224"/>
        <v>0</v>
      </c>
      <c r="W445" s="11" t="str">
        <f t="shared" ca="1" si="225"/>
        <v/>
      </c>
      <c r="X445" s="11">
        <f t="shared" ca="1" si="226"/>
        <v>0</v>
      </c>
      <c r="Y445" s="11" t="str">
        <f t="shared" ca="1" si="227"/>
        <v/>
      </c>
      <c r="Z445" s="11">
        <f t="shared" ca="1" si="228"/>
        <v>0</v>
      </c>
      <c r="AA445" s="11">
        <f t="shared" ca="1" si="229"/>
        <v>0</v>
      </c>
      <c r="AB445" s="47">
        <f ca="1">PlayerGameData[[#This Row],[3FGA]]+PlayerGameData[[#This Row],[2FGA]]</f>
        <v>1</v>
      </c>
      <c r="AC445" s="47">
        <f ca="1">PlayerGameData[[#This Row],[OFF REB]]+PlayerGameData[[#This Row],[DEF REB]]</f>
        <v>2</v>
      </c>
      <c r="AD445" s="8">
        <f t="shared" si="210"/>
        <v>19</v>
      </c>
      <c r="AE445" s="8" t="str">
        <f t="shared" ca="1" si="211"/>
        <v>Ben Carpenter, 21 - Hulett 2/17/2023</v>
      </c>
      <c r="AF445" s="8" t="str">
        <f t="shared" ca="1" si="230"/>
        <v>R</v>
      </c>
      <c r="AG445" s="8" t="str">
        <f ca="1">IFERROR(IF(C445=0,"",IF(AND(VLOOKUP(PlayerGameData[[#This Row],[Opponent]],WYTeamInfo,2,FALSE)=Roster!$D$1,VLOOKUP(PlayerGameData[[#This Row],[Opponent]],WYTeamInfo,3,FALSE)=Roster!$D$2),"SR","")),"")</f>
        <v>SR</v>
      </c>
      <c r="AH445" s="8" t="str">
        <f>CONCATENATE(Roster!$D$1," ",Roster!$D$5)</f>
        <v>1A BB</v>
      </c>
      <c r="AI445" s="8" t="str">
        <f t="shared" ca="1" si="212"/>
        <v>Upton - Hulett 2/17/2023</v>
      </c>
      <c r="AJ445" s="8">
        <f ca="1">IFERROR(VLOOKUP(PlayerGameData[[#This Row],[School, Opponent,Game'#]],Table3[],2,FALSE),0)</f>
        <v>1</v>
      </c>
      <c r="AK445" s="8">
        <f ca="1">IF(PlayerGameData[[#This Row],[Visible]]=1,1,1000)</f>
        <v>1</v>
      </c>
      <c r="AL445" s="8">
        <f ca="1">RANK(PlayerGameData[[#This Row],[TL PTS]],PlayerGameData[TL PTS],0)+PlayerGameData[[#This Row],[VisibleOrder]]</f>
        <v>185</v>
      </c>
      <c r="AM445" s="8">
        <f ca="1">IF(COUNTIF(PlayerGameData[PointOrder],PlayerGameData[[#This Row],[PointOrder]])&gt;1,RANK(PlayerGameData[[#This Row],[FGA]],PlayerGameData[FGA],0)/100,0)+PlayerGameData[[#This Row],[PointOrder]]</f>
        <v>186.82</v>
      </c>
      <c r="AN445" s="8">
        <f ca="1">RANK(PlayerGameData[[#This Row],[PointTieBreak]],PlayerGameData[PointTieBreak],1)</f>
        <v>196</v>
      </c>
      <c r="AO445" s="8">
        <f ca="1">RANK(PlayerGameData[[#This Row],[REB]],PlayerGameData[REB],0)+PlayerGameData[[#This Row],[VisibleOrder]]</f>
        <v>137</v>
      </c>
      <c r="AP445" s="8">
        <f ca="1">IF(COUNTIF(PlayerGameData[REBOrder],PlayerGameData[[#This Row],[REBOrder]])&gt;1,PlayerGameData[[#This Row],[PointRank]]/100+PlayerGameData[[#This Row],[REBOrder]],PlayerGameData[[#This Row],[REBOrder]])</f>
        <v>138.96</v>
      </c>
      <c r="AQ445" s="8">
        <f ca="1">RANK(PlayerGameData[[#This Row],[REBTieBreak]],PlayerGameData[REBTieBreak],1)</f>
        <v>157</v>
      </c>
      <c r="AR445" s="8">
        <f ca="1">RANK(PlayerGameData[[#This Row],[AST]],PlayerGameData[AST],0)+PlayerGameData[[#This Row],[VisibleOrder]]</f>
        <v>115</v>
      </c>
      <c r="AS445" s="8">
        <f ca="1">IF(COUNTIF(PlayerGameData[ASTOrder],PlayerGameData[[#This Row],[ASTOrder]])&gt;1,PlayerGameData[[#This Row],[PointRank]]/100+PlayerGameData[[#This Row],[ASTOrder]],PlayerGameData[[#This Row],[ASTOrder]])</f>
        <v>116.96</v>
      </c>
      <c r="AT445" s="8">
        <f ca="1">RANK(PlayerGameData[[#This Row],[ASTTieBreak]],PlayerGameData[ASTTieBreak],1)</f>
        <v>148</v>
      </c>
      <c r="AU445" s="8">
        <f ca="1">RANK(PlayerGameData[[#This Row],[STL]],PlayerGameData[STL],0)+PlayerGameData[[#This Row],[VisibleOrder]]</f>
        <v>143</v>
      </c>
      <c r="AV445" s="8">
        <f ca="1">IF(COUNTIF(PlayerGameData[STLOrder],PlayerGameData[[#This Row],[STLOrder]])&gt;1,PlayerGameData[[#This Row],[PointRank]]/100+PlayerGameData[[#This Row],[STLOrder]],PlayerGameData[[#This Row],[STLOrder]])</f>
        <v>144.96</v>
      </c>
      <c r="AW445" s="8">
        <f ca="1">RANK(PlayerGameData[[#This Row],[STLTieBreak]],PlayerGameData[STLTieBreak],1)</f>
        <v>200</v>
      </c>
      <c r="AX445" s="8">
        <f ca="1">RANK(PlayerGameData[[#This Row],[BLK]],PlayerGameData[BLK],0)+PlayerGameData[[#This Row],[VisibleOrder]]</f>
        <v>32</v>
      </c>
      <c r="AY445" s="8">
        <f ca="1">IF(COUNTIF(PlayerGameData[BLKOrder],PlayerGameData[[#This Row],[BLKOrder]])&gt;1,PlayerGameData[[#This Row],[PointRank]]/100+PlayerGameData[[#This Row],[BLKOrder]],PlayerGameData[[#This Row],[BLKOrder]])</f>
        <v>33.96</v>
      </c>
      <c r="AZ445" s="8">
        <f ca="1">RANK(PlayerGameData[[#This Row],[BLKTieBreak]],PlayerGameData[BLKTieBreak],1)</f>
        <v>196</v>
      </c>
      <c r="BA445" s="11">
        <f ca="1">IFERROR(IF(PlayerGameData[[#This Row],[FGA]]&gt;$AA$5,PlayerGameData[[#This Row],[FG%*]],PlayerGameData[[#This Row],[FG%*]]*-1),-2)</f>
        <v>0</v>
      </c>
      <c r="BB445" s="8">
        <f ca="1">RANK(PlayerGameData[[#This Row],[EligFG]],PlayerGameData[EligFG],0)+PlayerGameData[[#This Row],[VisibleOrder]]</f>
        <v>117</v>
      </c>
      <c r="BC445" s="8">
        <f ca="1">IF(COUNTIF(PlayerGameData[EligFGOrder],PlayerGameData[[#This Row],[EligFGOrder]])&gt;1,PlayerGameData[[#This Row],[PointRank]]/100+PlayerGameData[[#This Row],[EligFGOrder]],PlayerGameData[[#This Row],[EligFGOrder]])</f>
        <v>118.96</v>
      </c>
      <c r="BD445" s="8">
        <f ca="1">RANK(PlayerGameData[[#This Row],[EligFGTieBreak]],PlayerGameData[EligFGTieBreak],1)</f>
        <v>138</v>
      </c>
      <c r="BE445" s="8" t="str">
        <f>Roster!$D$3</f>
        <v>East</v>
      </c>
      <c r="BF445" s="8" t="str">
        <f>Roster!$D$2</f>
        <v>Northeast</v>
      </c>
      <c r="BG445" s="8" t="str">
        <f>Roster!$D$4</f>
        <v>North</v>
      </c>
      <c r="BH445" s="197">
        <f ca="1">IFERROR(VLOOKUP(CONCATENATE(PlayerGameData[[#This Row],[Opponent]]," ",MONTH(PlayerGameData[[#This Row],[Date]]),"/",DAY(PlayerGameData[[#This Row],[Date]]),"/",YEAR(PlayerGameData[[#This Row],[Date]])),Table35[],2,FALSE),0)</f>
        <v>1</v>
      </c>
      <c r="BI445" s="197">
        <f ca="1">IF(PlayerGameData[[#This Row],[Visible]]=1,1,1000)</f>
        <v>1</v>
      </c>
      <c r="BJ445" s="197" t="e">
        <f ca="1">_xlfn.MAXIFS(TeamGameData[Win],TeamGameData[School, Opponent,Game'#],PlayerGameData[[#This Row],[School, Opponent,Game'#]])</f>
        <v>#NAME?</v>
      </c>
      <c r="BK445" s="197" t="e">
        <f ca="1">_xlfn.MAXIFS(TeamGameData[Loss],TeamGameData[School, Opponent,Game'#],PlayerGameData[[#This Row],[School, Opponent,Game'#]])</f>
        <v>#NAME?</v>
      </c>
    </row>
    <row r="446" spans="1:63" x14ac:dyDescent="0.25">
      <c r="A446" s="8" t="str">
        <f t="shared" ca="1" si="213"/>
        <v>Ethan Schiller, 23</v>
      </c>
      <c r="B446" s="8" t="str">
        <f>Roster!$B$1</f>
        <v>Upton</v>
      </c>
      <c r="C446" s="8" t="str">
        <f t="shared" ca="1" si="201"/>
        <v>Hulett</v>
      </c>
      <c r="D446" s="10">
        <f t="shared" ca="1" si="202"/>
        <v>44974</v>
      </c>
      <c r="E446" s="8">
        <f t="shared" ca="1" si="203"/>
        <v>1</v>
      </c>
      <c r="F446" s="8">
        <f t="shared" ca="1" si="204"/>
        <v>1</v>
      </c>
      <c r="G446" s="8">
        <f t="shared" ca="1" si="205"/>
        <v>19</v>
      </c>
      <c r="H446" s="8">
        <f t="shared" ca="1" si="206"/>
        <v>2</v>
      </c>
      <c r="I446" s="8">
        <f t="shared" ca="1" si="207"/>
        <v>3</v>
      </c>
      <c r="J446" s="8">
        <f t="shared" ca="1" si="208"/>
        <v>7</v>
      </c>
      <c r="K446" s="8">
        <f t="shared" ca="1" si="209"/>
        <v>8</v>
      </c>
      <c r="L446" s="8">
        <f t="shared" ca="1" si="214"/>
        <v>1</v>
      </c>
      <c r="M446" s="8">
        <f t="shared" ca="1" si="215"/>
        <v>2</v>
      </c>
      <c r="N446" s="8">
        <f t="shared" ca="1" si="216"/>
        <v>2</v>
      </c>
      <c r="O446" s="8">
        <f t="shared" ca="1" si="217"/>
        <v>0</v>
      </c>
      <c r="P446" s="8">
        <f t="shared" ca="1" si="218"/>
        <v>8</v>
      </c>
      <c r="Q446" s="8">
        <f t="shared" ca="1" si="219"/>
        <v>4</v>
      </c>
      <c r="R446" s="8">
        <f t="shared" ca="1" si="220"/>
        <v>0</v>
      </c>
      <c r="S446" s="8">
        <f t="shared" ca="1" si="221"/>
        <v>1</v>
      </c>
      <c r="T446" s="8">
        <f t="shared" ca="1" si="222"/>
        <v>2</v>
      </c>
      <c r="U446" s="8">
        <f t="shared" ca="1" si="223"/>
        <v>1</v>
      </c>
      <c r="V446" s="8">
        <f t="shared" ca="1" si="224"/>
        <v>21</v>
      </c>
      <c r="W446" s="11">
        <f t="shared" ca="1" si="225"/>
        <v>0.66666666666666663</v>
      </c>
      <c r="X446" s="11">
        <f t="shared" ca="1" si="226"/>
        <v>0.875</v>
      </c>
      <c r="Y446" s="11">
        <f t="shared" ca="1" si="227"/>
        <v>0.5</v>
      </c>
      <c r="Z446" s="11">
        <f t="shared" ca="1" si="228"/>
        <v>0.81818181818181823</v>
      </c>
      <c r="AA446" s="11">
        <f t="shared" ca="1" si="229"/>
        <v>0.90909090909090906</v>
      </c>
      <c r="AB446" s="47">
        <f ca="1">PlayerGameData[[#This Row],[3FGA]]+PlayerGameData[[#This Row],[2FGA]]</f>
        <v>11</v>
      </c>
      <c r="AC446" s="47">
        <f ca="1">PlayerGameData[[#This Row],[OFF REB]]+PlayerGameData[[#This Row],[DEF REB]]</f>
        <v>2</v>
      </c>
      <c r="AD446" s="8">
        <f t="shared" si="210"/>
        <v>19</v>
      </c>
      <c r="AE446" s="8" t="str">
        <f t="shared" ca="1" si="211"/>
        <v>Ethan Schiller, 23 - Hulett 2/17/2023</v>
      </c>
      <c r="AF446" s="8" t="str">
        <f t="shared" ca="1" si="230"/>
        <v>R</v>
      </c>
      <c r="AG446" s="8" t="str">
        <f ca="1">IFERROR(IF(C446=0,"",IF(AND(VLOOKUP(PlayerGameData[[#This Row],[Opponent]],WYTeamInfo,2,FALSE)=Roster!$D$1,VLOOKUP(PlayerGameData[[#This Row],[Opponent]],WYTeamInfo,3,FALSE)=Roster!$D$2),"SR","")),"")</f>
        <v>SR</v>
      </c>
      <c r="AH446" s="8" t="str">
        <f>CONCATENATE(Roster!$D$1," ",Roster!$D$5)</f>
        <v>1A BB</v>
      </c>
      <c r="AI446" s="8" t="str">
        <f t="shared" ca="1" si="212"/>
        <v>Upton - Hulett 2/17/2023</v>
      </c>
      <c r="AJ446" s="8">
        <f ca="1">IFERROR(VLOOKUP(PlayerGameData[[#This Row],[School, Opponent,Game'#]],Table3[],2,FALSE),0)</f>
        <v>1</v>
      </c>
      <c r="AK446" s="8">
        <f ca="1">IF(PlayerGameData[[#This Row],[Visible]]=1,1,1000)</f>
        <v>1</v>
      </c>
      <c r="AL446" s="8">
        <f ca="1">RANK(PlayerGameData[[#This Row],[TL PTS]],PlayerGameData[TL PTS],0)+PlayerGameData[[#This Row],[VisibleOrder]]</f>
        <v>5</v>
      </c>
      <c r="AM446" s="8">
        <f ca="1">IF(COUNTIF(PlayerGameData[PointOrder],PlayerGameData[[#This Row],[PointOrder]])&gt;1,RANK(PlayerGameData[[#This Row],[FGA]],PlayerGameData[FGA],0)/100,0)+PlayerGameData[[#This Row],[PointOrder]]</f>
        <v>5.34</v>
      </c>
      <c r="AN446" s="8">
        <f ca="1">RANK(PlayerGameData[[#This Row],[PointTieBreak]],PlayerGameData[PointTieBreak],1)</f>
        <v>6</v>
      </c>
      <c r="AO446" s="8">
        <f ca="1">RANK(PlayerGameData[[#This Row],[REB]],PlayerGameData[REB],0)+PlayerGameData[[#This Row],[VisibleOrder]]</f>
        <v>137</v>
      </c>
      <c r="AP446" s="8">
        <f ca="1">IF(COUNTIF(PlayerGameData[REBOrder],PlayerGameData[[#This Row],[REBOrder]])&gt;1,PlayerGameData[[#This Row],[PointRank]]/100+PlayerGameData[[#This Row],[REBOrder]],PlayerGameData[[#This Row],[REBOrder]])</f>
        <v>137.06</v>
      </c>
      <c r="AQ446" s="8">
        <f ca="1">RANK(PlayerGameData[[#This Row],[REBTieBreak]],PlayerGameData[REBTieBreak],1)</f>
        <v>136</v>
      </c>
      <c r="AR446" s="8">
        <f ca="1">RANK(PlayerGameData[[#This Row],[AST]],PlayerGameData[AST],0)+PlayerGameData[[#This Row],[VisibleOrder]]</f>
        <v>2</v>
      </c>
      <c r="AS446" s="8">
        <f ca="1">IF(COUNTIF(PlayerGameData[ASTOrder],PlayerGameData[[#This Row],[ASTOrder]])&gt;1,PlayerGameData[[#This Row],[PointRank]]/100+PlayerGameData[[#This Row],[ASTOrder]],PlayerGameData[[#This Row],[ASTOrder]])</f>
        <v>2.06</v>
      </c>
      <c r="AT446" s="8">
        <f ca="1">RANK(PlayerGameData[[#This Row],[ASTTieBreak]],PlayerGameData[ASTTieBreak],1)</f>
        <v>1</v>
      </c>
      <c r="AU446" s="8">
        <f ca="1">RANK(PlayerGameData[[#This Row],[STL]],PlayerGameData[STL],0)+PlayerGameData[[#This Row],[VisibleOrder]]</f>
        <v>10</v>
      </c>
      <c r="AV446" s="8">
        <f ca="1">IF(COUNTIF(PlayerGameData[STLOrder],PlayerGameData[[#This Row],[STLOrder]])&gt;1,PlayerGameData[[#This Row],[PointRank]]/100+PlayerGameData[[#This Row],[STLOrder]],PlayerGameData[[#This Row],[STLOrder]])</f>
        <v>10.06</v>
      </c>
      <c r="AW446" s="8">
        <f ca="1">RANK(PlayerGameData[[#This Row],[STLTieBreak]],PlayerGameData[STLTieBreak],1)</f>
        <v>9</v>
      </c>
      <c r="AX446" s="8">
        <f ca="1">RANK(PlayerGameData[[#This Row],[BLK]],PlayerGameData[BLK],0)+PlayerGameData[[#This Row],[VisibleOrder]]</f>
        <v>32</v>
      </c>
      <c r="AY446" s="8">
        <f ca="1">IF(COUNTIF(PlayerGameData[BLKOrder],PlayerGameData[[#This Row],[BLKOrder]])&gt;1,PlayerGameData[[#This Row],[PointRank]]/100+PlayerGameData[[#This Row],[BLKOrder]],PlayerGameData[[#This Row],[BLKOrder]])</f>
        <v>32.06</v>
      </c>
      <c r="AZ446" s="8">
        <f ca="1">RANK(PlayerGameData[[#This Row],[BLKTieBreak]],PlayerGameData[BLKTieBreak],1)</f>
        <v>35</v>
      </c>
      <c r="BA446" s="11">
        <f ca="1">IFERROR(IF(PlayerGameData[[#This Row],[FGA]]&gt;$AA$5,PlayerGameData[[#This Row],[FG%*]],PlayerGameData[[#This Row],[FG%*]]*-1),-2)</f>
        <v>0.81818181818181823</v>
      </c>
      <c r="BB446" s="8">
        <f ca="1">RANK(PlayerGameData[[#This Row],[EligFG]],PlayerGameData[EligFG],0)+PlayerGameData[[#This Row],[VisibleOrder]]</f>
        <v>5</v>
      </c>
      <c r="BC446" s="8">
        <f ca="1">IF(COUNTIF(PlayerGameData[EligFGOrder],PlayerGameData[[#This Row],[EligFGOrder]])&gt;1,PlayerGameData[[#This Row],[PointRank]]/100+PlayerGameData[[#This Row],[EligFGOrder]],PlayerGameData[[#This Row],[EligFGOrder]])</f>
        <v>5.0599999999999996</v>
      </c>
      <c r="BD446" s="8">
        <f ca="1">RANK(PlayerGameData[[#This Row],[EligFGTieBreak]],PlayerGameData[EligFGTieBreak],1)</f>
        <v>4</v>
      </c>
      <c r="BE446" s="8" t="str">
        <f>Roster!$D$3</f>
        <v>East</v>
      </c>
      <c r="BF446" s="8" t="str">
        <f>Roster!$D$2</f>
        <v>Northeast</v>
      </c>
      <c r="BG446" s="8" t="str">
        <f>Roster!$D$4</f>
        <v>North</v>
      </c>
      <c r="BH446" s="197">
        <f ca="1">IFERROR(VLOOKUP(CONCATENATE(PlayerGameData[[#This Row],[Opponent]]," ",MONTH(PlayerGameData[[#This Row],[Date]]),"/",DAY(PlayerGameData[[#This Row],[Date]]),"/",YEAR(PlayerGameData[[#This Row],[Date]])),Table35[],2,FALSE),0)</f>
        <v>1</v>
      </c>
      <c r="BI446" s="197">
        <f ca="1">IF(PlayerGameData[[#This Row],[Visible]]=1,1,1000)</f>
        <v>1</v>
      </c>
      <c r="BJ446" s="197" t="e">
        <f ca="1">_xlfn.MAXIFS(TeamGameData[Win],TeamGameData[School, Opponent,Game'#],PlayerGameData[[#This Row],[School, Opponent,Game'#]])</f>
        <v>#NAME?</v>
      </c>
      <c r="BK446" s="197" t="e">
        <f ca="1">_xlfn.MAXIFS(TeamGameData[Loss],TeamGameData[School, Opponent,Game'#],PlayerGameData[[#This Row],[School, Opponent,Game'#]])</f>
        <v>#NAME?</v>
      </c>
    </row>
    <row r="447" spans="1:63" x14ac:dyDescent="0.25">
      <c r="A447" s="8" t="str">
        <f t="shared" ca="1" si="213"/>
        <v>Bridger Bruce, 25</v>
      </c>
      <c r="B447" s="8" t="str">
        <f>Roster!$B$1</f>
        <v>Upton</v>
      </c>
      <c r="C447" s="8" t="str">
        <f t="shared" ca="1" si="201"/>
        <v>Hulett</v>
      </c>
      <c r="D447" s="10">
        <f t="shared" ca="1" si="202"/>
        <v>44974</v>
      </c>
      <c r="E447" s="8">
        <f t="shared" ca="1" si="203"/>
        <v>1</v>
      </c>
      <c r="F447" s="8">
        <f t="shared" ca="1" si="204"/>
        <v>0</v>
      </c>
      <c r="G447" s="8">
        <f t="shared" ca="1" si="205"/>
        <v>18</v>
      </c>
      <c r="H447" s="8">
        <f t="shared" ca="1" si="206"/>
        <v>0</v>
      </c>
      <c r="I447" s="8">
        <f t="shared" ca="1" si="207"/>
        <v>2</v>
      </c>
      <c r="J447" s="8">
        <f t="shared" ca="1" si="208"/>
        <v>1</v>
      </c>
      <c r="K447" s="8">
        <f t="shared" ca="1" si="209"/>
        <v>2</v>
      </c>
      <c r="L447" s="8">
        <f t="shared" ca="1" si="214"/>
        <v>0</v>
      </c>
      <c r="M447" s="8">
        <f t="shared" ca="1" si="215"/>
        <v>0</v>
      </c>
      <c r="N447" s="8">
        <f t="shared" ca="1" si="216"/>
        <v>2</v>
      </c>
      <c r="O447" s="8">
        <f t="shared" ca="1" si="217"/>
        <v>1</v>
      </c>
      <c r="P447" s="8">
        <f t="shared" ca="1" si="218"/>
        <v>1</v>
      </c>
      <c r="Q447" s="8">
        <f t="shared" ca="1" si="219"/>
        <v>0</v>
      </c>
      <c r="R447" s="8">
        <f t="shared" ca="1" si="220"/>
        <v>0</v>
      </c>
      <c r="S447" s="8">
        <f t="shared" ca="1" si="221"/>
        <v>0</v>
      </c>
      <c r="T447" s="8">
        <f t="shared" ca="1" si="222"/>
        <v>3</v>
      </c>
      <c r="U447" s="8">
        <f t="shared" ca="1" si="223"/>
        <v>0</v>
      </c>
      <c r="V447" s="8">
        <f t="shared" ca="1" si="224"/>
        <v>2</v>
      </c>
      <c r="W447" s="11">
        <f t="shared" ca="1" si="225"/>
        <v>0</v>
      </c>
      <c r="X447" s="11">
        <f t="shared" ca="1" si="226"/>
        <v>0.5</v>
      </c>
      <c r="Y447" s="11" t="str">
        <f t="shared" ca="1" si="227"/>
        <v/>
      </c>
      <c r="Z447" s="11">
        <f t="shared" ca="1" si="228"/>
        <v>0.25</v>
      </c>
      <c r="AA447" s="11">
        <f t="shared" ca="1" si="229"/>
        <v>0.25</v>
      </c>
      <c r="AB447" s="47">
        <f ca="1">PlayerGameData[[#This Row],[3FGA]]+PlayerGameData[[#This Row],[2FGA]]</f>
        <v>4</v>
      </c>
      <c r="AC447" s="47">
        <f ca="1">PlayerGameData[[#This Row],[OFF REB]]+PlayerGameData[[#This Row],[DEF REB]]</f>
        <v>3</v>
      </c>
      <c r="AD447" s="8">
        <f t="shared" si="210"/>
        <v>19</v>
      </c>
      <c r="AE447" s="8" t="str">
        <f t="shared" ca="1" si="211"/>
        <v>Bridger Bruce, 25 - Hulett 2/17/2023</v>
      </c>
      <c r="AF447" s="8" t="str">
        <f t="shared" ca="1" si="230"/>
        <v>R</v>
      </c>
      <c r="AG447" s="8" t="str">
        <f ca="1">IFERROR(IF(C447=0,"",IF(AND(VLOOKUP(PlayerGameData[[#This Row],[Opponent]],WYTeamInfo,2,FALSE)=Roster!$D$1,VLOOKUP(PlayerGameData[[#This Row],[Opponent]],WYTeamInfo,3,FALSE)=Roster!$D$2),"SR","")),"")</f>
        <v>SR</v>
      </c>
      <c r="AH447" s="8" t="str">
        <f>CONCATENATE(Roster!$D$1," ",Roster!$D$5)</f>
        <v>1A BB</v>
      </c>
      <c r="AI447" s="8" t="str">
        <f t="shared" ca="1" si="212"/>
        <v>Upton - Hulett 2/17/2023</v>
      </c>
      <c r="AJ447" s="8">
        <f ca="1">IFERROR(VLOOKUP(PlayerGameData[[#This Row],[School, Opponent,Game'#]],Table3[],2,FALSE),0)</f>
        <v>1</v>
      </c>
      <c r="AK447" s="8">
        <f ca="1">IF(PlayerGameData[[#This Row],[Visible]]=1,1,1000)</f>
        <v>1</v>
      </c>
      <c r="AL447" s="8">
        <f ca="1">RANK(PlayerGameData[[#This Row],[TL PTS]],PlayerGameData[TL PTS],0)+PlayerGameData[[#This Row],[VisibleOrder]]</f>
        <v>152</v>
      </c>
      <c r="AM447" s="8">
        <f ca="1">IF(COUNTIF(PlayerGameData[PointOrder],PlayerGameData[[#This Row],[PointOrder]])&gt;1,RANK(PlayerGameData[[#This Row],[FGA]],PlayerGameData[FGA],0)/100,0)+PlayerGameData[[#This Row],[PointOrder]]</f>
        <v>153.27000000000001</v>
      </c>
      <c r="AN447" s="8">
        <f ca="1">RANK(PlayerGameData[[#This Row],[PointTieBreak]],PlayerGameData[PointTieBreak],1)</f>
        <v>157</v>
      </c>
      <c r="AO447" s="8">
        <f ca="1">RANK(PlayerGameData[[#This Row],[REB]],PlayerGameData[REB],0)+PlayerGameData[[#This Row],[VisibleOrder]]</f>
        <v>108</v>
      </c>
      <c r="AP447" s="8">
        <f ca="1">IF(COUNTIF(PlayerGameData[REBOrder],PlayerGameData[[#This Row],[REBOrder]])&gt;1,PlayerGameData[[#This Row],[PointRank]]/100+PlayerGameData[[#This Row],[REBOrder]],PlayerGameData[[#This Row],[REBOrder]])</f>
        <v>109.57</v>
      </c>
      <c r="AQ447" s="8">
        <f ca="1">RANK(PlayerGameData[[#This Row],[REBTieBreak]],PlayerGameData[REBTieBreak],1)</f>
        <v>127</v>
      </c>
      <c r="AR447" s="8">
        <f ca="1">RANK(PlayerGameData[[#This Row],[AST]],PlayerGameData[AST],0)+PlayerGameData[[#This Row],[VisibleOrder]]</f>
        <v>115</v>
      </c>
      <c r="AS447" s="8">
        <f ca="1">IF(COUNTIF(PlayerGameData[ASTOrder],PlayerGameData[[#This Row],[ASTOrder]])&gt;1,PlayerGameData[[#This Row],[PointRank]]/100+PlayerGameData[[#This Row],[ASTOrder]],PlayerGameData[[#This Row],[ASTOrder]])</f>
        <v>116.57</v>
      </c>
      <c r="AT447" s="8">
        <f ca="1">RANK(PlayerGameData[[#This Row],[ASTTieBreak]],PlayerGameData[ASTTieBreak],1)</f>
        <v>144</v>
      </c>
      <c r="AU447" s="8">
        <f ca="1">RANK(PlayerGameData[[#This Row],[STL]],PlayerGameData[STL],0)+PlayerGameData[[#This Row],[VisibleOrder]]</f>
        <v>143</v>
      </c>
      <c r="AV447" s="8">
        <f ca="1">IF(COUNTIF(PlayerGameData[STLOrder],PlayerGameData[[#This Row],[STLOrder]])&gt;1,PlayerGameData[[#This Row],[PointRank]]/100+PlayerGameData[[#This Row],[STLOrder]],PlayerGameData[[#This Row],[STLOrder]])</f>
        <v>144.57</v>
      </c>
      <c r="AW447" s="8">
        <f ca="1">RANK(PlayerGameData[[#This Row],[STLTieBreak]],PlayerGameData[STLTieBreak],1)</f>
        <v>177</v>
      </c>
      <c r="AX447" s="8">
        <f ca="1">RANK(PlayerGameData[[#This Row],[BLK]],PlayerGameData[BLK],0)+PlayerGameData[[#This Row],[VisibleOrder]]</f>
        <v>32</v>
      </c>
      <c r="AY447" s="8">
        <f ca="1">IF(COUNTIF(PlayerGameData[BLKOrder],PlayerGameData[[#This Row],[BLKOrder]])&gt;1,PlayerGameData[[#This Row],[PointRank]]/100+PlayerGameData[[#This Row],[BLKOrder]],PlayerGameData[[#This Row],[BLKOrder]])</f>
        <v>33.57</v>
      </c>
      <c r="AZ447" s="8">
        <f ca="1">RANK(PlayerGameData[[#This Row],[BLKTieBreak]],PlayerGameData[BLKTieBreak],1)</f>
        <v>159</v>
      </c>
      <c r="BA447" s="11">
        <f ca="1">IFERROR(IF(PlayerGameData[[#This Row],[FGA]]&gt;$AA$5,PlayerGameData[[#This Row],[FG%*]],PlayerGameData[[#This Row],[FG%*]]*-1),-2)</f>
        <v>-0.25</v>
      </c>
      <c r="BB447" s="8">
        <f ca="1">RANK(PlayerGameData[[#This Row],[EligFG]],PlayerGameData[EligFG],0)+PlayerGameData[[#This Row],[VisibleOrder]]</f>
        <v>160</v>
      </c>
      <c r="BC447" s="8">
        <f ca="1">IF(COUNTIF(PlayerGameData[EligFGOrder],PlayerGameData[[#This Row],[EligFGOrder]])&gt;1,PlayerGameData[[#This Row],[PointRank]]/100+PlayerGameData[[#This Row],[EligFGOrder]],PlayerGameData[[#This Row],[EligFGOrder]])</f>
        <v>161.57</v>
      </c>
      <c r="BD447" s="8">
        <f ca="1">RANK(PlayerGameData[[#This Row],[EligFGTieBreak]],PlayerGameData[EligFGTieBreak],1)</f>
        <v>161</v>
      </c>
      <c r="BE447" s="8" t="str">
        <f>Roster!$D$3</f>
        <v>East</v>
      </c>
      <c r="BF447" s="8" t="str">
        <f>Roster!$D$2</f>
        <v>Northeast</v>
      </c>
      <c r="BG447" s="8" t="str">
        <f>Roster!$D$4</f>
        <v>North</v>
      </c>
      <c r="BH447" s="197">
        <f ca="1">IFERROR(VLOOKUP(CONCATENATE(PlayerGameData[[#This Row],[Opponent]]," ",MONTH(PlayerGameData[[#This Row],[Date]]),"/",DAY(PlayerGameData[[#This Row],[Date]]),"/",YEAR(PlayerGameData[[#This Row],[Date]])),Table35[],2,FALSE),0)</f>
        <v>1</v>
      </c>
      <c r="BI447" s="197">
        <f ca="1">IF(PlayerGameData[[#This Row],[Visible]]=1,1,1000)</f>
        <v>1</v>
      </c>
      <c r="BJ447" s="197" t="e">
        <f ca="1">_xlfn.MAXIFS(TeamGameData[Win],TeamGameData[School, Opponent,Game'#],PlayerGameData[[#This Row],[School, Opponent,Game'#]])</f>
        <v>#NAME?</v>
      </c>
      <c r="BK447" s="197" t="e">
        <f ca="1">_xlfn.MAXIFS(TeamGameData[Loss],TeamGameData[School, Opponent,Game'#],PlayerGameData[[#This Row],[School, Opponent,Game'#]])</f>
        <v>#NAME?</v>
      </c>
    </row>
    <row r="448" spans="1:63" x14ac:dyDescent="0.25">
      <c r="A448" s="8" t="str">
        <f t="shared" ca="1" si="213"/>
        <v>Kailer Duarte, 31</v>
      </c>
      <c r="B448" s="8" t="str">
        <f>Roster!$B$1</f>
        <v>Upton</v>
      </c>
      <c r="C448" s="8" t="str">
        <f t="shared" ca="1" si="201"/>
        <v>Hulett</v>
      </c>
      <c r="D448" s="10">
        <f t="shared" ca="1" si="202"/>
        <v>44974</v>
      </c>
      <c r="E448" s="8">
        <f t="shared" ca="1" si="203"/>
        <v>1</v>
      </c>
      <c r="F448" s="8">
        <f t="shared" ca="1" si="204"/>
        <v>1</v>
      </c>
      <c r="G448" s="8">
        <f t="shared" ca="1" si="205"/>
        <v>20</v>
      </c>
      <c r="H448" s="8">
        <f t="shared" ca="1" si="206"/>
        <v>1</v>
      </c>
      <c r="I448" s="8">
        <f t="shared" ca="1" si="207"/>
        <v>3</v>
      </c>
      <c r="J448" s="8">
        <f t="shared" ca="1" si="208"/>
        <v>4</v>
      </c>
      <c r="K448" s="8">
        <f t="shared" ca="1" si="209"/>
        <v>7</v>
      </c>
      <c r="L448" s="8">
        <f t="shared" ca="1" si="214"/>
        <v>0</v>
      </c>
      <c r="M448" s="8">
        <f t="shared" ca="1" si="215"/>
        <v>0</v>
      </c>
      <c r="N448" s="8">
        <f t="shared" ca="1" si="216"/>
        <v>0</v>
      </c>
      <c r="O448" s="8">
        <f t="shared" ca="1" si="217"/>
        <v>3</v>
      </c>
      <c r="P448" s="8">
        <f t="shared" ca="1" si="218"/>
        <v>3</v>
      </c>
      <c r="Q448" s="8">
        <f t="shared" ca="1" si="219"/>
        <v>4</v>
      </c>
      <c r="R448" s="8">
        <f t="shared" ca="1" si="220"/>
        <v>0</v>
      </c>
      <c r="S448" s="8">
        <f t="shared" ca="1" si="221"/>
        <v>1</v>
      </c>
      <c r="T448" s="8">
        <f t="shared" ca="1" si="222"/>
        <v>0</v>
      </c>
      <c r="U448" s="8">
        <f t="shared" ca="1" si="223"/>
        <v>0</v>
      </c>
      <c r="V448" s="8">
        <f t="shared" ca="1" si="224"/>
        <v>11</v>
      </c>
      <c r="W448" s="11">
        <f t="shared" ca="1" si="225"/>
        <v>0.33333333333333331</v>
      </c>
      <c r="X448" s="11">
        <f t="shared" ca="1" si="226"/>
        <v>0.5714285714285714</v>
      </c>
      <c r="Y448" s="11" t="str">
        <f t="shared" ca="1" si="227"/>
        <v/>
      </c>
      <c r="Z448" s="11">
        <f t="shared" ca="1" si="228"/>
        <v>0.5</v>
      </c>
      <c r="AA448" s="11">
        <f t="shared" ca="1" si="229"/>
        <v>0.55000000000000004</v>
      </c>
      <c r="AB448" s="47">
        <f ca="1">PlayerGameData[[#This Row],[3FGA]]+PlayerGameData[[#This Row],[2FGA]]</f>
        <v>10</v>
      </c>
      <c r="AC448" s="47">
        <f ca="1">PlayerGameData[[#This Row],[OFF REB]]+PlayerGameData[[#This Row],[DEF REB]]</f>
        <v>3</v>
      </c>
      <c r="AD448" s="8">
        <f t="shared" si="210"/>
        <v>19</v>
      </c>
      <c r="AE448" s="8" t="str">
        <f t="shared" ca="1" si="211"/>
        <v>Kailer Duarte, 31 - Hulett 2/17/2023</v>
      </c>
      <c r="AF448" s="8" t="str">
        <f t="shared" ca="1" si="230"/>
        <v>R</v>
      </c>
      <c r="AG448" s="8" t="str">
        <f ca="1">IFERROR(IF(C448=0,"",IF(AND(VLOOKUP(PlayerGameData[[#This Row],[Opponent]],WYTeamInfo,2,FALSE)=Roster!$D$1,VLOOKUP(PlayerGameData[[#This Row],[Opponent]],WYTeamInfo,3,FALSE)=Roster!$D$2),"SR","")),"")</f>
        <v>SR</v>
      </c>
      <c r="AH448" s="8" t="str">
        <f>CONCATENATE(Roster!$D$1," ",Roster!$D$5)</f>
        <v>1A BB</v>
      </c>
      <c r="AI448" s="8" t="str">
        <f t="shared" ca="1" si="212"/>
        <v>Upton - Hulett 2/17/2023</v>
      </c>
      <c r="AJ448" s="8">
        <f ca="1">IFERROR(VLOOKUP(PlayerGameData[[#This Row],[School, Opponent,Game'#]],Table3[],2,FALSE),0)</f>
        <v>1</v>
      </c>
      <c r="AK448" s="8">
        <f ca="1">IF(PlayerGameData[[#This Row],[Visible]]=1,1,1000)</f>
        <v>1</v>
      </c>
      <c r="AL448" s="8">
        <f ca="1">RANK(PlayerGameData[[#This Row],[TL PTS]],PlayerGameData[TL PTS],0)+PlayerGameData[[#This Row],[VisibleOrder]]</f>
        <v>58</v>
      </c>
      <c r="AM448" s="8">
        <f ca="1">IF(COUNTIF(PlayerGameData[PointOrder],PlayerGameData[[#This Row],[PointOrder]])&gt;1,RANK(PlayerGameData[[#This Row],[FGA]],PlayerGameData[FGA],0)/100,0)+PlayerGameData[[#This Row],[PointOrder]]</f>
        <v>58.43</v>
      </c>
      <c r="AN448" s="8">
        <f ca="1">RANK(PlayerGameData[[#This Row],[PointTieBreak]],PlayerGameData[PointTieBreak],1)</f>
        <v>58</v>
      </c>
      <c r="AO448" s="8">
        <f ca="1">RANK(PlayerGameData[[#This Row],[REB]],PlayerGameData[REB],0)+PlayerGameData[[#This Row],[VisibleOrder]]</f>
        <v>108</v>
      </c>
      <c r="AP448" s="8">
        <f ca="1">IF(COUNTIF(PlayerGameData[REBOrder],PlayerGameData[[#This Row],[REBOrder]])&gt;1,PlayerGameData[[#This Row],[PointRank]]/100+PlayerGameData[[#This Row],[REBOrder]],PlayerGameData[[#This Row],[REBOrder]])</f>
        <v>108.58</v>
      </c>
      <c r="AQ448" s="8">
        <f ca="1">RANK(PlayerGameData[[#This Row],[REBTieBreak]],PlayerGameData[REBTieBreak],1)</f>
        <v>112</v>
      </c>
      <c r="AR448" s="8">
        <f ca="1">RANK(PlayerGameData[[#This Row],[AST]],PlayerGameData[AST],0)+PlayerGameData[[#This Row],[VisibleOrder]]</f>
        <v>39</v>
      </c>
      <c r="AS448" s="8">
        <f ca="1">IF(COUNTIF(PlayerGameData[ASTOrder],PlayerGameData[[#This Row],[ASTOrder]])&gt;1,PlayerGameData[[#This Row],[PointRank]]/100+PlayerGameData[[#This Row],[ASTOrder]],PlayerGameData[[#This Row],[ASTOrder]])</f>
        <v>39.58</v>
      </c>
      <c r="AT448" s="8">
        <f ca="1">RANK(PlayerGameData[[#This Row],[ASTTieBreak]],PlayerGameData[ASTTieBreak],1)</f>
        <v>45</v>
      </c>
      <c r="AU448" s="8">
        <f ca="1">RANK(PlayerGameData[[#This Row],[STL]],PlayerGameData[STL],0)+PlayerGameData[[#This Row],[VisibleOrder]]</f>
        <v>10</v>
      </c>
      <c r="AV448" s="8">
        <f ca="1">IF(COUNTIF(PlayerGameData[STLOrder],PlayerGameData[[#This Row],[STLOrder]])&gt;1,PlayerGameData[[#This Row],[PointRank]]/100+PlayerGameData[[#This Row],[STLOrder]],PlayerGameData[[#This Row],[STLOrder]])</f>
        <v>10.58</v>
      </c>
      <c r="AW448" s="8">
        <f ca="1">RANK(PlayerGameData[[#This Row],[STLTieBreak]],PlayerGameData[STLTieBreak],1)</f>
        <v>20</v>
      </c>
      <c r="AX448" s="8">
        <f ca="1">RANK(PlayerGameData[[#This Row],[BLK]],PlayerGameData[BLK],0)+PlayerGameData[[#This Row],[VisibleOrder]]</f>
        <v>32</v>
      </c>
      <c r="AY448" s="8">
        <f ca="1">IF(COUNTIF(PlayerGameData[BLKOrder],PlayerGameData[[#This Row],[BLKOrder]])&gt;1,PlayerGameData[[#This Row],[PointRank]]/100+PlayerGameData[[#This Row],[BLKOrder]],PlayerGameData[[#This Row],[BLKOrder]])</f>
        <v>32.58</v>
      </c>
      <c r="AZ448" s="8">
        <f ca="1">RANK(PlayerGameData[[#This Row],[BLKTieBreak]],PlayerGameData[BLKTieBreak],1)</f>
        <v>76</v>
      </c>
      <c r="BA448" s="11">
        <f ca="1">IFERROR(IF(PlayerGameData[[#This Row],[FGA]]&gt;$AA$5,PlayerGameData[[#This Row],[FG%*]],PlayerGameData[[#This Row],[FG%*]]*-1),-2)</f>
        <v>0.5</v>
      </c>
      <c r="BB448" s="8">
        <f ca="1">RANK(PlayerGameData[[#This Row],[EligFG]],PlayerGameData[EligFG],0)+PlayerGameData[[#This Row],[VisibleOrder]]</f>
        <v>39</v>
      </c>
      <c r="BC448" s="8">
        <f ca="1">IF(COUNTIF(PlayerGameData[EligFGOrder],PlayerGameData[[#This Row],[EligFGOrder]])&gt;1,PlayerGameData[[#This Row],[PointRank]]/100+PlayerGameData[[#This Row],[EligFGOrder]],PlayerGameData[[#This Row],[EligFGOrder]])</f>
        <v>39.58</v>
      </c>
      <c r="BD448" s="8">
        <f ca="1">RANK(PlayerGameData[[#This Row],[EligFGTieBreak]],PlayerGameData[EligFGTieBreak],1)</f>
        <v>46</v>
      </c>
      <c r="BE448" s="8" t="str">
        <f>Roster!$D$3</f>
        <v>East</v>
      </c>
      <c r="BF448" s="8" t="str">
        <f>Roster!$D$2</f>
        <v>Northeast</v>
      </c>
      <c r="BG448" s="8" t="str">
        <f>Roster!$D$4</f>
        <v>North</v>
      </c>
      <c r="BH448" s="197">
        <f ca="1">IFERROR(VLOOKUP(CONCATENATE(PlayerGameData[[#This Row],[Opponent]]," ",MONTH(PlayerGameData[[#This Row],[Date]]),"/",DAY(PlayerGameData[[#This Row],[Date]]),"/",YEAR(PlayerGameData[[#This Row],[Date]])),Table35[],2,FALSE),0)</f>
        <v>1</v>
      </c>
      <c r="BI448" s="197">
        <f ca="1">IF(PlayerGameData[[#This Row],[Visible]]=1,1,1000)</f>
        <v>1</v>
      </c>
      <c r="BJ448" s="197" t="e">
        <f ca="1">_xlfn.MAXIFS(TeamGameData[Win],TeamGameData[School, Opponent,Game'#],PlayerGameData[[#This Row],[School, Opponent,Game'#]])</f>
        <v>#NAME?</v>
      </c>
      <c r="BK448" s="197" t="e">
        <f ca="1">_xlfn.MAXIFS(TeamGameData[Loss],TeamGameData[School, Opponent,Game'#],PlayerGameData[[#This Row],[School, Opponent,Game'#]])</f>
        <v>#NAME?</v>
      </c>
    </row>
    <row r="449" spans="1:63" x14ac:dyDescent="0.25">
      <c r="A449" s="8" t="str">
        <f t="shared" ca="1" si="213"/>
        <v>Matt Stirmel, 33</v>
      </c>
      <c r="B449" s="8" t="str">
        <f>Roster!$B$1</f>
        <v>Upton</v>
      </c>
      <c r="C449" s="8" t="str">
        <f t="shared" ca="1" si="201"/>
        <v>Hulett</v>
      </c>
      <c r="D449" s="10">
        <f t="shared" ca="1" si="202"/>
        <v>44974</v>
      </c>
      <c r="E449" s="8">
        <f t="shared" ca="1" si="203"/>
        <v>1</v>
      </c>
      <c r="F449" s="8">
        <f t="shared" ca="1" si="204"/>
        <v>0</v>
      </c>
      <c r="G449" s="8">
        <f t="shared" ca="1" si="205"/>
        <v>3</v>
      </c>
      <c r="H449" s="8">
        <f t="shared" ca="1" si="206"/>
        <v>0</v>
      </c>
      <c r="I449" s="8">
        <f t="shared" ca="1" si="207"/>
        <v>0</v>
      </c>
      <c r="J449" s="8">
        <f t="shared" ca="1" si="208"/>
        <v>0</v>
      </c>
      <c r="K449" s="8">
        <f t="shared" ca="1" si="209"/>
        <v>0</v>
      </c>
      <c r="L449" s="8">
        <f t="shared" ca="1" si="214"/>
        <v>0</v>
      </c>
      <c r="M449" s="8">
        <f t="shared" ca="1" si="215"/>
        <v>0</v>
      </c>
      <c r="N449" s="8">
        <f t="shared" ca="1" si="216"/>
        <v>0</v>
      </c>
      <c r="O449" s="8">
        <f t="shared" ca="1" si="217"/>
        <v>1</v>
      </c>
      <c r="P449" s="8">
        <f t="shared" ca="1" si="218"/>
        <v>0</v>
      </c>
      <c r="Q449" s="8">
        <f t="shared" ca="1" si="219"/>
        <v>0</v>
      </c>
      <c r="R449" s="8">
        <f t="shared" ca="1" si="220"/>
        <v>0</v>
      </c>
      <c r="S449" s="8">
        <f t="shared" ca="1" si="221"/>
        <v>1</v>
      </c>
      <c r="T449" s="8">
        <f t="shared" ca="1" si="222"/>
        <v>0</v>
      </c>
      <c r="U449" s="8">
        <f t="shared" ca="1" si="223"/>
        <v>0</v>
      </c>
      <c r="V449" s="8">
        <f t="shared" ca="1" si="224"/>
        <v>0</v>
      </c>
      <c r="W449" s="11" t="str">
        <f t="shared" ca="1" si="225"/>
        <v/>
      </c>
      <c r="X449" s="11" t="str">
        <f t="shared" ca="1" si="226"/>
        <v/>
      </c>
      <c r="Y449" s="11" t="str">
        <f t="shared" ca="1" si="227"/>
        <v/>
      </c>
      <c r="Z449" s="11" t="str">
        <f t="shared" ca="1" si="228"/>
        <v/>
      </c>
      <c r="AA449" s="11" t="str">
        <f t="shared" ca="1" si="229"/>
        <v/>
      </c>
      <c r="AB449" s="47">
        <f ca="1">PlayerGameData[[#This Row],[3FGA]]+PlayerGameData[[#This Row],[2FGA]]</f>
        <v>0</v>
      </c>
      <c r="AC449" s="47">
        <f ca="1">PlayerGameData[[#This Row],[OFF REB]]+PlayerGameData[[#This Row],[DEF REB]]</f>
        <v>1</v>
      </c>
      <c r="AD449" s="8">
        <f t="shared" si="210"/>
        <v>19</v>
      </c>
      <c r="AE449" s="8" t="str">
        <f t="shared" ca="1" si="211"/>
        <v>Matt Stirmel, 33 - Hulett 2/17/2023</v>
      </c>
      <c r="AF449" s="8" t="str">
        <f t="shared" ca="1" si="230"/>
        <v>R</v>
      </c>
      <c r="AG449" s="8" t="str">
        <f ca="1">IFERROR(IF(C449=0,"",IF(AND(VLOOKUP(PlayerGameData[[#This Row],[Opponent]],WYTeamInfo,2,FALSE)=Roster!$D$1,VLOOKUP(PlayerGameData[[#This Row],[Opponent]],WYTeamInfo,3,FALSE)=Roster!$D$2),"SR","")),"")</f>
        <v>SR</v>
      </c>
      <c r="AH449" s="8" t="str">
        <f>CONCATENATE(Roster!$D$1," ",Roster!$D$5)</f>
        <v>1A BB</v>
      </c>
      <c r="AI449" s="8" t="str">
        <f t="shared" ca="1" si="212"/>
        <v>Upton - Hulett 2/17/2023</v>
      </c>
      <c r="AJ449" s="8">
        <f ca="1">IFERROR(VLOOKUP(PlayerGameData[[#This Row],[School, Opponent,Game'#]],Table3[],2,FALSE),0)</f>
        <v>1</v>
      </c>
      <c r="AK449" s="8">
        <f ca="1">IF(PlayerGameData[[#This Row],[Visible]]=1,1,1000)</f>
        <v>1</v>
      </c>
      <c r="AL449" s="8">
        <f ca="1">RANK(PlayerGameData[[#This Row],[TL PTS]],PlayerGameData[TL PTS],0)+PlayerGameData[[#This Row],[VisibleOrder]]</f>
        <v>185</v>
      </c>
      <c r="AM449" s="8">
        <f ca="1">IF(COUNTIF(PlayerGameData[PointOrder],PlayerGameData[[#This Row],[PointOrder]])&gt;1,RANK(PlayerGameData[[#This Row],[FGA]],PlayerGameData[FGA],0)/100,0)+PlayerGameData[[#This Row],[PointOrder]]</f>
        <v>187.14</v>
      </c>
      <c r="AN449" s="8">
        <f ca="1">RANK(PlayerGameData[[#This Row],[PointTieBreak]],PlayerGameData[PointTieBreak],1)</f>
        <v>216</v>
      </c>
      <c r="AO449" s="8">
        <f ca="1">RANK(PlayerGameData[[#This Row],[REB]],PlayerGameData[REB],0)+PlayerGameData[[#This Row],[VisibleOrder]]</f>
        <v>163</v>
      </c>
      <c r="AP449" s="8">
        <f ca="1">IF(COUNTIF(PlayerGameData[REBOrder],PlayerGameData[[#This Row],[REBOrder]])&gt;1,PlayerGameData[[#This Row],[PointRank]]/100+PlayerGameData[[#This Row],[REBOrder]],PlayerGameData[[#This Row],[REBOrder]])</f>
        <v>165.16</v>
      </c>
      <c r="AQ449" s="8">
        <f ca="1">RANK(PlayerGameData[[#This Row],[REBTieBreak]],PlayerGameData[REBTieBreak],1)</f>
        <v>185</v>
      </c>
      <c r="AR449" s="8">
        <f ca="1">RANK(PlayerGameData[[#This Row],[AST]],PlayerGameData[AST],0)+PlayerGameData[[#This Row],[VisibleOrder]]</f>
        <v>158</v>
      </c>
      <c r="AS449" s="8">
        <f ca="1">IF(COUNTIF(PlayerGameData[ASTOrder],PlayerGameData[[#This Row],[ASTOrder]])&gt;1,PlayerGameData[[#This Row],[PointRank]]/100+PlayerGameData[[#This Row],[ASTOrder]],PlayerGameData[[#This Row],[ASTOrder]])</f>
        <v>160.16</v>
      </c>
      <c r="AT449" s="8">
        <f ca="1">RANK(PlayerGameData[[#This Row],[ASTTieBreak]],PlayerGameData[ASTTieBreak],1)</f>
        <v>221</v>
      </c>
      <c r="AU449" s="8">
        <f ca="1">RANK(PlayerGameData[[#This Row],[STL]],PlayerGameData[STL],0)+PlayerGameData[[#This Row],[VisibleOrder]]</f>
        <v>143</v>
      </c>
      <c r="AV449" s="8">
        <f ca="1">IF(COUNTIF(PlayerGameData[STLOrder],PlayerGameData[[#This Row],[STLOrder]])&gt;1,PlayerGameData[[#This Row],[PointRank]]/100+PlayerGameData[[#This Row],[STLOrder]],PlayerGameData[[#This Row],[STLOrder]])</f>
        <v>145.16</v>
      </c>
      <c r="AW449" s="8">
        <f ca="1">RANK(PlayerGameData[[#This Row],[STLTieBreak]],PlayerGameData[STLTieBreak],1)</f>
        <v>217</v>
      </c>
      <c r="AX449" s="8">
        <f ca="1">RANK(PlayerGameData[[#This Row],[BLK]],PlayerGameData[BLK],0)+PlayerGameData[[#This Row],[VisibleOrder]]</f>
        <v>32</v>
      </c>
      <c r="AY449" s="8">
        <f ca="1">IF(COUNTIF(PlayerGameData[BLKOrder],PlayerGameData[[#This Row],[BLKOrder]])&gt;1,PlayerGameData[[#This Row],[PointRank]]/100+PlayerGameData[[#This Row],[BLKOrder]],PlayerGameData[[#This Row],[BLKOrder]])</f>
        <v>34.159999999999997</v>
      </c>
      <c r="AZ449" s="8">
        <f ca="1">RANK(PlayerGameData[[#This Row],[BLKTieBreak]],PlayerGameData[BLKTieBreak],1)</f>
        <v>216</v>
      </c>
      <c r="BA449" s="11">
        <f ca="1">IFERROR(IF(PlayerGameData[[#This Row],[FGA]]&gt;$AA$5,PlayerGameData[[#This Row],[FG%*]],PlayerGameData[[#This Row],[FG%*]]*-1),-2)</f>
        <v>-2</v>
      </c>
      <c r="BB449" s="8">
        <f ca="1">RANK(PlayerGameData[[#This Row],[EligFG]],PlayerGameData[EligFG],0)+PlayerGameData[[#This Row],[VisibleOrder]]</f>
        <v>215</v>
      </c>
      <c r="BC449" s="8">
        <f ca="1">IF(COUNTIF(PlayerGameData[EligFGOrder],PlayerGameData[[#This Row],[EligFGOrder]])&gt;1,PlayerGameData[[#This Row],[PointRank]]/100+PlayerGameData[[#This Row],[EligFGOrder]],PlayerGameData[[#This Row],[EligFGOrder]])</f>
        <v>217.16</v>
      </c>
      <c r="BD449" s="8">
        <f ca="1">RANK(PlayerGameData[[#This Row],[EligFGTieBreak]],PlayerGameData[EligFGTieBreak],1)</f>
        <v>216</v>
      </c>
      <c r="BE449" s="8" t="str">
        <f>Roster!$D$3</f>
        <v>East</v>
      </c>
      <c r="BF449" s="8" t="str">
        <f>Roster!$D$2</f>
        <v>Northeast</v>
      </c>
      <c r="BG449" s="8" t="str">
        <f>Roster!$D$4</f>
        <v>North</v>
      </c>
      <c r="BH449" s="197">
        <f ca="1">IFERROR(VLOOKUP(CONCATENATE(PlayerGameData[[#This Row],[Opponent]]," ",MONTH(PlayerGameData[[#This Row],[Date]]),"/",DAY(PlayerGameData[[#This Row],[Date]]),"/",YEAR(PlayerGameData[[#This Row],[Date]])),Table35[],2,FALSE),0)</f>
        <v>1</v>
      </c>
      <c r="BI449" s="197">
        <f ca="1">IF(PlayerGameData[[#This Row],[Visible]]=1,1,1000)</f>
        <v>1</v>
      </c>
      <c r="BJ449" s="197" t="e">
        <f ca="1">_xlfn.MAXIFS(TeamGameData[Win],TeamGameData[School, Opponent,Game'#],PlayerGameData[[#This Row],[School, Opponent,Game'#]])</f>
        <v>#NAME?</v>
      </c>
      <c r="BK449" s="197" t="e">
        <f ca="1">_xlfn.MAXIFS(TeamGameData[Loss],TeamGameData[School, Opponent,Game'#],PlayerGameData[[#This Row],[School, Opponent,Game'#]])</f>
        <v>#NAME?</v>
      </c>
    </row>
    <row r="450" spans="1:63" x14ac:dyDescent="0.25">
      <c r="A450" s="8" t="str">
        <f t="shared" ca="1" si="213"/>
        <v>Jacob McNutt, 34</v>
      </c>
      <c r="B450" s="8" t="str">
        <f>Roster!$B$1</f>
        <v>Upton</v>
      </c>
      <c r="C450" s="8" t="str">
        <f t="shared" ca="1" si="201"/>
        <v>Hulett</v>
      </c>
      <c r="D450" s="10">
        <f t="shared" ca="1" si="202"/>
        <v>44974</v>
      </c>
      <c r="E450" s="8">
        <f t="shared" ca="1" si="203"/>
        <v>1</v>
      </c>
      <c r="F450" s="8">
        <f t="shared" ca="1" si="204"/>
        <v>0</v>
      </c>
      <c r="G450" s="8">
        <f t="shared" ca="1" si="205"/>
        <v>2</v>
      </c>
      <c r="H450" s="8">
        <f t="shared" ca="1" si="206"/>
        <v>0</v>
      </c>
      <c r="I450" s="8">
        <f t="shared" ca="1" si="207"/>
        <v>1</v>
      </c>
      <c r="J450" s="8">
        <f t="shared" ca="1" si="208"/>
        <v>0</v>
      </c>
      <c r="K450" s="8">
        <f t="shared" ca="1" si="209"/>
        <v>0</v>
      </c>
      <c r="L450" s="8">
        <f t="shared" ca="1" si="214"/>
        <v>0</v>
      </c>
      <c r="M450" s="8">
        <f t="shared" ca="1" si="215"/>
        <v>0</v>
      </c>
      <c r="N450" s="8">
        <f t="shared" ca="1" si="216"/>
        <v>0</v>
      </c>
      <c r="O450" s="8">
        <f t="shared" ca="1" si="217"/>
        <v>0</v>
      </c>
      <c r="P450" s="8">
        <f t="shared" ca="1" si="218"/>
        <v>0</v>
      </c>
      <c r="Q450" s="8">
        <f t="shared" ca="1" si="219"/>
        <v>0</v>
      </c>
      <c r="R450" s="8">
        <f t="shared" ca="1" si="220"/>
        <v>0</v>
      </c>
      <c r="S450" s="8">
        <f t="shared" ca="1" si="221"/>
        <v>0</v>
      </c>
      <c r="T450" s="8">
        <f t="shared" ca="1" si="222"/>
        <v>0</v>
      </c>
      <c r="U450" s="8">
        <f t="shared" ca="1" si="223"/>
        <v>0</v>
      </c>
      <c r="V450" s="8">
        <f t="shared" ca="1" si="224"/>
        <v>0</v>
      </c>
      <c r="W450" s="11">
        <f t="shared" ca="1" si="225"/>
        <v>0</v>
      </c>
      <c r="X450" s="11" t="str">
        <f t="shared" ca="1" si="226"/>
        <v/>
      </c>
      <c r="Y450" s="11" t="str">
        <f t="shared" ca="1" si="227"/>
        <v/>
      </c>
      <c r="Z450" s="11">
        <f t="shared" ca="1" si="228"/>
        <v>0</v>
      </c>
      <c r="AA450" s="11">
        <f t="shared" ca="1" si="229"/>
        <v>0</v>
      </c>
      <c r="AB450" s="47">
        <f ca="1">PlayerGameData[[#This Row],[3FGA]]+PlayerGameData[[#This Row],[2FGA]]</f>
        <v>1</v>
      </c>
      <c r="AC450" s="47">
        <f ca="1">PlayerGameData[[#This Row],[OFF REB]]+PlayerGameData[[#This Row],[DEF REB]]</f>
        <v>0</v>
      </c>
      <c r="AD450" s="8">
        <f t="shared" si="210"/>
        <v>19</v>
      </c>
      <c r="AE450" s="8" t="str">
        <f t="shared" ca="1" si="211"/>
        <v>Jacob McNutt, 34 - Hulett 2/17/2023</v>
      </c>
      <c r="AF450" s="8" t="str">
        <f t="shared" ca="1" si="230"/>
        <v>R</v>
      </c>
      <c r="AG450" s="8" t="str">
        <f ca="1">IFERROR(IF(C450=0,"",IF(AND(VLOOKUP(PlayerGameData[[#This Row],[Opponent]],WYTeamInfo,2,FALSE)=Roster!$D$1,VLOOKUP(PlayerGameData[[#This Row],[Opponent]],WYTeamInfo,3,FALSE)=Roster!$D$2),"SR","")),"")</f>
        <v>SR</v>
      </c>
      <c r="AH450" s="8" t="str">
        <f>CONCATENATE(Roster!$D$1," ",Roster!$D$5)</f>
        <v>1A BB</v>
      </c>
      <c r="AI450" s="8" t="str">
        <f t="shared" ca="1" si="212"/>
        <v>Upton - Hulett 2/17/2023</v>
      </c>
      <c r="AJ450" s="8">
        <f ca="1">IFERROR(VLOOKUP(PlayerGameData[[#This Row],[School, Opponent,Game'#]],Table3[],2,FALSE),0)</f>
        <v>1</v>
      </c>
      <c r="AK450" s="8">
        <f ca="1">IF(PlayerGameData[[#This Row],[Visible]]=1,1,1000)</f>
        <v>1</v>
      </c>
      <c r="AL450" s="8">
        <f ca="1">RANK(PlayerGameData[[#This Row],[TL PTS]],PlayerGameData[TL PTS],0)+PlayerGameData[[#This Row],[VisibleOrder]]</f>
        <v>185</v>
      </c>
      <c r="AM450" s="8">
        <f ca="1">IF(COUNTIF(PlayerGameData[PointOrder],PlayerGameData[[#This Row],[PointOrder]])&gt;1,RANK(PlayerGameData[[#This Row],[FGA]],PlayerGameData[FGA],0)/100,0)+PlayerGameData[[#This Row],[PointOrder]]</f>
        <v>186.82</v>
      </c>
      <c r="AN450" s="8">
        <f ca="1">RANK(PlayerGameData[[#This Row],[PointTieBreak]],PlayerGameData[PointTieBreak],1)</f>
        <v>196</v>
      </c>
      <c r="AO450" s="8">
        <f ca="1">RANK(PlayerGameData[[#This Row],[REB]],PlayerGameData[REB],0)+PlayerGameData[[#This Row],[VisibleOrder]]</f>
        <v>192</v>
      </c>
      <c r="AP450" s="8">
        <f ca="1">IF(COUNTIF(PlayerGameData[REBOrder],PlayerGameData[[#This Row],[REBOrder]])&gt;1,PlayerGameData[[#This Row],[PointRank]]/100+PlayerGameData[[#This Row],[REBOrder]],PlayerGameData[[#This Row],[REBOrder]])</f>
        <v>193.96</v>
      </c>
      <c r="AQ450" s="8">
        <f ca="1">RANK(PlayerGameData[[#This Row],[REBTieBreak]],PlayerGameData[REBTieBreak],1)</f>
        <v>213</v>
      </c>
      <c r="AR450" s="8">
        <f ca="1">RANK(PlayerGameData[[#This Row],[AST]],PlayerGameData[AST],0)+PlayerGameData[[#This Row],[VisibleOrder]]</f>
        <v>158</v>
      </c>
      <c r="AS450" s="8">
        <f ca="1">IF(COUNTIF(PlayerGameData[ASTOrder],PlayerGameData[[#This Row],[ASTOrder]])&gt;1,PlayerGameData[[#This Row],[PointRank]]/100+PlayerGameData[[#This Row],[ASTOrder]],PlayerGameData[[#This Row],[ASTOrder]])</f>
        <v>159.96</v>
      </c>
      <c r="AT450" s="8">
        <f ca="1">RANK(PlayerGameData[[#This Row],[ASTTieBreak]],PlayerGameData[ASTTieBreak],1)</f>
        <v>208</v>
      </c>
      <c r="AU450" s="8">
        <f ca="1">RANK(PlayerGameData[[#This Row],[STL]],PlayerGameData[STL],0)+PlayerGameData[[#This Row],[VisibleOrder]]</f>
        <v>143</v>
      </c>
      <c r="AV450" s="8">
        <f ca="1">IF(COUNTIF(PlayerGameData[STLOrder],PlayerGameData[[#This Row],[STLOrder]])&gt;1,PlayerGameData[[#This Row],[PointRank]]/100+PlayerGameData[[#This Row],[STLOrder]],PlayerGameData[[#This Row],[STLOrder]])</f>
        <v>144.96</v>
      </c>
      <c r="AW450" s="8">
        <f ca="1">RANK(PlayerGameData[[#This Row],[STLTieBreak]],PlayerGameData[STLTieBreak],1)</f>
        <v>200</v>
      </c>
      <c r="AX450" s="8">
        <f ca="1">RANK(PlayerGameData[[#This Row],[BLK]],PlayerGameData[BLK],0)+PlayerGameData[[#This Row],[VisibleOrder]]</f>
        <v>32</v>
      </c>
      <c r="AY450" s="8">
        <f ca="1">IF(COUNTIF(PlayerGameData[BLKOrder],PlayerGameData[[#This Row],[BLKOrder]])&gt;1,PlayerGameData[[#This Row],[PointRank]]/100+PlayerGameData[[#This Row],[BLKOrder]],PlayerGameData[[#This Row],[BLKOrder]])</f>
        <v>33.96</v>
      </c>
      <c r="AZ450" s="8">
        <f ca="1">RANK(PlayerGameData[[#This Row],[BLKTieBreak]],PlayerGameData[BLKTieBreak],1)</f>
        <v>196</v>
      </c>
      <c r="BA450" s="11">
        <f ca="1">IFERROR(IF(PlayerGameData[[#This Row],[FGA]]&gt;$AA$5,PlayerGameData[[#This Row],[FG%*]],PlayerGameData[[#This Row],[FG%*]]*-1),-2)</f>
        <v>0</v>
      </c>
      <c r="BB450" s="8">
        <f ca="1">RANK(PlayerGameData[[#This Row],[EligFG]],PlayerGameData[EligFG],0)+PlayerGameData[[#This Row],[VisibleOrder]]</f>
        <v>117</v>
      </c>
      <c r="BC450" s="8">
        <f ca="1">IF(COUNTIF(PlayerGameData[EligFGOrder],PlayerGameData[[#This Row],[EligFGOrder]])&gt;1,PlayerGameData[[#This Row],[PointRank]]/100+PlayerGameData[[#This Row],[EligFGOrder]],PlayerGameData[[#This Row],[EligFGOrder]])</f>
        <v>118.96</v>
      </c>
      <c r="BD450" s="8">
        <f ca="1">RANK(PlayerGameData[[#This Row],[EligFGTieBreak]],PlayerGameData[EligFGTieBreak],1)</f>
        <v>138</v>
      </c>
      <c r="BE450" s="8" t="str">
        <f>Roster!$D$3</f>
        <v>East</v>
      </c>
      <c r="BF450" s="8" t="str">
        <f>Roster!$D$2</f>
        <v>Northeast</v>
      </c>
      <c r="BG450" s="8" t="str">
        <f>Roster!$D$4</f>
        <v>North</v>
      </c>
      <c r="BH450" s="197">
        <f ca="1">IFERROR(VLOOKUP(CONCATENATE(PlayerGameData[[#This Row],[Opponent]]," ",MONTH(PlayerGameData[[#This Row],[Date]]),"/",DAY(PlayerGameData[[#This Row],[Date]]),"/",YEAR(PlayerGameData[[#This Row],[Date]])),Table35[],2,FALSE),0)</f>
        <v>1</v>
      </c>
      <c r="BI450" s="197">
        <f ca="1">IF(PlayerGameData[[#This Row],[Visible]]=1,1,1000)</f>
        <v>1</v>
      </c>
      <c r="BJ450" s="197" t="e">
        <f ca="1">_xlfn.MAXIFS(TeamGameData[Win],TeamGameData[School, Opponent,Game'#],PlayerGameData[[#This Row],[School, Opponent,Game'#]])</f>
        <v>#NAME?</v>
      </c>
      <c r="BK450" s="197" t="e">
        <f ca="1">_xlfn.MAXIFS(TeamGameData[Loss],TeamGameData[School, Opponent,Game'#],PlayerGameData[[#This Row],[School, Opponent,Game'#]])</f>
        <v>#NAME?</v>
      </c>
    </row>
    <row r="451" spans="1:63" x14ac:dyDescent="0.25">
      <c r="A451" s="8" t="str">
        <f t="shared" ca="1" si="213"/>
        <v>Ryan Baker, 35</v>
      </c>
      <c r="B451" s="8" t="str">
        <f>Roster!$B$1</f>
        <v>Upton</v>
      </c>
      <c r="C451" s="8" t="str">
        <f t="shared" ca="1" si="201"/>
        <v>Hulett</v>
      </c>
      <c r="D451" s="10">
        <f t="shared" ca="1" si="202"/>
        <v>44974</v>
      </c>
      <c r="E451" s="8">
        <f t="shared" ca="1" si="203"/>
        <v>0</v>
      </c>
      <c r="F451" s="8">
        <f t="shared" ca="1" si="204"/>
        <v>0</v>
      </c>
      <c r="G451" s="8">
        <f t="shared" ca="1" si="205"/>
        <v>0</v>
      </c>
      <c r="H451" s="8">
        <f t="shared" ca="1" si="206"/>
        <v>0</v>
      </c>
      <c r="I451" s="8">
        <f t="shared" ca="1" si="207"/>
        <v>0</v>
      </c>
      <c r="J451" s="8">
        <f t="shared" ca="1" si="208"/>
        <v>0</v>
      </c>
      <c r="K451" s="8">
        <f t="shared" ca="1" si="209"/>
        <v>0</v>
      </c>
      <c r="L451" s="8">
        <f t="shared" ca="1" si="214"/>
        <v>0</v>
      </c>
      <c r="M451" s="8">
        <f t="shared" ca="1" si="215"/>
        <v>0</v>
      </c>
      <c r="N451" s="8">
        <f t="shared" ca="1" si="216"/>
        <v>0</v>
      </c>
      <c r="O451" s="8">
        <f t="shared" ca="1" si="217"/>
        <v>0</v>
      </c>
      <c r="P451" s="8">
        <f t="shared" ca="1" si="218"/>
        <v>0</v>
      </c>
      <c r="Q451" s="8">
        <f t="shared" ca="1" si="219"/>
        <v>0</v>
      </c>
      <c r="R451" s="8">
        <f t="shared" ca="1" si="220"/>
        <v>0</v>
      </c>
      <c r="S451" s="8">
        <f t="shared" ca="1" si="221"/>
        <v>0</v>
      </c>
      <c r="T451" s="8">
        <f t="shared" ca="1" si="222"/>
        <v>0</v>
      </c>
      <c r="U451" s="8">
        <f t="shared" ca="1" si="223"/>
        <v>0</v>
      </c>
      <c r="V451" s="8">
        <f t="shared" ca="1" si="224"/>
        <v>0</v>
      </c>
      <c r="W451" s="11" t="str">
        <f t="shared" ca="1" si="225"/>
        <v/>
      </c>
      <c r="X451" s="11" t="str">
        <f t="shared" ca="1" si="226"/>
        <v/>
      </c>
      <c r="Y451" s="11" t="str">
        <f t="shared" ca="1" si="227"/>
        <v/>
      </c>
      <c r="Z451" s="11" t="str">
        <f t="shared" ca="1" si="228"/>
        <v/>
      </c>
      <c r="AA451" s="11" t="str">
        <f t="shared" ca="1" si="229"/>
        <v/>
      </c>
      <c r="AB451" s="47">
        <f ca="1">PlayerGameData[[#This Row],[3FGA]]+PlayerGameData[[#This Row],[2FGA]]</f>
        <v>0</v>
      </c>
      <c r="AC451" s="47">
        <f ca="1">PlayerGameData[[#This Row],[OFF REB]]+PlayerGameData[[#This Row],[DEF REB]]</f>
        <v>0</v>
      </c>
      <c r="AD451" s="8">
        <f t="shared" si="210"/>
        <v>19</v>
      </c>
      <c r="AE451" s="8" t="str">
        <f t="shared" ca="1" si="211"/>
        <v>Ryan Baker, 35 - Hulett 2/17/2023</v>
      </c>
      <c r="AF451" s="8" t="str">
        <f t="shared" ca="1" si="230"/>
        <v>R</v>
      </c>
      <c r="AG451" s="8" t="str">
        <f ca="1">IFERROR(IF(C451=0,"",IF(AND(VLOOKUP(PlayerGameData[[#This Row],[Opponent]],WYTeamInfo,2,FALSE)=Roster!$D$1,VLOOKUP(PlayerGameData[[#This Row],[Opponent]],WYTeamInfo,3,FALSE)=Roster!$D$2),"SR","")),"")</f>
        <v>SR</v>
      </c>
      <c r="AH451" s="8" t="str">
        <f>CONCATENATE(Roster!$D$1," ",Roster!$D$5)</f>
        <v>1A BB</v>
      </c>
      <c r="AI451" s="8" t="str">
        <f t="shared" ca="1" si="212"/>
        <v>Upton - Hulett 2/17/2023</v>
      </c>
      <c r="AJ451" s="8">
        <f ca="1">IFERROR(VLOOKUP(PlayerGameData[[#This Row],[School, Opponent,Game'#]],Table3[],2,FALSE),0)</f>
        <v>1</v>
      </c>
      <c r="AK451" s="8">
        <f ca="1">IF(PlayerGameData[[#This Row],[Visible]]=1,1,1000)</f>
        <v>1</v>
      </c>
      <c r="AL451" s="8">
        <f ca="1">RANK(PlayerGameData[[#This Row],[TL PTS]],PlayerGameData[TL PTS],0)+PlayerGameData[[#This Row],[VisibleOrder]]</f>
        <v>185</v>
      </c>
      <c r="AM451" s="8">
        <f ca="1">IF(COUNTIF(PlayerGameData[PointOrder],PlayerGameData[[#This Row],[PointOrder]])&gt;1,RANK(PlayerGameData[[#This Row],[FGA]],PlayerGameData[FGA],0)/100,0)+PlayerGameData[[#This Row],[PointOrder]]</f>
        <v>187.14</v>
      </c>
      <c r="AN451" s="8">
        <f ca="1">RANK(PlayerGameData[[#This Row],[PointTieBreak]],PlayerGameData[PointTieBreak],1)</f>
        <v>216</v>
      </c>
      <c r="AO451" s="8">
        <f ca="1">RANK(PlayerGameData[[#This Row],[REB]],PlayerGameData[REB],0)+PlayerGameData[[#This Row],[VisibleOrder]]</f>
        <v>192</v>
      </c>
      <c r="AP451" s="8">
        <f ca="1">IF(COUNTIF(PlayerGameData[REBOrder],PlayerGameData[[#This Row],[REBOrder]])&gt;1,PlayerGameData[[#This Row],[PointRank]]/100+PlayerGameData[[#This Row],[REBOrder]],PlayerGameData[[#This Row],[REBOrder]])</f>
        <v>194.16</v>
      </c>
      <c r="AQ451" s="8">
        <f ca="1">RANK(PlayerGameData[[#This Row],[REBTieBreak]],PlayerGameData[REBTieBreak],1)</f>
        <v>224</v>
      </c>
      <c r="AR451" s="8">
        <f ca="1">RANK(PlayerGameData[[#This Row],[AST]],PlayerGameData[AST],0)+PlayerGameData[[#This Row],[VisibleOrder]]</f>
        <v>158</v>
      </c>
      <c r="AS451" s="8">
        <f ca="1">IF(COUNTIF(PlayerGameData[ASTOrder],PlayerGameData[[#This Row],[ASTOrder]])&gt;1,PlayerGameData[[#This Row],[PointRank]]/100+PlayerGameData[[#This Row],[ASTOrder]],PlayerGameData[[#This Row],[ASTOrder]])</f>
        <v>160.16</v>
      </c>
      <c r="AT451" s="8">
        <f ca="1">RANK(PlayerGameData[[#This Row],[ASTTieBreak]],PlayerGameData[ASTTieBreak],1)</f>
        <v>221</v>
      </c>
      <c r="AU451" s="8">
        <f ca="1">RANK(PlayerGameData[[#This Row],[STL]],PlayerGameData[STL],0)+PlayerGameData[[#This Row],[VisibleOrder]]</f>
        <v>143</v>
      </c>
      <c r="AV451" s="8">
        <f ca="1">IF(COUNTIF(PlayerGameData[STLOrder],PlayerGameData[[#This Row],[STLOrder]])&gt;1,PlayerGameData[[#This Row],[PointRank]]/100+PlayerGameData[[#This Row],[STLOrder]],PlayerGameData[[#This Row],[STLOrder]])</f>
        <v>145.16</v>
      </c>
      <c r="AW451" s="8">
        <f ca="1">RANK(PlayerGameData[[#This Row],[STLTieBreak]],PlayerGameData[STLTieBreak],1)</f>
        <v>217</v>
      </c>
      <c r="AX451" s="8">
        <f ca="1">RANK(PlayerGameData[[#This Row],[BLK]],PlayerGameData[BLK],0)+PlayerGameData[[#This Row],[VisibleOrder]]</f>
        <v>32</v>
      </c>
      <c r="AY451" s="8">
        <f ca="1">IF(COUNTIF(PlayerGameData[BLKOrder],PlayerGameData[[#This Row],[BLKOrder]])&gt;1,PlayerGameData[[#This Row],[PointRank]]/100+PlayerGameData[[#This Row],[BLKOrder]],PlayerGameData[[#This Row],[BLKOrder]])</f>
        <v>34.159999999999997</v>
      </c>
      <c r="AZ451" s="8">
        <f ca="1">RANK(PlayerGameData[[#This Row],[BLKTieBreak]],PlayerGameData[BLKTieBreak],1)</f>
        <v>216</v>
      </c>
      <c r="BA451" s="11">
        <f ca="1">IFERROR(IF(PlayerGameData[[#This Row],[FGA]]&gt;$AA$5,PlayerGameData[[#This Row],[FG%*]],PlayerGameData[[#This Row],[FG%*]]*-1),-2)</f>
        <v>-2</v>
      </c>
      <c r="BB451" s="8">
        <f ca="1">RANK(PlayerGameData[[#This Row],[EligFG]],PlayerGameData[EligFG],0)+PlayerGameData[[#This Row],[VisibleOrder]]</f>
        <v>215</v>
      </c>
      <c r="BC451" s="8">
        <f ca="1">IF(COUNTIF(PlayerGameData[EligFGOrder],PlayerGameData[[#This Row],[EligFGOrder]])&gt;1,PlayerGameData[[#This Row],[PointRank]]/100+PlayerGameData[[#This Row],[EligFGOrder]],PlayerGameData[[#This Row],[EligFGOrder]])</f>
        <v>217.16</v>
      </c>
      <c r="BD451" s="8">
        <f ca="1">RANK(PlayerGameData[[#This Row],[EligFGTieBreak]],PlayerGameData[EligFGTieBreak],1)</f>
        <v>216</v>
      </c>
      <c r="BE451" s="8" t="str">
        <f>Roster!$D$3</f>
        <v>East</v>
      </c>
      <c r="BF451" s="8" t="str">
        <f>Roster!$D$2</f>
        <v>Northeast</v>
      </c>
      <c r="BG451" s="8" t="str">
        <f>Roster!$D$4</f>
        <v>North</v>
      </c>
      <c r="BH451" s="197">
        <f ca="1">IFERROR(VLOOKUP(CONCATENATE(PlayerGameData[[#This Row],[Opponent]]," ",MONTH(PlayerGameData[[#This Row],[Date]]),"/",DAY(PlayerGameData[[#This Row],[Date]]),"/",YEAR(PlayerGameData[[#This Row],[Date]])),Table35[],2,FALSE),0)</f>
        <v>1</v>
      </c>
      <c r="BI451" s="197">
        <f ca="1">IF(PlayerGameData[[#This Row],[Visible]]=1,1,1000)</f>
        <v>1</v>
      </c>
      <c r="BJ451" s="197" t="e">
        <f ca="1">_xlfn.MAXIFS(TeamGameData[Win],TeamGameData[School, Opponent,Game'#],PlayerGameData[[#This Row],[School, Opponent,Game'#]])</f>
        <v>#NAME?</v>
      </c>
      <c r="BK451" s="197" t="e">
        <f ca="1">_xlfn.MAXIFS(TeamGameData[Loss],TeamGameData[School, Opponent,Game'#],PlayerGameData[[#This Row],[School, Opponent,Game'#]])</f>
        <v>#NAME?</v>
      </c>
    </row>
    <row r="452" spans="1:63" x14ac:dyDescent="0.25">
      <c r="A452" s="8" t="str">
        <f t="shared" ca="1" si="213"/>
        <v xml:space="preserve">, </v>
      </c>
      <c r="B452" s="8" t="str">
        <f>Roster!$B$1</f>
        <v>Upton</v>
      </c>
      <c r="C452" s="8" t="str">
        <f t="shared" ca="1" si="201"/>
        <v>Hulett</v>
      </c>
      <c r="D452" s="10">
        <f t="shared" ca="1" si="202"/>
        <v>44974</v>
      </c>
      <c r="E452" s="8">
        <f t="shared" ca="1" si="203"/>
        <v>0</v>
      </c>
      <c r="F452" s="8">
        <f t="shared" ca="1" si="204"/>
        <v>0</v>
      </c>
      <c r="G452" s="8">
        <f t="shared" ca="1" si="205"/>
        <v>0</v>
      </c>
      <c r="H452" s="8">
        <f t="shared" ca="1" si="206"/>
        <v>0</v>
      </c>
      <c r="I452" s="8">
        <f t="shared" ca="1" si="207"/>
        <v>0</v>
      </c>
      <c r="J452" s="8">
        <f t="shared" ca="1" si="208"/>
        <v>0</v>
      </c>
      <c r="K452" s="8">
        <f t="shared" ca="1" si="209"/>
        <v>0</v>
      </c>
      <c r="L452" s="8">
        <f t="shared" ca="1" si="214"/>
        <v>0</v>
      </c>
      <c r="M452" s="8">
        <f t="shared" ca="1" si="215"/>
        <v>0</v>
      </c>
      <c r="N452" s="8">
        <f t="shared" ca="1" si="216"/>
        <v>0</v>
      </c>
      <c r="O452" s="8">
        <f t="shared" ca="1" si="217"/>
        <v>0</v>
      </c>
      <c r="P452" s="8">
        <f t="shared" ca="1" si="218"/>
        <v>0</v>
      </c>
      <c r="Q452" s="8">
        <f t="shared" ca="1" si="219"/>
        <v>0</v>
      </c>
      <c r="R452" s="8">
        <f t="shared" ca="1" si="220"/>
        <v>0</v>
      </c>
      <c r="S452" s="8">
        <f t="shared" ca="1" si="221"/>
        <v>0</v>
      </c>
      <c r="T452" s="8">
        <f t="shared" ca="1" si="222"/>
        <v>0</v>
      </c>
      <c r="U452" s="8">
        <f t="shared" ca="1" si="223"/>
        <v>0</v>
      </c>
      <c r="V452" s="8">
        <f t="shared" ca="1" si="224"/>
        <v>0</v>
      </c>
      <c r="W452" s="11" t="str">
        <f t="shared" ca="1" si="225"/>
        <v/>
      </c>
      <c r="X452" s="11" t="str">
        <f t="shared" ca="1" si="226"/>
        <v/>
      </c>
      <c r="Y452" s="11" t="str">
        <f t="shared" ca="1" si="227"/>
        <v/>
      </c>
      <c r="Z452" s="11" t="str">
        <f t="shared" ca="1" si="228"/>
        <v/>
      </c>
      <c r="AA452" s="11" t="str">
        <f t="shared" ca="1" si="229"/>
        <v/>
      </c>
      <c r="AB452" s="47">
        <f ca="1">PlayerGameData[[#This Row],[3FGA]]+PlayerGameData[[#This Row],[2FGA]]</f>
        <v>0</v>
      </c>
      <c r="AC452" s="47">
        <f ca="1">PlayerGameData[[#This Row],[OFF REB]]+PlayerGameData[[#This Row],[DEF REB]]</f>
        <v>0</v>
      </c>
      <c r="AD452" s="8">
        <f t="shared" si="210"/>
        <v>19</v>
      </c>
      <c r="AE452" s="8" t="str">
        <f t="shared" ca="1" si="211"/>
        <v>,  - Hulett 2/17/2023</v>
      </c>
      <c r="AF452" s="8" t="str">
        <f t="shared" ca="1" si="230"/>
        <v>R</v>
      </c>
      <c r="AG452" s="8" t="str">
        <f ca="1">IFERROR(IF(C452=0,"",IF(AND(VLOOKUP(PlayerGameData[[#This Row],[Opponent]],WYTeamInfo,2,FALSE)=Roster!$D$1,VLOOKUP(PlayerGameData[[#This Row],[Opponent]],WYTeamInfo,3,FALSE)=Roster!$D$2),"SR","")),"")</f>
        <v>SR</v>
      </c>
      <c r="AH452" s="8" t="str">
        <f>CONCATENATE(Roster!$D$1," ",Roster!$D$5)</f>
        <v>1A BB</v>
      </c>
      <c r="AI452" s="8" t="str">
        <f t="shared" ca="1" si="212"/>
        <v>Upton - Hulett 2/17/2023</v>
      </c>
      <c r="AJ452" s="8">
        <f ca="1">IFERROR(VLOOKUP(PlayerGameData[[#This Row],[School, Opponent,Game'#]],Table3[],2,FALSE),0)</f>
        <v>1</v>
      </c>
      <c r="AK452" s="8">
        <f ca="1">IF(PlayerGameData[[#This Row],[Visible]]=1,1,1000)</f>
        <v>1</v>
      </c>
      <c r="AL452" s="8">
        <f ca="1">RANK(PlayerGameData[[#This Row],[TL PTS]],PlayerGameData[TL PTS],0)+PlayerGameData[[#This Row],[VisibleOrder]]</f>
        <v>185</v>
      </c>
      <c r="AM452" s="8">
        <f ca="1">IF(COUNTIF(PlayerGameData[PointOrder],PlayerGameData[[#This Row],[PointOrder]])&gt;1,RANK(PlayerGameData[[#This Row],[FGA]],PlayerGameData[FGA],0)/100,0)+PlayerGameData[[#This Row],[PointOrder]]</f>
        <v>187.14</v>
      </c>
      <c r="AN452" s="8">
        <f ca="1">RANK(PlayerGameData[[#This Row],[PointTieBreak]],PlayerGameData[PointTieBreak],1)</f>
        <v>216</v>
      </c>
      <c r="AO452" s="8">
        <f ca="1">RANK(PlayerGameData[[#This Row],[REB]],PlayerGameData[REB],0)+PlayerGameData[[#This Row],[VisibleOrder]]</f>
        <v>192</v>
      </c>
      <c r="AP452" s="8">
        <f ca="1">IF(COUNTIF(PlayerGameData[REBOrder],PlayerGameData[[#This Row],[REBOrder]])&gt;1,PlayerGameData[[#This Row],[PointRank]]/100+PlayerGameData[[#This Row],[REBOrder]],PlayerGameData[[#This Row],[REBOrder]])</f>
        <v>194.16</v>
      </c>
      <c r="AQ452" s="8">
        <f ca="1">RANK(PlayerGameData[[#This Row],[REBTieBreak]],PlayerGameData[REBTieBreak],1)</f>
        <v>224</v>
      </c>
      <c r="AR452" s="8">
        <f ca="1">RANK(PlayerGameData[[#This Row],[AST]],PlayerGameData[AST],0)+PlayerGameData[[#This Row],[VisibleOrder]]</f>
        <v>158</v>
      </c>
      <c r="AS452" s="8">
        <f ca="1">IF(COUNTIF(PlayerGameData[ASTOrder],PlayerGameData[[#This Row],[ASTOrder]])&gt;1,PlayerGameData[[#This Row],[PointRank]]/100+PlayerGameData[[#This Row],[ASTOrder]],PlayerGameData[[#This Row],[ASTOrder]])</f>
        <v>160.16</v>
      </c>
      <c r="AT452" s="8">
        <f ca="1">RANK(PlayerGameData[[#This Row],[ASTTieBreak]],PlayerGameData[ASTTieBreak],1)</f>
        <v>221</v>
      </c>
      <c r="AU452" s="8">
        <f ca="1">RANK(PlayerGameData[[#This Row],[STL]],PlayerGameData[STL],0)+PlayerGameData[[#This Row],[VisibleOrder]]</f>
        <v>143</v>
      </c>
      <c r="AV452" s="8">
        <f ca="1">IF(COUNTIF(PlayerGameData[STLOrder],PlayerGameData[[#This Row],[STLOrder]])&gt;1,PlayerGameData[[#This Row],[PointRank]]/100+PlayerGameData[[#This Row],[STLOrder]],PlayerGameData[[#This Row],[STLOrder]])</f>
        <v>145.16</v>
      </c>
      <c r="AW452" s="8">
        <f ca="1">RANK(PlayerGameData[[#This Row],[STLTieBreak]],PlayerGameData[STLTieBreak],1)</f>
        <v>217</v>
      </c>
      <c r="AX452" s="8">
        <f ca="1">RANK(PlayerGameData[[#This Row],[BLK]],PlayerGameData[BLK],0)+PlayerGameData[[#This Row],[VisibleOrder]]</f>
        <v>32</v>
      </c>
      <c r="AY452" s="8">
        <f ca="1">IF(COUNTIF(PlayerGameData[BLKOrder],PlayerGameData[[#This Row],[BLKOrder]])&gt;1,PlayerGameData[[#This Row],[PointRank]]/100+PlayerGameData[[#This Row],[BLKOrder]],PlayerGameData[[#This Row],[BLKOrder]])</f>
        <v>34.159999999999997</v>
      </c>
      <c r="AZ452" s="8">
        <f ca="1">RANK(PlayerGameData[[#This Row],[BLKTieBreak]],PlayerGameData[BLKTieBreak],1)</f>
        <v>216</v>
      </c>
      <c r="BA452" s="11">
        <f ca="1">IFERROR(IF(PlayerGameData[[#This Row],[FGA]]&gt;$AA$5,PlayerGameData[[#This Row],[FG%*]],PlayerGameData[[#This Row],[FG%*]]*-1),-2)</f>
        <v>-2</v>
      </c>
      <c r="BB452" s="8">
        <f ca="1">RANK(PlayerGameData[[#This Row],[EligFG]],PlayerGameData[EligFG],0)+PlayerGameData[[#This Row],[VisibleOrder]]</f>
        <v>215</v>
      </c>
      <c r="BC452" s="8">
        <f ca="1">IF(COUNTIF(PlayerGameData[EligFGOrder],PlayerGameData[[#This Row],[EligFGOrder]])&gt;1,PlayerGameData[[#This Row],[PointRank]]/100+PlayerGameData[[#This Row],[EligFGOrder]],PlayerGameData[[#This Row],[EligFGOrder]])</f>
        <v>217.16</v>
      </c>
      <c r="BD452" s="8">
        <f ca="1">RANK(PlayerGameData[[#This Row],[EligFGTieBreak]],PlayerGameData[EligFGTieBreak],1)</f>
        <v>216</v>
      </c>
      <c r="BE452" s="8" t="str">
        <f>Roster!$D$3</f>
        <v>East</v>
      </c>
      <c r="BF452" s="8" t="str">
        <f>Roster!$D$2</f>
        <v>Northeast</v>
      </c>
      <c r="BG452" s="8" t="str">
        <f>Roster!$D$4</f>
        <v>North</v>
      </c>
      <c r="BH452" s="197">
        <f ca="1">IFERROR(VLOOKUP(CONCATENATE(PlayerGameData[[#This Row],[Opponent]]," ",MONTH(PlayerGameData[[#This Row],[Date]]),"/",DAY(PlayerGameData[[#This Row],[Date]]),"/",YEAR(PlayerGameData[[#This Row],[Date]])),Table35[],2,FALSE),0)</f>
        <v>1</v>
      </c>
      <c r="BI452" s="197">
        <f ca="1">IF(PlayerGameData[[#This Row],[Visible]]=1,1,1000)</f>
        <v>1</v>
      </c>
      <c r="BJ452" s="197" t="e">
        <f ca="1">_xlfn.MAXIFS(TeamGameData[Win],TeamGameData[School, Opponent,Game'#],PlayerGameData[[#This Row],[School, Opponent,Game'#]])</f>
        <v>#NAME?</v>
      </c>
      <c r="BK452" s="197" t="e">
        <f ca="1">_xlfn.MAXIFS(TeamGameData[Loss],TeamGameData[School, Opponent,Game'#],PlayerGameData[[#This Row],[School, Opponent,Game'#]])</f>
        <v>#NAME?</v>
      </c>
    </row>
    <row r="453" spans="1:63" x14ac:dyDescent="0.25">
      <c r="A453" s="8" t="str">
        <f t="shared" ca="1" si="213"/>
        <v xml:space="preserve">, </v>
      </c>
      <c r="B453" s="8" t="str">
        <f>Roster!$B$1</f>
        <v>Upton</v>
      </c>
      <c r="C453" s="8" t="str">
        <f t="shared" ca="1" si="201"/>
        <v>Hulett</v>
      </c>
      <c r="D453" s="10">
        <f t="shared" ca="1" si="202"/>
        <v>44974</v>
      </c>
      <c r="E453" s="8">
        <f t="shared" ca="1" si="203"/>
        <v>0</v>
      </c>
      <c r="F453" s="8">
        <f t="shared" ca="1" si="204"/>
        <v>0</v>
      </c>
      <c r="G453" s="8">
        <f t="shared" ca="1" si="205"/>
        <v>0</v>
      </c>
      <c r="H453" s="8">
        <f t="shared" ca="1" si="206"/>
        <v>0</v>
      </c>
      <c r="I453" s="8">
        <f t="shared" ca="1" si="207"/>
        <v>0</v>
      </c>
      <c r="J453" s="8">
        <f t="shared" ca="1" si="208"/>
        <v>0</v>
      </c>
      <c r="K453" s="8">
        <f t="shared" ca="1" si="209"/>
        <v>0</v>
      </c>
      <c r="L453" s="8">
        <f t="shared" ca="1" si="214"/>
        <v>0</v>
      </c>
      <c r="M453" s="8">
        <f t="shared" ca="1" si="215"/>
        <v>0</v>
      </c>
      <c r="N453" s="8">
        <f t="shared" ca="1" si="216"/>
        <v>0</v>
      </c>
      <c r="O453" s="8">
        <f t="shared" ca="1" si="217"/>
        <v>0</v>
      </c>
      <c r="P453" s="8">
        <f t="shared" ca="1" si="218"/>
        <v>0</v>
      </c>
      <c r="Q453" s="8">
        <f t="shared" ca="1" si="219"/>
        <v>0</v>
      </c>
      <c r="R453" s="8">
        <f t="shared" ca="1" si="220"/>
        <v>0</v>
      </c>
      <c r="S453" s="8">
        <f t="shared" ca="1" si="221"/>
        <v>0</v>
      </c>
      <c r="T453" s="8">
        <f t="shared" ca="1" si="222"/>
        <v>0</v>
      </c>
      <c r="U453" s="8">
        <f t="shared" ca="1" si="223"/>
        <v>0</v>
      </c>
      <c r="V453" s="8">
        <f t="shared" ca="1" si="224"/>
        <v>0</v>
      </c>
      <c r="W453" s="11" t="str">
        <f t="shared" ca="1" si="225"/>
        <v/>
      </c>
      <c r="X453" s="11" t="str">
        <f t="shared" ca="1" si="226"/>
        <v/>
      </c>
      <c r="Y453" s="11" t="str">
        <f t="shared" ca="1" si="227"/>
        <v/>
      </c>
      <c r="Z453" s="11" t="str">
        <f t="shared" ca="1" si="228"/>
        <v/>
      </c>
      <c r="AA453" s="11" t="str">
        <f t="shared" ca="1" si="229"/>
        <v/>
      </c>
      <c r="AB453" s="47">
        <f ca="1">PlayerGameData[[#This Row],[3FGA]]+PlayerGameData[[#This Row],[2FGA]]</f>
        <v>0</v>
      </c>
      <c r="AC453" s="47">
        <f ca="1">PlayerGameData[[#This Row],[OFF REB]]+PlayerGameData[[#This Row],[DEF REB]]</f>
        <v>0</v>
      </c>
      <c r="AD453" s="8">
        <f t="shared" si="210"/>
        <v>19</v>
      </c>
      <c r="AE453" s="8" t="str">
        <f t="shared" ca="1" si="211"/>
        <v>,  - Hulett 2/17/2023</v>
      </c>
      <c r="AF453" s="8" t="str">
        <f t="shared" ca="1" si="230"/>
        <v>R</v>
      </c>
      <c r="AG453" s="8" t="str">
        <f ca="1">IFERROR(IF(C453=0,"",IF(AND(VLOOKUP(PlayerGameData[[#This Row],[Opponent]],WYTeamInfo,2,FALSE)=Roster!$D$1,VLOOKUP(PlayerGameData[[#This Row],[Opponent]],WYTeamInfo,3,FALSE)=Roster!$D$2),"SR","")),"")</f>
        <v>SR</v>
      </c>
      <c r="AH453" s="8" t="str">
        <f>CONCATENATE(Roster!$D$1," ",Roster!$D$5)</f>
        <v>1A BB</v>
      </c>
      <c r="AI453" s="8" t="str">
        <f t="shared" ca="1" si="212"/>
        <v>Upton - Hulett 2/17/2023</v>
      </c>
      <c r="AJ453" s="8">
        <f ca="1">IFERROR(VLOOKUP(PlayerGameData[[#This Row],[School, Opponent,Game'#]],Table3[],2,FALSE),0)</f>
        <v>1</v>
      </c>
      <c r="AK453" s="8">
        <f ca="1">IF(PlayerGameData[[#This Row],[Visible]]=1,1,1000)</f>
        <v>1</v>
      </c>
      <c r="AL453" s="8">
        <f ca="1">RANK(PlayerGameData[[#This Row],[TL PTS]],PlayerGameData[TL PTS],0)+PlayerGameData[[#This Row],[VisibleOrder]]</f>
        <v>185</v>
      </c>
      <c r="AM453" s="8">
        <f ca="1">IF(COUNTIF(PlayerGameData[PointOrder],PlayerGameData[[#This Row],[PointOrder]])&gt;1,RANK(PlayerGameData[[#This Row],[FGA]],PlayerGameData[FGA],0)/100,0)+PlayerGameData[[#This Row],[PointOrder]]</f>
        <v>187.14</v>
      </c>
      <c r="AN453" s="8">
        <f ca="1">RANK(PlayerGameData[[#This Row],[PointTieBreak]],PlayerGameData[PointTieBreak],1)</f>
        <v>216</v>
      </c>
      <c r="AO453" s="8">
        <f ca="1">RANK(PlayerGameData[[#This Row],[REB]],PlayerGameData[REB],0)+PlayerGameData[[#This Row],[VisibleOrder]]</f>
        <v>192</v>
      </c>
      <c r="AP453" s="8">
        <f ca="1">IF(COUNTIF(PlayerGameData[REBOrder],PlayerGameData[[#This Row],[REBOrder]])&gt;1,PlayerGameData[[#This Row],[PointRank]]/100+PlayerGameData[[#This Row],[REBOrder]],PlayerGameData[[#This Row],[REBOrder]])</f>
        <v>194.16</v>
      </c>
      <c r="AQ453" s="8">
        <f ca="1">RANK(PlayerGameData[[#This Row],[REBTieBreak]],PlayerGameData[REBTieBreak],1)</f>
        <v>224</v>
      </c>
      <c r="AR453" s="8">
        <f ca="1">RANK(PlayerGameData[[#This Row],[AST]],PlayerGameData[AST],0)+PlayerGameData[[#This Row],[VisibleOrder]]</f>
        <v>158</v>
      </c>
      <c r="AS453" s="8">
        <f ca="1">IF(COUNTIF(PlayerGameData[ASTOrder],PlayerGameData[[#This Row],[ASTOrder]])&gt;1,PlayerGameData[[#This Row],[PointRank]]/100+PlayerGameData[[#This Row],[ASTOrder]],PlayerGameData[[#This Row],[ASTOrder]])</f>
        <v>160.16</v>
      </c>
      <c r="AT453" s="8">
        <f ca="1">RANK(PlayerGameData[[#This Row],[ASTTieBreak]],PlayerGameData[ASTTieBreak],1)</f>
        <v>221</v>
      </c>
      <c r="AU453" s="8">
        <f ca="1">RANK(PlayerGameData[[#This Row],[STL]],PlayerGameData[STL],0)+PlayerGameData[[#This Row],[VisibleOrder]]</f>
        <v>143</v>
      </c>
      <c r="AV453" s="8">
        <f ca="1">IF(COUNTIF(PlayerGameData[STLOrder],PlayerGameData[[#This Row],[STLOrder]])&gt;1,PlayerGameData[[#This Row],[PointRank]]/100+PlayerGameData[[#This Row],[STLOrder]],PlayerGameData[[#This Row],[STLOrder]])</f>
        <v>145.16</v>
      </c>
      <c r="AW453" s="8">
        <f ca="1">RANK(PlayerGameData[[#This Row],[STLTieBreak]],PlayerGameData[STLTieBreak],1)</f>
        <v>217</v>
      </c>
      <c r="AX453" s="8">
        <f ca="1">RANK(PlayerGameData[[#This Row],[BLK]],PlayerGameData[BLK],0)+PlayerGameData[[#This Row],[VisibleOrder]]</f>
        <v>32</v>
      </c>
      <c r="AY453" s="8">
        <f ca="1">IF(COUNTIF(PlayerGameData[BLKOrder],PlayerGameData[[#This Row],[BLKOrder]])&gt;1,PlayerGameData[[#This Row],[PointRank]]/100+PlayerGameData[[#This Row],[BLKOrder]],PlayerGameData[[#This Row],[BLKOrder]])</f>
        <v>34.159999999999997</v>
      </c>
      <c r="AZ453" s="8">
        <f ca="1">RANK(PlayerGameData[[#This Row],[BLKTieBreak]],PlayerGameData[BLKTieBreak],1)</f>
        <v>216</v>
      </c>
      <c r="BA453" s="11">
        <f ca="1">IFERROR(IF(PlayerGameData[[#This Row],[FGA]]&gt;$AA$5,PlayerGameData[[#This Row],[FG%*]],PlayerGameData[[#This Row],[FG%*]]*-1),-2)</f>
        <v>-2</v>
      </c>
      <c r="BB453" s="8">
        <f ca="1">RANK(PlayerGameData[[#This Row],[EligFG]],PlayerGameData[EligFG],0)+PlayerGameData[[#This Row],[VisibleOrder]]</f>
        <v>215</v>
      </c>
      <c r="BC453" s="8">
        <f ca="1">IF(COUNTIF(PlayerGameData[EligFGOrder],PlayerGameData[[#This Row],[EligFGOrder]])&gt;1,PlayerGameData[[#This Row],[PointRank]]/100+PlayerGameData[[#This Row],[EligFGOrder]],PlayerGameData[[#This Row],[EligFGOrder]])</f>
        <v>217.16</v>
      </c>
      <c r="BD453" s="8">
        <f ca="1">RANK(PlayerGameData[[#This Row],[EligFGTieBreak]],PlayerGameData[EligFGTieBreak],1)</f>
        <v>216</v>
      </c>
      <c r="BE453" s="8" t="str">
        <f>Roster!$D$3</f>
        <v>East</v>
      </c>
      <c r="BF453" s="8" t="str">
        <f>Roster!$D$2</f>
        <v>Northeast</v>
      </c>
      <c r="BG453" s="8" t="str">
        <f>Roster!$D$4</f>
        <v>North</v>
      </c>
      <c r="BH453" s="197">
        <f ca="1">IFERROR(VLOOKUP(CONCATENATE(PlayerGameData[[#This Row],[Opponent]]," ",MONTH(PlayerGameData[[#This Row],[Date]]),"/",DAY(PlayerGameData[[#This Row],[Date]]),"/",YEAR(PlayerGameData[[#This Row],[Date]])),Table35[],2,FALSE),0)</f>
        <v>1</v>
      </c>
      <c r="BI453" s="197">
        <f ca="1">IF(PlayerGameData[[#This Row],[Visible]]=1,1,1000)</f>
        <v>1</v>
      </c>
      <c r="BJ453" s="197" t="e">
        <f ca="1">_xlfn.MAXIFS(TeamGameData[Win],TeamGameData[School, Opponent,Game'#],PlayerGameData[[#This Row],[School, Opponent,Game'#]])</f>
        <v>#NAME?</v>
      </c>
      <c r="BK453" s="197" t="e">
        <f ca="1">_xlfn.MAXIFS(TeamGameData[Loss],TeamGameData[School, Opponent,Game'#],PlayerGameData[[#This Row],[School, Opponent,Game'#]])</f>
        <v>#NAME?</v>
      </c>
    </row>
    <row r="454" spans="1:63" x14ac:dyDescent="0.25">
      <c r="A454" s="8" t="str">
        <f t="shared" ca="1" si="213"/>
        <v xml:space="preserve">, </v>
      </c>
      <c r="B454" s="8" t="str">
        <f>Roster!$B$1</f>
        <v>Upton</v>
      </c>
      <c r="C454" s="8" t="str">
        <f t="shared" ca="1" si="201"/>
        <v>Hulett</v>
      </c>
      <c r="D454" s="10">
        <f t="shared" ca="1" si="202"/>
        <v>44974</v>
      </c>
      <c r="E454" s="8">
        <f t="shared" ca="1" si="203"/>
        <v>0</v>
      </c>
      <c r="F454" s="8">
        <f t="shared" ca="1" si="204"/>
        <v>0</v>
      </c>
      <c r="G454" s="8">
        <f t="shared" ca="1" si="205"/>
        <v>0</v>
      </c>
      <c r="H454" s="8">
        <f t="shared" ca="1" si="206"/>
        <v>0</v>
      </c>
      <c r="I454" s="8">
        <f t="shared" ca="1" si="207"/>
        <v>0</v>
      </c>
      <c r="J454" s="8">
        <f t="shared" ca="1" si="208"/>
        <v>0</v>
      </c>
      <c r="K454" s="8">
        <f t="shared" ca="1" si="209"/>
        <v>0</v>
      </c>
      <c r="L454" s="8">
        <f t="shared" ca="1" si="214"/>
        <v>0</v>
      </c>
      <c r="M454" s="8">
        <f t="shared" ca="1" si="215"/>
        <v>0</v>
      </c>
      <c r="N454" s="8">
        <f t="shared" ca="1" si="216"/>
        <v>0</v>
      </c>
      <c r="O454" s="8">
        <f t="shared" ca="1" si="217"/>
        <v>0</v>
      </c>
      <c r="P454" s="8">
        <f t="shared" ca="1" si="218"/>
        <v>0</v>
      </c>
      <c r="Q454" s="8">
        <f t="shared" ca="1" si="219"/>
        <v>0</v>
      </c>
      <c r="R454" s="8">
        <f t="shared" ca="1" si="220"/>
        <v>0</v>
      </c>
      <c r="S454" s="8">
        <f t="shared" ca="1" si="221"/>
        <v>0</v>
      </c>
      <c r="T454" s="8">
        <f t="shared" ca="1" si="222"/>
        <v>0</v>
      </c>
      <c r="U454" s="8">
        <f t="shared" ca="1" si="223"/>
        <v>0</v>
      </c>
      <c r="V454" s="8">
        <f t="shared" ca="1" si="224"/>
        <v>0</v>
      </c>
      <c r="W454" s="11" t="str">
        <f t="shared" ca="1" si="225"/>
        <v/>
      </c>
      <c r="X454" s="11" t="str">
        <f t="shared" ca="1" si="226"/>
        <v/>
      </c>
      <c r="Y454" s="11" t="str">
        <f t="shared" ca="1" si="227"/>
        <v/>
      </c>
      <c r="Z454" s="11" t="str">
        <f t="shared" ca="1" si="228"/>
        <v/>
      </c>
      <c r="AA454" s="11" t="str">
        <f t="shared" ca="1" si="229"/>
        <v/>
      </c>
      <c r="AB454" s="47">
        <f ca="1">PlayerGameData[[#This Row],[3FGA]]+PlayerGameData[[#This Row],[2FGA]]</f>
        <v>0</v>
      </c>
      <c r="AC454" s="47">
        <f ca="1">PlayerGameData[[#This Row],[OFF REB]]+PlayerGameData[[#This Row],[DEF REB]]</f>
        <v>0</v>
      </c>
      <c r="AD454" s="8">
        <f t="shared" si="210"/>
        <v>19</v>
      </c>
      <c r="AE454" s="8" t="str">
        <f t="shared" ca="1" si="211"/>
        <v>,  - Hulett 2/17/2023</v>
      </c>
      <c r="AF454" s="8" t="str">
        <f t="shared" ca="1" si="230"/>
        <v>R</v>
      </c>
      <c r="AG454" s="8" t="str">
        <f ca="1">IFERROR(IF(C454=0,"",IF(AND(VLOOKUP(PlayerGameData[[#This Row],[Opponent]],WYTeamInfo,2,FALSE)=Roster!$D$1,VLOOKUP(PlayerGameData[[#This Row],[Opponent]],WYTeamInfo,3,FALSE)=Roster!$D$2),"SR","")),"")</f>
        <v>SR</v>
      </c>
      <c r="AH454" s="8" t="str">
        <f>CONCATENATE(Roster!$D$1," ",Roster!$D$5)</f>
        <v>1A BB</v>
      </c>
      <c r="AI454" s="8" t="str">
        <f t="shared" ca="1" si="212"/>
        <v>Upton - Hulett 2/17/2023</v>
      </c>
      <c r="AJ454" s="8">
        <f ca="1">IFERROR(VLOOKUP(PlayerGameData[[#This Row],[School, Opponent,Game'#]],Table3[],2,FALSE),0)</f>
        <v>1</v>
      </c>
      <c r="AK454" s="8">
        <f ca="1">IF(PlayerGameData[[#This Row],[Visible]]=1,1,1000)</f>
        <v>1</v>
      </c>
      <c r="AL454" s="8">
        <f ca="1">RANK(PlayerGameData[[#This Row],[TL PTS]],PlayerGameData[TL PTS],0)+PlayerGameData[[#This Row],[VisibleOrder]]</f>
        <v>185</v>
      </c>
      <c r="AM454" s="8">
        <f ca="1">IF(COUNTIF(PlayerGameData[PointOrder],PlayerGameData[[#This Row],[PointOrder]])&gt;1,RANK(PlayerGameData[[#This Row],[FGA]],PlayerGameData[FGA],0)/100,0)+PlayerGameData[[#This Row],[PointOrder]]</f>
        <v>187.14</v>
      </c>
      <c r="AN454" s="8">
        <f ca="1">RANK(PlayerGameData[[#This Row],[PointTieBreak]],PlayerGameData[PointTieBreak],1)</f>
        <v>216</v>
      </c>
      <c r="AO454" s="8">
        <f ca="1">RANK(PlayerGameData[[#This Row],[REB]],PlayerGameData[REB],0)+PlayerGameData[[#This Row],[VisibleOrder]]</f>
        <v>192</v>
      </c>
      <c r="AP454" s="8">
        <f ca="1">IF(COUNTIF(PlayerGameData[REBOrder],PlayerGameData[[#This Row],[REBOrder]])&gt;1,PlayerGameData[[#This Row],[PointRank]]/100+PlayerGameData[[#This Row],[REBOrder]],PlayerGameData[[#This Row],[REBOrder]])</f>
        <v>194.16</v>
      </c>
      <c r="AQ454" s="8">
        <f ca="1">RANK(PlayerGameData[[#This Row],[REBTieBreak]],PlayerGameData[REBTieBreak],1)</f>
        <v>224</v>
      </c>
      <c r="AR454" s="8">
        <f ca="1">RANK(PlayerGameData[[#This Row],[AST]],PlayerGameData[AST],0)+PlayerGameData[[#This Row],[VisibleOrder]]</f>
        <v>158</v>
      </c>
      <c r="AS454" s="8">
        <f ca="1">IF(COUNTIF(PlayerGameData[ASTOrder],PlayerGameData[[#This Row],[ASTOrder]])&gt;1,PlayerGameData[[#This Row],[PointRank]]/100+PlayerGameData[[#This Row],[ASTOrder]],PlayerGameData[[#This Row],[ASTOrder]])</f>
        <v>160.16</v>
      </c>
      <c r="AT454" s="8">
        <f ca="1">RANK(PlayerGameData[[#This Row],[ASTTieBreak]],PlayerGameData[ASTTieBreak],1)</f>
        <v>221</v>
      </c>
      <c r="AU454" s="8">
        <f ca="1">RANK(PlayerGameData[[#This Row],[STL]],PlayerGameData[STL],0)+PlayerGameData[[#This Row],[VisibleOrder]]</f>
        <v>143</v>
      </c>
      <c r="AV454" s="8">
        <f ca="1">IF(COUNTIF(PlayerGameData[STLOrder],PlayerGameData[[#This Row],[STLOrder]])&gt;1,PlayerGameData[[#This Row],[PointRank]]/100+PlayerGameData[[#This Row],[STLOrder]],PlayerGameData[[#This Row],[STLOrder]])</f>
        <v>145.16</v>
      </c>
      <c r="AW454" s="8">
        <f ca="1">RANK(PlayerGameData[[#This Row],[STLTieBreak]],PlayerGameData[STLTieBreak],1)</f>
        <v>217</v>
      </c>
      <c r="AX454" s="8">
        <f ca="1">RANK(PlayerGameData[[#This Row],[BLK]],PlayerGameData[BLK],0)+PlayerGameData[[#This Row],[VisibleOrder]]</f>
        <v>32</v>
      </c>
      <c r="AY454" s="8">
        <f ca="1">IF(COUNTIF(PlayerGameData[BLKOrder],PlayerGameData[[#This Row],[BLKOrder]])&gt;1,PlayerGameData[[#This Row],[PointRank]]/100+PlayerGameData[[#This Row],[BLKOrder]],PlayerGameData[[#This Row],[BLKOrder]])</f>
        <v>34.159999999999997</v>
      </c>
      <c r="AZ454" s="8">
        <f ca="1">RANK(PlayerGameData[[#This Row],[BLKTieBreak]],PlayerGameData[BLKTieBreak],1)</f>
        <v>216</v>
      </c>
      <c r="BA454" s="11">
        <f ca="1">IFERROR(IF(PlayerGameData[[#This Row],[FGA]]&gt;$AA$5,PlayerGameData[[#This Row],[FG%*]],PlayerGameData[[#This Row],[FG%*]]*-1),-2)</f>
        <v>-2</v>
      </c>
      <c r="BB454" s="8">
        <f ca="1">RANK(PlayerGameData[[#This Row],[EligFG]],PlayerGameData[EligFG],0)+PlayerGameData[[#This Row],[VisibleOrder]]</f>
        <v>215</v>
      </c>
      <c r="BC454" s="8">
        <f ca="1">IF(COUNTIF(PlayerGameData[EligFGOrder],PlayerGameData[[#This Row],[EligFGOrder]])&gt;1,PlayerGameData[[#This Row],[PointRank]]/100+PlayerGameData[[#This Row],[EligFGOrder]],PlayerGameData[[#This Row],[EligFGOrder]])</f>
        <v>217.16</v>
      </c>
      <c r="BD454" s="8">
        <f ca="1">RANK(PlayerGameData[[#This Row],[EligFGTieBreak]],PlayerGameData[EligFGTieBreak],1)</f>
        <v>216</v>
      </c>
      <c r="BE454" s="8" t="str">
        <f>Roster!$D$3</f>
        <v>East</v>
      </c>
      <c r="BF454" s="8" t="str">
        <f>Roster!$D$2</f>
        <v>Northeast</v>
      </c>
      <c r="BG454" s="8" t="str">
        <f>Roster!$D$4</f>
        <v>North</v>
      </c>
      <c r="BH454" s="197">
        <f ca="1">IFERROR(VLOOKUP(CONCATENATE(PlayerGameData[[#This Row],[Opponent]]," ",MONTH(PlayerGameData[[#This Row],[Date]]),"/",DAY(PlayerGameData[[#This Row],[Date]]),"/",YEAR(PlayerGameData[[#This Row],[Date]])),Table35[],2,FALSE),0)</f>
        <v>1</v>
      </c>
      <c r="BI454" s="197">
        <f ca="1">IF(PlayerGameData[[#This Row],[Visible]]=1,1,1000)</f>
        <v>1</v>
      </c>
      <c r="BJ454" s="197" t="e">
        <f ca="1">_xlfn.MAXIFS(TeamGameData[Win],TeamGameData[School, Opponent,Game'#],PlayerGameData[[#This Row],[School, Opponent,Game'#]])</f>
        <v>#NAME?</v>
      </c>
      <c r="BK454" s="197" t="e">
        <f ca="1">_xlfn.MAXIFS(TeamGameData[Loss],TeamGameData[School, Opponent,Game'#],PlayerGameData[[#This Row],[School, Opponent,Game'#]])</f>
        <v>#NAME?</v>
      </c>
    </row>
    <row r="455" spans="1:63" x14ac:dyDescent="0.25">
      <c r="A455" s="8" t="str">
        <f t="shared" ca="1" si="213"/>
        <v xml:space="preserve">, </v>
      </c>
      <c r="B455" s="8" t="str">
        <f>Roster!$B$1</f>
        <v>Upton</v>
      </c>
      <c r="C455" s="8" t="str">
        <f t="shared" ref="C455:C518" ca="1" si="231">INDIRECT("'game1 ("&amp;$AD455&amp;")'!$b$3")</f>
        <v>Hulett</v>
      </c>
      <c r="D455" s="10">
        <f t="shared" ref="D455:D518" ca="1" si="232">INDIRECT("'game1 ("&amp;$AD455&amp;")'!$m$4")</f>
        <v>44974</v>
      </c>
      <c r="E455" s="8">
        <f t="shared" ref="E455:E518" ca="1" si="233">INDIRECT("'game1 ("&amp;$AD455&amp;")'!"&amp;ADDRESS(ROW(A$7)+MOD(ROW(A455)-7,24),COLUMN(D455)))</f>
        <v>0</v>
      </c>
      <c r="F455" s="8">
        <f t="shared" ref="F455:F518" ca="1" si="234">IF(INDIRECT("'game1 ("&amp;$AD455&amp;")'!"&amp;ADDRESS(ROW(B$7)+MOD(ROW(B455)-7,24),COLUMN(C455)))="s",1,0)</f>
        <v>0</v>
      </c>
      <c r="G455" s="8">
        <f t="shared" ref="G455:G518" ca="1" si="235">INDIRECT("'game1 ("&amp;$AD455&amp;")'!"&amp;ADDRESS(ROW(B$7)+MOD(ROW(B455)-7,24),COLUMN(E455)))</f>
        <v>0</v>
      </c>
      <c r="H455" s="8">
        <f t="shared" ref="H455:H518" ca="1" si="236">INDIRECT("'game1 ("&amp;$AD455&amp;")'!"&amp;ADDRESS(ROW(B$7)+MOD(ROW(B455)-7,24),COLUMN(F455)))</f>
        <v>0</v>
      </c>
      <c r="I455" s="8">
        <f t="shared" ref="I455:I518" ca="1" si="237">INDIRECT("'game1 ("&amp;$AD455&amp;")'!"&amp;ADDRESS(ROW(C$7)+MOD(ROW(C455)-7,24),COLUMN(G455)))</f>
        <v>0</v>
      </c>
      <c r="J455" s="8">
        <f t="shared" ref="J455:J518" ca="1" si="238">INDIRECT("'game1 ("&amp;$AD455&amp;")'!"&amp;ADDRESS(ROW(D$7)+MOD(ROW(D455)-7,24),COLUMN(H455)))</f>
        <v>0</v>
      </c>
      <c r="K455" s="8">
        <f t="shared" ref="K455:K518" ca="1" si="239">INDIRECT("'game1 ("&amp;$AD455&amp;")'!"&amp;ADDRESS(ROW(E$7)+MOD(ROW(E455)-7,24),COLUMN(I455)))</f>
        <v>0</v>
      </c>
      <c r="L455" s="8">
        <f t="shared" ca="1" si="214"/>
        <v>0</v>
      </c>
      <c r="M455" s="8">
        <f t="shared" ca="1" si="215"/>
        <v>0</v>
      </c>
      <c r="N455" s="8">
        <f t="shared" ca="1" si="216"/>
        <v>0</v>
      </c>
      <c r="O455" s="8">
        <f t="shared" ca="1" si="217"/>
        <v>0</v>
      </c>
      <c r="P455" s="8">
        <f t="shared" ca="1" si="218"/>
        <v>0</v>
      </c>
      <c r="Q455" s="8">
        <f t="shared" ca="1" si="219"/>
        <v>0</v>
      </c>
      <c r="R455" s="8">
        <f t="shared" ca="1" si="220"/>
        <v>0</v>
      </c>
      <c r="S455" s="8">
        <f t="shared" ca="1" si="221"/>
        <v>0</v>
      </c>
      <c r="T455" s="8">
        <f t="shared" ca="1" si="222"/>
        <v>0</v>
      </c>
      <c r="U455" s="8">
        <f t="shared" ca="1" si="223"/>
        <v>0</v>
      </c>
      <c r="V455" s="8">
        <f t="shared" ca="1" si="224"/>
        <v>0</v>
      </c>
      <c r="W455" s="11" t="str">
        <f t="shared" ca="1" si="225"/>
        <v/>
      </c>
      <c r="X455" s="11" t="str">
        <f t="shared" ca="1" si="226"/>
        <v/>
      </c>
      <c r="Y455" s="11" t="str">
        <f t="shared" ca="1" si="227"/>
        <v/>
      </c>
      <c r="Z455" s="11" t="str">
        <f t="shared" ca="1" si="228"/>
        <v/>
      </c>
      <c r="AA455" s="11" t="str">
        <f t="shared" ca="1" si="229"/>
        <v/>
      </c>
      <c r="AB455" s="47">
        <f ca="1">PlayerGameData[[#This Row],[3FGA]]+PlayerGameData[[#This Row],[2FGA]]</f>
        <v>0</v>
      </c>
      <c r="AC455" s="47">
        <f ca="1">PlayerGameData[[#This Row],[OFF REB]]+PlayerGameData[[#This Row],[DEF REB]]</f>
        <v>0</v>
      </c>
      <c r="AD455" s="8">
        <f t="shared" ref="AD455:AD518" si="240">INT((ROW(A455)-7)/24)+1</f>
        <v>19</v>
      </c>
      <c r="AE455" s="8" t="str">
        <f t="shared" ref="AE455:AE518" ca="1" si="241">CONCATENATE(A455," - ",C455," ",MONTH(D455),"/",DAY(D455),"/",YEAR(D455))</f>
        <v>,  - Hulett 2/17/2023</v>
      </c>
      <c r="AF455" s="8" t="str">
        <f t="shared" ca="1" si="230"/>
        <v>R</v>
      </c>
      <c r="AG455" s="8" t="str">
        <f ca="1">IFERROR(IF(C455=0,"",IF(AND(VLOOKUP(PlayerGameData[[#This Row],[Opponent]],WYTeamInfo,2,FALSE)=Roster!$D$1,VLOOKUP(PlayerGameData[[#This Row],[Opponent]],WYTeamInfo,3,FALSE)=Roster!$D$2),"SR","")),"")</f>
        <v>SR</v>
      </c>
      <c r="AH455" s="8" t="str">
        <f>CONCATENATE(Roster!$D$1," ",Roster!$D$5)</f>
        <v>1A BB</v>
      </c>
      <c r="AI455" s="8" t="str">
        <f t="shared" ref="AI455:AI518" ca="1" si="242">IF($C455&lt;&gt;0,CONCATENATE($B455," - ",$C455," ",MONTH($D455),"/",DAY($D455),"/",YEAR($D455)),"Blank")</f>
        <v>Upton - Hulett 2/17/2023</v>
      </c>
      <c r="AJ455" s="8">
        <f ca="1">IFERROR(VLOOKUP(PlayerGameData[[#This Row],[School, Opponent,Game'#]],Table3[],2,FALSE),0)</f>
        <v>1</v>
      </c>
      <c r="AK455" s="8">
        <f ca="1">IF(PlayerGameData[[#This Row],[Visible]]=1,1,1000)</f>
        <v>1</v>
      </c>
      <c r="AL455" s="8">
        <f ca="1">RANK(PlayerGameData[[#This Row],[TL PTS]],PlayerGameData[TL PTS],0)+PlayerGameData[[#This Row],[VisibleOrder]]</f>
        <v>185</v>
      </c>
      <c r="AM455" s="8">
        <f ca="1">IF(COUNTIF(PlayerGameData[PointOrder],PlayerGameData[[#This Row],[PointOrder]])&gt;1,RANK(PlayerGameData[[#This Row],[FGA]],PlayerGameData[FGA],0)/100,0)+PlayerGameData[[#This Row],[PointOrder]]</f>
        <v>187.14</v>
      </c>
      <c r="AN455" s="8">
        <f ca="1">RANK(PlayerGameData[[#This Row],[PointTieBreak]],PlayerGameData[PointTieBreak],1)</f>
        <v>216</v>
      </c>
      <c r="AO455" s="8">
        <f ca="1">RANK(PlayerGameData[[#This Row],[REB]],PlayerGameData[REB],0)+PlayerGameData[[#This Row],[VisibleOrder]]</f>
        <v>192</v>
      </c>
      <c r="AP455" s="8">
        <f ca="1">IF(COUNTIF(PlayerGameData[REBOrder],PlayerGameData[[#This Row],[REBOrder]])&gt;1,PlayerGameData[[#This Row],[PointRank]]/100+PlayerGameData[[#This Row],[REBOrder]],PlayerGameData[[#This Row],[REBOrder]])</f>
        <v>194.16</v>
      </c>
      <c r="AQ455" s="8">
        <f ca="1">RANK(PlayerGameData[[#This Row],[REBTieBreak]],PlayerGameData[REBTieBreak],1)</f>
        <v>224</v>
      </c>
      <c r="AR455" s="8">
        <f ca="1">RANK(PlayerGameData[[#This Row],[AST]],PlayerGameData[AST],0)+PlayerGameData[[#This Row],[VisibleOrder]]</f>
        <v>158</v>
      </c>
      <c r="AS455" s="8">
        <f ca="1">IF(COUNTIF(PlayerGameData[ASTOrder],PlayerGameData[[#This Row],[ASTOrder]])&gt;1,PlayerGameData[[#This Row],[PointRank]]/100+PlayerGameData[[#This Row],[ASTOrder]],PlayerGameData[[#This Row],[ASTOrder]])</f>
        <v>160.16</v>
      </c>
      <c r="AT455" s="8">
        <f ca="1">RANK(PlayerGameData[[#This Row],[ASTTieBreak]],PlayerGameData[ASTTieBreak],1)</f>
        <v>221</v>
      </c>
      <c r="AU455" s="8">
        <f ca="1">RANK(PlayerGameData[[#This Row],[STL]],PlayerGameData[STL],0)+PlayerGameData[[#This Row],[VisibleOrder]]</f>
        <v>143</v>
      </c>
      <c r="AV455" s="8">
        <f ca="1">IF(COUNTIF(PlayerGameData[STLOrder],PlayerGameData[[#This Row],[STLOrder]])&gt;1,PlayerGameData[[#This Row],[PointRank]]/100+PlayerGameData[[#This Row],[STLOrder]],PlayerGameData[[#This Row],[STLOrder]])</f>
        <v>145.16</v>
      </c>
      <c r="AW455" s="8">
        <f ca="1">RANK(PlayerGameData[[#This Row],[STLTieBreak]],PlayerGameData[STLTieBreak],1)</f>
        <v>217</v>
      </c>
      <c r="AX455" s="8">
        <f ca="1">RANK(PlayerGameData[[#This Row],[BLK]],PlayerGameData[BLK],0)+PlayerGameData[[#This Row],[VisibleOrder]]</f>
        <v>32</v>
      </c>
      <c r="AY455" s="8">
        <f ca="1">IF(COUNTIF(PlayerGameData[BLKOrder],PlayerGameData[[#This Row],[BLKOrder]])&gt;1,PlayerGameData[[#This Row],[PointRank]]/100+PlayerGameData[[#This Row],[BLKOrder]],PlayerGameData[[#This Row],[BLKOrder]])</f>
        <v>34.159999999999997</v>
      </c>
      <c r="AZ455" s="8">
        <f ca="1">RANK(PlayerGameData[[#This Row],[BLKTieBreak]],PlayerGameData[BLKTieBreak],1)</f>
        <v>216</v>
      </c>
      <c r="BA455" s="11">
        <f ca="1">IFERROR(IF(PlayerGameData[[#This Row],[FGA]]&gt;$AA$5,PlayerGameData[[#This Row],[FG%*]],PlayerGameData[[#This Row],[FG%*]]*-1),-2)</f>
        <v>-2</v>
      </c>
      <c r="BB455" s="8">
        <f ca="1">RANK(PlayerGameData[[#This Row],[EligFG]],PlayerGameData[EligFG],0)+PlayerGameData[[#This Row],[VisibleOrder]]</f>
        <v>215</v>
      </c>
      <c r="BC455" s="8">
        <f ca="1">IF(COUNTIF(PlayerGameData[EligFGOrder],PlayerGameData[[#This Row],[EligFGOrder]])&gt;1,PlayerGameData[[#This Row],[PointRank]]/100+PlayerGameData[[#This Row],[EligFGOrder]],PlayerGameData[[#This Row],[EligFGOrder]])</f>
        <v>217.16</v>
      </c>
      <c r="BD455" s="8">
        <f ca="1">RANK(PlayerGameData[[#This Row],[EligFGTieBreak]],PlayerGameData[EligFGTieBreak],1)</f>
        <v>216</v>
      </c>
      <c r="BE455" s="8" t="str">
        <f>Roster!$D$3</f>
        <v>East</v>
      </c>
      <c r="BF455" s="8" t="str">
        <f>Roster!$D$2</f>
        <v>Northeast</v>
      </c>
      <c r="BG455" s="8" t="str">
        <f>Roster!$D$4</f>
        <v>North</v>
      </c>
      <c r="BH455" s="197">
        <f ca="1">IFERROR(VLOOKUP(CONCATENATE(PlayerGameData[[#This Row],[Opponent]]," ",MONTH(PlayerGameData[[#This Row],[Date]]),"/",DAY(PlayerGameData[[#This Row],[Date]]),"/",YEAR(PlayerGameData[[#This Row],[Date]])),Table35[],2,FALSE),0)</f>
        <v>1</v>
      </c>
      <c r="BI455" s="197">
        <f ca="1">IF(PlayerGameData[[#This Row],[Visible]]=1,1,1000)</f>
        <v>1</v>
      </c>
      <c r="BJ455" s="197" t="e">
        <f ca="1">_xlfn.MAXIFS(TeamGameData[Win],TeamGameData[School, Opponent,Game'#],PlayerGameData[[#This Row],[School, Opponent,Game'#]])</f>
        <v>#NAME?</v>
      </c>
      <c r="BK455" s="197" t="e">
        <f ca="1">_xlfn.MAXIFS(TeamGameData[Loss],TeamGameData[School, Opponent,Game'#],PlayerGameData[[#This Row],[School, Opponent,Game'#]])</f>
        <v>#NAME?</v>
      </c>
    </row>
    <row r="456" spans="1:63" x14ac:dyDescent="0.25">
      <c r="A456" s="8" t="str">
        <f t="shared" ref="A456:A519" ca="1" si="243">CONCATENATE(INDIRECT("Roster!B"&amp;ROW(A$7)+MOD(ROW(A456)-7,24)),", ",INDIRECT("Roster!a"&amp;ROW(A$7)+MOD(ROW(A456)-7,24)))</f>
        <v xml:space="preserve">, </v>
      </c>
      <c r="B456" s="8" t="str">
        <f>Roster!$B$1</f>
        <v>Upton</v>
      </c>
      <c r="C456" s="8" t="str">
        <f t="shared" ca="1" si="231"/>
        <v>Hulett</v>
      </c>
      <c r="D456" s="10">
        <f t="shared" ca="1" si="232"/>
        <v>44974</v>
      </c>
      <c r="E456" s="8">
        <f t="shared" ca="1" si="233"/>
        <v>0</v>
      </c>
      <c r="F456" s="8">
        <f t="shared" ca="1" si="234"/>
        <v>0</v>
      </c>
      <c r="G456" s="8">
        <f t="shared" ca="1" si="235"/>
        <v>0</v>
      </c>
      <c r="H456" s="8">
        <f t="shared" ca="1" si="236"/>
        <v>0</v>
      </c>
      <c r="I456" s="8">
        <f t="shared" ca="1" si="237"/>
        <v>0</v>
      </c>
      <c r="J456" s="8">
        <f t="shared" ca="1" si="238"/>
        <v>0</v>
      </c>
      <c r="K456" s="8">
        <f t="shared" ca="1" si="239"/>
        <v>0</v>
      </c>
      <c r="L456" s="8">
        <f t="shared" ref="L456:L519" ca="1" si="244">INDIRECT("'game1 ("&amp;$AD456&amp;")'!"&amp;ADDRESS(ROW(G$7)+MOD(ROW(G456)-7,24),COLUMN(J456)))</f>
        <v>0</v>
      </c>
      <c r="M456" s="8">
        <f t="shared" ref="M456:M519" ca="1" si="245">INDIRECT("'game1 ("&amp;$AD456&amp;")'!"&amp;ADDRESS(ROW(H$7)+MOD(ROW(H456)-7,24),COLUMN(K456)))</f>
        <v>0</v>
      </c>
      <c r="N456" s="8">
        <f t="shared" ref="N456:N519" ca="1" si="246">INDIRECT("'game1 ("&amp;$AD456&amp;")'!"&amp;ADDRESS(ROW(I$7)+MOD(ROW(I456)-7,24),COLUMN(L456)))</f>
        <v>0</v>
      </c>
      <c r="O456" s="8">
        <f t="shared" ref="O456:O519" ca="1" si="247">INDIRECT("'game1 ("&amp;$AD456&amp;")'!"&amp;ADDRESS(ROW(J$7)+MOD(ROW(J456)-7,24),COLUMN(M456)))</f>
        <v>0</v>
      </c>
      <c r="P456" s="8">
        <f t="shared" ref="P456:P519" ca="1" si="248">INDIRECT("'game1 ("&amp;$AD456&amp;")'!"&amp;ADDRESS(ROW(K$7)+MOD(ROW(K456)-7,24),COLUMN(N456)))</f>
        <v>0</v>
      </c>
      <c r="Q456" s="8">
        <f t="shared" ref="Q456:Q519" ca="1" si="249">INDIRECT("'game1 ("&amp;$AD456&amp;")'!"&amp;ADDRESS(ROW(L$7)+MOD(ROW(L456)-7,24),COLUMN(O456)))</f>
        <v>0</v>
      </c>
      <c r="R456" s="8">
        <f t="shared" ref="R456:R519" ca="1" si="250">INDIRECT("'game1 ("&amp;$AD456&amp;")'!"&amp;ADDRESS(ROW(M$7)+MOD(ROW(M456)-7,24),COLUMN(P456)))</f>
        <v>0</v>
      </c>
      <c r="S456" s="8">
        <f t="shared" ref="S456:S519" ca="1" si="251">INDIRECT("'game1 ("&amp;$AD456&amp;")'!"&amp;ADDRESS(ROW(N$7)+MOD(ROW(N456)-7,24),COLUMN(Q456)))</f>
        <v>0</v>
      </c>
      <c r="T456" s="8">
        <f t="shared" ref="T456:T519" ca="1" si="252">INDIRECT("'game1 ("&amp;$AD456&amp;")'!"&amp;ADDRESS(ROW(O$7)+MOD(ROW(O456)-7,24),COLUMN(R456)))</f>
        <v>0</v>
      </c>
      <c r="U456" s="8">
        <f t="shared" ref="U456:U519" ca="1" si="253">INDIRECT("'game1 ("&amp;$AD456&amp;")'!"&amp;ADDRESS(ROW(P$7)+MOD(ROW(P456)-7,24),COLUMN(S456)))</f>
        <v>0</v>
      </c>
      <c r="V456" s="8">
        <f t="shared" ref="V456:V519" ca="1" si="254">INDIRECT("'game1 ("&amp;$AD456&amp;")'!"&amp;ADDRESS(ROW(Q$7)+MOD(ROW(Q456)-7,24),COLUMN(T456)))</f>
        <v>0</v>
      </c>
      <c r="W456" s="11" t="str">
        <f t="shared" ref="W456:W519" ca="1" si="255">INDIRECT("'game1 ("&amp;$AD456&amp;")'!"&amp;ADDRESS(ROW(R$7)+MOD(ROW(R456)-7,24),COLUMN(U456)))</f>
        <v/>
      </c>
      <c r="X456" s="11" t="str">
        <f t="shared" ref="X456:X519" ca="1" si="256">INDIRECT("'game1 ("&amp;$AD456&amp;")'!"&amp;ADDRESS(ROW(S$7)+MOD(ROW(S456)-7,24),COLUMN(V456)))</f>
        <v/>
      </c>
      <c r="Y456" s="11" t="str">
        <f t="shared" ref="Y456:Y519" ca="1" si="257">INDIRECT("'game1 ("&amp;$AD456&amp;")'!"&amp;ADDRESS(ROW(T$7)+MOD(ROW(T456)-7,24),COLUMN(W456)))</f>
        <v/>
      </c>
      <c r="Z456" s="11" t="str">
        <f t="shared" ref="Z456:Z519" ca="1" si="258">INDIRECT("'game1 ("&amp;$AD456&amp;")'!"&amp;ADDRESS(ROW(U$7)+MOD(ROW(U456)-7,24),COLUMN(X456)))</f>
        <v/>
      </c>
      <c r="AA456" s="11" t="str">
        <f t="shared" ref="AA456:AA519" ca="1" si="259">INDIRECT("'game1 ("&amp;$AD456&amp;")'!"&amp;ADDRESS(ROW(V$7)+MOD(ROW(V456)-7,24),COLUMN(Y456)))</f>
        <v/>
      </c>
      <c r="AB456" s="47">
        <f ca="1">PlayerGameData[[#This Row],[3FGA]]+PlayerGameData[[#This Row],[2FGA]]</f>
        <v>0</v>
      </c>
      <c r="AC456" s="47">
        <f ca="1">PlayerGameData[[#This Row],[OFF REB]]+PlayerGameData[[#This Row],[DEF REB]]</f>
        <v>0</v>
      </c>
      <c r="AD456" s="8">
        <f t="shared" si="240"/>
        <v>19</v>
      </c>
      <c r="AE456" s="8" t="str">
        <f t="shared" ca="1" si="241"/>
        <v>,  - Hulett 2/17/2023</v>
      </c>
      <c r="AF456" s="8" t="str">
        <f t="shared" ref="AF456:AF519" ca="1" si="260">IFERROR(INDIRECT("'game1 ("&amp;$AD456&amp;")'!$a$2"),"")</f>
        <v>R</v>
      </c>
      <c r="AG456" s="8" t="str">
        <f ca="1">IFERROR(IF(C456=0,"",IF(AND(VLOOKUP(PlayerGameData[[#This Row],[Opponent]],WYTeamInfo,2,FALSE)=Roster!$D$1,VLOOKUP(PlayerGameData[[#This Row],[Opponent]],WYTeamInfo,3,FALSE)=Roster!$D$2),"SR","")),"")</f>
        <v>SR</v>
      </c>
      <c r="AH456" s="8" t="str">
        <f>CONCATENATE(Roster!$D$1," ",Roster!$D$5)</f>
        <v>1A BB</v>
      </c>
      <c r="AI456" s="8" t="str">
        <f t="shared" ca="1" si="242"/>
        <v>Upton - Hulett 2/17/2023</v>
      </c>
      <c r="AJ456" s="8">
        <f ca="1">IFERROR(VLOOKUP(PlayerGameData[[#This Row],[School, Opponent,Game'#]],Table3[],2,FALSE),0)</f>
        <v>1</v>
      </c>
      <c r="AK456" s="8">
        <f ca="1">IF(PlayerGameData[[#This Row],[Visible]]=1,1,1000)</f>
        <v>1</v>
      </c>
      <c r="AL456" s="8">
        <f ca="1">RANK(PlayerGameData[[#This Row],[TL PTS]],PlayerGameData[TL PTS],0)+PlayerGameData[[#This Row],[VisibleOrder]]</f>
        <v>185</v>
      </c>
      <c r="AM456" s="8">
        <f ca="1">IF(COUNTIF(PlayerGameData[PointOrder],PlayerGameData[[#This Row],[PointOrder]])&gt;1,RANK(PlayerGameData[[#This Row],[FGA]],PlayerGameData[FGA],0)/100,0)+PlayerGameData[[#This Row],[PointOrder]]</f>
        <v>187.14</v>
      </c>
      <c r="AN456" s="8">
        <f ca="1">RANK(PlayerGameData[[#This Row],[PointTieBreak]],PlayerGameData[PointTieBreak],1)</f>
        <v>216</v>
      </c>
      <c r="AO456" s="8">
        <f ca="1">RANK(PlayerGameData[[#This Row],[REB]],PlayerGameData[REB],0)+PlayerGameData[[#This Row],[VisibleOrder]]</f>
        <v>192</v>
      </c>
      <c r="AP456" s="8">
        <f ca="1">IF(COUNTIF(PlayerGameData[REBOrder],PlayerGameData[[#This Row],[REBOrder]])&gt;1,PlayerGameData[[#This Row],[PointRank]]/100+PlayerGameData[[#This Row],[REBOrder]],PlayerGameData[[#This Row],[REBOrder]])</f>
        <v>194.16</v>
      </c>
      <c r="AQ456" s="8">
        <f ca="1">RANK(PlayerGameData[[#This Row],[REBTieBreak]],PlayerGameData[REBTieBreak],1)</f>
        <v>224</v>
      </c>
      <c r="AR456" s="8">
        <f ca="1">RANK(PlayerGameData[[#This Row],[AST]],PlayerGameData[AST],0)+PlayerGameData[[#This Row],[VisibleOrder]]</f>
        <v>158</v>
      </c>
      <c r="AS456" s="8">
        <f ca="1">IF(COUNTIF(PlayerGameData[ASTOrder],PlayerGameData[[#This Row],[ASTOrder]])&gt;1,PlayerGameData[[#This Row],[PointRank]]/100+PlayerGameData[[#This Row],[ASTOrder]],PlayerGameData[[#This Row],[ASTOrder]])</f>
        <v>160.16</v>
      </c>
      <c r="AT456" s="8">
        <f ca="1">RANK(PlayerGameData[[#This Row],[ASTTieBreak]],PlayerGameData[ASTTieBreak],1)</f>
        <v>221</v>
      </c>
      <c r="AU456" s="8">
        <f ca="1">RANK(PlayerGameData[[#This Row],[STL]],PlayerGameData[STL],0)+PlayerGameData[[#This Row],[VisibleOrder]]</f>
        <v>143</v>
      </c>
      <c r="AV456" s="8">
        <f ca="1">IF(COUNTIF(PlayerGameData[STLOrder],PlayerGameData[[#This Row],[STLOrder]])&gt;1,PlayerGameData[[#This Row],[PointRank]]/100+PlayerGameData[[#This Row],[STLOrder]],PlayerGameData[[#This Row],[STLOrder]])</f>
        <v>145.16</v>
      </c>
      <c r="AW456" s="8">
        <f ca="1">RANK(PlayerGameData[[#This Row],[STLTieBreak]],PlayerGameData[STLTieBreak],1)</f>
        <v>217</v>
      </c>
      <c r="AX456" s="8">
        <f ca="1">RANK(PlayerGameData[[#This Row],[BLK]],PlayerGameData[BLK],0)+PlayerGameData[[#This Row],[VisibleOrder]]</f>
        <v>32</v>
      </c>
      <c r="AY456" s="8">
        <f ca="1">IF(COUNTIF(PlayerGameData[BLKOrder],PlayerGameData[[#This Row],[BLKOrder]])&gt;1,PlayerGameData[[#This Row],[PointRank]]/100+PlayerGameData[[#This Row],[BLKOrder]],PlayerGameData[[#This Row],[BLKOrder]])</f>
        <v>34.159999999999997</v>
      </c>
      <c r="AZ456" s="8">
        <f ca="1">RANK(PlayerGameData[[#This Row],[BLKTieBreak]],PlayerGameData[BLKTieBreak],1)</f>
        <v>216</v>
      </c>
      <c r="BA456" s="11">
        <f ca="1">IFERROR(IF(PlayerGameData[[#This Row],[FGA]]&gt;$AA$5,PlayerGameData[[#This Row],[FG%*]],PlayerGameData[[#This Row],[FG%*]]*-1),-2)</f>
        <v>-2</v>
      </c>
      <c r="BB456" s="8">
        <f ca="1">RANK(PlayerGameData[[#This Row],[EligFG]],PlayerGameData[EligFG],0)+PlayerGameData[[#This Row],[VisibleOrder]]</f>
        <v>215</v>
      </c>
      <c r="BC456" s="8">
        <f ca="1">IF(COUNTIF(PlayerGameData[EligFGOrder],PlayerGameData[[#This Row],[EligFGOrder]])&gt;1,PlayerGameData[[#This Row],[PointRank]]/100+PlayerGameData[[#This Row],[EligFGOrder]],PlayerGameData[[#This Row],[EligFGOrder]])</f>
        <v>217.16</v>
      </c>
      <c r="BD456" s="8">
        <f ca="1">RANK(PlayerGameData[[#This Row],[EligFGTieBreak]],PlayerGameData[EligFGTieBreak],1)</f>
        <v>216</v>
      </c>
      <c r="BE456" s="8" t="str">
        <f>Roster!$D$3</f>
        <v>East</v>
      </c>
      <c r="BF456" s="8" t="str">
        <f>Roster!$D$2</f>
        <v>Northeast</v>
      </c>
      <c r="BG456" s="8" t="str">
        <f>Roster!$D$4</f>
        <v>North</v>
      </c>
      <c r="BH456" s="197">
        <f ca="1">IFERROR(VLOOKUP(CONCATENATE(PlayerGameData[[#This Row],[Opponent]]," ",MONTH(PlayerGameData[[#This Row],[Date]]),"/",DAY(PlayerGameData[[#This Row],[Date]]),"/",YEAR(PlayerGameData[[#This Row],[Date]])),Table35[],2,FALSE),0)</f>
        <v>1</v>
      </c>
      <c r="BI456" s="197">
        <f ca="1">IF(PlayerGameData[[#This Row],[Visible]]=1,1,1000)</f>
        <v>1</v>
      </c>
      <c r="BJ456" s="197" t="e">
        <f ca="1">_xlfn.MAXIFS(TeamGameData[Win],TeamGameData[School, Opponent,Game'#],PlayerGameData[[#This Row],[School, Opponent,Game'#]])</f>
        <v>#NAME?</v>
      </c>
      <c r="BK456" s="197" t="e">
        <f ca="1">_xlfn.MAXIFS(TeamGameData[Loss],TeamGameData[School, Opponent,Game'#],PlayerGameData[[#This Row],[School, Opponent,Game'#]])</f>
        <v>#NAME?</v>
      </c>
    </row>
    <row r="457" spans="1:63" x14ac:dyDescent="0.25">
      <c r="A457" s="8" t="str">
        <f t="shared" ca="1" si="243"/>
        <v xml:space="preserve">, </v>
      </c>
      <c r="B457" s="8" t="str">
        <f>Roster!$B$1</f>
        <v>Upton</v>
      </c>
      <c r="C457" s="8" t="str">
        <f t="shared" ca="1" si="231"/>
        <v>Hulett</v>
      </c>
      <c r="D457" s="10">
        <f t="shared" ca="1" si="232"/>
        <v>44974</v>
      </c>
      <c r="E457" s="8">
        <f t="shared" ca="1" si="233"/>
        <v>0</v>
      </c>
      <c r="F457" s="8">
        <f t="shared" ca="1" si="234"/>
        <v>0</v>
      </c>
      <c r="G457" s="8">
        <f t="shared" ca="1" si="235"/>
        <v>0</v>
      </c>
      <c r="H457" s="8">
        <f t="shared" ca="1" si="236"/>
        <v>0</v>
      </c>
      <c r="I457" s="8">
        <f t="shared" ca="1" si="237"/>
        <v>0</v>
      </c>
      <c r="J457" s="8">
        <f t="shared" ca="1" si="238"/>
        <v>0</v>
      </c>
      <c r="K457" s="8">
        <f t="shared" ca="1" si="239"/>
        <v>0</v>
      </c>
      <c r="L457" s="8">
        <f t="shared" ca="1" si="244"/>
        <v>0</v>
      </c>
      <c r="M457" s="8">
        <f t="shared" ca="1" si="245"/>
        <v>0</v>
      </c>
      <c r="N457" s="8">
        <f t="shared" ca="1" si="246"/>
        <v>0</v>
      </c>
      <c r="O457" s="8">
        <f t="shared" ca="1" si="247"/>
        <v>0</v>
      </c>
      <c r="P457" s="8">
        <f t="shared" ca="1" si="248"/>
        <v>0</v>
      </c>
      <c r="Q457" s="8">
        <f t="shared" ca="1" si="249"/>
        <v>0</v>
      </c>
      <c r="R457" s="8">
        <f t="shared" ca="1" si="250"/>
        <v>0</v>
      </c>
      <c r="S457" s="8">
        <f t="shared" ca="1" si="251"/>
        <v>0</v>
      </c>
      <c r="T457" s="8">
        <f t="shared" ca="1" si="252"/>
        <v>0</v>
      </c>
      <c r="U457" s="8">
        <f t="shared" ca="1" si="253"/>
        <v>0</v>
      </c>
      <c r="V457" s="8">
        <f t="shared" ca="1" si="254"/>
        <v>0</v>
      </c>
      <c r="W457" s="11" t="str">
        <f t="shared" ca="1" si="255"/>
        <v/>
      </c>
      <c r="X457" s="11" t="str">
        <f t="shared" ca="1" si="256"/>
        <v/>
      </c>
      <c r="Y457" s="11" t="str">
        <f t="shared" ca="1" si="257"/>
        <v/>
      </c>
      <c r="Z457" s="11" t="str">
        <f t="shared" ca="1" si="258"/>
        <v/>
      </c>
      <c r="AA457" s="11" t="str">
        <f t="shared" ca="1" si="259"/>
        <v/>
      </c>
      <c r="AB457" s="47">
        <f ca="1">PlayerGameData[[#This Row],[3FGA]]+PlayerGameData[[#This Row],[2FGA]]</f>
        <v>0</v>
      </c>
      <c r="AC457" s="47">
        <f ca="1">PlayerGameData[[#This Row],[OFF REB]]+PlayerGameData[[#This Row],[DEF REB]]</f>
        <v>0</v>
      </c>
      <c r="AD457" s="8">
        <f t="shared" si="240"/>
        <v>19</v>
      </c>
      <c r="AE457" s="8" t="str">
        <f t="shared" ca="1" si="241"/>
        <v>,  - Hulett 2/17/2023</v>
      </c>
      <c r="AF457" s="8" t="str">
        <f t="shared" ca="1" si="260"/>
        <v>R</v>
      </c>
      <c r="AG457" s="8" t="str">
        <f ca="1">IFERROR(IF(C457=0,"",IF(AND(VLOOKUP(PlayerGameData[[#This Row],[Opponent]],WYTeamInfo,2,FALSE)=Roster!$D$1,VLOOKUP(PlayerGameData[[#This Row],[Opponent]],WYTeamInfo,3,FALSE)=Roster!$D$2),"SR","")),"")</f>
        <v>SR</v>
      </c>
      <c r="AH457" s="8" t="str">
        <f>CONCATENATE(Roster!$D$1," ",Roster!$D$5)</f>
        <v>1A BB</v>
      </c>
      <c r="AI457" s="8" t="str">
        <f t="shared" ca="1" si="242"/>
        <v>Upton - Hulett 2/17/2023</v>
      </c>
      <c r="AJ457" s="8">
        <f ca="1">IFERROR(VLOOKUP(PlayerGameData[[#This Row],[School, Opponent,Game'#]],Table3[],2,FALSE),0)</f>
        <v>1</v>
      </c>
      <c r="AK457" s="8">
        <f ca="1">IF(PlayerGameData[[#This Row],[Visible]]=1,1,1000)</f>
        <v>1</v>
      </c>
      <c r="AL457" s="8">
        <f ca="1">RANK(PlayerGameData[[#This Row],[TL PTS]],PlayerGameData[TL PTS],0)+PlayerGameData[[#This Row],[VisibleOrder]]</f>
        <v>185</v>
      </c>
      <c r="AM457" s="8">
        <f ca="1">IF(COUNTIF(PlayerGameData[PointOrder],PlayerGameData[[#This Row],[PointOrder]])&gt;1,RANK(PlayerGameData[[#This Row],[FGA]],PlayerGameData[FGA],0)/100,0)+PlayerGameData[[#This Row],[PointOrder]]</f>
        <v>187.14</v>
      </c>
      <c r="AN457" s="8">
        <f ca="1">RANK(PlayerGameData[[#This Row],[PointTieBreak]],PlayerGameData[PointTieBreak],1)</f>
        <v>216</v>
      </c>
      <c r="AO457" s="8">
        <f ca="1">RANK(PlayerGameData[[#This Row],[REB]],PlayerGameData[REB],0)+PlayerGameData[[#This Row],[VisibleOrder]]</f>
        <v>192</v>
      </c>
      <c r="AP457" s="8">
        <f ca="1">IF(COUNTIF(PlayerGameData[REBOrder],PlayerGameData[[#This Row],[REBOrder]])&gt;1,PlayerGameData[[#This Row],[PointRank]]/100+PlayerGameData[[#This Row],[REBOrder]],PlayerGameData[[#This Row],[REBOrder]])</f>
        <v>194.16</v>
      </c>
      <c r="AQ457" s="8">
        <f ca="1">RANK(PlayerGameData[[#This Row],[REBTieBreak]],PlayerGameData[REBTieBreak],1)</f>
        <v>224</v>
      </c>
      <c r="AR457" s="8">
        <f ca="1">RANK(PlayerGameData[[#This Row],[AST]],PlayerGameData[AST],0)+PlayerGameData[[#This Row],[VisibleOrder]]</f>
        <v>158</v>
      </c>
      <c r="AS457" s="8">
        <f ca="1">IF(COUNTIF(PlayerGameData[ASTOrder],PlayerGameData[[#This Row],[ASTOrder]])&gt;1,PlayerGameData[[#This Row],[PointRank]]/100+PlayerGameData[[#This Row],[ASTOrder]],PlayerGameData[[#This Row],[ASTOrder]])</f>
        <v>160.16</v>
      </c>
      <c r="AT457" s="8">
        <f ca="1">RANK(PlayerGameData[[#This Row],[ASTTieBreak]],PlayerGameData[ASTTieBreak],1)</f>
        <v>221</v>
      </c>
      <c r="AU457" s="8">
        <f ca="1">RANK(PlayerGameData[[#This Row],[STL]],PlayerGameData[STL],0)+PlayerGameData[[#This Row],[VisibleOrder]]</f>
        <v>143</v>
      </c>
      <c r="AV457" s="8">
        <f ca="1">IF(COUNTIF(PlayerGameData[STLOrder],PlayerGameData[[#This Row],[STLOrder]])&gt;1,PlayerGameData[[#This Row],[PointRank]]/100+PlayerGameData[[#This Row],[STLOrder]],PlayerGameData[[#This Row],[STLOrder]])</f>
        <v>145.16</v>
      </c>
      <c r="AW457" s="8">
        <f ca="1">RANK(PlayerGameData[[#This Row],[STLTieBreak]],PlayerGameData[STLTieBreak],1)</f>
        <v>217</v>
      </c>
      <c r="AX457" s="8">
        <f ca="1">RANK(PlayerGameData[[#This Row],[BLK]],PlayerGameData[BLK],0)+PlayerGameData[[#This Row],[VisibleOrder]]</f>
        <v>32</v>
      </c>
      <c r="AY457" s="8">
        <f ca="1">IF(COUNTIF(PlayerGameData[BLKOrder],PlayerGameData[[#This Row],[BLKOrder]])&gt;1,PlayerGameData[[#This Row],[PointRank]]/100+PlayerGameData[[#This Row],[BLKOrder]],PlayerGameData[[#This Row],[BLKOrder]])</f>
        <v>34.159999999999997</v>
      </c>
      <c r="AZ457" s="8">
        <f ca="1">RANK(PlayerGameData[[#This Row],[BLKTieBreak]],PlayerGameData[BLKTieBreak],1)</f>
        <v>216</v>
      </c>
      <c r="BA457" s="11">
        <f ca="1">IFERROR(IF(PlayerGameData[[#This Row],[FGA]]&gt;$AA$5,PlayerGameData[[#This Row],[FG%*]],PlayerGameData[[#This Row],[FG%*]]*-1),-2)</f>
        <v>-2</v>
      </c>
      <c r="BB457" s="8">
        <f ca="1">RANK(PlayerGameData[[#This Row],[EligFG]],PlayerGameData[EligFG],0)+PlayerGameData[[#This Row],[VisibleOrder]]</f>
        <v>215</v>
      </c>
      <c r="BC457" s="8">
        <f ca="1">IF(COUNTIF(PlayerGameData[EligFGOrder],PlayerGameData[[#This Row],[EligFGOrder]])&gt;1,PlayerGameData[[#This Row],[PointRank]]/100+PlayerGameData[[#This Row],[EligFGOrder]],PlayerGameData[[#This Row],[EligFGOrder]])</f>
        <v>217.16</v>
      </c>
      <c r="BD457" s="8">
        <f ca="1">RANK(PlayerGameData[[#This Row],[EligFGTieBreak]],PlayerGameData[EligFGTieBreak],1)</f>
        <v>216</v>
      </c>
      <c r="BE457" s="8" t="str">
        <f>Roster!$D$3</f>
        <v>East</v>
      </c>
      <c r="BF457" s="8" t="str">
        <f>Roster!$D$2</f>
        <v>Northeast</v>
      </c>
      <c r="BG457" s="8" t="str">
        <f>Roster!$D$4</f>
        <v>North</v>
      </c>
      <c r="BH457" s="197">
        <f ca="1">IFERROR(VLOOKUP(CONCATENATE(PlayerGameData[[#This Row],[Opponent]]," ",MONTH(PlayerGameData[[#This Row],[Date]]),"/",DAY(PlayerGameData[[#This Row],[Date]]),"/",YEAR(PlayerGameData[[#This Row],[Date]])),Table35[],2,FALSE),0)</f>
        <v>1</v>
      </c>
      <c r="BI457" s="197">
        <f ca="1">IF(PlayerGameData[[#This Row],[Visible]]=1,1,1000)</f>
        <v>1</v>
      </c>
      <c r="BJ457" s="197" t="e">
        <f ca="1">_xlfn.MAXIFS(TeamGameData[Win],TeamGameData[School, Opponent,Game'#],PlayerGameData[[#This Row],[School, Opponent,Game'#]])</f>
        <v>#NAME?</v>
      </c>
      <c r="BK457" s="197" t="e">
        <f ca="1">_xlfn.MAXIFS(TeamGameData[Loss],TeamGameData[School, Opponent,Game'#],PlayerGameData[[#This Row],[School, Opponent,Game'#]])</f>
        <v>#NAME?</v>
      </c>
    </row>
    <row r="458" spans="1:63" x14ac:dyDescent="0.25">
      <c r="A458" s="8" t="str">
        <f t="shared" ca="1" si="243"/>
        <v xml:space="preserve">, </v>
      </c>
      <c r="B458" s="8" t="str">
        <f>Roster!$B$1</f>
        <v>Upton</v>
      </c>
      <c r="C458" s="8" t="str">
        <f t="shared" ca="1" si="231"/>
        <v>Hulett</v>
      </c>
      <c r="D458" s="10">
        <f t="shared" ca="1" si="232"/>
        <v>44974</v>
      </c>
      <c r="E458" s="8">
        <f t="shared" ca="1" si="233"/>
        <v>0</v>
      </c>
      <c r="F458" s="8">
        <f t="shared" ca="1" si="234"/>
        <v>0</v>
      </c>
      <c r="G458" s="8">
        <f t="shared" ca="1" si="235"/>
        <v>0</v>
      </c>
      <c r="H458" s="8">
        <f t="shared" ca="1" si="236"/>
        <v>0</v>
      </c>
      <c r="I458" s="8">
        <f t="shared" ca="1" si="237"/>
        <v>0</v>
      </c>
      <c r="J458" s="8">
        <f t="shared" ca="1" si="238"/>
        <v>0</v>
      </c>
      <c r="K458" s="8">
        <f t="shared" ca="1" si="239"/>
        <v>0</v>
      </c>
      <c r="L458" s="8">
        <f t="shared" ca="1" si="244"/>
        <v>0</v>
      </c>
      <c r="M458" s="8">
        <f t="shared" ca="1" si="245"/>
        <v>0</v>
      </c>
      <c r="N458" s="8">
        <f t="shared" ca="1" si="246"/>
        <v>0</v>
      </c>
      <c r="O458" s="8">
        <f t="shared" ca="1" si="247"/>
        <v>0</v>
      </c>
      <c r="P458" s="8">
        <f t="shared" ca="1" si="248"/>
        <v>0</v>
      </c>
      <c r="Q458" s="8">
        <f t="shared" ca="1" si="249"/>
        <v>0</v>
      </c>
      <c r="R458" s="8">
        <f t="shared" ca="1" si="250"/>
        <v>0</v>
      </c>
      <c r="S458" s="8">
        <f t="shared" ca="1" si="251"/>
        <v>0</v>
      </c>
      <c r="T458" s="8">
        <f t="shared" ca="1" si="252"/>
        <v>0</v>
      </c>
      <c r="U458" s="8">
        <f t="shared" ca="1" si="253"/>
        <v>0</v>
      </c>
      <c r="V458" s="8">
        <f t="shared" ca="1" si="254"/>
        <v>0</v>
      </c>
      <c r="W458" s="11" t="str">
        <f t="shared" ca="1" si="255"/>
        <v/>
      </c>
      <c r="X458" s="11" t="str">
        <f t="shared" ca="1" si="256"/>
        <v/>
      </c>
      <c r="Y458" s="11" t="str">
        <f t="shared" ca="1" si="257"/>
        <v/>
      </c>
      <c r="Z458" s="11" t="str">
        <f t="shared" ca="1" si="258"/>
        <v/>
      </c>
      <c r="AA458" s="11" t="str">
        <f t="shared" ca="1" si="259"/>
        <v/>
      </c>
      <c r="AB458" s="47">
        <f ca="1">PlayerGameData[[#This Row],[3FGA]]+PlayerGameData[[#This Row],[2FGA]]</f>
        <v>0</v>
      </c>
      <c r="AC458" s="47">
        <f ca="1">PlayerGameData[[#This Row],[OFF REB]]+PlayerGameData[[#This Row],[DEF REB]]</f>
        <v>0</v>
      </c>
      <c r="AD458" s="8">
        <f t="shared" si="240"/>
        <v>19</v>
      </c>
      <c r="AE458" s="8" t="str">
        <f t="shared" ca="1" si="241"/>
        <v>,  - Hulett 2/17/2023</v>
      </c>
      <c r="AF458" s="8" t="str">
        <f t="shared" ca="1" si="260"/>
        <v>R</v>
      </c>
      <c r="AG458" s="8" t="str">
        <f ca="1">IFERROR(IF(C458=0,"",IF(AND(VLOOKUP(PlayerGameData[[#This Row],[Opponent]],WYTeamInfo,2,FALSE)=Roster!$D$1,VLOOKUP(PlayerGameData[[#This Row],[Opponent]],WYTeamInfo,3,FALSE)=Roster!$D$2),"SR","")),"")</f>
        <v>SR</v>
      </c>
      <c r="AH458" s="8" t="str">
        <f>CONCATENATE(Roster!$D$1," ",Roster!$D$5)</f>
        <v>1A BB</v>
      </c>
      <c r="AI458" s="8" t="str">
        <f t="shared" ca="1" si="242"/>
        <v>Upton - Hulett 2/17/2023</v>
      </c>
      <c r="AJ458" s="8">
        <f ca="1">IFERROR(VLOOKUP(PlayerGameData[[#This Row],[School, Opponent,Game'#]],Table3[],2,FALSE),0)</f>
        <v>1</v>
      </c>
      <c r="AK458" s="8">
        <f ca="1">IF(PlayerGameData[[#This Row],[Visible]]=1,1,1000)</f>
        <v>1</v>
      </c>
      <c r="AL458" s="8">
        <f ca="1">RANK(PlayerGameData[[#This Row],[TL PTS]],PlayerGameData[TL PTS],0)+PlayerGameData[[#This Row],[VisibleOrder]]</f>
        <v>185</v>
      </c>
      <c r="AM458" s="8">
        <f ca="1">IF(COUNTIF(PlayerGameData[PointOrder],PlayerGameData[[#This Row],[PointOrder]])&gt;1,RANK(PlayerGameData[[#This Row],[FGA]],PlayerGameData[FGA],0)/100,0)+PlayerGameData[[#This Row],[PointOrder]]</f>
        <v>187.14</v>
      </c>
      <c r="AN458" s="8">
        <f ca="1">RANK(PlayerGameData[[#This Row],[PointTieBreak]],PlayerGameData[PointTieBreak],1)</f>
        <v>216</v>
      </c>
      <c r="AO458" s="8">
        <f ca="1">RANK(PlayerGameData[[#This Row],[REB]],PlayerGameData[REB],0)+PlayerGameData[[#This Row],[VisibleOrder]]</f>
        <v>192</v>
      </c>
      <c r="AP458" s="8">
        <f ca="1">IF(COUNTIF(PlayerGameData[REBOrder],PlayerGameData[[#This Row],[REBOrder]])&gt;1,PlayerGameData[[#This Row],[PointRank]]/100+PlayerGameData[[#This Row],[REBOrder]],PlayerGameData[[#This Row],[REBOrder]])</f>
        <v>194.16</v>
      </c>
      <c r="AQ458" s="8">
        <f ca="1">RANK(PlayerGameData[[#This Row],[REBTieBreak]],PlayerGameData[REBTieBreak],1)</f>
        <v>224</v>
      </c>
      <c r="AR458" s="8">
        <f ca="1">RANK(PlayerGameData[[#This Row],[AST]],PlayerGameData[AST],0)+PlayerGameData[[#This Row],[VisibleOrder]]</f>
        <v>158</v>
      </c>
      <c r="AS458" s="8">
        <f ca="1">IF(COUNTIF(PlayerGameData[ASTOrder],PlayerGameData[[#This Row],[ASTOrder]])&gt;1,PlayerGameData[[#This Row],[PointRank]]/100+PlayerGameData[[#This Row],[ASTOrder]],PlayerGameData[[#This Row],[ASTOrder]])</f>
        <v>160.16</v>
      </c>
      <c r="AT458" s="8">
        <f ca="1">RANK(PlayerGameData[[#This Row],[ASTTieBreak]],PlayerGameData[ASTTieBreak],1)</f>
        <v>221</v>
      </c>
      <c r="AU458" s="8">
        <f ca="1">RANK(PlayerGameData[[#This Row],[STL]],PlayerGameData[STL],0)+PlayerGameData[[#This Row],[VisibleOrder]]</f>
        <v>143</v>
      </c>
      <c r="AV458" s="8">
        <f ca="1">IF(COUNTIF(PlayerGameData[STLOrder],PlayerGameData[[#This Row],[STLOrder]])&gt;1,PlayerGameData[[#This Row],[PointRank]]/100+PlayerGameData[[#This Row],[STLOrder]],PlayerGameData[[#This Row],[STLOrder]])</f>
        <v>145.16</v>
      </c>
      <c r="AW458" s="8">
        <f ca="1">RANK(PlayerGameData[[#This Row],[STLTieBreak]],PlayerGameData[STLTieBreak],1)</f>
        <v>217</v>
      </c>
      <c r="AX458" s="8">
        <f ca="1">RANK(PlayerGameData[[#This Row],[BLK]],PlayerGameData[BLK],0)+PlayerGameData[[#This Row],[VisibleOrder]]</f>
        <v>32</v>
      </c>
      <c r="AY458" s="8">
        <f ca="1">IF(COUNTIF(PlayerGameData[BLKOrder],PlayerGameData[[#This Row],[BLKOrder]])&gt;1,PlayerGameData[[#This Row],[PointRank]]/100+PlayerGameData[[#This Row],[BLKOrder]],PlayerGameData[[#This Row],[BLKOrder]])</f>
        <v>34.159999999999997</v>
      </c>
      <c r="AZ458" s="8">
        <f ca="1">RANK(PlayerGameData[[#This Row],[BLKTieBreak]],PlayerGameData[BLKTieBreak],1)</f>
        <v>216</v>
      </c>
      <c r="BA458" s="11">
        <f ca="1">IFERROR(IF(PlayerGameData[[#This Row],[FGA]]&gt;$AA$5,PlayerGameData[[#This Row],[FG%*]],PlayerGameData[[#This Row],[FG%*]]*-1),-2)</f>
        <v>-2</v>
      </c>
      <c r="BB458" s="8">
        <f ca="1">RANK(PlayerGameData[[#This Row],[EligFG]],PlayerGameData[EligFG],0)+PlayerGameData[[#This Row],[VisibleOrder]]</f>
        <v>215</v>
      </c>
      <c r="BC458" s="8">
        <f ca="1">IF(COUNTIF(PlayerGameData[EligFGOrder],PlayerGameData[[#This Row],[EligFGOrder]])&gt;1,PlayerGameData[[#This Row],[PointRank]]/100+PlayerGameData[[#This Row],[EligFGOrder]],PlayerGameData[[#This Row],[EligFGOrder]])</f>
        <v>217.16</v>
      </c>
      <c r="BD458" s="8">
        <f ca="1">RANK(PlayerGameData[[#This Row],[EligFGTieBreak]],PlayerGameData[EligFGTieBreak],1)</f>
        <v>216</v>
      </c>
      <c r="BE458" s="8" t="str">
        <f>Roster!$D$3</f>
        <v>East</v>
      </c>
      <c r="BF458" s="8" t="str">
        <f>Roster!$D$2</f>
        <v>Northeast</v>
      </c>
      <c r="BG458" s="8" t="str">
        <f>Roster!$D$4</f>
        <v>North</v>
      </c>
      <c r="BH458" s="197">
        <f ca="1">IFERROR(VLOOKUP(CONCATENATE(PlayerGameData[[#This Row],[Opponent]]," ",MONTH(PlayerGameData[[#This Row],[Date]]),"/",DAY(PlayerGameData[[#This Row],[Date]]),"/",YEAR(PlayerGameData[[#This Row],[Date]])),Table35[],2,FALSE),0)</f>
        <v>1</v>
      </c>
      <c r="BI458" s="197">
        <f ca="1">IF(PlayerGameData[[#This Row],[Visible]]=1,1,1000)</f>
        <v>1</v>
      </c>
      <c r="BJ458" s="197" t="e">
        <f ca="1">_xlfn.MAXIFS(TeamGameData[Win],TeamGameData[School, Opponent,Game'#],PlayerGameData[[#This Row],[School, Opponent,Game'#]])</f>
        <v>#NAME?</v>
      </c>
      <c r="BK458" s="197" t="e">
        <f ca="1">_xlfn.MAXIFS(TeamGameData[Loss],TeamGameData[School, Opponent,Game'#],PlayerGameData[[#This Row],[School, Opponent,Game'#]])</f>
        <v>#NAME?</v>
      </c>
    </row>
    <row r="459" spans="1:63" x14ac:dyDescent="0.25">
      <c r="A459" s="8" t="str">
        <f t="shared" ca="1" si="243"/>
        <v xml:space="preserve">, </v>
      </c>
      <c r="B459" s="8" t="str">
        <f>Roster!$B$1</f>
        <v>Upton</v>
      </c>
      <c r="C459" s="8" t="str">
        <f t="shared" ca="1" si="231"/>
        <v>Hulett</v>
      </c>
      <c r="D459" s="10">
        <f t="shared" ca="1" si="232"/>
        <v>44974</v>
      </c>
      <c r="E459" s="8">
        <f t="shared" ca="1" si="233"/>
        <v>0</v>
      </c>
      <c r="F459" s="8">
        <f t="shared" ca="1" si="234"/>
        <v>0</v>
      </c>
      <c r="G459" s="8">
        <f t="shared" ca="1" si="235"/>
        <v>0</v>
      </c>
      <c r="H459" s="8">
        <f t="shared" ca="1" si="236"/>
        <v>0</v>
      </c>
      <c r="I459" s="8">
        <f t="shared" ca="1" si="237"/>
        <v>0</v>
      </c>
      <c r="J459" s="8">
        <f t="shared" ca="1" si="238"/>
        <v>0</v>
      </c>
      <c r="K459" s="8">
        <f t="shared" ca="1" si="239"/>
        <v>0</v>
      </c>
      <c r="L459" s="8">
        <f t="shared" ca="1" si="244"/>
        <v>0</v>
      </c>
      <c r="M459" s="8">
        <f t="shared" ca="1" si="245"/>
        <v>0</v>
      </c>
      <c r="N459" s="8">
        <f t="shared" ca="1" si="246"/>
        <v>0</v>
      </c>
      <c r="O459" s="8">
        <f t="shared" ca="1" si="247"/>
        <v>0</v>
      </c>
      <c r="P459" s="8">
        <f t="shared" ca="1" si="248"/>
        <v>0</v>
      </c>
      <c r="Q459" s="8">
        <f t="shared" ca="1" si="249"/>
        <v>0</v>
      </c>
      <c r="R459" s="8">
        <f t="shared" ca="1" si="250"/>
        <v>0</v>
      </c>
      <c r="S459" s="8">
        <f t="shared" ca="1" si="251"/>
        <v>0</v>
      </c>
      <c r="T459" s="8">
        <f t="shared" ca="1" si="252"/>
        <v>0</v>
      </c>
      <c r="U459" s="8">
        <f t="shared" ca="1" si="253"/>
        <v>0</v>
      </c>
      <c r="V459" s="8">
        <f t="shared" ca="1" si="254"/>
        <v>0</v>
      </c>
      <c r="W459" s="11" t="str">
        <f t="shared" ca="1" si="255"/>
        <v/>
      </c>
      <c r="X459" s="11" t="str">
        <f t="shared" ca="1" si="256"/>
        <v/>
      </c>
      <c r="Y459" s="11" t="str">
        <f t="shared" ca="1" si="257"/>
        <v/>
      </c>
      <c r="Z459" s="11" t="str">
        <f t="shared" ca="1" si="258"/>
        <v/>
      </c>
      <c r="AA459" s="11" t="str">
        <f t="shared" ca="1" si="259"/>
        <v/>
      </c>
      <c r="AB459" s="47">
        <f ca="1">PlayerGameData[[#This Row],[3FGA]]+PlayerGameData[[#This Row],[2FGA]]</f>
        <v>0</v>
      </c>
      <c r="AC459" s="47">
        <f ca="1">PlayerGameData[[#This Row],[OFF REB]]+PlayerGameData[[#This Row],[DEF REB]]</f>
        <v>0</v>
      </c>
      <c r="AD459" s="8">
        <f t="shared" si="240"/>
        <v>19</v>
      </c>
      <c r="AE459" s="8" t="str">
        <f t="shared" ca="1" si="241"/>
        <v>,  - Hulett 2/17/2023</v>
      </c>
      <c r="AF459" s="8" t="str">
        <f t="shared" ca="1" si="260"/>
        <v>R</v>
      </c>
      <c r="AG459" s="8" t="str">
        <f ca="1">IFERROR(IF(C459=0,"",IF(AND(VLOOKUP(PlayerGameData[[#This Row],[Opponent]],WYTeamInfo,2,FALSE)=Roster!$D$1,VLOOKUP(PlayerGameData[[#This Row],[Opponent]],WYTeamInfo,3,FALSE)=Roster!$D$2),"SR","")),"")</f>
        <v>SR</v>
      </c>
      <c r="AH459" s="8" t="str">
        <f>CONCATENATE(Roster!$D$1," ",Roster!$D$5)</f>
        <v>1A BB</v>
      </c>
      <c r="AI459" s="8" t="str">
        <f t="shared" ca="1" si="242"/>
        <v>Upton - Hulett 2/17/2023</v>
      </c>
      <c r="AJ459" s="8">
        <f ca="1">IFERROR(VLOOKUP(PlayerGameData[[#This Row],[School, Opponent,Game'#]],Table3[],2,FALSE),0)</f>
        <v>1</v>
      </c>
      <c r="AK459" s="8">
        <f ca="1">IF(PlayerGameData[[#This Row],[Visible]]=1,1,1000)</f>
        <v>1</v>
      </c>
      <c r="AL459" s="8">
        <f ca="1">RANK(PlayerGameData[[#This Row],[TL PTS]],PlayerGameData[TL PTS],0)+PlayerGameData[[#This Row],[VisibleOrder]]</f>
        <v>185</v>
      </c>
      <c r="AM459" s="8">
        <f ca="1">IF(COUNTIF(PlayerGameData[PointOrder],PlayerGameData[[#This Row],[PointOrder]])&gt;1,RANK(PlayerGameData[[#This Row],[FGA]],PlayerGameData[FGA],0)/100,0)+PlayerGameData[[#This Row],[PointOrder]]</f>
        <v>187.14</v>
      </c>
      <c r="AN459" s="8">
        <f ca="1">RANK(PlayerGameData[[#This Row],[PointTieBreak]],PlayerGameData[PointTieBreak],1)</f>
        <v>216</v>
      </c>
      <c r="AO459" s="8">
        <f ca="1">RANK(PlayerGameData[[#This Row],[REB]],PlayerGameData[REB],0)+PlayerGameData[[#This Row],[VisibleOrder]]</f>
        <v>192</v>
      </c>
      <c r="AP459" s="8">
        <f ca="1">IF(COUNTIF(PlayerGameData[REBOrder],PlayerGameData[[#This Row],[REBOrder]])&gt;1,PlayerGameData[[#This Row],[PointRank]]/100+PlayerGameData[[#This Row],[REBOrder]],PlayerGameData[[#This Row],[REBOrder]])</f>
        <v>194.16</v>
      </c>
      <c r="AQ459" s="8">
        <f ca="1">RANK(PlayerGameData[[#This Row],[REBTieBreak]],PlayerGameData[REBTieBreak],1)</f>
        <v>224</v>
      </c>
      <c r="AR459" s="8">
        <f ca="1">RANK(PlayerGameData[[#This Row],[AST]],PlayerGameData[AST],0)+PlayerGameData[[#This Row],[VisibleOrder]]</f>
        <v>158</v>
      </c>
      <c r="AS459" s="8">
        <f ca="1">IF(COUNTIF(PlayerGameData[ASTOrder],PlayerGameData[[#This Row],[ASTOrder]])&gt;1,PlayerGameData[[#This Row],[PointRank]]/100+PlayerGameData[[#This Row],[ASTOrder]],PlayerGameData[[#This Row],[ASTOrder]])</f>
        <v>160.16</v>
      </c>
      <c r="AT459" s="8">
        <f ca="1">RANK(PlayerGameData[[#This Row],[ASTTieBreak]],PlayerGameData[ASTTieBreak],1)</f>
        <v>221</v>
      </c>
      <c r="AU459" s="8">
        <f ca="1">RANK(PlayerGameData[[#This Row],[STL]],PlayerGameData[STL],0)+PlayerGameData[[#This Row],[VisibleOrder]]</f>
        <v>143</v>
      </c>
      <c r="AV459" s="8">
        <f ca="1">IF(COUNTIF(PlayerGameData[STLOrder],PlayerGameData[[#This Row],[STLOrder]])&gt;1,PlayerGameData[[#This Row],[PointRank]]/100+PlayerGameData[[#This Row],[STLOrder]],PlayerGameData[[#This Row],[STLOrder]])</f>
        <v>145.16</v>
      </c>
      <c r="AW459" s="8">
        <f ca="1">RANK(PlayerGameData[[#This Row],[STLTieBreak]],PlayerGameData[STLTieBreak],1)</f>
        <v>217</v>
      </c>
      <c r="AX459" s="8">
        <f ca="1">RANK(PlayerGameData[[#This Row],[BLK]],PlayerGameData[BLK],0)+PlayerGameData[[#This Row],[VisibleOrder]]</f>
        <v>32</v>
      </c>
      <c r="AY459" s="8">
        <f ca="1">IF(COUNTIF(PlayerGameData[BLKOrder],PlayerGameData[[#This Row],[BLKOrder]])&gt;1,PlayerGameData[[#This Row],[PointRank]]/100+PlayerGameData[[#This Row],[BLKOrder]],PlayerGameData[[#This Row],[BLKOrder]])</f>
        <v>34.159999999999997</v>
      </c>
      <c r="AZ459" s="8">
        <f ca="1">RANK(PlayerGameData[[#This Row],[BLKTieBreak]],PlayerGameData[BLKTieBreak],1)</f>
        <v>216</v>
      </c>
      <c r="BA459" s="11">
        <f ca="1">IFERROR(IF(PlayerGameData[[#This Row],[FGA]]&gt;$AA$5,PlayerGameData[[#This Row],[FG%*]],PlayerGameData[[#This Row],[FG%*]]*-1),-2)</f>
        <v>-2</v>
      </c>
      <c r="BB459" s="8">
        <f ca="1">RANK(PlayerGameData[[#This Row],[EligFG]],PlayerGameData[EligFG],0)+PlayerGameData[[#This Row],[VisibleOrder]]</f>
        <v>215</v>
      </c>
      <c r="BC459" s="8">
        <f ca="1">IF(COUNTIF(PlayerGameData[EligFGOrder],PlayerGameData[[#This Row],[EligFGOrder]])&gt;1,PlayerGameData[[#This Row],[PointRank]]/100+PlayerGameData[[#This Row],[EligFGOrder]],PlayerGameData[[#This Row],[EligFGOrder]])</f>
        <v>217.16</v>
      </c>
      <c r="BD459" s="8">
        <f ca="1">RANK(PlayerGameData[[#This Row],[EligFGTieBreak]],PlayerGameData[EligFGTieBreak],1)</f>
        <v>216</v>
      </c>
      <c r="BE459" s="8" t="str">
        <f>Roster!$D$3</f>
        <v>East</v>
      </c>
      <c r="BF459" s="8" t="str">
        <f>Roster!$D$2</f>
        <v>Northeast</v>
      </c>
      <c r="BG459" s="8" t="str">
        <f>Roster!$D$4</f>
        <v>North</v>
      </c>
      <c r="BH459" s="197">
        <f ca="1">IFERROR(VLOOKUP(CONCATENATE(PlayerGameData[[#This Row],[Opponent]]," ",MONTH(PlayerGameData[[#This Row],[Date]]),"/",DAY(PlayerGameData[[#This Row],[Date]]),"/",YEAR(PlayerGameData[[#This Row],[Date]])),Table35[],2,FALSE),0)</f>
        <v>1</v>
      </c>
      <c r="BI459" s="197">
        <f ca="1">IF(PlayerGameData[[#This Row],[Visible]]=1,1,1000)</f>
        <v>1</v>
      </c>
      <c r="BJ459" s="197" t="e">
        <f ca="1">_xlfn.MAXIFS(TeamGameData[Win],TeamGameData[School, Opponent,Game'#],PlayerGameData[[#This Row],[School, Opponent,Game'#]])</f>
        <v>#NAME?</v>
      </c>
      <c r="BK459" s="197" t="e">
        <f ca="1">_xlfn.MAXIFS(TeamGameData[Loss],TeamGameData[School, Opponent,Game'#],PlayerGameData[[#This Row],[School, Opponent,Game'#]])</f>
        <v>#NAME?</v>
      </c>
    </row>
    <row r="460" spans="1:63" x14ac:dyDescent="0.25">
      <c r="A460" s="8" t="str">
        <f t="shared" ca="1" si="243"/>
        <v xml:space="preserve">, </v>
      </c>
      <c r="B460" s="8" t="str">
        <f>Roster!$B$1</f>
        <v>Upton</v>
      </c>
      <c r="C460" s="8" t="str">
        <f t="shared" ca="1" si="231"/>
        <v>Hulett</v>
      </c>
      <c r="D460" s="10">
        <f t="shared" ca="1" si="232"/>
        <v>44974</v>
      </c>
      <c r="E460" s="8">
        <f t="shared" ca="1" si="233"/>
        <v>0</v>
      </c>
      <c r="F460" s="8">
        <f t="shared" ca="1" si="234"/>
        <v>0</v>
      </c>
      <c r="G460" s="8">
        <f t="shared" ca="1" si="235"/>
        <v>0</v>
      </c>
      <c r="H460" s="8">
        <f t="shared" ca="1" si="236"/>
        <v>0</v>
      </c>
      <c r="I460" s="8">
        <f t="shared" ca="1" si="237"/>
        <v>0</v>
      </c>
      <c r="J460" s="8">
        <f t="shared" ca="1" si="238"/>
        <v>0</v>
      </c>
      <c r="K460" s="8">
        <f t="shared" ca="1" si="239"/>
        <v>0</v>
      </c>
      <c r="L460" s="8">
        <f t="shared" ca="1" si="244"/>
        <v>0</v>
      </c>
      <c r="M460" s="8">
        <f t="shared" ca="1" si="245"/>
        <v>0</v>
      </c>
      <c r="N460" s="8">
        <f t="shared" ca="1" si="246"/>
        <v>0</v>
      </c>
      <c r="O460" s="8">
        <f t="shared" ca="1" si="247"/>
        <v>0</v>
      </c>
      <c r="P460" s="8">
        <f t="shared" ca="1" si="248"/>
        <v>0</v>
      </c>
      <c r="Q460" s="8">
        <f t="shared" ca="1" si="249"/>
        <v>0</v>
      </c>
      <c r="R460" s="8">
        <f t="shared" ca="1" si="250"/>
        <v>0</v>
      </c>
      <c r="S460" s="8">
        <f t="shared" ca="1" si="251"/>
        <v>0</v>
      </c>
      <c r="T460" s="8">
        <f t="shared" ca="1" si="252"/>
        <v>0</v>
      </c>
      <c r="U460" s="8">
        <f t="shared" ca="1" si="253"/>
        <v>0</v>
      </c>
      <c r="V460" s="8">
        <f t="shared" ca="1" si="254"/>
        <v>0</v>
      </c>
      <c r="W460" s="11" t="str">
        <f t="shared" ca="1" si="255"/>
        <v/>
      </c>
      <c r="X460" s="11" t="str">
        <f t="shared" ca="1" si="256"/>
        <v/>
      </c>
      <c r="Y460" s="11" t="str">
        <f t="shared" ca="1" si="257"/>
        <v/>
      </c>
      <c r="Z460" s="11" t="str">
        <f t="shared" ca="1" si="258"/>
        <v/>
      </c>
      <c r="AA460" s="11" t="str">
        <f t="shared" ca="1" si="259"/>
        <v/>
      </c>
      <c r="AB460" s="47">
        <f ca="1">PlayerGameData[[#This Row],[3FGA]]+PlayerGameData[[#This Row],[2FGA]]</f>
        <v>0</v>
      </c>
      <c r="AC460" s="47">
        <f ca="1">PlayerGameData[[#This Row],[OFF REB]]+PlayerGameData[[#This Row],[DEF REB]]</f>
        <v>0</v>
      </c>
      <c r="AD460" s="8">
        <f t="shared" si="240"/>
        <v>19</v>
      </c>
      <c r="AE460" s="8" t="str">
        <f t="shared" ca="1" si="241"/>
        <v>,  - Hulett 2/17/2023</v>
      </c>
      <c r="AF460" s="8" t="str">
        <f t="shared" ca="1" si="260"/>
        <v>R</v>
      </c>
      <c r="AG460" s="8" t="str">
        <f ca="1">IFERROR(IF(C460=0,"",IF(AND(VLOOKUP(PlayerGameData[[#This Row],[Opponent]],WYTeamInfo,2,FALSE)=Roster!$D$1,VLOOKUP(PlayerGameData[[#This Row],[Opponent]],WYTeamInfo,3,FALSE)=Roster!$D$2),"SR","")),"")</f>
        <v>SR</v>
      </c>
      <c r="AH460" s="8" t="str">
        <f>CONCATENATE(Roster!$D$1," ",Roster!$D$5)</f>
        <v>1A BB</v>
      </c>
      <c r="AI460" s="8" t="str">
        <f t="shared" ca="1" si="242"/>
        <v>Upton - Hulett 2/17/2023</v>
      </c>
      <c r="AJ460" s="8">
        <f ca="1">IFERROR(VLOOKUP(PlayerGameData[[#This Row],[School, Opponent,Game'#]],Table3[],2,FALSE),0)</f>
        <v>1</v>
      </c>
      <c r="AK460" s="8">
        <f ca="1">IF(PlayerGameData[[#This Row],[Visible]]=1,1,1000)</f>
        <v>1</v>
      </c>
      <c r="AL460" s="8">
        <f ca="1">RANK(PlayerGameData[[#This Row],[TL PTS]],PlayerGameData[TL PTS],0)+PlayerGameData[[#This Row],[VisibleOrder]]</f>
        <v>185</v>
      </c>
      <c r="AM460" s="8">
        <f ca="1">IF(COUNTIF(PlayerGameData[PointOrder],PlayerGameData[[#This Row],[PointOrder]])&gt;1,RANK(PlayerGameData[[#This Row],[FGA]],PlayerGameData[FGA],0)/100,0)+PlayerGameData[[#This Row],[PointOrder]]</f>
        <v>187.14</v>
      </c>
      <c r="AN460" s="8">
        <f ca="1">RANK(PlayerGameData[[#This Row],[PointTieBreak]],PlayerGameData[PointTieBreak],1)</f>
        <v>216</v>
      </c>
      <c r="AO460" s="8">
        <f ca="1">RANK(PlayerGameData[[#This Row],[REB]],PlayerGameData[REB],0)+PlayerGameData[[#This Row],[VisibleOrder]]</f>
        <v>192</v>
      </c>
      <c r="AP460" s="8">
        <f ca="1">IF(COUNTIF(PlayerGameData[REBOrder],PlayerGameData[[#This Row],[REBOrder]])&gt;1,PlayerGameData[[#This Row],[PointRank]]/100+PlayerGameData[[#This Row],[REBOrder]],PlayerGameData[[#This Row],[REBOrder]])</f>
        <v>194.16</v>
      </c>
      <c r="AQ460" s="8">
        <f ca="1">RANK(PlayerGameData[[#This Row],[REBTieBreak]],PlayerGameData[REBTieBreak],1)</f>
        <v>224</v>
      </c>
      <c r="AR460" s="8">
        <f ca="1">RANK(PlayerGameData[[#This Row],[AST]],PlayerGameData[AST],0)+PlayerGameData[[#This Row],[VisibleOrder]]</f>
        <v>158</v>
      </c>
      <c r="AS460" s="8">
        <f ca="1">IF(COUNTIF(PlayerGameData[ASTOrder],PlayerGameData[[#This Row],[ASTOrder]])&gt;1,PlayerGameData[[#This Row],[PointRank]]/100+PlayerGameData[[#This Row],[ASTOrder]],PlayerGameData[[#This Row],[ASTOrder]])</f>
        <v>160.16</v>
      </c>
      <c r="AT460" s="8">
        <f ca="1">RANK(PlayerGameData[[#This Row],[ASTTieBreak]],PlayerGameData[ASTTieBreak],1)</f>
        <v>221</v>
      </c>
      <c r="AU460" s="8">
        <f ca="1">RANK(PlayerGameData[[#This Row],[STL]],PlayerGameData[STL],0)+PlayerGameData[[#This Row],[VisibleOrder]]</f>
        <v>143</v>
      </c>
      <c r="AV460" s="8">
        <f ca="1">IF(COUNTIF(PlayerGameData[STLOrder],PlayerGameData[[#This Row],[STLOrder]])&gt;1,PlayerGameData[[#This Row],[PointRank]]/100+PlayerGameData[[#This Row],[STLOrder]],PlayerGameData[[#This Row],[STLOrder]])</f>
        <v>145.16</v>
      </c>
      <c r="AW460" s="8">
        <f ca="1">RANK(PlayerGameData[[#This Row],[STLTieBreak]],PlayerGameData[STLTieBreak],1)</f>
        <v>217</v>
      </c>
      <c r="AX460" s="8">
        <f ca="1">RANK(PlayerGameData[[#This Row],[BLK]],PlayerGameData[BLK],0)+PlayerGameData[[#This Row],[VisibleOrder]]</f>
        <v>32</v>
      </c>
      <c r="AY460" s="8">
        <f ca="1">IF(COUNTIF(PlayerGameData[BLKOrder],PlayerGameData[[#This Row],[BLKOrder]])&gt;1,PlayerGameData[[#This Row],[PointRank]]/100+PlayerGameData[[#This Row],[BLKOrder]],PlayerGameData[[#This Row],[BLKOrder]])</f>
        <v>34.159999999999997</v>
      </c>
      <c r="AZ460" s="8">
        <f ca="1">RANK(PlayerGameData[[#This Row],[BLKTieBreak]],PlayerGameData[BLKTieBreak],1)</f>
        <v>216</v>
      </c>
      <c r="BA460" s="11">
        <f ca="1">IFERROR(IF(PlayerGameData[[#This Row],[FGA]]&gt;$AA$5,PlayerGameData[[#This Row],[FG%*]],PlayerGameData[[#This Row],[FG%*]]*-1),-2)</f>
        <v>-2</v>
      </c>
      <c r="BB460" s="8">
        <f ca="1">RANK(PlayerGameData[[#This Row],[EligFG]],PlayerGameData[EligFG],0)+PlayerGameData[[#This Row],[VisibleOrder]]</f>
        <v>215</v>
      </c>
      <c r="BC460" s="8">
        <f ca="1">IF(COUNTIF(PlayerGameData[EligFGOrder],PlayerGameData[[#This Row],[EligFGOrder]])&gt;1,PlayerGameData[[#This Row],[PointRank]]/100+PlayerGameData[[#This Row],[EligFGOrder]],PlayerGameData[[#This Row],[EligFGOrder]])</f>
        <v>217.16</v>
      </c>
      <c r="BD460" s="8">
        <f ca="1">RANK(PlayerGameData[[#This Row],[EligFGTieBreak]],PlayerGameData[EligFGTieBreak],1)</f>
        <v>216</v>
      </c>
      <c r="BE460" s="8" t="str">
        <f>Roster!$D$3</f>
        <v>East</v>
      </c>
      <c r="BF460" s="8" t="str">
        <f>Roster!$D$2</f>
        <v>Northeast</v>
      </c>
      <c r="BG460" s="8" t="str">
        <f>Roster!$D$4</f>
        <v>North</v>
      </c>
      <c r="BH460" s="197">
        <f ca="1">IFERROR(VLOOKUP(CONCATENATE(PlayerGameData[[#This Row],[Opponent]]," ",MONTH(PlayerGameData[[#This Row],[Date]]),"/",DAY(PlayerGameData[[#This Row],[Date]]),"/",YEAR(PlayerGameData[[#This Row],[Date]])),Table35[],2,FALSE),0)</f>
        <v>1</v>
      </c>
      <c r="BI460" s="197">
        <f ca="1">IF(PlayerGameData[[#This Row],[Visible]]=1,1,1000)</f>
        <v>1</v>
      </c>
      <c r="BJ460" s="197" t="e">
        <f ca="1">_xlfn.MAXIFS(TeamGameData[Win],TeamGameData[School, Opponent,Game'#],PlayerGameData[[#This Row],[School, Opponent,Game'#]])</f>
        <v>#NAME?</v>
      </c>
      <c r="BK460" s="197" t="e">
        <f ca="1">_xlfn.MAXIFS(TeamGameData[Loss],TeamGameData[School, Opponent,Game'#],PlayerGameData[[#This Row],[School, Opponent,Game'#]])</f>
        <v>#NAME?</v>
      </c>
    </row>
    <row r="461" spans="1:63" x14ac:dyDescent="0.25">
      <c r="A461" s="8" t="str">
        <f t="shared" ca="1" si="243"/>
        <v xml:space="preserve">, </v>
      </c>
      <c r="B461" s="8" t="str">
        <f>Roster!$B$1</f>
        <v>Upton</v>
      </c>
      <c r="C461" s="8" t="str">
        <f t="shared" ca="1" si="231"/>
        <v>Hulett</v>
      </c>
      <c r="D461" s="10">
        <f t="shared" ca="1" si="232"/>
        <v>44974</v>
      </c>
      <c r="E461" s="8">
        <f t="shared" ca="1" si="233"/>
        <v>0</v>
      </c>
      <c r="F461" s="8">
        <f t="shared" ca="1" si="234"/>
        <v>0</v>
      </c>
      <c r="G461" s="8">
        <f t="shared" ca="1" si="235"/>
        <v>0</v>
      </c>
      <c r="H461" s="8">
        <f t="shared" ca="1" si="236"/>
        <v>0</v>
      </c>
      <c r="I461" s="8">
        <f t="shared" ca="1" si="237"/>
        <v>0</v>
      </c>
      <c r="J461" s="8">
        <f t="shared" ca="1" si="238"/>
        <v>0</v>
      </c>
      <c r="K461" s="8">
        <f t="shared" ca="1" si="239"/>
        <v>0</v>
      </c>
      <c r="L461" s="8">
        <f t="shared" ca="1" si="244"/>
        <v>0</v>
      </c>
      <c r="M461" s="8">
        <f t="shared" ca="1" si="245"/>
        <v>0</v>
      </c>
      <c r="N461" s="8">
        <f t="shared" ca="1" si="246"/>
        <v>0</v>
      </c>
      <c r="O461" s="8">
        <f t="shared" ca="1" si="247"/>
        <v>0</v>
      </c>
      <c r="P461" s="8">
        <f t="shared" ca="1" si="248"/>
        <v>0</v>
      </c>
      <c r="Q461" s="8">
        <f t="shared" ca="1" si="249"/>
        <v>0</v>
      </c>
      <c r="R461" s="8">
        <f t="shared" ca="1" si="250"/>
        <v>0</v>
      </c>
      <c r="S461" s="8">
        <f t="shared" ca="1" si="251"/>
        <v>0</v>
      </c>
      <c r="T461" s="8">
        <f t="shared" ca="1" si="252"/>
        <v>0</v>
      </c>
      <c r="U461" s="8">
        <f t="shared" ca="1" si="253"/>
        <v>0</v>
      </c>
      <c r="V461" s="8">
        <f t="shared" ca="1" si="254"/>
        <v>0</v>
      </c>
      <c r="W461" s="11" t="str">
        <f t="shared" ca="1" si="255"/>
        <v/>
      </c>
      <c r="X461" s="11" t="str">
        <f t="shared" ca="1" si="256"/>
        <v/>
      </c>
      <c r="Y461" s="11" t="str">
        <f t="shared" ca="1" si="257"/>
        <v/>
      </c>
      <c r="Z461" s="11" t="str">
        <f t="shared" ca="1" si="258"/>
        <v/>
      </c>
      <c r="AA461" s="11" t="str">
        <f t="shared" ca="1" si="259"/>
        <v/>
      </c>
      <c r="AB461" s="47">
        <f ca="1">PlayerGameData[[#This Row],[3FGA]]+PlayerGameData[[#This Row],[2FGA]]</f>
        <v>0</v>
      </c>
      <c r="AC461" s="47">
        <f ca="1">PlayerGameData[[#This Row],[OFF REB]]+PlayerGameData[[#This Row],[DEF REB]]</f>
        <v>0</v>
      </c>
      <c r="AD461" s="8">
        <f t="shared" si="240"/>
        <v>19</v>
      </c>
      <c r="AE461" s="8" t="str">
        <f t="shared" ca="1" si="241"/>
        <v>,  - Hulett 2/17/2023</v>
      </c>
      <c r="AF461" s="8" t="str">
        <f t="shared" ca="1" si="260"/>
        <v>R</v>
      </c>
      <c r="AG461" s="8" t="str">
        <f ca="1">IFERROR(IF(C461=0,"",IF(AND(VLOOKUP(PlayerGameData[[#This Row],[Opponent]],WYTeamInfo,2,FALSE)=Roster!$D$1,VLOOKUP(PlayerGameData[[#This Row],[Opponent]],WYTeamInfo,3,FALSE)=Roster!$D$2),"SR","")),"")</f>
        <v>SR</v>
      </c>
      <c r="AH461" s="8" t="str">
        <f>CONCATENATE(Roster!$D$1," ",Roster!$D$5)</f>
        <v>1A BB</v>
      </c>
      <c r="AI461" s="8" t="str">
        <f t="shared" ca="1" si="242"/>
        <v>Upton - Hulett 2/17/2023</v>
      </c>
      <c r="AJ461" s="8">
        <f ca="1">IFERROR(VLOOKUP(PlayerGameData[[#This Row],[School, Opponent,Game'#]],Table3[],2,FALSE),0)</f>
        <v>1</v>
      </c>
      <c r="AK461" s="8">
        <f ca="1">IF(PlayerGameData[[#This Row],[Visible]]=1,1,1000)</f>
        <v>1</v>
      </c>
      <c r="AL461" s="8">
        <f ca="1">RANK(PlayerGameData[[#This Row],[TL PTS]],PlayerGameData[TL PTS],0)+PlayerGameData[[#This Row],[VisibleOrder]]</f>
        <v>185</v>
      </c>
      <c r="AM461" s="8">
        <f ca="1">IF(COUNTIF(PlayerGameData[PointOrder],PlayerGameData[[#This Row],[PointOrder]])&gt;1,RANK(PlayerGameData[[#This Row],[FGA]],PlayerGameData[FGA],0)/100,0)+PlayerGameData[[#This Row],[PointOrder]]</f>
        <v>187.14</v>
      </c>
      <c r="AN461" s="8">
        <f ca="1">RANK(PlayerGameData[[#This Row],[PointTieBreak]],PlayerGameData[PointTieBreak],1)</f>
        <v>216</v>
      </c>
      <c r="AO461" s="8">
        <f ca="1">RANK(PlayerGameData[[#This Row],[REB]],PlayerGameData[REB],0)+PlayerGameData[[#This Row],[VisibleOrder]]</f>
        <v>192</v>
      </c>
      <c r="AP461" s="8">
        <f ca="1">IF(COUNTIF(PlayerGameData[REBOrder],PlayerGameData[[#This Row],[REBOrder]])&gt;1,PlayerGameData[[#This Row],[PointRank]]/100+PlayerGameData[[#This Row],[REBOrder]],PlayerGameData[[#This Row],[REBOrder]])</f>
        <v>194.16</v>
      </c>
      <c r="AQ461" s="8">
        <f ca="1">RANK(PlayerGameData[[#This Row],[REBTieBreak]],PlayerGameData[REBTieBreak],1)</f>
        <v>224</v>
      </c>
      <c r="AR461" s="8">
        <f ca="1">RANK(PlayerGameData[[#This Row],[AST]],PlayerGameData[AST],0)+PlayerGameData[[#This Row],[VisibleOrder]]</f>
        <v>158</v>
      </c>
      <c r="AS461" s="8">
        <f ca="1">IF(COUNTIF(PlayerGameData[ASTOrder],PlayerGameData[[#This Row],[ASTOrder]])&gt;1,PlayerGameData[[#This Row],[PointRank]]/100+PlayerGameData[[#This Row],[ASTOrder]],PlayerGameData[[#This Row],[ASTOrder]])</f>
        <v>160.16</v>
      </c>
      <c r="AT461" s="8">
        <f ca="1">RANK(PlayerGameData[[#This Row],[ASTTieBreak]],PlayerGameData[ASTTieBreak],1)</f>
        <v>221</v>
      </c>
      <c r="AU461" s="8">
        <f ca="1">RANK(PlayerGameData[[#This Row],[STL]],PlayerGameData[STL],0)+PlayerGameData[[#This Row],[VisibleOrder]]</f>
        <v>143</v>
      </c>
      <c r="AV461" s="8">
        <f ca="1">IF(COUNTIF(PlayerGameData[STLOrder],PlayerGameData[[#This Row],[STLOrder]])&gt;1,PlayerGameData[[#This Row],[PointRank]]/100+PlayerGameData[[#This Row],[STLOrder]],PlayerGameData[[#This Row],[STLOrder]])</f>
        <v>145.16</v>
      </c>
      <c r="AW461" s="8">
        <f ca="1">RANK(PlayerGameData[[#This Row],[STLTieBreak]],PlayerGameData[STLTieBreak],1)</f>
        <v>217</v>
      </c>
      <c r="AX461" s="8">
        <f ca="1">RANK(PlayerGameData[[#This Row],[BLK]],PlayerGameData[BLK],0)+PlayerGameData[[#This Row],[VisibleOrder]]</f>
        <v>32</v>
      </c>
      <c r="AY461" s="8">
        <f ca="1">IF(COUNTIF(PlayerGameData[BLKOrder],PlayerGameData[[#This Row],[BLKOrder]])&gt;1,PlayerGameData[[#This Row],[PointRank]]/100+PlayerGameData[[#This Row],[BLKOrder]],PlayerGameData[[#This Row],[BLKOrder]])</f>
        <v>34.159999999999997</v>
      </c>
      <c r="AZ461" s="8">
        <f ca="1">RANK(PlayerGameData[[#This Row],[BLKTieBreak]],PlayerGameData[BLKTieBreak],1)</f>
        <v>216</v>
      </c>
      <c r="BA461" s="11">
        <f ca="1">IFERROR(IF(PlayerGameData[[#This Row],[FGA]]&gt;$AA$5,PlayerGameData[[#This Row],[FG%*]],PlayerGameData[[#This Row],[FG%*]]*-1),-2)</f>
        <v>-2</v>
      </c>
      <c r="BB461" s="8">
        <f ca="1">RANK(PlayerGameData[[#This Row],[EligFG]],PlayerGameData[EligFG],0)+PlayerGameData[[#This Row],[VisibleOrder]]</f>
        <v>215</v>
      </c>
      <c r="BC461" s="8">
        <f ca="1">IF(COUNTIF(PlayerGameData[EligFGOrder],PlayerGameData[[#This Row],[EligFGOrder]])&gt;1,PlayerGameData[[#This Row],[PointRank]]/100+PlayerGameData[[#This Row],[EligFGOrder]],PlayerGameData[[#This Row],[EligFGOrder]])</f>
        <v>217.16</v>
      </c>
      <c r="BD461" s="8">
        <f ca="1">RANK(PlayerGameData[[#This Row],[EligFGTieBreak]],PlayerGameData[EligFGTieBreak],1)</f>
        <v>216</v>
      </c>
      <c r="BE461" s="8" t="str">
        <f>Roster!$D$3</f>
        <v>East</v>
      </c>
      <c r="BF461" s="8" t="str">
        <f>Roster!$D$2</f>
        <v>Northeast</v>
      </c>
      <c r="BG461" s="8" t="str">
        <f>Roster!$D$4</f>
        <v>North</v>
      </c>
      <c r="BH461" s="197">
        <f ca="1">IFERROR(VLOOKUP(CONCATENATE(PlayerGameData[[#This Row],[Opponent]]," ",MONTH(PlayerGameData[[#This Row],[Date]]),"/",DAY(PlayerGameData[[#This Row],[Date]]),"/",YEAR(PlayerGameData[[#This Row],[Date]])),Table35[],2,FALSE),0)</f>
        <v>1</v>
      </c>
      <c r="BI461" s="197">
        <f ca="1">IF(PlayerGameData[[#This Row],[Visible]]=1,1,1000)</f>
        <v>1</v>
      </c>
      <c r="BJ461" s="197" t="e">
        <f ca="1">_xlfn.MAXIFS(TeamGameData[Win],TeamGameData[School, Opponent,Game'#],PlayerGameData[[#This Row],[School, Opponent,Game'#]])</f>
        <v>#NAME?</v>
      </c>
      <c r="BK461" s="197" t="e">
        <f ca="1">_xlfn.MAXIFS(TeamGameData[Loss],TeamGameData[School, Opponent,Game'#],PlayerGameData[[#This Row],[School, Opponent,Game'#]])</f>
        <v>#NAME?</v>
      </c>
    </row>
    <row r="462" spans="1:63" x14ac:dyDescent="0.25">
      <c r="A462" s="8" t="str">
        <f t="shared" ca="1" si="243"/>
        <v xml:space="preserve">Team, </v>
      </c>
      <c r="B462" s="8" t="str">
        <f>Roster!$B$1</f>
        <v>Upton</v>
      </c>
      <c r="C462" s="8" t="str">
        <f t="shared" ca="1" si="231"/>
        <v>Hulett</v>
      </c>
      <c r="D462" s="10">
        <f t="shared" ca="1" si="232"/>
        <v>44974</v>
      </c>
      <c r="E462" s="8">
        <f t="shared" ca="1" si="233"/>
        <v>0</v>
      </c>
      <c r="F462" s="8">
        <f t="shared" ca="1" si="234"/>
        <v>0</v>
      </c>
      <c r="G462" s="8">
        <f t="shared" ca="1" si="235"/>
        <v>0</v>
      </c>
      <c r="H462" s="8">
        <f t="shared" ca="1" si="236"/>
        <v>0</v>
      </c>
      <c r="I462" s="8">
        <f t="shared" ca="1" si="237"/>
        <v>0</v>
      </c>
      <c r="J462" s="8">
        <f t="shared" ca="1" si="238"/>
        <v>0</v>
      </c>
      <c r="K462" s="8">
        <f t="shared" ca="1" si="239"/>
        <v>0</v>
      </c>
      <c r="L462" s="8">
        <f t="shared" ca="1" si="244"/>
        <v>0</v>
      </c>
      <c r="M462" s="8">
        <f t="shared" ca="1" si="245"/>
        <v>0</v>
      </c>
      <c r="N462" s="8">
        <f t="shared" ca="1" si="246"/>
        <v>0</v>
      </c>
      <c r="O462" s="8">
        <f t="shared" ca="1" si="247"/>
        <v>0</v>
      </c>
      <c r="P462" s="8">
        <f t="shared" ca="1" si="248"/>
        <v>0</v>
      </c>
      <c r="Q462" s="8">
        <f t="shared" ca="1" si="249"/>
        <v>0</v>
      </c>
      <c r="R462" s="8">
        <f t="shared" ca="1" si="250"/>
        <v>0</v>
      </c>
      <c r="S462" s="8">
        <f t="shared" ca="1" si="251"/>
        <v>0</v>
      </c>
      <c r="T462" s="8">
        <f t="shared" ca="1" si="252"/>
        <v>0</v>
      </c>
      <c r="U462" s="8">
        <f t="shared" ca="1" si="253"/>
        <v>0</v>
      </c>
      <c r="V462" s="8">
        <f t="shared" ca="1" si="254"/>
        <v>0</v>
      </c>
      <c r="W462" s="11" t="str">
        <f t="shared" ca="1" si="255"/>
        <v/>
      </c>
      <c r="X462" s="11" t="str">
        <f t="shared" ca="1" si="256"/>
        <v/>
      </c>
      <c r="Y462" s="11" t="str">
        <f t="shared" ca="1" si="257"/>
        <v/>
      </c>
      <c r="Z462" s="11" t="str">
        <f t="shared" ca="1" si="258"/>
        <v/>
      </c>
      <c r="AA462" s="11" t="str">
        <f t="shared" ca="1" si="259"/>
        <v/>
      </c>
      <c r="AB462" s="47">
        <f ca="1">PlayerGameData[[#This Row],[3FGA]]+PlayerGameData[[#This Row],[2FGA]]</f>
        <v>0</v>
      </c>
      <c r="AC462" s="47">
        <f ca="1">PlayerGameData[[#This Row],[OFF REB]]+PlayerGameData[[#This Row],[DEF REB]]</f>
        <v>0</v>
      </c>
      <c r="AD462" s="8">
        <f t="shared" si="240"/>
        <v>19</v>
      </c>
      <c r="AE462" s="8" t="str">
        <f t="shared" ca="1" si="241"/>
        <v>Team,  - Hulett 2/17/2023</v>
      </c>
      <c r="AF462" s="8" t="str">
        <f t="shared" ca="1" si="260"/>
        <v>R</v>
      </c>
      <c r="AG462" s="8" t="str">
        <f ca="1">IFERROR(IF(C462=0,"",IF(AND(VLOOKUP(PlayerGameData[[#This Row],[Opponent]],WYTeamInfo,2,FALSE)=Roster!$D$1,VLOOKUP(PlayerGameData[[#This Row],[Opponent]],WYTeamInfo,3,FALSE)=Roster!$D$2),"SR","")),"")</f>
        <v>SR</v>
      </c>
      <c r="AH462" s="8" t="str">
        <f>CONCATENATE(Roster!$D$1," ",Roster!$D$5)</f>
        <v>1A BB</v>
      </c>
      <c r="AI462" s="8" t="str">
        <f t="shared" ca="1" si="242"/>
        <v>Upton - Hulett 2/17/2023</v>
      </c>
      <c r="AJ462" s="8">
        <f ca="1">IFERROR(VLOOKUP(PlayerGameData[[#This Row],[School, Opponent,Game'#]],Table3[],2,FALSE),0)</f>
        <v>1</v>
      </c>
      <c r="AK462" s="8">
        <f ca="1">IF(PlayerGameData[[#This Row],[Visible]]=1,1,1000)</f>
        <v>1</v>
      </c>
      <c r="AL462" s="8">
        <f ca="1">RANK(PlayerGameData[[#This Row],[TL PTS]],PlayerGameData[TL PTS],0)+PlayerGameData[[#This Row],[VisibleOrder]]</f>
        <v>185</v>
      </c>
      <c r="AM462" s="8">
        <f ca="1">IF(COUNTIF(PlayerGameData[PointOrder],PlayerGameData[[#This Row],[PointOrder]])&gt;1,RANK(PlayerGameData[[#This Row],[FGA]],PlayerGameData[FGA],0)/100,0)+PlayerGameData[[#This Row],[PointOrder]]</f>
        <v>187.14</v>
      </c>
      <c r="AN462" s="8">
        <f ca="1">RANK(PlayerGameData[[#This Row],[PointTieBreak]],PlayerGameData[PointTieBreak],1)</f>
        <v>216</v>
      </c>
      <c r="AO462" s="8">
        <f ca="1">RANK(PlayerGameData[[#This Row],[REB]],PlayerGameData[REB],0)+PlayerGameData[[#This Row],[VisibleOrder]]</f>
        <v>192</v>
      </c>
      <c r="AP462" s="8">
        <f ca="1">IF(COUNTIF(PlayerGameData[REBOrder],PlayerGameData[[#This Row],[REBOrder]])&gt;1,PlayerGameData[[#This Row],[PointRank]]/100+PlayerGameData[[#This Row],[REBOrder]],PlayerGameData[[#This Row],[REBOrder]])</f>
        <v>194.16</v>
      </c>
      <c r="AQ462" s="8">
        <f ca="1">RANK(PlayerGameData[[#This Row],[REBTieBreak]],PlayerGameData[REBTieBreak],1)</f>
        <v>224</v>
      </c>
      <c r="AR462" s="8">
        <f ca="1">RANK(PlayerGameData[[#This Row],[AST]],PlayerGameData[AST],0)+PlayerGameData[[#This Row],[VisibleOrder]]</f>
        <v>158</v>
      </c>
      <c r="AS462" s="8">
        <f ca="1">IF(COUNTIF(PlayerGameData[ASTOrder],PlayerGameData[[#This Row],[ASTOrder]])&gt;1,PlayerGameData[[#This Row],[PointRank]]/100+PlayerGameData[[#This Row],[ASTOrder]],PlayerGameData[[#This Row],[ASTOrder]])</f>
        <v>160.16</v>
      </c>
      <c r="AT462" s="8">
        <f ca="1">RANK(PlayerGameData[[#This Row],[ASTTieBreak]],PlayerGameData[ASTTieBreak],1)</f>
        <v>221</v>
      </c>
      <c r="AU462" s="8">
        <f ca="1">RANK(PlayerGameData[[#This Row],[STL]],PlayerGameData[STL],0)+PlayerGameData[[#This Row],[VisibleOrder]]</f>
        <v>143</v>
      </c>
      <c r="AV462" s="8">
        <f ca="1">IF(COUNTIF(PlayerGameData[STLOrder],PlayerGameData[[#This Row],[STLOrder]])&gt;1,PlayerGameData[[#This Row],[PointRank]]/100+PlayerGameData[[#This Row],[STLOrder]],PlayerGameData[[#This Row],[STLOrder]])</f>
        <v>145.16</v>
      </c>
      <c r="AW462" s="8">
        <f ca="1">RANK(PlayerGameData[[#This Row],[STLTieBreak]],PlayerGameData[STLTieBreak],1)</f>
        <v>217</v>
      </c>
      <c r="AX462" s="8">
        <f ca="1">RANK(PlayerGameData[[#This Row],[BLK]],PlayerGameData[BLK],0)+PlayerGameData[[#This Row],[VisibleOrder]]</f>
        <v>32</v>
      </c>
      <c r="AY462" s="8">
        <f ca="1">IF(COUNTIF(PlayerGameData[BLKOrder],PlayerGameData[[#This Row],[BLKOrder]])&gt;1,PlayerGameData[[#This Row],[PointRank]]/100+PlayerGameData[[#This Row],[BLKOrder]],PlayerGameData[[#This Row],[BLKOrder]])</f>
        <v>34.159999999999997</v>
      </c>
      <c r="AZ462" s="8">
        <f ca="1">RANK(PlayerGameData[[#This Row],[BLKTieBreak]],PlayerGameData[BLKTieBreak],1)</f>
        <v>216</v>
      </c>
      <c r="BA462" s="11">
        <f ca="1">IFERROR(IF(PlayerGameData[[#This Row],[FGA]]&gt;$AA$5,PlayerGameData[[#This Row],[FG%*]],PlayerGameData[[#This Row],[FG%*]]*-1),-2)</f>
        <v>-2</v>
      </c>
      <c r="BB462" s="8">
        <f ca="1">RANK(PlayerGameData[[#This Row],[EligFG]],PlayerGameData[EligFG],0)+PlayerGameData[[#This Row],[VisibleOrder]]</f>
        <v>215</v>
      </c>
      <c r="BC462" s="8">
        <f ca="1">IF(COUNTIF(PlayerGameData[EligFGOrder],PlayerGameData[[#This Row],[EligFGOrder]])&gt;1,PlayerGameData[[#This Row],[PointRank]]/100+PlayerGameData[[#This Row],[EligFGOrder]],PlayerGameData[[#This Row],[EligFGOrder]])</f>
        <v>217.16</v>
      </c>
      <c r="BD462" s="8">
        <f ca="1">RANK(PlayerGameData[[#This Row],[EligFGTieBreak]],PlayerGameData[EligFGTieBreak],1)</f>
        <v>216</v>
      </c>
      <c r="BE462" s="8" t="str">
        <f>Roster!$D$3</f>
        <v>East</v>
      </c>
      <c r="BF462" s="8" t="str">
        <f>Roster!$D$2</f>
        <v>Northeast</v>
      </c>
      <c r="BG462" s="8" t="str">
        <f>Roster!$D$4</f>
        <v>North</v>
      </c>
      <c r="BH462" s="197">
        <f ca="1">IFERROR(VLOOKUP(CONCATENATE(PlayerGameData[[#This Row],[Opponent]]," ",MONTH(PlayerGameData[[#This Row],[Date]]),"/",DAY(PlayerGameData[[#This Row],[Date]]),"/",YEAR(PlayerGameData[[#This Row],[Date]])),Table35[],2,FALSE),0)</f>
        <v>1</v>
      </c>
      <c r="BI462" s="197">
        <f ca="1">IF(PlayerGameData[[#This Row],[Visible]]=1,1,1000)</f>
        <v>1</v>
      </c>
      <c r="BJ462" s="197" t="e">
        <f ca="1">_xlfn.MAXIFS(TeamGameData[Win],TeamGameData[School, Opponent,Game'#],PlayerGameData[[#This Row],[School, Opponent,Game'#]])</f>
        <v>#NAME?</v>
      </c>
      <c r="BK462" s="197" t="e">
        <f ca="1">_xlfn.MAXIFS(TeamGameData[Loss],TeamGameData[School, Opponent,Game'#],PlayerGameData[[#This Row],[School, Opponent,Game'#]])</f>
        <v>#NAME?</v>
      </c>
    </row>
    <row r="463" spans="1:63" x14ac:dyDescent="0.25">
      <c r="A463" s="8" t="str">
        <f t="shared" ca="1" si="243"/>
        <v>Landon Butler, 1</v>
      </c>
      <c r="B463" s="8" t="str">
        <f>Roster!$B$1</f>
        <v>Upton</v>
      </c>
      <c r="C463" s="8" t="str">
        <f t="shared" ca="1" si="231"/>
        <v>Wright</v>
      </c>
      <c r="D463" s="10">
        <f t="shared" ca="1" si="232"/>
        <v>44975</v>
      </c>
      <c r="E463" s="8">
        <f t="shared" ca="1" si="233"/>
        <v>0</v>
      </c>
      <c r="F463" s="8">
        <f t="shared" ca="1" si="234"/>
        <v>0</v>
      </c>
      <c r="G463" s="8">
        <f t="shared" ca="1" si="235"/>
        <v>0</v>
      </c>
      <c r="H463" s="8">
        <f t="shared" ca="1" si="236"/>
        <v>0</v>
      </c>
      <c r="I463" s="8">
        <f t="shared" ca="1" si="237"/>
        <v>0</v>
      </c>
      <c r="J463" s="8">
        <f t="shared" ca="1" si="238"/>
        <v>0</v>
      </c>
      <c r="K463" s="8">
        <f t="shared" ca="1" si="239"/>
        <v>0</v>
      </c>
      <c r="L463" s="8">
        <f t="shared" ca="1" si="244"/>
        <v>0</v>
      </c>
      <c r="M463" s="8">
        <f t="shared" ca="1" si="245"/>
        <v>0</v>
      </c>
      <c r="N463" s="8">
        <f t="shared" ca="1" si="246"/>
        <v>0</v>
      </c>
      <c r="O463" s="8">
        <f t="shared" ca="1" si="247"/>
        <v>0</v>
      </c>
      <c r="P463" s="8">
        <f t="shared" ca="1" si="248"/>
        <v>0</v>
      </c>
      <c r="Q463" s="8">
        <f t="shared" ca="1" si="249"/>
        <v>0</v>
      </c>
      <c r="R463" s="8">
        <f t="shared" ca="1" si="250"/>
        <v>0</v>
      </c>
      <c r="S463" s="8">
        <f t="shared" ca="1" si="251"/>
        <v>0</v>
      </c>
      <c r="T463" s="8">
        <f t="shared" ca="1" si="252"/>
        <v>0</v>
      </c>
      <c r="U463" s="8">
        <f t="shared" ca="1" si="253"/>
        <v>0</v>
      </c>
      <c r="V463" s="8">
        <f t="shared" ca="1" si="254"/>
        <v>0</v>
      </c>
      <c r="W463" s="11" t="str">
        <f t="shared" ca="1" si="255"/>
        <v/>
      </c>
      <c r="X463" s="11" t="str">
        <f t="shared" ca="1" si="256"/>
        <v/>
      </c>
      <c r="Y463" s="11" t="str">
        <f t="shared" ca="1" si="257"/>
        <v/>
      </c>
      <c r="Z463" s="11" t="str">
        <f t="shared" ca="1" si="258"/>
        <v/>
      </c>
      <c r="AA463" s="11" t="str">
        <f t="shared" ca="1" si="259"/>
        <v/>
      </c>
      <c r="AB463" s="47">
        <f ca="1">PlayerGameData[[#This Row],[3FGA]]+PlayerGameData[[#This Row],[2FGA]]</f>
        <v>0</v>
      </c>
      <c r="AC463" s="47">
        <f ca="1">PlayerGameData[[#This Row],[OFF REB]]+PlayerGameData[[#This Row],[DEF REB]]</f>
        <v>0</v>
      </c>
      <c r="AD463" s="8">
        <f t="shared" si="240"/>
        <v>20</v>
      </c>
      <c r="AE463" s="8" t="str">
        <f t="shared" ca="1" si="241"/>
        <v>Landon Butler, 1 - Wright 2/18/2023</v>
      </c>
      <c r="AF463" s="8" t="str">
        <f t="shared" ca="1" si="260"/>
        <v/>
      </c>
      <c r="AG463" s="8" t="str">
        <f ca="1">IFERROR(IF(C463=0,"",IF(AND(VLOOKUP(PlayerGameData[[#This Row],[Opponent]],WYTeamInfo,2,FALSE)=Roster!$D$1,VLOOKUP(PlayerGameData[[#This Row],[Opponent]],WYTeamInfo,3,FALSE)=Roster!$D$2),"SR","")),"")</f>
        <v/>
      </c>
      <c r="AH463" s="8" t="str">
        <f>CONCATENATE(Roster!$D$1," ",Roster!$D$5)</f>
        <v>1A BB</v>
      </c>
      <c r="AI463" s="8" t="str">
        <f t="shared" ca="1" si="242"/>
        <v>Upton - Wright 2/18/2023</v>
      </c>
      <c r="AJ463" s="8">
        <f ca="1">IFERROR(VLOOKUP(PlayerGameData[[#This Row],[School, Opponent,Game'#]],Table3[],2,FALSE),0)</f>
        <v>1</v>
      </c>
      <c r="AK463" s="8">
        <f ca="1">IF(PlayerGameData[[#This Row],[Visible]]=1,1,1000)</f>
        <v>1</v>
      </c>
      <c r="AL463" s="8">
        <f ca="1">RANK(PlayerGameData[[#This Row],[TL PTS]],PlayerGameData[TL PTS],0)+PlayerGameData[[#This Row],[VisibleOrder]]</f>
        <v>185</v>
      </c>
      <c r="AM463" s="8">
        <f ca="1">IF(COUNTIF(PlayerGameData[PointOrder],PlayerGameData[[#This Row],[PointOrder]])&gt;1,RANK(PlayerGameData[[#This Row],[FGA]],PlayerGameData[FGA],0)/100,0)+PlayerGameData[[#This Row],[PointOrder]]</f>
        <v>187.14</v>
      </c>
      <c r="AN463" s="8">
        <f ca="1">RANK(PlayerGameData[[#This Row],[PointTieBreak]],PlayerGameData[PointTieBreak],1)</f>
        <v>216</v>
      </c>
      <c r="AO463" s="8">
        <f ca="1">RANK(PlayerGameData[[#This Row],[REB]],PlayerGameData[REB],0)+PlayerGameData[[#This Row],[VisibleOrder]]</f>
        <v>192</v>
      </c>
      <c r="AP463" s="8">
        <f ca="1">IF(COUNTIF(PlayerGameData[REBOrder],PlayerGameData[[#This Row],[REBOrder]])&gt;1,PlayerGameData[[#This Row],[PointRank]]/100+PlayerGameData[[#This Row],[REBOrder]],PlayerGameData[[#This Row],[REBOrder]])</f>
        <v>194.16</v>
      </c>
      <c r="AQ463" s="8">
        <f ca="1">RANK(PlayerGameData[[#This Row],[REBTieBreak]],PlayerGameData[REBTieBreak],1)</f>
        <v>224</v>
      </c>
      <c r="AR463" s="8">
        <f ca="1">RANK(PlayerGameData[[#This Row],[AST]],PlayerGameData[AST],0)+PlayerGameData[[#This Row],[VisibleOrder]]</f>
        <v>158</v>
      </c>
      <c r="AS463" s="8">
        <f ca="1">IF(COUNTIF(PlayerGameData[ASTOrder],PlayerGameData[[#This Row],[ASTOrder]])&gt;1,PlayerGameData[[#This Row],[PointRank]]/100+PlayerGameData[[#This Row],[ASTOrder]],PlayerGameData[[#This Row],[ASTOrder]])</f>
        <v>160.16</v>
      </c>
      <c r="AT463" s="8">
        <f ca="1">RANK(PlayerGameData[[#This Row],[ASTTieBreak]],PlayerGameData[ASTTieBreak],1)</f>
        <v>221</v>
      </c>
      <c r="AU463" s="8">
        <f ca="1">RANK(PlayerGameData[[#This Row],[STL]],PlayerGameData[STL],0)+PlayerGameData[[#This Row],[VisibleOrder]]</f>
        <v>143</v>
      </c>
      <c r="AV463" s="8">
        <f ca="1">IF(COUNTIF(PlayerGameData[STLOrder],PlayerGameData[[#This Row],[STLOrder]])&gt;1,PlayerGameData[[#This Row],[PointRank]]/100+PlayerGameData[[#This Row],[STLOrder]],PlayerGameData[[#This Row],[STLOrder]])</f>
        <v>145.16</v>
      </c>
      <c r="AW463" s="8">
        <f ca="1">RANK(PlayerGameData[[#This Row],[STLTieBreak]],PlayerGameData[STLTieBreak],1)</f>
        <v>217</v>
      </c>
      <c r="AX463" s="8">
        <f ca="1">RANK(PlayerGameData[[#This Row],[BLK]],PlayerGameData[BLK],0)+PlayerGameData[[#This Row],[VisibleOrder]]</f>
        <v>32</v>
      </c>
      <c r="AY463" s="8">
        <f ca="1">IF(COUNTIF(PlayerGameData[BLKOrder],PlayerGameData[[#This Row],[BLKOrder]])&gt;1,PlayerGameData[[#This Row],[PointRank]]/100+PlayerGameData[[#This Row],[BLKOrder]],PlayerGameData[[#This Row],[BLKOrder]])</f>
        <v>34.159999999999997</v>
      </c>
      <c r="AZ463" s="8">
        <f ca="1">RANK(PlayerGameData[[#This Row],[BLKTieBreak]],PlayerGameData[BLKTieBreak],1)</f>
        <v>216</v>
      </c>
      <c r="BA463" s="11">
        <f ca="1">IFERROR(IF(PlayerGameData[[#This Row],[FGA]]&gt;$AA$5,PlayerGameData[[#This Row],[FG%*]],PlayerGameData[[#This Row],[FG%*]]*-1),-2)</f>
        <v>-2</v>
      </c>
      <c r="BB463" s="8">
        <f ca="1">RANK(PlayerGameData[[#This Row],[EligFG]],PlayerGameData[EligFG],0)+PlayerGameData[[#This Row],[VisibleOrder]]</f>
        <v>215</v>
      </c>
      <c r="BC463" s="8">
        <f ca="1">IF(COUNTIF(PlayerGameData[EligFGOrder],PlayerGameData[[#This Row],[EligFGOrder]])&gt;1,PlayerGameData[[#This Row],[PointRank]]/100+PlayerGameData[[#This Row],[EligFGOrder]],PlayerGameData[[#This Row],[EligFGOrder]])</f>
        <v>217.16</v>
      </c>
      <c r="BD463" s="8">
        <f ca="1">RANK(PlayerGameData[[#This Row],[EligFGTieBreak]],PlayerGameData[EligFGTieBreak],1)</f>
        <v>216</v>
      </c>
      <c r="BE463" s="8" t="str">
        <f>Roster!$D$3</f>
        <v>East</v>
      </c>
      <c r="BF463" s="8" t="str">
        <f>Roster!$D$2</f>
        <v>Northeast</v>
      </c>
      <c r="BG463" s="8" t="str">
        <f>Roster!$D$4</f>
        <v>North</v>
      </c>
      <c r="BH463" s="197">
        <f ca="1">IFERROR(VLOOKUP(CONCATENATE(PlayerGameData[[#This Row],[Opponent]]," ",MONTH(PlayerGameData[[#This Row],[Date]]),"/",DAY(PlayerGameData[[#This Row],[Date]]),"/",YEAR(PlayerGameData[[#This Row],[Date]])),Table35[],2,FALSE),0)</f>
        <v>1</v>
      </c>
      <c r="BI463" s="197">
        <f ca="1">IF(PlayerGameData[[#This Row],[Visible]]=1,1,1000)</f>
        <v>1</v>
      </c>
      <c r="BJ463" s="197" t="e">
        <f ca="1">_xlfn.MAXIFS(TeamGameData[Win],TeamGameData[School, Opponent,Game'#],PlayerGameData[[#This Row],[School, Opponent,Game'#]])</f>
        <v>#NAME?</v>
      </c>
      <c r="BK463" s="197" t="e">
        <f ca="1">_xlfn.MAXIFS(TeamGameData[Loss],TeamGameData[School, Opponent,Game'#],PlayerGameData[[#This Row],[School, Opponent,Game'#]])</f>
        <v>#NAME?</v>
      </c>
    </row>
    <row r="464" spans="1:63" x14ac:dyDescent="0.25">
      <c r="A464" s="8" t="str">
        <f t="shared" ca="1" si="243"/>
        <v>Logan Timberman, 3</v>
      </c>
      <c r="B464" s="8" t="str">
        <f>Roster!$B$1</f>
        <v>Upton</v>
      </c>
      <c r="C464" s="8" t="str">
        <f t="shared" ca="1" si="231"/>
        <v>Wright</v>
      </c>
      <c r="D464" s="10">
        <f t="shared" ca="1" si="232"/>
        <v>44975</v>
      </c>
      <c r="E464" s="8">
        <f t="shared" ca="1" si="233"/>
        <v>1</v>
      </c>
      <c r="F464" s="8">
        <f t="shared" ca="1" si="234"/>
        <v>1</v>
      </c>
      <c r="G464" s="8">
        <f t="shared" ca="1" si="235"/>
        <v>34</v>
      </c>
      <c r="H464" s="8">
        <f t="shared" ca="1" si="236"/>
        <v>0</v>
      </c>
      <c r="I464" s="8">
        <f t="shared" ca="1" si="237"/>
        <v>1</v>
      </c>
      <c r="J464" s="8">
        <f t="shared" ca="1" si="238"/>
        <v>7</v>
      </c>
      <c r="K464" s="8">
        <f t="shared" ca="1" si="239"/>
        <v>12</v>
      </c>
      <c r="L464" s="8">
        <f t="shared" ca="1" si="244"/>
        <v>4</v>
      </c>
      <c r="M464" s="8">
        <f t="shared" ca="1" si="245"/>
        <v>6</v>
      </c>
      <c r="N464" s="8">
        <f t="shared" ca="1" si="246"/>
        <v>3</v>
      </c>
      <c r="O464" s="8">
        <f t="shared" ca="1" si="247"/>
        <v>4</v>
      </c>
      <c r="P464" s="8">
        <f t="shared" ca="1" si="248"/>
        <v>2</v>
      </c>
      <c r="Q464" s="8">
        <f t="shared" ca="1" si="249"/>
        <v>4</v>
      </c>
      <c r="R464" s="8">
        <f t="shared" ca="1" si="250"/>
        <v>0</v>
      </c>
      <c r="S464" s="8">
        <f t="shared" ca="1" si="251"/>
        <v>0</v>
      </c>
      <c r="T464" s="8">
        <f t="shared" ca="1" si="252"/>
        <v>2</v>
      </c>
      <c r="U464" s="8">
        <f t="shared" ca="1" si="253"/>
        <v>0</v>
      </c>
      <c r="V464" s="8">
        <f t="shared" ca="1" si="254"/>
        <v>18</v>
      </c>
      <c r="W464" s="11">
        <f t="shared" ca="1" si="255"/>
        <v>0</v>
      </c>
      <c r="X464" s="11">
        <f t="shared" ca="1" si="256"/>
        <v>0.58333333333333337</v>
      </c>
      <c r="Y464" s="11">
        <f t="shared" ca="1" si="257"/>
        <v>0.66666666666666663</v>
      </c>
      <c r="Z464" s="11">
        <f t="shared" ca="1" si="258"/>
        <v>0.53846153846153844</v>
      </c>
      <c r="AA464" s="11">
        <f t="shared" ca="1" si="259"/>
        <v>0.53846153846153844</v>
      </c>
      <c r="AB464" s="47">
        <f ca="1">PlayerGameData[[#This Row],[3FGA]]+PlayerGameData[[#This Row],[2FGA]]</f>
        <v>13</v>
      </c>
      <c r="AC464" s="47">
        <f ca="1">PlayerGameData[[#This Row],[OFF REB]]+PlayerGameData[[#This Row],[DEF REB]]</f>
        <v>7</v>
      </c>
      <c r="AD464" s="8">
        <f t="shared" si="240"/>
        <v>20</v>
      </c>
      <c r="AE464" s="8" t="str">
        <f t="shared" ca="1" si="241"/>
        <v>Logan Timberman, 3 - Wright 2/18/2023</v>
      </c>
      <c r="AF464" s="8" t="str">
        <f t="shared" ca="1" si="260"/>
        <v/>
      </c>
      <c r="AG464" s="8" t="str">
        <f ca="1">IFERROR(IF(C464=0,"",IF(AND(VLOOKUP(PlayerGameData[[#This Row],[Opponent]],WYTeamInfo,2,FALSE)=Roster!$D$1,VLOOKUP(PlayerGameData[[#This Row],[Opponent]],WYTeamInfo,3,FALSE)=Roster!$D$2),"SR","")),"")</f>
        <v/>
      </c>
      <c r="AH464" s="8" t="str">
        <f>CONCATENATE(Roster!$D$1," ",Roster!$D$5)</f>
        <v>1A BB</v>
      </c>
      <c r="AI464" s="8" t="str">
        <f t="shared" ca="1" si="242"/>
        <v>Upton - Wright 2/18/2023</v>
      </c>
      <c r="AJ464" s="8">
        <f ca="1">IFERROR(VLOOKUP(PlayerGameData[[#This Row],[School, Opponent,Game'#]],Table3[],2,FALSE),0)</f>
        <v>1</v>
      </c>
      <c r="AK464" s="8">
        <f ca="1">IF(PlayerGameData[[#This Row],[Visible]]=1,1,1000)</f>
        <v>1</v>
      </c>
      <c r="AL464" s="8">
        <f ca="1">RANK(PlayerGameData[[#This Row],[TL PTS]],PlayerGameData[TL PTS],0)+PlayerGameData[[#This Row],[VisibleOrder]]</f>
        <v>13</v>
      </c>
      <c r="AM464" s="8">
        <f ca="1">IF(COUNTIF(PlayerGameData[PointOrder],PlayerGameData[[#This Row],[PointOrder]])&gt;1,RANK(PlayerGameData[[#This Row],[FGA]],PlayerGameData[FGA],0)/100,0)+PlayerGameData[[#This Row],[PointOrder]]</f>
        <v>13.17</v>
      </c>
      <c r="AN464" s="8">
        <f ca="1">RANK(PlayerGameData[[#This Row],[PointTieBreak]],PlayerGameData[PointTieBreak],1)</f>
        <v>14</v>
      </c>
      <c r="AO464" s="8">
        <f ca="1">RANK(PlayerGameData[[#This Row],[REB]],PlayerGameData[REB],0)+PlayerGameData[[#This Row],[VisibleOrder]]</f>
        <v>29</v>
      </c>
      <c r="AP464" s="8">
        <f ca="1">IF(COUNTIF(PlayerGameData[REBOrder],PlayerGameData[[#This Row],[REBOrder]])&gt;1,PlayerGameData[[#This Row],[PointRank]]/100+PlayerGameData[[#This Row],[REBOrder]],PlayerGameData[[#This Row],[REBOrder]])</f>
        <v>29.14</v>
      </c>
      <c r="AQ464" s="8">
        <f ca="1">RANK(PlayerGameData[[#This Row],[REBTieBreak]],PlayerGameData[REBTieBreak],1)</f>
        <v>28</v>
      </c>
      <c r="AR464" s="8">
        <f ca="1">RANK(PlayerGameData[[#This Row],[AST]],PlayerGameData[AST],0)+PlayerGameData[[#This Row],[VisibleOrder]]</f>
        <v>69</v>
      </c>
      <c r="AS464" s="8">
        <f ca="1">IF(COUNTIF(PlayerGameData[ASTOrder],PlayerGameData[[#This Row],[ASTOrder]])&gt;1,PlayerGameData[[#This Row],[PointRank]]/100+PlayerGameData[[#This Row],[ASTOrder]],PlayerGameData[[#This Row],[ASTOrder]])</f>
        <v>69.14</v>
      </c>
      <c r="AT464" s="8">
        <f ca="1">RANK(PlayerGameData[[#This Row],[ASTTieBreak]],PlayerGameData[ASTTieBreak],1)</f>
        <v>71</v>
      </c>
      <c r="AU464" s="8">
        <f ca="1">RANK(PlayerGameData[[#This Row],[STL]],PlayerGameData[STL],0)+PlayerGameData[[#This Row],[VisibleOrder]]</f>
        <v>10</v>
      </c>
      <c r="AV464" s="8">
        <f ca="1">IF(COUNTIF(PlayerGameData[STLOrder],PlayerGameData[[#This Row],[STLOrder]])&gt;1,PlayerGameData[[#This Row],[PointRank]]/100+PlayerGameData[[#This Row],[STLOrder]],PlayerGameData[[#This Row],[STLOrder]])</f>
        <v>10.14</v>
      </c>
      <c r="AW464" s="8">
        <f ca="1">RANK(PlayerGameData[[#This Row],[STLTieBreak]],PlayerGameData[STLTieBreak],1)</f>
        <v>13</v>
      </c>
      <c r="AX464" s="8">
        <f ca="1">RANK(PlayerGameData[[#This Row],[BLK]],PlayerGameData[BLK],0)+PlayerGameData[[#This Row],[VisibleOrder]]</f>
        <v>32</v>
      </c>
      <c r="AY464" s="8">
        <f ca="1">IF(COUNTIF(PlayerGameData[BLKOrder],PlayerGameData[[#This Row],[BLKOrder]])&gt;1,PlayerGameData[[#This Row],[PointRank]]/100+PlayerGameData[[#This Row],[BLKOrder]],PlayerGameData[[#This Row],[BLKOrder]])</f>
        <v>32.14</v>
      </c>
      <c r="AZ464" s="8">
        <f ca="1">RANK(PlayerGameData[[#This Row],[BLKTieBreak]],PlayerGameData[BLKTieBreak],1)</f>
        <v>42</v>
      </c>
      <c r="BA464" s="11">
        <f ca="1">IFERROR(IF(PlayerGameData[[#This Row],[FGA]]&gt;$AA$5,PlayerGameData[[#This Row],[FG%*]],PlayerGameData[[#This Row],[FG%*]]*-1),-2)</f>
        <v>0.53846153846153844</v>
      </c>
      <c r="BB464" s="8">
        <f ca="1">RANK(PlayerGameData[[#This Row],[EligFG]],PlayerGameData[EligFG],0)+PlayerGameData[[#This Row],[VisibleOrder]]</f>
        <v>34</v>
      </c>
      <c r="BC464" s="8">
        <f ca="1">IF(COUNTIF(PlayerGameData[EligFGOrder],PlayerGameData[[#This Row],[EligFGOrder]])&gt;1,PlayerGameData[[#This Row],[PointRank]]/100+PlayerGameData[[#This Row],[EligFGOrder]],PlayerGameData[[#This Row],[EligFGOrder]])</f>
        <v>34.14</v>
      </c>
      <c r="BD464" s="8">
        <f ca="1">RANK(PlayerGameData[[#This Row],[EligFGTieBreak]],PlayerGameData[EligFGTieBreak],1)</f>
        <v>34</v>
      </c>
      <c r="BE464" s="8" t="str">
        <f>Roster!$D$3</f>
        <v>East</v>
      </c>
      <c r="BF464" s="8" t="str">
        <f>Roster!$D$2</f>
        <v>Northeast</v>
      </c>
      <c r="BG464" s="8" t="str">
        <f>Roster!$D$4</f>
        <v>North</v>
      </c>
      <c r="BH464" s="197">
        <f ca="1">IFERROR(VLOOKUP(CONCATENATE(PlayerGameData[[#This Row],[Opponent]]," ",MONTH(PlayerGameData[[#This Row],[Date]]),"/",DAY(PlayerGameData[[#This Row],[Date]]),"/",YEAR(PlayerGameData[[#This Row],[Date]])),Table35[],2,FALSE),0)</f>
        <v>1</v>
      </c>
      <c r="BI464" s="197">
        <f ca="1">IF(PlayerGameData[[#This Row],[Visible]]=1,1,1000)</f>
        <v>1</v>
      </c>
      <c r="BJ464" s="197" t="e">
        <f ca="1">_xlfn.MAXIFS(TeamGameData[Win],TeamGameData[School, Opponent,Game'#],PlayerGameData[[#This Row],[School, Opponent,Game'#]])</f>
        <v>#NAME?</v>
      </c>
      <c r="BK464" s="197" t="e">
        <f ca="1">_xlfn.MAXIFS(TeamGameData[Loss],TeamGameData[School, Opponent,Game'#],PlayerGameData[[#This Row],[School, Opponent,Game'#]])</f>
        <v>#NAME?</v>
      </c>
    </row>
    <row r="465" spans="1:63" x14ac:dyDescent="0.25">
      <c r="A465" s="8" t="str">
        <f t="shared" ca="1" si="243"/>
        <v>Chase Mills, 5</v>
      </c>
      <c r="B465" s="8" t="str">
        <f>Roster!$B$1</f>
        <v>Upton</v>
      </c>
      <c r="C465" s="8" t="str">
        <f t="shared" ca="1" si="231"/>
        <v>Wright</v>
      </c>
      <c r="D465" s="10">
        <f t="shared" ca="1" si="232"/>
        <v>44975</v>
      </c>
      <c r="E465" s="8">
        <f t="shared" ca="1" si="233"/>
        <v>1</v>
      </c>
      <c r="F465" s="8">
        <f t="shared" ca="1" si="234"/>
        <v>1</v>
      </c>
      <c r="G465" s="8">
        <f t="shared" ca="1" si="235"/>
        <v>36</v>
      </c>
      <c r="H465" s="8">
        <f t="shared" ca="1" si="236"/>
        <v>0</v>
      </c>
      <c r="I465" s="8">
        <f t="shared" ca="1" si="237"/>
        <v>2</v>
      </c>
      <c r="J465" s="8">
        <f t="shared" ca="1" si="238"/>
        <v>4</v>
      </c>
      <c r="K465" s="8">
        <f t="shared" ca="1" si="239"/>
        <v>14</v>
      </c>
      <c r="L465" s="8">
        <f t="shared" ca="1" si="244"/>
        <v>4</v>
      </c>
      <c r="M465" s="8">
        <f t="shared" ca="1" si="245"/>
        <v>4</v>
      </c>
      <c r="N465" s="8">
        <f t="shared" ca="1" si="246"/>
        <v>6</v>
      </c>
      <c r="O465" s="8">
        <f t="shared" ca="1" si="247"/>
        <v>3</v>
      </c>
      <c r="P465" s="8">
        <f t="shared" ca="1" si="248"/>
        <v>4</v>
      </c>
      <c r="Q465" s="8">
        <f t="shared" ca="1" si="249"/>
        <v>1</v>
      </c>
      <c r="R465" s="8">
        <f t="shared" ca="1" si="250"/>
        <v>0</v>
      </c>
      <c r="S465" s="8">
        <f t="shared" ca="1" si="251"/>
        <v>2</v>
      </c>
      <c r="T465" s="8">
        <f t="shared" ca="1" si="252"/>
        <v>0</v>
      </c>
      <c r="U465" s="8">
        <f t="shared" ca="1" si="253"/>
        <v>0</v>
      </c>
      <c r="V465" s="8">
        <f t="shared" ca="1" si="254"/>
        <v>12</v>
      </c>
      <c r="W465" s="11">
        <f t="shared" ca="1" si="255"/>
        <v>0</v>
      </c>
      <c r="X465" s="11">
        <f t="shared" ca="1" si="256"/>
        <v>0.2857142857142857</v>
      </c>
      <c r="Y465" s="11">
        <f t="shared" ca="1" si="257"/>
        <v>1</v>
      </c>
      <c r="Z465" s="11">
        <f t="shared" ca="1" si="258"/>
        <v>0.25</v>
      </c>
      <c r="AA465" s="11">
        <f t="shared" ca="1" si="259"/>
        <v>0.25</v>
      </c>
      <c r="AB465" s="47">
        <f ca="1">PlayerGameData[[#This Row],[3FGA]]+PlayerGameData[[#This Row],[2FGA]]</f>
        <v>16</v>
      </c>
      <c r="AC465" s="47">
        <f ca="1">PlayerGameData[[#This Row],[OFF REB]]+PlayerGameData[[#This Row],[DEF REB]]</f>
        <v>9</v>
      </c>
      <c r="AD465" s="8">
        <f t="shared" si="240"/>
        <v>20</v>
      </c>
      <c r="AE465" s="8" t="str">
        <f t="shared" ca="1" si="241"/>
        <v>Chase Mills, 5 - Wright 2/18/2023</v>
      </c>
      <c r="AF465" s="8" t="str">
        <f t="shared" ca="1" si="260"/>
        <v/>
      </c>
      <c r="AG465" s="8" t="str">
        <f ca="1">IFERROR(IF(C465=0,"",IF(AND(VLOOKUP(PlayerGameData[[#This Row],[Opponent]],WYTeamInfo,2,FALSE)=Roster!$D$1,VLOOKUP(PlayerGameData[[#This Row],[Opponent]],WYTeamInfo,3,FALSE)=Roster!$D$2),"SR","")),"")</f>
        <v/>
      </c>
      <c r="AH465" s="8" t="str">
        <f>CONCATENATE(Roster!$D$1," ",Roster!$D$5)</f>
        <v>1A BB</v>
      </c>
      <c r="AI465" s="8" t="str">
        <f t="shared" ca="1" si="242"/>
        <v>Upton - Wright 2/18/2023</v>
      </c>
      <c r="AJ465" s="8">
        <f ca="1">IFERROR(VLOOKUP(PlayerGameData[[#This Row],[School, Opponent,Game'#]],Table3[],2,FALSE),0)</f>
        <v>1</v>
      </c>
      <c r="AK465" s="8">
        <f ca="1">IF(PlayerGameData[[#This Row],[Visible]]=1,1,1000)</f>
        <v>1</v>
      </c>
      <c r="AL465" s="8">
        <f ca="1">RANK(PlayerGameData[[#This Row],[TL PTS]],PlayerGameData[TL PTS],0)+PlayerGameData[[#This Row],[VisibleOrder]]</f>
        <v>51</v>
      </c>
      <c r="AM465" s="8">
        <f ca="1">IF(COUNTIF(PlayerGameData[PointOrder],PlayerGameData[[#This Row],[PointOrder]])&gt;1,RANK(PlayerGameData[[#This Row],[FGA]],PlayerGameData[FGA],0)/100,0)+PlayerGameData[[#This Row],[PointOrder]]</f>
        <v>51.05</v>
      </c>
      <c r="AN465" s="8">
        <f ca="1">RANK(PlayerGameData[[#This Row],[PointTieBreak]],PlayerGameData[PointTieBreak],1)</f>
        <v>50</v>
      </c>
      <c r="AO465" s="8">
        <f ca="1">RANK(PlayerGameData[[#This Row],[REB]],PlayerGameData[REB],0)+PlayerGameData[[#This Row],[VisibleOrder]]</f>
        <v>13</v>
      </c>
      <c r="AP465" s="8">
        <f ca="1">IF(COUNTIF(PlayerGameData[REBOrder],PlayerGameData[[#This Row],[REBOrder]])&gt;1,PlayerGameData[[#This Row],[PointRank]]/100+PlayerGameData[[#This Row],[REBOrder]],PlayerGameData[[#This Row],[REBOrder]])</f>
        <v>13.5</v>
      </c>
      <c r="AQ465" s="8">
        <f ca="1">RANK(PlayerGameData[[#This Row],[REBTieBreak]],PlayerGameData[REBTieBreak],1)</f>
        <v>14</v>
      </c>
      <c r="AR465" s="8">
        <f ca="1">RANK(PlayerGameData[[#This Row],[AST]],PlayerGameData[AST],0)+PlayerGameData[[#This Row],[VisibleOrder]]</f>
        <v>24</v>
      </c>
      <c r="AS465" s="8">
        <f ca="1">IF(COUNTIF(PlayerGameData[ASTOrder],PlayerGameData[[#This Row],[ASTOrder]])&gt;1,PlayerGameData[[#This Row],[PointRank]]/100+PlayerGameData[[#This Row],[ASTOrder]],PlayerGameData[[#This Row],[ASTOrder]])</f>
        <v>24.5</v>
      </c>
      <c r="AT465" s="8">
        <f ca="1">RANK(PlayerGameData[[#This Row],[ASTTieBreak]],PlayerGameData[ASTTieBreak],1)</f>
        <v>30</v>
      </c>
      <c r="AU465" s="8">
        <f ca="1">RANK(PlayerGameData[[#This Row],[STL]],PlayerGameData[STL],0)+PlayerGameData[[#This Row],[VisibleOrder]]</f>
        <v>84</v>
      </c>
      <c r="AV465" s="8">
        <f ca="1">IF(COUNTIF(PlayerGameData[STLOrder],PlayerGameData[[#This Row],[STLOrder]])&gt;1,PlayerGameData[[#This Row],[PointRank]]/100+PlayerGameData[[#This Row],[STLOrder]],PlayerGameData[[#This Row],[STLOrder]])</f>
        <v>84.5</v>
      </c>
      <c r="AW465" s="8">
        <f ca="1">RANK(PlayerGameData[[#This Row],[STLTieBreak]],PlayerGameData[STLTieBreak],1)</f>
        <v>93</v>
      </c>
      <c r="AX465" s="8">
        <f ca="1">RANK(PlayerGameData[[#This Row],[BLK]],PlayerGameData[BLK],0)+PlayerGameData[[#This Row],[VisibleOrder]]</f>
        <v>32</v>
      </c>
      <c r="AY465" s="8">
        <f ca="1">IF(COUNTIF(PlayerGameData[BLKOrder],PlayerGameData[[#This Row],[BLKOrder]])&gt;1,PlayerGameData[[#This Row],[PointRank]]/100+PlayerGameData[[#This Row],[BLKOrder]],PlayerGameData[[#This Row],[BLKOrder]])</f>
        <v>32.5</v>
      </c>
      <c r="AZ465" s="8">
        <f ca="1">RANK(PlayerGameData[[#This Row],[BLKTieBreak]],PlayerGameData[BLKTieBreak],1)</f>
        <v>71</v>
      </c>
      <c r="BA465" s="11">
        <f ca="1">IFERROR(IF(PlayerGameData[[#This Row],[FGA]]&gt;$AA$5,PlayerGameData[[#This Row],[FG%*]],PlayerGameData[[#This Row],[FG%*]]*-1),-2)</f>
        <v>0.25</v>
      </c>
      <c r="BB465" s="8">
        <f ca="1">RANK(PlayerGameData[[#This Row],[EligFG]],PlayerGameData[EligFG],0)+PlayerGameData[[#This Row],[VisibleOrder]]</f>
        <v>98</v>
      </c>
      <c r="BC465" s="8">
        <f ca="1">IF(COUNTIF(PlayerGameData[EligFGOrder],PlayerGameData[[#This Row],[EligFGOrder]])&gt;1,PlayerGameData[[#This Row],[PointRank]]/100+PlayerGameData[[#This Row],[EligFGOrder]],PlayerGameData[[#This Row],[EligFGOrder]])</f>
        <v>98.5</v>
      </c>
      <c r="BD465" s="8">
        <f ca="1">RANK(PlayerGameData[[#This Row],[EligFGTieBreak]],PlayerGameData[EligFGTieBreak],1)</f>
        <v>97</v>
      </c>
      <c r="BE465" s="8" t="str">
        <f>Roster!$D$3</f>
        <v>East</v>
      </c>
      <c r="BF465" s="8" t="str">
        <f>Roster!$D$2</f>
        <v>Northeast</v>
      </c>
      <c r="BG465" s="8" t="str">
        <f>Roster!$D$4</f>
        <v>North</v>
      </c>
      <c r="BH465" s="197">
        <f ca="1">IFERROR(VLOOKUP(CONCATENATE(PlayerGameData[[#This Row],[Opponent]]," ",MONTH(PlayerGameData[[#This Row],[Date]]),"/",DAY(PlayerGameData[[#This Row],[Date]]),"/",YEAR(PlayerGameData[[#This Row],[Date]])),Table35[],2,FALSE),0)</f>
        <v>1</v>
      </c>
      <c r="BI465" s="197">
        <f ca="1">IF(PlayerGameData[[#This Row],[Visible]]=1,1,1000)</f>
        <v>1</v>
      </c>
      <c r="BJ465" s="197" t="e">
        <f ca="1">_xlfn.MAXIFS(TeamGameData[Win],TeamGameData[School, Opponent,Game'#],PlayerGameData[[#This Row],[School, Opponent,Game'#]])</f>
        <v>#NAME?</v>
      </c>
      <c r="BK465" s="197" t="e">
        <f ca="1">_xlfn.MAXIFS(TeamGameData[Loss],TeamGameData[School, Opponent,Game'#],PlayerGameData[[#This Row],[School, Opponent,Game'#]])</f>
        <v>#NAME?</v>
      </c>
    </row>
    <row r="466" spans="1:63" x14ac:dyDescent="0.25">
      <c r="A466" s="8" t="str">
        <f t="shared" ca="1" si="243"/>
        <v>Rhett Watt, 10</v>
      </c>
      <c r="B466" s="8" t="str">
        <f>Roster!$B$1</f>
        <v>Upton</v>
      </c>
      <c r="C466" s="8" t="str">
        <f t="shared" ca="1" si="231"/>
        <v>Wright</v>
      </c>
      <c r="D466" s="10">
        <f t="shared" ca="1" si="232"/>
        <v>44975</v>
      </c>
      <c r="E466" s="8">
        <f t="shared" ca="1" si="233"/>
        <v>1</v>
      </c>
      <c r="F466" s="8">
        <f t="shared" ca="1" si="234"/>
        <v>1</v>
      </c>
      <c r="G466" s="8">
        <f t="shared" ca="1" si="235"/>
        <v>29</v>
      </c>
      <c r="H466" s="8">
        <f t="shared" ca="1" si="236"/>
        <v>0</v>
      </c>
      <c r="I466" s="8">
        <f t="shared" ca="1" si="237"/>
        <v>4</v>
      </c>
      <c r="J466" s="8">
        <f t="shared" ca="1" si="238"/>
        <v>4</v>
      </c>
      <c r="K466" s="8">
        <f t="shared" ca="1" si="239"/>
        <v>8</v>
      </c>
      <c r="L466" s="8">
        <f t="shared" ca="1" si="244"/>
        <v>1</v>
      </c>
      <c r="M466" s="8">
        <f t="shared" ca="1" si="245"/>
        <v>3</v>
      </c>
      <c r="N466" s="8">
        <f t="shared" ca="1" si="246"/>
        <v>2</v>
      </c>
      <c r="O466" s="8">
        <f t="shared" ca="1" si="247"/>
        <v>3</v>
      </c>
      <c r="P466" s="8">
        <f t="shared" ca="1" si="248"/>
        <v>5</v>
      </c>
      <c r="Q466" s="8">
        <f t="shared" ca="1" si="249"/>
        <v>2</v>
      </c>
      <c r="R466" s="8">
        <f t="shared" ca="1" si="250"/>
        <v>1</v>
      </c>
      <c r="S466" s="8">
        <f t="shared" ca="1" si="251"/>
        <v>0</v>
      </c>
      <c r="T466" s="8">
        <f t="shared" ca="1" si="252"/>
        <v>2</v>
      </c>
      <c r="U466" s="8">
        <f t="shared" ca="1" si="253"/>
        <v>0</v>
      </c>
      <c r="V466" s="8">
        <f t="shared" ca="1" si="254"/>
        <v>9</v>
      </c>
      <c r="W466" s="11">
        <f t="shared" ca="1" si="255"/>
        <v>0</v>
      </c>
      <c r="X466" s="11">
        <f t="shared" ca="1" si="256"/>
        <v>0.5</v>
      </c>
      <c r="Y466" s="11">
        <f t="shared" ca="1" si="257"/>
        <v>0.33333333333333331</v>
      </c>
      <c r="Z466" s="11">
        <f t="shared" ca="1" si="258"/>
        <v>0.33333333333333331</v>
      </c>
      <c r="AA466" s="11">
        <f t="shared" ca="1" si="259"/>
        <v>0.33333333333333331</v>
      </c>
      <c r="AB466" s="47">
        <f ca="1">PlayerGameData[[#This Row],[3FGA]]+PlayerGameData[[#This Row],[2FGA]]</f>
        <v>12</v>
      </c>
      <c r="AC466" s="47">
        <f ca="1">PlayerGameData[[#This Row],[OFF REB]]+PlayerGameData[[#This Row],[DEF REB]]</f>
        <v>5</v>
      </c>
      <c r="AD466" s="8">
        <f t="shared" si="240"/>
        <v>20</v>
      </c>
      <c r="AE466" s="8" t="str">
        <f t="shared" ca="1" si="241"/>
        <v>Rhett Watt, 10 - Wright 2/18/2023</v>
      </c>
      <c r="AF466" s="8" t="str">
        <f t="shared" ca="1" si="260"/>
        <v/>
      </c>
      <c r="AG466" s="8" t="str">
        <f ca="1">IFERROR(IF(C466=0,"",IF(AND(VLOOKUP(PlayerGameData[[#This Row],[Opponent]],WYTeamInfo,2,FALSE)=Roster!$D$1,VLOOKUP(PlayerGameData[[#This Row],[Opponent]],WYTeamInfo,3,FALSE)=Roster!$D$2),"SR","")),"")</f>
        <v/>
      </c>
      <c r="AH466" s="8" t="str">
        <f>CONCATENATE(Roster!$D$1," ",Roster!$D$5)</f>
        <v>1A BB</v>
      </c>
      <c r="AI466" s="8" t="str">
        <f t="shared" ca="1" si="242"/>
        <v>Upton - Wright 2/18/2023</v>
      </c>
      <c r="AJ466" s="8">
        <f ca="1">IFERROR(VLOOKUP(PlayerGameData[[#This Row],[School, Opponent,Game'#]],Table3[],2,FALSE),0)</f>
        <v>1</v>
      </c>
      <c r="AK466" s="8">
        <f ca="1">IF(PlayerGameData[[#This Row],[Visible]]=1,1,1000)</f>
        <v>1</v>
      </c>
      <c r="AL466" s="8">
        <f ca="1">RANK(PlayerGameData[[#This Row],[TL PTS]],PlayerGameData[TL PTS],0)+PlayerGameData[[#This Row],[VisibleOrder]]</f>
        <v>75</v>
      </c>
      <c r="AM466" s="8">
        <f ca="1">IF(COUNTIF(PlayerGameData[PointOrder],PlayerGameData[[#This Row],[PointOrder]])&gt;1,RANK(PlayerGameData[[#This Row],[FGA]],PlayerGameData[FGA],0)/100,0)+PlayerGameData[[#This Row],[PointOrder]]</f>
        <v>75.25</v>
      </c>
      <c r="AN466" s="8">
        <f ca="1">RANK(PlayerGameData[[#This Row],[PointTieBreak]],PlayerGameData[PointTieBreak],1)</f>
        <v>75</v>
      </c>
      <c r="AO466" s="8">
        <f ca="1">RANK(PlayerGameData[[#This Row],[REB]],PlayerGameData[REB],0)+PlayerGameData[[#This Row],[VisibleOrder]]</f>
        <v>52</v>
      </c>
      <c r="AP466" s="8">
        <f ca="1">IF(COUNTIF(PlayerGameData[REBOrder],PlayerGameData[[#This Row],[REBOrder]])&gt;1,PlayerGameData[[#This Row],[PointRank]]/100+PlayerGameData[[#This Row],[REBOrder]],PlayerGameData[[#This Row],[REBOrder]])</f>
        <v>52.75</v>
      </c>
      <c r="AQ466" s="8">
        <f ca="1">RANK(PlayerGameData[[#This Row],[REBTieBreak]],PlayerGameData[REBTieBreak],1)</f>
        <v>63</v>
      </c>
      <c r="AR466" s="8">
        <f ca="1">RANK(PlayerGameData[[#This Row],[AST]],PlayerGameData[AST],0)+PlayerGameData[[#This Row],[VisibleOrder]]</f>
        <v>14</v>
      </c>
      <c r="AS466" s="8">
        <f ca="1">IF(COUNTIF(PlayerGameData[ASTOrder],PlayerGameData[[#This Row],[ASTOrder]])&gt;1,PlayerGameData[[#This Row],[PointRank]]/100+PlayerGameData[[#This Row],[ASTOrder]],PlayerGameData[[#This Row],[ASTOrder]])</f>
        <v>14.75</v>
      </c>
      <c r="AT466" s="8">
        <f ca="1">RANK(PlayerGameData[[#This Row],[ASTTieBreak]],PlayerGameData[ASTTieBreak],1)</f>
        <v>21</v>
      </c>
      <c r="AU466" s="8">
        <f ca="1">RANK(PlayerGameData[[#This Row],[STL]],PlayerGameData[STL],0)+PlayerGameData[[#This Row],[VisibleOrder]]</f>
        <v>48</v>
      </c>
      <c r="AV466" s="8">
        <f ca="1">IF(COUNTIF(PlayerGameData[STLOrder],PlayerGameData[[#This Row],[STLOrder]])&gt;1,PlayerGameData[[#This Row],[PointRank]]/100+PlayerGameData[[#This Row],[STLOrder]],PlayerGameData[[#This Row],[STLOrder]])</f>
        <v>48.75</v>
      </c>
      <c r="AW466" s="8">
        <f ca="1">RANK(PlayerGameData[[#This Row],[STLTieBreak]],PlayerGameData[STLTieBreak],1)</f>
        <v>62</v>
      </c>
      <c r="AX466" s="8">
        <f ca="1">RANK(PlayerGameData[[#This Row],[BLK]],PlayerGameData[BLK],0)+PlayerGameData[[#This Row],[VisibleOrder]]</f>
        <v>11</v>
      </c>
      <c r="AY466" s="8">
        <f ca="1">IF(COUNTIF(PlayerGameData[BLKOrder],PlayerGameData[[#This Row],[BLKOrder]])&gt;1,PlayerGameData[[#This Row],[PointRank]]/100+PlayerGameData[[#This Row],[BLKOrder]],PlayerGameData[[#This Row],[BLKOrder]])</f>
        <v>11.75</v>
      </c>
      <c r="AZ466" s="8">
        <f ca="1">RANK(PlayerGameData[[#This Row],[BLKTieBreak]],PlayerGameData[BLKTieBreak],1)</f>
        <v>18</v>
      </c>
      <c r="BA466" s="11">
        <f ca="1">IFERROR(IF(PlayerGameData[[#This Row],[FGA]]&gt;$AA$5,PlayerGameData[[#This Row],[FG%*]],PlayerGameData[[#This Row],[FG%*]]*-1),-2)</f>
        <v>0.33333333333333331</v>
      </c>
      <c r="BB466" s="8">
        <f ca="1">RANK(PlayerGameData[[#This Row],[EligFG]],PlayerGameData[EligFG],0)+PlayerGameData[[#This Row],[VisibleOrder]]</f>
        <v>80</v>
      </c>
      <c r="BC466" s="8">
        <f ca="1">IF(COUNTIF(PlayerGameData[EligFGOrder],PlayerGameData[[#This Row],[EligFGOrder]])&gt;1,PlayerGameData[[#This Row],[PointRank]]/100+PlayerGameData[[#This Row],[EligFGOrder]],PlayerGameData[[#This Row],[EligFGOrder]])</f>
        <v>80.75</v>
      </c>
      <c r="BD466" s="8">
        <f ca="1">RANK(PlayerGameData[[#This Row],[EligFGTieBreak]],PlayerGameData[EligFGTieBreak],1)</f>
        <v>81</v>
      </c>
      <c r="BE466" s="8" t="str">
        <f>Roster!$D$3</f>
        <v>East</v>
      </c>
      <c r="BF466" s="8" t="str">
        <f>Roster!$D$2</f>
        <v>Northeast</v>
      </c>
      <c r="BG466" s="8" t="str">
        <f>Roster!$D$4</f>
        <v>North</v>
      </c>
      <c r="BH466" s="197">
        <f ca="1">IFERROR(VLOOKUP(CONCATENATE(PlayerGameData[[#This Row],[Opponent]]," ",MONTH(PlayerGameData[[#This Row],[Date]]),"/",DAY(PlayerGameData[[#This Row],[Date]]),"/",YEAR(PlayerGameData[[#This Row],[Date]])),Table35[],2,FALSE),0)</f>
        <v>1</v>
      </c>
      <c r="BI466" s="197">
        <f ca="1">IF(PlayerGameData[[#This Row],[Visible]]=1,1,1000)</f>
        <v>1</v>
      </c>
      <c r="BJ466" s="197" t="e">
        <f ca="1">_xlfn.MAXIFS(TeamGameData[Win],TeamGameData[School, Opponent,Game'#],PlayerGameData[[#This Row],[School, Opponent,Game'#]])</f>
        <v>#NAME?</v>
      </c>
      <c r="BK466" s="197" t="e">
        <f ca="1">_xlfn.MAXIFS(TeamGameData[Loss],TeamGameData[School, Opponent,Game'#],PlayerGameData[[#This Row],[School, Opponent,Game'#]])</f>
        <v>#NAME?</v>
      </c>
    </row>
    <row r="467" spans="1:63" x14ac:dyDescent="0.25">
      <c r="A467" s="8" t="str">
        <f t="shared" ca="1" si="243"/>
        <v>Keith Coburn, 11</v>
      </c>
      <c r="B467" s="8" t="str">
        <f>Roster!$B$1</f>
        <v>Upton</v>
      </c>
      <c r="C467" s="8" t="str">
        <f t="shared" ca="1" si="231"/>
        <v>Wright</v>
      </c>
      <c r="D467" s="10">
        <f t="shared" ca="1" si="232"/>
        <v>44975</v>
      </c>
      <c r="E467" s="8">
        <f t="shared" ca="1" si="233"/>
        <v>0</v>
      </c>
      <c r="F467" s="8">
        <f t="shared" ca="1" si="234"/>
        <v>0</v>
      </c>
      <c r="G467" s="8">
        <f t="shared" ca="1" si="235"/>
        <v>0</v>
      </c>
      <c r="H467" s="8">
        <f t="shared" ca="1" si="236"/>
        <v>0</v>
      </c>
      <c r="I467" s="8">
        <f t="shared" ca="1" si="237"/>
        <v>0</v>
      </c>
      <c r="J467" s="8">
        <f t="shared" ca="1" si="238"/>
        <v>0</v>
      </c>
      <c r="K467" s="8">
        <f t="shared" ca="1" si="239"/>
        <v>0</v>
      </c>
      <c r="L467" s="8">
        <f t="shared" ca="1" si="244"/>
        <v>0</v>
      </c>
      <c r="M467" s="8">
        <f t="shared" ca="1" si="245"/>
        <v>0</v>
      </c>
      <c r="N467" s="8">
        <f t="shared" ca="1" si="246"/>
        <v>0</v>
      </c>
      <c r="O467" s="8">
        <f t="shared" ca="1" si="247"/>
        <v>0</v>
      </c>
      <c r="P467" s="8">
        <f t="shared" ca="1" si="248"/>
        <v>0</v>
      </c>
      <c r="Q467" s="8">
        <f t="shared" ca="1" si="249"/>
        <v>0</v>
      </c>
      <c r="R467" s="8">
        <f t="shared" ca="1" si="250"/>
        <v>0</v>
      </c>
      <c r="S467" s="8">
        <f t="shared" ca="1" si="251"/>
        <v>0</v>
      </c>
      <c r="T467" s="8">
        <f t="shared" ca="1" si="252"/>
        <v>0</v>
      </c>
      <c r="U467" s="8">
        <f t="shared" ca="1" si="253"/>
        <v>0</v>
      </c>
      <c r="V467" s="8">
        <f t="shared" ca="1" si="254"/>
        <v>0</v>
      </c>
      <c r="W467" s="11" t="str">
        <f t="shared" ca="1" si="255"/>
        <v/>
      </c>
      <c r="X467" s="11" t="str">
        <f t="shared" ca="1" si="256"/>
        <v/>
      </c>
      <c r="Y467" s="11" t="str">
        <f t="shared" ca="1" si="257"/>
        <v/>
      </c>
      <c r="Z467" s="11" t="str">
        <f t="shared" ca="1" si="258"/>
        <v/>
      </c>
      <c r="AA467" s="11" t="str">
        <f t="shared" ca="1" si="259"/>
        <v/>
      </c>
      <c r="AB467" s="47">
        <f ca="1">PlayerGameData[[#This Row],[3FGA]]+PlayerGameData[[#This Row],[2FGA]]</f>
        <v>0</v>
      </c>
      <c r="AC467" s="47">
        <f ca="1">PlayerGameData[[#This Row],[OFF REB]]+PlayerGameData[[#This Row],[DEF REB]]</f>
        <v>0</v>
      </c>
      <c r="AD467" s="8">
        <f t="shared" si="240"/>
        <v>20</v>
      </c>
      <c r="AE467" s="8" t="str">
        <f t="shared" ca="1" si="241"/>
        <v>Keith Coburn, 11 - Wright 2/18/2023</v>
      </c>
      <c r="AF467" s="8" t="str">
        <f t="shared" ca="1" si="260"/>
        <v/>
      </c>
      <c r="AG467" s="8" t="str">
        <f ca="1">IFERROR(IF(C467=0,"",IF(AND(VLOOKUP(PlayerGameData[[#This Row],[Opponent]],WYTeamInfo,2,FALSE)=Roster!$D$1,VLOOKUP(PlayerGameData[[#This Row],[Opponent]],WYTeamInfo,3,FALSE)=Roster!$D$2),"SR","")),"")</f>
        <v/>
      </c>
      <c r="AH467" s="8" t="str">
        <f>CONCATENATE(Roster!$D$1," ",Roster!$D$5)</f>
        <v>1A BB</v>
      </c>
      <c r="AI467" s="8" t="str">
        <f t="shared" ca="1" si="242"/>
        <v>Upton - Wright 2/18/2023</v>
      </c>
      <c r="AJ467" s="8">
        <f ca="1">IFERROR(VLOOKUP(PlayerGameData[[#This Row],[School, Opponent,Game'#]],Table3[],2,FALSE),0)</f>
        <v>1</v>
      </c>
      <c r="AK467" s="8">
        <f ca="1">IF(PlayerGameData[[#This Row],[Visible]]=1,1,1000)</f>
        <v>1</v>
      </c>
      <c r="AL467" s="8">
        <f ca="1">RANK(PlayerGameData[[#This Row],[TL PTS]],PlayerGameData[TL PTS],0)+PlayerGameData[[#This Row],[VisibleOrder]]</f>
        <v>185</v>
      </c>
      <c r="AM467" s="8">
        <f ca="1">IF(COUNTIF(PlayerGameData[PointOrder],PlayerGameData[[#This Row],[PointOrder]])&gt;1,RANK(PlayerGameData[[#This Row],[FGA]],PlayerGameData[FGA],0)/100,0)+PlayerGameData[[#This Row],[PointOrder]]</f>
        <v>187.14</v>
      </c>
      <c r="AN467" s="8">
        <f ca="1">RANK(PlayerGameData[[#This Row],[PointTieBreak]],PlayerGameData[PointTieBreak],1)</f>
        <v>216</v>
      </c>
      <c r="AO467" s="8">
        <f ca="1">RANK(PlayerGameData[[#This Row],[REB]],PlayerGameData[REB],0)+PlayerGameData[[#This Row],[VisibleOrder]]</f>
        <v>192</v>
      </c>
      <c r="AP467" s="8">
        <f ca="1">IF(COUNTIF(PlayerGameData[REBOrder],PlayerGameData[[#This Row],[REBOrder]])&gt;1,PlayerGameData[[#This Row],[PointRank]]/100+PlayerGameData[[#This Row],[REBOrder]],PlayerGameData[[#This Row],[REBOrder]])</f>
        <v>194.16</v>
      </c>
      <c r="AQ467" s="8">
        <f ca="1">RANK(PlayerGameData[[#This Row],[REBTieBreak]],PlayerGameData[REBTieBreak],1)</f>
        <v>224</v>
      </c>
      <c r="AR467" s="8">
        <f ca="1">RANK(PlayerGameData[[#This Row],[AST]],PlayerGameData[AST],0)+PlayerGameData[[#This Row],[VisibleOrder]]</f>
        <v>158</v>
      </c>
      <c r="AS467" s="8">
        <f ca="1">IF(COUNTIF(PlayerGameData[ASTOrder],PlayerGameData[[#This Row],[ASTOrder]])&gt;1,PlayerGameData[[#This Row],[PointRank]]/100+PlayerGameData[[#This Row],[ASTOrder]],PlayerGameData[[#This Row],[ASTOrder]])</f>
        <v>160.16</v>
      </c>
      <c r="AT467" s="8">
        <f ca="1">RANK(PlayerGameData[[#This Row],[ASTTieBreak]],PlayerGameData[ASTTieBreak],1)</f>
        <v>221</v>
      </c>
      <c r="AU467" s="8">
        <f ca="1">RANK(PlayerGameData[[#This Row],[STL]],PlayerGameData[STL],0)+PlayerGameData[[#This Row],[VisibleOrder]]</f>
        <v>143</v>
      </c>
      <c r="AV467" s="8">
        <f ca="1">IF(COUNTIF(PlayerGameData[STLOrder],PlayerGameData[[#This Row],[STLOrder]])&gt;1,PlayerGameData[[#This Row],[PointRank]]/100+PlayerGameData[[#This Row],[STLOrder]],PlayerGameData[[#This Row],[STLOrder]])</f>
        <v>145.16</v>
      </c>
      <c r="AW467" s="8">
        <f ca="1">RANK(PlayerGameData[[#This Row],[STLTieBreak]],PlayerGameData[STLTieBreak],1)</f>
        <v>217</v>
      </c>
      <c r="AX467" s="8">
        <f ca="1">RANK(PlayerGameData[[#This Row],[BLK]],PlayerGameData[BLK],0)+PlayerGameData[[#This Row],[VisibleOrder]]</f>
        <v>32</v>
      </c>
      <c r="AY467" s="8">
        <f ca="1">IF(COUNTIF(PlayerGameData[BLKOrder],PlayerGameData[[#This Row],[BLKOrder]])&gt;1,PlayerGameData[[#This Row],[PointRank]]/100+PlayerGameData[[#This Row],[BLKOrder]],PlayerGameData[[#This Row],[BLKOrder]])</f>
        <v>34.159999999999997</v>
      </c>
      <c r="AZ467" s="8">
        <f ca="1">RANK(PlayerGameData[[#This Row],[BLKTieBreak]],PlayerGameData[BLKTieBreak],1)</f>
        <v>216</v>
      </c>
      <c r="BA467" s="11">
        <f ca="1">IFERROR(IF(PlayerGameData[[#This Row],[FGA]]&gt;$AA$5,PlayerGameData[[#This Row],[FG%*]],PlayerGameData[[#This Row],[FG%*]]*-1),-2)</f>
        <v>-2</v>
      </c>
      <c r="BB467" s="8">
        <f ca="1">RANK(PlayerGameData[[#This Row],[EligFG]],PlayerGameData[EligFG],0)+PlayerGameData[[#This Row],[VisibleOrder]]</f>
        <v>215</v>
      </c>
      <c r="BC467" s="8">
        <f ca="1">IF(COUNTIF(PlayerGameData[EligFGOrder],PlayerGameData[[#This Row],[EligFGOrder]])&gt;1,PlayerGameData[[#This Row],[PointRank]]/100+PlayerGameData[[#This Row],[EligFGOrder]],PlayerGameData[[#This Row],[EligFGOrder]])</f>
        <v>217.16</v>
      </c>
      <c r="BD467" s="8">
        <f ca="1">RANK(PlayerGameData[[#This Row],[EligFGTieBreak]],PlayerGameData[EligFGTieBreak],1)</f>
        <v>216</v>
      </c>
      <c r="BE467" s="8" t="str">
        <f>Roster!$D$3</f>
        <v>East</v>
      </c>
      <c r="BF467" s="8" t="str">
        <f>Roster!$D$2</f>
        <v>Northeast</v>
      </c>
      <c r="BG467" s="8" t="str">
        <f>Roster!$D$4</f>
        <v>North</v>
      </c>
      <c r="BH467" s="197">
        <f ca="1">IFERROR(VLOOKUP(CONCATENATE(PlayerGameData[[#This Row],[Opponent]]," ",MONTH(PlayerGameData[[#This Row],[Date]]),"/",DAY(PlayerGameData[[#This Row],[Date]]),"/",YEAR(PlayerGameData[[#This Row],[Date]])),Table35[],2,FALSE),0)</f>
        <v>1</v>
      </c>
      <c r="BI467" s="197">
        <f ca="1">IF(PlayerGameData[[#This Row],[Visible]]=1,1,1000)</f>
        <v>1</v>
      </c>
      <c r="BJ467" s="197" t="e">
        <f ca="1">_xlfn.MAXIFS(TeamGameData[Win],TeamGameData[School, Opponent,Game'#],PlayerGameData[[#This Row],[School, Opponent,Game'#]])</f>
        <v>#NAME?</v>
      </c>
      <c r="BK467" s="197" t="e">
        <f ca="1">_xlfn.MAXIFS(TeamGameData[Loss],TeamGameData[School, Opponent,Game'#],PlayerGameData[[#This Row],[School, Opponent,Game'#]])</f>
        <v>#NAME?</v>
      </c>
    </row>
    <row r="468" spans="1:63" x14ac:dyDescent="0.25">
      <c r="A468" s="8" t="str">
        <f t="shared" ca="1" si="243"/>
        <v>Carson Barritt, 14</v>
      </c>
      <c r="B468" s="8" t="str">
        <f>Roster!$B$1</f>
        <v>Upton</v>
      </c>
      <c r="C468" s="8" t="str">
        <f t="shared" ca="1" si="231"/>
        <v>Wright</v>
      </c>
      <c r="D468" s="10">
        <f t="shared" ca="1" si="232"/>
        <v>44975</v>
      </c>
      <c r="E468" s="8">
        <f t="shared" ca="1" si="233"/>
        <v>0</v>
      </c>
      <c r="F468" s="8">
        <f t="shared" ca="1" si="234"/>
        <v>0</v>
      </c>
      <c r="G468" s="8">
        <f t="shared" ca="1" si="235"/>
        <v>0</v>
      </c>
      <c r="H468" s="8">
        <f t="shared" ca="1" si="236"/>
        <v>0</v>
      </c>
      <c r="I468" s="8">
        <f t="shared" ca="1" si="237"/>
        <v>0</v>
      </c>
      <c r="J468" s="8">
        <f t="shared" ca="1" si="238"/>
        <v>0</v>
      </c>
      <c r="K468" s="8">
        <f t="shared" ca="1" si="239"/>
        <v>0</v>
      </c>
      <c r="L468" s="8">
        <f t="shared" ca="1" si="244"/>
        <v>0</v>
      </c>
      <c r="M468" s="8">
        <f t="shared" ca="1" si="245"/>
        <v>0</v>
      </c>
      <c r="N468" s="8">
        <f t="shared" ca="1" si="246"/>
        <v>0</v>
      </c>
      <c r="O468" s="8">
        <f t="shared" ca="1" si="247"/>
        <v>0</v>
      </c>
      <c r="P468" s="8">
        <f t="shared" ca="1" si="248"/>
        <v>0</v>
      </c>
      <c r="Q468" s="8">
        <f t="shared" ca="1" si="249"/>
        <v>0</v>
      </c>
      <c r="R468" s="8">
        <f t="shared" ca="1" si="250"/>
        <v>0</v>
      </c>
      <c r="S468" s="8">
        <f t="shared" ca="1" si="251"/>
        <v>0</v>
      </c>
      <c r="T468" s="8">
        <f t="shared" ca="1" si="252"/>
        <v>0</v>
      </c>
      <c r="U468" s="8">
        <f t="shared" ca="1" si="253"/>
        <v>0</v>
      </c>
      <c r="V468" s="8">
        <f t="shared" ca="1" si="254"/>
        <v>0</v>
      </c>
      <c r="W468" s="11" t="str">
        <f t="shared" ca="1" si="255"/>
        <v/>
      </c>
      <c r="X468" s="11" t="str">
        <f t="shared" ca="1" si="256"/>
        <v/>
      </c>
      <c r="Y468" s="11" t="str">
        <f t="shared" ca="1" si="257"/>
        <v/>
      </c>
      <c r="Z468" s="11" t="str">
        <f t="shared" ca="1" si="258"/>
        <v/>
      </c>
      <c r="AA468" s="11" t="str">
        <f t="shared" ca="1" si="259"/>
        <v/>
      </c>
      <c r="AB468" s="47">
        <f ca="1">PlayerGameData[[#This Row],[3FGA]]+PlayerGameData[[#This Row],[2FGA]]</f>
        <v>0</v>
      </c>
      <c r="AC468" s="47">
        <f ca="1">PlayerGameData[[#This Row],[OFF REB]]+PlayerGameData[[#This Row],[DEF REB]]</f>
        <v>0</v>
      </c>
      <c r="AD468" s="8">
        <f t="shared" si="240"/>
        <v>20</v>
      </c>
      <c r="AE468" s="8" t="str">
        <f t="shared" ca="1" si="241"/>
        <v>Carson Barritt, 14 - Wright 2/18/2023</v>
      </c>
      <c r="AF468" s="8" t="str">
        <f t="shared" ca="1" si="260"/>
        <v/>
      </c>
      <c r="AG468" s="8" t="str">
        <f ca="1">IFERROR(IF(C468=0,"",IF(AND(VLOOKUP(PlayerGameData[[#This Row],[Opponent]],WYTeamInfo,2,FALSE)=Roster!$D$1,VLOOKUP(PlayerGameData[[#This Row],[Opponent]],WYTeamInfo,3,FALSE)=Roster!$D$2),"SR","")),"")</f>
        <v/>
      </c>
      <c r="AH468" s="8" t="str">
        <f>CONCATENATE(Roster!$D$1," ",Roster!$D$5)</f>
        <v>1A BB</v>
      </c>
      <c r="AI468" s="8" t="str">
        <f t="shared" ca="1" si="242"/>
        <v>Upton - Wright 2/18/2023</v>
      </c>
      <c r="AJ468" s="8">
        <f ca="1">IFERROR(VLOOKUP(PlayerGameData[[#This Row],[School, Opponent,Game'#]],Table3[],2,FALSE),0)</f>
        <v>1</v>
      </c>
      <c r="AK468" s="8">
        <f ca="1">IF(PlayerGameData[[#This Row],[Visible]]=1,1,1000)</f>
        <v>1</v>
      </c>
      <c r="AL468" s="8">
        <f ca="1">RANK(PlayerGameData[[#This Row],[TL PTS]],PlayerGameData[TL PTS],0)+PlayerGameData[[#This Row],[VisibleOrder]]</f>
        <v>185</v>
      </c>
      <c r="AM468" s="8">
        <f ca="1">IF(COUNTIF(PlayerGameData[PointOrder],PlayerGameData[[#This Row],[PointOrder]])&gt;1,RANK(PlayerGameData[[#This Row],[FGA]],PlayerGameData[FGA],0)/100,0)+PlayerGameData[[#This Row],[PointOrder]]</f>
        <v>187.14</v>
      </c>
      <c r="AN468" s="8">
        <f ca="1">RANK(PlayerGameData[[#This Row],[PointTieBreak]],PlayerGameData[PointTieBreak],1)</f>
        <v>216</v>
      </c>
      <c r="AO468" s="8">
        <f ca="1">RANK(PlayerGameData[[#This Row],[REB]],PlayerGameData[REB],0)+PlayerGameData[[#This Row],[VisibleOrder]]</f>
        <v>192</v>
      </c>
      <c r="AP468" s="8">
        <f ca="1">IF(COUNTIF(PlayerGameData[REBOrder],PlayerGameData[[#This Row],[REBOrder]])&gt;1,PlayerGameData[[#This Row],[PointRank]]/100+PlayerGameData[[#This Row],[REBOrder]],PlayerGameData[[#This Row],[REBOrder]])</f>
        <v>194.16</v>
      </c>
      <c r="AQ468" s="8">
        <f ca="1">RANK(PlayerGameData[[#This Row],[REBTieBreak]],PlayerGameData[REBTieBreak],1)</f>
        <v>224</v>
      </c>
      <c r="AR468" s="8">
        <f ca="1">RANK(PlayerGameData[[#This Row],[AST]],PlayerGameData[AST],0)+PlayerGameData[[#This Row],[VisibleOrder]]</f>
        <v>158</v>
      </c>
      <c r="AS468" s="8">
        <f ca="1">IF(COUNTIF(PlayerGameData[ASTOrder],PlayerGameData[[#This Row],[ASTOrder]])&gt;1,PlayerGameData[[#This Row],[PointRank]]/100+PlayerGameData[[#This Row],[ASTOrder]],PlayerGameData[[#This Row],[ASTOrder]])</f>
        <v>160.16</v>
      </c>
      <c r="AT468" s="8">
        <f ca="1">RANK(PlayerGameData[[#This Row],[ASTTieBreak]],PlayerGameData[ASTTieBreak],1)</f>
        <v>221</v>
      </c>
      <c r="AU468" s="8">
        <f ca="1">RANK(PlayerGameData[[#This Row],[STL]],PlayerGameData[STL],0)+PlayerGameData[[#This Row],[VisibleOrder]]</f>
        <v>143</v>
      </c>
      <c r="AV468" s="8">
        <f ca="1">IF(COUNTIF(PlayerGameData[STLOrder],PlayerGameData[[#This Row],[STLOrder]])&gt;1,PlayerGameData[[#This Row],[PointRank]]/100+PlayerGameData[[#This Row],[STLOrder]],PlayerGameData[[#This Row],[STLOrder]])</f>
        <v>145.16</v>
      </c>
      <c r="AW468" s="8">
        <f ca="1">RANK(PlayerGameData[[#This Row],[STLTieBreak]],PlayerGameData[STLTieBreak],1)</f>
        <v>217</v>
      </c>
      <c r="AX468" s="8">
        <f ca="1">RANK(PlayerGameData[[#This Row],[BLK]],PlayerGameData[BLK],0)+PlayerGameData[[#This Row],[VisibleOrder]]</f>
        <v>32</v>
      </c>
      <c r="AY468" s="8">
        <f ca="1">IF(COUNTIF(PlayerGameData[BLKOrder],PlayerGameData[[#This Row],[BLKOrder]])&gt;1,PlayerGameData[[#This Row],[PointRank]]/100+PlayerGameData[[#This Row],[BLKOrder]],PlayerGameData[[#This Row],[BLKOrder]])</f>
        <v>34.159999999999997</v>
      </c>
      <c r="AZ468" s="8">
        <f ca="1">RANK(PlayerGameData[[#This Row],[BLKTieBreak]],PlayerGameData[BLKTieBreak],1)</f>
        <v>216</v>
      </c>
      <c r="BA468" s="11">
        <f ca="1">IFERROR(IF(PlayerGameData[[#This Row],[FGA]]&gt;$AA$5,PlayerGameData[[#This Row],[FG%*]],PlayerGameData[[#This Row],[FG%*]]*-1),-2)</f>
        <v>-2</v>
      </c>
      <c r="BB468" s="8">
        <f ca="1">RANK(PlayerGameData[[#This Row],[EligFG]],PlayerGameData[EligFG],0)+PlayerGameData[[#This Row],[VisibleOrder]]</f>
        <v>215</v>
      </c>
      <c r="BC468" s="8">
        <f ca="1">IF(COUNTIF(PlayerGameData[EligFGOrder],PlayerGameData[[#This Row],[EligFGOrder]])&gt;1,PlayerGameData[[#This Row],[PointRank]]/100+PlayerGameData[[#This Row],[EligFGOrder]],PlayerGameData[[#This Row],[EligFGOrder]])</f>
        <v>217.16</v>
      </c>
      <c r="BD468" s="8">
        <f ca="1">RANK(PlayerGameData[[#This Row],[EligFGTieBreak]],PlayerGameData[EligFGTieBreak],1)</f>
        <v>216</v>
      </c>
      <c r="BE468" s="8" t="str">
        <f>Roster!$D$3</f>
        <v>East</v>
      </c>
      <c r="BF468" s="8" t="str">
        <f>Roster!$D$2</f>
        <v>Northeast</v>
      </c>
      <c r="BG468" s="8" t="str">
        <f>Roster!$D$4</f>
        <v>North</v>
      </c>
      <c r="BH468" s="197">
        <f ca="1">IFERROR(VLOOKUP(CONCATENATE(PlayerGameData[[#This Row],[Opponent]]," ",MONTH(PlayerGameData[[#This Row],[Date]]),"/",DAY(PlayerGameData[[#This Row],[Date]]),"/",YEAR(PlayerGameData[[#This Row],[Date]])),Table35[],2,FALSE),0)</f>
        <v>1</v>
      </c>
      <c r="BI468" s="197">
        <f ca="1">IF(PlayerGameData[[#This Row],[Visible]]=1,1,1000)</f>
        <v>1</v>
      </c>
      <c r="BJ468" s="197" t="e">
        <f ca="1">_xlfn.MAXIFS(TeamGameData[Win],TeamGameData[School, Opponent,Game'#],PlayerGameData[[#This Row],[School, Opponent,Game'#]])</f>
        <v>#NAME?</v>
      </c>
      <c r="BK468" s="197" t="e">
        <f ca="1">_xlfn.MAXIFS(TeamGameData[Loss],TeamGameData[School, Opponent,Game'#],PlayerGameData[[#This Row],[School, Opponent,Game'#]])</f>
        <v>#NAME?</v>
      </c>
    </row>
    <row r="469" spans="1:63" x14ac:dyDescent="0.25">
      <c r="A469" s="8" t="str">
        <f t="shared" ca="1" si="243"/>
        <v>Ben Carpenter, 21</v>
      </c>
      <c r="B469" s="8" t="str">
        <f>Roster!$B$1</f>
        <v>Upton</v>
      </c>
      <c r="C469" s="8" t="str">
        <f t="shared" ca="1" si="231"/>
        <v>Wright</v>
      </c>
      <c r="D469" s="10">
        <f t="shared" ca="1" si="232"/>
        <v>44975</v>
      </c>
      <c r="E469" s="8">
        <f t="shared" ca="1" si="233"/>
        <v>0</v>
      </c>
      <c r="F469" s="8">
        <f t="shared" ca="1" si="234"/>
        <v>0</v>
      </c>
      <c r="G469" s="8">
        <f t="shared" ca="1" si="235"/>
        <v>0</v>
      </c>
      <c r="H469" s="8">
        <f t="shared" ca="1" si="236"/>
        <v>0</v>
      </c>
      <c r="I469" s="8">
        <f t="shared" ca="1" si="237"/>
        <v>0</v>
      </c>
      <c r="J469" s="8">
        <f t="shared" ca="1" si="238"/>
        <v>0</v>
      </c>
      <c r="K469" s="8">
        <f t="shared" ca="1" si="239"/>
        <v>0</v>
      </c>
      <c r="L469" s="8">
        <f t="shared" ca="1" si="244"/>
        <v>0</v>
      </c>
      <c r="M469" s="8">
        <f t="shared" ca="1" si="245"/>
        <v>0</v>
      </c>
      <c r="N469" s="8">
        <f t="shared" ca="1" si="246"/>
        <v>0</v>
      </c>
      <c r="O469" s="8">
        <f t="shared" ca="1" si="247"/>
        <v>0</v>
      </c>
      <c r="P469" s="8">
        <f t="shared" ca="1" si="248"/>
        <v>0</v>
      </c>
      <c r="Q469" s="8">
        <f t="shared" ca="1" si="249"/>
        <v>0</v>
      </c>
      <c r="R469" s="8">
        <f t="shared" ca="1" si="250"/>
        <v>0</v>
      </c>
      <c r="S469" s="8">
        <f t="shared" ca="1" si="251"/>
        <v>0</v>
      </c>
      <c r="T469" s="8">
        <f t="shared" ca="1" si="252"/>
        <v>0</v>
      </c>
      <c r="U469" s="8">
        <f t="shared" ca="1" si="253"/>
        <v>0</v>
      </c>
      <c r="V469" s="8">
        <f t="shared" ca="1" si="254"/>
        <v>0</v>
      </c>
      <c r="W469" s="11" t="str">
        <f t="shared" ca="1" si="255"/>
        <v/>
      </c>
      <c r="X469" s="11" t="str">
        <f t="shared" ca="1" si="256"/>
        <v/>
      </c>
      <c r="Y469" s="11" t="str">
        <f t="shared" ca="1" si="257"/>
        <v/>
      </c>
      <c r="Z469" s="11" t="str">
        <f t="shared" ca="1" si="258"/>
        <v/>
      </c>
      <c r="AA469" s="11" t="str">
        <f t="shared" ca="1" si="259"/>
        <v/>
      </c>
      <c r="AB469" s="47">
        <f ca="1">PlayerGameData[[#This Row],[3FGA]]+PlayerGameData[[#This Row],[2FGA]]</f>
        <v>0</v>
      </c>
      <c r="AC469" s="47">
        <f ca="1">PlayerGameData[[#This Row],[OFF REB]]+PlayerGameData[[#This Row],[DEF REB]]</f>
        <v>0</v>
      </c>
      <c r="AD469" s="8">
        <f t="shared" si="240"/>
        <v>20</v>
      </c>
      <c r="AE469" s="8" t="str">
        <f t="shared" ca="1" si="241"/>
        <v>Ben Carpenter, 21 - Wright 2/18/2023</v>
      </c>
      <c r="AF469" s="8" t="str">
        <f t="shared" ca="1" si="260"/>
        <v/>
      </c>
      <c r="AG469" s="8" t="str">
        <f ca="1">IFERROR(IF(C469=0,"",IF(AND(VLOOKUP(PlayerGameData[[#This Row],[Opponent]],WYTeamInfo,2,FALSE)=Roster!$D$1,VLOOKUP(PlayerGameData[[#This Row],[Opponent]],WYTeamInfo,3,FALSE)=Roster!$D$2),"SR","")),"")</f>
        <v/>
      </c>
      <c r="AH469" s="8" t="str">
        <f>CONCATENATE(Roster!$D$1," ",Roster!$D$5)</f>
        <v>1A BB</v>
      </c>
      <c r="AI469" s="8" t="str">
        <f t="shared" ca="1" si="242"/>
        <v>Upton - Wright 2/18/2023</v>
      </c>
      <c r="AJ469" s="8">
        <f ca="1">IFERROR(VLOOKUP(PlayerGameData[[#This Row],[School, Opponent,Game'#]],Table3[],2,FALSE),0)</f>
        <v>1</v>
      </c>
      <c r="AK469" s="8">
        <f ca="1">IF(PlayerGameData[[#This Row],[Visible]]=1,1,1000)</f>
        <v>1</v>
      </c>
      <c r="AL469" s="8">
        <f ca="1">RANK(PlayerGameData[[#This Row],[TL PTS]],PlayerGameData[TL PTS],0)+PlayerGameData[[#This Row],[VisibleOrder]]</f>
        <v>185</v>
      </c>
      <c r="AM469" s="8">
        <f ca="1">IF(COUNTIF(PlayerGameData[PointOrder],PlayerGameData[[#This Row],[PointOrder]])&gt;1,RANK(PlayerGameData[[#This Row],[FGA]],PlayerGameData[FGA],0)/100,0)+PlayerGameData[[#This Row],[PointOrder]]</f>
        <v>187.14</v>
      </c>
      <c r="AN469" s="8">
        <f ca="1">RANK(PlayerGameData[[#This Row],[PointTieBreak]],PlayerGameData[PointTieBreak],1)</f>
        <v>216</v>
      </c>
      <c r="AO469" s="8">
        <f ca="1">RANK(PlayerGameData[[#This Row],[REB]],PlayerGameData[REB],0)+PlayerGameData[[#This Row],[VisibleOrder]]</f>
        <v>192</v>
      </c>
      <c r="AP469" s="8">
        <f ca="1">IF(COUNTIF(PlayerGameData[REBOrder],PlayerGameData[[#This Row],[REBOrder]])&gt;1,PlayerGameData[[#This Row],[PointRank]]/100+PlayerGameData[[#This Row],[REBOrder]],PlayerGameData[[#This Row],[REBOrder]])</f>
        <v>194.16</v>
      </c>
      <c r="AQ469" s="8">
        <f ca="1">RANK(PlayerGameData[[#This Row],[REBTieBreak]],PlayerGameData[REBTieBreak],1)</f>
        <v>224</v>
      </c>
      <c r="AR469" s="8">
        <f ca="1">RANK(PlayerGameData[[#This Row],[AST]],PlayerGameData[AST],0)+PlayerGameData[[#This Row],[VisibleOrder]]</f>
        <v>158</v>
      </c>
      <c r="AS469" s="8">
        <f ca="1">IF(COUNTIF(PlayerGameData[ASTOrder],PlayerGameData[[#This Row],[ASTOrder]])&gt;1,PlayerGameData[[#This Row],[PointRank]]/100+PlayerGameData[[#This Row],[ASTOrder]],PlayerGameData[[#This Row],[ASTOrder]])</f>
        <v>160.16</v>
      </c>
      <c r="AT469" s="8">
        <f ca="1">RANK(PlayerGameData[[#This Row],[ASTTieBreak]],PlayerGameData[ASTTieBreak],1)</f>
        <v>221</v>
      </c>
      <c r="AU469" s="8">
        <f ca="1">RANK(PlayerGameData[[#This Row],[STL]],PlayerGameData[STL],0)+PlayerGameData[[#This Row],[VisibleOrder]]</f>
        <v>143</v>
      </c>
      <c r="AV469" s="8">
        <f ca="1">IF(COUNTIF(PlayerGameData[STLOrder],PlayerGameData[[#This Row],[STLOrder]])&gt;1,PlayerGameData[[#This Row],[PointRank]]/100+PlayerGameData[[#This Row],[STLOrder]],PlayerGameData[[#This Row],[STLOrder]])</f>
        <v>145.16</v>
      </c>
      <c r="AW469" s="8">
        <f ca="1">RANK(PlayerGameData[[#This Row],[STLTieBreak]],PlayerGameData[STLTieBreak],1)</f>
        <v>217</v>
      </c>
      <c r="AX469" s="8">
        <f ca="1">RANK(PlayerGameData[[#This Row],[BLK]],PlayerGameData[BLK],0)+PlayerGameData[[#This Row],[VisibleOrder]]</f>
        <v>32</v>
      </c>
      <c r="AY469" s="8">
        <f ca="1">IF(COUNTIF(PlayerGameData[BLKOrder],PlayerGameData[[#This Row],[BLKOrder]])&gt;1,PlayerGameData[[#This Row],[PointRank]]/100+PlayerGameData[[#This Row],[BLKOrder]],PlayerGameData[[#This Row],[BLKOrder]])</f>
        <v>34.159999999999997</v>
      </c>
      <c r="AZ469" s="8">
        <f ca="1">RANK(PlayerGameData[[#This Row],[BLKTieBreak]],PlayerGameData[BLKTieBreak],1)</f>
        <v>216</v>
      </c>
      <c r="BA469" s="11">
        <f ca="1">IFERROR(IF(PlayerGameData[[#This Row],[FGA]]&gt;$AA$5,PlayerGameData[[#This Row],[FG%*]],PlayerGameData[[#This Row],[FG%*]]*-1),-2)</f>
        <v>-2</v>
      </c>
      <c r="BB469" s="8">
        <f ca="1">RANK(PlayerGameData[[#This Row],[EligFG]],PlayerGameData[EligFG],0)+PlayerGameData[[#This Row],[VisibleOrder]]</f>
        <v>215</v>
      </c>
      <c r="BC469" s="8">
        <f ca="1">IF(COUNTIF(PlayerGameData[EligFGOrder],PlayerGameData[[#This Row],[EligFGOrder]])&gt;1,PlayerGameData[[#This Row],[PointRank]]/100+PlayerGameData[[#This Row],[EligFGOrder]],PlayerGameData[[#This Row],[EligFGOrder]])</f>
        <v>217.16</v>
      </c>
      <c r="BD469" s="8">
        <f ca="1">RANK(PlayerGameData[[#This Row],[EligFGTieBreak]],PlayerGameData[EligFGTieBreak],1)</f>
        <v>216</v>
      </c>
      <c r="BE469" s="8" t="str">
        <f>Roster!$D$3</f>
        <v>East</v>
      </c>
      <c r="BF469" s="8" t="str">
        <f>Roster!$D$2</f>
        <v>Northeast</v>
      </c>
      <c r="BG469" s="8" t="str">
        <f>Roster!$D$4</f>
        <v>North</v>
      </c>
      <c r="BH469" s="197">
        <f ca="1">IFERROR(VLOOKUP(CONCATENATE(PlayerGameData[[#This Row],[Opponent]]," ",MONTH(PlayerGameData[[#This Row],[Date]]),"/",DAY(PlayerGameData[[#This Row],[Date]]),"/",YEAR(PlayerGameData[[#This Row],[Date]])),Table35[],2,FALSE),0)</f>
        <v>1</v>
      </c>
      <c r="BI469" s="197">
        <f ca="1">IF(PlayerGameData[[#This Row],[Visible]]=1,1,1000)</f>
        <v>1</v>
      </c>
      <c r="BJ469" s="197" t="e">
        <f ca="1">_xlfn.MAXIFS(TeamGameData[Win],TeamGameData[School, Opponent,Game'#],PlayerGameData[[#This Row],[School, Opponent,Game'#]])</f>
        <v>#NAME?</v>
      </c>
      <c r="BK469" s="197" t="e">
        <f ca="1">_xlfn.MAXIFS(TeamGameData[Loss],TeamGameData[School, Opponent,Game'#],PlayerGameData[[#This Row],[School, Opponent,Game'#]])</f>
        <v>#NAME?</v>
      </c>
    </row>
    <row r="470" spans="1:63" x14ac:dyDescent="0.25">
      <c r="A470" s="8" t="str">
        <f t="shared" ca="1" si="243"/>
        <v>Ethan Schiller, 23</v>
      </c>
      <c r="B470" s="8" t="str">
        <f>Roster!$B$1</f>
        <v>Upton</v>
      </c>
      <c r="C470" s="8" t="str">
        <f t="shared" ca="1" si="231"/>
        <v>Wright</v>
      </c>
      <c r="D470" s="10">
        <f t="shared" ca="1" si="232"/>
        <v>44975</v>
      </c>
      <c r="E470" s="8">
        <f t="shared" ca="1" si="233"/>
        <v>1</v>
      </c>
      <c r="F470" s="8">
        <f t="shared" ca="1" si="234"/>
        <v>1</v>
      </c>
      <c r="G470" s="8">
        <f t="shared" ca="1" si="235"/>
        <v>26</v>
      </c>
      <c r="H470" s="8">
        <f t="shared" ca="1" si="236"/>
        <v>4</v>
      </c>
      <c r="I470" s="8">
        <f t="shared" ca="1" si="237"/>
        <v>5</v>
      </c>
      <c r="J470" s="8">
        <f t="shared" ca="1" si="238"/>
        <v>6</v>
      </c>
      <c r="K470" s="8">
        <f t="shared" ca="1" si="239"/>
        <v>13</v>
      </c>
      <c r="L470" s="8">
        <f t="shared" ca="1" si="244"/>
        <v>3</v>
      </c>
      <c r="M470" s="8">
        <f t="shared" ca="1" si="245"/>
        <v>4</v>
      </c>
      <c r="N470" s="8">
        <f t="shared" ca="1" si="246"/>
        <v>6</v>
      </c>
      <c r="O470" s="8">
        <f t="shared" ca="1" si="247"/>
        <v>4</v>
      </c>
      <c r="P470" s="8">
        <f t="shared" ca="1" si="248"/>
        <v>2</v>
      </c>
      <c r="Q470" s="8">
        <f t="shared" ca="1" si="249"/>
        <v>0</v>
      </c>
      <c r="R470" s="8">
        <f t="shared" ca="1" si="250"/>
        <v>0</v>
      </c>
      <c r="S470" s="8">
        <f t="shared" ca="1" si="251"/>
        <v>3</v>
      </c>
      <c r="T470" s="8">
        <f t="shared" ca="1" si="252"/>
        <v>3</v>
      </c>
      <c r="U470" s="8">
        <f t="shared" ca="1" si="253"/>
        <v>0</v>
      </c>
      <c r="V470" s="8">
        <f t="shared" ca="1" si="254"/>
        <v>27</v>
      </c>
      <c r="W470" s="11">
        <f t="shared" ca="1" si="255"/>
        <v>0.8</v>
      </c>
      <c r="X470" s="11">
        <f t="shared" ca="1" si="256"/>
        <v>0.46153846153846156</v>
      </c>
      <c r="Y470" s="11">
        <f t="shared" ca="1" si="257"/>
        <v>0.75</v>
      </c>
      <c r="Z470" s="11">
        <f t="shared" ca="1" si="258"/>
        <v>0.55555555555555558</v>
      </c>
      <c r="AA470" s="11">
        <f t="shared" ca="1" si="259"/>
        <v>0.66666666666666663</v>
      </c>
      <c r="AB470" s="47">
        <f ca="1">PlayerGameData[[#This Row],[3FGA]]+PlayerGameData[[#This Row],[2FGA]]</f>
        <v>18</v>
      </c>
      <c r="AC470" s="47">
        <f ca="1">PlayerGameData[[#This Row],[OFF REB]]+PlayerGameData[[#This Row],[DEF REB]]</f>
        <v>10</v>
      </c>
      <c r="AD470" s="8">
        <f t="shared" si="240"/>
        <v>20</v>
      </c>
      <c r="AE470" s="8" t="str">
        <f t="shared" ca="1" si="241"/>
        <v>Ethan Schiller, 23 - Wright 2/18/2023</v>
      </c>
      <c r="AF470" s="8" t="str">
        <f t="shared" ca="1" si="260"/>
        <v/>
      </c>
      <c r="AG470" s="8" t="str">
        <f ca="1">IFERROR(IF(C470=0,"",IF(AND(VLOOKUP(PlayerGameData[[#This Row],[Opponent]],WYTeamInfo,2,FALSE)=Roster!$D$1,VLOOKUP(PlayerGameData[[#This Row],[Opponent]],WYTeamInfo,3,FALSE)=Roster!$D$2),"SR","")),"")</f>
        <v/>
      </c>
      <c r="AH470" s="8" t="str">
        <f>CONCATENATE(Roster!$D$1," ",Roster!$D$5)</f>
        <v>1A BB</v>
      </c>
      <c r="AI470" s="8" t="str">
        <f t="shared" ca="1" si="242"/>
        <v>Upton - Wright 2/18/2023</v>
      </c>
      <c r="AJ470" s="8">
        <f ca="1">IFERROR(VLOOKUP(PlayerGameData[[#This Row],[School, Opponent,Game'#]],Table3[],2,FALSE),0)</f>
        <v>1</v>
      </c>
      <c r="AK470" s="8">
        <f ca="1">IF(PlayerGameData[[#This Row],[Visible]]=1,1,1000)</f>
        <v>1</v>
      </c>
      <c r="AL470" s="8">
        <f ca="1">RANK(PlayerGameData[[#This Row],[TL PTS]],PlayerGameData[TL PTS],0)+PlayerGameData[[#This Row],[VisibleOrder]]</f>
        <v>2</v>
      </c>
      <c r="AM470" s="8">
        <f ca="1">IF(COUNTIF(PlayerGameData[PointOrder],PlayerGameData[[#This Row],[PointOrder]])&gt;1,RANK(PlayerGameData[[#This Row],[FGA]],PlayerGameData[FGA],0)/100,0)+PlayerGameData[[#This Row],[PointOrder]]</f>
        <v>2</v>
      </c>
      <c r="AN470" s="8">
        <f ca="1">RANK(PlayerGameData[[#This Row],[PointTieBreak]],PlayerGameData[PointTieBreak],1)</f>
        <v>1</v>
      </c>
      <c r="AO470" s="8">
        <f ca="1">RANK(PlayerGameData[[#This Row],[REB]],PlayerGameData[REB],0)+PlayerGameData[[#This Row],[VisibleOrder]]</f>
        <v>6</v>
      </c>
      <c r="AP470" s="8">
        <f ca="1">IF(COUNTIF(PlayerGameData[REBOrder],PlayerGameData[[#This Row],[REBOrder]])&gt;1,PlayerGameData[[#This Row],[PointRank]]/100+PlayerGameData[[#This Row],[REBOrder]],PlayerGameData[[#This Row],[REBOrder]])</f>
        <v>6.01</v>
      </c>
      <c r="AQ470" s="8">
        <f ca="1">RANK(PlayerGameData[[#This Row],[REBTieBreak]],PlayerGameData[REBTieBreak],1)</f>
        <v>5</v>
      </c>
      <c r="AR470" s="8">
        <f ca="1">RANK(PlayerGameData[[#This Row],[AST]],PlayerGameData[AST],0)+PlayerGameData[[#This Row],[VisibleOrder]]</f>
        <v>69</v>
      </c>
      <c r="AS470" s="8">
        <f ca="1">IF(COUNTIF(PlayerGameData[ASTOrder],PlayerGameData[[#This Row],[ASTOrder]])&gt;1,PlayerGameData[[#This Row],[PointRank]]/100+PlayerGameData[[#This Row],[ASTOrder]],PlayerGameData[[#This Row],[ASTOrder]])</f>
        <v>69.010000000000005</v>
      </c>
      <c r="AT470" s="8">
        <f ca="1">RANK(PlayerGameData[[#This Row],[ASTTieBreak]],PlayerGameData[ASTTieBreak],1)</f>
        <v>68</v>
      </c>
      <c r="AU470" s="8">
        <f ca="1">RANK(PlayerGameData[[#This Row],[STL]],PlayerGameData[STL],0)+PlayerGameData[[#This Row],[VisibleOrder]]</f>
        <v>143</v>
      </c>
      <c r="AV470" s="8">
        <f ca="1">IF(COUNTIF(PlayerGameData[STLOrder],PlayerGameData[[#This Row],[STLOrder]])&gt;1,PlayerGameData[[#This Row],[PointRank]]/100+PlayerGameData[[#This Row],[STLOrder]],PlayerGameData[[#This Row],[STLOrder]])</f>
        <v>143.01</v>
      </c>
      <c r="AW470" s="8">
        <f ca="1">RANK(PlayerGameData[[#This Row],[STLTieBreak]],PlayerGameData[STLTieBreak],1)</f>
        <v>142</v>
      </c>
      <c r="AX470" s="8">
        <f ca="1">RANK(PlayerGameData[[#This Row],[BLK]],PlayerGameData[BLK],0)+PlayerGameData[[#This Row],[VisibleOrder]]</f>
        <v>32</v>
      </c>
      <c r="AY470" s="8">
        <f ca="1">IF(COUNTIF(PlayerGameData[BLKOrder],PlayerGameData[[#This Row],[BLKOrder]])&gt;1,PlayerGameData[[#This Row],[PointRank]]/100+PlayerGameData[[#This Row],[BLKOrder]],PlayerGameData[[#This Row],[BLKOrder]])</f>
        <v>32.01</v>
      </c>
      <c r="AZ470" s="8">
        <f ca="1">RANK(PlayerGameData[[#This Row],[BLKTieBreak]],PlayerGameData[BLKTieBreak],1)</f>
        <v>31</v>
      </c>
      <c r="BA470" s="11">
        <f ca="1">IFERROR(IF(PlayerGameData[[#This Row],[FGA]]&gt;$AA$5,PlayerGameData[[#This Row],[FG%*]],PlayerGameData[[#This Row],[FG%*]]*-1),-2)</f>
        <v>0.55555555555555558</v>
      </c>
      <c r="BB470" s="8">
        <f ca="1">RANK(PlayerGameData[[#This Row],[EligFG]],PlayerGameData[EligFG],0)+PlayerGameData[[#This Row],[VisibleOrder]]</f>
        <v>31</v>
      </c>
      <c r="BC470" s="8">
        <f ca="1">IF(COUNTIF(PlayerGameData[EligFGOrder],PlayerGameData[[#This Row],[EligFGOrder]])&gt;1,PlayerGameData[[#This Row],[PointRank]]/100+PlayerGameData[[#This Row],[EligFGOrder]],PlayerGameData[[#This Row],[EligFGOrder]])</f>
        <v>31.01</v>
      </c>
      <c r="BD470" s="8">
        <f ca="1">RANK(PlayerGameData[[#This Row],[EligFGTieBreak]],PlayerGameData[EligFGTieBreak],1)</f>
        <v>30</v>
      </c>
      <c r="BE470" s="8" t="str">
        <f>Roster!$D$3</f>
        <v>East</v>
      </c>
      <c r="BF470" s="8" t="str">
        <f>Roster!$D$2</f>
        <v>Northeast</v>
      </c>
      <c r="BG470" s="8" t="str">
        <f>Roster!$D$4</f>
        <v>North</v>
      </c>
      <c r="BH470" s="197">
        <f ca="1">IFERROR(VLOOKUP(CONCATENATE(PlayerGameData[[#This Row],[Opponent]]," ",MONTH(PlayerGameData[[#This Row],[Date]]),"/",DAY(PlayerGameData[[#This Row],[Date]]),"/",YEAR(PlayerGameData[[#This Row],[Date]])),Table35[],2,FALSE),0)</f>
        <v>1</v>
      </c>
      <c r="BI470" s="197">
        <f ca="1">IF(PlayerGameData[[#This Row],[Visible]]=1,1,1000)</f>
        <v>1</v>
      </c>
      <c r="BJ470" s="197" t="e">
        <f ca="1">_xlfn.MAXIFS(TeamGameData[Win],TeamGameData[School, Opponent,Game'#],PlayerGameData[[#This Row],[School, Opponent,Game'#]])</f>
        <v>#NAME?</v>
      </c>
      <c r="BK470" s="197" t="e">
        <f ca="1">_xlfn.MAXIFS(TeamGameData[Loss],TeamGameData[School, Opponent,Game'#],PlayerGameData[[#This Row],[School, Opponent,Game'#]])</f>
        <v>#NAME?</v>
      </c>
    </row>
    <row r="471" spans="1:63" x14ac:dyDescent="0.25">
      <c r="A471" s="8" t="str">
        <f t="shared" ca="1" si="243"/>
        <v>Bridger Bruce, 25</v>
      </c>
      <c r="B471" s="8" t="str">
        <f>Roster!$B$1</f>
        <v>Upton</v>
      </c>
      <c r="C471" s="8" t="str">
        <f t="shared" ca="1" si="231"/>
        <v>Wright</v>
      </c>
      <c r="D471" s="10">
        <f t="shared" ca="1" si="232"/>
        <v>44975</v>
      </c>
      <c r="E471" s="8">
        <f t="shared" ca="1" si="233"/>
        <v>1</v>
      </c>
      <c r="F471" s="8">
        <f t="shared" ca="1" si="234"/>
        <v>0</v>
      </c>
      <c r="G471" s="8">
        <f t="shared" ca="1" si="235"/>
        <v>18</v>
      </c>
      <c r="H471" s="8">
        <f t="shared" ca="1" si="236"/>
        <v>1</v>
      </c>
      <c r="I471" s="8">
        <f t="shared" ca="1" si="237"/>
        <v>3</v>
      </c>
      <c r="J471" s="8">
        <f t="shared" ca="1" si="238"/>
        <v>0</v>
      </c>
      <c r="K471" s="8">
        <f t="shared" ca="1" si="239"/>
        <v>0</v>
      </c>
      <c r="L471" s="8">
        <f t="shared" ca="1" si="244"/>
        <v>0</v>
      </c>
      <c r="M471" s="8">
        <f t="shared" ca="1" si="245"/>
        <v>2</v>
      </c>
      <c r="N471" s="8">
        <f t="shared" ca="1" si="246"/>
        <v>0</v>
      </c>
      <c r="O471" s="8">
        <f t="shared" ca="1" si="247"/>
        <v>3</v>
      </c>
      <c r="P471" s="8">
        <f t="shared" ca="1" si="248"/>
        <v>0</v>
      </c>
      <c r="Q471" s="8">
        <f t="shared" ca="1" si="249"/>
        <v>0</v>
      </c>
      <c r="R471" s="8">
        <f t="shared" ca="1" si="250"/>
        <v>0</v>
      </c>
      <c r="S471" s="8">
        <f t="shared" ca="1" si="251"/>
        <v>0</v>
      </c>
      <c r="T471" s="8">
        <f t="shared" ca="1" si="252"/>
        <v>3</v>
      </c>
      <c r="U471" s="8">
        <f t="shared" ca="1" si="253"/>
        <v>0</v>
      </c>
      <c r="V471" s="8">
        <f t="shared" ca="1" si="254"/>
        <v>3</v>
      </c>
      <c r="W471" s="11">
        <f t="shared" ca="1" si="255"/>
        <v>0.33333333333333331</v>
      </c>
      <c r="X471" s="11" t="str">
        <f t="shared" ca="1" si="256"/>
        <v/>
      </c>
      <c r="Y471" s="11">
        <f t="shared" ca="1" si="257"/>
        <v>0</v>
      </c>
      <c r="Z471" s="11">
        <f t="shared" ca="1" si="258"/>
        <v>0.33333333333333331</v>
      </c>
      <c r="AA471" s="11">
        <f t="shared" ca="1" si="259"/>
        <v>0.5</v>
      </c>
      <c r="AB471" s="47">
        <f ca="1">PlayerGameData[[#This Row],[3FGA]]+PlayerGameData[[#This Row],[2FGA]]</f>
        <v>3</v>
      </c>
      <c r="AC471" s="47">
        <f ca="1">PlayerGameData[[#This Row],[OFF REB]]+PlayerGameData[[#This Row],[DEF REB]]</f>
        <v>3</v>
      </c>
      <c r="AD471" s="8">
        <f t="shared" si="240"/>
        <v>20</v>
      </c>
      <c r="AE471" s="8" t="str">
        <f t="shared" ca="1" si="241"/>
        <v>Bridger Bruce, 25 - Wright 2/18/2023</v>
      </c>
      <c r="AF471" s="8" t="str">
        <f t="shared" ca="1" si="260"/>
        <v/>
      </c>
      <c r="AG471" s="8" t="str">
        <f ca="1">IFERROR(IF(C471=0,"",IF(AND(VLOOKUP(PlayerGameData[[#This Row],[Opponent]],WYTeamInfo,2,FALSE)=Roster!$D$1,VLOOKUP(PlayerGameData[[#This Row],[Opponent]],WYTeamInfo,3,FALSE)=Roster!$D$2),"SR","")),"")</f>
        <v/>
      </c>
      <c r="AH471" s="8" t="str">
        <f>CONCATENATE(Roster!$D$1," ",Roster!$D$5)</f>
        <v>1A BB</v>
      </c>
      <c r="AI471" s="8" t="str">
        <f t="shared" ca="1" si="242"/>
        <v>Upton - Wright 2/18/2023</v>
      </c>
      <c r="AJ471" s="8">
        <f ca="1">IFERROR(VLOOKUP(PlayerGameData[[#This Row],[School, Opponent,Game'#]],Table3[],2,FALSE),0)</f>
        <v>1</v>
      </c>
      <c r="AK471" s="8">
        <f ca="1">IF(PlayerGameData[[#This Row],[Visible]]=1,1,1000)</f>
        <v>1</v>
      </c>
      <c r="AL471" s="8">
        <f ca="1">RANK(PlayerGameData[[#This Row],[TL PTS]],PlayerGameData[TL PTS],0)+PlayerGameData[[#This Row],[VisibleOrder]]</f>
        <v>135</v>
      </c>
      <c r="AM471" s="8">
        <f ca="1">IF(COUNTIF(PlayerGameData[PointOrder],PlayerGameData[[#This Row],[PointOrder]])&gt;1,RANK(PlayerGameData[[#This Row],[FGA]],PlayerGameData[FGA],0)/100,0)+PlayerGameData[[#This Row],[PointOrder]]</f>
        <v>136.4</v>
      </c>
      <c r="AN471" s="8">
        <f ca="1">RANK(PlayerGameData[[#This Row],[PointTieBreak]],PlayerGameData[PointTieBreak],1)</f>
        <v>137</v>
      </c>
      <c r="AO471" s="8">
        <f ca="1">RANK(PlayerGameData[[#This Row],[REB]],PlayerGameData[REB],0)+PlayerGameData[[#This Row],[VisibleOrder]]</f>
        <v>108</v>
      </c>
      <c r="AP471" s="8">
        <f ca="1">IF(COUNTIF(PlayerGameData[REBOrder],PlayerGameData[[#This Row],[REBOrder]])&gt;1,PlayerGameData[[#This Row],[PointRank]]/100+PlayerGameData[[#This Row],[REBOrder]],PlayerGameData[[#This Row],[REBOrder]])</f>
        <v>109.37</v>
      </c>
      <c r="AQ471" s="8">
        <f ca="1">RANK(PlayerGameData[[#This Row],[REBTieBreak]],PlayerGameData[REBTieBreak],1)</f>
        <v>124</v>
      </c>
      <c r="AR471" s="8">
        <f ca="1">RANK(PlayerGameData[[#This Row],[AST]],PlayerGameData[AST],0)+PlayerGameData[[#This Row],[VisibleOrder]]</f>
        <v>158</v>
      </c>
      <c r="AS471" s="8">
        <f ca="1">IF(COUNTIF(PlayerGameData[ASTOrder],PlayerGameData[[#This Row],[ASTOrder]])&gt;1,PlayerGameData[[#This Row],[PointRank]]/100+PlayerGameData[[#This Row],[ASTOrder]],PlayerGameData[[#This Row],[ASTOrder]])</f>
        <v>159.37</v>
      </c>
      <c r="AT471" s="8">
        <f ca="1">RANK(PlayerGameData[[#This Row],[ASTTieBreak]],PlayerGameData[ASTTieBreak],1)</f>
        <v>174</v>
      </c>
      <c r="AU471" s="8">
        <f ca="1">RANK(PlayerGameData[[#This Row],[STL]],PlayerGameData[STL],0)+PlayerGameData[[#This Row],[VisibleOrder]]</f>
        <v>143</v>
      </c>
      <c r="AV471" s="8">
        <f ca="1">IF(COUNTIF(PlayerGameData[STLOrder],PlayerGameData[[#This Row],[STLOrder]])&gt;1,PlayerGameData[[#This Row],[PointRank]]/100+PlayerGameData[[#This Row],[STLOrder]],PlayerGameData[[#This Row],[STLOrder]])</f>
        <v>144.37</v>
      </c>
      <c r="AW471" s="8">
        <f ca="1">RANK(PlayerGameData[[#This Row],[STLTieBreak]],PlayerGameData[STLTieBreak],1)</f>
        <v>166</v>
      </c>
      <c r="AX471" s="8">
        <f ca="1">RANK(PlayerGameData[[#This Row],[BLK]],PlayerGameData[BLK],0)+PlayerGameData[[#This Row],[VisibleOrder]]</f>
        <v>32</v>
      </c>
      <c r="AY471" s="8">
        <f ca="1">IF(COUNTIF(PlayerGameData[BLKOrder],PlayerGameData[[#This Row],[BLKOrder]])&gt;1,PlayerGameData[[#This Row],[PointRank]]/100+PlayerGameData[[#This Row],[BLKOrder]],PlayerGameData[[#This Row],[BLKOrder]])</f>
        <v>33.369999999999997</v>
      </c>
      <c r="AZ471" s="8">
        <f ca="1">RANK(PlayerGameData[[#This Row],[BLKTieBreak]],PlayerGameData[BLKTieBreak],1)</f>
        <v>141</v>
      </c>
      <c r="BA471" s="11">
        <f ca="1">IFERROR(IF(PlayerGameData[[#This Row],[FGA]]&gt;$AA$5,PlayerGameData[[#This Row],[FG%*]],PlayerGameData[[#This Row],[FG%*]]*-1),-2)</f>
        <v>-0.33333333333333331</v>
      </c>
      <c r="BB471" s="8">
        <f ca="1">RANK(PlayerGameData[[#This Row],[EligFG]],PlayerGameData[EligFG],0)+PlayerGameData[[#This Row],[VisibleOrder]]</f>
        <v>164</v>
      </c>
      <c r="BC471" s="8">
        <f ca="1">IF(COUNTIF(PlayerGameData[EligFGOrder],PlayerGameData[[#This Row],[EligFGOrder]])&gt;1,PlayerGameData[[#This Row],[PointRank]]/100+PlayerGameData[[#This Row],[EligFGOrder]],PlayerGameData[[#This Row],[EligFGOrder]])</f>
        <v>165.37</v>
      </c>
      <c r="BD471" s="8">
        <f ca="1">RANK(PlayerGameData[[#This Row],[EligFGTieBreak]],PlayerGameData[EligFGTieBreak],1)</f>
        <v>164</v>
      </c>
      <c r="BE471" s="8" t="str">
        <f>Roster!$D$3</f>
        <v>East</v>
      </c>
      <c r="BF471" s="8" t="str">
        <f>Roster!$D$2</f>
        <v>Northeast</v>
      </c>
      <c r="BG471" s="8" t="str">
        <f>Roster!$D$4</f>
        <v>North</v>
      </c>
      <c r="BH471" s="197">
        <f ca="1">IFERROR(VLOOKUP(CONCATENATE(PlayerGameData[[#This Row],[Opponent]]," ",MONTH(PlayerGameData[[#This Row],[Date]]),"/",DAY(PlayerGameData[[#This Row],[Date]]),"/",YEAR(PlayerGameData[[#This Row],[Date]])),Table35[],2,FALSE),0)</f>
        <v>1</v>
      </c>
      <c r="BI471" s="197">
        <f ca="1">IF(PlayerGameData[[#This Row],[Visible]]=1,1,1000)</f>
        <v>1</v>
      </c>
      <c r="BJ471" s="197" t="e">
        <f ca="1">_xlfn.MAXIFS(TeamGameData[Win],TeamGameData[School, Opponent,Game'#],PlayerGameData[[#This Row],[School, Opponent,Game'#]])</f>
        <v>#NAME?</v>
      </c>
      <c r="BK471" s="197" t="e">
        <f ca="1">_xlfn.MAXIFS(TeamGameData[Loss],TeamGameData[School, Opponent,Game'#],PlayerGameData[[#This Row],[School, Opponent,Game'#]])</f>
        <v>#NAME?</v>
      </c>
    </row>
    <row r="472" spans="1:63" x14ac:dyDescent="0.25">
      <c r="A472" s="8" t="str">
        <f t="shared" ca="1" si="243"/>
        <v>Kailer Duarte, 31</v>
      </c>
      <c r="B472" s="8" t="str">
        <f>Roster!$B$1</f>
        <v>Upton</v>
      </c>
      <c r="C472" s="8" t="str">
        <f t="shared" ca="1" si="231"/>
        <v>Wright</v>
      </c>
      <c r="D472" s="10">
        <f t="shared" ca="1" si="232"/>
        <v>44975</v>
      </c>
      <c r="E472" s="8">
        <f t="shared" ca="1" si="233"/>
        <v>1</v>
      </c>
      <c r="F472" s="8">
        <f t="shared" ca="1" si="234"/>
        <v>1</v>
      </c>
      <c r="G472" s="8">
        <f t="shared" ca="1" si="235"/>
        <v>30</v>
      </c>
      <c r="H472" s="8">
        <f t="shared" ca="1" si="236"/>
        <v>1</v>
      </c>
      <c r="I472" s="8">
        <f t="shared" ca="1" si="237"/>
        <v>4</v>
      </c>
      <c r="J472" s="8">
        <f t="shared" ca="1" si="238"/>
        <v>2</v>
      </c>
      <c r="K472" s="8">
        <f t="shared" ca="1" si="239"/>
        <v>7</v>
      </c>
      <c r="L472" s="8">
        <f t="shared" ca="1" si="244"/>
        <v>1</v>
      </c>
      <c r="M472" s="8">
        <f t="shared" ca="1" si="245"/>
        <v>2</v>
      </c>
      <c r="N472" s="8">
        <f t="shared" ca="1" si="246"/>
        <v>3</v>
      </c>
      <c r="O472" s="8">
        <f t="shared" ca="1" si="247"/>
        <v>4</v>
      </c>
      <c r="P472" s="8">
        <f t="shared" ca="1" si="248"/>
        <v>3</v>
      </c>
      <c r="Q472" s="8">
        <f t="shared" ca="1" si="249"/>
        <v>0</v>
      </c>
      <c r="R472" s="8">
        <f t="shared" ca="1" si="250"/>
        <v>0</v>
      </c>
      <c r="S472" s="8">
        <f t="shared" ca="1" si="251"/>
        <v>1</v>
      </c>
      <c r="T472" s="8">
        <f t="shared" ca="1" si="252"/>
        <v>3</v>
      </c>
      <c r="U472" s="8">
        <f t="shared" ca="1" si="253"/>
        <v>0</v>
      </c>
      <c r="V472" s="8">
        <f t="shared" ca="1" si="254"/>
        <v>8</v>
      </c>
      <c r="W472" s="11">
        <f t="shared" ca="1" si="255"/>
        <v>0.25</v>
      </c>
      <c r="X472" s="11">
        <f t="shared" ca="1" si="256"/>
        <v>0.2857142857142857</v>
      </c>
      <c r="Y472" s="11">
        <f t="shared" ca="1" si="257"/>
        <v>0.5</v>
      </c>
      <c r="Z472" s="11">
        <f t="shared" ca="1" si="258"/>
        <v>0.27272727272727271</v>
      </c>
      <c r="AA472" s="11">
        <f t="shared" ca="1" si="259"/>
        <v>0.31818181818181818</v>
      </c>
      <c r="AB472" s="47">
        <f ca="1">PlayerGameData[[#This Row],[3FGA]]+PlayerGameData[[#This Row],[2FGA]]</f>
        <v>11</v>
      </c>
      <c r="AC472" s="47">
        <f ca="1">PlayerGameData[[#This Row],[OFF REB]]+PlayerGameData[[#This Row],[DEF REB]]</f>
        <v>7</v>
      </c>
      <c r="AD472" s="8">
        <f t="shared" si="240"/>
        <v>20</v>
      </c>
      <c r="AE472" s="8" t="str">
        <f t="shared" ca="1" si="241"/>
        <v>Kailer Duarte, 31 - Wright 2/18/2023</v>
      </c>
      <c r="AF472" s="8" t="str">
        <f t="shared" ca="1" si="260"/>
        <v/>
      </c>
      <c r="AG472" s="8" t="str">
        <f ca="1">IFERROR(IF(C472=0,"",IF(AND(VLOOKUP(PlayerGameData[[#This Row],[Opponent]],WYTeamInfo,2,FALSE)=Roster!$D$1,VLOOKUP(PlayerGameData[[#This Row],[Opponent]],WYTeamInfo,3,FALSE)=Roster!$D$2),"SR","")),"")</f>
        <v/>
      </c>
      <c r="AH472" s="8" t="str">
        <f>CONCATENATE(Roster!$D$1," ",Roster!$D$5)</f>
        <v>1A BB</v>
      </c>
      <c r="AI472" s="8" t="str">
        <f t="shared" ca="1" si="242"/>
        <v>Upton - Wright 2/18/2023</v>
      </c>
      <c r="AJ472" s="8">
        <f ca="1">IFERROR(VLOOKUP(PlayerGameData[[#This Row],[School, Opponent,Game'#]],Table3[],2,FALSE),0)</f>
        <v>1</v>
      </c>
      <c r="AK472" s="8">
        <f ca="1">IF(PlayerGameData[[#This Row],[Visible]]=1,1,1000)</f>
        <v>1</v>
      </c>
      <c r="AL472" s="8">
        <f ca="1">RANK(PlayerGameData[[#This Row],[TL PTS]],PlayerGameData[TL PTS],0)+PlayerGameData[[#This Row],[VisibleOrder]]</f>
        <v>82</v>
      </c>
      <c r="AM472" s="8">
        <f ca="1">IF(COUNTIF(PlayerGameData[PointOrder],PlayerGameData[[#This Row],[PointOrder]])&gt;1,RANK(PlayerGameData[[#This Row],[FGA]],PlayerGameData[FGA],0)/100,0)+PlayerGameData[[#This Row],[PointOrder]]</f>
        <v>82.34</v>
      </c>
      <c r="AN472" s="8">
        <f ca="1">RANK(PlayerGameData[[#This Row],[PointTieBreak]],PlayerGameData[PointTieBreak],1)</f>
        <v>83</v>
      </c>
      <c r="AO472" s="8">
        <f ca="1">RANK(PlayerGameData[[#This Row],[REB]],PlayerGameData[REB],0)+PlayerGameData[[#This Row],[VisibleOrder]]</f>
        <v>29</v>
      </c>
      <c r="AP472" s="8">
        <f ca="1">IF(COUNTIF(PlayerGameData[REBOrder],PlayerGameData[[#This Row],[REBOrder]])&gt;1,PlayerGameData[[#This Row],[PointRank]]/100+PlayerGameData[[#This Row],[REBOrder]],PlayerGameData[[#This Row],[REBOrder]])</f>
        <v>29.83</v>
      </c>
      <c r="AQ472" s="8">
        <f ca="1">RANK(PlayerGameData[[#This Row],[REBTieBreak]],PlayerGameData[REBTieBreak],1)</f>
        <v>33</v>
      </c>
      <c r="AR472" s="8">
        <f ca="1">RANK(PlayerGameData[[#This Row],[AST]],PlayerGameData[AST],0)+PlayerGameData[[#This Row],[VisibleOrder]]</f>
        <v>39</v>
      </c>
      <c r="AS472" s="8">
        <f ca="1">IF(COUNTIF(PlayerGameData[ASTOrder],PlayerGameData[[#This Row],[ASTOrder]])&gt;1,PlayerGameData[[#This Row],[PointRank]]/100+PlayerGameData[[#This Row],[ASTOrder]],PlayerGameData[[#This Row],[ASTOrder]])</f>
        <v>39.83</v>
      </c>
      <c r="AT472" s="8">
        <f ca="1">RANK(PlayerGameData[[#This Row],[ASTTieBreak]],PlayerGameData[ASTTieBreak],1)</f>
        <v>54</v>
      </c>
      <c r="AU472" s="8">
        <f ca="1">RANK(PlayerGameData[[#This Row],[STL]],PlayerGameData[STL],0)+PlayerGameData[[#This Row],[VisibleOrder]]</f>
        <v>143</v>
      </c>
      <c r="AV472" s="8">
        <f ca="1">IF(COUNTIF(PlayerGameData[STLOrder],PlayerGameData[[#This Row],[STLOrder]])&gt;1,PlayerGameData[[#This Row],[PointRank]]/100+PlayerGameData[[#This Row],[STLOrder]],PlayerGameData[[#This Row],[STLOrder]])</f>
        <v>143.83000000000001</v>
      </c>
      <c r="AW472" s="8">
        <f ca="1">RANK(PlayerGameData[[#This Row],[STLTieBreak]],PlayerGameData[STLTieBreak],1)</f>
        <v>154</v>
      </c>
      <c r="AX472" s="8">
        <f ca="1">RANK(PlayerGameData[[#This Row],[BLK]],PlayerGameData[BLK],0)+PlayerGameData[[#This Row],[VisibleOrder]]</f>
        <v>32</v>
      </c>
      <c r="AY472" s="8">
        <f ca="1">IF(COUNTIF(PlayerGameData[BLKOrder],PlayerGameData[[#This Row],[BLKOrder]])&gt;1,PlayerGameData[[#This Row],[PointRank]]/100+PlayerGameData[[#This Row],[BLKOrder]],PlayerGameData[[#This Row],[BLKOrder]])</f>
        <v>32.83</v>
      </c>
      <c r="AZ472" s="8">
        <f ca="1">RANK(PlayerGameData[[#This Row],[BLKTieBreak]],PlayerGameData[BLKTieBreak],1)</f>
        <v>96</v>
      </c>
      <c r="BA472" s="11">
        <f ca="1">IFERROR(IF(PlayerGameData[[#This Row],[FGA]]&gt;$AA$5,PlayerGameData[[#This Row],[FG%*]],PlayerGameData[[#This Row],[FG%*]]*-1),-2)</f>
        <v>0.27272727272727271</v>
      </c>
      <c r="BB472" s="8">
        <f ca="1">RANK(PlayerGameData[[#This Row],[EligFG]],PlayerGameData[EligFG],0)+PlayerGameData[[#This Row],[VisibleOrder]]</f>
        <v>94</v>
      </c>
      <c r="BC472" s="8">
        <f ca="1">IF(COUNTIF(PlayerGameData[EligFGOrder],PlayerGameData[[#This Row],[EligFGOrder]])&gt;1,PlayerGameData[[#This Row],[PointRank]]/100+PlayerGameData[[#This Row],[EligFGOrder]],PlayerGameData[[#This Row],[EligFGOrder]])</f>
        <v>94.83</v>
      </c>
      <c r="BD472" s="8">
        <f ca="1">RANK(PlayerGameData[[#This Row],[EligFGTieBreak]],PlayerGameData[EligFGTieBreak],1)</f>
        <v>94</v>
      </c>
      <c r="BE472" s="8" t="str">
        <f>Roster!$D$3</f>
        <v>East</v>
      </c>
      <c r="BF472" s="8" t="str">
        <f>Roster!$D$2</f>
        <v>Northeast</v>
      </c>
      <c r="BG472" s="8" t="str">
        <f>Roster!$D$4</f>
        <v>North</v>
      </c>
      <c r="BH472" s="197">
        <f ca="1">IFERROR(VLOOKUP(CONCATENATE(PlayerGameData[[#This Row],[Opponent]]," ",MONTH(PlayerGameData[[#This Row],[Date]]),"/",DAY(PlayerGameData[[#This Row],[Date]]),"/",YEAR(PlayerGameData[[#This Row],[Date]])),Table35[],2,FALSE),0)</f>
        <v>1</v>
      </c>
      <c r="BI472" s="197">
        <f ca="1">IF(PlayerGameData[[#This Row],[Visible]]=1,1,1000)</f>
        <v>1</v>
      </c>
      <c r="BJ472" s="197" t="e">
        <f ca="1">_xlfn.MAXIFS(TeamGameData[Win],TeamGameData[School, Opponent,Game'#],PlayerGameData[[#This Row],[School, Opponent,Game'#]])</f>
        <v>#NAME?</v>
      </c>
      <c r="BK472" s="197" t="e">
        <f ca="1">_xlfn.MAXIFS(TeamGameData[Loss],TeamGameData[School, Opponent,Game'#],PlayerGameData[[#This Row],[School, Opponent,Game'#]])</f>
        <v>#NAME?</v>
      </c>
    </row>
    <row r="473" spans="1:63" x14ac:dyDescent="0.25">
      <c r="A473" s="8" t="str">
        <f t="shared" ca="1" si="243"/>
        <v>Matt Stirmel, 33</v>
      </c>
      <c r="B473" s="8" t="str">
        <f>Roster!$B$1</f>
        <v>Upton</v>
      </c>
      <c r="C473" s="8" t="str">
        <f t="shared" ca="1" si="231"/>
        <v>Wright</v>
      </c>
      <c r="D473" s="10">
        <f t="shared" ca="1" si="232"/>
        <v>44975</v>
      </c>
      <c r="E473" s="8">
        <f t="shared" ca="1" si="233"/>
        <v>0</v>
      </c>
      <c r="F473" s="8">
        <f t="shared" ca="1" si="234"/>
        <v>0</v>
      </c>
      <c r="G473" s="8">
        <f t="shared" ca="1" si="235"/>
        <v>0</v>
      </c>
      <c r="H473" s="8">
        <f t="shared" ca="1" si="236"/>
        <v>0</v>
      </c>
      <c r="I473" s="8">
        <f t="shared" ca="1" si="237"/>
        <v>0</v>
      </c>
      <c r="J473" s="8">
        <f t="shared" ca="1" si="238"/>
        <v>0</v>
      </c>
      <c r="K473" s="8">
        <f t="shared" ca="1" si="239"/>
        <v>0</v>
      </c>
      <c r="L473" s="8">
        <f t="shared" ca="1" si="244"/>
        <v>0</v>
      </c>
      <c r="M473" s="8">
        <f t="shared" ca="1" si="245"/>
        <v>0</v>
      </c>
      <c r="N473" s="8">
        <f t="shared" ca="1" si="246"/>
        <v>0</v>
      </c>
      <c r="O473" s="8">
        <f t="shared" ca="1" si="247"/>
        <v>0</v>
      </c>
      <c r="P473" s="8">
        <f t="shared" ca="1" si="248"/>
        <v>0</v>
      </c>
      <c r="Q473" s="8">
        <f t="shared" ca="1" si="249"/>
        <v>0</v>
      </c>
      <c r="R473" s="8">
        <f t="shared" ca="1" si="250"/>
        <v>0</v>
      </c>
      <c r="S473" s="8">
        <f t="shared" ca="1" si="251"/>
        <v>0</v>
      </c>
      <c r="T473" s="8">
        <f t="shared" ca="1" si="252"/>
        <v>0</v>
      </c>
      <c r="U473" s="8">
        <f t="shared" ca="1" si="253"/>
        <v>0</v>
      </c>
      <c r="V473" s="8">
        <f t="shared" ca="1" si="254"/>
        <v>0</v>
      </c>
      <c r="W473" s="11" t="str">
        <f t="shared" ca="1" si="255"/>
        <v/>
      </c>
      <c r="X473" s="11" t="str">
        <f t="shared" ca="1" si="256"/>
        <v/>
      </c>
      <c r="Y473" s="11" t="str">
        <f t="shared" ca="1" si="257"/>
        <v/>
      </c>
      <c r="Z473" s="11" t="str">
        <f t="shared" ca="1" si="258"/>
        <v/>
      </c>
      <c r="AA473" s="11" t="str">
        <f t="shared" ca="1" si="259"/>
        <v/>
      </c>
      <c r="AB473" s="47">
        <f ca="1">PlayerGameData[[#This Row],[3FGA]]+PlayerGameData[[#This Row],[2FGA]]</f>
        <v>0</v>
      </c>
      <c r="AC473" s="47">
        <f ca="1">PlayerGameData[[#This Row],[OFF REB]]+PlayerGameData[[#This Row],[DEF REB]]</f>
        <v>0</v>
      </c>
      <c r="AD473" s="8">
        <f t="shared" si="240"/>
        <v>20</v>
      </c>
      <c r="AE473" s="8" t="str">
        <f t="shared" ca="1" si="241"/>
        <v>Matt Stirmel, 33 - Wright 2/18/2023</v>
      </c>
      <c r="AF473" s="8" t="str">
        <f t="shared" ca="1" si="260"/>
        <v/>
      </c>
      <c r="AG473" s="8" t="str">
        <f ca="1">IFERROR(IF(C473=0,"",IF(AND(VLOOKUP(PlayerGameData[[#This Row],[Opponent]],WYTeamInfo,2,FALSE)=Roster!$D$1,VLOOKUP(PlayerGameData[[#This Row],[Opponent]],WYTeamInfo,3,FALSE)=Roster!$D$2),"SR","")),"")</f>
        <v/>
      </c>
      <c r="AH473" s="8" t="str">
        <f>CONCATENATE(Roster!$D$1," ",Roster!$D$5)</f>
        <v>1A BB</v>
      </c>
      <c r="AI473" s="8" t="str">
        <f t="shared" ca="1" si="242"/>
        <v>Upton - Wright 2/18/2023</v>
      </c>
      <c r="AJ473" s="8">
        <f ca="1">IFERROR(VLOOKUP(PlayerGameData[[#This Row],[School, Opponent,Game'#]],Table3[],2,FALSE),0)</f>
        <v>1</v>
      </c>
      <c r="AK473" s="8">
        <f ca="1">IF(PlayerGameData[[#This Row],[Visible]]=1,1,1000)</f>
        <v>1</v>
      </c>
      <c r="AL473" s="8">
        <f ca="1">RANK(PlayerGameData[[#This Row],[TL PTS]],PlayerGameData[TL PTS],0)+PlayerGameData[[#This Row],[VisibleOrder]]</f>
        <v>185</v>
      </c>
      <c r="AM473" s="8">
        <f ca="1">IF(COUNTIF(PlayerGameData[PointOrder],PlayerGameData[[#This Row],[PointOrder]])&gt;1,RANK(PlayerGameData[[#This Row],[FGA]],PlayerGameData[FGA],0)/100,0)+PlayerGameData[[#This Row],[PointOrder]]</f>
        <v>187.14</v>
      </c>
      <c r="AN473" s="8">
        <f ca="1">RANK(PlayerGameData[[#This Row],[PointTieBreak]],PlayerGameData[PointTieBreak],1)</f>
        <v>216</v>
      </c>
      <c r="AO473" s="8">
        <f ca="1">RANK(PlayerGameData[[#This Row],[REB]],PlayerGameData[REB],0)+PlayerGameData[[#This Row],[VisibleOrder]]</f>
        <v>192</v>
      </c>
      <c r="AP473" s="8">
        <f ca="1">IF(COUNTIF(PlayerGameData[REBOrder],PlayerGameData[[#This Row],[REBOrder]])&gt;1,PlayerGameData[[#This Row],[PointRank]]/100+PlayerGameData[[#This Row],[REBOrder]],PlayerGameData[[#This Row],[REBOrder]])</f>
        <v>194.16</v>
      </c>
      <c r="AQ473" s="8">
        <f ca="1">RANK(PlayerGameData[[#This Row],[REBTieBreak]],PlayerGameData[REBTieBreak],1)</f>
        <v>224</v>
      </c>
      <c r="AR473" s="8">
        <f ca="1">RANK(PlayerGameData[[#This Row],[AST]],PlayerGameData[AST],0)+PlayerGameData[[#This Row],[VisibleOrder]]</f>
        <v>158</v>
      </c>
      <c r="AS473" s="8">
        <f ca="1">IF(COUNTIF(PlayerGameData[ASTOrder],PlayerGameData[[#This Row],[ASTOrder]])&gt;1,PlayerGameData[[#This Row],[PointRank]]/100+PlayerGameData[[#This Row],[ASTOrder]],PlayerGameData[[#This Row],[ASTOrder]])</f>
        <v>160.16</v>
      </c>
      <c r="AT473" s="8">
        <f ca="1">RANK(PlayerGameData[[#This Row],[ASTTieBreak]],PlayerGameData[ASTTieBreak],1)</f>
        <v>221</v>
      </c>
      <c r="AU473" s="8">
        <f ca="1">RANK(PlayerGameData[[#This Row],[STL]],PlayerGameData[STL],0)+PlayerGameData[[#This Row],[VisibleOrder]]</f>
        <v>143</v>
      </c>
      <c r="AV473" s="8">
        <f ca="1">IF(COUNTIF(PlayerGameData[STLOrder],PlayerGameData[[#This Row],[STLOrder]])&gt;1,PlayerGameData[[#This Row],[PointRank]]/100+PlayerGameData[[#This Row],[STLOrder]],PlayerGameData[[#This Row],[STLOrder]])</f>
        <v>145.16</v>
      </c>
      <c r="AW473" s="8">
        <f ca="1">RANK(PlayerGameData[[#This Row],[STLTieBreak]],PlayerGameData[STLTieBreak],1)</f>
        <v>217</v>
      </c>
      <c r="AX473" s="8">
        <f ca="1">RANK(PlayerGameData[[#This Row],[BLK]],PlayerGameData[BLK],0)+PlayerGameData[[#This Row],[VisibleOrder]]</f>
        <v>32</v>
      </c>
      <c r="AY473" s="8">
        <f ca="1">IF(COUNTIF(PlayerGameData[BLKOrder],PlayerGameData[[#This Row],[BLKOrder]])&gt;1,PlayerGameData[[#This Row],[PointRank]]/100+PlayerGameData[[#This Row],[BLKOrder]],PlayerGameData[[#This Row],[BLKOrder]])</f>
        <v>34.159999999999997</v>
      </c>
      <c r="AZ473" s="8">
        <f ca="1">RANK(PlayerGameData[[#This Row],[BLKTieBreak]],PlayerGameData[BLKTieBreak],1)</f>
        <v>216</v>
      </c>
      <c r="BA473" s="11">
        <f ca="1">IFERROR(IF(PlayerGameData[[#This Row],[FGA]]&gt;$AA$5,PlayerGameData[[#This Row],[FG%*]],PlayerGameData[[#This Row],[FG%*]]*-1),-2)</f>
        <v>-2</v>
      </c>
      <c r="BB473" s="8">
        <f ca="1">RANK(PlayerGameData[[#This Row],[EligFG]],PlayerGameData[EligFG],0)+PlayerGameData[[#This Row],[VisibleOrder]]</f>
        <v>215</v>
      </c>
      <c r="BC473" s="8">
        <f ca="1">IF(COUNTIF(PlayerGameData[EligFGOrder],PlayerGameData[[#This Row],[EligFGOrder]])&gt;1,PlayerGameData[[#This Row],[PointRank]]/100+PlayerGameData[[#This Row],[EligFGOrder]],PlayerGameData[[#This Row],[EligFGOrder]])</f>
        <v>217.16</v>
      </c>
      <c r="BD473" s="8">
        <f ca="1">RANK(PlayerGameData[[#This Row],[EligFGTieBreak]],PlayerGameData[EligFGTieBreak],1)</f>
        <v>216</v>
      </c>
      <c r="BE473" s="8" t="str">
        <f>Roster!$D$3</f>
        <v>East</v>
      </c>
      <c r="BF473" s="8" t="str">
        <f>Roster!$D$2</f>
        <v>Northeast</v>
      </c>
      <c r="BG473" s="8" t="str">
        <f>Roster!$D$4</f>
        <v>North</v>
      </c>
      <c r="BH473" s="197">
        <f ca="1">IFERROR(VLOOKUP(CONCATENATE(PlayerGameData[[#This Row],[Opponent]]," ",MONTH(PlayerGameData[[#This Row],[Date]]),"/",DAY(PlayerGameData[[#This Row],[Date]]),"/",YEAR(PlayerGameData[[#This Row],[Date]])),Table35[],2,FALSE),0)</f>
        <v>1</v>
      </c>
      <c r="BI473" s="197">
        <f ca="1">IF(PlayerGameData[[#This Row],[Visible]]=1,1,1000)</f>
        <v>1</v>
      </c>
      <c r="BJ473" s="197" t="e">
        <f ca="1">_xlfn.MAXIFS(TeamGameData[Win],TeamGameData[School, Opponent,Game'#],PlayerGameData[[#This Row],[School, Opponent,Game'#]])</f>
        <v>#NAME?</v>
      </c>
      <c r="BK473" s="197" t="e">
        <f ca="1">_xlfn.MAXIFS(TeamGameData[Loss],TeamGameData[School, Opponent,Game'#],PlayerGameData[[#This Row],[School, Opponent,Game'#]])</f>
        <v>#NAME?</v>
      </c>
    </row>
    <row r="474" spans="1:63" x14ac:dyDescent="0.25">
      <c r="A474" s="8" t="str">
        <f t="shared" ca="1" si="243"/>
        <v>Jacob McNutt, 34</v>
      </c>
      <c r="B474" s="8" t="str">
        <f>Roster!$B$1</f>
        <v>Upton</v>
      </c>
      <c r="C474" s="8" t="str">
        <f t="shared" ca="1" si="231"/>
        <v>Wright</v>
      </c>
      <c r="D474" s="10">
        <f t="shared" ca="1" si="232"/>
        <v>44975</v>
      </c>
      <c r="E474" s="8">
        <f t="shared" ca="1" si="233"/>
        <v>0</v>
      </c>
      <c r="F474" s="8">
        <f t="shared" ca="1" si="234"/>
        <v>0</v>
      </c>
      <c r="G474" s="8">
        <f t="shared" ca="1" si="235"/>
        <v>0</v>
      </c>
      <c r="H474" s="8">
        <f t="shared" ca="1" si="236"/>
        <v>0</v>
      </c>
      <c r="I474" s="8">
        <f t="shared" ca="1" si="237"/>
        <v>0</v>
      </c>
      <c r="J474" s="8">
        <f t="shared" ca="1" si="238"/>
        <v>0</v>
      </c>
      <c r="K474" s="8">
        <f t="shared" ca="1" si="239"/>
        <v>0</v>
      </c>
      <c r="L474" s="8">
        <f t="shared" ca="1" si="244"/>
        <v>0</v>
      </c>
      <c r="M474" s="8">
        <f t="shared" ca="1" si="245"/>
        <v>0</v>
      </c>
      <c r="N474" s="8">
        <f t="shared" ca="1" si="246"/>
        <v>0</v>
      </c>
      <c r="O474" s="8">
        <f t="shared" ca="1" si="247"/>
        <v>0</v>
      </c>
      <c r="P474" s="8">
        <f t="shared" ca="1" si="248"/>
        <v>0</v>
      </c>
      <c r="Q474" s="8">
        <f t="shared" ca="1" si="249"/>
        <v>0</v>
      </c>
      <c r="R474" s="8">
        <f t="shared" ca="1" si="250"/>
        <v>0</v>
      </c>
      <c r="S474" s="8">
        <f t="shared" ca="1" si="251"/>
        <v>0</v>
      </c>
      <c r="T474" s="8">
        <f t="shared" ca="1" si="252"/>
        <v>0</v>
      </c>
      <c r="U474" s="8">
        <f t="shared" ca="1" si="253"/>
        <v>0</v>
      </c>
      <c r="V474" s="8">
        <f t="shared" ca="1" si="254"/>
        <v>0</v>
      </c>
      <c r="W474" s="11" t="str">
        <f t="shared" ca="1" si="255"/>
        <v/>
      </c>
      <c r="X474" s="11" t="str">
        <f t="shared" ca="1" si="256"/>
        <v/>
      </c>
      <c r="Y474" s="11" t="str">
        <f t="shared" ca="1" si="257"/>
        <v/>
      </c>
      <c r="Z474" s="11" t="str">
        <f t="shared" ca="1" si="258"/>
        <v/>
      </c>
      <c r="AA474" s="11" t="str">
        <f t="shared" ca="1" si="259"/>
        <v/>
      </c>
      <c r="AB474" s="47">
        <f ca="1">PlayerGameData[[#This Row],[3FGA]]+PlayerGameData[[#This Row],[2FGA]]</f>
        <v>0</v>
      </c>
      <c r="AC474" s="47">
        <f ca="1">PlayerGameData[[#This Row],[OFF REB]]+PlayerGameData[[#This Row],[DEF REB]]</f>
        <v>0</v>
      </c>
      <c r="AD474" s="8">
        <f t="shared" si="240"/>
        <v>20</v>
      </c>
      <c r="AE474" s="8" t="str">
        <f t="shared" ca="1" si="241"/>
        <v>Jacob McNutt, 34 - Wright 2/18/2023</v>
      </c>
      <c r="AF474" s="8" t="str">
        <f t="shared" ca="1" si="260"/>
        <v/>
      </c>
      <c r="AG474" s="8" t="str">
        <f ca="1">IFERROR(IF(C474=0,"",IF(AND(VLOOKUP(PlayerGameData[[#This Row],[Opponent]],WYTeamInfo,2,FALSE)=Roster!$D$1,VLOOKUP(PlayerGameData[[#This Row],[Opponent]],WYTeamInfo,3,FALSE)=Roster!$D$2),"SR","")),"")</f>
        <v/>
      </c>
      <c r="AH474" s="8" t="str">
        <f>CONCATENATE(Roster!$D$1," ",Roster!$D$5)</f>
        <v>1A BB</v>
      </c>
      <c r="AI474" s="8" t="str">
        <f t="shared" ca="1" si="242"/>
        <v>Upton - Wright 2/18/2023</v>
      </c>
      <c r="AJ474" s="8">
        <f ca="1">IFERROR(VLOOKUP(PlayerGameData[[#This Row],[School, Opponent,Game'#]],Table3[],2,FALSE),0)</f>
        <v>1</v>
      </c>
      <c r="AK474" s="8">
        <f ca="1">IF(PlayerGameData[[#This Row],[Visible]]=1,1,1000)</f>
        <v>1</v>
      </c>
      <c r="AL474" s="8">
        <f ca="1">RANK(PlayerGameData[[#This Row],[TL PTS]],PlayerGameData[TL PTS],0)+PlayerGameData[[#This Row],[VisibleOrder]]</f>
        <v>185</v>
      </c>
      <c r="AM474" s="8">
        <f ca="1">IF(COUNTIF(PlayerGameData[PointOrder],PlayerGameData[[#This Row],[PointOrder]])&gt;1,RANK(PlayerGameData[[#This Row],[FGA]],PlayerGameData[FGA],0)/100,0)+PlayerGameData[[#This Row],[PointOrder]]</f>
        <v>187.14</v>
      </c>
      <c r="AN474" s="8">
        <f ca="1">RANK(PlayerGameData[[#This Row],[PointTieBreak]],PlayerGameData[PointTieBreak],1)</f>
        <v>216</v>
      </c>
      <c r="AO474" s="8">
        <f ca="1">RANK(PlayerGameData[[#This Row],[REB]],PlayerGameData[REB],0)+PlayerGameData[[#This Row],[VisibleOrder]]</f>
        <v>192</v>
      </c>
      <c r="AP474" s="8">
        <f ca="1">IF(COUNTIF(PlayerGameData[REBOrder],PlayerGameData[[#This Row],[REBOrder]])&gt;1,PlayerGameData[[#This Row],[PointRank]]/100+PlayerGameData[[#This Row],[REBOrder]],PlayerGameData[[#This Row],[REBOrder]])</f>
        <v>194.16</v>
      </c>
      <c r="AQ474" s="8">
        <f ca="1">RANK(PlayerGameData[[#This Row],[REBTieBreak]],PlayerGameData[REBTieBreak],1)</f>
        <v>224</v>
      </c>
      <c r="AR474" s="8">
        <f ca="1">RANK(PlayerGameData[[#This Row],[AST]],PlayerGameData[AST],0)+PlayerGameData[[#This Row],[VisibleOrder]]</f>
        <v>158</v>
      </c>
      <c r="AS474" s="8">
        <f ca="1">IF(COUNTIF(PlayerGameData[ASTOrder],PlayerGameData[[#This Row],[ASTOrder]])&gt;1,PlayerGameData[[#This Row],[PointRank]]/100+PlayerGameData[[#This Row],[ASTOrder]],PlayerGameData[[#This Row],[ASTOrder]])</f>
        <v>160.16</v>
      </c>
      <c r="AT474" s="8">
        <f ca="1">RANK(PlayerGameData[[#This Row],[ASTTieBreak]],PlayerGameData[ASTTieBreak],1)</f>
        <v>221</v>
      </c>
      <c r="AU474" s="8">
        <f ca="1">RANK(PlayerGameData[[#This Row],[STL]],PlayerGameData[STL],0)+PlayerGameData[[#This Row],[VisibleOrder]]</f>
        <v>143</v>
      </c>
      <c r="AV474" s="8">
        <f ca="1">IF(COUNTIF(PlayerGameData[STLOrder],PlayerGameData[[#This Row],[STLOrder]])&gt;1,PlayerGameData[[#This Row],[PointRank]]/100+PlayerGameData[[#This Row],[STLOrder]],PlayerGameData[[#This Row],[STLOrder]])</f>
        <v>145.16</v>
      </c>
      <c r="AW474" s="8">
        <f ca="1">RANK(PlayerGameData[[#This Row],[STLTieBreak]],PlayerGameData[STLTieBreak],1)</f>
        <v>217</v>
      </c>
      <c r="AX474" s="8">
        <f ca="1">RANK(PlayerGameData[[#This Row],[BLK]],PlayerGameData[BLK],0)+PlayerGameData[[#This Row],[VisibleOrder]]</f>
        <v>32</v>
      </c>
      <c r="AY474" s="8">
        <f ca="1">IF(COUNTIF(PlayerGameData[BLKOrder],PlayerGameData[[#This Row],[BLKOrder]])&gt;1,PlayerGameData[[#This Row],[PointRank]]/100+PlayerGameData[[#This Row],[BLKOrder]],PlayerGameData[[#This Row],[BLKOrder]])</f>
        <v>34.159999999999997</v>
      </c>
      <c r="AZ474" s="8">
        <f ca="1">RANK(PlayerGameData[[#This Row],[BLKTieBreak]],PlayerGameData[BLKTieBreak],1)</f>
        <v>216</v>
      </c>
      <c r="BA474" s="11">
        <f ca="1">IFERROR(IF(PlayerGameData[[#This Row],[FGA]]&gt;$AA$5,PlayerGameData[[#This Row],[FG%*]],PlayerGameData[[#This Row],[FG%*]]*-1),-2)</f>
        <v>-2</v>
      </c>
      <c r="BB474" s="8">
        <f ca="1">RANK(PlayerGameData[[#This Row],[EligFG]],PlayerGameData[EligFG],0)+PlayerGameData[[#This Row],[VisibleOrder]]</f>
        <v>215</v>
      </c>
      <c r="BC474" s="8">
        <f ca="1">IF(COUNTIF(PlayerGameData[EligFGOrder],PlayerGameData[[#This Row],[EligFGOrder]])&gt;1,PlayerGameData[[#This Row],[PointRank]]/100+PlayerGameData[[#This Row],[EligFGOrder]],PlayerGameData[[#This Row],[EligFGOrder]])</f>
        <v>217.16</v>
      </c>
      <c r="BD474" s="8">
        <f ca="1">RANK(PlayerGameData[[#This Row],[EligFGTieBreak]],PlayerGameData[EligFGTieBreak],1)</f>
        <v>216</v>
      </c>
      <c r="BE474" s="8" t="str">
        <f>Roster!$D$3</f>
        <v>East</v>
      </c>
      <c r="BF474" s="8" t="str">
        <f>Roster!$D$2</f>
        <v>Northeast</v>
      </c>
      <c r="BG474" s="8" t="str">
        <f>Roster!$D$4</f>
        <v>North</v>
      </c>
      <c r="BH474" s="197">
        <f ca="1">IFERROR(VLOOKUP(CONCATENATE(PlayerGameData[[#This Row],[Opponent]]," ",MONTH(PlayerGameData[[#This Row],[Date]]),"/",DAY(PlayerGameData[[#This Row],[Date]]),"/",YEAR(PlayerGameData[[#This Row],[Date]])),Table35[],2,FALSE),0)</f>
        <v>1</v>
      </c>
      <c r="BI474" s="197">
        <f ca="1">IF(PlayerGameData[[#This Row],[Visible]]=1,1,1000)</f>
        <v>1</v>
      </c>
      <c r="BJ474" s="197" t="e">
        <f ca="1">_xlfn.MAXIFS(TeamGameData[Win],TeamGameData[School, Opponent,Game'#],PlayerGameData[[#This Row],[School, Opponent,Game'#]])</f>
        <v>#NAME?</v>
      </c>
      <c r="BK474" s="197" t="e">
        <f ca="1">_xlfn.MAXIFS(TeamGameData[Loss],TeamGameData[School, Opponent,Game'#],PlayerGameData[[#This Row],[School, Opponent,Game'#]])</f>
        <v>#NAME?</v>
      </c>
    </row>
    <row r="475" spans="1:63" x14ac:dyDescent="0.25">
      <c r="A475" s="8" t="str">
        <f t="shared" ca="1" si="243"/>
        <v>Ryan Baker, 35</v>
      </c>
      <c r="B475" s="8" t="str">
        <f>Roster!$B$1</f>
        <v>Upton</v>
      </c>
      <c r="C475" s="8" t="str">
        <f t="shared" ca="1" si="231"/>
        <v>Wright</v>
      </c>
      <c r="D475" s="10">
        <f t="shared" ca="1" si="232"/>
        <v>44975</v>
      </c>
      <c r="E475" s="8">
        <f t="shared" ca="1" si="233"/>
        <v>0</v>
      </c>
      <c r="F475" s="8">
        <f t="shared" ca="1" si="234"/>
        <v>0</v>
      </c>
      <c r="G475" s="8">
        <f t="shared" ca="1" si="235"/>
        <v>0</v>
      </c>
      <c r="H475" s="8">
        <f t="shared" ca="1" si="236"/>
        <v>0</v>
      </c>
      <c r="I475" s="8">
        <f t="shared" ca="1" si="237"/>
        <v>0</v>
      </c>
      <c r="J475" s="8">
        <f t="shared" ca="1" si="238"/>
        <v>0</v>
      </c>
      <c r="K475" s="8">
        <f t="shared" ca="1" si="239"/>
        <v>0</v>
      </c>
      <c r="L475" s="8">
        <f t="shared" ca="1" si="244"/>
        <v>0</v>
      </c>
      <c r="M475" s="8">
        <f t="shared" ca="1" si="245"/>
        <v>0</v>
      </c>
      <c r="N475" s="8">
        <f t="shared" ca="1" si="246"/>
        <v>0</v>
      </c>
      <c r="O475" s="8">
        <f t="shared" ca="1" si="247"/>
        <v>0</v>
      </c>
      <c r="P475" s="8">
        <f t="shared" ca="1" si="248"/>
        <v>0</v>
      </c>
      <c r="Q475" s="8">
        <f t="shared" ca="1" si="249"/>
        <v>0</v>
      </c>
      <c r="R475" s="8">
        <f t="shared" ca="1" si="250"/>
        <v>0</v>
      </c>
      <c r="S475" s="8">
        <f t="shared" ca="1" si="251"/>
        <v>0</v>
      </c>
      <c r="T475" s="8">
        <f t="shared" ca="1" si="252"/>
        <v>0</v>
      </c>
      <c r="U475" s="8">
        <f t="shared" ca="1" si="253"/>
        <v>0</v>
      </c>
      <c r="V475" s="8">
        <f t="shared" ca="1" si="254"/>
        <v>0</v>
      </c>
      <c r="W475" s="11" t="str">
        <f t="shared" ca="1" si="255"/>
        <v/>
      </c>
      <c r="X475" s="11" t="str">
        <f t="shared" ca="1" si="256"/>
        <v/>
      </c>
      <c r="Y475" s="11" t="str">
        <f t="shared" ca="1" si="257"/>
        <v/>
      </c>
      <c r="Z475" s="11" t="str">
        <f t="shared" ca="1" si="258"/>
        <v/>
      </c>
      <c r="AA475" s="11" t="str">
        <f t="shared" ca="1" si="259"/>
        <v/>
      </c>
      <c r="AB475" s="47">
        <f ca="1">PlayerGameData[[#This Row],[3FGA]]+PlayerGameData[[#This Row],[2FGA]]</f>
        <v>0</v>
      </c>
      <c r="AC475" s="47">
        <f ca="1">PlayerGameData[[#This Row],[OFF REB]]+PlayerGameData[[#This Row],[DEF REB]]</f>
        <v>0</v>
      </c>
      <c r="AD475" s="8">
        <f t="shared" si="240"/>
        <v>20</v>
      </c>
      <c r="AE475" s="8" t="str">
        <f t="shared" ca="1" si="241"/>
        <v>Ryan Baker, 35 - Wright 2/18/2023</v>
      </c>
      <c r="AF475" s="8" t="str">
        <f t="shared" ca="1" si="260"/>
        <v/>
      </c>
      <c r="AG475" s="8" t="str">
        <f ca="1">IFERROR(IF(C475=0,"",IF(AND(VLOOKUP(PlayerGameData[[#This Row],[Opponent]],WYTeamInfo,2,FALSE)=Roster!$D$1,VLOOKUP(PlayerGameData[[#This Row],[Opponent]],WYTeamInfo,3,FALSE)=Roster!$D$2),"SR","")),"")</f>
        <v/>
      </c>
      <c r="AH475" s="8" t="str">
        <f>CONCATENATE(Roster!$D$1," ",Roster!$D$5)</f>
        <v>1A BB</v>
      </c>
      <c r="AI475" s="8" t="str">
        <f t="shared" ca="1" si="242"/>
        <v>Upton - Wright 2/18/2023</v>
      </c>
      <c r="AJ475" s="8">
        <f ca="1">IFERROR(VLOOKUP(PlayerGameData[[#This Row],[School, Opponent,Game'#]],Table3[],2,FALSE),0)</f>
        <v>1</v>
      </c>
      <c r="AK475" s="8">
        <f ca="1">IF(PlayerGameData[[#This Row],[Visible]]=1,1,1000)</f>
        <v>1</v>
      </c>
      <c r="AL475" s="8">
        <f ca="1">RANK(PlayerGameData[[#This Row],[TL PTS]],PlayerGameData[TL PTS],0)+PlayerGameData[[#This Row],[VisibleOrder]]</f>
        <v>185</v>
      </c>
      <c r="AM475" s="8">
        <f ca="1">IF(COUNTIF(PlayerGameData[PointOrder],PlayerGameData[[#This Row],[PointOrder]])&gt;1,RANK(PlayerGameData[[#This Row],[FGA]],PlayerGameData[FGA],0)/100,0)+PlayerGameData[[#This Row],[PointOrder]]</f>
        <v>187.14</v>
      </c>
      <c r="AN475" s="8">
        <f ca="1">RANK(PlayerGameData[[#This Row],[PointTieBreak]],PlayerGameData[PointTieBreak],1)</f>
        <v>216</v>
      </c>
      <c r="AO475" s="8">
        <f ca="1">RANK(PlayerGameData[[#This Row],[REB]],PlayerGameData[REB],0)+PlayerGameData[[#This Row],[VisibleOrder]]</f>
        <v>192</v>
      </c>
      <c r="AP475" s="8">
        <f ca="1">IF(COUNTIF(PlayerGameData[REBOrder],PlayerGameData[[#This Row],[REBOrder]])&gt;1,PlayerGameData[[#This Row],[PointRank]]/100+PlayerGameData[[#This Row],[REBOrder]],PlayerGameData[[#This Row],[REBOrder]])</f>
        <v>194.16</v>
      </c>
      <c r="AQ475" s="8">
        <f ca="1">RANK(PlayerGameData[[#This Row],[REBTieBreak]],PlayerGameData[REBTieBreak],1)</f>
        <v>224</v>
      </c>
      <c r="AR475" s="8">
        <f ca="1">RANK(PlayerGameData[[#This Row],[AST]],PlayerGameData[AST],0)+PlayerGameData[[#This Row],[VisibleOrder]]</f>
        <v>158</v>
      </c>
      <c r="AS475" s="8">
        <f ca="1">IF(COUNTIF(PlayerGameData[ASTOrder],PlayerGameData[[#This Row],[ASTOrder]])&gt;1,PlayerGameData[[#This Row],[PointRank]]/100+PlayerGameData[[#This Row],[ASTOrder]],PlayerGameData[[#This Row],[ASTOrder]])</f>
        <v>160.16</v>
      </c>
      <c r="AT475" s="8">
        <f ca="1">RANK(PlayerGameData[[#This Row],[ASTTieBreak]],PlayerGameData[ASTTieBreak],1)</f>
        <v>221</v>
      </c>
      <c r="AU475" s="8">
        <f ca="1">RANK(PlayerGameData[[#This Row],[STL]],PlayerGameData[STL],0)+PlayerGameData[[#This Row],[VisibleOrder]]</f>
        <v>143</v>
      </c>
      <c r="AV475" s="8">
        <f ca="1">IF(COUNTIF(PlayerGameData[STLOrder],PlayerGameData[[#This Row],[STLOrder]])&gt;1,PlayerGameData[[#This Row],[PointRank]]/100+PlayerGameData[[#This Row],[STLOrder]],PlayerGameData[[#This Row],[STLOrder]])</f>
        <v>145.16</v>
      </c>
      <c r="AW475" s="8">
        <f ca="1">RANK(PlayerGameData[[#This Row],[STLTieBreak]],PlayerGameData[STLTieBreak],1)</f>
        <v>217</v>
      </c>
      <c r="AX475" s="8">
        <f ca="1">RANK(PlayerGameData[[#This Row],[BLK]],PlayerGameData[BLK],0)+PlayerGameData[[#This Row],[VisibleOrder]]</f>
        <v>32</v>
      </c>
      <c r="AY475" s="8">
        <f ca="1">IF(COUNTIF(PlayerGameData[BLKOrder],PlayerGameData[[#This Row],[BLKOrder]])&gt;1,PlayerGameData[[#This Row],[PointRank]]/100+PlayerGameData[[#This Row],[BLKOrder]],PlayerGameData[[#This Row],[BLKOrder]])</f>
        <v>34.159999999999997</v>
      </c>
      <c r="AZ475" s="8">
        <f ca="1">RANK(PlayerGameData[[#This Row],[BLKTieBreak]],PlayerGameData[BLKTieBreak],1)</f>
        <v>216</v>
      </c>
      <c r="BA475" s="11">
        <f ca="1">IFERROR(IF(PlayerGameData[[#This Row],[FGA]]&gt;$AA$5,PlayerGameData[[#This Row],[FG%*]],PlayerGameData[[#This Row],[FG%*]]*-1),-2)</f>
        <v>-2</v>
      </c>
      <c r="BB475" s="8">
        <f ca="1">RANK(PlayerGameData[[#This Row],[EligFG]],PlayerGameData[EligFG],0)+PlayerGameData[[#This Row],[VisibleOrder]]</f>
        <v>215</v>
      </c>
      <c r="BC475" s="8">
        <f ca="1">IF(COUNTIF(PlayerGameData[EligFGOrder],PlayerGameData[[#This Row],[EligFGOrder]])&gt;1,PlayerGameData[[#This Row],[PointRank]]/100+PlayerGameData[[#This Row],[EligFGOrder]],PlayerGameData[[#This Row],[EligFGOrder]])</f>
        <v>217.16</v>
      </c>
      <c r="BD475" s="8">
        <f ca="1">RANK(PlayerGameData[[#This Row],[EligFGTieBreak]],PlayerGameData[EligFGTieBreak],1)</f>
        <v>216</v>
      </c>
      <c r="BE475" s="8" t="str">
        <f>Roster!$D$3</f>
        <v>East</v>
      </c>
      <c r="BF475" s="8" t="str">
        <f>Roster!$D$2</f>
        <v>Northeast</v>
      </c>
      <c r="BG475" s="8" t="str">
        <f>Roster!$D$4</f>
        <v>North</v>
      </c>
      <c r="BH475" s="197">
        <f ca="1">IFERROR(VLOOKUP(CONCATENATE(PlayerGameData[[#This Row],[Opponent]]," ",MONTH(PlayerGameData[[#This Row],[Date]]),"/",DAY(PlayerGameData[[#This Row],[Date]]),"/",YEAR(PlayerGameData[[#This Row],[Date]])),Table35[],2,FALSE),0)</f>
        <v>1</v>
      </c>
      <c r="BI475" s="197">
        <f ca="1">IF(PlayerGameData[[#This Row],[Visible]]=1,1,1000)</f>
        <v>1</v>
      </c>
      <c r="BJ475" s="197" t="e">
        <f ca="1">_xlfn.MAXIFS(TeamGameData[Win],TeamGameData[School, Opponent,Game'#],PlayerGameData[[#This Row],[School, Opponent,Game'#]])</f>
        <v>#NAME?</v>
      </c>
      <c r="BK475" s="197" t="e">
        <f ca="1">_xlfn.MAXIFS(TeamGameData[Loss],TeamGameData[School, Opponent,Game'#],PlayerGameData[[#This Row],[School, Opponent,Game'#]])</f>
        <v>#NAME?</v>
      </c>
    </row>
    <row r="476" spans="1:63" x14ac:dyDescent="0.25">
      <c r="A476" s="8" t="str">
        <f t="shared" ca="1" si="243"/>
        <v xml:space="preserve">, </v>
      </c>
      <c r="B476" s="8" t="str">
        <f>Roster!$B$1</f>
        <v>Upton</v>
      </c>
      <c r="C476" s="8" t="str">
        <f t="shared" ca="1" si="231"/>
        <v>Wright</v>
      </c>
      <c r="D476" s="10">
        <f t="shared" ca="1" si="232"/>
        <v>44975</v>
      </c>
      <c r="E476" s="8">
        <f t="shared" ca="1" si="233"/>
        <v>0</v>
      </c>
      <c r="F476" s="8">
        <f t="shared" ca="1" si="234"/>
        <v>0</v>
      </c>
      <c r="G476" s="8">
        <f t="shared" ca="1" si="235"/>
        <v>0</v>
      </c>
      <c r="H476" s="8">
        <f t="shared" ca="1" si="236"/>
        <v>0</v>
      </c>
      <c r="I476" s="8">
        <f t="shared" ca="1" si="237"/>
        <v>0</v>
      </c>
      <c r="J476" s="8">
        <f t="shared" ca="1" si="238"/>
        <v>0</v>
      </c>
      <c r="K476" s="8">
        <f t="shared" ca="1" si="239"/>
        <v>0</v>
      </c>
      <c r="L476" s="8">
        <f t="shared" ca="1" si="244"/>
        <v>0</v>
      </c>
      <c r="M476" s="8">
        <f t="shared" ca="1" si="245"/>
        <v>0</v>
      </c>
      <c r="N476" s="8">
        <f t="shared" ca="1" si="246"/>
        <v>0</v>
      </c>
      <c r="O476" s="8">
        <f t="shared" ca="1" si="247"/>
        <v>0</v>
      </c>
      <c r="P476" s="8">
        <f t="shared" ca="1" si="248"/>
        <v>0</v>
      </c>
      <c r="Q476" s="8">
        <f t="shared" ca="1" si="249"/>
        <v>0</v>
      </c>
      <c r="R476" s="8">
        <f t="shared" ca="1" si="250"/>
        <v>0</v>
      </c>
      <c r="S476" s="8">
        <f t="shared" ca="1" si="251"/>
        <v>0</v>
      </c>
      <c r="T476" s="8">
        <f t="shared" ca="1" si="252"/>
        <v>0</v>
      </c>
      <c r="U476" s="8">
        <f t="shared" ca="1" si="253"/>
        <v>0</v>
      </c>
      <c r="V476" s="8">
        <f t="shared" ca="1" si="254"/>
        <v>0</v>
      </c>
      <c r="W476" s="11" t="str">
        <f t="shared" ca="1" si="255"/>
        <v/>
      </c>
      <c r="X476" s="11" t="str">
        <f t="shared" ca="1" si="256"/>
        <v/>
      </c>
      <c r="Y476" s="11" t="str">
        <f t="shared" ca="1" si="257"/>
        <v/>
      </c>
      <c r="Z476" s="11" t="str">
        <f t="shared" ca="1" si="258"/>
        <v/>
      </c>
      <c r="AA476" s="11" t="str">
        <f t="shared" ca="1" si="259"/>
        <v/>
      </c>
      <c r="AB476" s="47">
        <f ca="1">PlayerGameData[[#This Row],[3FGA]]+PlayerGameData[[#This Row],[2FGA]]</f>
        <v>0</v>
      </c>
      <c r="AC476" s="47">
        <f ca="1">PlayerGameData[[#This Row],[OFF REB]]+PlayerGameData[[#This Row],[DEF REB]]</f>
        <v>0</v>
      </c>
      <c r="AD476" s="8">
        <f t="shared" si="240"/>
        <v>20</v>
      </c>
      <c r="AE476" s="8" t="str">
        <f t="shared" ca="1" si="241"/>
        <v>,  - Wright 2/18/2023</v>
      </c>
      <c r="AF476" s="8" t="str">
        <f t="shared" ca="1" si="260"/>
        <v/>
      </c>
      <c r="AG476" s="8" t="str">
        <f ca="1">IFERROR(IF(C476=0,"",IF(AND(VLOOKUP(PlayerGameData[[#This Row],[Opponent]],WYTeamInfo,2,FALSE)=Roster!$D$1,VLOOKUP(PlayerGameData[[#This Row],[Opponent]],WYTeamInfo,3,FALSE)=Roster!$D$2),"SR","")),"")</f>
        <v/>
      </c>
      <c r="AH476" s="8" t="str">
        <f>CONCATENATE(Roster!$D$1," ",Roster!$D$5)</f>
        <v>1A BB</v>
      </c>
      <c r="AI476" s="8" t="str">
        <f t="shared" ca="1" si="242"/>
        <v>Upton - Wright 2/18/2023</v>
      </c>
      <c r="AJ476" s="8">
        <f ca="1">IFERROR(VLOOKUP(PlayerGameData[[#This Row],[School, Opponent,Game'#]],Table3[],2,FALSE),0)</f>
        <v>1</v>
      </c>
      <c r="AK476" s="8">
        <f ca="1">IF(PlayerGameData[[#This Row],[Visible]]=1,1,1000)</f>
        <v>1</v>
      </c>
      <c r="AL476" s="8">
        <f ca="1">RANK(PlayerGameData[[#This Row],[TL PTS]],PlayerGameData[TL PTS],0)+PlayerGameData[[#This Row],[VisibleOrder]]</f>
        <v>185</v>
      </c>
      <c r="AM476" s="8">
        <f ca="1">IF(COUNTIF(PlayerGameData[PointOrder],PlayerGameData[[#This Row],[PointOrder]])&gt;1,RANK(PlayerGameData[[#This Row],[FGA]],PlayerGameData[FGA],0)/100,0)+PlayerGameData[[#This Row],[PointOrder]]</f>
        <v>187.14</v>
      </c>
      <c r="AN476" s="8">
        <f ca="1">RANK(PlayerGameData[[#This Row],[PointTieBreak]],PlayerGameData[PointTieBreak],1)</f>
        <v>216</v>
      </c>
      <c r="AO476" s="8">
        <f ca="1">RANK(PlayerGameData[[#This Row],[REB]],PlayerGameData[REB],0)+PlayerGameData[[#This Row],[VisibleOrder]]</f>
        <v>192</v>
      </c>
      <c r="AP476" s="8">
        <f ca="1">IF(COUNTIF(PlayerGameData[REBOrder],PlayerGameData[[#This Row],[REBOrder]])&gt;1,PlayerGameData[[#This Row],[PointRank]]/100+PlayerGameData[[#This Row],[REBOrder]],PlayerGameData[[#This Row],[REBOrder]])</f>
        <v>194.16</v>
      </c>
      <c r="AQ476" s="8">
        <f ca="1">RANK(PlayerGameData[[#This Row],[REBTieBreak]],PlayerGameData[REBTieBreak],1)</f>
        <v>224</v>
      </c>
      <c r="AR476" s="8">
        <f ca="1">RANK(PlayerGameData[[#This Row],[AST]],PlayerGameData[AST],0)+PlayerGameData[[#This Row],[VisibleOrder]]</f>
        <v>158</v>
      </c>
      <c r="AS476" s="8">
        <f ca="1">IF(COUNTIF(PlayerGameData[ASTOrder],PlayerGameData[[#This Row],[ASTOrder]])&gt;1,PlayerGameData[[#This Row],[PointRank]]/100+PlayerGameData[[#This Row],[ASTOrder]],PlayerGameData[[#This Row],[ASTOrder]])</f>
        <v>160.16</v>
      </c>
      <c r="AT476" s="8">
        <f ca="1">RANK(PlayerGameData[[#This Row],[ASTTieBreak]],PlayerGameData[ASTTieBreak],1)</f>
        <v>221</v>
      </c>
      <c r="AU476" s="8">
        <f ca="1">RANK(PlayerGameData[[#This Row],[STL]],PlayerGameData[STL],0)+PlayerGameData[[#This Row],[VisibleOrder]]</f>
        <v>143</v>
      </c>
      <c r="AV476" s="8">
        <f ca="1">IF(COUNTIF(PlayerGameData[STLOrder],PlayerGameData[[#This Row],[STLOrder]])&gt;1,PlayerGameData[[#This Row],[PointRank]]/100+PlayerGameData[[#This Row],[STLOrder]],PlayerGameData[[#This Row],[STLOrder]])</f>
        <v>145.16</v>
      </c>
      <c r="AW476" s="8">
        <f ca="1">RANK(PlayerGameData[[#This Row],[STLTieBreak]],PlayerGameData[STLTieBreak],1)</f>
        <v>217</v>
      </c>
      <c r="AX476" s="8">
        <f ca="1">RANK(PlayerGameData[[#This Row],[BLK]],PlayerGameData[BLK],0)+PlayerGameData[[#This Row],[VisibleOrder]]</f>
        <v>32</v>
      </c>
      <c r="AY476" s="8">
        <f ca="1">IF(COUNTIF(PlayerGameData[BLKOrder],PlayerGameData[[#This Row],[BLKOrder]])&gt;1,PlayerGameData[[#This Row],[PointRank]]/100+PlayerGameData[[#This Row],[BLKOrder]],PlayerGameData[[#This Row],[BLKOrder]])</f>
        <v>34.159999999999997</v>
      </c>
      <c r="AZ476" s="8">
        <f ca="1">RANK(PlayerGameData[[#This Row],[BLKTieBreak]],PlayerGameData[BLKTieBreak],1)</f>
        <v>216</v>
      </c>
      <c r="BA476" s="11">
        <f ca="1">IFERROR(IF(PlayerGameData[[#This Row],[FGA]]&gt;$AA$5,PlayerGameData[[#This Row],[FG%*]],PlayerGameData[[#This Row],[FG%*]]*-1),-2)</f>
        <v>-2</v>
      </c>
      <c r="BB476" s="8">
        <f ca="1">RANK(PlayerGameData[[#This Row],[EligFG]],PlayerGameData[EligFG],0)+PlayerGameData[[#This Row],[VisibleOrder]]</f>
        <v>215</v>
      </c>
      <c r="BC476" s="8">
        <f ca="1">IF(COUNTIF(PlayerGameData[EligFGOrder],PlayerGameData[[#This Row],[EligFGOrder]])&gt;1,PlayerGameData[[#This Row],[PointRank]]/100+PlayerGameData[[#This Row],[EligFGOrder]],PlayerGameData[[#This Row],[EligFGOrder]])</f>
        <v>217.16</v>
      </c>
      <c r="BD476" s="8">
        <f ca="1">RANK(PlayerGameData[[#This Row],[EligFGTieBreak]],PlayerGameData[EligFGTieBreak],1)</f>
        <v>216</v>
      </c>
      <c r="BE476" s="8" t="str">
        <f>Roster!$D$3</f>
        <v>East</v>
      </c>
      <c r="BF476" s="8" t="str">
        <f>Roster!$D$2</f>
        <v>Northeast</v>
      </c>
      <c r="BG476" s="8" t="str">
        <f>Roster!$D$4</f>
        <v>North</v>
      </c>
      <c r="BH476" s="197">
        <f ca="1">IFERROR(VLOOKUP(CONCATENATE(PlayerGameData[[#This Row],[Opponent]]," ",MONTH(PlayerGameData[[#This Row],[Date]]),"/",DAY(PlayerGameData[[#This Row],[Date]]),"/",YEAR(PlayerGameData[[#This Row],[Date]])),Table35[],2,FALSE),0)</f>
        <v>1</v>
      </c>
      <c r="BI476" s="197">
        <f ca="1">IF(PlayerGameData[[#This Row],[Visible]]=1,1,1000)</f>
        <v>1</v>
      </c>
      <c r="BJ476" s="197" t="e">
        <f ca="1">_xlfn.MAXIFS(TeamGameData[Win],TeamGameData[School, Opponent,Game'#],PlayerGameData[[#This Row],[School, Opponent,Game'#]])</f>
        <v>#NAME?</v>
      </c>
      <c r="BK476" s="197" t="e">
        <f ca="1">_xlfn.MAXIFS(TeamGameData[Loss],TeamGameData[School, Opponent,Game'#],PlayerGameData[[#This Row],[School, Opponent,Game'#]])</f>
        <v>#NAME?</v>
      </c>
    </row>
    <row r="477" spans="1:63" x14ac:dyDescent="0.25">
      <c r="A477" s="8" t="str">
        <f t="shared" ca="1" si="243"/>
        <v xml:space="preserve">, </v>
      </c>
      <c r="B477" s="8" t="str">
        <f>Roster!$B$1</f>
        <v>Upton</v>
      </c>
      <c r="C477" s="8" t="str">
        <f t="shared" ca="1" si="231"/>
        <v>Wright</v>
      </c>
      <c r="D477" s="10">
        <f t="shared" ca="1" si="232"/>
        <v>44975</v>
      </c>
      <c r="E477" s="8">
        <f t="shared" ca="1" si="233"/>
        <v>0</v>
      </c>
      <c r="F477" s="8">
        <f t="shared" ca="1" si="234"/>
        <v>0</v>
      </c>
      <c r="G477" s="8">
        <f t="shared" ca="1" si="235"/>
        <v>0</v>
      </c>
      <c r="H477" s="8">
        <f t="shared" ca="1" si="236"/>
        <v>0</v>
      </c>
      <c r="I477" s="8">
        <f t="shared" ca="1" si="237"/>
        <v>0</v>
      </c>
      <c r="J477" s="8">
        <f t="shared" ca="1" si="238"/>
        <v>0</v>
      </c>
      <c r="K477" s="8">
        <f t="shared" ca="1" si="239"/>
        <v>0</v>
      </c>
      <c r="L477" s="8">
        <f t="shared" ca="1" si="244"/>
        <v>0</v>
      </c>
      <c r="M477" s="8">
        <f t="shared" ca="1" si="245"/>
        <v>0</v>
      </c>
      <c r="N477" s="8">
        <f t="shared" ca="1" si="246"/>
        <v>0</v>
      </c>
      <c r="O477" s="8">
        <f t="shared" ca="1" si="247"/>
        <v>0</v>
      </c>
      <c r="P477" s="8">
        <f t="shared" ca="1" si="248"/>
        <v>0</v>
      </c>
      <c r="Q477" s="8">
        <f t="shared" ca="1" si="249"/>
        <v>0</v>
      </c>
      <c r="R477" s="8">
        <f t="shared" ca="1" si="250"/>
        <v>0</v>
      </c>
      <c r="S477" s="8">
        <f t="shared" ca="1" si="251"/>
        <v>0</v>
      </c>
      <c r="T477" s="8">
        <f t="shared" ca="1" si="252"/>
        <v>0</v>
      </c>
      <c r="U477" s="8">
        <f t="shared" ca="1" si="253"/>
        <v>0</v>
      </c>
      <c r="V477" s="8">
        <f t="shared" ca="1" si="254"/>
        <v>0</v>
      </c>
      <c r="W477" s="11" t="str">
        <f t="shared" ca="1" si="255"/>
        <v/>
      </c>
      <c r="X477" s="11" t="str">
        <f t="shared" ca="1" si="256"/>
        <v/>
      </c>
      <c r="Y477" s="11" t="str">
        <f t="shared" ca="1" si="257"/>
        <v/>
      </c>
      <c r="Z477" s="11" t="str">
        <f t="shared" ca="1" si="258"/>
        <v/>
      </c>
      <c r="AA477" s="11" t="str">
        <f t="shared" ca="1" si="259"/>
        <v/>
      </c>
      <c r="AB477" s="47">
        <f ca="1">PlayerGameData[[#This Row],[3FGA]]+PlayerGameData[[#This Row],[2FGA]]</f>
        <v>0</v>
      </c>
      <c r="AC477" s="47">
        <f ca="1">PlayerGameData[[#This Row],[OFF REB]]+PlayerGameData[[#This Row],[DEF REB]]</f>
        <v>0</v>
      </c>
      <c r="AD477" s="8">
        <f t="shared" si="240"/>
        <v>20</v>
      </c>
      <c r="AE477" s="8" t="str">
        <f t="shared" ca="1" si="241"/>
        <v>,  - Wright 2/18/2023</v>
      </c>
      <c r="AF477" s="8" t="str">
        <f t="shared" ca="1" si="260"/>
        <v/>
      </c>
      <c r="AG477" s="8" t="str">
        <f ca="1">IFERROR(IF(C477=0,"",IF(AND(VLOOKUP(PlayerGameData[[#This Row],[Opponent]],WYTeamInfo,2,FALSE)=Roster!$D$1,VLOOKUP(PlayerGameData[[#This Row],[Opponent]],WYTeamInfo,3,FALSE)=Roster!$D$2),"SR","")),"")</f>
        <v/>
      </c>
      <c r="AH477" s="8" t="str">
        <f>CONCATENATE(Roster!$D$1," ",Roster!$D$5)</f>
        <v>1A BB</v>
      </c>
      <c r="AI477" s="8" t="str">
        <f t="shared" ca="1" si="242"/>
        <v>Upton - Wright 2/18/2023</v>
      </c>
      <c r="AJ477" s="8">
        <f ca="1">IFERROR(VLOOKUP(PlayerGameData[[#This Row],[School, Opponent,Game'#]],Table3[],2,FALSE),0)</f>
        <v>1</v>
      </c>
      <c r="AK477" s="8">
        <f ca="1">IF(PlayerGameData[[#This Row],[Visible]]=1,1,1000)</f>
        <v>1</v>
      </c>
      <c r="AL477" s="8">
        <f ca="1">RANK(PlayerGameData[[#This Row],[TL PTS]],PlayerGameData[TL PTS],0)+PlayerGameData[[#This Row],[VisibleOrder]]</f>
        <v>185</v>
      </c>
      <c r="AM477" s="8">
        <f ca="1">IF(COUNTIF(PlayerGameData[PointOrder],PlayerGameData[[#This Row],[PointOrder]])&gt;1,RANK(PlayerGameData[[#This Row],[FGA]],PlayerGameData[FGA],0)/100,0)+PlayerGameData[[#This Row],[PointOrder]]</f>
        <v>187.14</v>
      </c>
      <c r="AN477" s="8">
        <f ca="1">RANK(PlayerGameData[[#This Row],[PointTieBreak]],PlayerGameData[PointTieBreak],1)</f>
        <v>216</v>
      </c>
      <c r="AO477" s="8">
        <f ca="1">RANK(PlayerGameData[[#This Row],[REB]],PlayerGameData[REB],0)+PlayerGameData[[#This Row],[VisibleOrder]]</f>
        <v>192</v>
      </c>
      <c r="AP477" s="8">
        <f ca="1">IF(COUNTIF(PlayerGameData[REBOrder],PlayerGameData[[#This Row],[REBOrder]])&gt;1,PlayerGameData[[#This Row],[PointRank]]/100+PlayerGameData[[#This Row],[REBOrder]],PlayerGameData[[#This Row],[REBOrder]])</f>
        <v>194.16</v>
      </c>
      <c r="AQ477" s="8">
        <f ca="1">RANK(PlayerGameData[[#This Row],[REBTieBreak]],PlayerGameData[REBTieBreak],1)</f>
        <v>224</v>
      </c>
      <c r="AR477" s="8">
        <f ca="1">RANK(PlayerGameData[[#This Row],[AST]],PlayerGameData[AST],0)+PlayerGameData[[#This Row],[VisibleOrder]]</f>
        <v>158</v>
      </c>
      <c r="AS477" s="8">
        <f ca="1">IF(COUNTIF(PlayerGameData[ASTOrder],PlayerGameData[[#This Row],[ASTOrder]])&gt;1,PlayerGameData[[#This Row],[PointRank]]/100+PlayerGameData[[#This Row],[ASTOrder]],PlayerGameData[[#This Row],[ASTOrder]])</f>
        <v>160.16</v>
      </c>
      <c r="AT477" s="8">
        <f ca="1">RANK(PlayerGameData[[#This Row],[ASTTieBreak]],PlayerGameData[ASTTieBreak],1)</f>
        <v>221</v>
      </c>
      <c r="AU477" s="8">
        <f ca="1">RANK(PlayerGameData[[#This Row],[STL]],PlayerGameData[STL],0)+PlayerGameData[[#This Row],[VisibleOrder]]</f>
        <v>143</v>
      </c>
      <c r="AV477" s="8">
        <f ca="1">IF(COUNTIF(PlayerGameData[STLOrder],PlayerGameData[[#This Row],[STLOrder]])&gt;1,PlayerGameData[[#This Row],[PointRank]]/100+PlayerGameData[[#This Row],[STLOrder]],PlayerGameData[[#This Row],[STLOrder]])</f>
        <v>145.16</v>
      </c>
      <c r="AW477" s="8">
        <f ca="1">RANK(PlayerGameData[[#This Row],[STLTieBreak]],PlayerGameData[STLTieBreak],1)</f>
        <v>217</v>
      </c>
      <c r="AX477" s="8">
        <f ca="1">RANK(PlayerGameData[[#This Row],[BLK]],PlayerGameData[BLK],0)+PlayerGameData[[#This Row],[VisibleOrder]]</f>
        <v>32</v>
      </c>
      <c r="AY477" s="8">
        <f ca="1">IF(COUNTIF(PlayerGameData[BLKOrder],PlayerGameData[[#This Row],[BLKOrder]])&gt;1,PlayerGameData[[#This Row],[PointRank]]/100+PlayerGameData[[#This Row],[BLKOrder]],PlayerGameData[[#This Row],[BLKOrder]])</f>
        <v>34.159999999999997</v>
      </c>
      <c r="AZ477" s="8">
        <f ca="1">RANK(PlayerGameData[[#This Row],[BLKTieBreak]],PlayerGameData[BLKTieBreak],1)</f>
        <v>216</v>
      </c>
      <c r="BA477" s="11">
        <f ca="1">IFERROR(IF(PlayerGameData[[#This Row],[FGA]]&gt;$AA$5,PlayerGameData[[#This Row],[FG%*]],PlayerGameData[[#This Row],[FG%*]]*-1),-2)</f>
        <v>-2</v>
      </c>
      <c r="BB477" s="8">
        <f ca="1">RANK(PlayerGameData[[#This Row],[EligFG]],PlayerGameData[EligFG],0)+PlayerGameData[[#This Row],[VisibleOrder]]</f>
        <v>215</v>
      </c>
      <c r="BC477" s="8">
        <f ca="1">IF(COUNTIF(PlayerGameData[EligFGOrder],PlayerGameData[[#This Row],[EligFGOrder]])&gt;1,PlayerGameData[[#This Row],[PointRank]]/100+PlayerGameData[[#This Row],[EligFGOrder]],PlayerGameData[[#This Row],[EligFGOrder]])</f>
        <v>217.16</v>
      </c>
      <c r="BD477" s="8">
        <f ca="1">RANK(PlayerGameData[[#This Row],[EligFGTieBreak]],PlayerGameData[EligFGTieBreak],1)</f>
        <v>216</v>
      </c>
      <c r="BE477" s="8" t="str">
        <f>Roster!$D$3</f>
        <v>East</v>
      </c>
      <c r="BF477" s="8" t="str">
        <f>Roster!$D$2</f>
        <v>Northeast</v>
      </c>
      <c r="BG477" s="8" t="str">
        <f>Roster!$D$4</f>
        <v>North</v>
      </c>
      <c r="BH477" s="197">
        <f ca="1">IFERROR(VLOOKUP(CONCATENATE(PlayerGameData[[#This Row],[Opponent]]," ",MONTH(PlayerGameData[[#This Row],[Date]]),"/",DAY(PlayerGameData[[#This Row],[Date]]),"/",YEAR(PlayerGameData[[#This Row],[Date]])),Table35[],2,FALSE),0)</f>
        <v>1</v>
      </c>
      <c r="BI477" s="197">
        <f ca="1">IF(PlayerGameData[[#This Row],[Visible]]=1,1,1000)</f>
        <v>1</v>
      </c>
      <c r="BJ477" s="197" t="e">
        <f ca="1">_xlfn.MAXIFS(TeamGameData[Win],TeamGameData[School, Opponent,Game'#],PlayerGameData[[#This Row],[School, Opponent,Game'#]])</f>
        <v>#NAME?</v>
      </c>
      <c r="BK477" s="197" t="e">
        <f ca="1">_xlfn.MAXIFS(TeamGameData[Loss],TeamGameData[School, Opponent,Game'#],PlayerGameData[[#This Row],[School, Opponent,Game'#]])</f>
        <v>#NAME?</v>
      </c>
    </row>
    <row r="478" spans="1:63" x14ac:dyDescent="0.25">
      <c r="A478" s="8" t="str">
        <f t="shared" ca="1" si="243"/>
        <v xml:space="preserve">, </v>
      </c>
      <c r="B478" s="8" t="str">
        <f>Roster!$B$1</f>
        <v>Upton</v>
      </c>
      <c r="C478" s="8" t="str">
        <f t="shared" ca="1" si="231"/>
        <v>Wright</v>
      </c>
      <c r="D478" s="10">
        <f t="shared" ca="1" si="232"/>
        <v>44975</v>
      </c>
      <c r="E478" s="8">
        <f t="shared" ca="1" si="233"/>
        <v>0</v>
      </c>
      <c r="F478" s="8">
        <f t="shared" ca="1" si="234"/>
        <v>0</v>
      </c>
      <c r="G478" s="8">
        <f t="shared" ca="1" si="235"/>
        <v>0</v>
      </c>
      <c r="H478" s="8">
        <f t="shared" ca="1" si="236"/>
        <v>0</v>
      </c>
      <c r="I478" s="8">
        <f t="shared" ca="1" si="237"/>
        <v>0</v>
      </c>
      <c r="J478" s="8">
        <f t="shared" ca="1" si="238"/>
        <v>0</v>
      </c>
      <c r="K478" s="8">
        <f t="shared" ca="1" si="239"/>
        <v>0</v>
      </c>
      <c r="L478" s="8">
        <f t="shared" ca="1" si="244"/>
        <v>0</v>
      </c>
      <c r="M478" s="8">
        <f t="shared" ca="1" si="245"/>
        <v>0</v>
      </c>
      <c r="N478" s="8">
        <f t="shared" ca="1" si="246"/>
        <v>0</v>
      </c>
      <c r="O478" s="8">
        <f t="shared" ca="1" si="247"/>
        <v>0</v>
      </c>
      <c r="P478" s="8">
        <f t="shared" ca="1" si="248"/>
        <v>0</v>
      </c>
      <c r="Q478" s="8">
        <f t="shared" ca="1" si="249"/>
        <v>0</v>
      </c>
      <c r="R478" s="8">
        <f t="shared" ca="1" si="250"/>
        <v>0</v>
      </c>
      <c r="S478" s="8">
        <f t="shared" ca="1" si="251"/>
        <v>0</v>
      </c>
      <c r="T478" s="8">
        <f t="shared" ca="1" si="252"/>
        <v>0</v>
      </c>
      <c r="U478" s="8">
        <f t="shared" ca="1" si="253"/>
        <v>0</v>
      </c>
      <c r="V478" s="8">
        <f t="shared" ca="1" si="254"/>
        <v>0</v>
      </c>
      <c r="W478" s="11" t="str">
        <f t="shared" ca="1" si="255"/>
        <v/>
      </c>
      <c r="X478" s="11" t="str">
        <f t="shared" ca="1" si="256"/>
        <v/>
      </c>
      <c r="Y478" s="11" t="str">
        <f t="shared" ca="1" si="257"/>
        <v/>
      </c>
      <c r="Z478" s="11" t="str">
        <f t="shared" ca="1" si="258"/>
        <v/>
      </c>
      <c r="AA478" s="11" t="str">
        <f t="shared" ca="1" si="259"/>
        <v/>
      </c>
      <c r="AB478" s="47">
        <f ca="1">PlayerGameData[[#This Row],[3FGA]]+PlayerGameData[[#This Row],[2FGA]]</f>
        <v>0</v>
      </c>
      <c r="AC478" s="47">
        <f ca="1">PlayerGameData[[#This Row],[OFF REB]]+PlayerGameData[[#This Row],[DEF REB]]</f>
        <v>0</v>
      </c>
      <c r="AD478" s="8">
        <f t="shared" si="240"/>
        <v>20</v>
      </c>
      <c r="AE478" s="8" t="str">
        <f t="shared" ca="1" si="241"/>
        <v>,  - Wright 2/18/2023</v>
      </c>
      <c r="AF478" s="8" t="str">
        <f t="shared" ca="1" si="260"/>
        <v/>
      </c>
      <c r="AG478" s="8" t="str">
        <f ca="1">IFERROR(IF(C478=0,"",IF(AND(VLOOKUP(PlayerGameData[[#This Row],[Opponent]],WYTeamInfo,2,FALSE)=Roster!$D$1,VLOOKUP(PlayerGameData[[#This Row],[Opponent]],WYTeamInfo,3,FALSE)=Roster!$D$2),"SR","")),"")</f>
        <v/>
      </c>
      <c r="AH478" s="8" t="str">
        <f>CONCATENATE(Roster!$D$1," ",Roster!$D$5)</f>
        <v>1A BB</v>
      </c>
      <c r="AI478" s="8" t="str">
        <f t="shared" ca="1" si="242"/>
        <v>Upton - Wright 2/18/2023</v>
      </c>
      <c r="AJ478" s="8">
        <f ca="1">IFERROR(VLOOKUP(PlayerGameData[[#This Row],[School, Opponent,Game'#]],Table3[],2,FALSE),0)</f>
        <v>1</v>
      </c>
      <c r="AK478" s="8">
        <f ca="1">IF(PlayerGameData[[#This Row],[Visible]]=1,1,1000)</f>
        <v>1</v>
      </c>
      <c r="AL478" s="8">
        <f ca="1">RANK(PlayerGameData[[#This Row],[TL PTS]],PlayerGameData[TL PTS],0)+PlayerGameData[[#This Row],[VisibleOrder]]</f>
        <v>185</v>
      </c>
      <c r="AM478" s="8">
        <f ca="1">IF(COUNTIF(PlayerGameData[PointOrder],PlayerGameData[[#This Row],[PointOrder]])&gt;1,RANK(PlayerGameData[[#This Row],[FGA]],PlayerGameData[FGA],0)/100,0)+PlayerGameData[[#This Row],[PointOrder]]</f>
        <v>187.14</v>
      </c>
      <c r="AN478" s="8">
        <f ca="1">RANK(PlayerGameData[[#This Row],[PointTieBreak]],PlayerGameData[PointTieBreak],1)</f>
        <v>216</v>
      </c>
      <c r="AO478" s="8">
        <f ca="1">RANK(PlayerGameData[[#This Row],[REB]],PlayerGameData[REB],0)+PlayerGameData[[#This Row],[VisibleOrder]]</f>
        <v>192</v>
      </c>
      <c r="AP478" s="8">
        <f ca="1">IF(COUNTIF(PlayerGameData[REBOrder],PlayerGameData[[#This Row],[REBOrder]])&gt;1,PlayerGameData[[#This Row],[PointRank]]/100+PlayerGameData[[#This Row],[REBOrder]],PlayerGameData[[#This Row],[REBOrder]])</f>
        <v>194.16</v>
      </c>
      <c r="AQ478" s="8">
        <f ca="1">RANK(PlayerGameData[[#This Row],[REBTieBreak]],PlayerGameData[REBTieBreak],1)</f>
        <v>224</v>
      </c>
      <c r="AR478" s="8">
        <f ca="1">RANK(PlayerGameData[[#This Row],[AST]],PlayerGameData[AST],0)+PlayerGameData[[#This Row],[VisibleOrder]]</f>
        <v>158</v>
      </c>
      <c r="AS478" s="8">
        <f ca="1">IF(COUNTIF(PlayerGameData[ASTOrder],PlayerGameData[[#This Row],[ASTOrder]])&gt;1,PlayerGameData[[#This Row],[PointRank]]/100+PlayerGameData[[#This Row],[ASTOrder]],PlayerGameData[[#This Row],[ASTOrder]])</f>
        <v>160.16</v>
      </c>
      <c r="AT478" s="8">
        <f ca="1">RANK(PlayerGameData[[#This Row],[ASTTieBreak]],PlayerGameData[ASTTieBreak],1)</f>
        <v>221</v>
      </c>
      <c r="AU478" s="8">
        <f ca="1">RANK(PlayerGameData[[#This Row],[STL]],PlayerGameData[STL],0)+PlayerGameData[[#This Row],[VisibleOrder]]</f>
        <v>143</v>
      </c>
      <c r="AV478" s="8">
        <f ca="1">IF(COUNTIF(PlayerGameData[STLOrder],PlayerGameData[[#This Row],[STLOrder]])&gt;1,PlayerGameData[[#This Row],[PointRank]]/100+PlayerGameData[[#This Row],[STLOrder]],PlayerGameData[[#This Row],[STLOrder]])</f>
        <v>145.16</v>
      </c>
      <c r="AW478" s="8">
        <f ca="1">RANK(PlayerGameData[[#This Row],[STLTieBreak]],PlayerGameData[STLTieBreak],1)</f>
        <v>217</v>
      </c>
      <c r="AX478" s="8">
        <f ca="1">RANK(PlayerGameData[[#This Row],[BLK]],PlayerGameData[BLK],0)+PlayerGameData[[#This Row],[VisibleOrder]]</f>
        <v>32</v>
      </c>
      <c r="AY478" s="8">
        <f ca="1">IF(COUNTIF(PlayerGameData[BLKOrder],PlayerGameData[[#This Row],[BLKOrder]])&gt;1,PlayerGameData[[#This Row],[PointRank]]/100+PlayerGameData[[#This Row],[BLKOrder]],PlayerGameData[[#This Row],[BLKOrder]])</f>
        <v>34.159999999999997</v>
      </c>
      <c r="AZ478" s="8">
        <f ca="1">RANK(PlayerGameData[[#This Row],[BLKTieBreak]],PlayerGameData[BLKTieBreak],1)</f>
        <v>216</v>
      </c>
      <c r="BA478" s="11">
        <f ca="1">IFERROR(IF(PlayerGameData[[#This Row],[FGA]]&gt;$AA$5,PlayerGameData[[#This Row],[FG%*]],PlayerGameData[[#This Row],[FG%*]]*-1),-2)</f>
        <v>-2</v>
      </c>
      <c r="BB478" s="8">
        <f ca="1">RANK(PlayerGameData[[#This Row],[EligFG]],PlayerGameData[EligFG],0)+PlayerGameData[[#This Row],[VisibleOrder]]</f>
        <v>215</v>
      </c>
      <c r="BC478" s="8">
        <f ca="1">IF(COUNTIF(PlayerGameData[EligFGOrder],PlayerGameData[[#This Row],[EligFGOrder]])&gt;1,PlayerGameData[[#This Row],[PointRank]]/100+PlayerGameData[[#This Row],[EligFGOrder]],PlayerGameData[[#This Row],[EligFGOrder]])</f>
        <v>217.16</v>
      </c>
      <c r="BD478" s="8">
        <f ca="1">RANK(PlayerGameData[[#This Row],[EligFGTieBreak]],PlayerGameData[EligFGTieBreak],1)</f>
        <v>216</v>
      </c>
      <c r="BE478" s="8" t="str">
        <f>Roster!$D$3</f>
        <v>East</v>
      </c>
      <c r="BF478" s="8" t="str">
        <f>Roster!$D$2</f>
        <v>Northeast</v>
      </c>
      <c r="BG478" s="8" t="str">
        <f>Roster!$D$4</f>
        <v>North</v>
      </c>
      <c r="BH478" s="197">
        <f ca="1">IFERROR(VLOOKUP(CONCATENATE(PlayerGameData[[#This Row],[Opponent]]," ",MONTH(PlayerGameData[[#This Row],[Date]]),"/",DAY(PlayerGameData[[#This Row],[Date]]),"/",YEAR(PlayerGameData[[#This Row],[Date]])),Table35[],2,FALSE),0)</f>
        <v>1</v>
      </c>
      <c r="BI478" s="197">
        <f ca="1">IF(PlayerGameData[[#This Row],[Visible]]=1,1,1000)</f>
        <v>1</v>
      </c>
      <c r="BJ478" s="197" t="e">
        <f ca="1">_xlfn.MAXIFS(TeamGameData[Win],TeamGameData[School, Opponent,Game'#],PlayerGameData[[#This Row],[School, Opponent,Game'#]])</f>
        <v>#NAME?</v>
      </c>
      <c r="BK478" s="197" t="e">
        <f ca="1">_xlfn.MAXIFS(TeamGameData[Loss],TeamGameData[School, Opponent,Game'#],PlayerGameData[[#This Row],[School, Opponent,Game'#]])</f>
        <v>#NAME?</v>
      </c>
    </row>
    <row r="479" spans="1:63" x14ac:dyDescent="0.25">
      <c r="A479" s="8" t="str">
        <f t="shared" ca="1" si="243"/>
        <v xml:space="preserve">, </v>
      </c>
      <c r="B479" s="8" t="str">
        <f>Roster!$B$1</f>
        <v>Upton</v>
      </c>
      <c r="C479" s="8" t="str">
        <f t="shared" ca="1" si="231"/>
        <v>Wright</v>
      </c>
      <c r="D479" s="10">
        <f t="shared" ca="1" si="232"/>
        <v>44975</v>
      </c>
      <c r="E479" s="8">
        <f t="shared" ca="1" si="233"/>
        <v>0</v>
      </c>
      <c r="F479" s="8">
        <f t="shared" ca="1" si="234"/>
        <v>0</v>
      </c>
      <c r="G479" s="8">
        <f t="shared" ca="1" si="235"/>
        <v>0</v>
      </c>
      <c r="H479" s="8">
        <f t="shared" ca="1" si="236"/>
        <v>0</v>
      </c>
      <c r="I479" s="8">
        <f t="shared" ca="1" si="237"/>
        <v>0</v>
      </c>
      <c r="J479" s="8">
        <f t="shared" ca="1" si="238"/>
        <v>0</v>
      </c>
      <c r="K479" s="8">
        <f t="shared" ca="1" si="239"/>
        <v>0</v>
      </c>
      <c r="L479" s="8">
        <f t="shared" ca="1" si="244"/>
        <v>0</v>
      </c>
      <c r="M479" s="8">
        <f t="shared" ca="1" si="245"/>
        <v>0</v>
      </c>
      <c r="N479" s="8">
        <f t="shared" ca="1" si="246"/>
        <v>0</v>
      </c>
      <c r="O479" s="8">
        <f t="shared" ca="1" si="247"/>
        <v>0</v>
      </c>
      <c r="P479" s="8">
        <f t="shared" ca="1" si="248"/>
        <v>0</v>
      </c>
      <c r="Q479" s="8">
        <f t="shared" ca="1" si="249"/>
        <v>0</v>
      </c>
      <c r="R479" s="8">
        <f t="shared" ca="1" si="250"/>
        <v>0</v>
      </c>
      <c r="S479" s="8">
        <f t="shared" ca="1" si="251"/>
        <v>0</v>
      </c>
      <c r="T479" s="8">
        <f t="shared" ca="1" si="252"/>
        <v>0</v>
      </c>
      <c r="U479" s="8">
        <f t="shared" ca="1" si="253"/>
        <v>0</v>
      </c>
      <c r="V479" s="8">
        <f t="shared" ca="1" si="254"/>
        <v>0</v>
      </c>
      <c r="W479" s="11" t="str">
        <f t="shared" ca="1" si="255"/>
        <v/>
      </c>
      <c r="X479" s="11" t="str">
        <f t="shared" ca="1" si="256"/>
        <v/>
      </c>
      <c r="Y479" s="11" t="str">
        <f t="shared" ca="1" si="257"/>
        <v/>
      </c>
      <c r="Z479" s="11" t="str">
        <f t="shared" ca="1" si="258"/>
        <v/>
      </c>
      <c r="AA479" s="11" t="str">
        <f t="shared" ca="1" si="259"/>
        <v/>
      </c>
      <c r="AB479" s="47">
        <f ca="1">PlayerGameData[[#This Row],[3FGA]]+PlayerGameData[[#This Row],[2FGA]]</f>
        <v>0</v>
      </c>
      <c r="AC479" s="47">
        <f ca="1">PlayerGameData[[#This Row],[OFF REB]]+PlayerGameData[[#This Row],[DEF REB]]</f>
        <v>0</v>
      </c>
      <c r="AD479" s="8">
        <f t="shared" si="240"/>
        <v>20</v>
      </c>
      <c r="AE479" s="8" t="str">
        <f t="shared" ca="1" si="241"/>
        <v>,  - Wright 2/18/2023</v>
      </c>
      <c r="AF479" s="8" t="str">
        <f t="shared" ca="1" si="260"/>
        <v/>
      </c>
      <c r="AG479" s="8" t="str">
        <f ca="1">IFERROR(IF(C479=0,"",IF(AND(VLOOKUP(PlayerGameData[[#This Row],[Opponent]],WYTeamInfo,2,FALSE)=Roster!$D$1,VLOOKUP(PlayerGameData[[#This Row],[Opponent]],WYTeamInfo,3,FALSE)=Roster!$D$2),"SR","")),"")</f>
        <v/>
      </c>
      <c r="AH479" s="8" t="str">
        <f>CONCATENATE(Roster!$D$1," ",Roster!$D$5)</f>
        <v>1A BB</v>
      </c>
      <c r="AI479" s="8" t="str">
        <f t="shared" ca="1" si="242"/>
        <v>Upton - Wright 2/18/2023</v>
      </c>
      <c r="AJ479" s="8">
        <f ca="1">IFERROR(VLOOKUP(PlayerGameData[[#This Row],[School, Opponent,Game'#]],Table3[],2,FALSE),0)</f>
        <v>1</v>
      </c>
      <c r="AK479" s="8">
        <f ca="1">IF(PlayerGameData[[#This Row],[Visible]]=1,1,1000)</f>
        <v>1</v>
      </c>
      <c r="AL479" s="8">
        <f ca="1">RANK(PlayerGameData[[#This Row],[TL PTS]],PlayerGameData[TL PTS],0)+PlayerGameData[[#This Row],[VisibleOrder]]</f>
        <v>185</v>
      </c>
      <c r="AM479" s="8">
        <f ca="1">IF(COUNTIF(PlayerGameData[PointOrder],PlayerGameData[[#This Row],[PointOrder]])&gt;1,RANK(PlayerGameData[[#This Row],[FGA]],PlayerGameData[FGA],0)/100,0)+PlayerGameData[[#This Row],[PointOrder]]</f>
        <v>187.14</v>
      </c>
      <c r="AN479" s="8">
        <f ca="1">RANK(PlayerGameData[[#This Row],[PointTieBreak]],PlayerGameData[PointTieBreak],1)</f>
        <v>216</v>
      </c>
      <c r="AO479" s="8">
        <f ca="1">RANK(PlayerGameData[[#This Row],[REB]],PlayerGameData[REB],0)+PlayerGameData[[#This Row],[VisibleOrder]]</f>
        <v>192</v>
      </c>
      <c r="AP479" s="8">
        <f ca="1">IF(COUNTIF(PlayerGameData[REBOrder],PlayerGameData[[#This Row],[REBOrder]])&gt;1,PlayerGameData[[#This Row],[PointRank]]/100+PlayerGameData[[#This Row],[REBOrder]],PlayerGameData[[#This Row],[REBOrder]])</f>
        <v>194.16</v>
      </c>
      <c r="AQ479" s="8">
        <f ca="1">RANK(PlayerGameData[[#This Row],[REBTieBreak]],PlayerGameData[REBTieBreak],1)</f>
        <v>224</v>
      </c>
      <c r="AR479" s="8">
        <f ca="1">RANK(PlayerGameData[[#This Row],[AST]],PlayerGameData[AST],0)+PlayerGameData[[#This Row],[VisibleOrder]]</f>
        <v>158</v>
      </c>
      <c r="AS479" s="8">
        <f ca="1">IF(COUNTIF(PlayerGameData[ASTOrder],PlayerGameData[[#This Row],[ASTOrder]])&gt;1,PlayerGameData[[#This Row],[PointRank]]/100+PlayerGameData[[#This Row],[ASTOrder]],PlayerGameData[[#This Row],[ASTOrder]])</f>
        <v>160.16</v>
      </c>
      <c r="AT479" s="8">
        <f ca="1">RANK(PlayerGameData[[#This Row],[ASTTieBreak]],PlayerGameData[ASTTieBreak],1)</f>
        <v>221</v>
      </c>
      <c r="AU479" s="8">
        <f ca="1">RANK(PlayerGameData[[#This Row],[STL]],PlayerGameData[STL],0)+PlayerGameData[[#This Row],[VisibleOrder]]</f>
        <v>143</v>
      </c>
      <c r="AV479" s="8">
        <f ca="1">IF(COUNTIF(PlayerGameData[STLOrder],PlayerGameData[[#This Row],[STLOrder]])&gt;1,PlayerGameData[[#This Row],[PointRank]]/100+PlayerGameData[[#This Row],[STLOrder]],PlayerGameData[[#This Row],[STLOrder]])</f>
        <v>145.16</v>
      </c>
      <c r="AW479" s="8">
        <f ca="1">RANK(PlayerGameData[[#This Row],[STLTieBreak]],PlayerGameData[STLTieBreak],1)</f>
        <v>217</v>
      </c>
      <c r="AX479" s="8">
        <f ca="1">RANK(PlayerGameData[[#This Row],[BLK]],PlayerGameData[BLK],0)+PlayerGameData[[#This Row],[VisibleOrder]]</f>
        <v>32</v>
      </c>
      <c r="AY479" s="8">
        <f ca="1">IF(COUNTIF(PlayerGameData[BLKOrder],PlayerGameData[[#This Row],[BLKOrder]])&gt;1,PlayerGameData[[#This Row],[PointRank]]/100+PlayerGameData[[#This Row],[BLKOrder]],PlayerGameData[[#This Row],[BLKOrder]])</f>
        <v>34.159999999999997</v>
      </c>
      <c r="AZ479" s="8">
        <f ca="1">RANK(PlayerGameData[[#This Row],[BLKTieBreak]],PlayerGameData[BLKTieBreak],1)</f>
        <v>216</v>
      </c>
      <c r="BA479" s="11">
        <f ca="1">IFERROR(IF(PlayerGameData[[#This Row],[FGA]]&gt;$AA$5,PlayerGameData[[#This Row],[FG%*]],PlayerGameData[[#This Row],[FG%*]]*-1),-2)</f>
        <v>-2</v>
      </c>
      <c r="BB479" s="8">
        <f ca="1">RANK(PlayerGameData[[#This Row],[EligFG]],PlayerGameData[EligFG],0)+PlayerGameData[[#This Row],[VisibleOrder]]</f>
        <v>215</v>
      </c>
      <c r="BC479" s="8">
        <f ca="1">IF(COUNTIF(PlayerGameData[EligFGOrder],PlayerGameData[[#This Row],[EligFGOrder]])&gt;1,PlayerGameData[[#This Row],[PointRank]]/100+PlayerGameData[[#This Row],[EligFGOrder]],PlayerGameData[[#This Row],[EligFGOrder]])</f>
        <v>217.16</v>
      </c>
      <c r="BD479" s="8">
        <f ca="1">RANK(PlayerGameData[[#This Row],[EligFGTieBreak]],PlayerGameData[EligFGTieBreak],1)</f>
        <v>216</v>
      </c>
      <c r="BE479" s="8" t="str">
        <f>Roster!$D$3</f>
        <v>East</v>
      </c>
      <c r="BF479" s="8" t="str">
        <f>Roster!$D$2</f>
        <v>Northeast</v>
      </c>
      <c r="BG479" s="8" t="str">
        <f>Roster!$D$4</f>
        <v>North</v>
      </c>
      <c r="BH479" s="197">
        <f ca="1">IFERROR(VLOOKUP(CONCATENATE(PlayerGameData[[#This Row],[Opponent]]," ",MONTH(PlayerGameData[[#This Row],[Date]]),"/",DAY(PlayerGameData[[#This Row],[Date]]),"/",YEAR(PlayerGameData[[#This Row],[Date]])),Table35[],2,FALSE),0)</f>
        <v>1</v>
      </c>
      <c r="BI479" s="197">
        <f ca="1">IF(PlayerGameData[[#This Row],[Visible]]=1,1,1000)</f>
        <v>1</v>
      </c>
      <c r="BJ479" s="197" t="e">
        <f ca="1">_xlfn.MAXIFS(TeamGameData[Win],TeamGameData[School, Opponent,Game'#],PlayerGameData[[#This Row],[School, Opponent,Game'#]])</f>
        <v>#NAME?</v>
      </c>
      <c r="BK479" s="197" t="e">
        <f ca="1">_xlfn.MAXIFS(TeamGameData[Loss],TeamGameData[School, Opponent,Game'#],PlayerGameData[[#This Row],[School, Opponent,Game'#]])</f>
        <v>#NAME?</v>
      </c>
    </row>
    <row r="480" spans="1:63" x14ac:dyDescent="0.25">
      <c r="A480" s="8" t="str">
        <f t="shared" ca="1" si="243"/>
        <v xml:space="preserve">, </v>
      </c>
      <c r="B480" s="8" t="str">
        <f>Roster!$B$1</f>
        <v>Upton</v>
      </c>
      <c r="C480" s="8" t="str">
        <f t="shared" ca="1" si="231"/>
        <v>Wright</v>
      </c>
      <c r="D480" s="10">
        <f t="shared" ca="1" si="232"/>
        <v>44975</v>
      </c>
      <c r="E480" s="8">
        <f t="shared" ca="1" si="233"/>
        <v>0</v>
      </c>
      <c r="F480" s="8">
        <f t="shared" ca="1" si="234"/>
        <v>0</v>
      </c>
      <c r="G480" s="8">
        <f t="shared" ca="1" si="235"/>
        <v>0</v>
      </c>
      <c r="H480" s="8">
        <f t="shared" ca="1" si="236"/>
        <v>0</v>
      </c>
      <c r="I480" s="8">
        <f t="shared" ca="1" si="237"/>
        <v>0</v>
      </c>
      <c r="J480" s="8">
        <f t="shared" ca="1" si="238"/>
        <v>0</v>
      </c>
      <c r="K480" s="8">
        <f t="shared" ca="1" si="239"/>
        <v>0</v>
      </c>
      <c r="L480" s="8">
        <f t="shared" ca="1" si="244"/>
        <v>0</v>
      </c>
      <c r="M480" s="8">
        <f t="shared" ca="1" si="245"/>
        <v>0</v>
      </c>
      <c r="N480" s="8">
        <f t="shared" ca="1" si="246"/>
        <v>0</v>
      </c>
      <c r="O480" s="8">
        <f t="shared" ca="1" si="247"/>
        <v>0</v>
      </c>
      <c r="P480" s="8">
        <f t="shared" ca="1" si="248"/>
        <v>0</v>
      </c>
      <c r="Q480" s="8">
        <f t="shared" ca="1" si="249"/>
        <v>0</v>
      </c>
      <c r="R480" s="8">
        <f t="shared" ca="1" si="250"/>
        <v>0</v>
      </c>
      <c r="S480" s="8">
        <f t="shared" ca="1" si="251"/>
        <v>0</v>
      </c>
      <c r="T480" s="8">
        <f t="shared" ca="1" si="252"/>
        <v>0</v>
      </c>
      <c r="U480" s="8">
        <f t="shared" ca="1" si="253"/>
        <v>0</v>
      </c>
      <c r="V480" s="8">
        <f t="shared" ca="1" si="254"/>
        <v>0</v>
      </c>
      <c r="W480" s="11" t="str">
        <f t="shared" ca="1" si="255"/>
        <v/>
      </c>
      <c r="X480" s="11" t="str">
        <f t="shared" ca="1" si="256"/>
        <v/>
      </c>
      <c r="Y480" s="11" t="str">
        <f t="shared" ca="1" si="257"/>
        <v/>
      </c>
      <c r="Z480" s="11" t="str">
        <f t="shared" ca="1" si="258"/>
        <v/>
      </c>
      <c r="AA480" s="11" t="str">
        <f t="shared" ca="1" si="259"/>
        <v/>
      </c>
      <c r="AB480" s="47">
        <f ca="1">PlayerGameData[[#This Row],[3FGA]]+PlayerGameData[[#This Row],[2FGA]]</f>
        <v>0</v>
      </c>
      <c r="AC480" s="47">
        <f ca="1">PlayerGameData[[#This Row],[OFF REB]]+PlayerGameData[[#This Row],[DEF REB]]</f>
        <v>0</v>
      </c>
      <c r="AD480" s="8">
        <f t="shared" si="240"/>
        <v>20</v>
      </c>
      <c r="AE480" s="8" t="str">
        <f t="shared" ca="1" si="241"/>
        <v>,  - Wright 2/18/2023</v>
      </c>
      <c r="AF480" s="8" t="str">
        <f t="shared" ca="1" si="260"/>
        <v/>
      </c>
      <c r="AG480" s="8" t="str">
        <f ca="1">IFERROR(IF(C480=0,"",IF(AND(VLOOKUP(PlayerGameData[[#This Row],[Opponent]],WYTeamInfo,2,FALSE)=Roster!$D$1,VLOOKUP(PlayerGameData[[#This Row],[Opponent]],WYTeamInfo,3,FALSE)=Roster!$D$2),"SR","")),"")</f>
        <v/>
      </c>
      <c r="AH480" s="8" t="str">
        <f>CONCATENATE(Roster!$D$1," ",Roster!$D$5)</f>
        <v>1A BB</v>
      </c>
      <c r="AI480" s="8" t="str">
        <f t="shared" ca="1" si="242"/>
        <v>Upton - Wright 2/18/2023</v>
      </c>
      <c r="AJ480" s="8">
        <f ca="1">IFERROR(VLOOKUP(PlayerGameData[[#This Row],[School, Opponent,Game'#]],Table3[],2,FALSE),0)</f>
        <v>1</v>
      </c>
      <c r="AK480" s="8">
        <f ca="1">IF(PlayerGameData[[#This Row],[Visible]]=1,1,1000)</f>
        <v>1</v>
      </c>
      <c r="AL480" s="8">
        <f ca="1">RANK(PlayerGameData[[#This Row],[TL PTS]],PlayerGameData[TL PTS],0)+PlayerGameData[[#This Row],[VisibleOrder]]</f>
        <v>185</v>
      </c>
      <c r="AM480" s="8">
        <f ca="1">IF(COUNTIF(PlayerGameData[PointOrder],PlayerGameData[[#This Row],[PointOrder]])&gt;1,RANK(PlayerGameData[[#This Row],[FGA]],PlayerGameData[FGA],0)/100,0)+PlayerGameData[[#This Row],[PointOrder]]</f>
        <v>187.14</v>
      </c>
      <c r="AN480" s="8">
        <f ca="1">RANK(PlayerGameData[[#This Row],[PointTieBreak]],PlayerGameData[PointTieBreak],1)</f>
        <v>216</v>
      </c>
      <c r="AO480" s="8">
        <f ca="1">RANK(PlayerGameData[[#This Row],[REB]],PlayerGameData[REB],0)+PlayerGameData[[#This Row],[VisibleOrder]]</f>
        <v>192</v>
      </c>
      <c r="AP480" s="8">
        <f ca="1">IF(COUNTIF(PlayerGameData[REBOrder],PlayerGameData[[#This Row],[REBOrder]])&gt;1,PlayerGameData[[#This Row],[PointRank]]/100+PlayerGameData[[#This Row],[REBOrder]],PlayerGameData[[#This Row],[REBOrder]])</f>
        <v>194.16</v>
      </c>
      <c r="AQ480" s="8">
        <f ca="1">RANK(PlayerGameData[[#This Row],[REBTieBreak]],PlayerGameData[REBTieBreak],1)</f>
        <v>224</v>
      </c>
      <c r="AR480" s="8">
        <f ca="1">RANK(PlayerGameData[[#This Row],[AST]],PlayerGameData[AST],0)+PlayerGameData[[#This Row],[VisibleOrder]]</f>
        <v>158</v>
      </c>
      <c r="AS480" s="8">
        <f ca="1">IF(COUNTIF(PlayerGameData[ASTOrder],PlayerGameData[[#This Row],[ASTOrder]])&gt;1,PlayerGameData[[#This Row],[PointRank]]/100+PlayerGameData[[#This Row],[ASTOrder]],PlayerGameData[[#This Row],[ASTOrder]])</f>
        <v>160.16</v>
      </c>
      <c r="AT480" s="8">
        <f ca="1">RANK(PlayerGameData[[#This Row],[ASTTieBreak]],PlayerGameData[ASTTieBreak],1)</f>
        <v>221</v>
      </c>
      <c r="AU480" s="8">
        <f ca="1">RANK(PlayerGameData[[#This Row],[STL]],PlayerGameData[STL],0)+PlayerGameData[[#This Row],[VisibleOrder]]</f>
        <v>143</v>
      </c>
      <c r="AV480" s="8">
        <f ca="1">IF(COUNTIF(PlayerGameData[STLOrder],PlayerGameData[[#This Row],[STLOrder]])&gt;1,PlayerGameData[[#This Row],[PointRank]]/100+PlayerGameData[[#This Row],[STLOrder]],PlayerGameData[[#This Row],[STLOrder]])</f>
        <v>145.16</v>
      </c>
      <c r="AW480" s="8">
        <f ca="1">RANK(PlayerGameData[[#This Row],[STLTieBreak]],PlayerGameData[STLTieBreak],1)</f>
        <v>217</v>
      </c>
      <c r="AX480" s="8">
        <f ca="1">RANK(PlayerGameData[[#This Row],[BLK]],PlayerGameData[BLK],0)+PlayerGameData[[#This Row],[VisibleOrder]]</f>
        <v>32</v>
      </c>
      <c r="AY480" s="8">
        <f ca="1">IF(COUNTIF(PlayerGameData[BLKOrder],PlayerGameData[[#This Row],[BLKOrder]])&gt;1,PlayerGameData[[#This Row],[PointRank]]/100+PlayerGameData[[#This Row],[BLKOrder]],PlayerGameData[[#This Row],[BLKOrder]])</f>
        <v>34.159999999999997</v>
      </c>
      <c r="AZ480" s="8">
        <f ca="1">RANK(PlayerGameData[[#This Row],[BLKTieBreak]],PlayerGameData[BLKTieBreak],1)</f>
        <v>216</v>
      </c>
      <c r="BA480" s="11">
        <f ca="1">IFERROR(IF(PlayerGameData[[#This Row],[FGA]]&gt;$AA$5,PlayerGameData[[#This Row],[FG%*]],PlayerGameData[[#This Row],[FG%*]]*-1),-2)</f>
        <v>-2</v>
      </c>
      <c r="BB480" s="8">
        <f ca="1">RANK(PlayerGameData[[#This Row],[EligFG]],PlayerGameData[EligFG],0)+PlayerGameData[[#This Row],[VisibleOrder]]</f>
        <v>215</v>
      </c>
      <c r="BC480" s="8">
        <f ca="1">IF(COUNTIF(PlayerGameData[EligFGOrder],PlayerGameData[[#This Row],[EligFGOrder]])&gt;1,PlayerGameData[[#This Row],[PointRank]]/100+PlayerGameData[[#This Row],[EligFGOrder]],PlayerGameData[[#This Row],[EligFGOrder]])</f>
        <v>217.16</v>
      </c>
      <c r="BD480" s="8">
        <f ca="1">RANK(PlayerGameData[[#This Row],[EligFGTieBreak]],PlayerGameData[EligFGTieBreak],1)</f>
        <v>216</v>
      </c>
      <c r="BE480" s="8" t="str">
        <f>Roster!$D$3</f>
        <v>East</v>
      </c>
      <c r="BF480" s="8" t="str">
        <f>Roster!$D$2</f>
        <v>Northeast</v>
      </c>
      <c r="BG480" s="8" t="str">
        <f>Roster!$D$4</f>
        <v>North</v>
      </c>
      <c r="BH480" s="197">
        <f ca="1">IFERROR(VLOOKUP(CONCATENATE(PlayerGameData[[#This Row],[Opponent]]," ",MONTH(PlayerGameData[[#This Row],[Date]]),"/",DAY(PlayerGameData[[#This Row],[Date]]),"/",YEAR(PlayerGameData[[#This Row],[Date]])),Table35[],2,FALSE),0)</f>
        <v>1</v>
      </c>
      <c r="BI480" s="197">
        <f ca="1">IF(PlayerGameData[[#This Row],[Visible]]=1,1,1000)</f>
        <v>1</v>
      </c>
      <c r="BJ480" s="197" t="e">
        <f ca="1">_xlfn.MAXIFS(TeamGameData[Win],TeamGameData[School, Opponent,Game'#],PlayerGameData[[#This Row],[School, Opponent,Game'#]])</f>
        <v>#NAME?</v>
      </c>
      <c r="BK480" s="197" t="e">
        <f ca="1">_xlfn.MAXIFS(TeamGameData[Loss],TeamGameData[School, Opponent,Game'#],PlayerGameData[[#This Row],[School, Opponent,Game'#]])</f>
        <v>#NAME?</v>
      </c>
    </row>
    <row r="481" spans="1:63" x14ac:dyDescent="0.25">
      <c r="A481" s="8" t="str">
        <f t="shared" ca="1" si="243"/>
        <v xml:space="preserve">, </v>
      </c>
      <c r="B481" s="8" t="str">
        <f>Roster!$B$1</f>
        <v>Upton</v>
      </c>
      <c r="C481" s="8" t="str">
        <f t="shared" ca="1" si="231"/>
        <v>Wright</v>
      </c>
      <c r="D481" s="10">
        <f t="shared" ca="1" si="232"/>
        <v>44975</v>
      </c>
      <c r="E481" s="8">
        <f t="shared" ca="1" si="233"/>
        <v>0</v>
      </c>
      <c r="F481" s="8">
        <f t="shared" ca="1" si="234"/>
        <v>0</v>
      </c>
      <c r="G481" s="8">
        <f t="shared" ca="1" si="235"/>
        <v>0</v>
      </c>
      <c r="H481" s="8">
        <f t="shared" ca="1" si="236"/>
        <v>0</v>
      </c>
      <c r="I481" s="8">
        <f t="shared" ca="1" si="237"/>
        <v>0</v>
      </c>
      <c r="J481" s="8">
        <f t="shared" ca="1" si="238"/>
        <v>0</v>
      </c>
      <c r="K481" s="8">
        <f t="shared" ca="1" si="239"/>
        <v>0</v>
      </c>
      <c r="L481" s="8">
        <f t="shared" ca="1" si="244"/>
        <v>0</v>
      </c>
      <c r="M481" s="8">
        <f t="shared" ca="1" si="245"/>
        <v>0</v>
      </c>
      <c r="N481" s="8">
        <f t="shared" ca="1" si="246"/>
        <v>0</v>
      </c>
      <c r="O481" s="8">
        <f t="shared" ca="1" si="247"/>
        <v>0</v>
      </c>
      <c r="P481" s="8">
        <f t="shared" ca="1" si="248"/>
        <v>0</v>
      </c>
      <c r="Q481" s="8">
        <f t="shared" ca="1" si="249"/>
        <v>0</v>
      </c>
      <c r="R481" s="8">
        <f t="shared" ca="1" si="250"/>
        <v>0</v>
      </c>
      <c r="S481" s="8">
        <f t="shared" ca="1" si="251"/>
        <v>0</v>
      </c>
      <c r="T481" s="8">
        <f t="shared" ca="1" si="252"/>
        <v>0</v>
      </c>
      <c r="U481" s="8">
        <f t="shared" ca="1" si="253"/>
        <v>0</v>
      </c>
      <c r="V481" s="8">
        <f t="shared" ca="1" si="254"/>
        <v>0</v>
      </c>
      <c r="W481" s="11" t="str">
        <f t="shared" ca="1" si="255"/>
        <v/>
      </c>
      <c r="X481" s="11" t="str">
        <f t="shared" ca="1" si="256"/>
        <v/>
      </c>
      <c r="Y481" s="11" t="str">
        <f t="shared" ca="1" si="257"/>
        <v/>
      </c>
      <c r="Z481" s="11" t="str">
        <f t="shared" ca="1" si="258"/>
        <v/>
      </c>
      <c r="AA481" s="11" t="str">
        <f t="shared" ca="1" si="259"/>
        <v/>
      </c>
      <c r="AB481" s="47">
        <f ca="1">PlayerGameData[[#This Row],[3FGA]]+PlayerGameData[[#This Row],[2FGA]]</f>
        <v>0</v>
      </c>
      <c r="AC481" s="47">
        <f ca="1">PlayerGameData[[#This Row],[OFF REB]]+PlayerGameData[[#This Row],[DEF REB]]</f>
        <v>0</v>
      </c>
      <c r="AD481" s="8">
        <f t="shared" si="240"/>
        <v>20</v>
      </c>
      <c r="AE481" s="8" t="str">
        <f t="shared" ca="1" si="241"/>
        <v>,  - Wright 2/18/2023</v>
      </c>
      <c r="AF481" s="8" t="str">
        <f t="shared" ca="1" si="260"/>
        <v/>
      </c>
      <c r="AG481" s="8" t="str">
        <f ca="1">IFERROR(IF(C481=0,"",IF(AND(VLOOKUP(PlayerGameData[[#This Row],[Opponent]],WYTeamInfo,2,FALSE)=Roster!$D$1,VLOOKUP(PlayerGameData[[#This Row],[Opponent]],WYTeamInfo,3,FALSE)=Roster!$D$2),"SR","")),"")</f>
        <v/>
      </c>
      <c r="AH481" s="8" t="str">
        <f>CONCATENATE(Roster!$D$1," ",Roster!$D$5)</f>
        <v>1A BB</v>
      </c>
      <c r="AI481" s="8" t="str">
        <f t="shared" ca="1" si="242"/>
        <v>Upton - Wright 2/18/2023</v>
      </c>
      <c r="AJ481" s="8">
        <f ca="1">IFERROR(VLOOKUP(PlayerGameData[[#This Row],[School, Opponent,Game'#]],Table3[],2,FALSE),0)</f>
        <v>1</v>
      </c>
      <c r="AK481" s="8">
        <f ca="1">IF(PlayerGameData[[#This Row],[Visible]]=1,1,1000)</f>
        <v>1</v>
      </c>
      <c r="AL481" s="8">
        <f ca="1">RANK(PlayerGameData[[#This Row],[TL PTS]],PlayerGameData[TL PTS],0)+PlayerGameData[[#This Row],[VisibleOrder]]</f>
        <v>185</v>
      </c>
      <c r="AM481" s="8">
        <f ca="1">IF(COUNTIF(PlayerGameData[PointOrder],PlayerGameData[[#This Row],[PointOrder]])&gt;1,RANK(PlayerGameData[[#This Row],[FGA]],PlayerGameData[FGA],0)/100,0)+PlayerGameData[[#This Row],[PointOrder]]</f>
        <v>187.14</v>
      </c>
      <c r="AN481" s="8">
        <f ca="1">RANK(PlayerGameData[[#This Row],[PointTieBreak]],PlayerGameData[PointTieBreak],1)</f>
        <v>216</v>
      </c>
      <c r="AO481" s="8">
        <f ca="1">RANK(PlayerGameData[[#This Row],[REB]],PlayerGameData[REB],0)+PlayerGameData[[#This Row],[VisibleOrder]]</f>
        <v>192</v>
      </c>
      <c r="AP481" s="8">
        <f ca="1">IF(COUNTIF(PlayerGameData[REBOrder],PlayerGameData[[#This Row],[REBOrder]])&gt;1,PlayerGameData[[#This Row],[PointRank]]/100+PlayerGameData[[#This Row],[REBOrder]],PlayerGameData[[#This Row],[REBOrder]])</f>
        <v>194.16</v>
      </c>
      <c r="AQ481" s="8">
        <f ca="1">RANK(PlayerGameData[[#This Row],[REBTieBreak]],PlayerGameData[REBTieBreak],1)</f>
        <v>224</v>
      </c>
      <c r="AR481" s="8">
        <f ca="1">RANK(PlayerGameData[[#This Row],[AST]],PlayerGameData[AST],0)+PlayerGameData[[#This Row],[VisibleOrder]]</f>
        <v>158</v>
      </c>
      <c r="AS481" s="8">
        <f ca="1">IF(COUNTIF(PlayerGameData[ASTOrder],PlayerGameData[[#This Row],[ASTOrder]])&gt;1,PlayerGameData[[#This Row],[PointRank]]/100+PlayerGameData[[#This Row],[ASTOrder]],PlayerGameData[[#This Row],[ASTOrder]])</f>
        <v>160.16</v>
      </c>
      <c r="AT481" s="8">
        <f ca="1">RANK(PlayerGameData[[#This Row],[ASTTieBreak]],PlayerGameData[ASTTieBreak],1)</f>
        <v>221</v>
      </c>
      <c r="AU481" s="8">
        <f ca="1">RANK(PlayerGameData[[#This Row],[STL]],PlayerGameData[STL],0)+PlayerGameData[[#This Row],[VisibleOrder]]</f>
        <v>143</v>
      </c>
      <c r="AV481" s="8">
        <f ca="1">IF(COUNTIF(PlayerGameData[STLOrder],PlayerGameData[[#This Row],[STLOrder]])&gt;1,PlayerGameData[[#This Row],[PointRank]]/100+PlayerGameData[[#This Row],[STLOrder]],PlayerGameData[[#This Row],[STLOrder]])</f>
        <v>145.16</v>
      </c>
      <c r="AW481" s="8">
        <f ca="1">RANK(PlayerGameData[[#This Row],[STLTieBreak]],PlayerGameData[STLTieBreak],1)</f>
        <v>217</v>
      </c>
      <c r="AX481" s="8">
        <f ca="1">RANK(PlayerGameData[[#This Row],[BLK]],PlayerGameData[BLK],0)+PlayerGameData[[#This Row],[VisibleOrder]]</f>
        <v>32</v>
      </c>
      <c r="AY481" s="8">
        <f ca="1">IF(COUNTIF(PlayerGameData[BLKOrder],PlayerGameData[[#This Row],[BLKOrder]])&gt;1,PlayerGameData[[#This Row],[PointRank]]/100+PlayerGameData[[#This Row],[BLKOrder]],PlayerGameData[[#This Row],[BLKOrder]])</f>
        <v>34.159999999999997</v>
      </c>
      <c r="AZ481" s="8">
        <f ca="1">RANK(PlayerGameData[[#This Row],[BLKTieBreak]],PlayerGameData[BLKTieBreak],1)</f>
        <v>216</v>
      </c>
      <c r="BA481" s="11">
        <f ca="1">IFERROR(IF(PlayerGameData[[#This Row],[FGA]]&gt;$AA$5,PlayerGameData[[#This Row],[FG%*]],PlayerGameData[[#This Row],[FG%*]]*-1),-2)</f>
        <v>-2</v>
      </c>
      <c r="BB481" s="8">
        <f ca="1">RANK(PlayerGameData[[#This Row],[EligFG]],PlayerGameData[EligFG],0)+PlayerGameData[[#This Row],[VisibleOrder]]</f>
        <v>215</v>
      </c>
      <c r="BC481" s="8">
        <f ca="1">IF(COUNTIF(PlayerGameData[EligFGOrder],PlayerGameData[[#This Row],[EligFGOrder]])&gt;1,PlayerGameData[[#This Row],[PointRank]]/100+PlayerGameData[[#This Row],[EligFGOrder]],PlayerGameData[[#This Row],[EligFGOrder]])</f>
        <v>217.16</v>
      </c>
      <c r="BD481" s="8">
        <f ca="1">RANK(PlayerGameData[[#This Row],[EligFGTieBreak]],PlayerGameData[EligFGTieBreak],1)</f>
        <v>216</v>
      </c>
      <c r="BE481" s="8" t="str">
        <f>Roster!$D$3</f>
        <v>East</v>
      </c>
      <c r="BF481" s="8" t="str">
        <f>Roster!$D$2</f>
        <v>Northeast</v>
      </c>
      <c r="BG481" s="8" t="str">
        <f>Roster!$D$4</f>
        <v>North</v>
      </c>
      <c r="BH481" s="197">
        <f ca="1">IFERROR(VLOOKUP(CONCATENATE(PlayerGameData[[#This Row],[Opponent]]," ",MONTH(PlayerGameData[[#This Row],[Date]]),"/",DAY(PlayerGameData[[#This Row],[Date]]),"/",YEAR(PlayerGameData[[#This Row],[Date]])),Table35[],2,FALSE),0)</f>
        <v>1</v>
      </c>
      <c r="BI481" s="197">
        <f ca="1">IF(PlayerGameData[[#This Row],[Visible]]=1,1,1000)</f>
        <v>1</v>
      </c>
      <c r="BJ481" s="197" t="e">
        <f ca="1">_xlfn.MAXIFS(TeamGameData[Win],TeamGameData[School, Opponent,Game'#],PlayerGameData[[#This Row],[School, Opponent,Game'#]])</f>
        <v>#NAME?</v>
      </c>
      <c r="BK481" s="197" t="e">
        <f ca="1">_xlfn.MAXIFS(TeamGameData[Loss],TeamGameData[School, Opponent,Game'#],PlayerGameData[[#This Row],[School, Opponent,Game'#]])</f>
        <v>#NAME?</v>
      </c>
    </row>
    <row r="482" spans="1:63" x14ac:dyDescent="0.25">
      <c r="A482" s="8" t="str">
        <f t="shared" ca="1" si="243"/>
        <v xml:space="preserve">, </v>
      </c>
      <c r="B482" s="8" t="str">
        <f>Roster!$B$1</f>
        <v>Upton</v>
      </c>
      <c r="C482" s="8" t="str">
        <f t="shared" ca="1" si="231"/>
        <v>Wright</v>
      </c>
      <c r="D482" s="10">
        <f t="shared" ca="1" si="232"/>
        <v>44975</v>
      </c>
      <c r="E482" s="8">
        <f t="shared" ca="1" si="233"/>
        <v>0</v>
      </c>
      <c r="F482" s="8">
        <f t="shared" ca="1" si="234"/>
        <v>0</v>
      </c>
      <c r="G482" s="8">
        <f t="shared" ca="1" si="235"/>
        <v>0</v>
      </c>
      <c r="H482" s="8">
        <f t="shared" ca="1" si="236"/>
        <v>0</v>
      </c>
      <c r="I482" s="8">
        <f t="shared" ca="1" si="237"/>
        <v>0</v>
      </c>
      <c r="J482" s="8">
        <f t="shared" ca="1" si="238"/>
        <v>0</v>
      </c>
      <c r="K482" s="8">
        <f t="shared" ca="1" si="239"/>
        <v>0</v>
      </c>
      <c r="L482" s="8">
        <f t="shared" ca="1" si="244"/>
        <v>0</v>
      </c>
      <c r="M482" s="8">
        <f t="shared" ca="1" si="245"/>
        <v>0</v>
      </c>
      <c r="N482" s="8">
        <f t="shared" ca="1" si="246"/>
        <v>0</v>
      </c>
      <c r="O482" s="8">
        <f t="shared" ca="1" si="247"/>
        <v>0</v>
      </c>
      <c r="P482" s="8">
        <f t="shared" ca="1" si="248"/>
        <v>0</v>
      </c>
      <c r="Q482" s="8">
        <f t="shared" ca="1" si="249"/>
        <v>0</v>
      </c>
      <c r="R482" s="8">
        <f t="shared" ca="1" si="250"/>
        <v>0</v>
      </c>
      <c r="S482" s="8">
        <f t="shared" ca="1" si="251"/>
        <v>0</v>
      </c>
      <c r="T482" s="8">
        <f t="shared" ca="1" si="252"/>
        <v>0</v>
      </c>
      <c r="U482" s="8">
        <f t="shared" ca="1" si="253"/>
        <v>0</v>
      </c>
      <c r="V482" s="8">
        <f t="shared" ca="1" si="254"/>
        <v>0</v>
      </c>
      <c r="W482" s="11" t="str">
        <f t="shared" ca="1" si="255"/>
        <v/>
      </c>
      <c r="X482" s="11" t="str">
        <f t="shared" ca="1" si="256"/>
        <v/>
      </c>
      <c r="Y482" s="11" t="str">
        <f t="shared" ca="1" si="257"/>
        <v/>
      </c>
      <c r="Z482" s="11" t="str">
        <f t="shared" ca="1" si="258"/>
        <v/>
      </c>
      <c r="AA482" s="11" t="str">
        <f t="shared" ca="1" si="259"/>
        <v/>
      </c>
      <c r="AB482" s="47">
        <f ca="1">PlayerGameData[[#This Row],[3FGA]]+PlayerGameData[[#This Row],[2FGA]]</f>
        <v>0</v>
      </c>
      <c r="AC482" s="47">
        <f ca="1">PlayerGameData[[#This Row],[OFF REB]]+PlayerGameData[[#This Row],[DEF REB]]</f>
        <v>0</v>
      </c>
      <c r="AD482" s="8">
        <f t="shared" si="240"/>
        <v>20</v>
      </c>
      <c r="AE482" s="8" t="str">
        <f t="shared" ca="1" si="241"/>
        <v>,  - Wright 2/18/2023</v>
      </c>
      <c r="AF482" s="8" t="str">
        <f t="shared" ca="1" si="260"/>
        <v/>
      </c>
      <c r="AG482" s="8" t="str">
        <f ca="1">IFERROR(IF(C482=0,"",IF(AND(VLOOKUP(PlayerGameData[[#This Row],[Opponent]],WYTeamInfo,2,FALSE)=Roster!$D$1,VLOOKUP(PlayerGameData[[#This Row],[Opponent]],WYTeamInfo,3,FALSE)=Roster!$D$2),"SR","")),"")</f>
        <v/>
      </c>
      <c r="AH482" s="8" t="str">
        <f>CONCATENATE(Roster!$D$1," ",Roster!$D$5)</f>
        <v>1A BB</v>
      </c>
      <c r="AI482" s="8" t="str">
        <f t="shared" ca="1" si="242"/>
        <v>Upton - Wright 2/18/2023</v>
      </c>
      <c r="AJ482" s="8">
        <f ca="1">IFERROR(VLOOKUP(PlayerGameData[[#This Row],[School, Opponent,Game'#]],Table3[],2,FALSE),0)</f>
        <v>1</v>
      </c>
      <c r="AK482" s="8">
        <f ca="1">IF(PlayerGameData[[#This Row],[Visible]]=1,1,1000)</f>
        <v>1</v>
      </c>
      <c r="AL482" s="8">
        <f ca="1">RANK(PlayerGameData[[#This Row],[TL PTS]],PlayerGameData[TL PTS],0)+PlayerGameData[[#This Row],[VisibleOrder]]</f>
        <v>185</v>
      </c>
      <c r="AM482" s="8">
        <f ca="1">IF(COUNTIF(PlayerGameData[PointOrder],PlayerGameData[[#This Row],[PointOrder]])&gt;1,RANK(PlayerGameData[[#This Row],[FGA]],PlayerGameData[FGA],0)/100,0)+PlayerGameData[[#This Row],[PointOrder]]</f>
        <v>187.14</v>
      </c>
      <c r="AN482" s="8">
        <f ca="1">RANK(PlayerGameData[[#This Row],[PointTieBreak]],PlayerGameData[PointTieBreak],1)</f>
        <v>216</v>
      </c>
      <c r="AO482" s="8">
        <f ca="1">RANK(PlayerGameData[[#This Row],[REB]],PlayerGameData[REB],0)+PlayerGameData[[#This Row],[VisibleOrder]]</f>
        <v>192</v>
      </c>
      <c r="AP482" s="8">
        <f ca="1">IF(COUNTIF(PlayerGameData[REBOrder],PlayerGameData[[#This Row],[REBOrder]])&gt;1,PlayerGameData[[#This Row],[PointRank]]/100+PlayerGameData[[#This Row],[REBOrder]],PlayerGameData[[#This Row],[REBOrder]])</f>
        <v>194.16</v>
      </c>
      <c r="AQ482" s="8">
        <f ca="1">RANK(PlayerGameData[[#This Row],[REBTieBreak]],PlayerGameData[REBTieBreak],1)</f>
        <v>224</v>
      </c>
      <c r="AR482" s="8">
        <f ca="1">RANK(PlayerGameData[[#This Row],[AST]],PlayerGameData[AST],0)+PlayerGameData[[#This Row],[VisibleOrder]]</f>
        <v>158</v>
      </c>
      <c r="AS482" s="8">
        <f ca="1">IF(COUNTIF(PlayerGameData[ASTOrder],PlayerGameData[[#This Row],[ASTOrder]])&gt;1,PlayerGameData[[#This Row],[PointRank]]/100+PlayerGameData[[#This Row],[ASTOrder]],PlayerGameData[[#This Row],[ASTOrder]])</f>
        <v>160.16</v>
      </c>
      <c r="AT482" s="8">
        <f ca="1">RANK(PlayerGameData[[#This Row],[ASTTieBreak]],PlayerGameData[ASTTieBreak],1)</f>
        <v>221</v>
      </c>
      <c r="AU482" s="8">
        <f ca="1">RANK(PlayerGameData[[#This Row],[STL]],PlayerGameData[STL],0)+PlayerGameData[[#This Row],[VisibleOrder]]</f>
        <v>143</v>
      </c>
      <c r="AV482" s="8">
        <f ca="1">IF(COUNTIF(PlayerGameData[STLOrder],PlayerGameData[[#This Row],[STLOrder]])&gt;1,PlayerGameData[[#This Row],[PointRank]]/100+PlayerGameData[[#This Row],[STLOrder]],PlayerGameData[[#This Row],[STLOrder]])</f>
        <v>145.16</v>
      </c>
      <c r="AW482" s="8">
        <f ca="1">RANK(PlayerGameData[[#This Row],[STLTieBreak]],PlayerGameData[STLTieBreak],1)</f>
        <v>217</v>
      </c>
      <c r="AX482" s="8">
        <f ca="1">RANK(PlayerGameData[[#This Row],[BLK]],PlayerGameData[BLK],0)+PlayerGameData[[#This Row],[VisibleOrder]]</f>
        <v>32</v>
      </c>
      <c r="AY482" s="8">
        <f ca="1">IF(COUNTIF(PlayerGameData[BLKOrder],PlayerGameData[[#This Row],[BLKOrder]])&gt;1,PlayerGameData[[#This Row],[PointRank]]/100+PlayerGameData[[#This Row],[BLKOrder]],PlayerGameData[[#This Row],[BLKOrder]])</f>
        <v>34.159999999999997</v>
      </c>
      <c r="AZ482" s="8">
        <f ca="1">RANK(PlayerGameData[[#This Row],[BLKTieBreak]],PlayerGameData[BLKTieBreak],1)</f>
        <v>216</v>
      </c>
      <c r="BA482" s="11">
        <f ca="1">IFERROR(IF(PlayerGameData[[#This Row],[FGA]]&gt;$AA$5,PlayerGameData[[#This Row],[FG%*]],PlayerGameData[[#This Row],[FG%*]]*-1),-2)</f>
        <v>-2</v>
      </c>
      <c r="BB482" s="8">
        <f ca="1">RANK(PlayerGameData[[#This Row],[EligFG]],PlayerGameData[EligFG],0)+PlayerGameData[[#This Row],[VisibleOrder]]</f>
        <v>215</v>
      </c>
      <c r="BC482" s="8">
        <f ca="1">IF(COUNTIF(PlayerGameData[EligFGOrder],PlayerGameData[[#This Row],[EligFGOrder]])&gt;1,PlayerGameData[[#This Row],[PointRank]]/100+PlayerGameData[[#This Row],[EligFGOrder]],PlayerGameData[[#This Row],[EligFGOrder]])</f>
        <v>217.16</v>
      </c>
      <c r="BD482" s="8">
        <f ca="1">RANK(PlayerGameData[[#This Row],[EligFGTieBreak]],PlayerGameData[EligFGTieBreak],1)</f>
        <v>216</v>
      </c>
      <c r="BE482" s="8" t="str">
        <f>Roster!$D$3</f>
        <v>East</v>
      </c>
      <c r="BF482" s="8" t="str">
        <f>Roster!$D$2</f>
        <v>Northeast</v>
      </c>
      <c r="BG482" s="8" t="str">
        <f>Roster!$D$4</f>
        <v>North</v>
      </c>
      <c r="BH482" s="197">
        <f ca="1">IFERROR(VLOOKUP(CONCATENATE(PlayerGameData[[#This Row],[Opponent]]," ",MONTH(PlayerGameData[[#This Row],[Date]]),"/",DAY(PlayerGameData[[#This Row],[Date]]),"/",YEAR(PlayerGameData[[#This Row],[Date]])),Table35[],2,FALSE),0)</f>
        <v>1</v>
      </c>
      <c r="BI482" s="197">
        <f ca="1">IF(PlayerGameData[[#This Row],[Visible]]=1,1,1000)</f>
        <v>1</v>
      </c>
      <c r="BJ482" s="197" t="e">
        <f ca="1">_xlfn.MAXIFS(TeamGameData[Win],TeamGameData[School, Opponent,Game'#],PlayerGameData[[#This Row],[School, Opponent,Game'#]])</f>
        <v>#NAME?</v>
      </c>
      <c r="BK482" s="197" t="e">
        <f ca="1">_xlfn.MAXIFS(TeamGameData[Loss],TeamGameData[School, Opponent,Game'#],PlayerGameData[[#This Row],[School, Opponent,Game'#]])</f>
        <v>#NAME?</v>
      </c>
    </row>
    <row r="483" spans="1:63" x14ac:dyDescent="0.25">
      <c r="A483" s="8" t="str">
        <f t="shared" ca="1" si="243"/>
        <v xml:space="preserve">, </v>
      </c>
      <c r="B483" s="8" t="str">
        <f>Roster!$B$1</f>
        <v>Upton</v>
      </c>
      <c r="C483" s="8" t="str">
        <f t="shared" ca="1" si="231"/>
        <v>Wright</v>
      </c>
      <c r="D483" s="10">
        <f t="shared" ca="1" si="232"/>
        <v>44975</v>
      </c>
      <c r="E483" s="8">
        <f t="shared" ca="1" si="233"/>
        <v>0</v>
      </c>
      <c r="F483" s="8">
        <f t="shared" ca="1" si="234"/>
        <v>0</v>
      </c>
      <c r="G483" s="8">
        <f t="shared" ca="1" si="235"/>
        <v>0</v>
      </c>
      <c r="H483" s="8">
        <f t="shared" ca="1" si="236"/>
        <v>0</v>
      </c>
      <c r="I483" s="8">
        <f t="shared" ca="1" si="237"/>
        <v>0</v>
      </c>
      <c r="J483" s="8">
        <f t="shared" ca="1" si="238"/>
        <v>0</v>
      </c>
      <c r="K483" s="8">
        <f t="shared" ca="1" si="239"/>
        <v>0</v>
      </c>
      <c r="L483" s="8">
        <f t="shared" ca="1" si="244"/>
        <v>0</v>
      </c>
      <c r="M483" s="8">
        <f t="shared" ca="1" si="245"/>
        <v>0</v>
      </c>
      <c r="N483" s="8">
        <f t="shared" ca="1" si="246"/>
        <v>0</v>
      </c>
      <c r="O483" s="8">
        <f t="shared" ca="1" si="247"/>
        <v>0</v>
      </c>
      <c r="P483" s="8">
        <f t="shared" ca="1" si="248"/>
        <v>0</v>
      </c>
      <c r="Q483" s="8">
        <f t="shared" ca="1" si="249"/>
        <v>0</v>
      </c>
      <c r="R483" s="8">
        <f t="shared" ca="1" si="250"/>
        <v>0</v>
      </c>
      <c r="S483" s="8">
        <f t="shared" ca="1" si="251"/>
        <v>0</v>
      </c>
      <c r="T483" s="8">
        <f t="shared" ca="1" si="252"/>
        <v>0</v>
      </c>
      <c r="U483" s="8">
        <f t="shared" ca="1" si="253"/>
        <v>0</v>
      </c>
      <c r="V483" s="8">
        <f t="shared" ca="1" si="254"/>
        <v>0</v>
      </c>
      <c r="W483" s="11" t="str">
        <f t="shared" ca="1" si="255"/>
        <v/>
      </c>
      <c r="X483" s="11" t="str">
        <f t="shared" ca="1" si="256"/>
        <v/>
      </c>
      <c r="Y483" s="11" t="str">
        <f t="shared" ca="1" si="257"/>
        <v/>
      </c>
      <c r="Z483" s="11" t="str">
        <f t="shared" ca="1" si="258"/>
        <v/>
      </c>
      <c r="AA483" s="11" t="str">
        <f t="shared" ca="1" si="259"/>
        <v/>
      </c>
      <c r="AB483" s="47">
        <f ca="1">PlayerGameData[[#This Row],[3FGA]]+PlayerGameData[[#This Row],[2FGA]]</f>
        <v>0</v>
      </c>
      <c r="AC483" s="47">
        <f ca="1">PlayerGameData[[#This Row],[OFF REB]]+PlayerGameData[[#This Row],[DEF REB]]</f>
        <v>0</v>
      </c>
      <c r="AD483" s="8">
        <f t="shared" si="240"/>
        <v>20</v>
      </c>
      <c r="AE483" s="8" t="str">
        <f t="shared" ca="1" si="241"/>
        <v>,  - Wright 2/18/2023</v>
      </c>
      <c r="AF483" s="8" t="str">
        <f t="shared" ca="1" si="260"/>
        <v/>
      </c>
      <c r="AG483" s="8" t="str">
        <f ca="1">IFERROR(IF(C483=0,"",IF(AND(VLOOKUP(PlayerGameData[[#This Row],[Opponent]],WYTeamInfo,2,FALSE)=Roster!$D$1,VLOOKUP(PlayerGameData[[#This Row],[Opponent]],WYTeamInfo,3,FALSE)=Roster!$D$2),"SR","")),"")</f>
        <v/>
      </c>
      <c r="AH483" s="8" t="str">
        <f>CONCATENATE(Roster!$D$1," ",Roster!$D$5)</f>
        <v>1A BB</v>
      </c>
      <c r="AI483" s="8" t="str">
        <f t="shared" ca="1" si="242"/>
        <v>Upton - Wright 2/18/2023</v>
      </c>
      <c r="AJ483" s="8">
        <f ca="1">IFERROR(VLOOKUP(PlayerGameData[[#This Row],[School, Opponent,Game'#]],Table3[],2,FALSE),0)</f>
        <v>1</v>
      </c>
      <c r="AK483" s="8">
        <f ca="1">IF(PlayerGameData[[#This Row],[Visible]]=1,1,1000)</f>
        <v>1</v>
      </c>
      <c r="AL483" s="8">
        <f ca="1">RANK(PlayerGameData[[#This Row],[TL PTS]],PlayerGameData[TL PTS],0)+PlayerGameData[[#This Row],[VisibleOrder]]</f>
        <v>185</v>
      </c>
      <c r="AM483" s="8">
        <f ca="1">IF(COUNTIF(PlayerGameData[PointOrder],PlayerGameData[[#This Row],[PointOrder]])&gt;1,RANK(PlayerGameData[[#This Row],[FGA]],PlayerGameData[FGA],0)/100,0)+PlayerGameData[[#This Row],[PointOrder]]</f>
        <v>187.14</v>
      </c>
      <c r="AN483" s="8">
        <f ca="1">RANK(PlayerGameData[[#This Row],[PointTieBreak]],PlayerGameData[PointTieBreak],1)</f>
        <v>216</v>
      </c>
      <c r="AO483" s="8">
        <f ca="1">RANK(PlayerGameData[[#This Row],[REB]],PlayerGameData[REB],0)+PlayerGameData[[#This Row],[VisibleOrder]]</f>
        <v>192</v>
      </c>
      <c r="AP483" s="8">
        <f ca="1">IF(COUNTIF(PlayerGameData[REBOrder],PlayerGameData[[#This Row],[REBOrder]])&gt;1,PlayerGameData[[#This Row],[PointRank]]/100+PlayerGameData[[#This Row],[REBOrder]],PlayerGameData[[#This Row],[REBOrder]])</f>
        <v>194.16</v>
      </c>
      <c r="AQ483" s="8">
        <f ca="1">RANK(PlayerGameData[[#This Row],[REBTieBreak]],PlayerGameData[REBTieBreak],1)</f>
        <v>224</v>
      </c>
      <c r="AR483" s="8">
        <f ca="1">RANK(PlayerGameData[[#This Row],[AST]],PlayerGameData[AST],0)+PlayerGameData[[#This Row],[VisibleOrder]]</f>
        <v>158</v>
      </c>
      <c r="AS483" s="8">
        <f ca="1">IF(COUNTIF(PlayerGameData[ASTOrder],PlayerGameData[[#This Row],[ASTOrder]])&gt;1,PlayerGameData[[#This Row],[PointRank]]/100+PlayerGameData[[#This Row],[ASTOrder]],PlayerGameData[[#This Row],[ASTOrder]])</f>
        <v>160.16</v>
      </c>
      <c r="AT483" s="8">
        <f ca="1">RANK(PlayerGameData[[#This Row],[ASTTieBreak]],PlayerGameData[ASTTieBreak],1)</f>
        <v>221</v>
      </c>
      <c r="AU483" s="8">
        <f ca="1">RANK(PlayerGameData[[#This Row],[STL]],PlayerGameData[STL],0)+PlayerGameData[[#This Row],[VisibleOrder]]</f>
        <v>143</v>
      </c>
      <c r="AV483" s="8">
        <f ca="1">IF(COUNTIF(PlayerGameData[STLOrder],PlayerGameData[[#This Row],[STLOrder]])&gt;1,PlayerGameData[[#This Row],[PointRank]]/100+PlayerGameData[[#This Row],[STLOrder]],PlayerGameData[[#This Row],[STLOrder]])</f>
        <v>145.16</v>
      </c>
      <c r="AW483" s="8">
        <f ca="1">RANK(PlayerGameData[[#This Row],[STLTieBreak]],PlayerGameData[STLTieBreak],1)</f>
        <v>217</v>
      </c>
      <c r="AX483" s="8">
        <f ca="1">RANK(PlayerGameData[[#This Row],[BLK]],PlayerGameData[BLK],0)+PlayerGameData[[#This Row],[VisibleOrder]]</f>
        <v>32</v>
      </c>
      <c r="AY483" s="8">
        <f ca="1">IF(COUNTIF(PlayerGameData[BLKOrder],PlayerGameData[[#This Row],[BLKOrder]])&gt;1,PlayerGameData[[#This Row],[PointRank]]/100+PlayerGameData[[#This Row],[BLKOrder]],PlayerGameData[[#This Row],[BLKOrder]])</f>
        <v>34.159999999999997</v>
      </c>
      <c r="AZ483" s="8">
        <f ca="1">RANK(PlayerGameData[[#This Row],[BLKTieBreak]],PlayerGameData[BLKTieBreak],1)</f>
        <v>216</v>
      </c>
      <c r="BA483" s="11">
        <f ca="1">IFERROR(IF(PlayerGameData[[#This Row],[FGA]]&gt;$AA$5,PlayerGameData[[#This Row],[FG%*]],PlayerGameData[[#This Row],[FG%*]]*-1),-2)</f>
        <v>-2</v>
      </c>
      <c r="BB483" s="8">
        <f ca="1">RANK(PlayerGameData[[#This Row],[EligFG]],PlayerGameData[EligFG],0)+PlayerGameData[[#This Row],[VisibleOrder]]</f>
        <v>215</v>
      </c>
      <c r="BC483" s="8">
        <f ca="1">IF(COUNTIF(PlayerGameData[EligFGOrder],PlayerGameData[[#This Row],[EligFGOrder]])&gt;1,PlayerGameData[[#This Row],[PointRank]]/100+PlayerGameData[[#This Row],[EligFGOrder]],PlayerGameData[[#This Row],[EligFGOrder]])</f>
        <v>217.16</v>
      </c>
      <c r="BD483" s="8">
        <f ca="1">RANK(PlayerGameData[[#This Row],[EligFGTieBreak]],PlayerGameData[EligFGTieBreak],1)</f>
        <v>216</v>
      </c>
      <c r="BE483" s="8" t="str">
        <f>Roster!$D$3</f>
        <v>East</v>
      </c>
      <c r="BF483" s="8" t="str">
        <f>Roster!$D$2</f>
        <v>Northeast</v>
      </c>
      <c r="BG483" s="8" t="str">
        <f>Roster!$D$4</f>
        <v>North</v>
      </c>
      <c r="BH483" s="197">
        <f ca="1">IFERROR(VLOOKUP(CONCATENATE(PlayerGameData[[#This Row],[Opponent]]," ",MONTH(PlayerGameData[[#This Row],[Date]]),"/",DAY(PlayerGameData[[#This Row],[Date]]),"/",YEAR(PlayerGameData[[#This Row],[Date]])),Table35[],2,FALSE),0)</f>
        <v>1</v>
      </c>
      <c r="BI483" s="197">
        <f ca="1">IF(PlayerGameData[[#This Row],[Visible]]=1,1,1000)</f>
        <v>1</v>
      </c>
      <c r="BJ483" s="197" t="e">
        <f ca="1">_xlfn.MAXIFS(TeamGameData[Win],TeamGameData[School, Opponent,Game'#],PlayerGameData[[#This Row],[School, Opponent,Game'#]])</f>
        <v>#NAME?</v>
      </c>
      <c r="BK483" s="197" t="e">
        <f ca="1">_xlfn.MAXIFS(TeamGameData[Loss],TeamGameData[School, Opponent,Game'#],PlayerGameData[[#This Row],[School, Opponent,Game'#]])</f>
        <v>#NAME?</v>
      </c>
    </row>
    <row r="484" spans="1:63" x14ac:dyDescent="0.25">
      <c r="A484" s="8" t="str">
        <f t="shared" ca="1" si="243"/>
        <v xml:space="preserve">, </v>
      </c>
      <c r="B484" s="8" t="str">
        <f>Roster!$B$1</f>
        <v>Upton</v>
      </c>
      <c r="C484" s="8" t="str">
        <f t="shared" ca="1" si="231"/>
        <v>Wright</v>
      </c>
      <c r="D484" s="10">
        <f t="shared" ca="1" si="232"/>
        <v>44975</v>
      </c>
      <c r="E484" s="8">
        <f t="shared" ca="1" si="233"/>
        <v>0</v>
      </c>
      <c r="F484" s="8">
        <f t="shared" ca="1" si="234"/>
        <v>0</v>
      </c>
      <c r="G484" s="8">
        <f t="shared" ca="1" si="235"/>
        <v>0</v>
      </c>
      <c r="H484" s="8">
        <f t="shared" ca="1" si="236"/>
        <v>0</v>
      </c>
      <c r="I484" s="8">
        <f t="shared" ca="1" si="237"/>
        <v>0</v>
      </c>
      <c r="J484" s="8">
        <f t="shared" ca="1" si="238"/>
        <v>0</v>
      </c>
      <c r="K484" s="8">
        <f t="shared" ca="1" si="239"/>
        <v>0</v>
      </c>
      <c r="L484" s="8">
        <f t="shared" ca="1" si="244"/>
        <v>0</v>
      </c>
      <c r="M484" s="8">
        <f t="shared" ca="1" si="245"/>
        <v>0</v>
      </c>
      <c r="N484" s="8">
        <f t="shared" ca="1" si="246"/>
        <v>0</v>
      </c>
      <c r="O484" s="8">
        <f t="shared" ca="1" si="247"/>
        <v>0</v>
      </c>
      <c r="P484" s="8">
        <f t="shared" ca="1" si="248"/>
        <v>0</v>
      </c>
      <c r="Q484" s="8">
        <f t="shared" ca="1" si="249"/>
        <v>0</v>
      </c>
      <c r="R484" s="8">
        <f t="shared" ca="1" si="250"/>
        <v>0</v>
      </c>
      <c r="S484" s="8">
        <f t="shared" ca="1" si="251"/>
        <v>0</v>
      </c>
      <c r="T484" s="8">
        <f t="shared" ca="1" si="252"/>
        <v>0</v>
      </c>
      <c r="U484" s="8">
        <f t="shared" ca="1" si="253"/>
        <v>0</v>
      </c>
      <c r="V484" s="8">
        <f t="shared" ca="1" si="254"/>
        <v>0</v>
      </c>
      <c r="W484" s="11" t="str">
        <f t="shared" ca="1" si="255"/>
        <v/>
      </c>
      <c r="X484" s="11" t="str">
        <f t="shared" ca="1" si="256"/>
        <v/>
      </c>
      <c r="Y484" s="11" t="str">
        <f t="shared" ca="1" si="257"/>
        <v/>
      </c>
      <c r="Z484" s="11" t="str">
        <f t="shared" ca="1" si="258"/>
        <v/>
      </c>
      <c r="AA484" s="11" t="str">
        <f t="shared" ca="1" si="259"/>
        <v/>
      </c>
      <c r="AB484" s="47">
        <f ca="1">PlayerGameData[[#This Row],[3FGA]]+PlayerGameData[[#This Row],[2FGA]]</f>
        <v>0</v>
      </c>
      <c r="AC484" s="47">
        <f ca="1">PlayerGameData[[#This Row],[OFF REB]]+PlayerGameData[[#This Row],[DEF REB]]</f>
        <v>0</v>
      </c>
      <c r="AD484" s="8">
        <f t="shared" si="240"/>
        <v>20</v>
      </c>
      <c r="AE484" s="8" t="str">
        <f t="shared" ca="1" si="241"/>
        <v>,  - Wright 2/18/2023</v>
      </c>
      <c r="AF484" s="8" t="str">
        <f t="shared" ca="1" si="260"/>
        <v/>
      </c>
      <c r="AG484" s="8" t="str">
        <f ca="1">IFERROR(IF(C484=0,"",IF(AND(VLOOKUP(PlayerGameData[[#This Row],[Opponent]],WYTeamInfo,2,FALSE)=Roster!$D$1,VLOOKUP(PlayerGameData[[#This Row],[Opponent]],WYTeamInfo,3,FALSE)=Roster!$D$2),"SR","")),"")</f>
        <v/>
      </c>
      <c r="AH484" s="8" t="str">
        <f>CONCATENATE(Roster!$D$1," ",Roster!$D$5)</f>
        <v>1A BB</v>
      </c>
      <c r="AI484" s="8" t="str">
        <f t="shared" ca="1" si="242"/>
        <v>Upton - Wright 2/18/2023</v>
      </c>
      <c r="AJ484" s="8">
        <f ca="1">IFERROR(VLOOKUP(PlayerGameData[[#This Row],[School, Opponent,Game'#]],Table3[],2,FALSE),0)</f>
        <v>1</v>
      </c>
      <c r="AK484" s="8">
        <f ca="1">IF(PlayerGameData[[#This Row],[Visible]]=1,1,1000)</f>
        <v>1</v>
      </c>
      <c r="AL484" s="8">
        <f ca="1">RANK(PlayerGameData[[#This Row],[TL PTS]],PlayerGameData[TL PTS],0)+PlayerGameData[[#This Row],[VisibleOrder]]</f>
        <v>185</v>
      </c>
      <c r="AM484" s="8">
        <f ca="1">IF(COUNTIF(PlayerGameData[PointOrder],PlayerGameData[[#This Row],[PointOrder]])&gt;1,RANK(PlayerGameData[[#This Row],[FGA]],PlayerGameData[FGA],0)/100,0)+PlayerGameData[[#This Row],[PointOrder]]</f>
        <v>187.14</v>
      </c>
      <c r="AN484" s="8">
        <f ca="1">RANK(PlayerGameData[[#This Row],[PointTieBreak]],PlayerGameData[PointTieBreak],1)</f>
        <v>216</v>
      </c>
      <c r="AO484" s="8">
        <f ca="1">RANK(PlayerGameData[[#This Row],[REB]],PlayerGameData[REB],0)+PlayerGameData[[#This Row],[VisibleOrder]]</f>
        <v>192</v>
      </c>
      <c r="AP484" s="8">
        <f ca="1">IF(COUNTIF(PlayerGameData[REBOrder],PlayerGameData[[#This Row],[REBOrder]])&gt;1,PlayerGameData[[#This Row],[PointRank]]/100+PlayerGameData[[#This Row],[REBOrder]],PlayerGameData[[#This Row],[REBOrder]])</f>
        <v>194.16</v>
      </c>
      <c r="AQ484" s="8">
        <f ca="1">RANK(PlayerGameData[[#This Row],[REBTieBreak]],PlayerGameData[REBTieBreak],1)</f>
        <v>224</v>
      </c>
      <c r="AR484" s="8">
        <f ca="1">RANK(PlayerGameData[[#This Row],[AST]],PlayerGameData[AST],0)+PlayerGameData[[#This Row],[VisibleOrder]]</f>
        <v>158</v>
      </c>
      <c r="AS484" s="8">
        <f ca="1">IF(COUNTIF(PlayerGameData[ASTOrder],PlayerGameData[[#This Row],[ASTOrder]])&gt;1,PlayerGameData[[#This Row],[PointRank]]/100+PlayerGameData[[#This Row],[ASTOrder]],PlayerGameData[[#This Row],[ASTOrder]])</f>
        <v>160.16</v>
      </c>
      <c r="AT484" s="8">
        <f ca="1">RANK(PlayerGameData[[#This Row],[ASTTieBreak]],PlayerGameData[ASTTieBreak],1)</f>
        <v>221</v>
      </c>
      <c r="AU484" s="8">
        <f ca="1">RANK(PlayerGameData[[#This Row],[STL]],PlayerGameData[STL],0)+PlayerGameData[[#This Row],[VisibleOrder]]</f>
        <v>143</v>
      </c>
      <c r="AV484" s="8">
        <f ca="1">IF(COUNTIF(PlayerGameData[STLOrder],PlayerGameData[[#This Row],[STLOrder]])&gt;1,PlayerGameData[[#This Row],[PointRank]]/100+PlayerGameData[[#This Row],[STLOrder]],PlayerGameData[[#This Row],[STLOrder]])</f>
        <v>145.16</v>
      </c>
      <c r="AW484" s="8">
        <f ca="1">RANK(PlayerGameData[[#This Row],[STLTieBreak]],PlayerGameData[STLTieBreak],1)</f>
        <v>217</v>
      </c>
      <c r="AX484" s="8">
        <f ca="1">RANK(PlayerGameData[[#This Row],[BLK]],PlayerGameData[BLK],0)+PlayerGameData[[#This Row],[VisibleOrder]]</f>
        <v>32</v>
      </c>
      <c r="AY484" s="8">
        <f ca="1">IF(COUNTIF(PlayerGameData[BLKOrder],PlayerGameData[[#This Row],[BLKOrder]])&gt;1,PlayerGameData[[#This Row],[PointRank]]/100+PlayerGameData[[#This Row],[BLKOrder]],PlayerGameData[[#This Row],[BLKOrder]])</f>
        <v>34.159999999999997</v>
      </c>
      <c r="AZ484" s="8">
        <f ca="1">RANK(PlayerGameData[[#This Row],[BLKTieBreak]],PlayerGameData[BLKTieBreak],1)</f>
        <v>216</v>
      </c>
      <c r="BA484" s="11">
        <f ca="1">IFERROR(IF(PlayerGameData[[#This Row],[FGA]]&gt;$AA$5,PlayerGameData[[#This Row],[FG%*]],PlayerGameData[[#This Row],[FG%*]]*-1),-2)</f>
        <v>-2</v>
      </c>
      <c r="BB484" s="8">
        <f ca="1">RANK(PlayerGameData[[#This Row],[EligFG]],PlayerGameData[EligFG],0)+PlayerGameData[[#This Row],[VisibleOrder]]</f>
        <v>215</v>
      </c>
      <c r="BC484" s="8">
        <f ca="1">IF(COUNTIF(PlayerGameData[EligFGOrder],PlayerGameData[[#This Row],[EligFGOrder]])&gt;1,PlayerGameData[[#This Row],[PointRank]]/100+PlayerGameData[[#This Row],[EligFGOrder]],PlayerGameData[[#This Row],[EligFGOrder]])</f>
        <v>217.16</v>
      </c>
      <c r="BD484" s="8">
        <f ca="1">RANK(PlayerGameData[[#This Row],[EligFGTieBreak]],PlayerGameData[EligFGTieBreak],1)</f>
        <v>216</v>
      </c>
      <c r="BE484" s="8" t="str">
        <f>Roster!$D$3</f>
        <v>East</v>
      </c>
      <c r="BF484" s="8" t="str">
        <f>Roster!$D$2</f>
        <v>Northeast</v>
      </c>
      <c r="BG484" s="8" t="str">
        <f>Roster!$D$4</f>
        <v>North</v>
      </c>
      <c r="BH484" s="197">
        <f ca="1">IFERROR(VLOOKUP(CONCATENATE(PlayerGameData[[#This Row],[Opponent]]," ",MONTH(PlayerGameData[[#This Row],[Date]]),"/",DAY(PlayerGameData[[#This Row],[Date]]),"/",YEAR(PlayerGameData[[#This Row],[Date]])),Table35[],2,FALSE),0)</f>
        <v>1</v>
      </c>
      <c r="BI484" s="197">
        <f ca="1">IF(PlayerGameData[[#This Row],[Visible]]=1,1,1000)</f>
        <v>1</v>
      </c>
      <c r="BJ484" s="197" t="e">
        <f ca="1">_xlfn.MAXIFS(TeamGameData[Win],TeamGameData[School, Opponent,Game'#],PlayerGameData[[#This Row],[School, Opponent,Game'#]])</f>
        <v>#NAME?</v>
      </c>
      <c r="BK484" s="197" t="e">
        <f ca="1">_xlfn.MAXIFS(TeamGameData[Loss],TeamGameData[School, Opponent,Game'#],PlayerGameData[[#This Row],[School, Opponent,Game'#]])</f>
        <v>#NAME?</v>
      </c>
    </row>
    <row r="485" spans="1:63" x14ac:dyDescent="0.25">
      <c r="A485" s="8" t="str">
        <f t="shared" ca="1" si="243"/>
        <v xml:space="preserve">, </v>
      </c>
      <c r="B485" s="8" t="str">
        <f>Roster!$B$1</f>
        <v>Upton</v>
      </c>
      <c r="C485" s="8" t="str">
        <f t="shared" ca="1" si="231"/>
        <v>Wright</v>
      </c>
      <c r="D485" s="10">
        <f t="shared" ca="1" si="232"/>
        <v>44975</v>
      </c>
      <c r="E485" s="8">
        <f t="shared" ca="1" si="233"/>
        <v>0</v>
      </c>
      <c r="F485" s="8">
        <f t="shared" ca="1" si="234"/>
        <v>0</v>
      </c>
      <c r="G485" s="8">
        <f t="shared" ca="1" si="235"/>
        <v>0</v>
      </c>
      <c r="H485" s="8">
        <f t="shared" ca="1" si="236"/>
        <v>0</v>
      </c>
      <c r="I485" s="8">
        <f t="shared" ca="1" si="237"/>
        <v>0</v>
      </c>
      <c r="J485" s="8">
        <f t="shared" ca="1" si="238"/>
        <v>0</v>
      </c>
      <c r="K485" s="8">
        <f t="shared" ca="1" si="239"/>
        <v>0</v>
      </c>
      <c r="L485" s="8">
        <f t="shared" ca="1" si="244"/>
        <v>0</v>
      </c>
      <c r="M485" s="8">
        <f t="shared" ca="1" si="245"/>
        <v>0</v>
      </c>
      <c r="N485" s="8">
        <f t="shared" ca="1" si="246"/>
        <v>0</v>
      </c>
      <c r="O485" s="8">
        <f t="shared" ca="1" si="247"/>
        <v>0</v>
      </c>
      <c r="P485" s="8">
        <f t="shared" ca="1" si="248"/>
        <v>0</v>
      </c>
      <c r="Q485" s="8">
        <f t="shared" ca="1" si="249"/>
        <v>0</v>
      </c>
      <c r="R485" s="8">
        <f t="shared" ca="1" si="250"/>
        <v>0</v>
      </c>
      <c r="S485" s="8">
        <f t="shared" ca="1" si="251"/>
        <v>0</v>
      </c>
      <c r="T485" s="8">
        <f t="shared" ca="1" si="252"/>
        <v>0</v>
      </c>
      <c r="U485" s="8">
        <f t="shared" ca="1" si="253"/>
        <v>0</v>
      </c>
      <c r="V485" s="8">
        <f t="shared" ca="1" si="254"/>
        <v>0</v>
      </c>
      <c r="W485" s="11" t="str">
        <f t="shared" ca="1" si="255"/>
        <v/>
      </c>
      <c r="X485" s="11" t="str">
        <f t="shared" ca="1" si="256"/>
        <v/>
      </c>
      <c r="Y485" s="11" t="str">
        <f t="shared" ca="1" si="257"/>
        <v/>
      </c>
      <c r="Z485" s="11" t="str">
        <f t="shared" ca="1" si="258"/>
        <v/>
      </c>
      <c r="AA485" s="11" t="str">
        <f t="shared" ca="1" si="259"/>
        <v/>
      </c>
      <c r="AB485" s="47">
        <f ca="1">PlayerGameData[[#This Row],[3FGA]]+PlayerGameData[[#This Row],[2FGA]]</f>
        <v>0</v>
      </c>
      <c r="AC485" s="47">
        <f ca="1">PlayerGameData[[#This Row],[OFF REB]]+PlayerGameData[[#This Row],[DEF REB]]</f>
        <v>0</v>
      </c>
      <c r="AD485" s="8">
        <f t="shared" si="240"/>
        <v>20</v>
      </c>
      <c r="AE485" s="8" t="str">
        <f t="shared" ca="1" si="241"/>
        <v>,  - Wright 2/18/2023</v>
      </c>
      <c r="AF485" s="8" t="str">
        <f t="shared" ca="1" si="260"/>
        <v/>
      </c>
      <c r="AG485" s="8" t="str">
        <f ca="1">IFERROR(IF(C485=0,"",IF(AND(VLOOKUP(PlayerGameData[[#This Row],[Opponent]],WYTeamInfo,2,FALSE)=Roster!$D$1,VLOOKUP(PlayerGameData[[#This Row],[Opponent]],WYTeamInfo,3,FALSE)=Roster!$D$2),"SR","")),"")</f>
        <v/>
      </c>
      <c r="AH485" s="8" t="str">
        <f>CONCATENATE(Roster!$D$1," ",Roster!$D$5)</f>
        <v>1A BB</v>
      </c>
      <c r="AI485" s="8" t="str">
        <f t="shared" ca="1" si="242"/>
        <v>Upton - Wright 2/18/2023</v>
      </c>
      <c r="AJ485" s="8">
        <f ca="1">IFERROR(VLOOKUP(PlayerGameData[[#This Row],[School, Opponent,Game'#]],Table3[],2,FALSE),0)</f>
        <v>1</v>
      </c>
      <c r="AK485" s="8">
        <f ca="1">IF(PlayerGameData[[#This Row],[Visible]]=1,1,1000)</f>
        <v>1</v>
      </c>
      <c r="AL485" s="8">
        <f ca="1">RANK(PlayerGameData[[#This Row],[TL PTS]],PlayerGameData[TL PTS],0)+PlayerGameData[[#This Row],[VisibleOrder]]</f>
        <v>185</v>
      </c>
      <c r="AM485" s="8">
        <f ca="1">IF(COUNTIF(PlayerGameData[PointOrder],PlayerGameData[[#This Row],[PointOrder]])&gt;1,RANK(PlayerGameData[[#This Row],[FGA]],PlayerGameData[FGA],0)/100,0)+PlayerGameData[[#This Row],[PointOrder]]</f>
        <v>187.14</v>
      </c>
      <c r="AN485" s="8">
        <f ca="1">RANK(PlayerGameData[[#This Row],[PointTieBreak]],PlayerGameData[PointTieBreak],1)</f>
        <v>216</v>
      </c>
      <c r="AO485" s="8">
        <f ca="1">RANK(PlayerGameData[[#This Row],[REB]],PlayerGameData[REB],0)+PlayerGameData[[#This Row],[VisibleOrder]]</f>
        <v>192</v>
      </c>
      <c r="AP485" s="8">
        <f ca="1">IF(COUNTIF(PlayerGameData[REBOrder],PlayerGameData[[#This Row],[REBOrder]])&gt;1,PlayerGameData[[#This Row],[PointRank]]/100+PlayerGameData[[#This Row],[REBOrder]],PlayerGameData[[#This Row],[REBOrder]])</f>
        <v>194.16</v>
      </c>
      <c r="AQ485" s="8">
        <f ca="1">RANK(PlayerGameData[[#This Row],[REBTieBreak]],PlayerGameData[REBTieBreak],1)</f>
        <v>224</v>
      </c>
      <c r="AR485" s="8">
        <f ca="1">RANK(PlayerGameData[[#This Row],[AST]],PlayerGameData[AST],0)+PlayerGameData[[#This Row],[VisibleOrder]]</f>
        <v>158</v>
      </c>
      <c r="AS485" s="8">
        <f ca="1">IF(COUNTIF(PlayerGameData[ASTOrder],PlayerGameData[[#This Row],[ASTOrder]])&gt;1,PlayerGameData[[#This Row],[PointRank]]/100+PlayerGameData[[#This Row],[ASTOrder]],PlayerGameData[[#This Row],[ASTOrder]])</f>
        <v>160.16</v>
      </c>
      <c r="AT485" s="8">
        <f ca="1">RANK(PlayerGameData[[#This Row],[ASTTieBreak]],PlayerGameData[ASTTieBreak],1)</f>
        <v>221</v>
      </c>
      <c r="AU485" s="8">
        <f ca="1">RANK(PlayerGameData[[#This Row],[STL]],PlayerGameData[STL],0)+PlayerGameData[[#This Row],[VisibleOrder]]</f>
        <v>143</v>
      </c>
      <c r="AV485" s="8">
        <f ca="1">IF(COUNTIF(PlayerGameData[STLOrder],PlayerGameData[[#This Row],[STLOrder]])&gt;1,PlayerGameData[[#This Row],[PointRank]]/100+PlayerGameData[[#This Row],[STLOrder]],PlayerGameData[[#This Row],[STLOrder]])</f>
        <v>145.16</v>
      </c>
      <c r="AW485" s="8">
        <f ca="1">RANK(PlayerGameData[[#This Row],[STLTieBreak]],PlayerGameData[STLTieBreak],1)</f>
        <v>217</v>
      </c>
      <c r="AX485" s="8">
        <f ca="1">RANK(PlayerGameData[[#This Row],[BLK]],PlayerGameData[BLK],0)+PlayerGameData[[#This Row],[VisibleOrder]]</f>
        <v>32</v>
      </c>
      <c r="AY485" s="8">
        <f ca="1">IF(COUNTIF(PlayerGameData[BLKOrder],PlayerGameData[[#This Row],[BLKOrder]])&gt;1,PlayerGameData[[#This Row],[PointRank]]/100+PlayerGameData[[#This Row],[BLKOrder]],PlayerGameData[[#This Row],[BLKOrder]])</f>
        <v>34.159999999999997</v>
      </c>
      <c r="AZ485" s="8">
        <f ca="1">RANK(PlayerGameData[[#This Row],[BLKTieBreak]],PlayerGameData[BLKTieBreak],1)</f>
        <v>216</v>
      </c>
      <c r="BA485" s="11">
        <f ca="1">IFERROR(IF(PlayerGameData[[#This Row],[FGA]]&gt;$AA$5,PlayerGameData[[#This Row],[FG%*]],PlayerGameData[[#This Row],[FG%*]]*-1),-2)</f>
        <v>-2</v>
      </c>
      <c r="BB485" s="8">
        <f ca="1">RANK(PlayerGameData[[#This Row],[EligFG]],PlayerGameData[EligFG],0)+PlayerGameData[[#This Row],[VisibleOrder]]</f>
        <v>215</v>
      </c>
      <c r="BC485" s="8">
        <f ca="1">IF(COUNTIF(PlayerGameData[EligFGOrder],PlayerGameData[[#This Row],[EligFGOrder]])&gt;1,PlayerGameData[[#This Row],[PointRank]]/100+PlayerGameData[[#This Row],[EligFGOrder]],PlayerGameData[[#This Row],[EligFGOrder]])</f>
        <v>217.16</v>
      </c>
      <c r="BD485" s="8">
        <f ca="1">RANK(PlayerGameData[[#This Row],[EligFGTieBreak]],PlayerGameData[EligFGTieBreak],1)</f>
        <v>216</v>
      </c>
      <c r="BE485" s="8" t="str">
        <f>Roster!$D$3</f>
        <v>East</v>
      </c>
      <c r="BF485" s="8" t="str">
        <f>Roster!$D$2</f>
        <v>Northeast</v>
      </c>
      <c r="BG485" s="8" t="str">
        <f>Roster!$D$4</f>
        <v>North</v>
      </c>
      <c r="BH485" s="197">
        <f ca="1">IFERROR(VLOOKUP(CONCATENATE(PlayerGameData[[#This Row],[Opponent]]," ",MONTH(PlayerGameData[[#This Row],[Date]]),"/",DAY(PlayerGameData[[#This Row],[Date]]),"/",YEAR(PlayerGameData[[#This Row],[Date]])),Table35[],2,FALSE),0)</f>
        <v>1</v>
      </c>
      <c r="BI485" s="197">
        <f ca="1">IF(PlayerGameData[[#This Row],[Visible]]=1,1,1000)</f>
        <v>1</v>
      </c>
      <c r="BJ485" s="197" t="e">
        <f ca="1">_xlfn.MAXIFS(TeamGameData[Win],TeamGameData[School, Opponent,Game'#],PlayerGameData[[#This Row],[School, Opponent,Game'#]])</f>
        <v>#NAME?</v>
      </c>
      <c r="BK485" s="197" t="e">
        <f ca="1">_xlfn.MAXIFS(TeamGameData[Loss],TeamGameData[School, Opponent,Game'#],PlayerGameData[[#This Row],[School, Opponent,Game'#]])</f>
        <v>#NAME?</v>
      </c>
    </row>
    <row r="486" spans="1:63" x14ac:dyDescent="0.25">
      <c r="A486" s="8" t="str">
        <f t="shared" ca="1" si="243"/>
        <v xml:space="preserve">Team, </v>
      </c>
      <c r="B486" s="8" t="str">
        <f>Roster!$B$1</f>
        <v>Upton</v>
      </c>
      <c r="C486" s="8" t="str">
        <f t="shared" ca="1" si="231"/>
        <v>Wright</v>
      </c>
      <c r="D486" s="10">
        <f t="shared" ca="1" si="232"/>
        <v>44975</v>
      </c>
      <c r="E486" s="8">
        <f t="shared" ca="1" si="233"/>
        <v>0</v>
      </c>
      <c r="F486" s="8">
        <f t="shared" ca="1" si="234"/>
        <v>0</v>
      </c>
      <c r="G486" s="8">
        <f t="shared" ca="1" si="235"/>
        <v>0</v>
      </c>
      <c r="H486" s="8">
        <f t="shared" ca="1" si="236"/>
        <v>0</v>
      </c>
      <c r="I486" s="8">
        <f t="shared" ca="1" si="237"/>
        <v>0</v>
      </c>
      <c r="J486" s="8">
        <f t="shared" ca="1" si="238"/>
        <v>0</v>
      </c>
      <c r="K486" s="8">
        <f t="shared" ca="1" si="239"/>
        <v>0</v>
      </c>
      <c r="L486" s="8">
        <f t="shared" ca="1" si="244"/>
        <v>0</v>
      </c>
      <c r="M486" s="8">
        <f t="shared" ca="1" si="245"/>
        <v>0</v>
      </c>
      <c r="N486" s="8">
        <f t="shared" ca="1" si="246"/>
        <v>0</v>
      </c>
      <c r="O486" s="8">
        <f t="shared" ca="1" si="247"/>
        <v>0</v>
      </c>
      <c r="P486" s="8">
        <f t="shared" ca="1" si="248"/>
        <v>0</v>
      </c>
      <c r="Q486" s="8">
        <f t="shared" ca="1" si="249"/>
        <v>0</v>
      </c>
      <c r="R486" s="8">
        <f t="shared" ca="1" si="250"/>
        <v>0</v>
      </c>
      <c r="S486" s="8">
        <f t="shared" ca="1" si="251"/>
        <v>0</v>
      </c>
      <c r="T486" s="8">
        <f t="shared" ca="1" si="252"/>
        <v>0</v>
      </c>
      <c r="U486" s="8">
        <f t="shared" ca="1" si="253"/>
        <v>0</v>
      </c>
      <c r="V486" s="8">
        <f t="shared" ca="1" si="254"/>
        <v>0</v>
      </c>
      <c r="W486" s="11" t="str">
        <f t="shared" ca="1" si="255"/>
        <v/>
      </c>
      <c r="X486" s="11" t="str">
        <f t="shared" ca="1" si="256"/>
        <v/>
      </c>
      <c r="Y486" s="11" t="str">
        <f t="shared" ca="1" si="257"/>
        <v/>
      </c>
      <c r="Z486" s="11" t="str">
        <f t="shared" ca="1" si="258"/>
        <v/>
      </c>
      <c r="AA486" s="11" t="str">
        <f t="shared" ca="1" si="259"/>
        <v/>
      </c>
      <c r="AB486" s="47">
        <f ca="1">PlayerGameData[[#This Row],[3FGA]]+PlayerGameData[[#This Row],[2FGA]]</f>
        <v>0</v>
      </c>
      <c r="AC486" s="47">
        <f ca="1">PlayerGameData[[#This Row],[OFF REB]]+PlayerGameData[[#This Row],[DEF REB]]</f>
        <v>0</v>
      </c>
      <c r="AD486" s="8">
        <f t="shared" si="240"/>
        <v>20</v>
      </c>
      <c r="AE486" s="8" t="str">
        <f t="shared" ca="1" si="241"/>
        <v>Team,  - Wright 2/18/2023</v>
      </c>
      <c r="AF486" s="8" t="str">
        <f t="shared" ca="1" si="260"/>
        <v/>
      </c>
      <c r="AG486" s="8" t="str">
        <f ca="1">IFERROR(IF(C486=0,"",IF(AND(VLOOKUP(PlayerGameData[[#This Row],[Opponent]],WYTeamInfo,2,FALSE)=Roster!$D$1,VLOOKUP(PlayerGameData[[#This Row],[Opponent]],WYTeamInfo,3,FALSE)=Roster!$D$2),"SR","")),"")</f>
        <v/>
      </c>
      <c r="AH486" s="8" t="str">
        <f>CONCATENATE(Roster!$D$1," ",Roster!$D$5)</f>
        <v>1A BB</v>
      </c>
      <c r="AI486" s="8" t="str">
        <f t="shared" ca="1" si="242"/>
        <v>Upton - Wright 2/18/2023</v>
      </c>
      <c r="AJ486" s="8">
        <f ca="1">IFERROR(VLOOKUP(PlayerGameData[[#This Row],[School, Opponent,Game'#]],Table3[],2,FALSE),0)</f>
        <v>1</v>
      </c>
      <c r="AK486" s="8">
        <f ca="1">IF(PlayerGameData[[#This Row],[Visible]]=1,1,1000)</f>
        <v>1</v>
      </c>
      <c r="AL486" s="8">
        <f ca="1">RANK(PlayerGameData[[#This Row],[TL PTS]],PlayerGameData[TL PTS],0)+PlayerGameData[[#This Row],[VisibleOrder]]</f>
        <v>185</v>
      </c>
      <c r="AM486" s="8">
        <f ca="1">IF(COUNTIF(PlayerGameData[PointOrder],PlayerGameData[[#This Row],[PointOrder]])&gt;1,RANK(PlayerGameData[[#This Row],[FGA]],PlayerGameData[FGA],0)/100,0)+PlayerGameData[[#This Row],[PointOrder]]</f>
        <v>187.14</v>
      </c>
      <c r="AN486" s="8">
        <f ca="1">RANK(PlayerGameData[[#This Row],[PointTieBreak]],PlayerGameData[PointTieBreak],1)</f>
        <v>216</v>
      </c>
      <c r="AO486" s="8">
        <f ca="1">RANK(PlayerGameData[[#This Row],[REB]],PlayerGameData[REB],0)+PlayerGameData[[#This Row],[VisibleOrder]]</f>
        <v>192</v>
      </c>
      <c r="AP486" s="8">
        <f ca="1">IF(COUNTIF(PlayerGameData[REBOrder],PlayerGameData[[#This Row],[REBOrder]])&gt;1,PlayerGameData[[#This Row],[PointRank]]/100+PlayerGameData[[#This Row],[REBOrder]],PlayerGameData[[#This Row],[REBOrder]])</f>
        <v>194.16</v>
      </c>
      <c r="AQ486" s="8">
        <f ca="1">RANK(PlayerGameData[[#This Row],[REBTieBreak]],PlayerGameData[REBTieBreak],1)</f>
        <v>224</v>
      </c>
      <c r="AR486" s="8">
        <f ca="1">RANK(PlayerGameData[[#This Row],[AST]],PlayerGameData[AST],0)+PlayerGameData[[#This Row],[VisibleOrder]]</f>
        <v>158</v>
      </c>
      <c r="AS486" s="8">
        <f ca="1">IF(COUNTIF(PlayerGameData[ASTOrder],PlayerGameData[[#This Row],[ASTOrder]])&gt;1,PlayerGameData[[#This Row],[PointRank]]/100+PlayerGameData[[#This Row],[ASTOrder]],PlayerGameData[[#This Row],[ASTOrder]])</f>
        <v>160.16</v>
      </c>
      <c r="AT486" s="8">
        <f ca="1">RANK(PlayerGameData[[#This Row],[ASTTieBreak]],PlayerGameData[ASTTieBreak],1)</f>
        <v>221</v>
      </c>
      <c r="AU486" s="8">
        <f ca="1">RANK(PlayerGameData[[#This Row],[STL]],PlayerGameData[STL],0)+PlayerGameData[[#This Row],[VisibleOrder]]</f>
        <v>143</v>
      </c>
      <c r="AV486" s="8">
        <f ca="1">IF(COUNTIF(PlayerGameData[STLOrder],PlayerGameData[[#This Row],[STLOrder]])&gt;1,PlayerGameData[[#This Row],[PointRank]]/100+PlayerGameData[[#This Row],[STLOrder]],PlayerGameData[[#This Row],[STLOrder]])</f>
        <v>145.16</v>
      </c>
      <c r="AW486" s="8">
        <f ca="1">RANK(PlayerGameData[[#This Row],[STLTieBreak]],PlayerGameData[STLTieBreak],1)</f>
        <v>217</v>
      </c>
      <c r="AX486" s="8">
        <f ca="1">RANK(PlayerGameData[[#This Row],[BLK]],PlayerGameData[BLK],0)+PlayerGameData[[#This Row],[VisibleOrder]]</f>
        <v>32</v>
      </c>
      <c r="AY486" s="8">
        <f ca="1">IF(COUNTIF(PlayerGameData[BLKOrder],PlayerGameData[[#This Row],[BLKOrder]])&gt;1,PlayerGameData[[#This Row],[PointRank]]/100+PlayerGameData[[#This Row],[BLKOrder]],PlayerGameData[[#This Row],[BLKOrder]])</f>
        <v>34.159999999999997</v>
      </c>
      <c r="AZ486" s="8">
        <f ca="1">RANK(PlayerGameData[[#This Row],[BLKTieBreak]],PlayerGameData[BLKTieBreak],1)</f>
        <v>216</v>
      </c>
      <c r="BA486" s="11">
        <f ca="1">IFERROR(IF(PlayerGameData[[#This Row],[FGA]]&gt;$AA$5,PlayerGameData[[#This Row],[FG%*]],PlayerGameData[[#This Row],[FG%*]]*-1),-2)</f>
        <v>-2</v>
      </c>
      <c r="BB486" s="8">
        <f ca="1">RANK(PlayerGameData[[#This Row],[EligFG]],PlayerGameData[EligFG],0)+PlayerGameData[[#This Row],[VisibleOrder]]</f>
        <v>215</v>
      </c>
      <c r="BC486" s="8">
        <f ca="1">IF(COUNTIF(PlayerGameData[EligFGOrder],PlayerGameData[[#This Row],[EligFGOrder]])&gt;1,PlayerGameData[[#This Row],[PointRank]]/100+PlayerGameData[[#This Row],[EligFGOrder]],PlayerGameData[[#This Row],[EligFGOrder]])</f>
        <v>217.16</v>
      </c>
      <c r="BD486" s="8">
        <f ca="1">RANK(PlayerGameData[[#This Row],[EligFGTieBreak]],PlayerGameData[EligFGTieBreak],1)</f>
        <v>216</v>
      </c>
      <c r="BE486" s="8" t="str">
        <f>Roster!$D$3</f>
        <v>East</v>
      </c>
      <c r="BF486" s="8" t="str">
        <f>Roster!$D$2</f>
        <v>Northeast</v>
      </c>
      <c r="BG486" s="8" t="str">
        <f>Roster!$D$4</f>
        <v>North</v>
      </c>
      <c r="BH486" s="197">
        <f ca="1">IFERROR(VLOOKUP(CONCATENATE(PlayerGameData[[#This Row],[Opponent]]," ",MONTH(PlayerGameData[[#This Row],[Date]]),"/",DAY(PlayerGameData[[#This Row],[Date]]),"/",YEAR(PlayerGameData[[#This Row],[Date]])),Table35[],2,FALSE),0)</f>
        <v>1</v>
      </c>
      <c r="BI486" s="197">
        <f ca="1">IF(PlayerGameData[[#This Row],[Visible]]=1,1,1000)</f>
        <v>1</v>
      </c>
      <c r="BJ486" s="197" t="e">
        <f ca="1">_xlfn.MAXIFS(TeamGameData[Win],TeamGameData[School, Opponent,Game'#],PlayerGameData[[#This Row],[School, Opponent,Game'#]])</f>
        <v>#NAME?</v>
      </c>
      <c r="BK486" s="197" t="e">
        <f ca="1">_xlfn.MAXIFS(TeamGameData[Loss],TeamGameData[School, Opponent,Game'#],PlayerGameData[[#This Row],[School, Opponent,Game'#]])</f>
        <v>#NAME?</v>
      </c>
    </row>
    <row r="487" spans="1:63" x14ac:dyDescent="0.25">
      <c r="A487" s="8" t="str">
        <f t="shared" ca="1" si="243"/>
        <v>Landon Butler, 1</v>
      </c>
      <c r="B487" s="8" t="str">
        <f>Roster!$B$1</f>
        <v>Upton</v>
      </c>
      <c r="C487" s="8" t="str">
        <f t="shared" ca="1" si="231"/>
        <v>Rock River</v>
      </c>
      <c r="D487" s="10">
        <f t="shared" ca="1" si="232"/>
        <v>44980</v>
      </c>
      <c r="E487" s="8">
        <f t="shared" ca="1" si="233"/>
        <v>1</v>
      </c>
      <c r="F487" s="8">
        <f t="shared" ca="1" si="234"/>
        <v>0</v>
      </c>
      <c r="G487" s="8">
        <f t="shared" ca="1" si="235"/>
        <v>3</v>
      </c>
      <c r="H487" s="8">
        <f t="shared" ca="1" si="236"/>
        <v>0</v>
      </c>
      <c r="I487" s="8">
        <f t="shared" ca="1" si="237"/>
        <v>0</v>
      </c>
      <c r="J487" s="8">
        <f t="shared" ca="1" si="238"/>
        <v>0</v>
      </c>
      <c r="K487" s="8">
        <f t="shared" ca="1" si="239"/>
        <v>0</v>
      </c>
      <c r="L487" s="8">
        <f t="shared" ca="1" si="244"/>
        <v>0</v>
      </c>
      <c r="M487" s="8">
        <f t="shared" ca="1" si="245"/>
        <v>0</v>
      </c>
      <c r="N487" s="8">
        <f t="shared" ca="1" si="246"/>
        <v>0</v>
      </c>
      <c r="O487" s="8">
        <f t="shared" ca="1" si="247"/>
        <v>0</v>
      </c>
      <c r="P487" s="8">
        <f t="shared" ca="1" si="248"/>
        <v>0</v>
      </c>
      <c r="Q487" s="8">
        <f t="shared" ca="1" si="249"/>
        <v>1</v>
      </c>
      <c r="R487" s="8">
        <f t="shared" ca="1" si="250"/>
        <v>0</v>
      </c>
      <c r="S487" s="8">
        <f t="shared" ca="1" si="251"/>
        <v>1</v>
      </c>
      <c r="T487" s="8">
        <f t="shared" ca="1" si="252"/>
        <v>0</v>
      </c>
      <c r="U487" s="8">
        <f t="shared" ca="1" si="253"/>
        <v>0</v>
      </c>
      <c r="V487" s="8">
        <f t="shared" ca="1" si="254"/>
        <v>0</v>
      </c>
      <c r="W487" s="11" t="str">
        <f t="shared" ca="1" si="255"/>
        <v/>
      </c>
      <c r="X487" s="11" t="str">
        <f t="shared" ca="1" si="256"/>
        <v/>
      </c>
      <c r="Y487" s="11" t="str">
        <f t="shared" ca="1" si="257"/>
        <v/>
      </c>
      <c r="Z487" s="11" t="str">
        <f t="shared" ca="1" si="258"/>
        <v/>
      </c>
      <c r="AA487" s="11" t="str">
        <f t="shared" ca="1" si="259"/>
        <v/>
      </c>
      <c r="AB487" s="47">
        <f ca="1">PlayerGameData[[#This Row],[3FGA]]+PlayerGameData[[#This Row],[2FGA]]</f>
        <v>0</v>
      </c>
      <c r="AC487" s="47">
        <f ca="1">PlayerGameData[[#This Row],[OFF REB]]+PlayerGameData[[#This Row],[DEF REB]]</f>
        <v>0</v>
      </c>
      <c r="AD487" s="8">
        <f t="shared" si="240"/>
        <v>21</v>
      </c>
      <c r="AE487" s="8" t="str">
        <f t="shared" ca="1" si="241"/>
        <v>Landon Butler, 1 - Rock River 2/23/2023</v>
      </c>
      <c r="AF487" s="8" t="str">
        <f t="shared" ca="1" si="260"/>
        <v>R</v>
      </c>
      <c r="AG487" s="8" t="str">
        <f ca="1">IFERROR(IF(C487=0,"",IF(AND(VLOOKUP(PlayerGameData[[#This Row],[Opponent]],WYTeamInfo,2,FALSE)=Roster!$D$1,VLOOKUP(PlayerGameData[[#This Row],[Opponent]],WYTeamInfo,3,FALSE)=Roster!$D$2),"SR","")),"")</f>
        <v/>
      </c>
      <c r="AH487" s="8" t="str">
        <f>CONCATENATE(Roster!$D$1," ",Roster!$D$5)</f>
        <v>1A BB</v>
      </c>
      <c r="AI487" s="8" t="str">
        <f t="shared" ca="1" si="242"/>
        <v>Upton - Rock River 2/23/2023</v>
      </c>
      <c r="AJ487" s="8">
        <f ca="1">IFERROR(VLOOKUP(PlayerGameData[[#This Row],[School, Opponent,Game'#]],Table3[],2,FALSE),0)</f>
        <v>1</v>
      </c>
      <c r="AK487" s="8">
        <f ca="1">IF(PlayerGameData[[#This Row],[Visible]]=1,1,1000)</f>
        <v>1</v>
      </c>
      <c r="AL487" s="8">
        <f ca="1">RANK(PlayerGameData[[#This Row],[TL PTS]],PlayerGameData[TL PTS],0)+PlayerGameData[[#This Row],[VisibleOrder]]</f>
        <v>185</v>
      </c>
      <c r="AM487" s="8">
        <f ca="1">IF(COUNTIF(PlayerGameData[PointOrder],PlayerGameData[[#This Row],[PointOrder]])&gt;1,RANK(PlayerGameData[[#This Row],[FGA]],PlayerGameData[FGA],0)/100,0)+PlayerGameData[[#This Row],[PointOrder]]</f>
        <v>187.14</v>
      </c>
      <c r="AN487" s="8">
        <f ca="1">RANK(PlayerGameData[[#This Row],[PointTieBreak]],PlayerGameData[PointTieBreak],1)</f>
        <v>216</v>
      </c>
      <c r="AO487" s="8">
        <f ca="1">RANK(PlayerGameData[[#This Row],[REB]],PlayerGameData[REB],0)+PlayerGameData[[#This Row],[VisibleOrder]]</f>
        <v>192</v>
      </c>
      <c r="AP487" s="8">
        <f ca="1">IF(COUNTIF(PlayerGameData[REBOrder],PlayerGameData[[#This Row],[REBOrder]])&gt;1,PlayerGameData[[#This Row],[PointRank]]/100+PlayerGameData[[#This Row],[REBOrder]],PlayerGameData[[#This Row],[REBOrder]])</f>
        <v>194.16</v>
      </c>
      <c r="AQ487" s="8">
        <f ca="1">RANK(PlayerGameData[[#This Row],[REBTieBreak]],PlayerGameData[REBTieBreak],1)</f>
        <v>224</v>
      </c>
      <c r="AR487" s="8">
        <f ca="1">RANK(PlayerGameData[[#This Row],[AST]],PlayerGameData[AST],0)+PlayerGameData[[#This Row],[VisibleOrder]]</f>
        <v>158</v>
      </c>
      <c r="AS487" s="8">
        <f ca="1">IF(COUNTIF(PlayerGameData[ASTOrder],PlayerGameData[[#This Row],[ASTOrder]])&gt;1,PlayerGameData[[#This Row],[PointRank]]/100+PlayerGameData[[#This Row],[ASTOrder]],PlayerGameData[[#This Row],[ASTOrder]])</f>
        <v>160.16</v>
      </c>
      <c r="AT487" s="8">
        <f ca="1">RANK(PlayerGameData[[#This Row],[ASTTieBreak]],PlayerGameData[ASTTieBreak],1)</f>
        <v>221</v>
      </c>
      <c r="AU487" s="8">
        <f ca="1">RANK(PlayerGameData[[#This Row],[STL]],PlayerGameData[STL],0)+PlayerGameData[[#This Row],[VisibleOrder]]</f>
        <v>84</v>
      </c>
      <c r="AV487" s="8">
        <f ca="1">IF(COUNTIF(PlayerGameData[STLOrder],PlayerGameData[[#This Row],[STLOrder]])&gt;1,PlayerGameData[[#This Row],[PointRank]]/100+PlayerGameData[[#This Row],[STLOrder]],PlayerGameData[[#This Row],[STLOrder]])</f>
        <v>86.16</v>
      </c>
      <c r="AW487" s="8">
        <f ca="1">RANK(PlayerGameData[[#This Row],[STLTieBreak]],PlayerGameData[STLTieBreak],1)</f>
        <v>141</v>
      </c>
      <c r="AX487" s="8">
        <f ca="1">RANK(PlayerGameData[[#This Row],[BLK]],PlayerGameData[BLK],0)+PlayerGameData[[#This Row],[VisibleOrder]]</f>
        <v>32</v>
      </c>
      <c r="AY487" s="8">
        <f ca="1">IF(COUNTIF(PlayerGameData[BLKOrder],PlayerGameData[[#This Row],[BLKOrder]])&gt;1,PlayerGameData[[#This Row],[PointRank]]/100+PlayerGameData[[#This Row],[BLKOrder]],PlayerGameData[[#This Row],[BLKOrder]])</f>
        <v>34.159999999999997</v>
      </c>
      <c r="AZ487" s="8">
        <f ca="1">RANK(PlayerGameData[[#This Row],[BLKTieBreak]],PlayerGameData[BLKTieBreak],1)</f>
        <v>216</v>
      </c>
      <c r="BA487" s="11">
        <f ca="1">IFERROR(IF(PlayerGameData[[#This Row],[FGA]]&gt;$AA$5,PlayerGameData[[#This Row],[FG%*]],PlayerGameData[[#This Row],[FG%*]]*-1),-2)</f>
        <v>-2</v>
      </c>
      <c r="BB487" s="8">
        <f ca="1">RANK(PlayerGameData[[#This Row],[EligFG]],PlayerGameData[EligFG],0)+PlayerGameData[[#This Row],[VisibleOrder]]</f>
        <v>215</v>
      </c>
      <c r="BC487" s="8">
        <f ca="1">IF(COUNTIF(PlayerGameData[EligFGOrder],PlayerGameData[[#This Row],[EligFGOrder]])&gt;1,PlayerGameData[[#This Row],[PointRank]]/100+PlayerGameData[[#This Row],[EligFGOrder]],PlayerGameData[[#This Row],[EligFGOrder]])</f>
        <v>217.16</v>
      </c>
      <c r="BD487" s="8">
        <f ca="1">RANK(PlayerGameData[[#This Row],[EligFGTieBreak]],PlayerGameData[EligFGTieBreak],1)</f>
        <v>216</v>
      </c>
      <c r="BE487" s="8" t="str">
        <f>Roster!$D$3</f>
        <v>East</v>
      </c>
      <c r="BF487" s="8" t="str">
        <f>Roster!$D$2</f>
        <v>Northeast</v>
      </c>
      <c r="BG487" s="8" t="str">
        <f>Roster!$D$4</f>
        <v>North</v>
      </c>
      <c r="BH487" s="197">
        <f ca="1">IFERROR(VLOOKUP(CONCATENATE(PlayerGameData[[#This Row],[Opponent]]," ",MONTH(PlayerGameData[[#This Row],[Date]]),"/",DAY(PlayerGameData[[#This Row],[Date]]),"/",YEAR(PlayerGameData[[#This Row],[Date]])),Table35[],2,FALSE),0)</f>
        <v>1</v>
      </c>
      <c r="BI487" s="197">
        <f ca="1">IF(PlayerGameData[[#This Row],[Visible]]=1,1,1000)</f>
        <v>1</v>
      </c>
      <c r="BJ487" s="197" t="e">
        <f ca="1">_xlfn.MAXIFS(TeamGameData[Win],TeamGameData[School, Opponent,Game'#],PlayerGameData[[#This Row],[School, Opponent,Game'#]])</f>
        <v>#NAME?</v>
      </c>
      <c r="BK487" s="197" t="e">
        <f ca="1">_xlfn.MAXIFS(TeamGameData[Loss],TeamGameData[School, Opponent,Game'#],PlayerGameData[[#This Row],[School, Opponent,Game'#]])</f>
        <v>#NAME?</v>
      </c>
    </row>
    <row r="488" spans="1:63" x14ac:dyDescent="0.25">
      <c r="A488" s="8" t="str">
        <f t="shared" ca="1" si="243"/>
        <v>Logan Timberman, 3</v>
      </c>
      <c r="B488" s="8" t="str">
        <f>Roster!$B$1</f>
        <v>Upton</v>
      </c>
      <c r="C488" s="8" t="str">
        <f t="shared" ca="1" si="231"/>
        <v>Rock River</v>
      </c>
      <c r="D488" s="10">
        <f t="shared" ca="1" si="232"/>
        <v>44980</v>
      </c>
      <c r="E488" s="8">
        <f t="shared" ca="1" si="233"/>
        <v>1</v>
      </c>
      <c r="F488" s="8">
        <f t="shared" ca="1" si="234"/>
        <v>1</v>
      </c>
      <c r="G488" s="8">
        <f t="shared" ca="1" si="235"/>
        <v>23</v>
      </c>
      <c r="H488" s="8">
        <f t="shared" ca="1" si="236"/>
        <v>1</v>
      </c>
      <c r="I488" s="8">
        <f t="shared" ca="1" si="237"/>
        <v>5</v>
      </c>
      <c r="J488" s="8">
        <f t="shared" ca="1" si="238"/>
        <v>2</v>
      </c>
      <c r="K488" s="8">
        <f t="shared" ca="1" si="239"/>
        <v>3</v>
      </c>
      <c r="L488" s="8">
        <f t="shared" ca="1" si="244"/>
        <v>0</v>
      </c>
      <c r="M488" s="8">
        <f t="shared" ca="1" si="245"/>
        <v>2</v>
      </c>
      <c r="N488" s="8">
        <f t="shared" ca="1" si="246"/>
        <v>1</v>
      </c>
      <c r="O488" s="8">
        <f t="shared" ca="1" si="247"/>
        <v>0</v>
      </c>
      <c r="P488" s="8">
        <f t="shared" ca="1" si="248"/>
        <v>2</v>
      </c>
      <c r="Q488" s="8">
        <f t="shared" ca="1" si="249"/>
        <v>4</v>
      </c>
      <c r="R488" s="8">
        <f t="shared" ca="1" si="250"/>
        <v>0</v>
      </c>
      <c r="S488" s="8">
        <f t="shared" ca="1" si="251"/>
        <v>2</v>
      </c>
      <c r="T488" s="8">
        <f t="shared" ca="1" si="252"/>
        <v>1</v>
      </c>
      <c r="U488" s="8">
        <f t="shared" ca="1" si="253"/>
        <v>0</v>
      </c>
      <c r="V488" s="8">
        <f t="shared" ca="1" si="254"/>
        <v>7</v>
      </c>
      <c r="W488" s="11">
        <f t="shared" ca="1" si="255"/>
        <v>0.2</v>
      </c>
      <c r="X488" s="11">
        <f t="shared" ca="1" si="256"/>
        <v>0.66666666666666663</v>
      </c>
      <c r="Y488" s="11">
        <f t="shared" ca="1" si="257"/>
        <v>0</v>
      </c>
      <c r="Z488" s="11">
        <f t="shared" ca="1" si="258"/>
        <v>0.375</v>
      </c>
      <c r="AA488" s="11">
        <f t="shared" ca="1" si="259"/>
        <v>0.4375</v>
      </c>
      <c r="AB488" s="47">
        <f ca="1">PlayerGameData[[#This Row],[3FGA]]+PlayerGameData[[#This Row],[2FGA]]</f>
        <v>8</v>
      </c>
      <c r="AC488" s="47">
        <f ca="1">PlayerGameData[[#This Row],[OFF REB]]+PlayerGameData[[#This Row],[DEF REB]]</f>
        <v>1</v>
      </c>
      <c r="AD488" s="8">
        <f t="shared" si="240"/>
        <v>21</v>
      </c>
      <c r="AE488" s="8" t="str">
        <f t="shared" ca="1" si="241"/>
        <v>Logan Timberman, 3 - Rock River 2/23/2023</v>
      </c>
      <c r="AF488" s="8" t="str">
        <f t="shared" ca="1" si="260"/>
        <v>R</v>
      </c>
      <c r="AG488" s="8" t="str">
        <f ca="1">IFERROR(IF(C488=0,"",IF(AND(VLOOKUP(PlayerGameData[[#This Row],[Opponent]],WYTeamInfo,2,FALSE)=Roster!$D$1,VLOOKUP(PlayerGameData[[#This Row],[Opponent]],WYTeamInfo,3,FALSE)=Roster!$D$2),"SR","")),"")</f>
        <v/>
      </c>
      <c r="AH488" s="8" t="str">
        <f>CONCATENATE(Roster!$D$1," ",Roster!$D$5)</f>
        <v>1A BB</v>
      </c>
      <c r="AI488" s="8" t="str">
        <f t="shared" ca="1" si="242"/>
        <v>Upton - Rock River 2/23/2023</v>
      </c>
      <c r="AJ488" s="8">
        <f ca="1">IFERROR(VLOOKUP(PlayerGameData[[#This Row],[School, Opponent,Game'#]],Table3[],2,FALSE),0)</f>
        <v>1</v>
      </c>
      <c r="AK488" s="8">
        <f ca="1">IF(PlayerGameData[[#This Row],[Visible]]=1,1,1000)</f>
        <v>1</v>
      </c>
      <c r="AL488" s="8">
        <f ca="1">RANK(PlayerGameData[[#This Row],[TL PTS]],PlayerGameData[TL PTS],0)+PlayerGameData[[#This Row],[VisibleOrder]]</f>
        <v>94</v>
      </c>
      <c r="AM488" s="8">
        <f ca="1">IF(COUNTIF(PlayerGameData[PointOrder],PlayerGameData[[#This Row],[PointOrder]])&gt;1,RANK(PlayerGameData[[#This Row],[FGA]],PlayerGameData[FGA],0)/100,0)+PlayerGameData[[#This Row],[PointOrder]]</f>
        <v>94.76</v>
      </c>
      <c r="AN488" s="8">
        <f ca="1">RANK(PlayerGameData[[#This Row],[PointTieBreak]],PlayerGameData[PointTieBreak],1)</f>
        <v>96</v>
      </c>
      <c r="AO488" s="8">
        <f ca="1">RANK(PlayerGameData[[#This Row],[REB]],PlayerGameData[REB],0)+PlayerGameData[[#This Row],[VisibleOrder]]</f>
        <v>163</v>
      </c>
      <c r="AP488" s="8">
        <f ca="1">IF(COUNTIF(PlayerGameData[REBOrder],PlayerGameData[[#This Row],[REBOrder]])&gt;1,PlayerGameData[[#This Row],[PointRank]]/100+PlayerGameData[[#This Row],[REBOrder]],PlayerGameData[[#This Row],[REBOrder]])</f>
        <v>163.96</v>
      </c>
      <c r="AQ488" s="8">
        <f ca="1">RANK(PlayerGameData[[#This Row],[REBTieBreak]],PlayerGameData[REBTieBreak],1)</f>
        <v>165</v>
      </c>
      <c r="AR488" s="8">
        <f ca="1">RANK(PlayerGameData[[#This Row],[AST]],PlayerGameData[AST],0)+PlayerGameData[[#This Row],[VisibleOrder]]</f>
        <v>69</v>
      </c>
      <c r="AS488" s="8">
        <f ca="1">IF(COUNTIF(PlayerGameData[ASTOrder],PlayerGameData[[#This Row],[ASTOrder]])&gt;1,PlayerGameData[[#This Row],[PointRank]]/100+PlayerGameData[[#This Row],[ASTOrder]],PlayerGameData[[#This Row],[ASTOrder]])</f>
        <v>69.959999999999994</v>
      </c>
      <c r="AT488" s="8">
        <f ca="1">RANK(PlayerGameData[[#This Row],[ASTTieBreak]],PlayerGameData[ASTTieBreak],1)</f>
        <v>93</v>
      </c>
      <c r="AU488" s="8">
        <f ca="1">RANK(PlayerGameData[[#This Row],[STL]],PlayerGameData[STL],0)+PlayerGameData[[#This Row],[VisibleOrder]]</f>
        <v>10</v>
      </c>
      <c r="AV488" s="8">
        <f ca="1">IF(COUNTIF(PlayerGameData[STLOrder],PlayerGameData[[#This Row],[STLOrder]])&gt;1,PlayerGameData[[#This Row],[PointRank]]/100+PlayerGameData[[#This Row],[STLOrder]],PlayerGameData[[#This Row],[STLOrder]])</f>
        <v>10.96</v>
      </c>
      <c r="AW488" s="8">
        <f ca="1">RANK(PlayerGameData[[#This Row],[STLTieBreak]],PlayerGameData[STLTieBreak],1)</f>
        <v>23</v>
      </c>
      <c r="AX488" s="8">
        <f ca="1">RANK(PlayerGameData[[#This Row],[BLK]],PlayerGameData[BLK],0)+PlayerGameData[[#This Row],[VisibleOrder]]</f>
        <v>32</v>
      </c>
      <c r="AY488" s="8">
        <f ca="1">IF(COUNTIF(PlayerGameData[BLKOrder],PlayerGameData[[#This Row],[BLKOrder]])&gt;1,PlayerGameData[[#This Row],[PointRank]]/100+PlayerGameData[[#This Row],[BLKOrder]],PlayerGameData[[#This Row],[BLKOrder]])</f>
        <v>32.96</v>
      </c>
      <c r="AZ488" s="8">
        <f ca="1">RANK(PlayerGameData[[#This Row],[BLKTieBreak]],PlayerGameData[BLKTieBreak],1)</f>
        <v>104</v>
      </c>
      <c r="BA488" s="11">
        <f ca="1">IFERROR(IF(PlayerGameData[[#This Row],[FGA]]&gt;$AA$5,PlayerGameData[[#This Row],[FG%*]],PlayerGameData[[#This Row],[FG%*]]*-1),-2)</f>
        <v>0.375</v>
      </c>
      <c r="BB488" s="8">
        <f ca="1">RANK(PlayerGameData[[#This Row],[EligFG]],PlayerGameData[EligFG],0)+PlayerGameData[[#This Row],[VisibleOrder]]</f>
        <v>73</v>
      </c>
      <c r="BC488" s="8">
        <f ca="1">IF(COUNTIF(PlayerGameData[EligFGOrder],PlayerGameData[[#This Row],[EligFGOrder]])&gt;1,PlayerGameData[[#This Row],[PointRank]]/100+PlayerGameData[[#This Row],[EligFGOrder]],PlayerGameData[[#This Row],[EligFGOrder]])</f>
        <v>73.959999999999994</v>
      </c>
      <c r="BD488" s="8">
        <f ca="1">RANK(PlayerGameData[[#This Row],[EligFGTieBreak]],PlayerGameData[EligFGTieBreak],1)</f>
        <v>76</v>
      </c>
      <c r="BE488" s="8" t="str">
        <f>Roster!$D$3</f>
        <v>East</v>
      </c>
      <c r="BF488" s="8" t="str">
        <f>Roster!$D$2</f>
        <v>Northeast</v>
      </c>
      <c r="BG488" s="8" t="str">
        <f>Roster!$D$4</f>
        <v>North</v>
      </c>
      <c r="BH488" s="197">
        <f ca="1">IFERROR(VLOOKUP(CONCATENATE(PlayerGameData[[#This Row],[Opponent]]," ",MONTH(PlayerGameData[[#This Row],[Date]]),"/",DAY(PlayerGameData[[#This Row],[Date]]),"/",YEAR(PlayerGameData[[#This Row],[Date]])),Table35[],2,FALSE),0)</f>
        <v>1</v>
      </c>
      <c r="BI488" s="197">
        <f ca="1">IF(PlayerGameData[[#This Row],[Visible]]=1,1,1000)</f>
        <v>1</v>
      </c>
      <c r="BJ488" s="197" t="e">
        <f ca="1">_xlfn.MAXIFS(TeamGameData[Win],TeamGameData[School, Opponent,Game'#],PlayerGameData[[#This Row],[School, Opponent,Game'#]])</f>
        <v>#NAME?</v>
      </c>
      <c r="BK488" s="197" t="e">
        <f ca="1">_xlfn.MAXIFS(TeamGameData[Loss],TeamGameData[School, Opponent,Game'#],PlayerGameData[[#This Row],[School, Opponent,Game'#]])</f>
        <v>#NAME?</v>
      </c>
    </row>
    <row r="489" spans="1:63" x14ac:dyDescent="0.25">
      <c r="A489" s="8" t="str">
        <f t="shared" ca="1" si="243"/>
        <v>Chase Mills, 5</v>
      </c>
      <c r="B489" s="8" t="str">
        <f>Roster!$B$1</f>
        <v>Upton</v>
      </c>
      <c r="C489" s="8" t="str">
        <f t="shared" ca="1" si="231"/>
        <v>Rock River</v>
      </c>
      <c r="D489" s="10">
        <f t="shared" ca="1" si="232"/>
        <v>44980</v>
      </c>
      <c r="E489" s="8">
        <f t="shared" ca="1" si="233"/>
        <v>1</v>
      </c>
      <c r="F489" s="8">
        <f t="shared" ca="1" si="234"/>
        <v>1</v>
      </c>
      <c r="G489" s="8">
        <f t="shared" ca="1" si="235"/>
        <v>21</v>
      </c>
      <c r="H489" s="8">
        <f t="shared" ca="1" si="236"/>
        <v>0</v>
      </c>
      <c r="I489" s="8">
        <f t="shared" ca="1" si="237"/>
        <v>2</v>
      </c>
      <c r="J489" s="8">
        <f t="shared" ca="1" si="238"/>
        <v>7</v>
      </c>
      <c r="K489" s="8">
        <f t="shared" ca="1" si="239"/>
        <v>13</v>
      </c>
      <c r="L489" s="8">
        <f t="shared" ca="1" si="244"/>
        <v>3</v>
      </c>
      <c r="M489" s="8">
        <f t="shared" ca="1" si="245"/>
        <v>4</v>
      </c>
      <c r="N489" s="8">
        <f t="shared" ca="1" si="246"/>
        <v>4</v>
      </c>
      <c r="O489" s="8">
        <f t="shared" ca="1" si="247"/>
        <v>0</v>
      </c>
      <c r="P489" s="8">
        <f t="shared" ca="1" si="248"/>
        <v>5</v>
      </c>
      <c r="Q489" s="8">
        <f t="shared" ca="1" si="249"/>
        <v>3</v>
      </c>
      <c r="R489" s="8">
        <f t="shared" ca="1" si="250"/>
        <v>0</v>
      </c>
      <c r="S489" s="8">
        <f t="shared" ca="1" si="251"/>
        <v>0</v>
      </c>
      <c r="T489" s="8">
        <f t="shared" ca="1" si="252"/>
        <v>0</v>
      </c>
      <c r="U489" s="8">
        <f t="shared" ca="1" si="253"/>
        <v>0</v>
      </c>
      <c r="V489" s="8">
        <f t="shared" ca="1" si="254"/>
        <v>17</v>
      </c>
      <c r="W489" s="11">
        <f t="shared" ca="1" si="255"/>
        <v>0</v>
      </c>
      <c r="X489" s="11">
        <f t="shared" ca="1" si="256"/>
        <v>0.53846153846153844</v>
      </c>
      <c r="Y489" s="11">
        <f t="shared" ca="1" si="257"/>
        <v>0.75</v>
      </c>
      <c r="Z489" s="11">
        <f t="shared" ca="1" si="258"/>
        <v>0.46666666666666667</v>
      </c>
      <c r="AA489" s="11">
        <f t="shared" ca="1" si="259"/>
        <v>0.46666666666666667</v>
      </c>
      <c r="AB489" s="47">
        <f ca="1">PlayerGameData[[#This Row],[3FGA]]+PlayerGameData[[#This Row],[2FGA]]</f>
        <v>15</v>
      </c>
      <c r="AC489" s="47">
        <f ca="1">PlayerGameData[[#This Row],[OFF REB]]+PlayerGameData[[#This Row],[DEF REB]]</f>
        <v>4</v>
      </c>
      <c r="AD489" s="8">
        <f t="shared" si="240"/>
        <v>21</v>
      </c>
      <c r="AE489" s="8" t="str">
        <f t="shared" ca="1" si="241"/>
        <v>Chase Mills, 5 - Rock River 2/23/2023</v>
      </c>
      <c r="AF489" s="8" t="str">
        <f t="shared" ca="1" si="260"/>
        <v>R</v>
      </c>
      <c r="AG489" s="8" t="str">
        <f ca="1">IFERROR(IF(C489=0,"",IF(AND(VLOOKUP(PlayerGameData[[#This Row],[Opponent]],WYTeamInfo,2,FALSE)=Roster!$D$1,VLOOKUP(PlayerGameData[[#This Row],[Opponent]],WYTeamInfo,3,FALSE)=Roster!$D$2),"SR","")),"")</f>
        <v/>
      </c>
      <c r="AH489" s="8" t="str">
        <f>CONCATENATE(Roster!$D$1," ",Roster!$D$5)</f>
        <v>1A BB</v>
      </c>
      <c r="AI489" s="8" t="str">
        <f t="shared" ca="1" si="242"/>
        <v>Upton - Rock River 2/23/2023</v>
      </c>
      <c r="AJ489" s="8">
        <f ca="1">IFERROR(VLOOKUP(PlayerGameData[[#This Row],[School, Opponent,Game'#]],Table3[],2,FALSE),0)</f>
        <v>1</v>
      </c>
      <c r="AK489" s="8">
        <f ca="1">IF(PlayerGameData[[#This Row],[Visible]]=1,1,1000)</f>
        <v>1</v>
      </c>
      <c r="AL489" s="8">
        <f ca="1">RANK(PlayerGameData[[#This Row],[TL PTS]],PlayerGameData[TL PTS],0)+PlayerGameData[[#This Row],[VisibleOrder]]</f>
        <v>18</v>
      </c>
      <c r="AM489" s="8">
        <f ca="1">IF(COUNTIF(PlayerGameData[PointOrder],PlayerGameData[[#This Row],[PointOrder]])&gt;1,RANK(PlayerGameData[[#This Row],[FGA]],PlayerGameData[FGA],0)/100,0)+PlayerGameData[[#This Row],[PointOrder]]</f>
        <v>18.13</v>
      </c>
      <c r="AN489" s="8">
        <f ca="1">RANK(PlayerGameData[[#This Row],[PointTieBreak]],PlayerGameData[PointTieBreak],1)</f>
        <v>17</v>
      </c>
      <c r="AO489" s="8">
        <f ca="1">RANK(PlayerGameData[[#This Row],[REB]],PlayerGameData[REB],0)+PlayerGameData[[#This Row],[VisibleOrder]]</f>
        <v>79</v>
      </c>
      <c r="AP489" s="8">
        <f ca="1">IF(COUNTIF(PlayerGameData[REBOrder],PlayerGameData[[#This Row],[REBOrder]])&gt;1,PlayerGameData[[#This Row],[PointRank]]/100+PlayerGameData[[#This Row],[REBOrder]],PlayerGameData[[#This Row],[REBOrder]])</f>
        <v>79.17</v>
      </c>
      <c r="AQ489" s="8">
        <f ca="1">RANK(PlayerGameData[[#This Row],[REBTieBreak]],PlayerGameData[REBTieBreak],1)</f>
        <v>80</v>
      </c>
      <c r="AR489" s="8">
        <f ca="1">RANK(PlayerGameData[[#This Row],[AST]],PlayerGameData[AST],0)+PlayerGameData[[#This Row],[VisibleOrder]]</f>
        <v>14</v>
      </c>
      <c r="AS489" s="8">
        <f ca="1">IF(COUNTIF(PlayerGameData[ASTOrder],PlayerGameData[[#This Row],[ASTOrder]])&gt;1,PlayerGameData[[#This Row],[PointRank]]/100+PlayerGameData[[#This Row],[ASTOrder]],PlayerGameData[[#This Row],[ASTOrder]])</f>
        <v>14.17</v>
      </c>
      <c r="AT489" s="8">
        <f ca="1">RANK(PlayerGameData[[#This Row],[ASTTieBreak]],PlayerGameData[ASTTieBreak],1)</f>
        <v>16</v>
      </c>
      <c r="AU489" s="8">
        <f ca="1">RANK(PlayerGameData[[#This Row],[STL]],PlayerGameData[STL],0)+PlayerGameData[[#This Row],[VisibleOrder]]</f>
        <v>26</v>
      </c>
      <c r="AV489" s="8">
        <f ca="1">IF(COUNTIF(PlayerGameData[STLOrder],PlayerGameData[[#This Row],[STLOrder]])&gt;1,PlayerGameData[[#This Row],[PointRank]]/100+PlayerGameData[[#This Row],[STLOrder]],PlayerGameData[[#This Row],[STLOrder]])</f>
        <v>26.17</v>
      </c>
      <c r="AW489" s="8">
        <f ca="1">RANK(PlayerGameData[[#This Row],[STLTieBreak]],PlayerGameData[STLTieBreak],1)</f>
        <v>26</v>
      </c>
      <c r="AX489" s="8">
        <f ca="1">RANK(PlayerGameData[[#This Row],[BLK]],PlayerGameData[BLK],0)+PlayerGameData[[#This Row],[VisibleOrder]]</f>
        <v>32</v>
      </c>
      <c r="AY489" s="8">
        <f ca="1">IF(COUNTIF(PlayerGameData[BLKOrder],PlayerGameData[[#This Row],[BLKOrder]])&gt;1,PlayerGameData[[#This Row],[PointRank]]/100+PlayerGameData[[#This Row],[BLKOrder]],PlayerGameData[[#This Row],[BLKOrder]])</f>
        <v>32.17</v>
      </c>
      <c r="AZ489" s="8">
        <f ca="1">RANK(PlayerGameData[[#This Row],[BLKTieBreak]],PlayerGameData[BLKTieBreak],1)</f>
        <v>45</v>
      </c>
      <c r="BA489" s="11">
        <f ca="1">IFERROR(IF(PlayerGameData[[#This Row],[FGA]]&gt;$AA$5,PlayerGameData[[#This Row],[FG%*]],PlayerGameData[[#This Row],[FG%*]]*-1),-2)</f>
        <v>0.46666666666666667</v>
      </c>
      <c r="BB489" s="8">
        <f ca="1">RANK(PlayerGameData[[#This Row],[EligFG]],PlayerGameData[EligFG],0)+PlayerGameData[[#This Row],[VisibleOrder]]</f>
        <v>54</v>
      </c>
      <c r="BC489" s="8">
        <f ca="1">IF(COUNTIF(PlayerGameData[EligFGOrder],PlayerGameData[[#This Row],[EligFGOrder]])&gt;1,PlayerGameData[[#This Row],[PointRank]]/100+PlayerGameData[[#This Row],[EligFGOrder]],PlayerGameData[[#This Row],[EligFGOrder]])</f>
        <v>54</v>
      </c>
      <c r="BD489" s="8">
        <f ca="1">RANK(PlayerGameData[[#This Row],[EligFGTieBreak]],PlayerGameData[EligFGTieBreak],1)</f>
        <v>53</v>
      </c>
      <c r="BE489" s="8" t="str">
        <f>Roster!$D$3</f>
        <v>East</v>
      </c>
      <c r="BF489" s="8" t="str">
        <f>Roster!$D$2</f>
        <v>Northeast</v>
      </c>
      <c r="BG489" s="8" t="str">
        <f>Roster!$D$4</f>
        <v>North</v>
      </c>
      <c r="BH489" s="197">
        <f ca="1">IFERROR(VLOOKUP(CONCATENATE(PlayerGameData[[#This Row],[Opponent]]," ",MONTH(PlayerGameData[[#This Row],[Date]]),"/",DAY(PlayerGameData[[#This Row],[Date]]),"/",YEAR(PlayerGameData[[#This Row],[Date]])),Table35[],2,FALSE),0)</f>
        <v>1</v>
      </c>
      <c r="BI489" s="197">
        <f ca="1">IF(PlayerGameData[[#This Row],[Visible]]=1,1,1000)</f>
        <v>1</v>
      </c>
      <c r="BJ489" s="197" t="e">
        <f ca="1">_xlfn.MAXIFS(TeamGameData[Win],TeamGameData[School, Opponent,Game'#],PlayerGameData[[#This Row],[School, Opponent,Game'#]])</f>
        <v>#NAME?</v>
      </c>
      <c r="BK489" s="197" t="e">
        <f ca="1">_xlfn.MAXIFS(TeamGameData[Loss],TeamGameData[School, Opponent,Game'#],PlayerGameData[[#This Row],[School, Opponent,Game'#]])</f>
        <v>#NAME?</v>
      </c>
    </row>
    <row r="490" spans="1:63" x14ac:dyDescent="0.25">
      <c r="A490" s="8" t="str">
        <f t="shared" ca="1" si="243"/>
        <v>Rhett Watt, 10</v>
      </c>
      <c r="B490" s="8" t="str">
        <f>Roster!$B$1</f>
        <v>Upton</v>
      </c>
      <c r="C490" s="8" t="str">
        <f t="shared" ca="1" si="231"/>
        <v>Rock River</v>
      </c>
      <c r="D490" s="10">
        <f t="shared" ca="1" si="232"/>
        <v>44980</v>
      </c>
      <c r="E490" s="8">
        <f t="shared" ca="1" si="233"/>
        <v>1</v>
      </c>
      <c r="F490" s="8">
        <f t="shared" ca="1" si="234"/>
        <v>1</v>
      </c>
      <c r="G490" s="8">
        <f t="shared" ca="1" si="235"/>
        <v>19</v>
      </c>
      <c r="H490" s="8">
        <f t="shared" ca="1" si="236"/>
        <v>2</v>
      </c>
      <c r="I490" s="8">
        <f t="shared" ca="1" si="237"/>
        <v>5</v>
      </c>
      <c r="J490" s="8">
        <f t="shared" ca="1" si="238"/>
        <v>2</v>
      </c>
      <c r="K490" s="8">
        <f t="shared" ca="1" si="239"/>
        <v>3</v>
      </c>
      <c r="L490" s="8">
        <f t="shared" ca="1" si="244"/>
        <v>0</v>
      </c>
      <c r="M490" s="8">
        <f t="shared" ca="1" si="245"/>
        <v>0</v>
      </c>
      <c r="N490" s="8">
        <f t="shared" ca="1" si="246"/>
        <v>2</v>
      </c>
      <c r="O490" s="8">
        <f t="shared" ca="1" si="247"/>
        <v>1</v>
      </c>
      <c r="P490" s="8">
        <f t="shared" ca="1" si="248"/>
        <v>4</v>
      </c>
      <c r="Q490" s="8">
        <f t="shared" ca="1" si="249"/>
        <v>2</v>
      </c>
      <c r="R490" s="8">
        <f t="shared" ca="1" si="250"/>
        <v>0</v>
      </c>
      <c r="S490" s="8">
        <f t="shared" ca="1" si="251"/>
        <v>0</v>
      </c>
      <c r="T490" s="8">
        <f t="shared" ca="1" si="252"/>
        <v>0</v>
      </c>
      <c r="U490" s="8">
        <f t="shared" ca="1" si="253"/>
        <v>0</v>
      </c>
      <c r="V490" s="8">
        <f t="shared" ca="1" si="254"/>
        <v>10</v>
      </c>
      <c r="W490" s="11">
        <f t="shared" ca="1" si="255"/>
        <v>0.4</v>
      </c>
      <c r="X490" s="11">
        <f t="shared" ca="1" si="256"/>
        <v>0.66666666666666663</v>
      </c>
      <c r="Y490" s="11" t="str">
        <f t="shared" ca="1" si="257"/>
        <v/>
      </c>
      <c r="Z490" s="11">
        <f t="shared" ca="1" si="258"/>
        <v>0.5</v>
      </c>
      <c r="AA490" s="11">
        <f t="shared" ca="1" si="259"/>
        <v>0.625</v>
      </c>
      <c r="AB490" s="47">
        <f ca="1">PlayerGameData[[#This Row],[3FGA]]+PlayerGameData[[#This Row],[2FGA]]</f>
        <v>8</v>
      </c>
      <c r="AC490" s="47">
        <f ca="1">PlayerGameData[[#This Row],[OFF REB]]+PlayerGameData[[#This Row],[DEF REB]]</f>
        <v>3</v>
      </c>
      <c r="AD490" s="8">
        <f t="shared" si="240"/>
        <v>21</v>
      </c>
      <c r="AE490" s="8" t="str">
        <f t="shared" ca="1" si="241"/>
        <v>Rhett Watt, 10 - Rock River 2/23/2023</v>
      </c>
      <c r="AF490" s="8" t="str">
        <f t="shared" ca="1" si="260"/>
        <v>R</v>
      </c>
      <c r="AG490" s="8" t="str">
        <f ca="1">IFERROR(IF(C490=0,"",IF(AND(VLOOKUP(PlayerGameData[[#This Row],[Opponent]],WYTeamInfo,2,FALSE)=Roster!$D$1,VLOOKUP(PlayerGameData[[#This Row],[Opponent]],WYTeamInfo,3,FALSE)=Roster!$D$2),"SR","")),"")</f>
        <v/>
      </c>
      <c r="AH490" s="8" t="str">
        <f>CONCATENATE(Roster!$D$1," ",Roster!$D$5)</f>
        <v>1A BB</v>
      </c>
      <c r="AI490" s="8" t="str">
        <f t="shared" ca="1" si="242"/>
        <v>Upton - Rock River 2/23/2023</v>
      </c>
      <c r="AJ490" s="8">
        <f ca="1">IFERROR(VLOOKUP(PlayerGameData[[#This Row],[School, Opponent,Game'#]],Table3[],2,FALSE),0)</f>
        <v>1</v>
      </c>
      <c r="AK490" s="8">
        <f ca="1">IF(PlayerGameData[[#This Row],[Visible]]=1,1,1000)</f>
        <v>1</v>
      </c>
      <c r="AL490" s="8">
        <f ca="1">RANK(PlayerGameData[[#This Row],[TL PTS]],PlayerGameData[TL PTS],0)+PlayerGameData[[#This Row],[VisibleOrder]]</f>
        <v>66</v>
      </c>
      <c r="AM490" s="8">
        <f ca="1">IF(COUNTIF(PlayerGameData[PointOrder],PlayerGameData[[#This Row],[PointOrder]])&gt;1,RANK(PlayerGameData[[#This Row],[FGA]],PlayerGameData[FGA],0)/100,0)+PlayerGameData[[#This Row],[PointOrder]]</f>
        <v>66.760000000000005</v>
      </c>
      <c r="AN490" s="8">
        <f ca="1">RANK(PlayerGameData[[#This Row],[PointTieBreak]],PlayerGameData[PointTieBreak],1)</f>
        <v>71</v>
      </c>
      <c r="AO490" s="8">
        <f ca="1">RANK(PlayerGameData[[#This Row],[REB]],PlayerGameData[REB],0)+PlayerGameData[[#This Row],[VisibleOrder]]</f>
        <v>108</v>
      </c>
      <c r="AP490" s="8">
        <f ca="1">IF(COUNTIF(PlayerGameData[REBOrder],PlayerGameData[[#This Row],[REBOrder]])&gt;1,PlayerGameData[[#This Row],[PointRank]]/100+PlayerGameData[[#This Row],[REBOrder]],PlayerGameData[[#This Row],[REBOrder]])</f>
        <v>108.71</v>
      </c>
      <c r="AQ490" s="8">
        <f ca="1">RANK(PlayerGameData[[#This Row],[REBTieBreak]],PlayerGameData[REBTieBreak],1)</f>
        <v>114</v>
      </c>
      <c r="AR490" s="8">
        <f ca="1">RANK(PlayerGameData[[#This Row],[AST]],PlayerGameData[AST],0)+PlayerGameData[[#This Row],[VisibleOrder]]</f>
        <v>24</v>
      </c>
      <c r="AS490" s="8">
        <f ca="1">IF(COUNTIF(PlayerGameData[ASTOrder],PlayerGameData[[#This Row],[ASTOrder]])&gt;1,PlayerGameData[[#This Row],[PointRank]]/100+PlayerGameData[[#This Row],[ASTOrder]],PlayerGameData[[#This Row],[ASTOrder]])</f>
        <v>24.71</v>
      </c>
      <c r="AT490" s="8">
        <f ca="1">RANK(PlayerGameData[[#This Row],[ASTTieBreak]],PlayerGameData[ASTTieBreak],1)</f>
        <v>33</v>
      </c>
      <c r="AU490" s="8">
        <f ca="1">RANK(PlayerGameData[[#This Row],[STL]],PlayerGameData[STL],0)+PlayerGameData[[#This Row],[VisibleOrder]]</f>
        <v>48</v>
      </c>
      <c r="AV490" s="8">
        <f ca="1">IF(COUNTIF(PlayerGameData[STLOrder],PlayerGameData[[#This Row],[STLOrder]])&gt;1,PlayerGameData[[#This Row],[PointRank]]/100+PlayerGameData[[#This Row],[STLOrder]],PlayerGameData[[#This Row],[STLOrder]])</f>
        <v>48.71</v>
      </c>
      <c r="AW490" s="8">
        <f ca="1">RANK(PlayerGameData[[#This Row],[STLTieBreak]],PlayerGameData[STLTieBreak],1)</f>
        <v>61</v>
      </c>
      <c r="AX490" s="8">
        <f ca="1">RANK(PlayerGameData[[#This Row],[BLK]],PlayerGameData[BLK],0)+PlayerGameData[[#This Row],[VisibleOrder]]</f>
        <v>32</v>
      </c>
      <c r="AY490" s="8">
        <f ca="1">IF(COUNTIF(PlayerGameData[BLKOrder],PlayerGameData[[#This Row],[BLKOrder]])&gt;1,PlayerGameData[[#This Row],[PointRank]]/100+PlayerGameData[[#This Row],[BLKOrder]],PlayerGameData[[#This Row],[BLKOrder]])</f>
        <v>32.71</v>
      </c>
      <c r="AZ490" s="8">
        <f ca="1">RANK(PlayerGameData[[#This Row],[BLKTieBreak]],PlayerGameData[BLKTieBreak],1)</f>
        <v>88</v>
      </c>
      <c r="BA490" s="11">
        <f ca="1">IFERROR(IF(PlayerGameData[[#This Row],[FGA]]&gt;$AA$5,PlayerGameData[[#This Row],[FG%*]],PlayerGameData[[#This Row],[FG%*]]*-1),-2)</f>
        <v>0.5</v>
      </c>
      <c r="BB490" s="8">
        <f ca="1">RANK(PlayerGameData[[#This Row],[EligFG]],PlayerGameData[EligFG],0)+PlayerGameData[[#This Row],[VisibleOrder]]</f>
        <v>39</v>
      </c>
      <c r="BC490" s="8">
        <f ca="1">IF(COUNTIF(PlayerGameData[EligFGOrder],PlayerGameData[[#This Row],[EligFGOrder]])&gt;1,PlayerGameData[[#This Row],[PointRank]]/100+PlayerGameData[[#This Row],[EligFGOrder]],PlayerGameData[[#This Row],[EligFGOrder]])</f>
        <v>39.71</v>
      </c>
      <c r="BD490" s="8">
        <f ca="1">RANK(PlayerGameData[[#This Row],[EligFGTieBreak]],PlayerGameData[EligFGTieBreak],1)</f>
        <v>49</v>
      </c>
      <c r="BE490" s="8" t="str">
        <f>Roster!$D$3</f>
        <v>East</v>
      </c>
      <c r="BF490" s="8" t="str">
        <f>Roster!$D$2</f>
        <v>Northeast</v>
      </c>
      <c r="BG490" s="8" t="str">
        <f>Roster!$D$4</f>
        <v>North</v>
      </c>
      <c r="BH490" s="197">
        <f ca="1">IFERROR(VLOOKUP(CONCATENATE(PlayerGameData[[#This Row],[Opponent]]," ",MONTH(PlayerGameData[[#This Row],[Date]]),"/",DAY(PlayerGameData[[#This Row],[Date]]),"/",YEAR(PlayerGameData[[#This Row],[Date]])),Table35[],2,FALSE),0)</f>
        <v>1</v>
      </c>
      <c r="BI490" s="197">
        <f ca="1">IF(PlayerGameData[[#This Row],[Visible]]=1,1,1000)</f>
        <v>1</v>
      </c>
      <c r="BJ490" s="197" t="e">
        <f ca="1">_xlfn.MAXIFS(TeamGameData[Win],TeamGameData[School, Opponent,Game'#],PlayerGameData[[#This Row],[School, Opponent,Game'#]])</f>
        <v>#NAME?</v>
      </c>
      <c r="BK490" s="197" t="e">
        <f ca="1">_xlfn.MAXIFS(TeamGameData[Loss],TeamGameData[School, Opponent,Game'#],PlayerGameData[[#This Row],[School, Opponent,Game'#]])</f>
        <v>#NAME?</v>
      </c>
    </row>
    <row r="491" spans="1:63" x14ac:dyDescent="0.25">
      <c r="A491" s="8" t="str">
        <f t="shared" ca="1" si="243"/>
        <v>Keith Coburn, 11</v>
      </c>
      <c r="B491" s="8" t="str">
        <f>Roster!$B$1</f>
        <v>Upton</v>
      </c>
      <c r="C491" s="8" t="str">
        <f t="shared" ca="1" si="231"/>
        <v>Rock River</v>
      </c>
      <c r="D491" s="10">
        <f t="shared" ca="1" si="232"/>
        <v>44980</v>
      </c>
      <c r="E491" s="8">
        <f t="shared" ca="1" si="233"/>
        <v>0</v>
      </c>
      <c r="F491" s="8">
        <f t="shared" ca="1" si="234"/>
        <v>0</v>
      </c>
      <c r="G491" s="8">
        <f t="shared" ca="1" si="235"/>
        <v>0</v>
      </c>
      <c r="H491" s="8">
        <f t="shared" ca="1" si="236"/>
        <v>0</v>
      </c>
      <c r="I491" s="8">
        <f t="shared" ca="1" si="237"/>
        <v>0</v>
      </c>
      <c r="J491" s="8">
        <f t="shared" ca="1" si="238"/>
        <v>0</v>
      </c>
      <c r="K491" s="8">
        <f t="shared" ca="1" si="239"/>
        <v>0</v>
      </c>
      <c r="L491" s="8">
        <f t="shared" ca="1" si="244"/>
        <v>0</v>
      </c>
      <c r="M491" s="8">
        <f t="shared" ca="1" si="245"/>
        <v>0</v>
      </c>
      <c r="N491" s="8">
        <f t="shared" ca="1" si="246"/>
        <v>0</v>
      </c>
      <c r="O491" s="8">
        <f t="shared" ca="1" si="247"/>
        <v>0</v>
      </c>
      <c r="P491" s="8">
        <f t="shared" ca="1" si="248"/>
        <v>0</v>
      </c>
      <c r="Q491" s="8">
        <f t="shared" ca="1" si="249"/>
        <v>0</v>
      </c>
      <c r="R491" s="8">
        <f t="shared" ca="1" si="250"/>
        <v>0</v>
      </c>
      <c r="S491" s="8">
        <f t="shared" ca="1" si="251"/>
        <v>0</v>
      </c>
      <c r="T491" s="8">
        <f t="shared" ca="1" si="252"/>
        <v>0</v>
      </c>
      <c r="U491" s="8">
        <f t="shared" ca="1" si="253"/>
        <v>0</v>
      </c>
      <c r="V491" s="8">
        <f t="shared" ca="1" si="254"/>
        <v>0</v>
      </c>
      <c r="W491" s="11" t="str">
        <f t="shared" ca="1" si="255"/>
        <v/>
      </c>
      <c r="X491" s="11" t="str">
        <f t="shared" ca="1" si="256"/>
        <v/>
      </c>
      <c r="Y491" s="11" t="str">
        <f t="shared" ca="1" si="257"/>
        <v/>
      </c>
      <c r="Z491" s="11" t="str">
        <f t="shared" ca="1" si="258"/>
        <v/>
      </c>
      <c r="AA491" s="11" t="str">
        <f t="shared" ca="1" si="259"/>
        <v/>
      </c>
      <c r="AB491" s="47">
        <f ca="1">PlayerGameData[[#This Row],[3FGA]]+PlayerGameData[[#This Row],[2FGA]]</f>
        <v>0</v>
      </c>
      <c r="AC491" s="47">
        <f ca="1">PlayerGameData[[#This Row],[OFF REB]]+PlayerGameData[[#This Row],[DEF REB]]</f>
        <v>0</v>
      </c>
      <c r="AD491" s="8">
        <f t="shared" si="240"/>
        <v>21</v>
      </c>
      <c r="AE491" s="8" t="str">
        <f t="shared" ca="1" si="241"/>
        <v>Keith Coburn, 11 - Rock River 2/23/2023</v>
      </c>
      <c r="AF491" s="8" t="str">
        <f t="shared" ca="1" si="260"/>
        <v>R</v>
      </c>
      <c r="AG491" s="8" t="str">
        <f ca="1">IFERROR(IF(C491=0,"",IF(AND(VLOOKUP(PlayerGameData[[#This Row],[Opponent]],WYTeamInfo,2,FALSE)=Roster!$D$1,VLOOKUP(PlayerGameData[[#This Row],[Opponent]],WYTeamInfo,3,FALSE)=Roster!$D$2),"SR","")),"")</f>
        <v/>
      </c>
      <c r="AH491" s="8" t="str">
        <f>CONCATENATE(Roster!$D$1," ",Roster!$D$5)</f>
        <v>1A BB</v>
      </c>
      <c r="AI491" s="8" t="str">
        <f t="shared" ca="1" si="242"/>
        <v>Upton - Rock River 2/23/2023</v>
      </c>
      <c r="AJ491" s="8">
        <f ca="1">IFERROR(VLOOKUP(PlayerGameData[[#This Row],[School, Opponent,Game'#]],Table3[],2,FALSE),0)</f>
        <v>1</v>
      </c>
      <c r="AK491" s="8">
        <f ca="1">IF(PlayerGameData[[#This Row],[Visible]]=1,1,1000)</f>
        <v>1</v>
      </c>
      <c r="AL491" s="8">
        <f ca="1">RANK(PlayerGameData[[#This Row],[TL PTS]],PlayerGameData[TL PTS],0)+PlayerGameData[[#This Row],[VisibleOrder]]</f>
        <v>185</v>
      </c>
      <c r="AM491" s="8">
        <f ca="1">IF(COUNTIF(PlayerGameData[PointOrder],PlayerGameData[[#This Row],[PointOrder]])&gt;1,RANK(PlayerGameData[[#This Row],[FGA]],PlayerGameData[FGA],0)/100,0)+PlayerGameData[[#This Row],[PointOrder]]</f>
        <v>187.14</v>
      </c>
      <c r="AN491" s="8">
        <f ca="1">RANK(PlayerGameData[[#This Row],[PointTieBreak]],PlayerGameData[PointTieBreak],1)</f>
        <v>216</v>
      </c>
      <c r="AO491" s="8">
        <f ca="1">RANK(PlayerGameData[[#This Row],[REB]],PlayerGameData[REB],0)+PlayerGameData[[#This Row],[VisibleOrder]]</f>
        <v>192</v>
      </c>
      <c r="AP491" s="8">
        <f ca="1">IF(COUNTIF(PlayerGameData[REBOrder],PlayerGameData[[#This Row],[REBOrder]])&gt;1,PlayerGameData[[#This Row],[PointRank]]/100+PlayerGameData[[#This Row],[REBOrder]],PlayerGameData[[#This Row],[REBOrder]])</f>
        <v>194.16</v>
      </c>
      <c r="AQ491" s="8">
        <f ca="1">RANK(PlayerGameData[[#This Row],[REBTieBreak]],PlayerGameData[REBTieBreak],1)</f>
        <v>224</v>
      </c>
      <c r="AR491" s="8">
        <f ca="1">RANK(PlayerGameData[[#This Row],[AST]],PlayerGameData[AST],0)+PlayerGameData[[#This Row],[VisibleOrder]]</f>
        <v>158</v>
      </c>
      <c r="AS491" s="8">
        <f ca="1">IF(COUNTIF(PlayerGameData[ASTOrder],PlayerGameData[[#This Row],[ASTOrder]])&gt;1,PlayerGameData[[#This Row],[PointRank]]/100+PlayerGameData[[#This Row],[ASTOrder]],PlayerGameData[[#This Row],[ASTOrder]])</f>
        <v>160.16</v>
      </c>
      <c r="AT491" s="8">
        <f ca="1">RANK(PlayerGameData[[#This Row],[ASTTieBreak]],PlayerGameData[ASTTieBreak],1)</f>
        <v>221</v>
      </c>
      <c r="AU491" s="8">
        <f ca="1">RANK(PlayerGameData[[#This Row],[STL]],PlayerGameData[STL],0)+PlayerGameData[[#This Row],[VisibleOrder]]</f>
        <v>143</v>
      </c>
      <c r="AV491" s="8">
        <f ca="1">IF(COUNTIF(PlayerGameData[STLOrder],PlayerGameData[[#This Row],[STLOrder]])&gt;1,PlayerGameData[[#This Row],[PointRank]]/100+PlayerGameData[[#This Row],[STLOrder]],PlayerGameData[[#This Row],[STLOrder]])</f>
        <v>145.16</v>
      </c>
      <c r="AW491" s="8">
        <f ca="1">RANK(PlayerGameData[[#This Row],[STLTieBreak]],PlayerGameData[STLTieBreak],1)</f>
        <v>217</v>
      </c>
      <c r="AX491" s="8">
        <f ca="1">RANK(PlayerGameData[[#This Row],[BLK]],PlayerGameData[BLK],0)+PlayerGameData[[#This Row],[VisibleOrder]]</f>
        <v>32</v>
      </c>
      <c r="AY491" s="8">
        <f ca="1">IF(COUNTIF(PlayerGameData[BLKOrder],PlayerGameData[[#This Row],[BLKOrder]])&gt;1,PlayerGameData[[#This Row],[PointRank]]/100+PlayerGameData[[#This Row],[BLKOrder]],PlayerGameData[[#This Row],[BLKOrder]])</f>
        <v>34.159999999999997</v>
      </c>
      <c r="AZ491" s="8">
        <f ca="1">RANK(PlayerGameData[[#This Row],[BLKTieBreak]],PlayerGameData[BLKTieBreak],1)</f>
        <v>216</v>
      </c>
      <c r="BA491" s="11">
        <f ca="1">IFERROR(IF(PlayerGameData[[#This Row],[FGA]]&gt;$AA$5,PlayerGameData[[#This Row],[FG%*]],PlayerGameData[[#This Row],[FG%*]]*-1),-2)</f>
        <v>-2</v>
      </c>
      <c r="BB491" s="8">
        <f ca="1">RANK(PlayerGameData[[#This Row],[EligFG]],PlayerGameData[EligFG],0)+PlayerGameData[[#This Row],[VisibleOrder]]</f>
        <v>215</v>
      </c>
      <c r="BC491" s="8">
        <f ca="1">IF(COUNTIF(PlayerGameData[EligFGOrder],PlayerGameData[[#This Row],[EligFGOrder]])&gt;1,PlayerGameData[[#This Row],[PointRank]]/100+PlayerGameData[[#This Row],[EligFGOrder]],PlayerGameData[[#This Row],[EligFGOrder]])</f>
        <v>217.16</v>
      </c>
      <c r="BD491" s="8">
        <f ca="1">RANK(PlayerGameData[[#This Row],[EligFGTieBreak]],PlayerGameData[EligFGTieBreak],1)</f>
        <v>216</v>
      </c>
      <c r="BE491" s="8" t="str">
        <f>Roster!$D$3</f>
        <v>East</v>
      </c>
      <c r="BF491" s="8" t="str">
        <f>Roster!$D$2</f>
        <v>Northeast</v>
      </c>
      <c r="BG491" s="8" t="str">
        <f>Roster!$D$4</f>
        <v>North</v>
      </c>
      <c r="BH491" s="197">
        <f ca="1">IFERROR(VLOOKUP(CONCATENATE(PlayerGameData[[#This Row],[Opponent]]," ",MONTH(PlayerGameData[[#This Row],[Date]]),"/",DAY(PlayerGameData[[#This Row],[Date]]),"/",YEAR(PlayerGameData[[#This Row],[Date]])),Table35[],2,FALSE),0)</f>
        <v>1</v>
      </c>
      <c r="BI491" s="197">
        <f ca="1">IF(PlayerGameData[[#This Row],[Visible]]=1,1,1000)</f>
        <v>1</v>
      </c>
      <c r="BJ491" s="197" t="e">
        <f ca="1">_xlfn.MAXIFS(TeamGameData[Win],TeamGameData[School, Opponent,Game'#],PlayerGameData[[#This Row],[School, Opponent,Game'#]])</f>
        <v>#NAME?</v>
      </c>
      <c r="BK491" s="197" t="e">
        <f ca="1">_xlfn.MAXIFS(TeamGameData[Loss],TeamGameData[School, Opponent,Game'#],PlayerGameData[[#This Row],[School, Opponent,Game'#]])</f>
        <v>#NAME?</v>
      </c>
    </row>
    <row r="492" spans="1:63" x14ac:dyDescent="0.25">
      <c r="A492" s="8" t="str">
        <f t="shared" ca="1" si="243"/>
        <v>Carson Barritt, 14</v>
      </c>
      <c r="B492" s="8" t="str">
        <f>Roster!$B$1</f>
        <v>Upton</v>
      </c>
      <c r="C492" s="8" t="str">
        <f t="shared" ca="1" si="231"/>
        <v>Rock River</v>
      </c>
      <c r="D492" s="10">
        <f t="shared" ca="1" si="232"/>
        <v>44980</v>
      </c>
      <c r="E492" s="8">
        <f t="shared" ca="1" si="233"/>
        <v>1</v>
      </c>
      <c r="F492" s="8">
        <f t="shared" ca="1" si="234"/>
        <v>0</v>
      </c>
      <c r="G492" s="8">
        <f t="shared" ca="1" si="235"/>
        <v>3</v>
      </c>
      <c r="H492" s="8">
        <f t="shared" ca="1" si="236"/>
        <v>0</v>
      </c>
      <c r="I492" s="8">
        <f t="shared" ca="1" si="237"/>
        <v>1</v>
      </c>
      <c r="J492" s="8">
        <f t="shared" ca="1" si="238"/>
        <v>0</v>
      </c>
      <c r="K492" s="8">
        <f t="shared" ca="1" si="239"/>
        <v>0</v>
      </c>
      <c r="L492" s="8">
        <f t="shared" ca="1" si="244"/>
        <v>0</v>
      </c>
      <c r="M492" s="8">
        <f t="shared" ca="1" si="245"/>
        <v>0</v>
      </c>
      <c r="N492" s="8">
        <f t="shared" ca="1" si="246"/>
        <v>0</v>
      </c>
      <c r="O492" s="8">
        <f t="shared" ca="1" si="247"/>
        <v>0</v>
      </c>
      <c r="P492" s="8">
        <f t="shared" ca="1" si="248"/>
        <v>0</v>
      </c>
      <c r="Q492" s="8">
        <f t="shared" ca="1" si="249"/>
        <v>0</v>
      </c>
      <c r="R492" s="8">
        <f t="shared" ca="1" si="250"/>
        <v>0</v>
      </c>
      <c r="S492" s="8">
        <f t="shared" ca="1" si="251"/>
        <v>0</v>
      </c>
      <c r="T492" s="8">
        <f t="shared" ca="1" si="252"/>
        <v>0</v>
      </c>
      <c r="U492" s="8">
        <f t="shared" ca="1" si="253"/>
        <v>0</v>
      </c>
      <c r="V492" s="8">
        <f t="shared" ca="1" si="254"/>
        <v>0</v>
      </c>
      <c r="W492" s="11">
        <f t="shared" ca="1" si="255"/>
        <v>0</v>
      </c>
      <c r="X492" s="11" t="str">
        <f t="shared" ca="1" si="256"/>
        <v/>
      </c>
      <c r="Y492" s="11" t="str">
        <f t="shared" ca="1" si="257"/>
        <v/>
      </c>
      <c r="Z492" s="11">
        <f t="shared" ca="1" si="258"/>
        <v>0</v>
      </c>
      <c r="AA492" s="11">
        <f t="shared" ca="1" si="259"/>
        <v>0</v>
      </c>
      <c r="AB492" s="47">
        <f ca="1">PlayerGameData[[#This Row],[3FGA]]+PlayerGameData[[#This Row],[2FGA]]</f>
        <v>1</v>
      </c>
      <c r="AC492" s="47">
        <f ca="1">PlayerGameData[[#This Row],[OFF REB]]+PlayerGameData[[#This Row],[DEF REB]]</f>
        <v>0</v>
      </c>
      <c r="AD492" s="8">
        <f t="shared" si="240"/>
        <v>21</v>
      </c>
      <c r="AE492" s="8" t="str">
        <f t="shared" ca="1" si="241"/>
        <v>Carson Barritt, 14 - Rock River 2/23/2023</v>
      </c>
      <c r="AF492" s="8" t="str">
        <f t="shared" ca="1" si="260"/>
        <v>R</v>
      </c>
      <c r="AG492" s="8" t="str">
        <f ca="1">IFERROR(IF(C492=0,"",IF(AND(VLOOKUP(PlayerGameData[[#This Row],[Opponent]],WYTeamInfo,2,FALSE)=Roster!$D$1,VLOOKUP(PlayerGameData[[#This Row],[Opponent]],WYTeamInfo,3,FALSE)=Roster!$D$2),"SR","")),"")</f>
        <v/>
      </c>
      <c r="AH492" s="8" t="str">
        <f>CONCATENATE(Roster!$D$1," ",Roster!$D$5)</f>
        <v>1A BB</v>
      </c>
      <c r="AI492" s="8" t="str">
        <f t="shared" ca="1" si="242"/>
        <v>Upton - Rock River 2/23/2023</v>
      </c>
      <c r="AJ492" s="8">
        <f ca="1">IFERROR(VLOOKUP(PlayerGameData[[#This Row],[School, Opponent,Game'#]],Table3[],2,FALSE),0)</f>
        <v>1</v>
      </c>
      <c r="AK492" s="8">
        <f ca="1">IF(PlayerGameData[[#This Row],[Visible]]=1,1,1000)</f>
        <v>1</v>
      </c>
      <c r="AL492" s="8">
        <f ca="1">RANK(PlayerGameData[[#This Row],[TL PTS]],PlayerGameData[TL PTS],0)+PlayerGameData[[#This Row],[VisibleOrder]]</f>
        <v>185</v>
      </c>
      <c r="AM492" s="8">
        <f ca="1">IF(COUNTIF(PlayerGameData[PointOrder],PlayerGameData[[#This Row],[PointOrder]])&gt;1,RANK(PlayerGameData[[#This Row],[FGA]],PlayerGameData[FGA],0)/100,0)+PlayerGameData[[#This Row],[PointOrder]]</f>
        <v>186.82</v>
      </c>
      <c r="AN492" s="8">
        <f ca="1">RANK(PlayerGameData[[#This Row],[PointTieBreak]],PlayerGameData[PointTieBreak],1)</f>
        <v>196</v>
      </c>
      <c r="AO492" s="8">
        <f ca="1">RANK(PlayerGameData[[#This Row],[REB]],PlayerGameData[REB],0)+PlayerGameData[[#This Row],[VisibleOrder]]</f>
        <v>192</v>
      </c>
      <c r="AP492" s="8">
        <f ca="1">IF(COUNTIF(PlayerGameData[REBOrder],PlayerGameData[[#This Row],[REBOrder]])&gt;1,PlayerGameData[[#This Row],[PointRank]]/100+PlayerGameData[[#This Row],[REBOrder]],PlayerGameData[[#This Row],[REBOrder]])</f>
        <v>193.96</v>
      </c>
      <c r="AQ492" s="8">
        <f ca="1">RANK(PlayerGameData[[#This Row],[REBTieBreak]],PlayerGameData[REBTieBreak],1)</f>
        <v>213</v>
      </c>
      <c r="AR492" s="8">
        <f ca="1">RANK(PlayerGameData[[#This Row],[AST]],PlayerGameData[AST],0)+PlayerGameData[[#This Row],[VisibleOrder]]</f>
        <v>158</v>
      </c>
      <c r="AS492" s="8">
        <f ca="1">IF(COUNTIF(PlayerGameData[ASTOrder],PlayerGameData[[#This Row],[ASTOrder]])&gt;1,PlayerGameData[[#This Row],[PointRank]]/100+PlayerGameData[[#This Row],[ASTOrder]],PlayerGameData[[#This Row],[ASTOrder]])</f>
        <v>159.96</v>
      </c>
      <c r="AT492" s="8">
        <f ca="1">RANK(PlayerGameData[[#This Row],[ASTTieBreak]],PlayerGameData[ASTTieBreak],1)</f>
        <v>208</v>
      </c>
      <c r="AU492" s="8">
        <f ca="1">RANK(PlayerGameData[[#This Row],[STL]],PlayerGameData[STL],0)+PlayerGameData[[#This Row],[VisibleOrder]]</f>
        <v>143</v>
      </c>
      <c r="AV492" s="8">
        <f ca="1">IF(COUNTIF(PlayerGameData[STLOrder],PlayerGameData[[#This Row],[STLOrder]])&gt;1,PlayerGameData[[#This Row],[PointRank]]/100+PlayerGameData[[#This Row],[STLOrder]],PlayerGameData[[#This Row],[STLOrder]])</f>
        <v>144.96</v>
      </c>
      <c r="AW492" s="8">
        <f ca="1">RANK(PlayerGameData[[#This Row],[STLTieBreak]],PlayerGameData[STLTieBreak],1)</f>
        <v>200</v>
      </c>
      <c r="AX492" s="8">
        <f ca="1">RANK(PlayerGameData[[#This Row],[BLK]],PlayerGameData[BLK],0)+PlayerGameData[[#This Row],[VisibleOrder]]</f>
        <v>32</v>
      </c>
      <c r="AY492" s="8">
        <f ca="1">IF(COUNTIF(PlayerGameData[BLKOrder],PlayerGameData[[#This Row],[BLKOrder]])&gt;1,PlayerGameData[[#This Row],[PointRank]]/100+PlayerGameData[[#This Row],[BLKOrder]],PlayerGameData[[#This Row],[BLKOrder]])</f>
        <v>33.96</v>
      </c>
      <c r="AZ492" s="8">
        <f ca="1">RANK(PlayerGameData[[#This Row],[BLKTieBreak]],PlayerGameData[BLKTieBreak],1)</f>
        <v>196</v>
      </c>
      <c r="BA492" s="11">
        <f ca="1">IFERROR(IF(PlayerGameData[[#This Row],[FGA]]&gt;$AA$5,PlayerGameData[[#This Row],[FG%*]],PlayerGameData[[#This Row],[FG%*]]*-1),-2)</f>
        <v>0</v>
      </c>
      <c r="BB492" s="8">
        <f ca="1">RANK(PlayerGameData[[#This Row],[EligFG]],PlayerGameData[EligFG],0)+PlayerGameData[[#This Row],[VisibleOrder]]</f>
        <v>117</v>
      </c>
      <c r="BC492" s="8">
        <f ca="1">IF(COUNTIF(PlayerGameData[EligFGOrder],PlayerGameData[[#This Row],[EligFGOrder]])&gt;1,PlayerGameData[[#This Row],[PointRank]]/100+PlayerGameData[[#This Row],[EligFGOrder]],PlayerGameData[[#This Row],[EligFGOrder]])</f>
        <v>118.96</v>
      </c>
      <c r="BD492" s="8">
        <f ca="1">RANK(PlayerGameData[[#This Row],[EligFGTieBreak]],PlayerGameData[EligFGTieBreak],1)</f>
        <v>138</v>
      </c>
      <c r="BE492" s="8" t="str">
        <f>Roster!$D$3</f>
        <v>East</v>
      </c>
      <c r="BF492" s="8" t="str">
        <f>Roster!$D$2</f>
        <v>Northeast</v>
      </c>
      <c r="BG492" s="8" t="str">
        <f>Roster!$D$4</f>
        <v>North</v>
      </c>
      <c r="BH492" s="197">
        <f ca="1">IFERROR(VLOOKUP(CONCATENATE(PlayerGameData[[#This Row],[Opponent]]," ",MONTH(PlayerGameData[[#This Row],[Date]]),"/",DAY(PlayerGameData[[#This Row],[Date]]),"/",YEAR(PlayerGameData[[#This Row],[Date]])),Table35[],2,FALSE),0)</f>
        <v>1</v>
      </c>
      <c r="BI492" s="197">
        <f ca="1">IF(PlayerGameData[[#This Row],[Visible]]=1,1,1000)</f>
        <v>1</v>
      </c>
      <c r="BJ492" s="197" t="e">
        <f ca="1">_xlfn.MAXIFS(TeamGameData[Win],TeamGameData[School, Opponent,Game'#],PlayerGameData[[#This Row],[School, Opponent,Game'#]])</f>
        <v>#NAME?</v>
      </c>
      <c r="BK492" s="197" t="e">
        <f ca="1">_xlfn.MAXIFS(TeamGameData[Loss],TeamGameData[School, Opponent,Game'#],PlayerGameData[[#This Row],[School, Opponent,Game'#]])</f>
        <v>#NAME?</v>
      </c>
    </row>
    <row r="493" spans="1:63" x14ac:dyDescent="0.25">
      <c r="A493" s="8" t="str">
        <f t="shared" ca="1" si="243"/>
        <v>Ben Carpenter, 21</v>
      </c>
      <c r="B493" s="8" t="str">
        <f>Roster!$B$1</f>
        <v>Upton</v>
      </c>
      <c r="C493" s="8" t="str">
        <f t="shared" ca="1" si="231"/>
        <v>Rock River</v>
      </c>
      <c r="D493" s="10">
        <f t="shared" ca="1" si="232"/>
        <v>44980</v>
      </c>
      <c r="E493" s="8">
        <f t="shared" ca="1" si="233"/>
        <v>1</v>
      </c>
      <c r="F493" s="8">
        <f t="shared" ca="1" si="234"/>
        <v>0</v>
      </c>
      <c r="G493" s="8">
        <f t="shared" ca="1" si="235"/>
        <v>5</v>
      </c>
      <c r="H493" s="8">
        <f t="shared" ca="1" si="236"/>
        <v>0</v>
      </c>
      <c r="I493" s="8">
        <f t="shared" ca="1" si="237"/>
        <v>0</v>
      </c>
      <c r="J493" s="8">
        <f t="shared" ca="1" si="238"/>
        <v>1</v>
      </c>
      <c r="K493" s="8">
        <f t="shared" ca="1" si="239"/>
        <v>2</v>
      </c>
      <c r="L493" s="8">
        <f t="shared" ca="1" si="244"/>
        <v>0</v>
      </c>
      <c r="M493" s="8">
        <f t="shared" ca="1" si="245"/>
        <v>0</v>
      </c>
      <c r="N493" s="8">
        <f t="shared" ca="1" si="246"/>
        <v>1</v>
      </c>
      <c r="O493" s="8">
        <f t="shared" ca="1" si="247"/>
        <v>0</v>
      </c>
      <c r="P493" s="8">
        <f t="shared" ca="1" si="248"/>
        <v>0</v>
      </c>
      <c r="Q493" s="8">
        <f t="shared" ca="1" si="249"/>
        <v>0</v>
      </c>
      <c r="R493" s="8">
        <f t="shared" ca="1" si="250"/>
        <v>0</v>
      </c>
      <c r="S493" s="8">
        <f t="shared" ca="1" si="251"/>
        <v>1</v>
      </c>
      <c r="T493" s="8">
        <f t="shared" ca="1" si="252"/>
        <v>1</v>
      </c>
      <c r="U493" s="8">
        <f t="shared" ca="1" si="253"/>
        <v>0</v>
      </c>
      <c r="V493" s="8">
        <f t="shared" ca="1" si="254"/>
        <v>2</v>
      </c>
      <c r="W493" s="11" t="str">
        <f t="shared" ca="1" si="255"/>
        <v/>
      </c>
      <c r="X493" s="11">
        <f t="shared" ca="1" si="256"/>
        <v>0.5</v>
      </c>
      <c r="Y493" s="11" t="str">
        <f t="shared" ca="1" si="257"/>
        <v/>
      </c>
      <c r="Z493" s="11">
        <f t="shared" ca="1" si="258"/>
        <v>0.5</v>
      </c>
      <c r="AA493" s="11">
        <f t="shared" ca="1" si="259"/>
        <v>0.5</v>
      </c>
      <c r="AB493" s="47">
        <f ca="1">PlayerGameData[[#This Row],[3FGA]]+PlayerGameData[[#This Row],[2FGA]]</f>
        <v>2</v>
      </c>
      <c r="AC493" s="47">
        <f ca="1">PlayerGameData[[#This Row],[OFF REB]]+PlayerGameData[[#This Row],[DEF REB]]</f>
        <v>1</v>
      </c>
      <c r="AD493" s="8">
        <f t="shared" si="240"/>
        <v>21</v>
      </c>
      <c r="AE493" s="8" t="str">
        <f t="shared" ca="1" si="241"/>
        <v>Ben Carpenter, 21 - Rock River 2/23/2023</v>
      </c>
      <c r="AF493" s="8" t="str">
        <f t="shared" ca="1" si="260"/>
        <v>R</v>
      </c>
      <c r="AG493" s="8" t="str">
        <f ca="1">IFERROR(IF(C493=0,"",IF(AND(VLOOKUP(PlayerGameData[[#This Row],[Opponent]],WYTeamInfo,2,FALSE)=Roster!$D$1,VLOOKUP(PlayerGameData[[#This Row],[Opponent]],WYTeamInfo,3,FALSE)=Roster!$D$2),"SR","")),"")</f>
        <v/>
      </c>
      <c r="AH493" s="8" t="str">
        <f>CONCATENATE(Roster!$D$1," ",Roster!$D$5)</f>
        <v>1A BB</v>
      </c>
      <c r="AI493" s="8" t="str">
        <f t="shared" ca="1" si="242"/>
        <v>Upton - Rock River 2/23/2023</v>
      </c>
      <c r="AJ493" s="8">
        <f ca="1">IFERROR(VLOOKUP(PlayerGameData[[#This Row],[School, Opponent,Game'#]],Table3[],2,FALSE),0)</f>
        <v>1</v>
      </c>
      <c r="AK493" s="8">
        <f ca="1">IF(PlayerGameData[[#This Row],[Visible]]=1,1,1000)</f>
        <v>1</v>
      </c>
      <c r="AL493" s="8">
        <f ca="1">RANK(PlayerGameData[[#This Row],[TL PTS]],PlayerGameData[TL PTS],0)+PlayerGameData[[#This Row],[VisibleOrder]]</f>
        <v>152</v>
      </c>
      <c r="AM493" s="8">
        <f ca="1">IF(COUNTIF(PlayerGameData[PointOrder],PlayerGameData[[#This Row],[PointOrder]])&gt;1,RANK(PlayerGameData[[#This Row],[FGA]],PlayerGameData[FGA],0)/100,0)+PlayerGameData[[#This Row],[PointOrder]]</f>
        <v>153.61000000000001</v>
      </c>
      <c r="AN493" s="8">
        <f ca="1">RANK(PlayerGameData[[#This Row],[PointTieBreak]],PlayerGameData[PointTieBreak],1)</f>
        <v>163</v>
      </c>
      <c r="AO493" s="8">
        <f ca="1">RANK(PlayerGameData[[#This Row],[REB]],PlayerGameData[REB],0)+PlayerGameData[[#This Row],[VisibleOrder]]</f>
        <v>163</v>
      </c>
      <c r="AP493" s="8">
        <f ca="1">IF(COUNTIF(PlayerGameData[REBOrder],PlayerGameData[[#This Row],[REBOrder]])&gt;1,PlayerGameData[[#This Row],[PointRank]]/100+PlayerGameData[[#This Row],[REBOrder]],PlayerGameData[[#This Row],[REBOrder]])</f>
        <v>164.63</v>
      </c>
      <c r="AQ493" s="8">
        <f ca="1">RANK(PlayerGameData[[#This Row],[REBTieBreak]],PlayerGameData[REBTieBreak],1)</f>
        <v>176</v>
      </c>
      <c r="AR493" s="8">
        <f ca="1">RANK(PlayerGameData[[#This Row],[AST]],PlayerGameData[AST],0)+PlayerGameData[[#This Row],[VisibleOrder]]</f>
        <v>158</v>
      </c>
      <c r="AS493" s="8">
        <f ca="1">IF(COUNTIF(PlayerGameData[ASTOrder],PlayerGameData[[#This Row],[ASTOrder]])&gt;1,PlayerGameData[[#This Row],[PointRank]]/100+PlayerGameData[[#This Row],[ASTOrder]],PlayerGameData[[#This Row],[ASTOrder]])</f>
        <v>159.63</v>
      </c>
      <c r="AT493" s="8">
        <f ca="1">RANK(PlayerGameData[[#This Row],[ASTTieBreak]],PlayerGameData[ASTTieBreak],1)</f>
        <v>186</v>
      </c>
      <c r="AU493" s="8">
        <f ca="1">RANK(PlayerGameData[[#This Row],[STL]],PlayerGameData[STL],0)+PlayerGameData[[#This Row],[VisibleOrder]]</f>
        <v>143</v>
      </c>
      <c r="AV493" s="8">
        <f ca="1">IF(COUNTIF(PlayerGameData[STLOrder],PlayerGameData[[#This Row],[STLOrder]])&gt;1,PlayerGameData[[#This Row],[PointRank]]/100+PlayerGameData[[#This Row],[STLOrder]],PlayerGameData[[#This Row],[STLOrder]])</f>
        <v>144.63</v>
      </c>
      <c r="AW493" s="8">
        <f ca="1">RANK(PlayerGameData[[#This Row],[STLTieBreak]],PlayerGameData[STLTieBreak],1)</f>
        <v>181</v>
      </c>
      <c r="AX493" s="8">
        <f ca="1">RANK(PlayerGameData[[#This Row],[BLK]],PlayerGameData[BLK],0)+PlayerGameData[[#This Row],[VisibleOrder]]</f>
        <v>32</v>
      </c>
      <c r="AY493" s="8">
        <f ca="1">IF(COUNTIF(PlayerGameData[BLKOrder],PlayerGameData[[#This Row],[BLKOrder]])&gt;1,PlayerGameData[[#This Row],[PointRank]]/100+PlayerGameData[[#This Row],[BLKOrder]],PlayerGameData[[#This Row],[BLKOrder]])</f>
        <v>33.630000000000003</v>
      </c>
      <c r="AZ493" s="8">
        <f ca="1">RANK(PlayerGameData[[#This Row],[BLKTieBreak]],PlayerGameData[BLKTieBreak],1)</f>
        <v>164</v>
      </c>
      <c r="BA493" s="11">
        <f ca="1">IFERROR(IF(PlayerGameData[[#This Row],[FGA]]&gt;$AA$5,PlayerGameData[[#This Row],[FG%*]],PlayerGameData[[#This Row],[FG%*]]*-1),-2)</f>
        <v>-0.5</v>
      </c>
      <c r="BB493" s="8">
        <f ca="1">RANK(PlayerGameData[[#This Row],[EligFG]],PlayerGameData[EligFG],0)+PlayerGameData[[#This Row],[VisibleOrder]]</f>
        <v>182</v>
      </c>
      <c r="BC493" s="8">
        <f ca="1">IF(COUNTIF(PlayerGameData[EligFGOrder],PlayerGameData[[#This Row],[EligFGOrder]])&gt;1,PlayerGameData[[#This Row],[PointRank]]/100+PlayerGameData[[#This Row],[EligFGOrder]],PlayerGameData[[#This Row],[EligFGOrder]])</f>
        <v>183.63</v>
      </c>
      <c r="BD493" s="8">
        <f ca="1">RANK(PlayerGameData[[#This Row],[EligFGTieBreak]],PlayerGameData[EligFGTieBreak],1)</f>
        <v>188</v>
      </c>
      <c r="BE493" s="8" t="str">
        <f>Roster!$D$3</f>
        <v>East</v>
      </c>
      <c r="BF493" s="8" t="str">
        <f>Roster!$D$2</f>
        <v>Northeast</v>
      </c>
      <c r="BG493" s="8" t="str">
        <f>Roster!$D$4</f>
        <v>North</v>
      </c>
      <c r="BH493" s="197">
        <f ca="1">IFERROR(VLOOKUP(CONCATENATE(PlayerGameData[[#This Row],[Opponent]]," ",MONTH(PlayerGameData[[#This Row],[Date]]),"/",DAY(PlayerGameData[[#This Row],[Date]]),"/",YEAR(PlayerGameData[[#This Row],[Date]])),Table35[],2,FALSE),0)</f>
        <v>1</v>
      </c>
      <c r="BI493" s="197">
        <f ca="1">IF(PlayerGameData[[#This Row],[Visible]]=1,1,1000)</f>
        <v>1</v>
      </c>
      <c r="BJ493" s="197" t="e">
        <f ca="1">_xlfn.MAXIFS(TeamGameData[Win],TeamGameData[School, Opponent,Game'#],PlayerGameData[[#This Row],[School, Opponent,Game'#]])</f>
        <v>#NAME?</v>
      </c>
      <c r="BK493" s="197" t="e">
        <f ca="1">_xlfn.MAXIFS(TeamGameData[Loss],TeamGameData[School, Opponent,Game'#],PlayerGameData[[#This Row],[School, Opponent,Game'#]])</f>
        <v>#NAME?</v>
      </c>
    </row>
    <row r="494" spans="1:63" x14ac:dyDescent="0.25">
      <c r="A494" s="8" t="str">
        <f t="shared" ca="1" si="243"/>
        <v>Ethan Schiller, 23</v>
      </c>
      <c r="B494" s="8" t="str">
        <f>Roster!$B$1</f>
        <v>Upton</v>
      </c>
      <c r="C494" s="8" t="str">
        <f t="shared" ca="1" si="231"/>
        <v>Rock River</v>
      </c>
      <c r="D494" s="10">
        <f t="shared" ca="1" si="232"/>
        <v>44980</v>
      </c>
      <c r="E494" s="8">
        <f t="shared" ca="1" si="233"/>
        <v>1</v>
      </c>
      <c r="F494" s="8">
        <f t="shared" ca="1" si="234"/>
        <v>1</v>
      </c>
      <c r="G494" s="8">
        <f t="shared" ca="1" si="235"/>
        <v>21</v>
      </c>
      <c r="H494" s="8">
        <f t="shared" ca="1" si="236"/>
        <v>0</v>
      </c>
      <c r="I494" s="8">
        <f t="shared" ca="1" si="237"/>
        <v>1</v>
      </c>
      <c r="J494" s="8">
        <f t="shared" ca="1" si="238"/>
        <v>2</v>
      </c>
      <c r="K494" s="8">
        <f t="shared" ca="1" si="239"/>
        <v>4</v>
      </c>
      <c r="L494" s="8">
        <f t="shared" ca="1" si="244"/>
        <v>6</v>
      </c>
      <c r="M494" s="8">
        <f t="shared" ca="1" si="245"/>
        <v>8</v>
      </c>
      <c r="N494" s="8">
        <f t="shared" ca="1" si="246"/>
        <v>3</v>
      </c>
      <c r="O494" s="8">
        <f t="shared" ca="1" si="247"/>
        <v>6</v>
      </c>
      <c r="P494" s="8">
        <f t="shared" ca="1" si="248"/>
        <v>1</v>
      </c>
      <c r="Q494" s="8">
        <f t="shared" ca="1" si="249"/>
        <v>3</v>
      </c>
      <c r="R494" s="8">
        <f t="shared" ca="1" si="250"/>
        <v>1</v>
      </c>
      <c r="S494" s="8">
        <f t="shared" ca="1" si="251"/>
        <v>3</v>
      </c>
      <c r="T494" s="8">
        <f t="shared" ca="1" si="252"/>
        <v>1</v>
      </c>
      <c r="U494" s="8">
        <f t="shared" ca="1" si="253"/>
        <v>0</v>
      </c>
      <c r="V494" s="8">
        <f t="shared" ca="1" si="254"/>
        <v>10</v>
      </c>
      <c r="W494" s="11">
        <f t="shared" ca="1" si="255"/>
        <v>0</v>
      </c>
      <c r="X494" s="11">
        <f t="shared" ca="1" si="256"/>
        <v>0.5</v>
      </c>
      <c r="Y494" s="11">
        <f t="shared" ca="1" si="257"/>
        <v>0.75</v>
      </c>
      <c r="Z494" s="11">
        <f t="shared" ca="1" si="258"/>
        <v>0.4</v>
      </c>
      <c r="AA494" s="11">
        <f t="shared" ca="1" si="259"/>
        <v>0.4</v>
      </c>
      <c r="AB494" s="47">
        <f ca="1">PlayerGameData[[#This Row],[3FGA]]+PlayerGameData[[#This Row],[2FGA]]</f>
        <v>5</v>
      </c>
      <c r="AC494" s="47">
        <f ca="1">PlayerGameData[[#This Row],[OFF REB]]+PlayerGameData[[#This Row],[DEF REB]]</f>
        <v>9</v>
      </c>
      <c r="AD494" s="8">
        <f t="shared" si="240"/>
        <v>21</v>
      </c>
      <c r="AE494" s="8" t="str">
        <f t="shared" ca="1" si="241"/>
        <v>Ethan Schiller, 23 - Rock River 2/23/2023</v>
      </c>
      <c r="AF494" s="8" t="str">
        <f t="shared" ca="1" si="260"/>
        <v>R</v>
      </c>
      <c r="AG494" s="8" t="str">
        <f ca="1">IFERROR(IF(C494=0,"",IF(AND(VLOOKUP(PlayerGameData[[#This Row],[Opponent]],WYTeamInfo,2,FALSE)=Roster!$D$1,VLOOKUP(PlayerGameData[[#This Row],[Opponent]],WYTeamInfo,3,FALSE)=Roster!$D$2),"SR","")),"")</f>
        <v/>
      </c>
      <c r="AH494" s="8" t="str">
        <f>CONCATENATE(Roster!$D$1," ",Roster!$D$5)</f>
        <v>1A BB</v>
      </c>
      <c r="AI494" s="8" t="str">
        <f t="shared" ca="1" si="242"/>
        <v>Upton - Rock River 2/23/2023</v>
      </c>
      <c r="AJ494" s="8">
        <f ca="1">IFERROR(VLOOKUP(PlayerGameData[[#This Row],[School, Opponent,Game'#]],Table3[],2,FALSE),0)</f>
        <v>1</v>
      </c>
      <c r="AK494" s="8">
        <f ca="1">IF(PlayerGameData[[#This Row],[Visible]]=1,1,1000)</f>
        <v>1</v>
      </c>
      <c r="AL494" s="8">
        <f ca="1">RANK(PlayerGameData[[#This Row],[TL PTS]],PlayerGameData[TL PTS],0)+PlayerGameData[[#This Row],[VisibleOrder]]</f>
        <v>66</v>
      </c>
      <c r="AM494" s="8">
        <f ca="1">IF(COUNTIF(PlayerGameData[PointOrder],PlayerGameData[[#This Row],[PointOrder]])&gt;1,RANK(PlayerGameData[[#This Row],[FGA]],PlayerGameData[FGA],0)/100,0)+PlayerGameData[[#This Row],[PointOrder]]</f>
        <v>67.19</v>
      </c>
      <c r="AN494" s="8">
        <f ca="1">RANK(PlayerGameData[[#This Row],[PointTieBreak]],PlayerGameData[PointTieBreak],1)</f>
        <v>73</v>
      </c>
      <c r="AO494" s="8">
        <f ca="1">RANK(PlayerGameData[[#This Row],[REB]],PlayerGameData[REB],0)+PlayerGameData[[#This Row],[VisibleOrder]]</f>
        <v>13</v>
      </c>
      <c r="AP494" s="8">
        <f ca="1">IF(COUNTIF(PlayerGameData[REBOrder],PlayerGameData[[#This Row],[REBOrder]])&gt;1,PlayerGameData[[#This Row],[PointRank]]/100+PlayerGameData[[#This Row],[REBOrder]],PlayerGameData[[#This Row],[REBOrder]])</f>
        <v>13.73</v>
      </c>
      <c r="AQ494" s="8">
        <f ca="1">RANK(PlayerGameData[[#This Row],[REBTieBreak]],PlayerGameData[REBTieBreak],1)</f>
        <v>16</v>
      </c>
      <c r="AR494" s="8">
        <f ca="1">RANK(PlayerGameData[[#This Row],[AST]],PlayerGameData[AST],0)+PlayerGameData[[#This Row],[VisibleOrder]]</f>
        <v>115</v>
      </c>
      <c r="AS494" s="8">
        <f ca="1">IF(COUNTIF(PlayerGameData[ASTOrder],PlayerGameData[[#This Row],[ASTOrder]])&gt;1,PlayerGameData[[#This Row],[PointRank]]/100+PlayerGameData[[#This Row],[ASTOrder]],PlayerGameData[[#This Row],[ASTOrder]])</f>
        <v>115.73</v>
      </c>
      <c r="AT494" s="8">
        <f ca="1">RANK(PlayerGameData[[#This Row],[ASTTieBreak]],PlayerGameData[ASTTieBreak],1)</f>
        <v>123</v>
      </c>
      <c r="AU494" s="8">
        <f ca="1">RANK(PlayerGameData[[#This Row],[STL]],PlayerGameData[STL],0)+PlayerGameData[[#This Row],[VisibleOrder]]</f>
        <v>26</v>
      </c>
      <c r="AV494" s="8">
        <f ca="1">IF(COUNTIF(PlayerGameData[STLOrder],PlayerGameData[[#This Row],[STLOrder]])&gt;1,PlayerGameData[[#This Row],[PointRank]]/100+PlayerGameData[[#This Row],[STLOrder]],PlayerGameData[[#This Row],[STLOrder]])</f>
        <v>26.73</v>
      </c>
      <c r="AW494" s="8">
        <f ca="1">RANK(PlayerGameData[[#This Row],[STLTieBreak]],PlayerGameData[STLTieBreak],1)</f>
        <v>37</v>
      </c>
      <c r="AX494" s="8">
        <f ca="1">RANK(PlayerGameData[[#This Row],[BLK]],PlayerGameData[BLK],0)+PlayerGameData[[#This Row],[VisibleOrder]]</f>
        <v>11</v>
      </c>
      <c r="AY494" s="8">
        <f ca="1">IF(COUNTIF(PlayerGameData[BLKOrder],PlayerGameData[[#This Row],[BLKOrder]])&gt;1,PlayerGameData[[#This Row],[PointRank]]/100+PlayerGameData[[#This Row],[BLKOrder]],PlayerGameData[[#This Row],[BLKOrder]])</f>
        <v>11.73</v>
      </c>
      <c r="AZ494" s="8">
        <f ca="1">RANK(PlayerGameData[[#This Row],[BLKTieBreak]],PlayerGameData[BLKTieBreak],1)</f>
        <v>17</v>
      </c>
      <c r="BA494" s="11">
        <f ca="1">IFERROR(IF(PlayerGameData[[#This Row],[FGA]]&gt;$AA$5,PlayerGameData[[#This Row],[FG%*]],PlayerGameData[[#This Row],[FG%*]]*-1),-2)</f>
        <v>-0.4</v>
      </c>
      <c r="BB494" s="8">
        <f ca="1">RANK(PlayerGameData[[#This Row],[EligFG]],PlayerGameData[EligFG],0)+PlayerGameData[[#This Row],[VisibleOrder]]</f>
        <v>176</v>
      </c>
      <c r="BC494" s="8">
        <f ca="1">IF(COUNTIF(PlayerGameData[EligFGOrder],PlayerGameData[[#This Row],[EligFGOrder]])&gt;1,PlayerGameData[[#This Row],[PointRank]]/100+PlayerGameData[[#This Row],[EligFGOrder]],PlayerGameData[[#This Row],[EligFGOrder]])</f>
        <v>176.73</v>
      </c>
      <c r="BD494" s="8">
        <f ca="1">RANK(PlayerGameData[[#This Row],[EligFGTieBreak]],PlayerGameData[EligFGTieBreak],1)</f>
        <v>175</v>
      </c>
      <c r="BE494" s="8" t="str">
        <f>Roster!$D$3</f>
        <v>East</v>
      </c>
      <c r="BF494" s="8" t="str">
        <f>Roster!$D$2</f>
        <v>Northeast</v>
      </c>
      <c r="BG494" s="8" t="str">
        <f>Roster!$D$4</f>
        <v>North</v>
      </c>
      <c r="BH494" s="197">
        <f ca="1">IFERROR(VLOOKUP(CONCATENATE(PlayerGameData[[#This Row],[Opponent]]," ",MONTH(PlayerGameData[[#This Row],[Date]]),"/",DAY(PlayerGameData[[#This Row],[Date]]),"/",YEAR(PlayerGameData[[#This Row],[Date]])),Table35[],2,FALSE),0)</f>
        <v>1</v>
      </c>
      <c r="BI494" s="197">
        <f ca="1">IF(PlayerGameData[[#This Row],[Visible]]=1,1,1000)</f>
        <v>1</v>
      </c>
      <c r="BJ494" s="197" t="e">
        <f ca="1">_xlfn.MAXIFS(TeamGameData[Win],TeamGameData[School, Opponent,Game'#],PlayerGameData[[#This Row],[School, Opponent,Game'#]])</f>
        <v>#NAME?</v>
      </c>
      <c r="BK494" s="197" t="e">
        <f ca="1">_xlfn.MAXIFS(TeamGameData[Loss],TeamGameData[School, Opponent,Game'#],PlayerGameData[[#This Row],[School, Opponent,Game'#]])</f>
        <v>#NAME?</v>
      </c>
    </row>
    <row r="495" spans="1:63" x14ac:dyDescent="0.25">
      <c r="A495" s="8" t="str">
        <f t="shared" ca="1" si="243"/>
        <v>Bridger Bruce, 25</v>
      </c>
      <c r="B495" s="8" t="str">
        <f>Roster!$B$1</f>
        <v>Upton</v>
      </c>
      <c r="C495" s="8" t="str">
        <f t="shared" ca="1" si="231"/>
        <v>Rock River</v>
      </c>
      <c r="D495" s="10">
        <f t="shared" ca="1" si="232"/>
        <v>44980</v>
      </c>
      <c r="E495" s="8">
        <f t="shared" ca="1" si="233"/>
        <v>1</v>
      </c>
      <c r="F495" s="8">
        <f t="shared" ca="1" si="234"/>
        <v>0</v>
      </c>
      <c r="G495" s="8">
        <f t="shared" ca="1" si="235"/>
        <v>3</v>
      </c>
      <c r="H495" s="8">
        <f t="shared" ca="1" si="236"/>
        <v>0</v>
      </c>
      <c r="I495" s="8">
        <f t="shared" ca="1" si="237"/>
        <v>0</v>
      </c>
      <c r="J495" s="8">
        <f t="shared" ca="1" si="238"/>
        <v>0</v>
      </c>
      <c r="K495" s="8">
        <f t="shared" ca="1" si="239"/>
        <v>1</v>
      </c>
      <c r="L495" s="8">
        <f t="shared" ca="1" si="244"/>
        <v>0</v>
      </c>
      <c r="M495" s="8">
        <f t="shared" ca="1" si="245"/>
        <v>0</v>
      </c>
      <c r="N495" s="8">
        <f t="shared" ca="1" si="246"/>
        <v>0</v>
      </c>
      <c r="O495" s="8">
        <f t="shared" ca="1" si="247"/>
        <v>1</v>
      </c>
      <c r="P495" s="8">
        <f t="shared" ca="1" si="248"/>
        <v>0</v>
      </c>
      <c r="Q495" s="8">
        <f t="shared" ca="1" si="249"/>
        <v>0</v>
      </c>
      <c r="R495" s="8">
        <f t="shared" ca="1" si="250"/>
        <v>0</v>
      </c>
      <c r="S495" s="8">
        <f t="shared" ca="1" si="251"/>
        <v>0</v>
      </c>
      <c r="T495" s="8">
        <f t="shared" ca="1" si="252"/>
        <v>1</v>
      </c>
      <c r="U495" s="8">
        <f t="shared" ca="1" si="253"/>
        <v>0</v>
      </c>
      <c r="V495" s="8">
        <f t="shared" ca="1" si="254"/>
        <v>0</v>
      </c>
      <c r="W495" s="11" t="str">
        <f t="shared" ca="1" si="255"/>
        <v/>
      </c>
      <c r="X495" s="11">
        <f t="shared" ca="1" si="256"/>
        <v>0</v>
      </c>
      <c r="Y495" s="11" t="str">
        <f t="shared" ca="1" si="257"/>
        <v/>
      </c>
      <c r="Z495" s="11">
        <f t="shared" ca="1" si="258"/>
        <v>0</v>
      </c>
      <c r="AA495" s="11">
        <f t="shared" ca="1" si="259"/>
        <v>0</v>
      </c>
      <c r="AB495" s="47">
        <f ca="1">PlayerGameData[[#This Row],[3FGA]]+PlayerGameData[[#This Row],[2FGA]]</f>
        <v>1</v>
      </c>
      <c r="AC495" s="47">
        <f ca="1">PlayerGameData[[#This Row],[OFF REB]]+PlayerGameData[[#This Row],[DEF REB]]</f>
        <v>1</v>
      </c>
      <c r="AD495" s="8">
        <f t="shared" si="240"/>
        <v>21</v>
      </c>
      <c r="AE495" s="8" t="str">
        <f t="shared" ca="1" si="241"/>
        <v>Bridger Bruce, 25 - Rock River 2/23/2023</v>
      </c>
      <c r="AF495" s="8" t="str">
        <f t="shared" ca="1" si="260"/>
        <v>R</v>
      </c>
      <c r="AG495" s="8" t="str">
        <f ca="1">IFERROR(IF(C495=0,"",IF(AND(VLOOKUP(PlayerGameData[[#This Row],[Opponent]],WYTeamInfo,2,FALSE)=Roster!$D$1,VLOOKUP(PlayerGameData[[#This Row],[Opponent]],WYTeamInfo,3,FALSE)=Roster!$D$2),"SR","")),"")</f>
        <v/>
      </c>
      <c r="AH495" s="8" t="str">
        <f>CONCATENATE(Roster!$D$1," ",Roster!$D$5)</f>
        <v>1A BB</v>
      </c>
      <c r="AI495" s="8" t="str">
        <f t="shared" ca="1" si="242"/>
        <v>Upton - Rock River 2/23/2023</v>
      </c>
      <c r="AJ495" s="8">
        <f ca="1">IFERROR(VLOOKUP(PlayerGameData[[#This Row],[School, Opponent,Game'#]],Table3[],2,FALSE),0)</f>
        <v>1</v>
      </c>
      <c r="AK495" s="8">
        <f ca="1">IF(PlayerGameData[[#This Row],[Visible]]=1,1,1000)</f>
        <v>1</v>
      </c>
      <c r="AL495" s="8">
        <f ca="1">RANK(PlayerGameData[[#This Row],[TL PTS]],PlayerGameData[TL PTS],0)+PlayerGameData[[#This Row],[VisibleOrder]]</f>
        <v>185</v>
      </c>
      <c r="AM495" s="8">
        <f ca="1">IF(COUNTIF(PlayerGameData[PointOrder],PlayerGameData[[#This Row],[PointOrder]])&gt;1,RANK(PlayerGameData[[#This Row],[FGA]],PlayerGameData[FGA],0)/100,0)+PlayerGameData[[#This Row],[PointOrder]]</f>
        <v>186.82</v>
      </c>
      <c r="AN495" s="8">
        <f ca="1">RANK(PlayerGameData[[#This Row],[PointTieBreak]],PlayerGameData[PointTieBreak],1)</f>
        <v>196</v>
      </c>
      <c r="AO495" s="8">
        <f ca="1">RANK(PlayerGameData[[#This Row],[REB]],PlayerGameData[REB],0)+PlayerGameData[[#This Row],[VisibleOrder]]</f>
        <v>163</v>
      </c>
      <c r="AP495" s="8">
        <f ca="1">IF(COUNTIF(PlayerGameData[REBOrder],PlayerGameData[[#This Row],[REBOrder]])&gt;1,PlayerGameData[[#This Row],[PointRank]]/100+PlayerGameData[[#This Row],[REBOrder]],PlayerGameData[[#This Row],[REBOrder]])</f>
        <v>164.96</v>
      </c>
      <c r="AQ495" s="8">
        <f ca="1">RANK(PlayerGameData[[#This Row],[REBTieBreak]],PlayerGameData[REBTieBreak],1)</f>
        <v>182</v>
      </c>
      <c r="AR495" s="8">
        <f ca="1">RANK(PlayerGameData[[#This Row],[AST]],PlayerGameData[AST],0)+PlayerGameData[[#This Row],[VisibleOrder]]</f>
        <v>158</v>
      </c>
      <c r="AS495" s="8">
        <f ca="1">IF(COUNTIF(PlayerGameData[ASTOrder],PlayerGameData[[#This Row],[ASTOrder]])&gt;1,PlayerGameData[[#This Row],[PointRank]]/100+PlayerGameData[[#This Row],[ASTOrder]],PlayerGameData[[#This Row],[ASTOrder]])</f>
        <v>159.96</v>
      </c>
      <c r="AT495" s="8">
        <f ca="1">RANK(PlayerGameData[[#This Row],[ASTTieBreak]],PlayerGameData[ASTTieBreak],1)</f>
        <v>208</v>
      </c>
      <c r="AU495" s="8">
        <f ca="1">RANK(PlayerGameData[[#This Row],[STL]],PlayerGameData[STL],0)+PlayerGameData[[#This Row],[VisibleOrder]]</f>
        <v>143</v>
      </c>
      <c r="AV495" s="8">
        <f ca="1">IF(COUNTIF(PlayerGameData[STLOrder],PlayerGameData[[#This Row],[STLOrder]])&gt;1,PlayerGameData[[#This Row],[PointRank]]/100+PlayerGameData[[#This Row],[STLOrder]],PlayerGameData[[#This Row],[STLOrder]])</f>
        <v>144.96</v>
      </c>
      <c r="AW495" s="8">
        <f ca="1">RANK(PlayerGameData[[#This Row],[STLTieBreak]],PlayerGameData[STLTieBreak],1)</f>
        <v>200</v>
      </c>
      <c r="AX495" s="8">
        <f ca="1">RANK(PlayerGameData[[#This Row],[BLK]],PlayerGameData[BLK],0)+PlayerGameData[[#This Row],[VisibleOrder]]</f>
        <v>32</v>
      </c>
      <c r="AY495" s="8">
        <f ca="1">IF(COUNTIF(PlayerGameData[BLKOrder],PlayerGameData[[#This Row],[BLKOrder]])&gt;1,PlayerGameData[[#This Row],[PointRank]]/100+PlayerGameData[[#This Row],[BLKOrder]],PlayerGameData[[#This Row],[BLKOrder]])</f>
        <v>33.96</v>
      </c>
      <c r="AZ495" s="8">
        <f ca="1">RANK(PlayerGameData[[#This Row],[BLKTieBreak]],PlayerGameData[BLKTieBreak],1)</f>
        <v>196</v>
      </c>
      <c r="BA495" s="11">
        <f ca="1">IFERROR(IF(PlayerGameData[[#This Row],[FGA]]&gt;$AA$5,PlayerGameData[[#This Row],[FG%*]],PlayerGameData[[#This Row],[FG%*]]*-1),-2)</f>
        <v>0</v>
      </c>
      <c r="BB495" s="8">
        <f ca="1">RANK(PlayerGameData[[#This Row],[EligFG]],PlayerGameData[EligFG],0)+PlayerGameData[[#This Row],[VisibleOrder]]</f>
        <v>117</v>
      </c>
      <c r="BC495" s="8">
        <f ca="1">IF(COUNTIF(PlayerGameData[EligFGOrder],PlayerGameData[[#This Row],[EligFGOrder]])&gt;1,PlayerGameData[[#This Row],[PointRank]]/100+PlayerGameData[[#This Row],[EligFGOrder]],PlayerGameData[[#This Row],[EligFGOrder]])</f>
        <v>118.96</v>
      </c>
      <c r="BD495" s="8">
        <f ca="1">RANK(PlayerGameData[[#This Row],[EligFGTieBreak]],PlayerGameData[EligFGTieBreak],1)</f>
        <v>138</v>
      </c>
      <c r="BE495" s="8" t="str">
        <f>Roster!$D$3</f>
        <v>East</v>
      </c>
      <c r="BF495" s="8" t="str">
        <f>Roster!$D$2</f>
        <v>Northeast</v>
      </c>
      <c r="BG495" s="8" t="str">
        <f>Roster!$D$4</f>
        <v>North</v>
      </c>
      <c r="BH495" s="197">
        <f ca="1">IFERROR(VLOOKUP(CONCATENATE(PlayerGameData[[#This Row],[Opponent]]," ",MONTH(PlayerGameData[[#This Row],[Date]]),"/",DAY(PlayerGameData[[#This Row],[Date]]),"/",YEAR(PlayerGameData[[#This Row],[Date]])),Table35[],2,FALSE),0)</f>
        <v>1</v>
      </c>
      <c r="BI495" s="197">
        <f ca="1">IF(PlayerGameData[[#This Row],[Visible]]=1,1,1000)</f>
        <v>1</v>
      </c>
      <c r="BJ495" s="197" t="e">
        <f ca="1">_xlfn.MAXIFS(TeamGameData[Win],TeamGameData[School, Opponent,Game'#],PlayerGameData[[#This Row],[School, Opponent,Game'#]])</f>
        <v>#NAME?</v>
      </c>
      <c r="BK495" s="197" t="e">
        <f ca="1">_xlfn.MAXIFS(TeamGameData[Loss],TeamGameData[School, Opponent,Game'#],PlayerGameData[[#This Row],[School, Opponent,Game'#]])</f>
        <v>#NAME?</v>
      </c>
    </row>
    <row r="496" spans="1:63" x14ac:dyDescent="0.25">
      <c r="A496" s="8" t="str">
        <f t="shared" ca="1" si="243"/>
        <v>Kailer Duarte, 31</v>
      </c>
      <c r="B496" s="8" t="str">
        <f>Roster!$B$1</f>
        <v>Upton</v>
      </c>
      <c r="C496" s="8" t="str">
        <f t="shared" ca="1" si="231"/>
        <v>Rock River</v>
      </c>
      <c r="D496" s="10">
        <f t="shared" ca="1" si="232"/>
        <v>44980</v>
      </c>
      <c r="E496" s="8">
        <f t="shared" ca="1" si="233"/>
        <v>1</v>
      </c>
      <c r="F496" s="8">
        <f t="shared" ca="1" si="234"/>
        <v>1</v>
      </c>
      <c r="G496" s="8">
        <f t="shared" ca="1" si="235"/>
        <v>21</v>
      </c>
      <c r="H496" s="8">
        <f t="shared" ca="1" si="236"/>
        <v>1</v>
      </c>
      <c r="I496" s="8">
        <f t="shared" ca="1" si="237"/>
        <v>5</v>
      </c>
      <c r="J496" s="8">
        <f t="shared" ca="1" si="238"/>
        <v>5</v>
      </c>
      <c r="K496" s="8">
        <f t="shared" ca="1" si="239"/>
        <v>5</v>
      </c>
      <c r="L496" s="8">
        <f t="shared" ca="1" si="244"/>
        <v>0</v>
      </c>
      <c r="M496" s="8">
        <f t="shared" ca="1" si="245"/>
        <v>3</v>
      </c>
      <c r="N496" s="8">
        <f t="shared" ca="1" si="246"/>
        <v>2</v>
      </c>
      <c r="O496" s="8">
        <f t="shared" ca="1" si="247"/>
        <v>3</v>
      </c>
      <c r="P496" s="8">
        <f t="shared" ca="1" si="248"/>
        <v>3</v>
      </c>
      <c r="Q496" s="8">
        <f t="shared" ca="1" si="249"/>
        <v>2</v>
      </c>
      <c r="R496" s="8">
        <f t="shared" ca="1" si="250"/>
        <v>0</v>
      </c>
      <c r="S496" s="8">
        <f t="shared" ca="1" si="251"/>
        <v>0</v>
      </c>
      <c r="T496" s="8">
        <f t="shared" ca="1" si="252"/>
        <v>3</v>
      </c>
      <c r="U496" s="8">
        <f t="shared" ca="1" si="253"/>
        <v>0</v>
      </c>
      <c r="V496" s="8">
        <f t="shared" ca="1" si="254"/>
        <v>13</v>
      </c>
      <c r="W496" s="11">
        <f t="shared" ca="1" si="255"/>
        <v>0.2</v>
      </c>
      <c r="X496" s="11">
        <f t="shared" ca="1" si="256"/>
        <v>1</v>
      </c>
      <c r="Y496" s="11">
        <f t="shared" ca="1" si="257"/>
        <v>0</v>
      </c>
      <c r="Z496" s="11">
        <f t="shared" ca="1" si="258"/>
        <v>0.6</v>
      </c>
      <c r="AA496" s="11">
        <f t="shared" ca="1" si="259"/>
        <v>0.65</v>
      </c>
      <c r="AB496" s="47">
        <f ca="1">PlayerGameData[[#This Row],[3FGA]]+PlayerGameData[[#This Row],[2FGA]]</f>
        <v>10</v>
      </c>
      <c r="AC496" s="47">
        <f ca="1">PlayerGameData[[#This Row],[OFF REB]]+PlayerGameData[[#This Row],[DEF REB]]</f>
        <v>5</v>
      </c>
      <c r="AD496" s="8">
        <f t="shared" si="240"/>
        <v>21</v>
      </c>
      <c r="AE496" s="8" t="str">
        <f t="shared" ca="1" si="241"/>
        <v>Kailer Duarte, 31 - Rock River 2/23/2023</v>
      </c>
      <c r="AF496" s="8" t="str">
        <f t="shared" ca="1" si="260"/>
        <v>R</v>
      </c>
      <c r="AG496" s="8" t="str">
        <f ca="1">IFERROR(IF(C496=0,"",IF(AND(VLOOKUP(PlayerGameData[[#This Row],[Opponent]],WYTeamInfo,2,FALSE)=Roster!$D$1,VLOOKUP(PlayerGameData[[#This Row],[Opponent]],WYTeamInfo,3,FALSE)=Roster!$D$2),"SR","")),"")</f>
        <v/>
      </c>
      <c r="AH496" s="8" t="str">
        <f>CONCATENATE(Roster!$D$1," ",Roster!$D$5)</f>
        <v>1A BB</v>
      </c>
      <c r="AI496" s="8" t="str">
        <f t="shared" ca="1" si="242"/>
        <v>Upton - Rock River 2/23/2023</v>
      </c>
      <c r="AJ496" s="8">
        <f ca="1">IFERROR(VLOOKUP(PlayerGameData[[#This Row],[School, Opponent,Game'#]],Table3[],2,FALSE),0)</f>
        <v>1</v>
      </c>
      <c r="AK496" s="8">
        <f ca="1">IF(PlayerGameData[[#This Row],[Visible]]=1,1,1000)</f>
        <v>1</v>
      </c>
      <c r="AL496" s="8">
        <f ca="1">RANK(PlayerGameData[[#This Row],[TL PTS]],PlayerGameData[TL PTS],0)+PlayerGameData[[#This Row],[VisibleOrder]]</f>
        <v>45</v>
      </c>
      <c r="AM496" s="8">
        <f ca="1">IF(COUNTIF(PlayerGameData[PointOrder],PlayerGameData[[#This Row],[PointOrder]])&gt;1,RANK(PlayerGameData[[#This Row],[FGA]],PlayerGameData[FGA],0)/100,0)+PlayerGameData[[#This Row],[PointOrder]]</f>
        <v>45.43</v>
      </c>
      <c r="AN496" s="8">
        <f ca="1">RANK(PlayerGameData[[#This Row],[PointTieBreak]],PlayerGameData[PointTieBreak],1)</f>
        <v>46</v>
      </c>
      <c r="AO496" s="8">
        <f ca="1">RANK(PlayerGameData[[#This Row],[REB]],PlayerGameData[REB],0)+PlayerGameData[[#This Row],[VisibleOrder]]</f>
        <v>52</v>
      </c>
      <c r="AP496" s="8">
        <f ca="1">IF(COUNTIF(PlayerGameData[REBOrder],PlayerGameData[[#This Row],[REBOrder]])&gt;1,PlayerGameData[[#This Row],[PointRank]]/100+PlayerGameData[[#This Row],[REBOrder]],PlayerGameData[[#This Row],[REBOrder]])</f>
        <v>52.46</v>
      </c>
      <c r="AQ496" s="8">
        <f ca="1">RANK(PlayerGameData[[#This Row],[REBTieBreak]],PlayerGameData[REBTieBreak],1)</f>
        <v>59</v>
      </c>
      <c r="AR496" s="8">
        <f ca="1">RANK(PlayerGameData[[#This Row],[AST]],PlayerGameData[AST],0)+PlayerGameData[[#This Row],[VisibleOrder]]</f>
        <v>39</v>
      </c>
      <c r="AS496" s="8">
        <f ca="1">IF(COUNTIF(PlayerGameData[ASTOrder],PlayerGameData[[#This Row],[ASTOrder]])&gt;1,PlayerGameData[[#This Row],[PointRank]]/100+PlayerGameData[[#This Row],[ASTOrder]],PlayerGameData[[#This Row],[ASTOrder]])</f>
        <v>39.46</v>
      </c>
      <c r="AT496" s="8">
        <f ca="1">RANK(PlayerGameData[[#This Row],[ASTTieBreak]],PlayerGameData[ASTTieBreak],1)</f>
        <v>43</v>
      </c>
      <c r="AU496" s="8">
        <f ca="1">RANK(PlayerGameData[[#This Row],[STL]],PlayerGameData[STL],0)+PlayerGameData[[#This Row],[VisibleOrder]]</f>
        <v>48</v>
      </c>
      <c r="AV496" s="8">
        <f ca="1">IF(COUNTIF(PlayerGameData[STLOrder],PlayerGameData[[#This Row],[STLOrder]])&gt;1,PlayerGameData[[#This Row],[PointRank]]/100+PlayerGameData[[#This Row],[STLOrder]],PlayerGameData[[#This Row],[STLOrder]])</f>
        <v>48.46</v>
      </c>
      <c r="AW496" s="8">
        <f ca="1">RANK(PlayerGameData[[#This Row],[STLTieBreak]],PlayerGameData[STLTieBreak],1)</f>
        <v>53</v>
      </c>
      <c r="AX496" s="8">
        <f ca="1">RANK(PlayerGameData[[#This Row],[BLK]],PlayerGameData[BLK],0)+PlayerGameData[[#This Row],[VisibleOrder]]</f>
        <v>32</v>
      </c>
      <c r="AY496" s="8">
        <f ca="1">IF(COUNTIF(PlayerGameData[BLKOrder],PlayerGameData[[#This Row],[BLKOrder]])&gt;1,PlayerGameData[[#This Row],[PointRank]]/100+PlayerGameData[[#This Row],[BLKOrder]],PlayerGameData[[#This Row],[BLKOrder]])</f>
        <v>32.46</v>
      </c>
      <c r="AZ496" s="8">
        <f ca="1">RANK(PlayerGameData[[#This Row],[BLKTieBreak]],PlayerGameData[BLKTieBreak],1)</f>
        <v>67</v>
      </c>
      <c r="BA496" s="11">
        <f ca="1">IFERROR(IF(PlayerGameData[[#This Row],[FGA]]&gt;$AA$5,PlayerGameData[[#This Row],[FG%*]],PlayerGameData[[#This Row],[FG%*]]*-1),-2)</f>
        <v>0.6</v>
      </c>
      <c r="BB496" s="8">
        <f ca="1">RANK(PlayerGameData[[#This Row],[EligFG]],PlayerGameData[EligFG],0)+PlayerGameData[[#This Row],[VisibleOrder]]</f>
        <v>21</v>
      </c>
      <c r="BC496" s="8">
        <f ca="1">IF(COUNTIF(PlayerGameData[EligFGOrder],PlayerGameData[[#This Row],[EligFGOrder]])&gt;1,PlayerGameData[[#This Row],[PointRank]]/100+PlayerGameData[[#This Row],[EligFGOrder]],PlayerGameData[[#This Row],[EligFGOrder]])</f>
        <v>21.46</v>
      </c>
      <c r="BD496" s="8">
        <f ca="1">RANK(PlayerGameData[[#This Row],[EligFGTieBreak]],PlayerGameData[EligFGTieBreak],1)</f>
        <v>23</v>
      </c>
      <c r="BE496" s="8" t="str">
        <f>Roster!$D$3</f>
        <v>East</v>
      </c>
      <c r="BF496" s="8" t="str">
        <f>Roster!$D$2</f>
        <v>Northeast</v>
      </c>
      <c r="BG496" s="8" t="str">
        <f>Roster!$D$4</f>
        <v>North</v>
      </c>
      <c r="BH496" s="197">
        <f ca="1">IFERROR(VLOOKUP(CONCATENATE(PlayerGameData[[#This Row],[Opponent]]," ",MONTH(PlayerGameData[[#This Row],[Date]]),"/",DAY(PlayerGameData[[#This Row],[Date]]),"/",YEAR(PlayerGameData[[#This Row],[Date]])),Table35[],2,FALSE),0)</f>
        <v>1</v>
      </c>
      <c r="BI496" s="197">
        <f ca="1">IF(PlayerGameData[[#This Row],[Visible]]=1,1,1000)</f>
        <v>1</v>
      </c>
      <c r="BJ496" s="197" t="e">
        <f ca="1">_xlfn.MAXIFS(TeamGameData[Win],TeamGameData[School, Opponent,Game'#],PlayerGameData[[#This Row],[School, Opponent,Game'#]])</f>
        <v>#NAME?</v>
      </c>
      <c r="BK496" s="197" t="e">
        <f ca="1">_xlfn.MAXIFS(TeamGameData[Loss],TeamGameData[School, Opponent,Game'#],PlayerGameData[[#This Row],[School, Opponent,Game'#]])</f>
        <v>#NAME?</v>
      </c>
    </row>
    <row r="497" spans="1:63" x14ac:dyDescent="0.25">
      <c r="A497" s="8" t="str">
        <f t="shared" ca="1" si="243"/>
        <v>Matt Stirmel, 33</v>
      </c>
      <c r="B497" s="8" t="str">
        <f>Roster!$B$1</f>
        <v>Upton</v>
      </c>
      <c r="C497" s="8" t="str">
        <f t="shared" ca="1" si="231"/>
        <v>Rock River</v>
      </c>
      <c r="D497" s="10">
        <f t="shared" ca="1" si="232"/>
        <v>44980</v>
      </c>
      <c r="E497" s="8">
        <f t="shared" ca="1" si="233"/>
        <v>1</v>
      </c>
      <c r="F497" s="8">
        <f t="shared" ca="1" si="234"/>
        <v>0</v>
      </c>
      <c r="G497" s="8">
        <f t="shared" ca="1" si="235"/>
        <v>4</v>
      </c>
      <c r="H497" s="8">
        <f t="shared" ca="1" si="236"/>
        <v>0</v>
      </c>
      <c r="I497" s="8">
        <f t="shared" ca="1" si="237"/>
        <v>1</v>
      </c>
      <c r="J497" s="8">
        <f t="shared" ca="1" si="238"/>
        <v>1</v>
      </c>
      <c r="K497" s="8">
        <f t="shared" ca="1" si="239"/>
        <v>1</v>
      </c>
      <c r="L497" s="8">
        <f t="shared" ca="1" si="244"/>
        <v>0</v>
      </c>
      <c r="M497" s="8">
        <f t="shared" ca="1" si="245"/>
        <v>0</v>
      </c>
      <c r="N497" s="8">
        <f t="shared" ca="1" si="246"/>
        <v>0</v>
      </c>
      <c r="O497" s="8">
        <f t="shared" ca="1" si="247"/>
        <v>1</v>
      </c>
      <c r="P497" s="8">
        <f t="shared" ca="1" si="248"/>
        <v>0</v>
      </c>
      <c r="Q497" s="8">
        <f t="shared" ca="1" si="249"/>
        <v>0</v>
      </c>
      <c r="R497" s="8">
        <f t="shared" ca="1" si="250"/>
        <v>0</v>
      </c>
      <c r="S497" s="8">
        <f t="shared" ca="1" si="251"/>
        <v>0</v>
      </c>
      <c r="T497" s="8">
        <f t="shared" ca="1" si="252"/>
        <v>1</v>
      </c>
      <c r="U497" s="8">
        <f t="shared" ca="1" si="253"/>
        <v>0</v>
      </c>
      <c r="V497" s="8">
        <f t="shared" ca="1" si="254"/>
        <v>2</v>
      </c>
      <c r="W497" s="11">
        <f t="shared" ca="1" si="255"/>
        <v>0</v>
      </c>
      <c r="X497" s="11">
        <f t="shared" ca="1" si="256"/>
        <v>1</v>
      </c>
      <c r="Y497" s="11" t="str">
        <f t="shared" ca="1" si="257"/>
        <v/>
      </c>
      <c r="Z497" s="11">
        <f t="shared" ca="1" si="258"/>
        <v>0.5</v>
      </c>
      <c r="AA497" s="11">
        <f t="shared" ca="1" si="259"/>
        <v>0.5</v>
      </c>
      <c r="AB497" s="47">
        <f ca="1">PlayerGameData[[#This Row],[3FGA]]+PlayerGameData[[#This Row],[2FGA]]</f>
        <v>2</v>
      </c>
      <c r="AC497" s="47">
        <f ca="1">PlayerGameData[[#This Row],[OFF REB]]+PlayerGameData[[#This Row],[DEF REB]]</f>
        <v>1</v>
      </c>
      <c r="AD497" s="8">
        <f t="shared" si="240"/>
        <v>21</v>
      </c>
      <c r="AE497" s="8" t="str">
        <f t="shared" ca="1" si="241"/>
        <v>Matt Stirmel, 33 - Rock River 2/23/2023</v>
      </c>
      <c r="AF497" s="8" t="str">
        <f t="shared" ca="1" si="260"/>
        <v>R</v>
      </c>
      <c r="AG497" s="8" t="str">
        <f ca="1">IFERROR(IF(C497=0,"",IF(AND(VLOOKUP(PlayerGameData[[#This Row],[Opponent]],WYTeamInfo,2,FALSE)=Roster!$D$1,VLOOKUP(PlayerGameData[[#This Row],[Opponent]],WYTeamInfo,3,FALSE)=Roster!$D$2),"SR","")),"")</f>
        <v/>
      </c>
      <c r="AH497" s="8" t="str">
        <f>CONCATENATE(Roster!$D$1," ",Roster!$D$5)</f>
        <v>1A BB</v>
      </c>
      <c r="AI497" s="8" t="str">
        <f t="shared" ca="1" si="242"/>
        <v>Upton - Rock River 2/23/2023</v>
      </c>
      <c r="AJ497" s="8">
        <f ca="1">IFERROR(VLOOKUP(PlayerGameData[[#This Row],[School, Opponent,Game'#]],Table3[],2,FALSE),0)</f>
        <v>1</v>
      </c>
      <c r="AK497" s="8">
        <f ca="1">IF(PlayerGameData[[#This Row],[Visible]]=1,1,1000)</f>
        <v>1</v>
      </c>
      <c r="AL497" s="8">
        <f ca="1">RANK(PlayerGameData[[#This Row],[TL PTS]],PlayerGameData[TL PTS],0)+PlayerGameData[[#This Row],[VisibleOrder]]</f>
        <v>152</v>
      </c>
      <c r="AM497" s="8">
        <f ca="1">IF(COUNTIF(PlayerGameData[PointOrder],PlayerGameData[[#This Row],[PointOrder]])&gt;1,RANK(PlayerGameData[[#This Row],[FGA]],PlayerGameData[FGA],0)/100,0)+PlayerGameData[[#This Row],[PointOrder]]</f>
        <v>153.61000000000001</v>
      </c>
      <c r="AN497" s="8">
        <f ca="1">RANK(PlayerGameData[[#This Row],[PointTieBreak]],PlayerGameData[PointTieBreak],1)</f>
        <v>163</v>
      </c>
      <c r="AO497" s="8">
        <f ca="1">RANK(PlayerGameData[[#This Row],[REB]],PlayerGameData[REB],0)+PlayerGameData[[#This Row],[VisibleOrder]]</f>
        <v>163</v>
      </c>
      <c r="AP497" s="8">
        <f ca="1">IF(COUNTIF(PlayerGameData[REBOrder],PlayerGameData[[#This Row],[REBOrder]])&gt;1,PlayerGameData[[#This Row],[PointRank]]/100+PlayerGameData[[#This Row],[REBOrder]],PlayerGameData[[#This Row],[REBOrder]])</f>
        <v>164.63</v>
      </c>
      <c r="AQ497" s="8">
        <f ca="1">RANK(PlayerGameData[[#This Row],[REBTieBreak]],PlayerGameData[REBTieBreak],1)</f>
        <v>176</v>
      </c>
      <c r="AR497" s="8">
        <f ca="1">RANK(PlayerGameData[[#This Row],[AST]],PlayerGameData[AST],0)+PlayerGameData[[#This Row],[VisibleOrder]]</f>
        <v>158</v>
      </c>
      <c r="AS497" s="8">
        <f ca="1">IF(COUNTIF(PlayerGameData[ASTOrder],PlayerGameData[[#This Row],[ASTOrder]])&gt;1,PlayerGameData[[#This Row],[PointRank]]/100+PlayerGameData[[#This Row],[ASTOrder]],PlayerGameData[[#This Row],[ASTOrder]])</f>
        <v>159.63</v>
      </c>
      <c r="AT497" s="8">
        <f ca="1">RANK(PlayerGameData[[#This Row],[ASTTieBreak]],PlayerGameData[ASTTieBreak],1)</f>
        <v>186</v>
      </c>
      <c r="AU497" s="8">
        <f ca="1">RANK(PlayerGameData[[#This Row],[STL]],PlayerGameData[STL],0)+PlayerGameData[[#This Row],[VisibleOrder]]</f>
        <v>143</v>
      </c>
      <c r="AV497" s="8">
        <f ca="1">IF(COUNTIF(PlayerGameData[STLOrder],PlayerGameData[[#This Row],[STLOrder]])&gt;1,PlayerGameData[[#This Row],[PointRank]]/100+PlayerGameData[[#This Row],[STLOrder]],PlayerGameData[[#This Row],[STLOrder]])</f>
        <v>144.63</v>
      </c>
      <c r="AW497" s="8">
        <f ca="1">RANK(PlayerGameData[[#This Row],[STLTieBreak]],PlayerGameData[STLTieBreak],1)</f>
        <v>181</v>
      </c>
      <c r="AX497" s="8">
        <f ca="1">RANK(PlayerGameData[[#This Row],[BLK]],PlayerGameData[BLK],0)+PlayerGameData[[#This Row],[VisibleOrder]]</f>
        <v>32</v>
      </c>
      <c r="AY497" s="8">
        <f ca="1">IF(COUNTIF(PlayerGameData[BLKOrder],PlayerGameData[[#This Row],[BLKOrder]])&gt;1,PlayerGameData[[#This Row],[PointRank]]/100+PlayerGameData[[#This Row],[BLKOrder]],PlayerGameData[[#This Row],[BLKOrder]])</f>
        <v>33.630000000000003</v>
      </c>
      <c r="AZ497" s="8">
        <f ca="1">RANK(PlayerGameData[[#This Row],[BLKTieBreak]],PlayerGameData[BLKTieBreak],1)</f>
        <v>164</v>
      </c>
      <c r="BA497" s="11">
        <f ca="1">IFERROR(IF(PlayerGameData[[#This Row],[FGA]]&gt;$AA$5,PlayerGameData[[#This Row],[FG%*]],PlayerGameData[[#This Row],[FG%*]]*-1),-2)</f>
        <v>-0.5</v>
      </c>
      <c r="BB497" s="8">
        <f ca="1">RANK(PlayerGameData[[#This Row],[EligFG]],PlayerGameData[EligFG],0)+PlayerGameData[[#This Row],[VisibleOrder]]</f>
        <v>182</v>
      </c>
      <c r="BC497" s="8">
        <f ca="1">IF(COUNTIF(PlayerGameData[EligFGOrder],PlayerGameData[[#This Row],[EligFGOrder]])&gt;1,PlayerGameData[[#This Row],[PointRank]]/100+PlayerGameData[[#This Row],[EligFGOrder]],PlayerGameData[[#This Row],[EligFGOrder]])</f>
        <v>183.63</v>
      </c>
      <c r="BD497" s="8">
        <f ca="1">RANK(PlayerGameData[[#This Row],[EligFGTieBreak]],PlayerGameData[EligFGTieBreak],1)</f>
        <v>188</v>
      </c>
      <c r="BE497" s="8" t="str">
        <f>Roster!$D$3</f>
        <v>East</v>
      </c>
      <c r="BF497" s="8" t="str">
        <f>Roster!$D$2</f>
        <v>Northeast</v>
      </c>
      <c r="BG497" s="8" t="str">
        <f>Roster!$D$4</f>
        <v>North</v>
      </c>
      <c r="BH497" s="197">
        <f ca="1">IFERROR(VLOOKUP(CONCATENATE(PlayerGameData[[#This Row],[Opponent]]," ",MONTH(PlayerGameData[[#This Row],[Date]]),"/",DAY(PlayerGameData[[#This Row],[Date]]),"/",YEAR(PlayerGameData[[#This Row],[Date]])),Table35[],2,FALSE),0)</f>
        <v>1</v>
      </c>
      <c r="BI497" s="197">
        <f ca="1">IF(PlayerGameData[[#This Row],[Visible]]=1,1,1000)</f>
        <v>1</v>
      </c>
      <c r="BJ497" s="197" t="e">
        <f ca="1">_xlfn.MAXIFS(TeamGameData[Win],TeamGameData[School, Opponent,Game'#],PlayerGameData[[#This Row],[School, Opponent,Game'#]])</f>
        <v>#NAME?</v>
      </c>
      <c r="BK497" s="197" t="e">
        <f ca="1">_xlfn.MAXIFS(TeamGameData[Loss],TeamGameData[School, Opponent,Game'#],PlayerGameData[[#This Row],[School, Opponent,Game'#]])</f>
        <v>#NAME?</v>
      </c>
    </row>
    <row r="498" spans="1:63" x14ac:dyDescent="0.25">
      <c r="A498" s="8" t="str">
        <f t="shared" ca="1" si="243"/>
        <v>Jacob McNutt, 34</v>
      </c>
      <c r="B498" s="8" t="str">
        <f>Roster!$B$1</f>
        <v>Upton</v>
      </c>
      <c r="C498" s="8" t="str">
        <f t="shared" ca="1" si="231"/>
        <v>Rock River</v>
      </c>
      <c r="D498" s="10">
        <f t="shared" ca="1" si="232"/>
        <v>44980</v>
      </c>
      <c r="E498" s="8">
        <f t="shared" ca="1" si="233"/>
        <v>1</v>
      </c>
      <c r="F498" s="8">
        <f t="shared" ca="1" si="234"/>
        <v>0</v>
      </c>
      <c r="G498" s="8">
        <f t="shared" ca="1" si="235"/>
        <v>1</v>
      </c>
      <c r="H498" s="8">
        <f t="shared" ca="1" si="236"/>
        <v>1</v>
      </c>
      <c r="I498" s="8">
        <f t="shared" ca="1" si="237"/>
        <v>3</v>
      </c>
      <c r="J498" s="8">
        <f t="shared" ca="1" si="238"/>
        <v>0</v>
      </c>
      <c r="K498" s="8">
        <f t="shared" ca="1" si="239"/>
        <v>0</v>
      </c>
      <c r="L498" s="8">
        <f t="shared" ca="1" si="244"/>
        <v>0</v>
      </c>
      <c r="M498" s="8">
        <f t="shared" ca="1" si="245"/>
        <v>0</v>
      </c>
      <c r="N498" s="8">
        <f t="shared" ca="1" si="246"/>
        <v>0</v>
      </c>
      <c r="O498" s="8">
        <f t="shared" ca="1" si="247"/>
        <v>0</v>
      </c>
      <c r="P498" s="8">
        <f t="shared" ca="1" si="248"/>
        <v>0</v>
      </c>
      <c r="Q498" s="8">
        <f t="shared" ca="1" si="249"/>
        <v>0</v>
      </c>
      <c r="R498" s="8">
        <f t="shared" ca="1" si="250"/>
        <v>0</v>
      </c>
      <c r="S498" s="8">
        <f t="shared" ca="1" si="251"/>
        <v>0</v>
      </c>
      <c r="T498" s="8">
        <f t="shared" ca="1" si="252"/>
        <v>0</v>
      </c>
      <c r="U498" s="8">
        <f t="shared" ca="1" si="253"/>
        <v>0</v>
      </c>
      <c r="V498" s="8">
        <f t="shared" ca="1" si="254"/>
        <v>3</v>
      </c>
      <c r="W498" s="11">
        <f t="shared" ca="1" si="255"/>
        <v>0.33333333333333331</v>
      </c>
      <c r="X498" s="11" t="str">
        <f t="shared" ca="1" si="256"/>
        <v/>
      </c>
      <c r="Y498" s="11" t="str">
        <f t="shared" ca="1" si="257"/>
        <v/>
      </c>
      <c r="Z498" s="11">
        <f t="shared" ca="1" si="258"/>
        <v>0.33333333333333331</v>
      </c>
      <c r="AA498" s="11">
        <f t="shared" ca="1" si="259"/>
        <v>0.5</v>
      </c>
      <c r="AB498" s="47">
        <f ca="1">PlayerGameData[[#This Row],[3FGA]]+PlayerGameData[[#This Row],[2FGA]]</f>
        <v>3</v>
      </c>
      <c r="AC498" s="47">
        <f ca="1">PlayerGameData[[#This Row],[OFF REB]]+PlayerGameData[[#This Row],[DEF REB]]</f>
        <v>0</v>
      </c>
      <c r="AD498" s="8">
        <f t="shared" si="240"/>
        <v>21</v>
      </c>
      <c r="AE498" s="8" t="str">
        <f t="shared" ca="1" si="241"/>
        <v>Jacob McNutt, 34 - Rock River 2/23/2023</v>
      </c>
      <c r="AF498" s="8" t="str">
        <f t="shared" ca="1" si="260"/>
        <v>R</v>
      </c>
      <c r="AG498" s="8" t="str">
        <f ca="1">IFERROR(IF(C498=0,"",IF(AND(VLOOKUP(PlayerGameData[[#This Row],[Opponent]],WYTeamInfo,2,FALSE)=Roster!$D$1,VLOOKUP(PlayerGameData[[#This Row],[Opponent]],WYTeamInfo,3,FALSE)=Roster!$D$2),"SR","")),"")</f>
        <v/>
      </c>
      <c r="AH498" s="8" t="str">
        <f>CONCATENATE(Roster!$D$1," ",Roster!$D$5)</f>
        <v>1A BB</v>
      </c>
      <c r="AI498" s="8" t="str">
        <f t="shared" ca="1" si="242"/>
        <v>Upton - Rock River 2/23/2023</v>
      </c>
      <c r="AJ498" s="8">
        <f ca="1">IFERROR(VLOOKUP(PlayerGameData[[#This Row],[School, Opponent,Game'#]],Table3[],2,FALSE),0)</f>
        <v>1</v>
      </c>
      <c r="AK498" s="8">
        <f ca="1">IF(PlayerGameData[[#This Row],[Visible]]=1,1,1000)</f>
        <v>1</v>
      </c>
      <c r="AL498" s="8">
        <f ca="1">RANK(PlayerGameData[[#This Row],[TL PTS]],PlayerGameData[TL PTS],0)+PlayerGameData[[#This Row],[VisibleOrder]]</f>
        <v>135</v>
      </c>
      <c r="AM498" s="8">
        <f ca="1">IF(COUNTIF(PlayerGameData[PointOrder],PlayerGameData[[#This Row],[PointOrder]])&gt;1,RANK(PlayerGameData[[#This Row],[FGA]],PlayerGameData[FGA],0)/100,0)+PlayerGameData[[#This Row],[PointOrder]]</f>
        <v>136.4</v>
      </c>
      <c r="AN498" s="8">
        <f ca="1">RANK(PlayerGameData[[#This Row],[PointTieBreak]],PlayerGameData[PointTieBreak],1)</f>
        <v>137</v>
      </c>
      <c r="AO498" s="8">
        <f ca="1">RANK(PlayerGameData[[#This Row],[REB]],PlayerGameData[REB],0)+PlayerGameData[[#This Row],[VisibleOrder]]</f>
        <v>192</v>
      </c>
      <c r="AP498" s="8">
        <f ca="1">IF(COUNTIF(PlayerGameData[REBOrder],PlayerGameData[[#This Row],[REBOrder]])&gt;1,PlayerGameData[[#This Row],[PointRank]]/100+PlayerGameData[[#This Row],[REBOrder]],PlayerGameData[[#This Row],[REBOrder]])</f>
        <v>193.37</v>
      </c>
      <c r="AQ498" s="8">
        <f ca="1">RANK(PlayerGameData[[#This Row],[REBTieBreak]],PlayerGameData[REBTieBreak],1)</f>
        <v>196</v>
      </c>
      <c r="AR498" s="8">
        <f ca="1">RANK(PlayerGameData[[#This Row],[AST]],PlayerGameData[AST],0)+PlayerGameData[[#This Row],[VisibleOrder]]</f>
        <v>158</v>
      </c>
      <c r="AS498" s="8">
        <f ca="1">IF(COUNTIF(PlayerGameData[ASTOrder],PlayerGameData[[#This Row],[ASTOrder]])&gt;1,PlayerGameData[[#This Row],[PointRank]]/100+PlayerGameData[[#This Row],[ASTOrder]],PlayerGameData[[#This Row],[ASTOrder]])</f>
        <v>159.37</v>
      </c>
      <c r="AT498" s="8">
        <f ca="1">RANK(PlayerGameData[[#This Row],[ASTTieBreak]],PlayerGameData[ASTTieBreak],1)</f>
        <v>174</v>
      </c>
      <c r="AU498" s="8">
        <f ca="1">RANK(PlayerGameData[[#This Row],[STL]],PlayerGameData[STL],0)+PlayerGameData[[#This Row],[VisibleOrder]]</f>
        <v>143</v>
      </c>
      <c r="AV498" s="8">
        <f ca="1">IF(COUNTIF(PlayerGameData[STLOrder],PlayerGameData[[#This Row],[STLOrder]])&gt;1,PlayerGameData[[#This Row],[PointRank]]/100+PlayerGameData[[#This Row],[STLOrder]],PlayerGameData[[#This Row],[STLOrder]])</f>
        <v>144.37</v>
      </c>
      <c r="AW498" s="8">
        <f ca="1">RANK(PlayerGameData[[#This Row],[STLTieBreak]],PlayerGameData[STLTieBreak],1)</f>
        <v>166</v>
      </c>
      <c r="AX498" s="8">
        <f ca="1">RANK(PlayerGameData[[#This Row],[BLK]],PlayerGameData[BLK],0)+PlayerGameData[[#This Row],[VisibleOrder]]</f>
        <v>32</v>
      </c>
      <c r="AY498" s="8">
        <f ca="1">IF(COUNTIF(PlayerGameData[BLKOrder],PlayerGameData[[#This Row],[BLKOrder]])&gt;1,PlayerGameData[[#This Row],[PointRank]]/100+PlayerGameData[[#This Row],[BLKOrder]],PlayerGameData[[#This Row],[BLKOrder]])</f>
        <v>33.369999999999997</v>
      </c>
      <c r="AZ498" s="8">
        <f ca="1">RANK(PlayerGameData[[#This Row],[BLKTieBreak]],PlayerGameData[BLKTieBreak],1)</f>
        <v>141</v>
      </c>
      <c r="BA498" s="11">
        <f ca="1">IFERROR(IF(PlayerGameData[[#This Row],[FGA]]&gt;$AA$5,PlayerGameData[[#This Row],[FG%*]],PlayerGameData[[#This Row],[FG%*]]*-1),-2)</f>
        <v>-0.33333333333333331</v>
      </c>
      <c r="BB498" s="8">
        <f ca="1">RANK(PlayerGameData[[#This Row],[EligFG]],PlayerGameData[EligFG],0)+PlayerGameData[[#This Row],[VisibleOrder]]</f>
        <v>164</v>
      </c>
      <c r="BC498" s="8">
        <f ca="1">IF(COUNTIF(PlayerGameData[EligFGOrder],PlayerGameData[[#This Row],[EligFGOrder]])&gt;1,PlayerGameData[[#This Row],[PointRank]]/100+PlayerGameData[[#This Row],[EligFGOrder]],PlayerGameData[[#This Row],[EligFGOrder]])</f>
        <v>165.37</v>
      </c>
      <c r="BD498" s="8">
        <f ca="1">RANK(PlayerGameData[[#This Row],[EligFGTieBreak]],PlayerGameData[EligFGTieBreak],1)</f>
        <v>164</v>
      </c>
      <c r="BE498" s="8" t="str">
        <f>Roster!$D$3</f>
        <v>East</v>
      </c>
      <c r="BF498" s="8" t="str">
        <f>Roster!$D$2</f>
        <v>Northeast</v>
      </c>
      <c r="BG498" s="8" t="str">
        <f>Roster!$D$4</f>
        <v>North</v>
      </c>
      <c r="BH498" s="197">
        <f ca="1">IFERROR(VLOOKUP(CONCATENATE(PlayerGameData[[#This Row],[Opponent]]," ",MONTH(PlayerGameData[[#This Row],[Date]]),"/",DAY(PlayerGameData[[#This Row],[Date]]),"/",YEAR(PlayerGameData[[#This Row],[Date]])),Table35[],2,FALSE),0)</f>
        <v>1</v>
      </c>
      <c r="BI498" s="197">
        <f ca="1">IF(PlayerGameData[[#This Row],[Visible]]=1,1,1000)</f>
        <v>1</v>
      </c>
      <c r="BJ498" s="197" t="e">
        <f ca="1">_xlfn.MAXIFS(TeamGameData[Win],TeamGameData[School, Opponent,Game'#],PlayerGameData[[#This Row],[School, Opponent,Game'#]])</f>
        <v>#NAME?</v>
      </c>
      <c r="BK498" s="197" t="e">
        <f ca="1">_xlfn.MAXIFS(TeamGameData[Loss],TeamGameData[School, Opponent,Game'#],PlayerGameData[[#This Row],[School, Opponent,Game'#]])</f>
        <v>#NAME?</v>
      </c>
    </row>
    <row r="499" spans="1:63" x14ac:dyDescent="0.25">
      <c r="A499" s="8" t="str">
        <f t="shared" ca="1" si="243"/>
        <v>Ryan Baker, 35</v>
      </c>
      <c r="B499" s="8" t="str">
        <f>Roster!$B$1</f>
        <v>Upton</v>
      </c>
      <c r="C499" s="8" t="str">
        <f t="shared" ca="1" si="231"/>
        <v>Rock River</v>
      </c>
      <c r="D499" s="10">
        <f t="shared" ca="1" si="232"/>
        <v>44980</v>
      </c>
      <c r="E499" s="8">
        <f t="shared" ca="1" si="233"/>
        <v>1</v>
      </c>
      <c r="F499" s="8">
        <f t="shared" ca="1" si="234"/>
        <v>0</v>
      </c>
      <c r="G499" s="8">
        <f t="shared" ca="1" si="235"/>
        <v>15</v>
      </c>
      <c r="H499" s="8">
        <f t="shared" ca="1" si="236"/>
        <v>0</v>
      </c>
      <c r="I499" s="8">
        <f t="shared" ca="1" si="237"/>
        <v>1</v>
      </c>
      <c r="J499" s="8">
        <f t="shared" ca="1" si="238"/>
        <v>2</v>
      </c>
      <c r="K499" s="8">
        <f t="shared" ca="1" si="239"/>
        <v>3</v>
      </c>
      <c r="L499" s="8">
        <f t="shared" ca="1" si="244"/>
        <v>0</v>
      </c>
      <c r="M499" s="8">
        <f t="shared" ca="1" si="245"/>
        <v>0</v>
      </c>
      <c r="N499" s="8">
        <f t="shared" ca="1" si="246"/>
        <v>2</v>
      </c>
      <c r="O499" s="8">
        <f t="shared" ca="1" si="247"/>
        <v>1</v>
      </c>
      <c r="P499" s="8">
        <f t="shared" ca="1" si="248"/>
        <v>2</v>
      </c>
      <c r="Q499" s="8">
        <f t="shared" ca="1" si="249"/>
        <v>0</v>
      </c>
      <c r="R499" s="8">
        <f t="shared" ca="1" si="250"/>
        <v>0</v>
      </c>
      <c r="S499" s="8">
        <f t="shared" ca="1" si="251"/>
        <v>0</v>
      </c>
      <c r="T499" s="8">
        <f t="shared" ca="1" si="252"/>
        <v>2</v>
      </c>
      <c r="U499" s="8">
        <f t="shared" ca="1" si="253"/>
        <v>1</v>
      </c>
      <c r="V499" s="8">
        <f t="shared" ca="1" si="254"/>
        <v>4</v>
      </c>
      <c r="W499" s="11">
        <f t="shared" ca="1" si="255"/>
        <v>0</v>
      </c>
      <c r="X499" s="11">
        <f t="shared" ca="1" si="256"/>
        <v>0.66666666666666663</v>
      </c>
      <c r="Y499" s="11" t="str">
        <f t="shared" ca="1" si="257"/>
        <v/>
      </c>
      <c r="Z499" s="11">
        <f t="shared" ca="1" si="258"/>
        <v>0.5</v>
      </c>
      <c r="AA499" s="11">
        <f t="shared" ca="1" si="259"/>
        <v>0.5</v>
      </c>
      <c r="AB499" s="47">
        <f ca="1">PlayerGameData[[#This Row],[3FGA]]+PlayerGameData[[#This Row],[2FGA]]</f>
        <v>4</v>
      </c>
      <c r="AC499" s="47">
        <f ca="1">PlayerGameData[[#This Row],[OFF REB]]+PlayerGameData[[#This Row],[DEF REB]]</f>
        <v>3</v>
      </c>
      <c r="AD499" s="8">
        <f t="shared" si="240"/>
        <v>21</v>
      </c>
      <c r="AE499" s="8" t="str">
        <f t="shared" ca="1" si="241"/>
        <v>Ryan Baker, 35 - Rock River 2/23/2023</v>
      </c>
      <c r="AF499" s="8" t="str">
        <f t="shared" ca="1" si="260"/>
        <v>R</v>
      </c>
      <c r="AG499" s="8" t="str">
        <f ca="1">IFERROR(IF(C499=0,"",IF(AND(VLOOKUP(PlayerGameData[[#This Row],[Opponent]],WYTeamInfo,2,FALSE)=Roster!$D$1,VLOOKUP(PlayerGameData[[#This Row],[Opponent]],WYTeamInfo,3,FALSE)=Roster!$D$2),"SR","")),"")</f>
        <v/>
      </c>
      <c r="AH499" s="8" t="str">
        <f>CONCATENATE(Roster!$D$1," ",Roster!$D$5)</f>
        <v>1A BB</v>
      </c>
      <c r="AI499" s="8" t="str">
        <f t="shared" ca="1" si="242"/>
        <v>Upton - Rock River 2/23/2023</v>
      </c>
      <c r="AJ499" s="8">
        <f ca="1">IFERROR(VLOOKUP(PlayerGameData[[#This Row],[School, Opponent,Game'#]],Table3[],2,FALSE),0)</f>
        <v>1</v>
      </c>
      <c r="AK499" s="8">
        <f ca="1">IF(PlayerGameData[[#This Row],[Visible]]=1,1,1000)</f>
        <v>1</v>
      </c>
      <c r="AL499" s="8">
        <f ca="1">RANK(PlayerGameData[[#This Row],[TL PTS]],PlayerGameData[TL PTS],0)+PlayerGameData[[#This Row],[VisibleOrder]]</f>
        <v>118</v>
      </c>
      <c r="AM499" s="8">
        <f ca="1">IF(COUNTIF(PlayerGameData[PointOrder],PlayerGameData[[#This Row],[PointOrder]])&gt;1,RANK(PlayerGameData[[#This Row],[FGA]],PlayerGameData[FGA],0)/100,0)+PlayerGameData[[#This Row],[PointOrder]]</f>
        <v>119.27</v>
      </c>
      <c r="AN499" s="8">
        <f ca="1">RANK(PlayerGameData[[#This Row],[PointTieBreak]],PlayerGameData[PointTieBreak],1)</f>
        <v>125</v>
      </c>
      <c r="AO499" s="8">
        <f ca="1">RANK(PlayerGameData[[#This Row],[REB]],PlayerGameData[REB],0)+PlayerGameData[[#This Row],[VisibleOrder]]</f>
        <v>108</v>
      </c>
      <c r="AP499" s="8">
        <f ca="1">IF(COUNTIF(PlayerGameData[REBOrder],PlayerGameData[[#This Row],[REBOrder]])&gt;1,PlayerGameData[[#This Row],[PointRank]]/100+PlayerGameData[[#This Row],[REBOrder]],PlayerGameData[[#This Row],[REBOrder]])</f>
        <v>109.25</v>
      </c>
      <c r="AQ499" s="8">
        <f ca="1">RANK(PlayerGameData[[#This Row],[REBTieBreak]],PlayerGameData[REBTieBreak],1)</f>
        <v>121</v>
      </c>
      <c r="AR499" s="8">
        <f ca="1">RANK(PlayerGameData[[#This Row],[AST]],PlayerGameData[AST],0)+PlayerGameData[[#This Row],[VisibleOrder]]</f>
        <v>69</v>
      </c>
      <c r="AS499" s="8">
        <f ca="1">IF(COUNTIF(PlayerGameData[ASTOrder],PlayerGameData[[#This Row],[ASTOrder]])&gt;1,PlayerGameData[[#This Row],[PointRank]]/100+PlayerGameData[[#This Row],[ASTOrder]],PlayerGameData[[#This Row],[ASTOrder]])</f>
        <v>70.25</v>
      </c>
      <c r="AT499" s="8">
        <f ca="1">RANK(PlayerGameData[[#This Row],[ASTTieBreak]],PlayerGameData[ASTTieBreak],1)</f>
        <v>99</v>
      </c>
      <c r="AU499" s="8">
        <f ca="1">RANK(PlayerGameData[[#This Row],[STL]],PlayerGameData[STL],0)+PlayerGameData[[#This Row],[VisibleOrder]]</f>
        <v>143</v>
      </c>
      <c r="AV499" s="8">
        <f ca="1">IF(COUNTIF(PlayerGameData[STLOrder],PlayerGameData[[#This Row],[STLOrder]])&gt;1,PlayerGameData[[#This Row],[PointRank]]/100+PlayerGameData[[#This Row],[STLOrder]],PlayerGameData[[#This Row],[STLOrder]])</f>
        <v>144.25</v>
      </c>
      <c r="AW499" s="8">
        <f ca="1">RANK(PlayerGameData[[#This Row],[STLTieBreak]],PlayerGameData[STLTieBreak],1)</f>
        <v>161</v>
      </c>
      <c r="AX499" s="8">
        <f ca="1">RANK(PlayerGameData[[#This Row],[BLK]],PlayerGameData[BLK],0)+PlayerGameData[[#This Row],[VisibleOrder]]</f>
        <v>32</v>
      </c>
      <c r="AY499" s="8">
        <f ca="1">IF(COUNTIF(PlayerGameData[BLKOrder],PlayerGameData[[#This Row],[BLKOrder]])&gt;1,PlayerGameData[[#This Row],[PointRank]]/100+PlayerGameData[[#This Row],[BLKOrder]],PlayerGameData[[#This Row],[BLKOrder]])</f>
        <v>33.25</v>
      </c>
      <c r="AZ499" s="8">
        <f ca="1">RANK(PlayerGameData[[#This Row],[BLKTieBreak]],PlayerGameData[BLKTieBreak],1)</f>
        <v>129</v>
      </c>
      <c r="BA499" s="11">
        <f ca="1">IFERROR(IF(PlayerGameData[[#This Row],[FGA]]&gt;$AA$5,PlayerGameData[[#This Row],[FG%*]],PlayerGameData[[#This Row],[FG%*]]*-1),-2)</f>
        <v>-0.5</v>
      </c>
      <c r="BB499" s="8">
        <f ca="1">RANK(PlayerGameData[[#This Row],[EligFG]],PlayerGameData[EligFG],0)+PlayerGameData[[#This Row],[VisibleOrder]]</f>
        <v>182</v>
      </c>
      <c r="BC499" s="8">
        <f ca="1">IF(COUNTIF(PlayerGameData[EligFGOrder],PlayerGameData[[#This Row],[EligFGOrder]])&gt;1,PlayerGameData[[#This Row],[PointRank]]/100+PlayerGameData[[#This Row],[EligFGOrder]],PlayerGameData[[#This Row],[EligFGOrder]])</f>
        <v>183.25</v>
      </c>
      <c r="BD499" s="8">
        <f ca="1">RANK(PlayerGameData[[#This Row],[EligFGTieBreak]],PlayerGameData[EligFGTieBreak],1)</f>
        <v>181</v>
      </c>
      <c r="BE499" s="8" t="str">
        <f>Roster!$D$3</f>
        <v>East</v>
      </c>
      <c r="BF499" s="8" t="str">
        <f>Roster!$D$2</f>
        <v>Northeast</v>
      </c>
      <c r="BG499" s="8" t="str">
        <f>Roster!$D$4</f>
        <v>North</v>
      </c>
      <c r="BH499" s="197">
        <f ca="1">IFERROR(VLOOKUP(CONCATENATE(PlayerGameData[[#This Row],[Opponent]]," ",MONTH(PlayerGameData[[#This Row],[Date]]),"/",DAY(PlayerGameData[[#This Row],[Date]]),"/",YEAR(PlayerGameData[[#This Row],[Date]])),Table35[],2,FALSE),0)</f>
        <v>1</v>
      </c>
      <c r="BI499" s="197">
        <f ca="1">IF(PlayerGameData[[#This Row],[Visible]]=1,1,1000)</f>
        <v>1</v>
      </c>
      <c r="BJ499" s="197" t="e">
        <f ca="1">_xlfn.MAXIFS(TeamGameData[Win],TeamGameData[School, Opponent,Game'#],PlayerGameData[[#This Row],[School, Opponent,Game'#]])</f>
        <v>#NAME?</v>
      </c>
      <c r="BK499" s="197" t="e">
        <f ca="1">_xlfn.MAXIFS(TeamGameData[Loss],TeamGameData[School, Opponent,Game'#],PlayerGameData[[#This Row],[School, Opponent,Game'#]])</f>
        <v>#NAME?</v>
      </c>
    </row>
    <row r="500" spans="1:63" x14ac:dyDescent="0.25">
      <c r="A500" s="8" t="str">
        <f t="shared" ca="1" si="243"/>
        <v xml:space="preserve">, </v>
      </c>
      <c r="B500" s="8" t="str">
        <f>Roster!$B$1</f>
        <v>Upton</v>
      </c>
      <c r="C500" s="8" t="str">
        <f t="shared" ca="1" si="231"/>
        <v>Rock River</v>
      </c>
      <c r="D500" s="10">
        <f t="shared" ca="1" si="232"/>
        <v>44980</v>
      </c>
      <c r="E500" s="8">
        <f t="shared" ca="1" si="233"/>
        <v>0</v>
      </c>
      <c r="F500" s="8">
        <f t="shared" ca="1" si="234"/>
        <v>0</v>
      </c>
      <c r="G500" s="8">
        <f t="shared" ca="1" si="235"/>
        <v>0</v>
      </c>
      <c r="H500" s="8">
        <f t="shared" ca="1" si="236"/>
        <v>0</v>
      </c>
      <c r="I500" s="8">
        <f t="shared" ca="1" si="237"/>
        <v>0</v>
      </c>
      <c r="J500" s="8">
        <f t="shared" ca="1" si="238"/>
        <v>0</v>
      </c>
      <c r="K500" s="8">
        <f t="shared" ca="1" si="239"/>
        <v>0</v>
      </c>
      <c r="L500" s="8">
        <f t="shared" ca="1" si="244"/>
        <v>0</v>
      </c>
      <c r="M500" s="8">
        <f t="shared" ca="1" si="245"/>
        <v>0</v>
      </c>
      <c r="N500" s="8">
        <f t="shared" ca="1" si="246"/>
        <v>0</v>
      </c>
      <c r="O500" s="8">
        <f t="shared" ca="1" si="247"/>
        <v>0</v>
      </c>
      <c r="P500" s="8">
        <f t="shared" ca="1" si="248"/>
        <v>0</v>
      </c>
      <c r="Q500" s="8">
        <f t="shared" ca="1" si="249"/>
        <v>0</v>
      </c>
      <c r="R500" s="8">
        <f t="shared" ca="1" si="250"/>
        <v>0</v>
      </c>
      <c r="S500" s="8">
        <f t="shared" ca="1" si="251"/>
        <v>0</v>
      </c>
      <c r="T500" s="8">
        <f t="shared" ca="1" si="252"/>
        <v>0</v>
      </c>
      <c r="U500" s="8">
        <f t="shared" ca="1" si="253"/>
        <v>0</v>
      </c>
      <c r="V500" s="8">
        <f t="shared" ca="1" si="254"/>
        <v>0</v>
      </c>
      <c r="W500" s="11" t="str">
        <f t="shared" ca="1" si="255"/>
        <v/>
      </c>
      <c r="X500" s="11" t="str">
        <f t="shared" ca="1" si="256"/>
        <v/>
      </c>
      <c r="Y500" s="11" t="str">
        <f t="shared" ca="1" si="257"/>
        <v/>
      </c>
      <c r="Z500" s="11" t="str">
        <f t="shared" ca="1" si="258"/>
        <v/>
      </c>
      <c r="AA500" s="11" t="str">
        <f t="shared" ca="1" si="259"/>
        <v/>
      </c>
      <c r="AB500" s="47">
        <f ca="1">PlayerGameData[[#This Row],[3FGA]]+PlayerGameData[[#This Row],[2FGA]]</f>
        <v>0</v>
      </c>
      <c r="AC500" s="47">
        <f ca="1">PlayerGameData[[#This Row],[OFF REB]]+PlayerGameData[[#This Row],[DEF REB]]</f>
        <v>0</v>
      </c>
      <c r="AD500" s="8">
        <f t="shared" si="240"/>
        <v>21</v>
      </c>
      <c r="AE500" s="8" t="str">
        <f t="shared" ca="1" si="241"/>
        <v>,  - Rock River 2/23/2023</v>
      </c>
      <c r="AF500" s="8" t="str">
        <f t="shared" ca="1" si="260"/>
        <v>R</v>
      </c>
      <c r="AG500" s="8" t="str">
        <f ca="1">IFERROR(IF(C500=0,"",IF(AND(VLOOKUP(PlayerGameData[[#This Row],[Opponent]],WYTeamInfo,2,FALSE)=Roster!$D$1,VLOOKUP(PlayerGameData[[#This Row],[Opponent]],WYTeamInfo,3,FALSE)=Roster!$D$2),"SR","")),"")</f>
        <v/>
      </c>
      <c r="AH500" s="8" t="str">
        <f>CONCATENATE(Roster!$D$1," ",Roster!$D$5)</f>
        <v>1A BB</v>
      </c>
      <c r="AI500" s="8" t="str">
        <f t="shared" ca="1" si="242"/>
        <v>Upton - Rock River 2/23/2023</v>
      </c>
      <c r="AJ500" s="8">
        <f ca="1">IFERROR(VLOOKUP(PlayerGameData[[#This Row],[School, Opponent,Game'#]],Table3[],2,FALSE),0)</f>
        <v>1</v>
      </c>
      <c r="AK500" s="8">
        <f ca="1">IF(PlayerGameData[[#This Row],[Visible]]=1,1,1000)</f>
        <v>1</v>
      </c>
      <c r="AL500" s="8">
        <f ca="1">RANK(PlayerGameData[[#This Row],[TL PTS]],PlayerGameData[TL PTS],0)+PlayerGameData[[#This Row],[VisibleOrder]]</f>
        <v>185</v>
      </c>
      <c r="AM500" s="8">
        <f ca="1">IF(COUNTIF(PlayerGameData[PointOrder],PlayerGameData[[#This Row],[PointOrder]])&gt;1,RANK(PlayerGameData[[#This Row],[FGA]],PlayerGameData[FGA],0)/100,0)+PlayerGameData[[#This Row],[PointOrder]]</f>
        <v>187.14</v>
      </c>
      <c r="AN500" s="8">
        <f ca="1">RANK(PlayerGameData[[#This Row],[PointTieBreak]],PlayerGameData[PointTieBreak],1)</f>
        <v>216</v>
      </c>
      <c r="AO500" s="8">
        <f ca="1">RANK(PlayerGameData[[#This Row],[REB]],PlayerGameData[REB],0)+PlayerGameData[[#This Row],[VisibleOrder]]</f>
        <v>192</v>
      </c>
      <c r="AP500" s="8">
        <f ca="1">IF(COUNTIF(PlayerGameData[REBOrder],PlayerGameData[[#This Row],[REBOrder]])&gt;1,PlayerGameData[[#This Row],[PointRank]]/100+PlayerGameData[[#This Row],[REBOrder]],PlayerGameData[[#This Row],[REBOrder]])</f>
        <v>194.16</v>
      </c>
      <c r="AQ500" s="8">
        <f ca="1">RANK(PlayerGameData[[#This Row],[REBTieBreak]],PlayerGameData[REBTieBreak],1)</f>
        <v>224</v>
      </c>
      <c r="AR500" s="8">
        <f ca="1">RANK(PlayerGameData[[#This Row],[AST]],PlayerGameData[AST],0)+PlayerGameData[[#This Row],[VisibleOrder]]</f>
        <v>158</v>
      </c>
      <c r="AS500" s="8">
        <f ca="1">IF(COUNTIF(PlayerGameData[ASTOrder],PlayerGameData[[#This Row],[ASTOrder]])&gt;1,PlayerGameData[[#This Row],[PointRank]]/100+PlayerGameData[[#This Row],[ASTOrder]],PlayerGameData[[#This Row],[ASTOrder]])</f>
        <v>160.16</v>
      </c>
      <c r="AT500" s="8">
        <f ca="1">RANK(PlayerGameData[[#This Row],[ASTTieBreak]],PlayerGameData[ASTTieBreak],1)</f>
        <v>221</v>
      </c>
      <c r="AU500" s="8">
        <f ca="1">RANK(PlayerGameData[[#This Row],[STL]],PlayerGameData[STL],0)+PlayerGameData[[#This Row],[VisibleOrder]]</f>
        <v>143</v>
      </c>
      <c r="AV500" s="8">
        <f ca="1">IF(COUNTIF(PlayerGameData[STLOrder],PlayerGameData[[#This Row],[STLOrder]])&gt;1,PlayerGameData[[#This Row],[PointRank]]/100+PlayerGameData[[#This Row],[STLOrder]],PlayerGameData[[#This Row],[STLOrder]])</f>
        <v>145.16</v>
      </c>
      <c r="AW500" s="8">
        <f ca="1">RANK(PlayerGameData[[#This Row],[STLTieBreak]],PlayerGameData[STLTieBreak],1)</f>
        <v>217</v>
      </c>
      <c r="AX500" s="8">
        <f ca="1">RANK(PlayerGameData[[#This Row],[BLK]],PlayerGameData[BLK],0)+PlayerGameData[[#This Row],[VisibleOrder]]</f>
        <v>32</v>
      </c>
      <c r="AY500" s="8">
        <f ca="1">IF(COUNTIF(PlayerGameData[BLKOrder],PlayerGameData[[#This Row],[BLKOrder]])&gt;1,PlayerGameData[[#This Row],[PointRank]]/100+PlayerGameData[[#This Row],[BLKOrder]],PlayerGameData[[#This Row],[BLKOrder]])</f>
        <v>34.159999999999997</v>
      </c>
      <c r="AZ500" s="8">
        <f ca="1">RANK(PlayerGameData[[#This Row],[BLKTieBreak]],PlayerGameData[BLKTieBreak],1)</f>
        <v>216</v>
      </c>
      <c r="BA500" s="11">
        <f ca="1">IFERROR(IF(PlayerGameData[[#This Row],[FGA]]&gt;$AA$5,PlayerGameData[[#This Row],[FG%*]],PlayerGameData[[#This Row],[FG%*]]*-1),-2)</f>
        <v>-2</v>
      </c>
      <c r="BB500" s="8">
        <f ca="1">RANK(PlayerGameData[[#This Row],[EligFG]],PlayerGameData[EligFG],0)+PlayerGameData[[#This Row],[VisibleOrder]]</f>
        <v>215</v>
      </c>
      <c r="BC500" s="8">
        <f ca="1">IF(COUNTIF(PlayerGameData[EligFGOrder],PlayerGameData[[#This Row],[EligFGOrder]])&gt;1,PlayerGameData[[#This Row],[PointRank]]/100+PlayerGameData[[#This Row],[EligFGOrder]],PlayerGameData[[#This Row],[EligFGOrder]])</f>
        <v>217.16</v>
      </c>
      <c r="BD500" s="8">
        <f ca="1">RANK(PlayerGameData[[#This Row],[EligFGTieBreak]],PlayerGameData[EligFGTieBreak],1)</f>
        <v>216</v>
      </c>
      <c r="BE500" s="8" t="str">
        <f>Roster!$D$3</f>
        <v>East</v>
      </c>
      <c r="BF500" s="8" t="str">
        <f>Roster!$D$2</f>
        <v>Northeast</v>
      </c>
      <c r="BG500" s="8" t="str">
        <f>Roster!$D$4</f>
        <v>North</v>
      </c>
      <c r="BH500" s="197">
        <f ca="1">IFERROR(VLOOKUP(CONCATENATE(PlayerGameData[[#This Row],[Opponent]]," ",MONTH(PlayerGameData[[#This Row],[Date]]),"/",DAY(PlayerGameData[[#This Row],[Date]]),"/",YEAR(PlayerGameData[[#This Row],[Date]])),Table35[],2,FALSE),0)</f>
        <v>1</v>
      </c>
      <c r="BI500" s="197">
        <f ca="1">IF(PlayerGameData[[#This Row],[Visible]]=1,1,1000)</f>
        <v>1</v>
      </c>
      <c r="BJ500" s="197" t="e">
        <f ca="1">_xlfn.MAXIFS(TeamGameData[Win],TeamGameData[School, Opponent,Game'#],PlayerGameData[[#This Row],[School, Opponent,Game'#]])</f>
        <v>#NAME?</v>
      </c>
      <c r="BK500" s="197" t="e">
        <f ca="1">_xlfn.MAXIFS(TeamGameData[Loss],TeamGameData[School, Opponent,Game'#],PlayerGameData[[#This Row],[School, Opponent,Game'#]])</f>
        <v>#NAME?</v>
      </c>
    </row>
    <row r="501" spans="1:63" x14ac:dyDescent="0.25">
      <c r="A501" s="8" t="str">
        <f t="shared" ca="1" si="243"/>
        <v xml:space="preserve">, </v>
      </c>
      <c r="B501" s="8" t="str">
        <f>Roster!$B$1</f>
        <v>Upton</v>
      </c>
      <c r="C501" s="8" t="str">
        <f t="shared" ca="1" si="231"/>
        <v>Rock River</v>
      </c>
      <c r="D501" s="10">
        <f t="shared" ca="1" si="232"/>
        <v>44980</v>
      </c>
      <c r="E501" s="8">
        <f t="shared" ca="1" si="233"/>
        <v>0</v>
      </c>
      <c r="F501" s="8">
        <f t="shared" ca="1" si="234"/>
        <v>0</v>
      </c>
      <c r="G501" s="8">
        <f t="shared" ca="1" si="235"/>
        <v>0</v>
      </c>
      <c r="H501" s="8">
        <f t="shared" ca="1" si="236"/>
        <v>0</v>
      </c>
      <c r="I501" s="8">
        <f t="shared" ca="1" si="237"/>
        <v>0</v>
      </c>
      <c r="J501" s="8">
        <f t="shared" ca="1" si="238"/>
        <v>0</v>
      </c>
      <c r="K501" s="8">
        <f t="shared" ca="1" si="239"/>
        <v>0</v>
      </c>
      <c r="L501" s="8">
        <f t="shared" ca="1" si="244"/>
        <v>0</v>
      </c>
      <c r="M501" s="8">
        <f t="shared" ca="1" si="245"/>
        <v>0</v>
      </c>
      <c r="N501" s="8">
        <f t="shared" ca="1" si="246"/>
        <v>0</v>
      </c>
      <c r="O501" s="8">
        <f t="shared" ca="1" si="247"/>
        <v>0</v>
      </c>
      <c r="P501" s="8">
        <f t="shared" ca="1" si="248"/>
        <v>0</v>
      </c>
      <c r="Q501" s="8">
        <f t="shared" ca="1" si="249"/>
        <v>0</v>
      </c>
      <c r="R501" s="8">
        <f t="shared" ca="1" si="250"/>
        <v>0</v>
      </c>
      <c r="S501" s="8">
        <f t="shared" ca="1" si="251"/>
        <v>0</v>
      </c>
      <c r="T501" s="8">
        <f t="shared" ca="1" si="252"/>
        <v>0</v>
      </c>
      <c r="U501" s="8">
        <f t="shared" ca="1" si="253"/>
        <v>0</v>
      </c>
      <c r="V501" s="8">
        <f t="shared" ca="1" si="254"/>
        <v>0</v>
      </c>
      <c r="W501" s="11" t="str">
        <f t="shared" ca="1" si="255"/>
        <v/>
      </c>
      <c r="X501" s="11" t="str">
        <f t="shared" ca="1" si="256"/>
        <v/>
      </c>
      <c r="Y501" s="11" t="str">
        <f t="shared" ca="1" si="257"/>
        <v/>
      </c>
      <c r="Z501" s="11" t="str">
        <f t="shared" ca="1" si="258"/>
        <v/>
      </c>
      <c r="AA501" s="11" t="str">
        <f t="shared" ca="1" si="259"/>
        <v/>
      </c>
      <c r="AB501" s="47">
        <f ca="1">PlayerGameData[[#This Row],[3FGA]]+PlayerGameData[[#This Row],[2FGA]]</f>
        <v>0</v>
      </c>
      <c r="AC501" s="47">
        <f ca="1">PlayerGameData[[#This Row],[OFF REB]]+PlayerGameData[[#This Row],[DEF REB]]</f>
        <v>0</v>
      </c>
      <c r="AD501" s="8">
        <f t="shared" si="240"/>
        <v>21</v>
      </c>
      <c r="AE501" s="8" t="str">
        <f t="shared" ca="1" si="241"/>
        <v>,  - Rock River 2/23/2023</v>
      </c>
      <c r="AF501" s="8" t="str">
        <f t="shared" ca="1" si="260"/>
        <v>R</v>
      </c>
      <c r="AG501" s="8" t="str">
        <f ca="1">IFERROR(IF(C501=0,"",IF(AND(VLOOKUP(PlayerGameData[[#This Row],[Opponent]],WYTeamInfo,2,FALSE)=Roster!$D$1,VLOOKUP(PlayerGameData[[#This Row],[Opponent]],WYTeamInfo,3,FALSE)=Roster!$D$2),"SR","")),"")</f>
        <v/>
      </c>
      <c r="AH501" s="8" t="str">
        <f>CONCATENATE(Roster!$D$1," ",Roster!$D$5)</f>
        <v>1A BB</v>
      </c>
      <c r="AI501" s="8" t="str">
        <f t="shared" ca="1" si="242"/>
        <v>Upton - Rock River 2/23/2023</v>
      </c>
      <c r="AJ501" s="8">
        <f ca="1">IFERROR(VLOOKUP(PlayerGameData[[#This Row],[School, Opponent,Game'#]],Table3[],2,FALSE),0)</f>
        <v>1</v>
      </c>
      <c r="AK501" s="8">
        <f ca="1">IF(PlayerGameData[[#This Row],[Visible]]=1,1,1000)</f>
        <v>1</v>
      </c>
      <c r="AL501" s="8">
        <f ca="1">RANK(PlayerGameData[[#This Row],[TL PTS]],PlayerGameData[TL PTS],0)+PlayerGameData[[#This Row],[VisibleOrder]]</f>
        <v>185</v>
      </c>
      <c r="AM501" s="8">
        <f ca="1">IF(COUNTIF(PlayerGameData[PointOrder],PlayerGameData[[#This Row],[PointOrder]])&gt;1,RANK(PlayerGameData[[#This Row],[FGA]],PlayerGameData[FGA],0)/100,0)+PlayerGameData[[#This Row],[PointOrder]]</f>
        <v>187.14</v>
      </c>
      <c r="AN501" s="8">
        <f ca="1">RANK(PlayerGameData[[#This Row],[PointTieBreak]],PlayerGameData[PointTieBreak],1)</f>
        <v>216</v>
      </c>
      <c r="AO501" s="8">
        <f ca="1">RANK(PlayerGameData[[#This Row],[REB]],PlayerGameData[REB],0)+PlayerGameData[[#This Row],[VisibleOrder]]</f>
        <v>192</v>
      </c>
      <c r="AP501" s="8">
        <f ca="1">IF(COUNTIF(PlayerGameData[REBOrder],PlayerGameData[[#This Row],[REBOrder]])&gt;1,PlayerGameData[[#This Row],[PointRank]]/100+PlayerGameData[[#This Row],[REBOrder]],PlayerGameData[[#This Row],[REBOrder]])</f>
        <v>194.16</v>
      </c>
      <c r="AQ501" s="8">
        <f ca="1">RANK(PlayerGameData[[#This Row],[REBTieBreak]],PlayerGameData[REBTieBreak],1)</f>
        <v>224</v>
      </c>
      <c r="AR501" s="8">
        <f ca="1">RANK(PlayerGameData[[#This Row],[AST]],PlayerGameData[AST],0)+PlayerGameData[[#This Row],[VisibleOrder]]</f>
        <v>158</v>
      </c>
      <c r="AS501" s="8">
        <f ca="1">IF(COUNTIF(PlayerGameData[ASTOrder],PlayerGameData[[#This Row],[ASTOrder]])&gt;1,PlayerGameData[[#This Row],[PointRank]]/100+PlayerGameData[[#This Row],[ASTOrder]],PlayerGameData[[#This Row],[ASTOrder]])</f>
        <v>160.16</v>
      </c>
      <c r="AT501" s="8">
        <f ca="1">RANK(PlayerGameData[[#This Row],[ASTTieBreak]],PlayerGameData[ASTTieBreak],1)</f>
        <v>221</v>
      </c>
      <c r="AU501" s="8">
        <f ca="1">RANK(PlayerGameData[[#This Row],[STL]],PlayerGameData[STL],0)+PlayerGameData[[#This Row],[VisibleOrder]]</f>
        <v>143</v>
      </c>
      <c r="AV501" s="8">
        <f ca="1">IF(COUNTIF(PlayerGameData[STLOrder],PlayerGameData[[#This Row],[STLOrder]])&gt;1,PlayerGameData[[#This Row],[PointRank]]/100+PlayerGameData[[#This Row],[STLOrder]],PlayerGameData[[#This Row],[STLOrder]])</f>
        <v>145.16</v>
      </c>
      <c r="AW501" s="8">
        <f ca="1">RANK(PlayerGameData[[#This Row],[STLTieBreak]],PlayerGameData[STLTieBreak],1)</f>
        <v>217</v>
      </c>
      <c r="AX501" s="8">
        <f ca="1">RANK(PlayerGameData[[#This Row],[BLK]],PlayerGameData[BLK],0)+PlayerGameData[[#This Row],[VisibleOrder]]</f>
        <v>32</v>
      </c>
      <c r="AY501" s="8">
        <f ca="1">IF(COUNTIF(PlayerGameData[BLKOrder],PlayerGameData[[#This Row],[BLKOrder]])&gt;1,PlayerGameData[[#This Row],[PointRank]]/100+PlayerGameData[[#This Row],[BLKOrder]],PlayerGameData[[#This Row],[BLKOrder]])</f>
        <v>34.159999999999997</v>
      </c>
      <c r="AZ501" s="8">
        <f ca="1">RANK(PlayerGameData[[#This Row],[BLKTieBreak]],PlayerGameData[BLKTieBreak],1)</f>
        <v>216</v>
      </c>
      <c r="BA501" s="11">
        <f ca="1">IFERROR(IF(PlayerGameData[[#This Row],[FGA]]&gt;$AA$5,PlayerGameData[[#This Row],[FG%*]],PlayerGameData[[#This Row],[FG%*]]*-1),-2)</f>
        <v>-2</v>
      </c>
      <c r="BB501" s="8">
        <f ca="1">RANK(PlayerGameData[[#This Row],[EligFG]],PlayerGameData[EligFG],0)+PlayerGameData[[#This Row],[VisibleOrder]]</f>
        <v>215</v>
      </c>
      <c r="BC501" s="8">
        <f ca="1">IF(COUNTIF(PlayerGameData[EligFGOrder],PlayerGameData[[#This Row],[EligFGOrder]])&gt;1,PlayerGameData[[#This Row],[PointRank]]/100+PlayerGameData[[#This Row],[EligFGOrder]],PlayerGameData[[#This Row],[EligFGOrder]])</f>
        <v>217.16</v>
      </c>
      <c r="BD501" s="8">
        <f ca="1">RANK(PlayerGameData[[#This Row],[EligFGTieBreak]],PlayerGameData[EligFGTieBreak],1)</f>
        <v>216</v>
      </c>
      <c r="BE501" s="8" t="str">
        <f>Roster!$D$3</f>
        <v>East</v>
      </c>
      <c r="BF501" s="8" t="str">
        <f>Roster!$D$2</f>
        <v>Northeast</v>
      </c>
      <c r="BG501" s="8" t="str">
        <f>Roster!$D$4</f>
        <v>North</v>
      </c>
      <c r="BH501" s="197">
        <f ca="1">IFERROR(VLOOKUP(CONCATENATE(PlayerGameData[[#This Row],[Opponent]]," ",MONTH(PlayerGameData[[#This Row],[Date]]),"/",DAY(PlayerGameData[[#This Row],[Date]]),"/",YEAR(PlayerGameData[[#This Row],[Date]])),Table35[],2,FALSE),0)</f>
        <v>1</v>
      </c>
      <c r="BI501" s="197">
        <f ca="1">IF(PlayerGameData[[#This Row],[Visible]]=1,1,1000)</f>
        <v>1</v>
      </c>
      <c r="BJ501" s="197" t="e">
        <f ca="1">_xlfn.MAXIFS(TeamGameData[Win],TeamGameData[School, Opponent,Game'#],PlayerGameData[[#This Row],[School, Opponent,Game'#]])</f>
        <v>#NAME?</v>
      </c>
      <c r="BK501" s="197" t="e">
        <f ca="1">_xlfn.MAXIFS(TeamGameData[Loss],TeamGameData[School, Opponent,Game'#],PlayerGameData[[#This Row],[School, Opponent,Game'#]])</f>
        <v>#NAME?</v>
      </c>
    </row>
    <row r="502" spans="1:63" x14ac:dyDescent="0.25">
      <c r="A502" s="8" t="str">
        <f t="shared" ca="1" si="243"/>
        <v xml:space="preserve">, </v>
      </c>
      <c r="B502" s="8" t="str">
        <f>Roster!$B$1</f>
        <v>Upton</v>
      </c>
      <c r="C502" s="8" t="str">
        <f t="shared" ca="1" si="231"/>
        <v>Rock River</v>
      </c>
      <c r="D502" s="10">
        <f t="shared" ca="1" si="232"/>
        <v>44980</v>
      </c>
      <c r="E502" s="8">
        <f t="shared" ca="1" si="233"/>
        <v>0</v>
      </c>
      <c r="F502" s="8">
        <f t="shared" ca="1" si="234"/>
        <v>0</v>
      </c>
      <c r="G502" s="8">
        <f t="shared" ca="1" si="235"/>
        <v>0</v>
      </c>
      <c r="H502" s="8">
        <f t="shared" ca="1" si="236"/>
        <v>0</v>
      </c>
      <c r="I502" s="8">
        <f t="shared" ca="1" si="237"/>
        <v>0</v>
      </c>
      <c r="J502" s="8">
        <f t="shared" ca="1" si="238"/>
        <v>0</v>
      </c>
      <c r="K502" s="8">
        <f t="shared" ca="1" si="239"/>
        <v>0</v>
      </c>
      <c r="L502" s="8">
        <f t="shared" ca="1" si="244"/>
        <v>0</v>
      </c>
      <c r="M502" s="8">
        <f t="shared" ca="1" si="245"/>
        <v>0</v>
      </c>
      <c r="N502" s="8">
        <f t="shared" ca="1" si="246"/>
        <v>0</v>
      </c>
      <c r="O502" s="8">
        <f t="shared" ca="1" si="247"/>
        <v>0</v>
      </c>
      <c r="P502" s="8">
        <f t="shared" ca="1" si="248"/>
        <v>0</v>
      </c>
      <c r="Q502" s="8">
        <f t="shared" ca="1" si="249"/>
        <v>0</v>
      </c>
      <c r="R502" s="8">
        <f t="shared" ca="1" si="250"/>
        <v>0</v>
      </c>
      <c r="S502" s="8">
        <f t="shared" ca="1" si="251"/>
        <v>0</v>
      </c>
      <c r="T502" s="8">
        <f t="shared" ca="1" si="252"/>
        <v>0</v>
      </c>
      <c r="U502" s="8">
        <f t="shared" ca="1" si="253"/>
        <v>0</v>
      </c>
      <c r="V502" s="8">
        <f t="shared" ca="1" si="254"/>
        <v>0</v>
      </c>
      <c r="W502" s="11" t="str">
        <f t="shared" ca="1" si="255"/>
        <v/>
      </c>
      <c r="X502" s="11" t="str">
        <f t="shared" ca="1" si="256"/>
        <v/>
      </c>
      <c r="Y502" s="11" t="str">
        <f t="shared" ca="1" si="257"/>
        <v/>
      </c>
      <c r="Z502" s="11" t="str">
        <f t="shared" ca="1" si="258"/>
        <v/>
      </c>
      <c r="AA502" s="11" t="str">
        <f t="shared" ca="1" si="259"/>
        <v/>
      </c>
      <c r="AB502" s="47">
        <f ca="1">PlayerGameData[[#This Row],[3FGA]]+PlayerGameData[[#This Row],[2FGA]]</f>
        <v>0</v>
      </c>
      <c r="AC502" s="47">
        <f ca="1">PlayerGameData[[#This Row],[OFF REB]]+PlayerGameData[[#This Row],[DEF REB]]</f>
        <v>0</v>
      </c>
      <c r="AD502" s="8">
        <f t="shared" si="240"/>
        <v>21</v>
      </c>
      <c r="AE502" s="8" t="str">
        <f t="shared" ca="1" si="241"/>
        <v>,  - Rock River 2/23/2023</v>
      </c>
      <c r="AF502" s="8" t="str">
        <f t="shared" ca="1" si="260"/>
        <v>R</v>
      </c>
      <c r="AG502" s="8" t="str">
        <f ca="1">IFERROR(IF(C502=0,"",IF(AND(VLOOKUP(PlayerGameData[[#This Row],[Opponent]],WYTeamInfo,2,FALSE)=Roster!$D$1,VLOOKUP(PlayerGameData[[#This Row],[Opponent]],WYTeamInfo,3,FALSE)=Roster!$D$2),"SR","")),"")</f>
        <v/>
      </c>
      <c r="AH502" s="8" t="str">
        <f>CONCATENATE(Roster!$D$1," ",Roster!$D$5)</f>
        <v>1A BB</v>
      </c>
      <c r="AI502" s="8" t="str">
        <f t="shared" ca="1" si="242"/>
        <v>Upton - Rock River 2/23/2023</v>
      </c>
      <c r="AJ502" s="8">
        <f ca="1">IFERROR(VLOOKUP(PlayerGameData[[#This Row],[School, Opponent,Game'#]],Table3[],2,FALSE),0)</f>
        <v>1</v>
      </c>
      <c r="AK502" s="8">
        <f ca="1">IF(PlayerGameData[[#This Row],[Visible]]=1,1,1000)</f>
        <v>1</v>
      </c>
      <c r="AL502" s="8">
        <f ca="1">RANK(PlayerGameData[[#This Row],[TL PTS]],PlayerGameData[TL PTS],0)+PlayerGameData[[#This Row],[VisibleOrder]]</f>
        <v>185</v>
      </c>
      <c r="AM502" s="8">
        <f ca="1">IF(COUNTIF(PlayerGameData[PointOrder],PlayerGameData[[#This Row],[PointOrder]])&gt;1,RANK(PlayerGameData[[#This Row],[FGA]],PlayerGameData[FGA],0)/100,0)+PlayerGameData[[#This Row],[PointOrder]]</f>
        <v>187.14</v>
      </c>
      <c r="AN502" s="8">
        <f ca="1">RANK(PlayerGameData[[#This Row],[PointTieBreak]],PlayerGameData[PointTieBreak],1)</f>
        <v>216</v>
      </c>
      <c r="AO502" s="8">
        <f ca="1">RANK(PlayerGameData[[#This Row],[REB]],PlayerGameData[REB],0)+PlayerGameData[[#This Row],[VisibleOrder]]</f>
        <v>192</v>
      </c>
      <c r="AP502" s="8">
        <f ca="1">IF(COUNTIF(PlayerGameData[REBOrder],PlayerGameData[[#This Row],[REBOrder]])&gt;1,PlayerGameData[[#This Row],[PointRank]]/100+PlayerGameData[[#This Row],[REBOrder]],PlayerGameData[[#This Row],[REBOrder]])</f>
        <v>194.16</v>
      </c>
      <c r="AQ502" s="8">
        <f ca="1">RANK(PlayerGameData[[#This Row],[REBTieBreak]],PlayerGameData[REBTieBreak],1)</f>
        <v>224</v>
      </c>
      <c r="AR502" s="8">
        <f ca="1">RANK(PlayerGameData[[#This Row],[AST]],PlayerGameData[AST],0)+PlayerGameData[[#This Row],[VisibleOrder]]</f>
        <v>158</v>
      </c>
      <c r="AS502" s="8">
        <f ca="1">IF(COUNTIF(PlayerGameData[ASTOrder],PlayerGameData[[#This Row],[ASTOrder]])&gt;1,PlayerGameData[[#This Row],[PointRank]]/100+PlayerGameData[[#This Row],[ASTOrder]],PlayerGameData[[#This Row],[ASTOrder]])</f>
        <v>160.16</v>
      </c>
      <c r="AT502" s="8">
        <f ca="1">RANK(PlayerGameData[[#This Row],[ASTTieBreak]],PlayerGameData[ASTTieBreak],1)</f>
        <v>221</v>
      </c>
      <c r="AU502" s="8">
        <f ca="1">RANK(PlayerGameData[[#This Row],[STL]],PlayerGameData[STL],0)+PlayerGameData[[#This Row],[VisibleOrder]]</f>
        <v>143</v>
      </c>
      <c r="AV502" s="8">
        <f ca="1">IF(COUNTIF(PlayerGameData[STLOrder],PlayerGameData[[#This Row],[STLOrder]])&gt;1,PlayerGameData[[#This Row],[PointRank]]/100+PlayerGameData[[#This Row],[STLOrder]],PlayerGameData[[#This Row],[STLOrder]])</f>
        <v>145.16</v>
      </c>
      <c r="AW502" s="8">
        <f ca="1">RANK(PlayerGameData[[#This Row],[STLTieBreak]],PlayerGameData[STLTieBreak],1)</f>
        <v>217</v>
      </c>
      <c r="AX502" s="8">
        <f ca="1">RANK(PlayerGameData[[#This Row],[BLK]],PlayerGameData[BLK],0)+PlayerGameData[[#This Row],[VisibleOrder]]</f>
        <v>32</v>
      </c>
      <c r="AY502" s="8">
        <f ca="1">IF(COUNTIF(PlayerGameData[BLKOrder],PlayerGameData[[#This Row],[BLKOrder]])&gt;1,PlayerGameData[[#This Row],[PointRank]]/100+PlayerGameData[[#This Row],[BLKOrder]],PlayerGameData[[#This Row],[BLKOrder]])</f>
        <v>34.159999999999997</v>
      </c>
      <c r="AZ502" s="8">
        <f ca="1">RANK(PlayerGameData[[#This Row],[BLKTieBreak]],PlayerGameData[BLKTieBreak],1)</f>
        <v>216</v>
      </c>
      <c r="BA502" s="11">
        <f ca="1">IFERROR(IF(PlayerGameData[[#This Row],[FGA]]&gt;$AA$5,PlayerGameData[[#This Row],[FG%*]],PlayerGameData[[#This Row],[FG%*]]*-1),-2)</f>
        <v>-2</v>
      </c>
      <c r="BB502" s="8">
        <f ca="1">RANK(PlayerGameData[[#This Row],[EligFG]],PlayerGameData[EligFG],0)+PlayerGameData[[#This Row],[VisibleOrder]]</f>
        <v>215</v>
      </c>
      <c r="BC502" s="8">
        <f ca="1">IF(COUNTIF(PlayerGameData[EligFGOrder],PlayerGameData[[#This Row],[EligFGOrder]])&gt;1,PlayerGameData[[#This Row],[PointRank]]/100+PlayerGameData[[#This Row],[EligFGOrder]],PlayerGameData[[#This Row],[EligFGOrder]])</f>
        <v>217.16</v>
      </c>
      <c r="BD502" s="8">
        <f ca="1">RANK(PlayerGameData[[#This Row],[EligFGTieBreak]],PlayerGameData[EligFGTieBreak],1)</f>
        <v>216</v>
      </c>
      <c r="BE502" s="8" t="str">
        <f>Roster!$D$3</f>
        <v>East</v>
      </c>
      <c r="BF502" s="8" t="str">
        <f>Roster!$D$2</f>
        <v>Northeast</v>
      </c>
      <c r="BG502" s="8" t="str">
        <f>Roster!$D$4</f>
        <v>North</v>
      </c>
      <c r="BH502" s="197">
        <f ca="1">IFERROR(VLOOKUP(CONCATENATE(PlayerGameData[[#This Row],[Opponent]]," ",MONTH(PlayerGameData[[#This Row],[Date]]),"/",DAY(PlayerGameData[[#This Row],[Date]]),"/",YEAR(PlayerGameData[[#This Row],[Date]])),Table35[],2,FALSE),0)</f>
        <v>1</v>
      </c>
      <c r="BI502" s="197">
        <f ca="1">IF(PlayerGameData[[#This Row],[Visible]]=1,1,1000)</f>
        <v>1</v>
      </c>
      <c r="BJ502" s="197" t="e">
        <f ca="1">_xlfn.MAXIFS(TeamGameData[Win],TeamGameData[School, Opponent,Game'#],PlayerGameData[[#This Row],[School, Opponent,Game'#]])</f>
        <v>#NAME?</v>
      </c>
      <c r="BK502" s="197" t="e">
        <f ca="1">_xlfn.MAXIFS(TeamGameData[Loss],TeamGameData[School, Opponent,Game'#],PlayerGameData[[#This Row],[School, Opponent,Game'#]])</f>
        <v>#NAME?</v>
      </c>
    </row>
    <row r="503" spans="1:63" x14ac:dyDescent="0.25">
      <c r="A503" s="8" t="str">
        <f t="shared" ca="1" si="243"/>
        <v xml:space="preserve">, </v>
      </c>
      <c r="B503" s="8" t="str">
        <f>Roster!$B$1</f>
        <v>Upton</v>
      </c>
      <c r="C503" s="8" t="str">
        <f t="shared" ca="1" si="231"/>
        <v>Rock River</v>
      </c>
      <c r="D503" s="10">
        <f t="shared" ca="1" si="232"/>
        <v>44980</v>
      </c>
      <c r="E503" s="8">
        <f t="shared" ca="1" si="233"/>
        <v>0</v>
      </c>
      <c r="F503" s="8">
        <f t="shared" ca="1" si="234"/>
        <v>0</v>
      </c>
      <c r="G503" s="8">
        <f t="shared" ca="1" si="235"/>
        <v>0</v>
      </c>
      <c r="H503" s="8">
        <f t="shared" ca="1" si="236"/>
        <v>0</v>
      </c>
      <c r="I503" s="8">
        <f t="shared" ca="1" si="237"/>
        <v>0</v>
      </c>
      <c r="J503" s="8">
        <f t="shared" ca="1" si="238"/>
        <v>0</v>
      </c>
      <c r="K503" s="8">
        <f t="shared" ca="1" si="239"/>
        <v>0</v>
      </c>
      <c r="L503" s="8">
        <f t="shared" ca="1" si="244"/>
        <v>0</v>
      </c>
      <c r="M503" s="8">
        <f t="shared" ca="1" si="245"/>
        <v>0</v>
      </c>
      <c r="N503" s="8">
        <f t="shared" ca="1" si="246"/>
        <v>0</v>
      </c>
      <c r="O503" s="8">
        <f t="shared" ca="1" si="247"/>
        <v>0</v>
      </c>
      <c r="P503" s="8">
        <f t="shared" ca="1" si="248"/>
        <v>0</v>
      </c>
      <c r="Q503" s="8">
        <f t="shared" ca="1" si="249"/>
        <v>0</v>
      </c>
      <c r="R503" s="8">
        <f t="shared" ca="1" si="250"/>
        <v>0</v>
      </c>
      <c r="S503" s="8">
        <f t="shared" ca="1" si="251"/>
        <v>0</v>
      </c>
      <c r="T503" s="8">
        <f t="shared" ca="1" si="252"/>
        <v>0</v>
      </c>
      <c r="U503" s="8">
        <f t="shared" ca="1" si="253"/>
        <v>0</v>
      </c>
      <c r="V503" s="8">
        <f t="shared" ca="1" si="254"/>
        <v>0</v>
      </c>
      <c r="W503" s="11" t="str">
        <f t="shared" ca="1" si="255"/>
        <v/>
      </c>
      <c r="X503" s="11" t="str">
        <f t="shared" ca="1" si="256"/>
        <v/>
      </c>
      <c r="Y503" s="11" t="str">
        <f t="shared" ca="1" si="257"/>
        <v/>
      </c>
      <c r="Z503" s="11" t="str">
        <f t="shared" ca="1" si="258"/>
        <v/>
      </c>
      <c r="AA503" s="11" t="str">
        <f t="shared" ca="1" si="259"/>
        <v/>
      </c>
      <c r="AB503" s="47">
        <f ca="1">PlayerGameData[[#This Row],[3FGA]]+PlayerGameData[[#This Row],[2FGA]]</f>
        <v>0</v>
      </c>
      <c r="AC503" s="47">
        <f ca="1">PlayerGameData[[#This Row],[OFF REB]]+PlayerGameData[[#This Row],[DEF REB]]</f>
        <v>0</v>
      </c>
      <c r="AD503" s="8">
        <f t="shared" si="240"/>
        <v>21</v>
      </c>
      <c r="AE503" s="8" t="str">
        <f t="shared" ca="1" si="241"/>
        <v>,  - Rock River 2/23/2023</v>
      </c>
      <c r="AF503" s="8" t="str">
        <f t="shared" ca="1" si="260"/>
        <v>R</v>
      </c>
      <c r="AG503" s="8" t="str">
        <f ca="1">IFERROR(IF(C503=0,"",IF(AND(VLOOKUP(PlayerGameData[[#This Row],[Opponent]],WYTeamInfo,2,FALSE)=Roster!$D$1,VLOOKUP(PlayerGameData[[#This Row],[Opponent]],WYTeamInfo,3,FALSE)=Roster!$D$2),"SR","")),"")</f>
        <v/>
      </c>
      <c r="AH503" s="8" t="str">
        <f>CONCATENATE(Roster!$D$1," ",Roster!$D$5)</f>
        <v>1A BB</v>
      </c>
      <c r="AI503" s="8" t="str">
        <f t="shared" ca="1" si="242"/>
        <v>Upton - Rock River 2/23/2023</v>
      </c>
      <c r="AJ503" s="8">
        <f ca="1">IFERROR(VLOOKUP(PlayerGameData[[#This Row],[School, Opponent,Game'#]],Table3[],2,FALSE),0)</f>
        <v>1</v>
      </c>
      <c r="AK503" s="8">
        <f ca="1">IF(PlayerGameData[[#This Row],[Visible]]=1,1,1000)</f>
        <v>1</v>
      </c>
      <c r="AL503" s="8">
        <f ca="1">RANK(PlayerGameData[[#This Row],[TL PTS]],PlayerGameData[TL PTS],0)+PlayerGameData[[#This Row],[VisibleOrder]]</f>
        <v>185</v>
      </c>
      <c r="AM503" s="8">
        <f ca="1">IF(COUNTIF(PlayerGameData[PointOrder],PlayerGameData[[#This Row],[PointOrder]])&gt;1,RANK(PlayerGameData[[#This Row],[FGA]],PlayerGameData[FGA],0)/100,0)+PlayerGameData[[#This Row],[PointOrder]]</f>
        <v>187.14</v>
      </c>
      <c r="AN503" s="8">
        <f ca="1">RANK(PlayerGameData[[#This Row],[PointTieBreak]],PlayerGameData[PointTieBreak],1)</f>
        <v>216</v>
      </c>
      <c r="AO503" s="8">
        <f ca="1">RANK(PlayerGameData[[#This Row],[REB]],PlayerGameData[REB],0)+PlayerGameData[[#This Row],[VisibleOrder]]</f>
        <v>192</v>
      </c>
      <c r="AP503" s="8">
        <f ca="1">IF(COUNTIF(PlayerGameData[REBOrder],PlayerGameData[[#This Row],[REBOrder]])&gt;1,PlayerGameData[[#This Row],[PointRank]]/100+PlayerGameData[[#This Row],[REBOrder]],PlayerGameData[[#This Row],[REBOrder]])</f>
        <v>194.16</v>
      </c>
      <c r="AQ503" s="8">
        <f ca="1">RANK(PlayerGameData[[#This Row],[REBTieBreak]],PlayerGameData[REBTieBreak],1)</f>
        <v>224</v>
      </c>
      <c r="AR503" s="8">
        <f ca="1">RANK(PlayerGameData[[#This Row],[AST]],PlayerGameData[AST],0)+PlayerGameData[[#This Row],[VisibleOrder]]</f>
        <v>158</v>
      </c>
      <c r="AS503" s="8">
        <f ca="1">IF(COUNTIF(PlayerGameData[ASTOrder],PlayerGameData[[#This Row],[ASTOrder]])&gt;1,PlayerGameData[[#This Row],[PointRank]]/100+PlayerGameData[[#This Row],[ASTOrder]],PlayerGameData[[#This Row],[ASTOrder]])</f>
        <v>160.16</v>
      </c>
      <c r="AT503" s="8">
        <f ca="1">RANK(PlayerGameData[[#This Row],[ASTTieBreak]],PlayerGameData[ASTTieBreak],1)</f>
        <v>221</v>
      </c>
      <c r="AU503" s="8">
        <f ca="1">RANK(PlayerGameData[[#This Row],[STL]],PlayerGameData[STL],0)+PlayerGameData[[#This Row],[VisibleOrder]]</f>
        <v>143</v>
      </c>
      <c r="AV503" s="8">
        <f ca="1">IF(COUNTIF(PlayerGameData[STLOrder],PlayerGameData[[#This Row],[STLOrder]])&gt;1,PlayerGameData[[#This Row],[PointRank]]/100+PlayerGameData[[#This Row],[STLOrder]],PlayerGameData[[#This Row],[STLOrder]])</f>
        <v>145.16</v>
      </c>
      <c r="AW503" s="8">
        <f ca="1">RANK(PlayerGameData[[#This Row],[STLTieBreak]],PlayerGameData[STLTieBreak],1)</f>
        <v>217</v>
      </c>
      <c r="AX503" s="8">
        <f ca="1">RANK(PlayerGameData[[#This Row],[BLK]],PlayerGameData[BLK],0)+PlayerGameData[[#This Row],[VisibleOrder]]</f>
        <v>32</v>
      </c>
      <c r="AY503" s="8">
        <f ca="1">IF(COUNTIF(PlayerGameData[BLKOrder],PlayerGameData[[#This Row],[BLKOrder]])&gt;1,PlayerGameData[[#This Row],[PointRank]]/100+PlayerGameData[[#This Row],[BLKOrder]],PlayerGameData[[#This Row],[BLKOrder]])</f>
        <v>34.159999999999997</v>
      </c>
      <c r="AZ503" s="8">
        <f ca="1">RANK(PlayerGameData[[#This Row],[BLKTieBreak]],PlayerGameData[BLKTieBreak],1)</f>
        <v>216</v>
      </c>
      <c r="BA503" s="11">
        <f ca="1">IFERROR(IF(PlayerGameData[[#This Row],[FGA]]&gt;$AA$5,PlayerGameData[[#This Row],[FG%*]],PlayerGameData[[#This Row],[FG%*]]*-1),-2)</f>
        <v>-2</v>
      </c>
      <c r="BB503" s="8">
        <f ca="1">RANK(PlayerGameData[[#This Row],[EligFG]],PlayerGameData[EligFG],0)+PlayerGameData[[#This Row],[VisibleOrder]]</f>
        <v>215</v>
      </c>
      <c r="BC503" s="8">
        <f ca="1">IF(COUNTIF(PlayerGameData[EligFGOrder],PlayerGameData[[#This Row],[EligFGOrder]])&gt;1,PlayerGameData[[#This Row],[PointRank]]/100+PlayerGameData[[#This Row],[EligFGOrder]],PlayerGameData[[#This Row],[EligFGOrder]])</f>
        <v>217.16</v>
      </c>
      <c r="BD503" s="8">
        <f ca="1">RANK(PlayerGameData[[#This Row],[EligFGTieBreak]],PlayerGameData[EligFGTieBreak],1)</f>
        <v>216</v>
      </c>
      <c r="BE503" s="8" t="str">
        <f>Roster!$D$3</f>
        <v>East</v>
      </c>
      <c r="BF503" s="8" t="str">
        <f>Roster!$D$2</f>
        <v>Northeast</v>
      </c>
      <c r="BG503" s="8" t="str">
        <f>Roster!$D$4</f>
        <v>North</v>
      </c>
      <c r="BH503" s="197">
        <f ca="1">IFERROR(VLOOKUP(CONCATENATE(PlayerGameData[[#This Row],[Opponent]]," ",MONTH(PlayerGameData[[#This Row],[Date]]),"/",DAY(PlayerGameData[[#This Row],[Date]]),"/",YEAR(PlayerGameData[[#This Row],[Date]])),Table35[],2,FALSE),0)</f>
        <v>1</v>
      </c>
      <c r="BI503" s="197">
        <f ca="1">IF(PlayerGameData[[#This Row],[Visible]]=1,1,1000)</f>
        <v>1</v>
      </c>
      <c r="BJ503" s="197" t="e">
        <f ca="1">_xlfn.MAXIFS(TeamGameData[Win],TeamGameData[School, Opponent,Game'#],PlayerGameData[[#This Row],[School, Opponent,Game'#]])</f>
        <v>#NAME?</v>
      </c>
      <c r="BK503" s="197" t="e">
        <f ca="1">_xlfn.MAXIFS(TeamGameData[Loss],TeamGameData[School, Opponent,Game'#],PlayerGameData[[#This Row],[School, Opponent,Game'#]])</f>
        <v>#NAME?</v>
      </c>
    </row>
    <row r="504" spans="1:63" x14ac:dyDescent="0.25">
      <c r="A504" s="8" t="str">
        <f t="shared" ca="1" si="243"/>
        <v xml:space="preserve">, </v>
      </c>
      <c r="B504" s="8" t="str">
        <f>Roster!$B$1</f>
        <v>Upton</v>
      </c>
      <c r="C504" s="8" t="str">
        <f t="shared" ca="1" si="231"/>
        <v>Rock River</v>
      </c>
      <c r="D504" s="10">
        <f t="shared" ca="1" si="232"/>
        <v>44980</v>
      </c>
      <c r="E504" s="8">
        <f t="shared" ca="1" si="233"/>
        <v>0</v>
      </c>
      <c r="F504" s="8">
        <f t="shared" ca="1" si="234"/>
        <v>0</v>
      </c>
      <c r="G504" s="8">
        <f t="shared" ca="1" si="235"/>
        <v>0</v>
      </c>
      <c r="H504" s="8">
        <f t="shared" ca="1" si="236"/>
        <v>0</v>
      </c>
      <c r="I504" s="8">
        <f t="shared" ca="1" si="237"/>
        <v>0</v>
      </c>
      <c r="J504" s="8">
        <f t="shared" ca="1" si="238"/>
        <v>0</v>
      </c>
      <c r="K504" s="8">
        <f t="shared" ca="1" si="239"/>
        <v>0</v>
      </c>
      <c r="L504" s="8">
        <f t="shared" ca="1" si="244"/>
        <v>0</v>
      </c>
      <c r="M504" s="8">
        <f t="shared" ca="1" si="245"/>
        <v>0</v>
      </c>
      <c r="N504" s="8">
        <f t="shared" ca="1" si="246"/>
        <v>0</v>
      </c>
      <c r="O504" s="8">
        <f t="shared" ca="1" si="247"/>
        <v>0</v>
      </c>
      <c r="P504" s="8">
        <f t="shared" ca="1" si="248"/>
        <v>0</v>
      </c>
      <c r="Q504" s="8">
        <f t="shared" ca="1" si="249"/>
        <v>0</v>
      </c>
      <c r="R504" s="8">
        <f t="shared" ca="1" si="250"/>
        <v>0</v>
      </c>
      <c r="S504" s="8">
        <f t="shared" ca="1" si="251"/>
        <v>0</v>
      </c>
      <c r="T504" s="8">
        <f t="shared" ca="1" si="252"/>
        <v>0</v>
      </c>
      <c r="U504" s="8">
        <f t="shared" ca="1" si="253"/>
        <v>0</v>
      </c>
      <c r="V504" s="8">
        <f t="shared" ca="1" si="254"/>
        <v>0</v>
      </c>
      <c r="W504" s="11" t="str">
        <f t="shared" ca="1" si="255"/>
        <v/>
      </c>
      <c r="X504" s="11" t="str">
        <f t="shared" ca="1" si="256"/>
        <v/>
      </c>
      <c r="Y504" s="11" t="str">
        <f t="shared" ca="1" si="257"/>
        <v/>
      </c>
      <c r="Z504" s="11" t="str">
        <f t="shared" ca="1" si="258"/>
        <v/>
      </c>
      <c r="AA504" s="11" t="str">
        <f t="shared" ca="1" si="259"/>
        <v/>
      </c>
      <c r="AB504" s="47">
        <f ca="1">PlayerGameData[[#This Row],[3FGA]]+PlayerGameData[[#This Row],[2FGA]]</f>
        <v>0</v>
      </c>
      <c r="AC504" s="47">
        <f ca="1">PlayerGameData[[#This Row],[OFF REB]]+PlayerGameData[[#This Row],[DEF REB]]</f>
        <v>0</v>
      </c>
      <c r="AD504" s="8">
        <f t="shared" si="240"/>
        <v>21</v>
      </c>
      <c r="AE504" s="8" t="str">
        <f t="shared" ca="1" si="241"/>
        <v>,  - Rock River 2/23/2023</v>
      </c>
      <c r="AF504" s="8" t="str">
        <f t="shared" ca="1" si="260"/>
        <v>R</v>
      </c>
      <c r="AG504" s="8" t="str">
        <f ca="1">IFERROR(IF(C504=0,"",IF(AND(VLOOKUP(PlayerGameData[[#This Row],[Opponent]],WYTeamInfo,2,FALSE)=Roster!$D$1,VLOOKUP(PlayerGameData[[#This Row],[Opponent]],WYTeamInfo,3,FALSE)=Roster!$D$2),"SR","")),"")</f>
        <v/>
      </c>
      <c r="AH504" s="8" t="str">
        <f>CONCATENATE(Roster!$D$1," ",Roster!$D$5)</f>
        <v>1A BB</v>
      </c>
      <c r="AI504" s="8" t="str">
        <f t="shared" ca="1" si="242"/>
        <v>Upton - Rock River 2/23/2023</v>
      </c>
      <c r="AJ504" s="8">
        <f ca="1">IFERROR(VLOOKUP(PlayerGameData[[#This Row],[School, Opponent,Game'#]],Table3[],2,FALSE),0)</f>
        <v>1</v>
      </c>
      <c r="AK504" s="8">
        <f ca="1">IF(PlayerGameData[[#This Row],[Visible]]=1,1,1000)</f>
        <v>1</v>
      </c>
      <c r="AL504" s="8">
        <f ca="1">RANK(PlayerGameData[[#This Row],[TL PTS]],PlayerGameData[TL PTS],0)+PlayerGameData[[#This Row],[VisibleOrder]]</f>
        <v>185</v>
      </c>
      <c r="AM504" s="8">
        <f ca="1">IF(COUNTIF(PlayerGameData[PointOrder],PlayerGameData[[#This Row],[PointOrder]])&gt;1,RANK(PlayerGameData[[#This Row],[FGA]],PlayerGameData[FGA],0)/100,0)+PlayerGameData[[#This Row],[PointOrder]]</f>
        <v>187.14</v>
      </c>
      <c r="AN504" s="8">
        <f ca="1">RANK(PlayerGameData[[#This Row],[PointTieBreak]],PlayerGameData[PointTieBreak],1)</f>
        <v>216</v>
      </c>
      <c r="AO504" s="8">
        <f ca="1">RANK(PlayerGameData[[#This Row],[REB]],PlayerGameData[REB],0)+PlayerGameData[[#This Row],[VisibleOrder]]</f>
        <v>192</v>
      </c>
      <c r="AP504" s="8">
        <f ca="1">IF(COUNTIF(PlayerGameData[REBOrder],PlayerGameData[[#This Row],[REBOrder]])&gt;1,PlayerGameData[[#This Row],[PointRank]]/100+PlayerGameData[[#This Row],[REBOrder]],PlayerGameData[[#This Row],[REBOrder]])</f>
        <v>194.16</v>
      </c>
      <c r="AQ504" s="8">
        <f ca="1">RANK(PlayerGameData[[#This Row],[REBTieBreak]],PlayerGameData[REBTieBreak],1)</f>
        <v>224</v>
      </c>
      <c r="AR504" s="8">
        <f ca="1">RANK(PlayerGameData[[#This Row],[AST]],PlayerGameData[AST],0)+PlayerGameData[[#This Row],[VisibleOrder]]</f>
        <v>158</v>
      </c>
      <c r="AS504" s="8">
        <f ca="1">IF(COUNTIF(PlayerGameData[ASTOrder],PlayerGameData[[#This Row],[ASTOrder]])&gt;1,PlayerGameData[[#This Row],[PointRank]]/100+PlayerGameData[[#This Row],[ASTOrder]],PlayerGameData[[#This Row],[ASTOrder]])</f>
        <v>160.16</v>
      </c>
      <c r="AT504" s="8">
        <f ca="1">RANK(PlayerGameData[[#This Row],[ASTTieBreak]],PlayerGameData[ASTTieBreak],1)</f>
        <v>221</v>
      </c>
      <c r="AU504" s="8">
        <f ca="1">RANK(PlayerGameData[[#This Row],[STL]],PlayerGameData[STL],0)+PlayerGameData[[#This Row],[VisibleOrder]]</f>
        <v>143</v>
      </c>
      <c r="AV504" s="8">
        <f ca="1">IF(COUNTIF(PlayerGameData[STLOrder],PlayerGameData[[#This Row],[STLOrder]])&gt;1,PlayerGameData[[#This Row],[PointRank]]/100+PlayerGameData[[#This Row],[STLOrder]],PlayerGameData[[#This Row],[STLOrder]])</f>
        <v>145.16</v>
      </c>
      <c r="AW504" s="8">
        <f ca="1">RANK(PlayerGameData[[#This Row],[STLTieBreak]],PlayerGameData[STLTieBreak],1)</f>
        <v>217</v>
      </c>
      <c r="AX504" s="8">
        <f ca="1">RANK(PlayerGameData[[#This Row],[BLK]],PlayerGameData[BLK],0)+PlayerGameData[[#This Row],[VisibleOrder]]</f>
        <v>32</v>
      </c>
      <c r="AY504" s="8">
        <f ca="1">IF(COUNTIF(PlayerGameData[BLKOrder],PlayerGameData[[#This Row],[BLKOrder]])&gt;1,PlayerGameData[[#This Row],[PointRank]]/100+PlayerGameData[[#This Row],[BLKOrder]],PlayerGameData[[#This Row],[BLKOrder]])</f>
        <v>34.159999999999997</v>
      </c>
      <c r="AZ504" s="8">
        <f ca="1">RANK(PlayerGameData[[#This Row],[BLKTieBreak]],PlayerGameData[BLKTieBreak],1)</f>
        <v>216</v>
      </c>
      <c r="BA504" s="11">
        <f ca="1">IFERROR(IF(PlayerGameData[[#This Row],[FGA]]&gt;$AA$5,PlayerGameData[[#This Row],[FG%*]],PlayerGameData[[#This Row],[FG%*]]*-1),-2)</f>
        <v>-2</v>
      </c>
      <c r="BB504" s="8">
        <f ca="1">RANK(PlayerGameData[[#This Row],[EligFG]],PlayerGameData[EligFG],0)+PlayerGameData[[#This Row],[VisibleOrder]]</f>
        <v>215</v>
      </c>
      <c r="BC504" s="8">
        <f ca="1">IF(COUNTIF(PlayerGameData[EligFGOrder],PlayerGameData[[#This Row],[EligFGOrder]])&gt;1,PlayerGameData[[#This Row],[PointRank]]/100+PlayerGameData[[#This Row],[EligFGOrder]],PlayerGameData[[#This Row],[EligFGOrder]])</f>
        <v>217.16</v>
      </c>
      <c r="BD504" s="8">
        <f ca="1">RANK(PlayerGameData[[#This Row],[EligFGTieBreak]],PlayerGameData[EligFGTieBreak],1)</f>
        <v>216</v>
      </c>
      <c r="BE504" s="8" t="str">
        <f>Roster!$D$3</f>
        <v>East</v>
      </c>
      <c r="BF504" s="8" t="str">
        <f>Roster!$D$2</f>
        <v>Northeast</v>
      </c>
      <c r="BG504" s="8" t="str">
        <f>Roster!$D$4</f>
        <v>North</v>
      </c>
      <c r="BH504" s="197">
        <f ca="1">IFERROR(VLOOKUP(CONCATENATE(PlayerGameData[[#This Row],[Opponent]]," ",MONTH(PlayerGameData[[#This Row],[Date]]),"/",DAY(PlayerGameData[[#This Row],[Date]]),"/",YEAR(PlayerGameData[[#This Row],[Date]])),Table35[],2,FALSE),0)</f>
        <v>1</v>
      </c>
      <c r="BI504" s="197">
        <f ca="1">IF(PlayerGameData[[#This Row],[Visible]]=1,1,1000)</f>
        <v>1</v>
      </c>
      <c r="BJ504" s="197" t="e">
        <f ca="1">_xlfn.MAXIFS(TeamGameData[Win],TeamGameData[School, Opponent,Game'#],PlayerGameData[[#This Row],[School, Opponent,Game'#]])</f>
        <v>#NAME?</v>
      </c>
      <c r="BK504" s="197" t="e">
        <f ca="1">_xlfn.MAXIFS(TeamGameData[Loss],TeamGameData[School, Opponent,Game'#],PlayerGameData[[#This Row],[School, Opponent,Game'#]])</f>
        <v>#NAME?</v>
      </c>
    </row>
    <row r="505" spans="1:63" x14ac:dyDescent="0.25">
      <c r="A505" s="8" t="str">
        <f t="shared" ca="1" si="243"/>
        <v xml:space="preserve">, </v>
      </c>
      <c r="B505" s="8" t="str">
        <f>Roster!$B$1</f>
        <v>Upton</v>
      </c>
      <c r="C505" s="8" t="str">
        <f t="shared" ca="1" si="231"/>
        <v>Rock River</v>
      </c>
      <c r="D505" s="10">
        <f t="shared" ca="1" si="232"/>
        <v>44980</v>
      </c>
      <c r="E505" s="8">
        <f t="shared" ca="1" si="233"/>
        <v>0</v>
      </c>
      <c r="F505" s="8">
        <f t="shared" ca="1" si="234"/>
        <v>0</v>
      </c>
      <c r="G505" s="8">
        <f t="shared" ca="1" si="235"/>
        <v>0</v>
      </c>
      <c r="H505" s="8">
        <f t="shared" ca="1" si="236"/>
        <v>0</v>
      </c>
      <c r="I505" s="8">
        <f t="shared" ca="1" si="237"/>
        <v>0</v>
      </c>
      <c r="J505" s="8">
        <f t="shared" ca="1" si="238"/>
        <v>0</v>
      </c>
      <c r="K505" s="8">
        <f t="shared" ca="1" si="239"/>
        <v>0</v>
      </c>
      <c r="L505" s="8">
        <f t="shared" ca="1" si="244"/>
        <v>0</v>
      </c>
      <c r="M505" s="8">
        <f t="shared" ca="1" si="245"/>
        <v>0</v>
      </c>
      <c r="N505" s="8">
        <f t="shared" ca="1" si="246"/>
        <v>0</v>
      </c>
      <c r="O505" s="8">
        <f t="shared" ca="1" si="247"/>
        <v>0</v>
      </c>
      <c r="P505" s="8">
        <f t="shared" ca="1" si="248"/>
        <v>0</v>
      </c>
      <c r="Q505" s="8">
        <f t="shared" ca="1" si="249"/>
        <v>0</v>
      </c>
      <c r="R505" s="8">
        <f t="shared" ca="1" si="250"/>
        <v>0</v>
      </c>
      <c r="S505" s="8">
        <f t="shared" ca="1" si="251"/>
        <v>0</v>
      </c>
      <c r="T505" s="8">
        <f t="shared" ca="1" si="252"/>
        <v>0</v>
      </c>
      <c r="U505" s="8">
        <f t="shared" ca="1" si="253"/>
        <v>0</v>
      </c>
      <c r="V505" s="8">
        <f t="shared" ca="1" si="254"/>
        <v>0</v>
      </c>
      <c r="W505" s="11" t="str">
        <f t="shared" ca="1" si="255"/>
        <v/>
      </c>
      <c r="X505" s="11" t="str">
        <f t="shared" ca="1" si="256"/>
        <v/>
      </c>
      <c r="Y505" s="11" t="str">
        <f t="shared" ca="1" si="257"/>
        <v/>
      </c>
      <c r="Z505" s="11" t="str">
        <f t="shared" ca="1" si="258"/>
        <v/>
      </c>
      <c r="AA505" s="11" t="str">
        <f t="shared" ca="1" si="259"/>
        <v/>
      </c>
      <c r="AB505" s="47">
        <f ca="1">PlayerGameData[[#This Row],[3FGA]]+PlayerGameData[[#This Row],[2FGA]]</f>
        <v>0</v>
      </c>
      <c r="AC505" s="47">
        <f ca="1">PlayerGameData[[#This Row],[OFF REB]]+PlayerGameData[[#This Row],[DEF REB]]</f>
        <v>0</v>
      </c>
      <c r="AD505" s="8">
        <f t="shared" si="240"/>
        <v>21</v>
      </c>
      <c r="AE505" s="8" t="str">
        <f t="shared" ca="1" si="241"/>
        <v>,  - Rock River 2/23/2023</v>
      </c>
      <c r="AF505" s="8" t="str">
        <f t="shared" ca="1" si="260"/>
        <v>R</v>
      </c>
      <c r="AG505" s="8" t="str">
        <f ca="1">IFERROR(IF(C505=0,"",IF(AND(VLOOKUP(PlayerGameData[[#This Row],[Opponent]],WYTeamInfo,2,FALSE)=Roster!$D$1,VLOOKUP(PlayerGameData[[#This Row],[Opponent]],WYTeamInfo,3,FALSE)=Roster!$D$2),"SR","")),"")</f>
        <v/>
      </c>
      <c r="AH505" s="8" t="str">
        <f>CONCATENATE(Roster!$D$1," ",Roster!$D$5)</f>
        <v>1A BB</v>
      </c>
      <c r="AI505" s="8" t="str">
        <f t="shared" ca="1" si="242"/>
        <v>Upton - Rock River 2/23/2023</v>
      </c>
      <c r="AJ505" s="8">
        <f ca="1">IFERROR(VLOOKUP(PlayerGameData[[#This Row],[School, Opponent,Game'#]],Table3[],2,FALSE),0)</f>
        <v>1</v>
      </c>
      <c r="AK505" s="8">
        <f ca="1">IF(PlayerGameData[[#This Row],[Visible]]=1,1,1000)</f>
        <v>1</v>
      </c>
      <c r="AL505" s="8">
        <f ca="1">RANK(PlayerGameData[[#This Row],[TL PTS]],PlayerGameData[TL PTS],0)+PlayerGameData[[#This Row],[VisibleOrder]]</f>
        <v>185</v>
      </c>
      <c r="AM505" s="8">
        <f ca="1">IF(COUNTIF(PlayerGameData[PointOrder],PlayerGameData[[#This Row],[PointOrder]])&gt;1,RANK(PlayerGameData[[#This Row],[FGA]],PlayerGameData[FGA],0)/100,0)+PlayerGameData[[#This Row],[PointOrder]]</f>
        <v>187.14</v>
      </c>
      <c r="AN505" s="8">
        <f ca="1">RANK(PlayerGameData[[#This Row],[PointTieBreak]],PlayerGameData[PointTieBreak],1)</f>
        <v>216</v>
      </c>
      <c r="AO505" s="8">
        <f ca="1">RANK(PlayerGameData[[#This Row],[REB]],PlayerGameData[REB],0)+PlayerGameData[[#This Row],[VisibleOrder]]</f>
        <v>192</v>
      </c>
      <c r="AP505" s="8">
        <f ca="1">IF(COUNTIF(PlayerGameData[REBOrder],PlayerGameData[[#This Row],[REBOrder]])&gt;1,PlayerGameData[[#This Row],[PointRank]]/100+PlayerGameData[[#This Row],[REBOrder]],PlayerGameData[[#This Row],[REBOrder]])</f>
        <v>194.16</v>
      </c>
      <c r="AQ505" s="8">
        <f ca="1">RANK(PlayerGameData[[#This Row],[REBTieBreak]],PlayerGameData[REBTieBreak],1)</f>
        <v>224</v>
      </c>
      <c r="AR505" s="8">
        <f ca="1">RANK(PlayerGameData[[#This Row],[AST]],PlayerGameData[AST],0)+PlayerGameData[[#This Row],[VisibleOrder]]</f>
        <v>158</v>
      </c>
      <c r="AS505" s="8">
        <f ca="1">IF(COUNTIF(PlayerGameData[ASTOrder],PlayerGameData[[#This Row],[ASTOrder]])&gt;1,PlayerGameData[[#This Row],[PointRank]]/100+PlayerGameData[[#This Row],[ASTOrder]],PlayerGameData[[#This Row],[ASTOrder]])</f>
        <v>160.16</v>
      </c>
      <c r="AT505" s="8">
        <f ca="1">RANK(PlayerGameData[[#This Row],[ASTTieBreak]],PlayerGameData[ASTTieBreak],1)</f>
        <v>221</v>
      </c>
      <c r="AU505" s="8">
        <f ca="1">RANK(PlayerGameData[[#This Row],[STL]],PlayerGameData[STL],0)+PlayerGameData[[#This Row],[VisibleOrder]]</f>
        <v>143</v>
      </c>
      <c r="AV505" s="8">
        <f ca="1">IF(COUNTIF(PlayerGameData[STLOrder],PlayerGameData[[#This Row],[STLOrder]])&gt;1,PlayerGameData[[#This Row],[PointRank]]/100+PlayerGameData[[#This Row],[STLOrder]],PlayerGameData[[#This Row],[STLOrder]])</f>
        <v>145.16</v>
      </c>
      <c r="AW505" s="8">
        <f ca="1">RANK(PlayerGameData[[#This Row],[STLTieBreak]],PlayerGameData[STLTieBreak],1)</f>
        <v>217</v>
      </c>
      <c r="AX505" s="8">
        <f ca="1">RANK(PlayerGameData[[#This Row],[BLK]],PlayerGameData[BLK],0)+PlayerGameData[[#This Row],[VisibleOrder]]</f>
        <v>32</v>
      </c>
      <c r="AY505" s="8">
        <f ca="1">IF(COUNTIF(PlayerGameData[BLKOrder],PlayerGameData[[#This Row],[BLKOrder]])&gt;1,PlayerGameData[[#This Row],[PointRank]]/100+PlayerGameData[[#This Row],[BLKOrder]],PlayerGameData[[#This Row],[BLKOrder]])</f>
        <v>34.159999999999997</v>
      </c>
      <c r="AZ505" s="8">
        <f ca="1">RANK(PlayerGameData[[#This Row],[BLKTieBreak]],PlayerGameData[BLKTieBreak],1)</f>
        <v>216</v>
      </c>
      <c r="BA505" s="11">
        <f ca="1">IFERROR(IF(PlayerGameData[[#This Row],[FGA]]&gt;$AA$5,PlayerGameData[[#This Row],[FG%*]],PlayerGameData[[#This Row],[FG%*]]*-1),-2)</f>
        <v>-2</v>
      </c>
      <c r="BB505" s="8">
        <f ca="1">RANK(PlayerGameData[[#This Row],[EligFG]],PlayerGameData[EligFG],0)+PlayerGameData[[#This Row],[VisibleOrder]]</f>
        <v>215</v>
      </c>
      <c r="BC505" s="8">
        <f ca="1">IF(COUNTIF(PlayerGameData[EligFGOrder],PlayerGameData[[#This Row],[EligFGOrder]])&gt;1,PlayerGameData[[#This Row],[PointRank]]/100+PlayerGameData[[#This Row],[EligFGOrder]],PlayerGameData[[#This Row],[EligFGOrder]])</f>
        <v>217.16</v>
      </c>
      <c r="BD505" s="8">
        <f ca="1">RANK(PlayerGameData[[#This Row],[EligFGTieBreak]],PlayerGameData[EligFGTieBreak],1)</f>
        <v>216</v>
      </c>
      <c r="BE505" s="8" t="str">
        <f>Roster!$D$3</f>
        <v>East</v>
      </c>
      <c r="BF505" s="8" t="str">
        <f>Roster!$D$2</f>
        <v>Northeast</v>
      </c>
      <c r="BG505" s="8" t="str">
        <f>Roster!$D$4</f>
        <v>North</v>
      </c>
      <c r="BH505" s="197">
        <f ca="1">IFERROR(VLOOKUP(CONCATENATE(PlayerGameData[[#This Row],[Opponent]]," ",MONTH(PlayerGameData[[#This Row],[Date]]),"/",DAY(PlayerGameData[[#This Row],[Date]]),"/",YEAR(PlayerGameData[[#This Row],[Date]])),Table35[],2,FALSE),0)</f>
        <v>1</v>
      </c>
      <c r="BI505" s="197">
        <f ca="1">IF(PlayerGameData[[#This Row],[Visible]]=1,1,1000)</f>
        <v>1</v>
      </c>
      <c r="BJ505" s="197" t="e">
        <f ca="1">_xlfn.MAXIFS(TeamGameData[Win],TeamGameData[School, Opponent,Game'#],PlayerGameData[[#This Row],[School, Opponent,Game'#]])</f>
        <v>#NAME?</v>
      </c>
      <c r="BK505" s="197" t="e">
        <f ca="1">_xlfn.MAXIFS(TeamGameData[Loss],TeamGameData[School, Opponent,Game'#],PlayerGameData[[#This Row],[School, Opponent,Game'#]])</f>
        <v>#NAME?</v>
      </c>
    </row>
    <row r="506" spans="1:63" x14ac:dyDescent="0.25">
      <c r="A506" s="8" t="str">
        <f t="shared" ca="1" si="243"/>
        <v xml:space="preserve">, </v>
      </c>
      <c r="B506" s="8" t="str">
        <f>Roster!$B$1</f>
        <v>Upton</v>
      </c>
      <c r="C506" s="8" t="str">
        <f t="shared" ca="1" si="231"/>
        <v>Rock River</v>
      </c>
      <c r="D506" s="10">
        <f t="shared" ca="1" si="232"/>
        <v>44980</v>
      </c>
      <c r="E506" s="8">
        <f t="shared" ca="1" si="233"/>
        <v>0</v>
      </c>
      <c r="F506" s="8">
        <f t="shared" ca="1" si="234"/>
        <v>0</v>
      </c>
      <c r="G506" s="8">
        <f t="shared" ca="1" si="235"/>
        <v>0</v>
      </c>
      <c r="H506" s="8">
        <f t="shared" ca="1" si="236"/>
        <v>0</v>
      </c>
      <c r="I506" s="8">
        <f t="shared" ca="1" si="237"/>
        <v>0</v>
      </c>
      <c r="J506" s="8">
        <f t="shared" ca="1" si="238"/>
        <v>0</v>
      </c>
      <c r="K506" s="8">
        <f t="shared" ca="1" si="239"/>
        <v>0</v>
      </c>
      <c r="L506" s="8">
        <f t="shared" ca="1" si="244"/>
        <v>0</v>
      </c>
      <c r="M506" s="8">
        <f t="shared" ca="1" si="245"/>
        <v>0</v>
      </c>
      <c r="N506" s="8">
        <f t="shared" ca="1" si="246"/>
        <v>0</v>
      </c>
      <c r="O506" s="8">
        <f t="shared" ca="1" si="247"/>
        <v>0</v>
      </c>
      <c r="P506" s="8">
        <f t="shared" ca="1" si="248"/>
        <v>0</v>
      </c>
      <c r="Q506" s="8">
        <f t="shared" ca="1" si="249"/>
        <v>0</v>
      </c>
      <c r="R506" s="8">
        <f t="shared" ca="1" si="250"/>
        <v>0</v>
      </c>
      <c r="S506" s="8">
        <f t="shared" ca="1" si="251"/>
        <v>0</v>
      </c>
      <c r="T506" s="8">
        <f t="shared" ca="1" si="252"/>
        <v>0</v>
      </c>
      <c r="U506" s="8">
        <f t="shared" ca="1" si="253"/>
        <v>0</v>
      </c>
      <c r="V506" s="8">
        <f t="shared" ca="1" si="254"/>
        <v>0</v>
      </c>
      <c r="W506" s="11" t="str">
        <f t="shared" ca="1" si="255"/>
        <v/>
      </c>
      <c r="X506" s="11" t="str">
        <f t="shared" ca="1" si="256"/>
        <v/>
      </c>
      <c r="Y506" s="11" t="str">
        <f t="shared" ca="1" si="257"/>
        <v/>
      </c>
      <c r="Z506" s="11" t="str">
        <f t="shared" ca="1" si="258"/>
        <v/>
      </c>
      <c r="AA506" s="11" t="str">
        <f t="shared" ca="1" si="259"/>
        <v/>
      </c>
      <c r="AB506" s="47">
        <f ca="1">PlayerGameData[[#This Row],[3FGA]]+PlayerGameData[[#This Row],[2FGA]]</f>
        <v>0</v>
      </c>
      <c r="AC506" s="47">
        <f ca="1">PlayerGameData[[#This Row],[OFF REB]]+PlayerGameData[[#This Row],[DEF REB]]</f>
        <v>0</v>
      </c>
      <c r="AD506" s="8">
        <f t="shared" si="240"/>
        <v>21</v>
      </c>
      <c r="AE506" s="8" t="str">
        <f t="shared" ca="1" si="241"/>
        <v>,  - Rock River 2/23/2023</v>
      </c>
      <c r="AF506" s="8" t="str">
        <f t="shared" ca="1" si="260"/>
        <v>R</v>
      </c>
      <c r="AG506" s="8" t="str">
        <f ca="1">IFERROR(IF(C506=0,"",IF(AND(VLOOKUP(PlayerGameData[[#This Row],[Opponent]],WYTeamInfo,2,FALSE)=Roster!$D$1,VLOOKUP(PlayerGameData[[#This Row],[Opponent]],WYTeamInfo,3,FALSE)=Roster!$D$2),"SR","")),"")</f>
        <v/>
      </c>
      <c r="AH506" s="8" t="str">
        <f>CONCATENATE(Roster!$D$1," ",Roster!$D$5)</f>
        <v>1A BB</v>
      </c>
      <c r="AI506" s="8" t="str">
        <f t="shared" ca="1" si="242"/>
        <v>Upton - Rock River 2/23/2023</v>
      </c>
      <c r="AJ506" s="8">
        <f ca="1">IFERROR(VLOOKUP(PlayerGameData[[#This Row],[School, Opponent,Game'#]],Table3[],2,FALSE),0)</f>
        <v>1</v>
      </c>
      <c r="AK506" s="8">
        <f ca="1">IF(PlayerGameData[[#This Row],[Visible]]=1,1,1000)</f>
        <v>1</v>
      </c>
      <c r="AL506" s="8">
        <f ca="1">RANK(PlayerGameData[[#This Row],[TL PTS]],PlayerGameData[TL PTS],0)+PlayerGameData[[#This Row],[VisibleOrder]]</f>
        <v>185</v>
      </c>
      <c r="AM506" s="8">
        <f ca="1">IF(COUNTIF(PlayerGameData[PointOrder],PlayerGameData[[#This Row],[PointOrder]])&gt;1,RANK(PlayerGameData[[#This Row],[FGA]],PlayerGameData[FGA],0)/100,0)+PlayerGameData[[#This Row],[PointOrder]]</f>
        <v>187.14</v>
      </c>
      <c r="AN506" s="8">
        <f ca="1">RANK(PlayerGameData[[#This Row],[PointTieBreak]],PlayerGameData[PointTieBreak],1)</f>
        <v>216</v>
      </c>
      <c r="AO506" s="8">
        <f ca="1">RANK(PlayerGameData[[#This Row],[REB]],PlayerGameData[REB],0)+PlayerGameData[[#This Row],[VisibleOrder]]</f>
        <v>192</v>
      </c>
      <c r="AP506" s="8">
        <f ca="1">IF(COUNTIF(PlayerGameData[REBOrder],PlayerGameData[[#This Row],[REBOrder]])&gt;1,PlayerGameData[[#This Row],[PointRank]]/100+PlayerGameData[[#This Row],[REBOrder]],PlayerGameData[[#This Row],[REBOrder]])</f>
        <v>194.16</v>
      </c>
      <c r="AQ506" s="8">
        <f ca="1">RANK(PlayerGameData[[#This Row],[REBTieBreak]],PlayerGameData[REBTieBreak],1)</f>
        <v>224</v>
      </c>
      <c r="AR506" s="8">
        <f ca="1">RANK(PlayerGameData[[#This Row],[AST]],PlayerGameData[AST],0)+PlayerGameData[[#This Row],[VisibleOrder]]</f>
        <v>158</v>
      </c>
      <c r="AS506" s="8">
        <f ca="1">IF(COUNTIF(PlayerGameData[ASTOrder],PlayerGameData[[#This Row],[ASTOrder]])&gt;1,PlayerGameData[[#This Row],[PointRank]]/100+PlayerGameData[[#This Row],[ASTOrder]],PlayerGameData[[#This Row],[ASTOrder]])</f>
        <v>160.16</v>
      </c>
      <c r="AT506" s="8">
        <f ca="1">RANK(PlayerGameData[[#This Row],[ASTTieBreak]],PlayerGameData[ASTTieBreak],1)</f>
        <v>221</v>
      </c>
      <c r="AU506" s="8">
        <f ca="1">RANK(PlayerGameData[[#This Row],[STL]],PlayerGameData[STL],0)+PlayerGameData[[#This Row],[VisibleOrder]]</f>
        <v>143</v>
      </c>
      <c r="AV506" s="8">
        <f ca="1">IF(COUNTIF(PlayerGameData[STLOrder],PlayerGameData[[#This Row],[STLOrder]])&gt;1,PlayerGameData[[#This Row],[PointRank]]/100+PlayerGameData[[#This Row],[STLOrder]],PlayerGameData[[#This Row],[STLOrder]])</f>
        <v>145.16</v>
      </c>
      <c r="AW506" s="8">
        <f ca="1">RANK(PlayerGameData[[#This Row],[STLTieBreak]],PlayerGameData[STLTieBreak],1)</f>
        <v>217</v>
      </c>
      <c r="AX506" s="8">
        <f ca="1">RANK(PlayerGameData[[#This Row],[BLK]],PlayerGameData[BLK],0)+PlayerGameData[[#This Row],[VisibleOrder]]</f>
        <v>32</v>
      </c>
      <c r="AY506" s="8">
        <f ca="1">IF(COUNTIF(PlayerGameData[BLKOrder],PlayerGameData[[#This Row],[BLKOrder]])&gt;1,PlayerGameData[[#This Row],[PointRank]]/100+PlayerGameData[[#This Row],[BLKOrder]],PlayerGameData[[#This Row],[BLKOrder]])</f>
        <v>34.159999999999997</v>
      </c>
      <c r="AZ506" s="8">
        <f ca="1">RANK(PlayerGameData[[#This Row],[BLKTieBreak]],PlayerGameData[BLKTieBreak],1)</f>
        <v>216</v>
      </c>
      <c r="BA506" s="11">
        <f ca="1">IFERROR(IF(PlayerGameData[[#This Row],[FGA]]&gt;$AA$5,PlayerGameData[[#This Row],[FG%*]],PlayerGameData[[#This Row],[FG%*]]*-1),-2)</f>
        <v>-2</v>
      </c>
      <c r="BB506" s="8">
        <f ca="1">RANK(PlayerGameData[[#This Row],[EligFG]],PlayerGameData[EligFG],0)+PlayerGameData[[#This Row],[VisibleOrder]]</f>
        <v>215</v>
      </c>
      <c r="BC506" s="8">
        <f ca="1">IF(COUNTIF(PlayerGameData[EligFGOrder],PlayerGameData[[#This Row],[EligFGOrder]])&gt;1,PlayerGameData[[#This Row],[PointRank]]/100+PlayerGameData[[#This Row],[EligFGOrder]],PlayerGameData[[#This Row],[EligFGOrder]])</f>
        <v>217.16</v>
      </c>
      <c r="BD506" s="8">
        <f ca="1">RANK(PlayerGameData[[#This Row],[EligFGTieBreak]],PlayerGameData[EligFGTieBreak],1)</f>
        <v>216</v>
      </c>
      <c r="BE506" s="8" t="str">
        <f>Roster!$D$3</f>
        <v>East</v>
      </c>
      <c r="BF506" s="8" t="str">
        <f>Roster!$D$2</f>
        <v>Northeast</v>
      </c>
      <c r="BG506" s="8" t="str">
        <f>Roster!$D$4</f>
        <v>North</v>
      </c>
      <c r="BH506" s="197">
        <f ca="1">IFERROR(VLOOKUP(CONCATENATE(PlayerGameData[[#This Row],[Opponent]]," ",MONTH(PlayerGameData[[#This Row],[Date]]),"/",DAY(PlayerGameData[[#This Row],[Date]]),"/",YEAR(PlayerGameData[[#This Row],[Date]])),Table35[],2,FALSE),0)</f>
        <v>1</v>
      </c>
      <c r="BI506" s="197">
        <f ca="1">IF(PlayerGameData[[#This Row],[Visible]]=1,1,1000)</f>
        <v>1</v>
      </c>
      <c r="BJ506" s="197" t="e">
        <f ca="1">_xlfn.MAXIFS(TeamGameData[Win],TeamGameData[School, Opponent,Game'#],PlayerGameData[[#This Row],[School, Opponent,Game'#]])</f>
        <v>#NAME?</v>
      </c>
      <c r="BK506" s="197" t="e">
        <f ca="1">_xlfn.MAXIFS(TeamGameData[Loss],TeamGameData[School, Opponent,Game'#],PlayerGameData[[#This Row],[School, Opponent,Game'#]])</f>
        <v>#NAME?</v>
      </c>
    </row>
    <row r="507" spans="1:63" x14ac:dyDescent="0.25">
      <c r="A507" s="8" t="str">
        <f t="shared" ca="1" si="243"/>
        <v xml:space="preserve">, </v>
      </c>
      <c r="B507" s="8" t="str">
        <f>Roster!$B$1</f>
        <v>Upton</v>
      </c>
      <c r="C507" s="8" t="str">
        <f t="shared" ca="1" si="231"/>
        <v>Rock River</v>
      </c>
      <c r="D507" s="10">
        <f t="shared" ca="1" si="232"/>
        <v>44980</v>
      </c>
      <c r="E507" s="8">
        <f t="shared" ca="1" si="233"/>
        <v>0</v>
      </c>
      <c r="F507" s="8">
        <f t="shared" ca="1" si="234"/>
        <v>0</v>
      </c>
      <c r="G507" s="8">
        <f t="shared" ca="1" si="235"/>
        <v>0</v>
      </c>
      <c r="H507" s="8">
        <f t="shared" ca="1" si="236"/>
        <v>0</v>
      </c>
      <c r="I507" s="8">
        <f t="shared" ca="1" si="237"/>
        <v>0</v>
      </c>
      <c r="J507" s="8">
        <f t="shared" ca="1" si="238"/>
        <v>0</v>
      </c>
      <c r="K507" s="8">
        <f t="shared" ca="1" si="239"/>
        <v>0</v>
      </c>
      <c r="L507" s="8">
        <f t="shared" ca="1" si="244"/>
        <v>0</v>
      </c>
      <c r="M507" s="8">
        <f t="shared" ca="1" si="245"/>
        <v>0</v>
      </c>
      <c r="N507" s="8">
        <f t="shared" ca="1" si="246"/>
        <v>0</v>
      </c>
      <c r="O507" s="8">
        <f t="shared" ca="1" si="247"/>
        <v>0</v>
      </c>
      <c r="P507" s="8">
        <f t="shared" ca="1" si="248"/>
        <v>0</v>
      </c>
      <c r="Q507" s="8">
        <f t="shared" ca="1" si="249"/>
        <v>0</v>
      </c>
      <c r="R507" s="8">
        <f t="shared" ca="1" si="250"/>
        <v>0</v>
      </c>
      <c r="S507" s="8">
        <f t="shared" ca="1" si="251"/>
        <v>0</v>
      </c>
      <c r="T507" s="8">
        <f t="shared" ca="1" si="252"/>
        <v>0</v>
      </c>
      <c r="U507" s="8">
        <f t="shared" ca="1" si="253"/>
        <v>0</v>
      </c>
      <c r="V507" s="8">
        <f t="shared" ca="1" si="254"/>
        <v>0</v>
      </c>
      <c r="W507" s="11" t="str">
        <f t="shared" ca="1" si="255"/>
        <v/>
      </c>
      <c r="X507" s="11" t="str">
        <f t="shared" ca="1" si="256"/>
        <v/>
      </c>
      <c r="Y507" s="11" t="str">
        <f t="shared" ca="1" si="257"/>
        <v/>
      </c>
      <c r="Z507" s="11" t="str">
        <f t="shared" ca="1" si="258"/>
        <v/>
      </c>
      <c r="AA507" s="11" t="str">
        <f t="shared" ca="1" si="259"/>
        <v/>
      </c>
      <c r="AB507" s="47">
        <f ca="1">PlayerGameData[[#This Row],[3FGA]]+PlayerGameData[[#This Row],[2FGA]]</f>
        <v>0</v>
      </c>
      <c r="AC507" s="47">
        <f ca="1">PlayerGameData[[#This Row],[OFF REB]]+PlayerGameData[[#This Row],[DEF REB]]</f>
        <v>0</v>
      </c>
      <c r="AD507" s="8">
        <f t="shared" si="240"/>
        <v>21</v>
      </c>
      <c r="AE507" s="8" t="str">
        <f t="shared" ca="1" si="241"/>
        <v>,  - Rock River 2/23/2023</v>
      </c>
      <c r="AF507" s="8" t="str">
        <f t="shared" ca="1" si="260"/>
        <v>R</v>
      </c>
      <c r="AG507" s="8" t="str">
        <f ca="1">IFERROR(IF(C507=0,"",IF(AND(VLOOKUP(PlayerGameData[[#This Row],[Opponent]],WYTeamInfo,2,FALSE)=Roster!$D$1,VLOOKUP(PlayerGameData[[#This Row],[Opponent]],WYTeamInfo,3,FALSE)=Roster!$D$2),"SR","")),"")</f>
        <v/>
      </c>
      <c r="AH507" s="8" t="str">
        <f>CONCATENATE(Roster!$D$1," ",Roster!$D$5)</f>
        <v>1A BB</v>
      </c>
      <c r="AI507" s="8" t="str">
        <f t="shared" ca="1" si="242"/>
        <v>Upton - Rock River 2/23/2023</v>
      </c>
      <c r="AJ507" s="8">
        <f ca="1">IFERROR(VLOOKUP(PlayerGameData[[#This Row],[School, Opponent,Game'#]],Table3[],2,FALSE),0)</f>
        <v>1</v>
      </c>
      <c r="AK507" s="8">
        <f ca="1">IF(PlayerGameData[[#This Row],[Visible]]=1,1,1000)</f>
        <v>1</v>
      </c>
      <c r="AL507" s="8">
        <f ca="1">RANK(PlayerGameData[[#This Row],[TL PTS]],PlayerGameData[TL PTS],0)+PlayerGameData[[#This Row],[VisibleOrder]]</f>
        <v>185</v>
      </c>
      <c r="AM507" s="8">
        <f ca="1">IF(COUNTIF(PlayerGameData[PointOrder],PlayerGameData[[#This Row],[PointOrder]])&gt;1,RANK(PlayerGameData[[#This Row],[FGA]],PlayerGameData[FGA],0)/100,0)+PlayerGameData[[#This Row],[PointOrder]]</f>
        <v>187.14</v>
      </c>
      <c r="AN507" s="8">
        <f ca="1">RANK(PlayerGameData[[#This Row],[PointTieBreak]],PlayerGameData[PointTieBreak],1)</f>
        <v>216</v>
      </c>
      <c r="AO507" s="8">
        <f ca="1">RANK(PlayerGameData[[#This Row],[REB]],PlayerGameData[REB],0)+PlayerGameData[[#This Row],[VisibleOrder]]</f>
        <v>192</v>
      </c>
      <c r="AP507" s="8">
        <f ca="1">IF(COUNTIF(PlayerGameData[REBOrder],PlayerGameData[[#This Row],[REBOrder]])&gt;1,PlayerGameData[[#This Row],[PointRank]]/100+PlayerGameData[[#This Row],[REBOrder]],PlayerGameData[[#This Row],[REBOrder]])</f>
        <v>194.16</v>
      </c>
      <c r="AQ507" s="8">
        <f ca="1">RANK(PlayerGameData[[#This Row],[REBTieBreak]],PlayerGameData[REBTieBreak],1)</f>
        <v>224</v>
      </c>
      <c r="AR507" s="8">
        <f ca="1">RANK(PlayerGameData[[#This Row],[AST]],PlayerGameData[AST],0)+PlayerGameData[[#This Row],[VisibleOrder]]</f>
        <v>158</v>
      </c>
      <c r="AS507" s="8">
        <f ca="1">IF(COUNTIF(PlayerGameData[ASTOrder],PlayerGameData[[#This Row],[ASTOrder]])&gt;1,PlayerGameData[[#This Row],[PointRank]]/100+PlayerGameData[[#This Row],[ASTOrder]],PlayerGameData[[#This Row],[ASTOrder]])</f>
        <v>160.16</v>
      </c>
      <c r="AT507" s="8">
        <f ca="1">RANK(PlayerGameData[[#This Row],[ASTTieBreak]],PlayerGameData[ASTTieBreak],1)</f>
        <v>221</v>
      </c>
      <c r="AU507" s="8">
        <f ca="1">RANK(PlayerGameData[[#This Row],[STL]],PlayerGameData[STL],0)+PlayerGameData[[#This Row],[VisibleOrder]]</f>
        <v>143</v>
      </c>
      <c r="AV507" s="8">
        <f ca="1">IF(COUNTIF(PlayerGameData[STLOrder],PlayerGameData[[#This Row],[STLOrder]])&gt;1,PlayerGameData[[#This Row],[PointRank]]/100+PlayerGameData[[#This Row],[STLOrder]],PlayerGameData[[#This Row],[STLOrder]])</f>
        <v>145.16</v>
      </c>
      <c r="AW507" s="8">
        <f ca="1">RANK(PlayerGameData[[#This Row],[STLTieBreak]],PlayerGameData[STLTieBreak],1)</f>
        <v>217</v>
      </c>
      <c r="AX507" s="8">
        <f ca="1">RANK(PlayerGameData[[#This Row],[BLK]],PlayerGameData[BLK],0)+PlayerGameData[[#This Row],[VisibleOrder]]</f>
        <v>32</v>
      </c>
      <c r="AY507" s="8">
        <f ca="1">IF(COUNTIF(PlayerGameData[BLKOrder],PlayerGameData[[#This Row],[BLKOrder]])&gt;1,PlayerGameData[[#This Row],[PointRank]]/100+PlayerGameData[[#This Row],[BLKOrder]],PlayerGameData[[#This Row],[BLKOrder]])</f>
        <v>34.159999999999997</v>
      </c>
      <c r="AZ507" s="8">
        <f ca="1">RANK(PlayerGameData[[#This Row],[BLKTieBreak]],PlayerGameData[BLKTieBreak],1)</f>
        <v>216</v>
      </c>
      <c r="BA507" s="11">
        <f ca="1">IFERROR(IF(PlayerGameData[[#This Row],[FGA]]&gt;$AA$5,PlayerGameData[[#This Row],[FG%*]],PlayerGameData[[#This Row],[FG%*]]*-1),-2)</f>
        <v>-2</v>
      </c>
      <c r="BB507" s="8">
        <f ca="1">RANK(PlayerGameData[[#This Row],[EligFG]],PlayerGameData[EligFG],0)+PlayerGameData[[#This Row],[VisibleOrder]]</f>
        <v>215</v>
      </c>
      <c r="BC507" s="8">
        <f ca="1">IF(COUNTIF(PlayerGameData[EligFGOrder],PlayerGameData[[#This Row],[EligFGOrder]])&gt;1,PlayerGameData[[#This Row],[PointRank]]/100+PlayerGameData[[#This Row],[EligFGOrder]],PlayerGameData[[#This Row],[EligFGOrder]])</f>
        <v>217.16</v>
      </c>
      <c r="BD507" s="8">
        <f ca="1">RANK(PlayerGameData[[#This Row],[EligFGTieBreak]],PlayerGameData[EligFGTieBreak],1)</f>
        <v>216</v>
      </c>
      <c r="BE507" s="8" t="str">
        <f>Roster!$D$3</f>
        <v>East</v>
      </c>
      <c r="BF507" s="8" t="str">
        <f>Roster!$D$2</f>
        <v>Northeast</v>
      </c>
      <c r="BG507" s="8" t="str">
        <f>Roster!$D$4</f>
        <v>North</v>
      </c>
      <c r="BH507" s="197">
        <f ca="1">IFERROR(VLOOKUP(CONCATENATE(PlayerGameData[[#This Row],[Opponent]]," ",MONTH(PlayerGameData[[#This Row],[Date]]),"/",DAY(PlayerGameData[[#This Row],[Date]]),"/",YEAR(PlayerGameData[[#This Row],[Date]])),Table35[],2,FALSE),0)</f>
        <v>1</v>
      </c>
      <c r="BI507" s="197">
        <f ca="1">IF(PlayerGameData[[#This Row],[Visible]]=1,1,1000)</f>
        <v>1</v>
      </c>
      <c r="BJ507" s="197" t="e">
        <f ca="1">_xlfn.MAXIFS(TeamGameData[Win],TeamGameData[School, Opponent,Game'#],PlayerGameData[[#This Row],[School, Opponent,Game'#]])</f>
        <v>#NAME?</v>
      </c>
      <c r="BK507" s="197" t="e">
        <f ca="1">_xlfn.MAXIFS(TeamGameData[Loss],TeamGameData[School, Opponent,Game'#],PlayerGameData[[#This Row],[School, Opponent,Game'#]])</f>
        <v>#NAME?</v>
      </c>
    </row>
    <row r="508" spans="1:63" x14ac:dyDescent="0.25">
      <c r="A508" s="8" t="str">
        <f t="shared" ca="1" si="243"/>
        <v xml:space="preserve">, </v>
      </c>
      <c r="B508" s="8" t="str">
        <f>Roster!$B$1</f>
        <v>Upton</v>
      </c>
      <c r="C508" s="8" t="str">
        <f t="shared" ca="1" si="231"/>
        <v>Rock River</v>
      </c>
      <c r="D508" s="10">
        <f t="shared" ca="1" si="232"/>
        <v>44980</v>
      </c>
      <c r="E508" s="8">
        <f t="shared" ca="1" si="233"/>
        <v>0</v>
      </c>
      <c r="F508" s="8">
        <f t="shared" ca="1" si="234"/>
        <v>0</v>
      </c>
      <c r="G508" s="8">
        <f t="shared" ca="1" si="235"/>
        <v>0</v>
      </c>
      <c r="H508" s="8">
        <f t="shared" ca="1" si="236"/>
        <v>0</v>
      </c>
      <c r="I508" s="8">
        <f t="shared" ca="1" si="237"/>
        <v>0</v>
      </c>
      <c r="J508" s="8">
        <f t="shared" ca="1" si="238"/>
        <v>0</v>
      </c>
      <c r="K508" s="8">
        <f t="shared" ca="1" si="239"/>
        <v>0</v>
      </c>
      <c r="L508" s="8">
        <f t="shared" ca="1" si="244"/>
        <v>0</v>
      </c>
      <c r="M508" s="8">
        <f t="shared" ca="1" si="245"/>
        <v>0</v>
      </c>
      <c r="N508" s="8">
        <f t="shared" ca="1" si="246"/>
        <v>0</v>
      </c>
      <c r="O508" s="8">
        <f t="shared" ca="1" si="247"/>
        <v>0</v>
      </c>
      <c r="P508" s="8">
        <f t="shared" ca="1" si="248"/>
        <v>0</v>
      </c>
      <c r="Q508" s="8">
        <f t="shared" ca="1" si="249"/>
        <v>0</v>
      </c>
      <c r="R508" s="8">
        <f t="shared" ca="1" si="250"/>
        <v>0</v>
      </c>
      <c r="S508" s="8">
        <f t="shared" ca="1" si="251"/>
        <v>0</v>
      </c>
      <c r="T508" s="8">
        <f t="shared" ca="1" si="252"/>
        <v>0</v>
      </c>
      <c r="U508" s="8">
        <f t="shared" ca="1" si="253"/>
        <v>0</v>
      </c>
      <c r="V508" s="8">
        <f t="shared" ca="1" si="254"/>
        <v>0</v>
      </c>
      <c r="W508" s="11" t="str">
        <f t="shared" ca="1" si="255"/>
        <v/>
      </c>
      <c r="X508" s="11" t="str">
        <f t="shared" ca="1" si="256"/>
        <v/>
      </c>
      <c r="Y508" s="11" t="str">
        <f t="shared" ca="1" si="257"/>
        <v/>
      </c>
      <c r="Z508" s="11" t="str">
        <f t="shared" ca="1" si="258"/>
        <v/>
      </c>
      <c r="AA508" s="11" t="str">
        <f t="shared" ca="1" si="259"/>
        <v/>
      </c>
      <c r="AB508" s="47">
        <f ca="1">PlayerGameData[[#This Row],[3FGA]]+PlayerGameData[[#This Row],[2FGA]]</f>
        <v>0</v>
      </c>
      <c r="AC508" s="47">
        <f ca="1">PlayerGameData[[#This Row],[OFF REB]]+PlayerGameData[[#This Row],[DEF REB]]</f>
        <v>0</v>
      </c>
      <c r="AD508" s="8">
        <f t="shared" si="240"/>
        <v>21</v>
      </c>
      <c r="AE508" s="8" t="str">
        <f t="shared" ca="1" si="241"/>
        <v>,  - Rock River 2/23/2023</v>
      </c>
      <c r="AF508" s="8" t="str">
        <f t="shared" ca="1" si="260"/>
        <v>R</v>
      </c>
      <c r="AG508" s="8" t="str">
        <f ca="1">IFERROR(IF(C508=0,"",IF(AND(VLOOKUP(PlayerGameData[[#This Row],[Opponent]],WYTeamInfo,2,FALSE)=Roster!$D$1,VLOOKUP(PlayerGameData[[#This Row],[Opponent]],WYTeamInfo,3,FALSE)=Roster!$D$2),"SR","")),"")</f>
        <v/>
      </c>
      <c r="AH508" s="8" t="str">
        <f>CONCATENATE(Roster!$D$1," ",Roster!$D$5)</f>
        <v>1A BB</v>
      </c>
      <c r="AI508" s="8" t="str">
        <f t="shared" ca="1" si="242"/>
        <v>Upton - Rock River 2/23/2023</v>
      </c>
      <c r="AJ508" s="8">
        <f ca="1">IFERROR(VLOOKUP(PlayerGameData[[#This Row],[School, Opponent,Game'#]],Table3[],2,FALSE),0)</f>
        <v>1</v>
      </c>
      <c r="AK508" s="8">
        <f ca="1">IF(PlayerGameData[[#This Row],[Visible]]=1,1,1000)</f>
        <v>1</v>
      </c>
      <c r="AL508" s="8">
        <f ca="1">RANK(PlayerGameData[[#This Row],[TL PTS]],PlayerGameData[TL PTS],0)+PlayerGameData[[#This Row],[VisibleOrder]]</f>
        <v>185</v>
      </c>
      <c r="AM508" s="8">
        <f ca="1">IF(COUNTIF(PlayerGameData[PointOrder],PlayerGameData[[#This Row],[PointOrder]])&gt;1,RANK(PlayerGameData[[#This Row],[FGA]],PlayerGameData[FGA],0)/100,0)+PlayerGameData[[#This Row],[PointOrder]]</f>
        <v>187.14</v>
      </c>
      <c r="AN508" s="8">
        <f ca="1">RANK(PlayerGameData[[#This Row],[PointTieBreak]],PlayerGameData[PointTieBreak],1)</f>
        <v>216</v>
      </c>
      <c r="AO508" s="8">
        <f ca="1">RANK(PlayerGameData[[#This Row],[REB]],PlayerGameData[REB],0)+PlayerGameData[[#This Row],[VisibleOrder]]</f>
        <v>192</v>
      </c>
      <c r="AP508" s="8">
        <f ca="1">IF(COUNTIF(PlayerGameData[REBOrder],PlayerGameData[[#This Row],[REBOrder]])&gt;1,PlayerGameData[[#This Row],[PointRank]]/100+PlayerGameData[[#This Row],[REBOrder]],PlayerGameData[[#This Row],[REBOrder]])</f>
        <v>194.16</v>
      </c>
      <c r="AQ508" s="8">
        <f ca="1">RANK(PlayerGameData[[#This Row],[REBTieBreak]],PlayerGameData[REBTieBreak],1)</f>
        <v>224</v>
      </c>
      <c r="AR508" s="8">
        <f ca="1">RANK(PlayerGameData[[#This Row],[AST]],PlayerGameData[AST],0)+PlayerGameData[[#This Row],[VisibleOrder]]</f>
        <v>158</v>
      </c>
      <c r="AS508" s="8">
        <f ca="1">IF(COUNTIF(PlayerGameData[ASTOrder],PlayerGameData[[#This Row],[ASTOrder]])&gt;1,PlayerGameData[[#This Row],[PointRank]]/100+PlayerGameData[[#This Row],[ASTOrder]],PlayerGameData[[#This Row],[ASTOrder]])</f>
        <v>160.16</v>
      </c>
      <c r="AT508" s="8">
        <f ca="1">RANK(PlayerGameData[[#This Row],[ASTTieBreak]],PlayerGameData[ASTTieBreak],1)</f>
        <v>221</v>
      </c>
      <c r="AU508" s="8">
        <f ca="1">RANK(PlayerGameData[[#This Row],[STL]],PlayerGameData[STL],0)+PlayerGameData[[#This Row],[VisibleOrder]]</f>
        <v>143</v>
      </c>
      <c r="AV508" s="8">
        <f ca="1">IF(COUNTIF(PlayerGameData[STLOrder],PlayerGameData[[#This Row],[STLOrder]])&gt;1,PlayerGameData[[#This Row],[PointRank]]/100+PlayerGameData[[#This Row],[STLOrder]],PlayerGameData[[#This Row],[STLOrder]])</f>
        <v>145.16</v>
      </c>
      <c r="AW508" s="8">
        <f ca="1">RANK(PlayerGameData[[#This Row],[STLTieBreak]],PlayerGameData[STLTieBreak],1)</f>
        <v>217</v>
      </c>
      <c r="AX508" s="8">
        <f ca="1">RANK(PlayerGameData[[#This Row],[BLK]],PlayerGameData[BLK],0)+PlayerGameData[[#This Row],[VisibleOrder]]</f>
        <v>32</v>
      </c>
      <c r="AY508" s="8">
        <f ca="1">IF(COUNTIF(PlayerGameData[BLKOrder],PlayerGameData[[#This Row],[BLKOrder]])&gt;1,PlayerGameData[[#This Row],[PointRank]]/100+PlayerGameData[[#This Row],[BLKOrder]],PlayerGameData[[#This Row],[BLKOrder]])</f>
        <v>34.159999999999997</v>
      </c>
      <c r="AZ508" s="8">
        <f ca="1">RANK(PlayerGameData[[#This Row],[BLKTieBreak]],PlayerGameData[BLKTieBreak],1)</f>
        <v>216</v>
      </c>
      <c r="BA508" s="11">
        <f ca="1">IFERROR(IF(PlayerGameData[[#This Row],[FGA]]&gt;$AA$5,PlayerGameData[[#This Row],[FG%*]],PlayerGameData[[#This Row],[FG%*]]*-1),-2)</f>
        <v>-2</v>
      </c>
      <c r="BB508" s="8">
        <f ca="1">RANK(PlayerGameData[[#This Row],[EligFG]],PlayerGameData[EligFG],0)+PlayerGameData[[#This Row],[VisibleOrder]]</f>
        <v>215</v>
      </c>
      <c r="BC508" s="8">
        <f ca="1">IF(COUNTIF(PlayerGameData[EligFGOrder],PlayerGameData[[#This Row],[EligFGOrder]])&gt;1,PlayerGameData[[#This Row],[PointRank]]/100+PlayerGameData[[#This Row],[EligFGOrder]],PlayerGameData[[#This Row],[EligFGOrder]])</f>
        <v>217.16</v>
      </c>
      <c r="BD508" s="8">
        <f ca="1">RANK(PlayerGameData[[#This Row],[EligFGTieBreak]],PlayerGameData[EligFGTieBreak],1)</f>
        <v>216</v>
      </c>
      <c r="BE508" s="8" t="str">
        <f>Roster!$D$3</f>
        <v>East</v>
      </c>
      <c r="BF508" s="8" t="str">
        <f>Roster!$D$2</f>
        <v>Northeast</v>
      </c>
      <c r="BG508" s="8" t="str">
        <f>Roster!$D$4</f>
        <v>North</v>
      </c>
      <c r="BH508" s="197">
        <f ca="1">IFERROR(VLOOKUP(CONCATENATE(PlayerGameData[[#This Row],[Opponent]]," ",MONTH(PlayerGameData[[#This Row],[Date]]),"/",DAY(PlayerGameData[[#This Row],[Date]]),"/",YEAR(PlayerGameData[[#This Row],[Date]])),Table35[],2,FALSE),0)</f>
        <v>1</v>
      </c>
      <c r="BI508" s="197">
        <f ca="1">IF(PlayerGameData[[#This Row],[Visible]]=1,1,1000)</f>
        <v>1</v>
      </c>
      <c r="BJ508" s="197" t="e">
        <f ca="1">_xlfn.MAXIFS(TeamGameData[Win],TeamGameData[School, Opponent,Game'#],PlayerGameData[[#This Row],[School, Opponent,Game'#]])</f>
        <v>#NAME?</v>
      </c>
      <c r="BK508" s="197" t="e">
        <f ca="1">_xlfn.MAXIFS(TeamGameData[Loss],TeamGameData[School, Opponent,Game'#],PlayerGameData[[#This Row],[School, Opponent,Game'#]])</f>
        <v>#NAME?</v>
      </c>
    </row>
    <row r="509" spans="1:63" x14ac:dyDescent="0.25">
      <c r="A509" s="8" t="str">
        <f t="shared" ca="1" si="243"/>
        <v xml:space="preserve">, </v>
      </c>
      <c r="B509" s="8" t="str">
        <f>Roster!$B$1</f>
        <v>Upton</v>
      </c>
      <c r="C509" s="8" t="str">
        <f t="shared" ca="1" si="231"/>
        <v>Rock River</v>
      </c>
      <c r="D509" s="10">
        <f t="shared" ca="1" si="232"/>
        <v>44980</v>
      </c>
      <c r="E509" s="8">
        <f t="shared" ca="1" si="233"/>
        <v>0</v>
      </c>
      <c r="F509" s="8">
        <f t="shared" ca="1" si="234"/>
        <v>0</v>
      </c>
      <c r="G509" s="8">
        <f t="shared" ca="1" si="235"/>
        <v>0</v>
      </c>
      <c r="H509" s="8">
        <f t="shared" ca="1" si="236"/>
        <v>0</v>
      </c>
      <c r="I509" s="8">
        <f t="shared" ca="1" si="237"/>
        <v>0</v>
      </c>
      <c r="J509" s="8">
        <f t="shared" ca="1" si="238"/>
        <v>0</v>
      </c>
      <c r="K509" s="8">
        <f t="shared" ca="1" si="239"/>
        <v>0</v>
      </c>
      <c r="L509" s="8">
        <f t="shared" ca="1" si="244"/>
        <v>0</v>
      </c>
      <c r="M509" s="8">
        <f t="shared" ca="1" si="245"/>
        <v>0</v>
      </c>
      <c r="N509" s="8">
        <f t="shared" ca="1" si="246"/>
        <v>0</v>
      </c>
      <c r="O509" s="8">
        <f t="shared" ca="1" si="247"/>
        <v>0</v>
      </c>
      <c r="P509" s="8">
        <f t="shared" ca="1" si="248"/>
        <v>0</v>
      </c>
      <c r="Q509" s="8">
        <f t="shared" ca="1" si="249"/>
        <v>0</v>
      </c>
      <c r="R509" s="8">
        <f t="shared" ca="1" si="250"/>
        <v>0</v>
      </c>
      <c r="S509" s="8">
        <f t="shared" ca="1" si="251"/>
        <v>0</v>
      </c>
      <c r="T509" s="8">
        <f t="shared" ca="1" si="252"/>
        <v>0</v>
      </c>
      <c r="U509" s="8">
        <f t="shared" ca="1" si="253"/>
        <v>0</v>
      </c>
      <c r="V509" s="8">
        <f t="shared" ca="1" si="254"/>
        <v>0</v>
      </c>
      <c r="W509" s="11" t="str">
        <f t="shared" ca="1" si="255"/>
        <v/>
      </c>
      <c r="X509" s="11" t="str">
        <f t="shared" ca="1" si="256"/>
        <v/>
      </c>
      <c r="Y509" s="11" t="str">
        <f t="shared" ca="1" si="257"/>
        <v/>
      </c>
      <c r="Z509" s="11" t="str">
        <f t="shared" ca="1" si="258"/>
        <v/>
      </c>
      <c r="AA509" s="11" t="str">
        <f t="shared" ca="1" si="259"/>
        <v/>
      </c>
      <c r="AB509" s="47">
        <f ca="1">PlayerGameData[[#This Row],[3FGA]]+PlayerGameData[[#This Row],[2FGA]]</f>
        <v>0</v>
      </c>
      <c r="AC509" s="47">
        <f ca="1">PlayerGameData[[#This Row],[OFF REB]]+PlayerGameData[[#This Row],[DEF REB]]</f>
        <v>0</v>
      </c>
      <c r="AD509" s="8">
        <f t="shared" si="240"/>
        <v>21</v>
      </c>
      <c r="AE509" s="8" t="str">
        <f t="shared" ca="1" si="241"/>
        <v>,  - Rock River 2/23/2023</v>
      </c>
      <c r="AF509" s="8" t="str">
        <f t="shared" ca="1" si="260"/>
        <v>R</v>
      </c>
      <c r="AG509" s="8" t="str">
        <f ca="1">IFERROR(IF(C509=0,"",IF(AND(VLOOKUP(PlayerGameData[[#This Row],[Opponent]],WYTeamInfo,2,FALSE)=Roster!$D$1,VLOOKUP(PlayerGameData[[#This Row],[Opponent]],WYTeamInfo,3,FALSE)=Roster!$D$2),"SR","")),"")</f>
        <v/>
      </c>
      <c r="AH509" s="8" t="str">
        <f>CONCATENATE(Roster!$D$1," ",Roster!$D$5)</f>
        <v>1A BB</v>
      </c>
      <c r="AI509" s="8" t="str">
        <f t="shared" ca="1" si="242"/>
        <v>Upton - Rock River 2/23/2023</v>
      </c>
      <c r="AJ509" s="8">
        <f ca="1">IFERROR(VLOOKUP(PlayerGameData[[#This Row],[School, Opponent,Game'#]],Table3[],2,FALSE),0)</f>
        <v>1</v>
      </c>
      <c r="AK509" s="8">
        <f ca="1">IF(PlayerGameData[[#This Row],[Visible]]=1,1,1000)</f>
        <v>1</v>
      </c>
      <c r="AL509" s="8">
        <f ca="1">RANK(PlayerGameData[[#This Row],[TL PTS]],PlayerGameData[TL PTS],0)+PlayerGameData[[#This Row],[VisibleOrder]]</f>
        <v>185</v>
      </c>
      <c r="AM509" s="8">
        <f ca="1">IF(COUNTIF(PlayerGameData[PointOrder],PlayerGameData[[#This Row],[PointOrder]])&gt;1,RANK(PlayerGameData[[#This Row],[FGA]],PlayerGameData[FGA],0)/100,0)+PlayerGameData[[#This Row],[PointOrder]]</f>
        <v>187.14</v>
      </c>
      <c r="AN509" s="8">
        <f ca="1">RANK(PlayerGameData[[#This Row],[PointTieBreak]],PlayerGameData[PointTieBreak],1)</f>
        <v>216</v>
      </c>
      <c r="AO509" s="8">
        <f ca="1">RANK(PlayerGameData[[#This Row],[REB]],PlayerGameData[REB],0)+PlayerGameData[[#This Row],[VisibleOrder]]</f>
        <v>192</v>
      </c>
      <c r="AP509" s="8">
        <f ca="1">IF(COUNTIF(PlayerGameData[REBOrder],PlayerGameData[[#This Row],[REBOrder]])&gt;1,PlayerGameData[[#This Row],[PointRank]]/100+PlayerGameData[[#This Row],[REBOrder]],PlayerGameData[[#This Row],[REBOrder]])</f>
        <v>194.16</v>
      </c>
      <c r="AQ509" s="8">
        <f ca="1">RANK(PlayerGameData[[#This Row],[REBTieBreak]],PlayerGameData[REBTieBreak],1)</f>
        <v>224</v>
      </c>
      <c r="AR509" s="8">
        <f ca="1">RANK(PlayerGameData[[#This Row],[AST]],PlayerGameData[AST],0)+PlayerGameData[[#This Row],[VisibleOrder]]</f>
        <v>158</v>
      </c>
      <c r="AS509" s="8">
        <f ca="1">IF(COUNTIF(PlayerGameData[ASTOrder],PlayerGameData[[#This Row],[ASTOrder]])&gt;1,PlayerGameData[[#This Row],[PointRank]]/100+PlayerGameData[[#This Row],[ASTOrder]],PlayerGameData[[#This Row],[ASTOrder]])</f>
        <v>160.16</v>
      </c>
      <c r="AT509" s="8">
        <f ca="1">RANK(PlayerGameData[[#This Row],[ASTTieBreak]],PlayerGameData[ASTTieBreak],1)</f>
        <v>221</v>
      </c>
      <c r="AU509" s="8">
        <f ca="1">RANK(PlayerGameData[[#This Row],[STL]],PlayerGameData[STL],0)+PlayerGameData[[#This Row],[VisibleOrder]]</f>
        <v>143</v>
      </c>
      <c r="AV509" s="8">
        <f ca="1">IF(COUNTIF(PlayerGameData[STLOrder],PlayerGameData[[#This Row],[STLOrder]])&gt;1,PlayerGameData[[#This Row],[PointRank]]/100+PlayerGameData[[#This Row],[STLOrder]],PlayerGameData[[#This Row],[STLOrder]])</f>
        <v>145.16</v>
      </c>
      <c r="AW509" s="8">
        <f ca="1">RANK(PlayerGameData[[#This Row],[STLTieBreak]],PlayerGameData[STLTieBreak],1)</f>
        <v>217</v>
      </c>
      <c r="AX509" s="8">
        <f ca="1">RANK(PlayerGameData[[#This Row],[BLK]],PlayerGameData[BLK],0)+PlayerGameData[[#This Row],[VisibleOrder]]</f>
        <v>32</v>
      </c>
      <c r="AY509" s="8">
        <f ca="1">IF(COUNTIF(PlayerGameData[BLKOrder],PlayerGameData[[#This Row],[BLKOrder]])&gt;1,PlayerGameData[[#This Row],[PointRank]]/100+PlayerGameData[[#This Row],[BLKOrder]],PlayerGameData[[#This Row],[BLKOrder]])</f>
        <v>34.159999999999997</v>
      </c>
      <c r="AZ509" s="8">
        <f ca="1">RANK(PlayerGameData[[#This Row],[BLKTieBreak]],PlayerGameData[BLKTieBreak],1)</f>
        <v>216</v>
      </c>
      <c r="BA509" s="11">
        <f ca="1">IFERROR(IF(PlayerGameData[[#This Row],[FGA]]&gt;$AA$5,PlayerGameData[[#This Row],[FG%*]],PlayerGameData[[#This Row],[FG%*]]*-1),-2)</f>
        <v>-2</v>
      </c>
      <c r="BB509" s="8">
        <f ca="1">RANK(PlayerGameData[[#This Row],[EligFG]],PlayerGameData[EligFG],0)+PlayerGameData[[#This Row],[VisibleOrder]]</f>
        <v>215</v>
      </c>
      <c r="BC509" s="8">
        <f ca="1">IF(COUNTIF(PlayerGameData[EligFGOrder],PlayerGameData[[#This Row],[EligFGOrder]])&gt;1,PlayerGameData[[#This Row],[PointRank]]/100+PlayerGameData[[#This Row],[EligFGOrder]],PlayerGameData[[#This Row],[EligFGOrder]])</f>
        <v>217.16</v>
      </c>
      <c r="BD509" s="8">
        <f ca="1">RANK(PlayerGameData[[#This Row],[EligFGTieBreak]],PlayerGameData[EligFGTieBreak],1)</f>
        <v>216</v>
      </c>
      <c r="BE509" s="8" t="str">
        <f>Roster!$D$3</f>
        <v>East</v>
      </c>
      <c r="BF509" s="8" t="str">
        <f>Roster!$D$2</f>
        <v>Northeast</v>
      </c>
      <c r="BG509" s="8" t="str">
        <f>Roster!$D$4</f>
        <v>North</v>
      </c>
      <c r="BH509" s="197">
        <f ca="1">IFERROR(VLOOKUP(CONCATENATE(PlayerGameData[[#This Row],[Opponent]]," ",MONTH(PlayerGameData[[#This Row],[Date]]),"/",DAY(PlayerGameData[[#This Row],[Date]]),"/",YEAR(PlayerGameData[[#This Row],[Date]])),Table35[],2,FALSE),0)</f>
        <v>1</v>
      </c>
      <c r="BI509" s="197">
        <f ca="1">IF(PlayerGameData[[#This Row],[Visible]]=1,1,1000)</f>
        <v>1</v>
      </c>
      <c r="BJ509" s="197" t="e">
        <f ca="1">_xlfn.MAXIFS(TeamGameData[Win],TeamGameData[School, Opponent,Game'#],PlayerGameData[[#This Row],[School, Opponent,Game'#]])</f>
        <v>#NAME?</v>
      </c>
      <c r="BK509" s="197" t="e">
        <f ca="1">_xlfn.MAXIFS(TeamGameData[Loss],TeamGameData[School, Opponent,Game'#],PlayerGameData[[#This Row],[School, Opponent,Game'#]])</f>
        <v>#NAME?</v>
      </c>
    </row>
    <row r="510" spans="1:63" x14ac:dyDescent="0.25">
      <c r="A510" s="8" t="str">
        <f t="shared" ca="1" si="243"/>
        <v xml:space="preserve">Team, </v>
      </c>
      <c r="B510" s="8" t="str">
        <f>Roster!$B$1</f>
        <v>Upton</v>
      </c>
      <c r="C510" s="8" t="str">
        <f t="shared" ca="1" si="231"/>
        <v>Rock River</v>
      </c>
      <c r="D510" s="10">
        <f t="shared" ca="1" si="232"/>
        <v>44980</v>
      </c>
      <c r="E510" s="8">
        <f t="shared" ca="1" si="233"/>
        <v>0</v>
      </c>
      <c r="F510" s="8">
        <f t="shared" ca="1" si="234"/>
        <v>0</v>
      </c>
      <c r="G510" s="8">
        <f t="shared" ca="1" si="235"/>
        <v>0</v>
      </c>
      <c r="H510" s="8">
        <f t="shared" ca="1" si="236"/>
        <v>0</v>
      </c>
      <c r="I510" s="8">
        <f t="shared" ca="1" si="237"/>
        <v>0</v>
      </c>
      <c r="J510" s="8">
        <f t="shared" ca="1" si="238"/>
        <v>0</v>
      </c>
      <c r="K510" s="8">
        <f t="shared" ca="1" si="239"/>
        <v>0</v>
      </c>
      <c r="L510" s="8">
        <f t="shared" ca="1" si="244"/>
        <v>0</v>
      </c>
      <c r="M510" s="8">
        <f t="shared" ca="1" si="245"/>
        <v>0</v>
      </c>
      <c r="N510" s="8">
        <f t="shared" ca="1" si="246"/>
        <v>0</v>
      </c>
      <c r="O510" s="8">
        <f t="shared" ca="1" si="247"/>
        <v>0</v>
      </c>
      <c r="P510" s="8">
        <f t="shared" ca="1" si="248"/>
        <v>0</v>
      </c>
      <c r="Q510" s="8">
        <f t="shared" ca="1" si="249"/>
        <v>0</v>
      </c>
      <c r="R510" s="8">
        <f t="shared" ca="1" si="250"/>
        <v>0</v>
      </c>
      <c r="S510" s="8">
        <f t="shared" ca="1" si="251"/>
        <v>0</v>
      </c>
      <c r="T510" s="8">
        <f t="shared" ca="1" si="252"/>
        <v>0</v>
      </c>
      <c r="U510" s="8">
        <f t="shared" ca="1" si="253"/>
        <v>0</v>
      </c>
      <c r="V510" s="8">
        <f t="shared" ca="1" si="254"/>
        <v>0</v>
      </c>
      <c r="W510" s="11" t="str">
        <f t="shared" ca="1" si="255"/>
        <v/>
      </c>
      <c r="X510" s="11" t="str">
        <f t="shared" ca="1" si="256"/>
        <v/>
      </c>
      <c r="Y510" s="11" t="str">
        <f t="shared" ca="1" si="257"/>
        <v/>
      </c>
      <c r="Z510" s="11" t="str">
        <f t="shared" ca="1" si="258"/>
        <v/>
      </c>
      <c r="AA510" s="11" t="str">
        <f t="shared" ca="1" si="259"/>
        <v/>
      </c>
      <c r="AB510" s="47">
        <f ca="1">PlayerGameData[[#This Row],[3FGA]]+PlayerGameData[[#This Row],[2FGA]]</f>
        <v>0</v>
      </c>
      <c r="AC510" s="47">
        <f ca="1">PlayerGameData[[#This Row],[OFF REB]]+PlayerGameData[[#This Row],[DEF REB]]</f>
        <v>0</v>
      </c>
      <c r="AD510" s="8">
        <f t="shared" si="240"/>
        <v>21</v>
      </c>
      <c r="AE510" s="8" t="str">
        <f t="shared" ca="1" si="241"/>
        <v>Team,  - Rock River 2/23/2023</v>
      </c>
      <c r="AF510" s="8" t="str">
        <f t="shared" ca="1" si="260"/>
        <v>R</v>
      </c>
      <c r="AG510" s="8" t="str">
        <f ca="1">IFERROR(IF(C510=0,"",IF(AND(VLOOKUP(PlayerGameData[[#This Row],[Opponent]],WYTeamInfo,2,FALSE)=Roster!$D$1,VLOOKUP(PlayerGameData[[#This Row],[Opponent]],WYTeamInfo,3,FALSE)=Roster!$D$2),"SR","")),"")</f>
        <v/>
      </c>
      <c r="AH510" s="8" t="str">
        <f>CONCATENATE(Roster!$D$1," ",Roster!$D$5)</f>
        <v>1A BB</v>
      </c>
      <c r="AI510" s="8" t="str">
        <f t="shared" ca="1" si="242"/>
        <v>Upton - Rock River 2/23/2023</v>
      </c>
      <c r="AJ510" s="8">
        <f ca="1">IFERROR(VLOOKUP(PlayerGameData[[#This Row],[School, Opponent,Game'#]],Table3[],2,FALSE),0)</f>
        <v>1</v>
      </c>
      <c r="AK510" s="8">
        <f ca="1">IF(PlayerGameData[[#This Row],[Visible]]=1,1,1000)</f>
        <v>1</v>
      </c>
      <c r="AL510" s="8">
        <f ca="1">RANK(PlayerGameData[[#This Row],[TL PTS]],PlayerGameData[TL PTS],0)+PlayerGameData[[#This Row],[VisibleOrder]]</f>
        <v>185</v>
      </c>
      <c r="AM510" s="8">
        <f ca="1">IF(COUNTIF(PlayerGameData[PointOrder],PlayerGameData[[#This Row],[PointOrder]])&gt;1,RANK(PlayerGameData[[#This Row],[FGA]],PlayerGameData[FGA],0)/100,0)+PlayerGameData[[#This Row],[PointOrder]]</f>
        <v>187.14</v>
      </c>
      <c r="AN510" s="8">
        <f ca="1">RANK(PlayerGameData[[#This Row],[PointTieBreak]],PlayerGameData[PointTieBreak],1)</f>
        <v>216</v>
      </c>
      <c r="AO510" s="8">
        <f ca="1">RANK(PlayerGameData[[#This Row],[REB]],PlayerGameData[REB],0)+PlayerGameData[[#This Row],[VisibleOrder]]</f>
        <v>192</v>
      </c>
      <c r="AP510" s="8">
        <f ca="1">IF(COUNTIF(PlayerGameData[REBOrder],PlayerGameData[[#This Row],[REBOrder]])&gt;1,PlayerGameData[[#This Row],[PointRank]]/100+PlayerGameData[[#This Row],[REBOrder]],PlayerGameData[[#This Row],[REBOrder]])</f>
        <v>194.16</v>
      </c>
      <c r="AQ510" s="8">
        <f ca="1">RANK(PlayerGameData[[#This Row],[REBTieBreak]],PlayerGameData[REBTieBreak],1)</f>
        <v>224</v>
      </c>
      <c r="AR510" s="8">
        <f ca="1">RANK(PlayerGameData[[#This Row],[AST]],PlayerGameData[AST],0)+PlayerGameData[[#This Row],[VisibleOrder]]</f>
        <v>158</v>
      </c>
      <c r="AS510" s="8">
        <f ca="1">IF(COUNTIF(PlayerGameData[ASTOrder],PlayerGameData[[#This Row],[ASTOrder]])&gt;1,PlayerGameData[[#This Row],[PointRank]]/100+PlayerGameData[[#This Row],[ASTOrder]],PlayerGameData[[#This Row],[ASTOrder]])</f>
        <v>160.16</v>
      </c>
      <c r="AT510" s="8">
        <f ca="1">RANK(PlayerGameData[[#This Row],[ASTTieBreak]],PlayerGameData[ASTTieBreak],1)</f>
        <v>221</v>
      </c>
      <c r="AU510" s="8">
        <f ca="1">RANK(PlayerGameData[[#This Row],[STL]],PlayerGameData[STL],0)+PlayerGameData[[#This Row],[VisibleOrder]]</f>
        <v>143</v>
      </c>
      <c r="AV510" s="8">
        <f ca="1">IF(COUNTIF(PlayerGameData[STLOrder],PlayerGameData[[#This Row],[STLOrder]])&gt;1,PlayerGameData[[#This Row],[PointRank]]/100+PlayerGameData[[#This Row],[STLOrder]],PlayerGameData[[#This Row],[STLOrder]])</f>
        <v>145.16</v>
      </c>
      <c r="AW510" s="8">
        <f ca="1">RANK(PlayerGameData[[#This Row],[STLTieBreak]],PlayerGameData[STLTieBreak],1)</f>
        <v>217</v>
      </c>
      <c r="AX510" s="8">
        <f ca="1">RANK(PlayerGameData[[#This Row],[BLK]],PlayerGameData[BLK],0)+PlayerGameData[[#This Row],[VisibleOrder]]</f>
        <v>32</v>
      </c>
      <c r="AY510" s="8">
        <f ca="1">IF(COUNTIF(PlayerGameData[BLKOrder],PlayerGameData[[#This Row],[BLKOrder]])&gt;1,PlayerGameData[[#This Row],[PointRank]]/100+PlayerGameData[[#This Row],[BLKOrder]],PlayerGameData[[#This Row],[BLKOrder]])</f>
        <v>34.159999999999997</v>
      </c>
      <c r="AZ510" s="8">
        <f ca="1">RANK(PlayerGameData[[#This Row],[BLKTieBreak]],PlayerGameData[BLKTieBreak],1)</f>
        <v>216</v>
      </c>
      <c r="BA510" s="11">
        <f ca="1">IFERROR(IF(PlayerGameData[[#This Row],[FGA]]&gt;$AA$5,PlayerGameData[[#This Row],[FG%*]],PlayerGameData[[#This Row],[FG%*]]*-1),-2)</f>
        <v>-2</v>
      </c>
      <c r="BB510" s="8">
        <f ca="1">RANK(PlayerGameData[[#This Row],[EligFG]],PlayerGameData[EligFG],0)+PlayerGameData[[#This Row],[VisibleOrder]]</f>
        <v>215</v>
      </c>
      <c r="BC510" s="8">
        <f ca="1">IF(COUNTIF(PlayerGameData[EligFGOrder],PlayerGameData[[#This Row],[EligFGOrder]])&gt;1,PlayerGameData[[#This Row],[PointRank]]/100+PlayerGameData[[#This Row],[EligFGOrder]],PlayerGameData[[#This Row],[EligFGOrder]])</f>
        <v>217.16</v>
      </c>
      <c r="BD510" s="8">
        <f ca="1">RANK(PlayerGameData[[#This Row],[EligFGTieBreak]],PlayerGameData[EligFGTieBreak],1)</f>
        <v>216</v>
      </c>
      <c r="BE510" s="8" t="str">
        <f>Roster!$D$3</f>
        <v>East</v>
      </c>
      <c r="BF510" s="8" t="str">
        <f>Roster!$D$2</f>
        <v>Northeast</v>
      </c>
      <c r="BG510" s="8" t="str">
        <f>Roster!$D$4</f>
        <v>North</v>
      </c>
      <c r="BH510" s="197">
        <f ca="1">IFERROR(VLOOKUP(CONCATENATE(PlayerGameData[[#This Row],[Opponent]]," ",MONTH(PlayerGameData[[#This Row],[Date]]),"/",DAY(PlayerGameData[[#This Row],[Date]]),"/",YEAR(PlayerGameData[[#This Row],[Date]])),Table35[],2,FALSE),0)</f>
        <v>1</v>
      </c>
      <c r="BI510" s="197">
        <f ca="1">IF(PlayerGameData[[#This Row],[Visible]]=1,1,1000)</f>
        <v>1</v>
      </c>
      <c r="BJ510" s="197" t="e">
        <f ca="1">_xlfn.MAXIFS(TeamGameData[Win],TeamGameData[School, Opponent,Game'#],PlayerGameData[[#This Row],[School, Opponent,Game'#]])</f>
        <v>#NAME?</v>
      </c>
      <c r="BK510" s="197" t="e">
        <f ca="1">_xlfn.MAXIFS(TeamGameData[Loss],TeamGameData[School, Opponent,Game'#],PlayerGameData[[#This Row],[School, Opponent,Game'#]])</f>
        <v>#NAME?</v>
      </c>
    </row>
    <row r="511" spans="1:63" x14ac:dyDescent="0.25">
      <c r="A511" s="8" t="str">
        <f t="shared" ca="1" si="243"/>
        <v>Landon Butler, 1</v>
      </c>
      <c r="B511" s="8" t="str">
        <f>Roster!$B$1</f>
        <v>Upton</v>
      </c>
      <c r="C511" s="8" t="str">
        <f t="shared" ca="1" si="231"/>
        <v>Kaycee</v>
      </c>
      <c r="D511" s="10">
        <f t="shared" ca="1" si="232"/>
        <v>44981</v>
      </c>
      <c r="E511" s="8">
        <f t="shared" ca="1" si="233"/>
        <v>1</v>
      </c>
      <c r="F511" s="8">
        <f t="shared" ca="1" si="234"/>
        <v>0</v>
      </c>
      <c r="G511" s="8">
        <f t="shared" ca="1" si="235"/>
        <v>3</v>
      </c>
      <c r="H511" s="8">
        <f t="shared" ca="1" si="236"/>
        <v>0</v>
      </c>
      <c r="I511" s="8">
        <f t="shared" ca="1" si="237"/>
        <v>0</v>
      </c>
      <c r="J511" s="8">
        <f t="shared" ca="1" si="238"/>
        <v>0</v>
      </c>
      <c r="K511" s="8">
        <f t="shared" ca="1" si="239"/>
        <v>0</v>
      </c>
      <c r="L511" s="8">
        <f t="shared" ca="1" si="244"/>
        <v>0</v>
      </c>
      <c r="M511" s="8">
        <f t="shared" ca="1" si="245"/>
        <v>0</v>
      </c>
      <c r="N511" s="8">
        <f t="shared" ca="1" si="246"/>
        <v>0</v>
      </c>
      <c r="O511" s="8">
        <f t="shared" ca="1" si="247"/>
        <v>0</v>
      </c>
      <c r="P511" s="8">
        <f t="shared" ca="1" si="248"/>
        <v>1</v>
      </c>
      <c r="Q511" s="8">
        <f t="shared" ca="1" si="249"/>
        <v>0</v>
      </c>
      <c r="R511" s="8">
        <f t="shared" ca="1" si="250"/>
        <v>0</v>
      </c>
      <c r="S511" s="8">
        <f t="shared" ca="1" si="251"/>
        <v>0</v>
      </c>
      <c r="T511" s="8">
        <f t="shared" ca="1" si="252"/>
        <v>0</v>
      </c>
      <c r="U511" s="8">
        <f t="shared" ca="1" si="253"/>
        <v>0</v>
      </c>
      <c r="V511" s="8">
        <f t="shared" ca="1" si="254"/>
        <v>0</v>
      </c>
      <c r="W511" s="11" t="str">
        <f t="shared" ca="1" si="255"/>
        <v/>
      </c>
      <c r="X511" s="11" t="str">
        <f t="shared" ca="1" si="256"/>
        <v/>
      </c>
      <c r="Y511" s="11" t="str">
        <f t="shared" ca="1" si="257"/>
        <v/>
      </c>
      <c r="Z511" s="11" t="str">
        <f t="shared" ca="1" si="258"/>
        <v/>
      </c>
      <c r="AA511" s="11" t="str">
        <f t="shared" ca="1" si="259"/>
        <v/>
      </c>
      <c r="AB511" s="47">
        <f ca="1">PlayerGameData[[#This Row],[3FGA]]+PlayerGameData[[#This Row],[2FGA]]</f>
        <v>0</v>
      </c>
      <c r="AC511" s="47">
        <f ca="1">PlayerGameData[[#This Row],[OFF REB]]+PlayerGameData[[#This Row],[DEF REB]]</f>
        <v>0</v>
      </c>
      <c r="AD511" s="8">
        <f t="shared" si="240"/>
        <v>22</v>
      </c>
      <c r="AE511" s="8" t="str">
        <f t="shared" ca="1" si="241"/>
        <v>Landon Butler, 1 - Kaycee 2/24/2023</v>
      </c>
      <c r="AF511" s="8" t="str">
        <f t="shared" ca="1" si="260"/>
        <v>R</v>
      </c>
      <c r="AG511" s="8" t="str">
        <f ca="1">IFERROR(IF(C511=0,"",IF(AND(VLOOKUP(PlayerGameData[[#This Row],[Opponent]],WYTeamInfo,2,FALSE)=Roster!$D$1,VLOOKUP(PlayerGameData[[#This Row],[Opponent]],WYTeamInfo,3,FALSE)=Roster!$D$2),"SR","")),"")</f>
        <v>SR</v>
      </c>
      <c r="AH511" s="8" t="str">
        <f>CONCATENATE(Roster!$D$1," ",Roster!$D$5)</f>
        <v>1A BB</v>
      </c>
      <c r="AI511" s="8" t="str">
        <f t="shared" ca="1" si="242"/>
        <v>Upton - Kaycee 2/24/2023</v>
      </c>
      <c r="AJ511" s="8">
        <f ca="1">IFERROR(VLOOKUP(PlayerGameData[[#This Row],[School, Opponent,Game'#]],Table3[],2,FALSE),0)</f>
        <v>1</v>
      </c>
      <c r="AK511" s="8">
        <f ca="1">IF(PlayerGameData[[#This Row],[Visible]]=1,1,1000)</f>
        <v>1</v>
      </c>
      <c r="AL511" s="8">
        <f ca="1">RANK(PlayerGameData[[#This Row],[TL PTS]],PlayerGameData[TL PTS],0)+PlayerGameData[[#This Row],[VisibleOrder]]</f>
        <v>185</v>
      </c>
      <c r="AM511" s="8">
        <f ca="1">IF(COUNTIF(PlayerGameData[PointOrder],PlayerGameData[[#This Row],[PointOrder]])&gt;1,RANK(PlayerGameData[[#This Row],[FGA]],PlayerGameData[FGA],0)/100,0)+PlayerGameData[[#This Row],[PointOrder]]</f>
        <v>187.14</v>
      </c>
      <c r="AN511" s="8">
        <f ca="1">RANK(PlayerGameData[[#This Row],[PointTieBreak]],PlayerGameData[PointTieBreak],1)</f>
        <v>216</v>
      </c>
      <c r="AO511" s="8">
        <f ca="1">RANK(PlayerGameData[[#This Row],[REB]],PlayerGameData[REB],0)+PlayerGameData[[#This Row],[VisibleOrder]]</f>
        <v>192</v>
      </c>
      <c r="AP511" s="8">
        <f ca="1">IF(COUNTIF(PlayerGameData[REBOrder],PlayerGameData[[#This Row],[REBOrder]])&gt;1,PlayerGameData[[#This Row],[PointRank]]/100+PlayerGameData[[#This Row],[REBOrder]],PlayerGameData[[#This Row],[REBOrder]])</f>
        <v>194.16</v>
      </c>
      <c r="AQ511" s="8">
        <f ca="1">RANK(PlayerGameData[[#This Row],[REBTieBreak]],PlayerGameData[REBTieBreak],1)</f>
        <v>224</v>
      </c>
      <c r="AR511" s="8">
        <f ca="1">RANK(PlayerGameData[[#This Row],[AST]],PlayerGameData[AST],0)+PlayerGameData[[#This Row],[VisibleOrder]]</f>
        <v>115</v>
      </c>
      <c r="AS511" s="8">
        <f ca="1">IF(COUNTIF(PlayerGameData[ASTOrder],PlayerGameData[[#This Row],[ASTOrder]])&gt;1,PlayerGameData[[#This Row],[PointRank]]/100+PlayerGameData[[#This Row],[ASTOrder]],PlayerGameData[[#This Row],[ASTOrder]])</f>
        <v>117.16</v>
      </c>
      <c r="AT511" s="8">
        <f ca="1">RANK(PlayerGameData[[#This Row],[ASTTieBreak]],PlayerGameData[ASTTieBreak],1)</f>
        <v>152</v>
      </c>
      <c r="AU511" s="8">
        <f ca="1">RANK(PlayerGameData[[#This Row],[STL]],PlayerGameData[STL],0)+PlayerGameData[[#This Row],[VisibleOrder]]</f>
        <v>143</v>
      </c>
      <c r="AV511" s="8">
        <f ca="1">IF(COUNTIF(PlayerGameData[STLOrder],PlayerGameData[[#This Row],[STLOrder]])&gt;1,PlayerGameData[[#This Row],[PointRank]]/100+PlayerGameData[[#This Row],[STLOrder]],PlayerGameData[[#This Row],[STLOrder]])</f>
        <v>145.16</v>
      </c>
      <c r="AW511" s="8">
        <f ca="1">RANK(PlayerGameData[[#This Row],[STLTieBreak]],PlayerGameData[STLTieBreak],1)</f>
        <v>217</v>
      </c>
      <c r="AX511" s="8">
        <f ca="1">RANK(PlayerGameData[[#This Row],[BLK]],PlayerGameData[BLK],0)+PlayerGameData[[#This Row],[VisibleOrder]]</f>
        <v>32</v>
      </c>
      <c r="AY511" s="8">
        <f ca="1">IF(COUNTIF(PlayerGameData[BLKOrder],PlayerGameData[[#This Row],[BLKOrder]])&gt;1,PlayerGameData[[#This Row],[PointRank]]/100+PlayerGameData[[#This Row],[BLKOrder]],PlayerGameData[[#This Row],[BLKOrder]])</f>
        <v>34.159999999999997</v>
      </c>
      <c r="AZ511" s="8">
        <f ca="1">RANK(PlayerGameData[[#This Row],[BLKTieBreak]],PlayerGameData[BLKTieBreak],1)</f>
        <v>216</v>
      </c>
      <c r="BA511" s="11">
        <f ca="1">IFERROR(IF(PlayerGameData[[#This Row],[FGA]]&gt;$AA$5,PlayerGameData[[#This Row],[FG%*]],PlayerGameData[[#This Row],[FG%*]]*-1),-2)</f>
        <v>-2</v>
      </c>
      <c r="BB511" s="8">
        <f ca="1">RANK(PlayerGameData[[#This Row],[EligFG]],PlayerGameData[EligFG],0)+PlayerGameData[[#This Row],[VisibleOrder]]</f>
        <v>215</v>
      </c>
      <c r="BC511" s="8">
        <f ca="1">IF(COUNTIF(PlayerGameData[EligFGOrder],PlayerGameData[[#This Row],[EligFGOrder]])&gt;1,PlayerGameData[[#This Row],[PointRank]]/100+PlayerGameData[[#This Row],[EligFGOrder]],PlayerGameData[[#This Row],[EligFGOrder]])</f>
        <v>217.16</v>
      </c>
      <c r="BD511" s="8">
        <f ca="1">RANK(PlayerGameData[[#This Row],[EligFGTieBreak]],PlayerGameData[EligFGTieBreak],1)</f>
        <v>216</v>
      </c>
      <c r="BE511" s="8" t="str">
        <f>Roster!$D$3</f>
        <v>East</v>
      </c>
      <c r="BF511" s="8" t="str">
        <f>Roster!$D$2</f>
        <v>Northeast</v>
      </c>
      <c r="BG511" s="8" t="str">
        <f>Roster!$D$4</f>
        <v>North</v>
      </c>
      <c r="BH511" s="197">
        <f ca="1">IFERROR(VLOOKUP(CONCATENATE(PlayerGameData[[#This Row],[Opponent]]," ",MONTH(PlayerGameData[[#This Row],[Date]]),"/",DAY(PlayerGameData[[#This Row],[Date]]),"/",YEAR(PlayerGameData[[#This Row],[Date]])),Table35[],2,FALSE),0)</f>
        <v>1</v>
      </c>
      <c r="BI511" s="197">
        <f ca="1">IF(PlayerGameData[[#This Row],[Visible]]=1,1,1000)</f>
        <v>1</v>
      </c>
      <c r="BJ511" s="197" t="e">
        <f ca="1">_xlfn.MAXIFS(TeamGameData[Win],TeamGameData[School, Opponent,Game'#],PlayerGameData[[#This Row],[School, Opponent,Game'#]])</f>
        <v>#NAME?</v>
      </c>
      <c r="BK511" s="197" t="e">
        <f ca="1">_xlfn.MAXIFS(TeamGameData[Loss],TeamGameData[School, Opponent,Game'#],PlayerGameData[[#This Row],[School, Opponent,Game'#]])</f>
        <v>#NAME?</v>
      </c>
    </row>
    <row r="512" spans="1:63" x14ac:dyDescent="0.25">
      <c r="A512" s="8" t="str">
        <f t="shared" ca="1" si="243"/>
        <v>Logan Timberman, 3</v>
      </c>
      <c r="B512" s="8" t="str">
        <f>Roster!$B$1</f>
        <v>Upton</v>
      </c>
      <c r="C512" s="8" t="str">
        <f t="shared" ca="1" si="231"/>
        <v>Kaycee</v>
      </c>
      <c r="D512" s="10">
        <f t="shared" ca="1" si="232"/>
        <v>44981</v>
      </c>
      <c r="E512" s="8">
        <f t="shared" ca="1" si="233"/>
        <v>1</v>
      </c>
      <c r="F512" s="8">
        <f t="shared" ca="1" si="234"/>
        <v>1</v>
      </c>
      <c r="G512" s="8">
        <f t="shared" ca="1" si="235"/>
        <v>20</v>
      </c>
      <c r="H512" s="8">
        <f t="shared" ca="1" si="236"/>
        <v>0</v>
      </c>
      <c r="I512" s="8">
        <f t="shared" ca="1" si="237"/>
        <v>0</v>
      </c>
      <c r="J512" s="8">
        <f t="shared" ca="1" si="238"/>
        <v>3</v>
      </c>
      <c r="K512" s="8">
        <f t="shared" ca="1" si="239"/>
        <v>6</v>
      </c>
      <c r="L512" s="8">
        <f t="shared" ca="1" si="244"/>
        <v>1</v>
      </c>
      <c r="M512" s="8">
        <f t="shared" ca="1" si="245"/>
        <v>2</v>
      </c>
      <c r="N512" s="8">
        <f t="shared" ca="1" si="246"/>
        <v>0</v>
      </c>
      <c r="O512" s="8">
        <f t="shared" ca="1" si="247"/>
        <v>2</v>
      </c>
      <c r="P512" s="8">
        <f t="shared" ca="1" si="248"/>
        <v>2</v>
      </c>
      <c r="Q512" s="8">
        <f t="shared" ca="1" si="249"/>
        <v>0</v>
      </c>
      <c r="R512" s="8">
        <f t="shared" ca="1" si="250"/>
        <v>0</v>
      </c>
      <c r="S512" s="8">
        <f t="shared" ca="1" si="251"/>
        <v>3</v>
      </c>
      <c r="T512" s="8">
        <f t="shared" ca="1" si="252"/>
        <v>1</v>
      </c>
      <c r="U512" s="8">
        <f t="shared" ca="1" si="253"/>
        <v>0</v>
      </c>
      <c r="V512" s="8">
        <f t="shared" ca="1" si="254"/>
        <v>7</v>
      </c>
      <c r="W512" s="11" t="str">
        <f t="shared" ca="1" si="255"/>
        <v/>
      </c>
      <c r="X512" s="11">
        <f t="shared" ca="1" si="256"/>
        <v>0.5</v>
      </c>
      <c r="Y512" s="11">
        <f t="shared" ca="1" si="257"/>
        <v>0.5</v>
      </c>
      <c r="Z512" s="11">
        <f t="shared" ca="1" si="258"/>
        <v>0.5</v>
      </c>
      <c r="AA512" s="11">
        <f t="shared" ca="1" si="259"/>
        <v>0.5</v>
      </c>
      <c r="AB512" s="47">
        <f ca="1">PlayerGameData[[#This Row],[3FGA]]+PlayerGameData[[#This Row],[2FGA]]</f>
        <v>6</v>
      </c>
      <c r="AC512" s="47">
        <f ca="1">PlayerGameData[[#This Row],[OFF REB]]+PlayerGameData[[#This Row],[DEF REB]]</f>
        <v>2</v>
      </c>
      <c r="AD512" s="8">
        <f t="shared" si="240"/>
        <v>22</v>
      </c>
      <c r="AE512" s="8" t="str">
        <f t="shared" ca="1" si="241"/>
        <v>Logan Timberman, 3 - Kaycee 2/24/2023</v>
      </c>
      <c r="AF512" s="8" t="str">
        <f t="shared" ca="1" si="260"/>
        <v>R</v>
      </c>
      <c r="AG512" s="8" t="str">
        <f ca="1">IFERROR(IF(C512=0,"",IF(AND(VLOOKUP(PlayerGameData[[#This Row],[Opponent]],WYTeamInfo,2,FALSE)=Roster!$D$1,VLOOKUP(PlayerGameData[[#This Row],[Opponent]],WYTeamInfo,3,FALSE)=Roster!$D$2),"SR","")),"")</f>
        <v>SR</v>
      </c>
      <c r="AH512" s="8" t="str">
        <f>CONCATENATE(Roster!$D$1," ",Roster!$D$5)</f>
        <v>1A BB</v>
      </c>
      <c r="AI512" s="8" t="str">
        <f t="shared" ca="1" si="242"/>
        <v>Upton - Kaycee 2/24/2023</v>
      </c>
      <c r="AJ512" s="8">
        <f ca="1">IFERROR(VLOOKUP(PlayerGameData[[#This Row],[School, Opponent,Game'#]],Table3[],2,FALSE),0)</f>
        <v>1</v>
      </c>
      <c r="AK512" s="8">
        <f ca="1">IF(PlayerGameData[[#This Row],[Visible]]=1,1,1000)</f>
        <v>1</v>
      </c>
      <c r="AL512" s="8">
        <f ca="1">RANK(PlayerGameData[[#This Row],[TL PTS]],PlayerGameData[TL PTS],0)+PlayerGameData[[#This Row],[VisibleOrder]]</f>
        <v>94</v>
      </c>
      <c r="AM512" s="8">
        <f ca="1">IF(COUNTIF(PlayerGameData[PointOrder],PlayerGameData[[#This Row],[PointOrder]])&gt;1,RANK(PlayerGameData[[#This Row],[FGA]],PlayerGameData[FGA],0)/100,0)+PlayerGameData[[#This Row],[PointOrder]]</f>
        <v>95.08</v>
      </c>
      <c r="AN512" s="8">
        <f ca="1">RANK(PlayerGameData[[#This Row],[PointTieBreak]],PlayerGameData[PointTieBreak],1)</f>
        <v>98</v>
      </c>
      <c r="AO512" s="8">
        <f ca="1">RANK(PlayerGameData[[#This Row],[REB]],PlayerGameData[REB],0)+PlayerGameData[[#This Row],[VisibleOrder]]</f>
        <v>137</v>
      </c>
      <c r="AP512" s="8">
        <f ca="1">IF(COUNTIF(PlayerGameData[REBOrder],PlayerGameData[[#This Row],[REBOrder]])&gt;1,PlayerGameData[[#This Row],[PointRank]]/100+PlayerGameData[[#This Row],[REBOrder]],PlayerGameData[[#This Row],[REBOrder]])</f>
        <v>137.97999999999999</v>
      </c>
      <c r="AQ512" s="8">
        <f ca="1">RANK(PlayerGameData[[#This Row],[REBTieBreak]],PlayerGameData[REBTieBreak],1)</f>
        <v>145</v>
      </c>
      <c r="AR512" s="8">
        <f ca="1">RANK(PlayerGameData[[#This Row],[AST]],PlayerGameData[AST],0)+PlayerGameData[[#This Row],[VisibleOrder]]</f>
        <v>69</v>
      </c>
      <c r="AS512" s="8">
        <f ca="1">IF(COUNTIF(PlayerGameData[ASTOrder],PlayerGameData[[#This Row],[ASTOrder]])&gt;1,PlayerGameData[[#This Row],[PointRank]]/100+PlayerGameData[[#This Row],[ASTOrder]],PlayerGameData[[#This Row],[ASTOrder]])</f>
        <v>69.98</v>
      </c>
      <c r="AT512" s="8">
        <f ca="1">RANK(PlayerGameData[[#This Row],[ASTTieBreak]],PlayerGameData[ASTTieBreak],1)</f>
        <v>94</v>
      </c>
      <c r="AU512" s="8">
        <f ca="1">RANK(PlayerGameData[[#This Row],[STL]],PlayerGameData[STL],0)+PlayerGameData[[#This Row],[VisibleOrder]]</f>
        <v>143</v>
      </c>
      <c r="AV512" s="8">
        <f ca="1">IF(COUNTIF(PlayerGameData[STLOrder],PlayerGameData[[#This Row],[STLOrder]])&gt;1,PlayerGameData[[#This Row],[PointRank]]/100+PlayerGameData[[#This Row],[STLOrder]],PlayerGameData[[#This Row],[STLOrder]])</f>
        <v>143.97999999999999</v>
      </c>
      <c r="AW512" s="8">
        <f ca="1">RANK(PlayerGameData[[#This Row],[STLTieBreak]],PlayerGameData[STLTieBreak],1)</f>
        <v>156</v>
      </c>
      <c r="AX512" s="8">
        <f ca="1">RANK(PlayerGameData[[#This Row],[BLK]],PlayerGameData[BLK],0)+PlayerGameData[[#This Row],[VisibleOrder]]</f>
        <v>32</v>
      </c>
      <c r="AY512" s="8">
        <f ca="1">IF(COUNTIF(PlayerGameData[BLKOrder],PlayerGameData[[#This Row],[BLKOrder]])&gt;1,PlayerGameData[[#This Row],[PointRank]]/100+PlayerGameData[[#This Row],[BLKOrder]],PlayerGameData[[#This Row],[BLKOrder]])</f>
        <v>32.979999999999997</v>
      </c>
      <c r="AZ512" s="8">
        <f ca="1">RANK(PlayerGameData[[#This Row],[BLKTieBreak]],PlayerGameData[BLKTieBreak],1)</f>
        <v>105</v>
      </c>
      <c r="BA512" s="11">
        <f ca="1">IFERROR(IF(PlayerGameData[[#This Row],[FGA]]&gt;$AA$5,PlayerGameData[[#This Row],[FG%*]],PlayerGameData[[#This Row],[FG%*]]*-1),-2)</f>
        <v>0.5</v>
      </c>
      <c r="BB512" s="8">
        <f ca="1">RANK(PlayerGameData[[#This Row],[EligFG]],PlayerGameData[EligFG],0)+PlayerGameData[[#This Row],[VisibleOrder]]</f>
        <v>39</v>
      </c>
      <c r="BC512" s="8">
        <f ca="1">IF(COUNTIF(PlayerGameData[EligFGOrder],PlayerGameData[[#This Row],[EligFGOrder]])&gt;1,PlayerGameData[[#This Row],[PointRank]]/100+PlayerGameData[[#This Row],[EligFGOrder]],PlayerGameData[[#This Row],[EligFGOrder]])</f>
        <v>39.979999999999997</v>
      </c>
      <c r="BD512" s="8">
        <f ca="1">RANK(PlayerGameData[[#This Row],[EligFGTieBreak]],PlayerGameData[EligFGTieBreak],1)</f>
        <v>51</v>
      </c>
      <c r="BE512" s="8" t="str">
        <f>Roster!$D$3</f>
        <v>East</v>
      </c>
      <c r="BF512" s="8" t="str">
        <f>Roster!$D$2</f>
        <v>Northeast</v>
      </c>
      <c r="BG512" s="8" t="str">
        <f>Roster!$D$4</f>
        <v>North</v>
      </c>
      <c r="BH512" s="197">
        <f ca="1">IFERROR(VLOOKUP(CONCATENATE(PlayerGameData[[#This Row],[Opponent]]," ",MONTH(PlayerGameData[[#This Row],[Date]]),"/",DAY(PlayerGameData[[#This Row],[Date]]),"/",YEAR(PlayerGameData[[#This Row],[Date]])),Table35[],2,FALSE),0)</f>
        <v>1</v>
      </c>
      <c r="BI512" s="197">
        <f ca="1">IF(PlayerGameData[[#This Row],[Visible]]=1,1,1000)</f>
        <v>1</v>
      </c>
      <c r="BJ512" s="197" t="e">
        <f ca="1">_xlfn.MAXIFS(TeamGameData[Win],TeamGameData[School, Opponent,Game'#],PlayerGameData[[#This Row],[School, Opponent,Game'#]])</f>
        <v>#NAME?</v>
      </c>
      <c r="BK512" s="197" t="e">
        <f ca="1">_xlfn.MAXIFS(TeamGameData[Loss],TeamGameData[School, Opponent,Game'#],PlayerGameData[[#This Row],[School, Opponent,Game'#]])</f>
        <v>#NAME?</v>
      </c>
    </row>
    <row r="513" spans="1:63" x14ac:dyDescent="0.25">
      <c r="A513" s="8" t="str">
        <f t="shared" ca="1" si="243"/>
        <v>Chase Mills, 5</v>
      </c>
      <c r="B513" s="8" t="str">
        <f>Roster!$B$1</f>
        <v>Upton</v>
      </c>
      <c r="C513" s="8" t="str">
        <f t="shared" ca="1" si="231"/>
        <v>Kaycee</v>
      </c>
      <c r="D513" s="10">
        <f t="shared" ca="1" si="232"/>
        <v>44981</v>
      </c>
      <c r="E513" s="8">
        <f t="shared" ca="1" si="233"/>
        <v>1</v>
      </c>
      <c r="F513" s="8">
        <f t="shared" ca="1" si="234"/>
        <v>1</v>
      </c>
      <c r="G513" s="8">
        <f t="shared" ca="1" si="235"/>
        <v>20</v>
      </c>
      <c r="H513" s="8">
        <f t="shared" ca="1" si="236"/>
        <v>1</v>
      </c>
      <c r="I513" s="8">
        <f t="shared" ca="1" si="237"/>
        <v>6</v>
      </c>
      <c r="J513" s="8">
        <f t="shared" ca="1" si="238"/>
        <v>6</v>
      </c>
      <c r="K513" s="8">
        <f t="shared" ca="1" si="239"/>
        <v>7</v>
      </c>
      <c r="L513" s="8">
        <f t="shared" ca="1" si="244"/>
        <v>0</v>
      </c>
      <c r="M513" s="8">
        <f t="shared" ca="1" si="245"/>
        <v>0</v>
      </c>
      <c r="N513" s="8">
        <f t="shared" ca="1" si="246"/>
        <v>0</v>
      </c>
      <c r="O513" s="8">
        <f t="shared" ca="1" si="247"/>
        <v>4</v>
      </c>
      <c r="P513" s="8">
        <f t="shared" ca="1" si="248"/>
        <v>6</v>
      </c>
      <c r="Q513" s="8">
        <f t="shared" ca="1" si="249"/>
        <v>1</v>
      </c>
      <c r="R513" s="8">
        <f t="shared" ca="1" si="250"/>
        <v>0</v>
      </c>
      <c r="S513" s="8">
        <f t="shared" ca="1" si="251"/>
        <v>1</v>
      </c>
      <c r="T513" s="8">
        <f t="shared" ca="1" si="252"/>
        <v>0</v>
      </c>
      <c r="U513" s="8">
        <f t="shared" ca="1" si="253"/>
        <v>1</v>
      </c>
      <c r="V513" s="8">
        <f t="shared" ca="1" si="254"/>
        <v>15</v>
      </c>
      <c r="W513" s="11">
        <f t="shared" ca="1" si="255"/>
        <v>0.16666666666666666</v>
      </c>
      <c r="X513" s="11">
        <f t="shared" ca="1" si="256"/>
        <v>0.8571428571428571</v>
      </c>
      <c r="Y513" s="11" t="str">
        <f t="shared" ca="1" si="257"/>
        <v/>
      </c>
      <c r="Z513" s="11">
        <f t="shared" ca="1" si="258"/>
        <v>0.53846153846153844</v>
      </c>
      <c r="AA513" s="11">
        <f t="shared" ca="1" si="259"/>
        <v>0.57692307692307687</v>
      </c>
      <c r="AB513" s="47">
        <f ca="1">PlayerGameData[[#This Row],[3FGA]]+PlayerGameData[[#This Row],[2FGA]]</f>
        <v>13</v>
      </c>
      <c r="AC513" s="47">
        <f ca="1">PlayerGameData[[#This Row],[OFF REB]]+PlayerGameData[[#This Row],[DEF REB]]</f>
        <v>4</v>
      </c>
      <c r="AD513" s="8">
        <f t="shared" si="240"/>
        <v>22</v>
      </c>
      <c r="AE513" s="8" t="str">
        <f t="shared" ca="1" si="241"/>
        <v>Chase Mills, 5 - Kaycee 2/24/2023</v>
      </c>
      <c r="AF513" s="8" t="str">
        <f t="shared" ca="1" si="260"/>
        <v>R</v>
      </c>
      <c r="AG513" s="8" t="str">
        <f ca="1">IFERROR(IF(C513=0,"",IF(AND(VLOOKUP(PlayerGameData[[#This Row],[Opponent]],WYTeamInfo,2,FALSE)=Roster!$D$1,VLOOKUP(PlayerGameData[[#This Row],[Opponent]],WYTeamInfo,3,FALSE)=Roster!$D$2),"SR","")),"")</f>
        <v>SR</v>
      </c>
      <c r="AH513" s="8" t="str">
        <f>CONCATENATE(Roster!$D$1," ",Roster!$D$5)</f>
        <v>1A BB</v>
      </c>
      <c r="AI513" s="8" t="str">
        <f t="shared" ca="1" si="242"/>
        <v>Upton - Kaycee 2/24/2023</v>
      </c>
      <c r="AJ513" s="8">
        <f ca="1">IFERROR(VLOOKUP(PlayerGameData[[#This Row],[School, Opponent,Game'#]],Table3[],2,FALSE),0)</f>
        <v>1</v>
      </c>
      <c r="AK513" s="8">
        <f ca="1">IF(PlayerGameData[[#This Row],[Visible]]=1,1,1000)</f>
        <v>1</v>
      </c>
      <c r="AL513" s="8">
        <f ca="1">RANK(PlayerGameData[[#This Row],[TL PTS]],PlayerGameData[TL PTS],0)+PlayerGameData[[#This Row],[VisibleOrder]]</f>
        <v>30</v>
      </c>
      <c r="AM513" s="8">
        <f ca="1">IF(COUNTIF(PlayerGameData[PointOrder],PlayerGameData[[#This Row],[PointOrder]])&gt;1,RANK(PlayerGameData[[#This Row],[FGA]],PlayerGameData[FGA],0)/100,0)+PlayerGameData[[#This Row],[PointOrder]]</f>
        <v>30.17</v>
      </c>
      <c r="AN513" s="8">
        <f ca="1">RANK(PlayerGameData[[#This Row],[PointTieBreak]],PlayerGameData[PointTieBreak],1)</f>
        <v>30</v>
      </c>
      <c r="AO513" s="8">
        <f ca="1">RANK(PlayerGameData[[#This Row],[REB]],PlayerGameData[REB],0)+PlayerGameData[[#This Row],[VisibleOrder]]</f>
        <v>79</v>
      </c>
      <c r="AP513" s="8">
        <f ca="1">IF(COUNTIF(PlayerGameData[REBOrder],PlayerGameData[[#This Row],[REBOrder]])&gt;1,PlayerGameData[[#This Row],[PointRank]]/100+PlayerGameData[[#This Row],[REBOrder]],PlayerGameData[[#This Row],[REBOrder]])</f>
        <v>79.3</v>
      </c>
      <c r="AQ513" s="8">
        <f ca="1">RANK(PlayerGameData[[#This Row],[REBTieBreak]],PlayerGameData[REBTieBreak],1)</f>
        <v>84</v>
      </c>
      <c r="AR513" s="8">
        <f ca="1">RANK(PlayerGameData[[#This Row],[AST]],PlayerGameData[AST],0)+PlayerGameData[[#This Row],[VisibleOrder]]</f>
        <v>7</v>
      </c>
      <c r="AS513" s="8">
        <f ca="1">IF(COUNTIF(PlayerGameData[ASTOrder],PlayerGameData[[#This Row],[ASTOrder]])&gt;1,PlayerGameData[[#This Row],[PointRank]]/100+PlayerGameData[[#This Row],[ASTOrder]],PlayerGameData[[#This Row],[ASTOrder]])</f>
        <v>7.3</v>
      </c>
      <c r="AT513" s="8">
        <f ca="1">RANK(PlayerGameData[[#This Row],[ASTTieBreak]],PlayerGameData[ASTTieBreak],1)</f>
        <v>6</v>
      </c>
      <c r="AU513" s="8">
        <f ca="1">RANK(PlayerGameData[[#This Row],[STL]],PlayerGameData[STL],0)+PlayerGameData[[#This Row],[VisibleOrder]]</f>
        <v>84</v>
      </c>
      <c r="AV513" s="8">
        <f ca="1">IF(COUNTIF(PlayerGameData[STLOrder],PlayerGameData[[#This Row],[STLOrder]])&gt;1,PlayerGameData[[#This Row],[PointRank]]/100+PlayerGameData[[#This Row],[STLOrder]],PlayerGameData[[#This Row],[STLOrder]])</f>
        <v>84.3</v>
      </c>
      <c r="AW513" s="8">
        <f ca="1">RANK(PlayerGameData[[#This Row],[STLTieBreak]],PlayerGameData[STLTieBreak],1)</f>
        <v>86</v>
      </c>
      <c r="AX513" s="8">
        <f ca="1">RANK(PlayerGameData[[#This Row],[BLK]],PlayerGameData[BLK],0)+PlayerGameData[[#This Row],[VisibleOrder]]</f>
        <v>32</v>
      </c>
      <c r="AY513" s="8">
        <f ca="1">IF(COUNTIF(PlayerGameData[BLKOrder],PlayerGameData[[#This Row],[BLKOrder]])&gt;1,PlayerGameData[[#This Row],[PointRank]]/100+PlayerGameData[[#This Row],[BLKOrder]],PlayerGameData[[#This Row],[BLKOrder]])</f>
        <v>32.299999999999997</v>
      </c>
      <c r="AZ513" s="8">
        <f ca="1">RANK(PlayerGameData[[#This Row],[BLKTieBreak]],PlayerGameData[BLKTieBreak],1)</f>
        <v>54</v>
      </c>
      <c r="BA513" s="11">
        <f ca="1">IFERROR(IF(PlayerGameData[[#This Row],[FGA]]&gt;$AA$5,PlayerGameData[[#This Row],[FG%*]],PlayerGameData[[#This Row],[FG%*]]*-1),-2)</f>
        <v>0.53846153846153844</v>
      </c>
      <c r="BB513" s="8">
        <f ca="1">RANK(PlayerGameData[[#This Row],[EligFG]],PlayerGameData[EligFG],0)+PlayerGameData[[#This Row],[VisibleOrder]]</f>
        <v>34</v>
      </c>
      <c r="BC513" s="8">
        <f ca="1">IF(COUNTIF(PlayerGameData[EligFGOrder],PlayerGameData[[#This Row],[EligFGOrder]])&gt;1,PlayerGameData[[#This Row],[PointRank]]/100+PlayerGameData[[#This Row],[EligFGOrder]],PlayerGameData[[#This Row],[EligFGOrder]])</f>
        <v>34.299999999999997</v>
      </c>
      <c r="BD513" s="8">
        <f ca="1">RANK(PlayerGameData[[#This Row],[EligFGTieBreak]],PlayerGameData[EligFGTieBreak],1)</f>
        <v>35</v>
      </c>
      <c r="BE513" s="8" t="str">
        <f>Roster!$D$3</f>
        <v>East</v>
      </c>
      <c r="BF513" s="8" t="str">
        <f>Roster!$D$2</f>
        <v>Northeast</v>
      </c>
      <c r="BG513" s="8" t="str">
        <f>Roster!$D$4</f>
        <v>North</v>
      </c>
      <c r="BH513" s="197">
        <f ca="1">IFERROR(VLOOKUP(CONCATENATE(PlayerGameData[[#This Row],[Opponent]]," ",MONTH(PlayerGameData[[#This Row],[Date]]),"/",DAY(PlayerGameData[[#This Row],[Date]]),"/",YEAR(PlayerGameData[[#This Row],[Date]])),Table35[],2,FALSE),0)</f>
        <v>1</v>
      </c>
      <c r="BI513" s="197">
        <f ca="1">IF(PlayerGameData[[#This Row],[Visible]]=1,1,1000)</f>
        <v>1</v>
      </c>
      <c r="BJ513" s="197" t="e">
        <f ca="1">_xlfn.MAXIFS(TeamGameData[Win],TeamGameData[School, Opponent,Game'#],PlayerGameData[[#This Row],[School, Opponent,Game'#]])</f>
        <v>#NAME?</v>
      </c>
      <c r="BK513" s="197" t="e">
        <f ca="1">_xlfn.MAXIFS(TeamGameData[Loss],TeamGameData[School, Opponent,Game'#],PlayerGameData[[#This Row],[School, Opponent,Game'#]])</f>
        <v>#NAME?</v>
      </c>
    </row>
    <row r="514" spans="1:63" x14ac:dyDescent="0.25">
      <c r="A514" s="8" t="str">
        <f t="shared" ca="1" si="243"/>
        <v>Rhett Watt, 10</v>
      </c>
      <c r="B514" s="8" t="str">
        <f>Roster!$B$1</f>
        <v>Upton</v>
      </c>
      <c r="C514" s="8" t="str">
        <f t="shared" ca="1" si="231"/>
        <v>Kaycee</v>
      </c>
      <c r="D514" s="10">
        <f t="shared" ca="1" si="232"/>
        <v>44981</v>
      </c>
      <c r="E514" s="8">
        <f t="shared" ca="1" si="233"/>
        <v>1</v>
      </c>
      <c r="F514" s="8">
        <f t="shared" ca="1" si="234"/>
        <v>1</v>
      </c>
      <c r="G514" s="8">
        <f t="shared" ca="1" si="235"/>
        <v>21</v>
      </c>
      <c r="H514" s="8">
        <f t="shared" ca="1" si="236"/>
        <v>2</v>
      </c>
      <c r="I514" s="8">
        <f t="shared" ca="1" si="237"/>
        <v>4</v>
      </c>
      <c r="J514" s="8">
        <f t="shared" ca="1" si="238"/>
        <v>5</v>
      </c>
      <c r="K514" s="8">
        <f t="shared" ca="1" si="239"/>
        <v>5</v>
      </c>
      <c r="L514" s="8">
        <f t="shared" ca="1" si="244"/>
        <v>3</v>
      </c>
      <c r="M514" s="8">
        <f t="shared" ca="1" si="245"/>
        <v>3</v>
      </c>
      <c r="N514" s="8">
        <f t="shared" ca="1" si="246"/>
        <v>3</v>
      </c>
      <c r="O514" s="8">
        <f t="shared" ca="1" si="247"/>
        <v>3</v>
      </c>
      <c r="P514" s="8">
        <f t="shared" ca="1" si="248"/>
        <v>5</v>
      </c>
      <c r="Q514" s="8">
        <f t="shared" ca="1" si="249"/>
        <v>3</v>
      </c>
      <c r="R514" s="8">
        <f t="shared" ca="1" si="250"/>
        <v>0</v>
      </c>
      <c r="S514" s="8">
        <f t="shared" ca="1" si="251"/>
        <v>2</v>
      </c>
      <c r="T514" s="8">
        <f t="shared" ca="1" si="252"/>
        <v>3</v>
      </c>
      <c r="U514" s="8">
        <f t="shared" ca="1" si="253"/>
        <v>1</v>
      </c>
      <c r="V514" s="8">
        <f t="shared" ca="1" si="254"/>
        <v>19</v>
      </c>
      <c r="W514" s="11">
        <f t="shared" ca="1" si="255"/>
        <v>0.5</v>
      </c>
      <c r="X514" s="11">
        <f t="shared" ca="1" si="256"/>
        <v>1</v>
      </c>
      <c r="Y514" s="11">
        <f t="shared" ca="1" si="257"/>
        <v>1</v>
      </c>
      <c r="Z514" s="11">
        <f t="shared" ca="1" si="258"/>
        <v>0.77777777777777779</v>
      </c>
      <c r="AA514" s="11">
        <f t="shared" ca="1" si="259"/>
        <v>0.88888888888888884</v>
      </c>
      <c r="AB514" s="47">
        <f ca="1">PlayerGameData[[#This Row],[3FGA]]+PlayerGameData[[#This Row],[2FGA]]</f>
        <v>9</v>
      </c>
      <c r="AC514" s="47">
        <f ca="1">PlayerGameData[[#This Row],[OFF REB]]+PlayerGameData[[#This Row],[DEF REB]]</f>
        <v>6</v>
      </c>
      <c r="AD514" s="8">
        <f t="shared" si="240"/>
        <v>22</v>
      </c>
      <c r="AE514" s="8" t="str">
        <f t="shared" ca="1" si="241"/>
        <v>Rhett Watt, 10 - Kaycee 2/24/2023</v>
      </c>
      <c r="AF514" s="8" t="str">
        <f t="shared" ca="1" si="260"/>
        <v>R</v>
      </c>
      <c r="AG514" s="8" t="str">
        <f ca="1">IFERROR(IF(C514=0,"",IF(AND(VLOOKUP(PlayerGameData[[#This Row],[Opponent]],WYTeamInfo,2,FALSE)=Roster!$D$1,VLOOKUP(PlayerGameData[[#This Row],[Opponent]],WYTeamInfo,3,FALSE)=Roster!$D$2),"SR","")),"")</f>
        <v>SR</v>
      </c>
      <c r="AH514" s="8" t="str">
        <f>CONCATENATE(Roster!$D$1," ",Roster!$D$5)</f>
        <v>1A BB</v>
      </c>
      <c r="AI514" s="8" t="str">
        <f t="shared" ca="1" si="242"/>
        <v>Upton - Kaycee 2/24/2023</v>
      </c>
      <c r="AJ514" s="8">
        <f ca="1">IFERROR(VLOOKUP(PlayerGameData[[#This Row],[School, Opponent,Game'#]],Table3[],2,FALSE),0)</f>
        <v>1</v>
      </c>
      <c r="AK514" s="8">
        <f ca="1">IF(PlayerGameData[[#This Row],[Visible]]=1,1,1000)</f>
        <v>1</v>
      </c>
      <c r="AL514" s="8">
        <f ca="1">RANK(PlayerGameData[[#This Row],[TL PTS]],PlayerGameData[TL PTS],0)+PlayerGameData[[#This Row],[VisibleOrder]]</f>
        <v>10</v>
      </c>
      <c r="AM514" s="8">
        <f ca="1">IF(COUNTIF(PlayerGameData[PointOrder],PlayerGameData[[#This Row],[PointOrder]])&gt;1,RANK(PlayerGameData[[#This Row],[FGA]],PlayerGameData[FGA],0)/100,0)+PlayerGameData[[#This Row],[PointOrder]]</f>
        <v>10.59</v>
      </c>
      <c r="AN514" s="8">
        <f ca="1">RANK(PlayerGameData[[#This Row],[PointTieBreak]],PlayerGameData[PointTieBreak],1)</f>
        <v>11</v>
      </c>
      <c r="AO514" s="8">
        <f ca="1">RANK(PlayerGameData[[#This Row],[REB]],PlayerGameData[REB],0)+PlayerGameData[[#This Row],[VisibleOrder]]</f>
        <v>38</v>
      </c>
      <c r="AP514" s="8">
        <f ca="1">IF(COUNTIF(PlayerGameData[REBOrder],PlayerGameData[[#This Row],[REBOrder]])&gt;1,PlayerGameData[[#This Row],[PointRank]]/100+PlayerGameData[[#This Row],[REBOrder]],PlayerGameData[[#This Row],[REBOrder]])</f>
        <v>38.11</v>
      </c>
      <c r="AQ514" s="8">
        <f ca="1">RANK(PlayerGameData[[#This Row],[REBTieBreak]],PlayerGameData[REBTieBreak],1)</f>
        <v>37</v>
      </c>
      <c r="AR514" s="8">
        <f ca="1">RANK(PlayerGameData[[#This Row],[AST]],PlayerGameData[AST],0)+PlayerGameData[[#This Row],[VisibleOrder]]</f>
        <v>14</v>
      </c>
      <c r="AS514" s="8">
        <f ca="1">IF(COUNTIF(PlayerGameData[ASTOrder],PlayerGameData[[#This Row],[ASTOrder]])&gt;1,PlayerGameData[[#This Row],[PointRank]]/100+PlayerGameData[[#This Row],[ASTOrder]],PlayerGameData[[#This Row],[ASTOrder]])</f>
        <v>14.11</v>
      </c>
      <c r="AT514" s="8">
        <f ca="1">RANK(PlayerGameData[[#This Row],[ASTTieBreak]],PlayerGameData[ASTTieBreak],1)</f>
        <v>14</v>
      </c>
      <c r="AU514" s="8">
        <f ca="1">RANK(PlayerGameData[[#This Row],[STL]],PlayerGameData[STL],0)+PlayerGameData[[#This Row],[VisibleOrder]]</f>
        <v>26</v>
      </c>
      <c r="AV514" s="8">
        <f ca="1">IF(COUNTIF(PlayerGameData[STLOrder],PlayerGameData[[#This Row],[STLOrder]])&gt;1,PlayerGameData[[#This Row],[PointRank]]/100+PlayerGameData[[#This Row],[STLOrder]],PlayerGameData[[#This Row],[STLOrder]])</f>
        <v>26.11</v>
      </c>
      <c r="AW514" s="8">
        <f ca="1">RANK(PlayerGameData[[#This Row],[STLTieBreak]],PlayerGameData[STLTieBreak],1)</f>
        <v>25</v>
      </c>
      <c r="AX514" s="8">
        <f ca="1">RANK(PlayerGameData[[#This Row],[BLK]],PlayerGameData[BLK],0)+PlayerGameData[[#This Row],[VisibleOrder]]</f>
        <v>32</v>
      </c>
      <c r="AY514" s="8">
        <f ca="1">IF(COUNTIF(PlayerGameData[BLKOrder],PlayerGameData[[#This Row],[BLKOrder]])&gt;1,PlayerGameData[[#This Row],[PointRank]]/100+PlayerGameData[[#This Row],[BLKOrder]],PlayerGameData[[#This Row],[BLKOrder]])</f>
        <v>32.11</v>
      </c>
      <c r="AZ514" s="8">
        <f ca="1">RANK(PlayerGameData[[#This Row],[BLKTieBreak]],PlayerGameData[BLKTieBreak],1)</f>
        <v>39</v>
      </c>
      <c r="BA514" s="11">
        <f ca="1">IFERROR(IF(PlayerGameData[[#This Row],[FGA]]&gt;$AA$5,PlayerGameData[[#This Row],[FG%*]],PlayerGameData[[#This Row],[FG%*]]*-1),-2)</f>
        <v>0.77777777777777779</v>
      </c>
      <c r="BB514" s="8">
        <f ca="1">RANK(PlayerGameData[[#This Row],[EligFG]],PlayerGameData[EligFG],0)+PlayerGameData[[#This Row],[VisibleOrder]]</f>
        <v>7</v>
      </c>
      <c r="BC514" s="8">
        <f ca="1">IF(COUNTIF(PlayerGameData[EligFGOrder],PlayerGameData[[#This Row],[EligFGOrder]])&gt;1,PlayerGameData[[#This Row],[PointRank]]/100+PlayerGameData[[#This Row],[EligFGOrder]],PlayerGameData[[#This Row],[EligFGOrder]])</f>
        <v>7.11</v>
      </c>
      <c r="BD514" s="8">
        <f ca="1">RANK(PlayerGameData[[#This Row],[EligFGTieBreak]],PlayerGameData[EligFGTieBreak],1)</f>
        <v>6</v>
      </c>
      <c r="BE514" s="8" t="str">
        <f>Roster!$D$3</f>
        <v>East</v>
      </c>
      <c r="BF514" s="8" t="str">
        <f>Roster!$D$2</f>
        <v>Northeast</v>
      </c>
      <c r="BG514" s="8" t="str">
        <f>Roster!$D$4</f>
        <v>North</v>
      </c>
      <c r="BH514" s="197">
        <f ca="1">IFERROR(VLOOKUP(CONCATENATE(PlayerGameData[[#This Row],[Opponent]]," ",MONTH(PlayerGameData[[#This Row],[Date]]),"/",DAY(PlayerGameData[[#This Row],[Date]]),"/",YEAR(PlayerGameData[[#This Row],[Date]])),Table35[],2,FALSE),0)</f>
        <v>1</v>
      </c>
      <c r="BI514" s="197">
        <f ca="1">IF(PlayerGameData[[#This Row],[Visible]]=1,1,1000)</f>
        <v>1</v>
      </c>
      <c r="BJ514" s="197" t="e">
        <f ca="1">_xlfn.MAXIFS(TeamGameData[Win],TeamGameData[School, Opponent,Game'#],PlayerGameData[[#This Row],[School, Opponent,Game'#]])</f>
        <v>#NAME?</v>
      </c>
      <c r="BK514" s="197" t="e">
        <f ca="1">_xlfn.MAXIFS(TeamGameData[Loss],TeamGameData[School, Opponent,Game'#],PlayerGameData[[#This Row],[School, Opponent,Game'#]])</f>
        <v>#NAME?</v>
      </c>
    </row>
    <row r="515" spans="1:63" x14ac:dyDescent="0.25">
      <c r="A515" s="8" t="str">
        <f t="shared" ca="1" si="243"/>
        <v>Keith Coburn, 11</v>
      </c>
      <c r="B515" s="8" t="str">
        <f>Roster!$B$1</f>
        <v>Upton</v>
      </c>
      <c r="C515" s="8" t="str">
        <f t="shared" ca="1" si="231"/>
        <v>Kaycee</v>
      </c>
      <c r="D515" s="10">
        <f t="shared" ca="1" si="232"/>
        <v>44981</v>
      </c>
      <c r="E515" s="8">
        <f t="shared" ca="1" si="233"/>
        <v>0</v>
      </c>
      <c r="F515" s="8">
        <f t="shared" ca="1" si="234"/>
        <v>0</v>
      </c>
      <c r="G515" s="8">
        <f t="shared" ca="1" si="235"/>
        <v>0</v>
      </c>
      <c r="H515" s="8">
        <f t="shared" ca="1" si="236"/>
        <v>0</v>
      </c>
      <c r="I515" s="8">
        <f t="shared" ca="1" si="237"/>
        <v>0</v>
      </c>
      <c r="J515" s="8">
        <f t="shared" ca="1" si="238"/>
        <v>0</v>
      </c>
      <c r="K515" s="8">
        <f t="shared" ca="1" si="239"/>
        <v>0</v>
      </c>
      <c r="L515" s="8">
        <f t="shared" ca="1" si="244"/>
        <v>0</v>
      </c>
      <c r="M515" s="8">
        <f t="shared" ca="1" si="245"/>
        <v>0</v>
      </c>
      <c r="N515" s="8">
        <f t="shared" ca="1" si="246"/>
        <v>0</v>
      </c>
      <c r="O515" s="8">
        <f t="shared" ca="1" si="247"/>
        <v>0</v>
      </c>
      <c r="P515" s="8">
        <f t="shared" ca="1" si="248"/>
        <v>0</v>
      </c>
      <c r="Q515" s="8">
        <f t="shared" ca="1" si="249"/>
        <v>0</v>
      </c>
      <c r="R515" s="8">
        <f t="shared" ca="1" si="250"/>
        <v>0</v>
      </c>
      <c r="S515" s="8">
        <f t="shared" ca="1" si="251"/>
        <v>0</v>
      </c>
      <c r="T515" s="8">
        <f t="shared" ca="1" si="252"/>
        <v>0</v>
      </c>
      <c r="U515" s="8">
        <f t="shared" ca="1" si="253"/>
        <v>0</v>
      </c>
      <c r="V515" s="8">
        <f t="shared" ca="1" si="254"/>
        <v>0</v>
      </c>
      <c r="W515" s="11" t="str">
        <f t="shared" ca="1" si="255"/>
        <v/>
      </c>
      <c r="X515" s="11" t="str">
        <f t="shared" ca="1" si="256"/>
        <v/>
      </c>
      <c r="Y515" s="11" t="str">
        <f t="shared" ca="1" si="257"/>
        <v/>
      </c>
      <c r="Z515" s="11" t="str">
        <f t="shared" ca="1" si="258"/>
        <v/>
      </c>
      <c r="AA515" s="11" t="str">
        <f t="shared" ca="1" si="259"/>
        <v/>
      </c>
      <c r="AB515" s="47">
        <f ca="1">PlayerGameData[[#This Row],[3FGA]]+PlayerGameData[[#This Row],[2FGA]]</f>
        <v>0</v>
      </c>
      <c r="AC515" s="47">
        <f ca="1">PlayerGameData[[#This Row],[OFF REB]]+PlayerGameData[[#This Row],[DEF REB]]</f>
        <v>0</v>
      </c>
      <c r="AD515" s="8">
        <f t="shared" si="240"/>
        <v>22</v>
      </c>
      <c r="AE515" s="8" t="str">
        <f t="shared" ca="1" si="241"/>
        <v>Keith Coburn, 11 - Kaycee 2/24/2023</v>
      </c>
      <c r="AF515" s="8" t="str">
        <f t="shared" ca="1" si="260"/>
        <v>R</v>
      </c>
      <c r="AG515" s="8" t="str">
        <f ca="1">IFERROR(IF(C515=0,"",IF(AND(VLOOKUP(PlayerGameData[[#This Row],[Opponent]],WYTeamInfo,2,FALSE)=Roster!$D$1,VLOOKUP(PlayerGameData[[#This Row],[Opponent]],WYTeamInfo,3,FALSE)=Roster!$D$2),"SR","")),"")</f>
        <v>SR</v>
      </c>
      <c r="AH515" s="8" t="str">
        <f>CONCATENATE(Roster!$D$1," ",Roster!$D$5)</f>
        <v>1A BB</v>
      </c>
      <c r="AI515" s="8" t="str">
        <f t="shared" ca="1" si="242"/>
        <v>Upton - Kaycee 2/24/2023</v>
      </c>
      <c r="AJ515" s="8">
        <f ca="1">IFERROR(VLOOKUP(PlayerGameData[[#This Row],[School, Opponent,Game'#]],Table3[],2,FALSE),0)</f>
        <v>1</v>
      </c>
      <c r="AK515" s="8">
        <f ca="1">IF(PlayerGameData[[#This Row],[Visible]]=1,1,1000)</f>
        <v>1</v>
      </c>
      <c r="AL515" s="8">
        <f ca="1">RANK(PlayerGameData[[#This Row],[TL PTS]],PlayerGameData[TL PTS],0)+PlayerGameData[[#This Row],[VisibleOrder]]</f>
        <v>185</v>
      </c>
      <c r="AM515" s="8">
        <f ca="1">IF(COUNTIF(PlayerGameData[PointOrder],PlayerGameData[[#This Row],[PointOrder]])&gt;1,RANK(PlayerGameData[[#This Row],[FGA]],PlayerGameData[FGA],0)/100,0)+PlayerGameData[[#This Row],[PointOrder]]</f>
        <v>187.14</v>
      </c>
      <c r="AN515" s="8">
        <f ca="1">RANK(PlayerGameData[[#This Row],[PointTieBreak]],PlayerGameData[PointTieBreak],1)</f>
        <v>216</v>
      </c>
      <c r="AO515" s="8">
        <f ca="1">RANK(PlayerGameData[[#This Row],[REB]],PlayerGameData[REB],0)+PlayerGameData[[#This Row],[VisibleOrder]]</f>
        <v>192</v>
      </c>
      <c r="AP515" s="8">
        <f ca="1">IF(COUNTIF(PlayerGameData[REBOrder],PlayerGameData[[#This Row],[REBOrder]])&gt;1,PlayerGameData[[#This Row],[PointRank]]/100+PlayerGameData[[#This Row],[REBOrder]],PlayerGameData[[#This Row],[REBOrder]])</f>
        <v>194.16</v>
      </c>
      <c r="AQ515" s="8">
        <f ca="1">RANK(PlayerGameData[[#This Row],[REBTieBreak]],PlayerGameData[REBTieBreak],1)</f>
        <v>224</v>
      </c>
      <c r="AR515" s="8">
        <f ca="1">RANK(PlayerGameData[[#This Row],[AST]],PlayerGameData[AST],0)+PlayerGameData[[#This Row],[VisibleOrder]]</f>
        <v>158</v>
      </c>
      <c r="AS515" s="8">
        <f ca="1">IF(COUNTIF(PlayerGameData[ASTOrder],PlayerGameData[[#This Row],[ASTOrder]])&gt;1,PlayerGameData[[#This Row],[PointRank]]/100+PlayerGameData[[#This Row],[ASTOrder]],PlayerGameData[[#This Row],[ASTOrder]])</f>
        <v>160.16</v>
      </c>
      <c r="AT515" s="8">
        <f ca="1">RANK(PlayerGameData[[#This Row],[ASTTieBreak]],PlayerGameData[ASTTieBreak],1)</f>
        <v>221</v>
      </c>
      <c r="AU515" s="8">
        <f ca="1">RANK(PlayerGameData[[#This Row],[STL]],PlayerGameData[STL],0)+PlayerGameData[[#This Row],[VisibleOrder]]</f>
        <v>143</v>
      </c>
      <c r="AV515" s="8">
        <f ca="1">IF(COUNTIF(PlayerGameData[STLOrder],PlayerGameData[[#This Row],[STLOrder]])&gt;1,PlayerGameData[[#This Row],[PointRank]]/100+PlayerGameData[[#This Row],[STLOrder]],PlayerGameData[[#This Row],[STLOrder]])</f>
        <v>145.16</v>
      </c>
      <c r="AW515" s="8">
        <f ca="1">RANK(PlayerGameData[[#This Row],[STLTieBreak]],PlayerGameData[STLTieBreak],1)</f>
        <v>217</v>
      </c>
      <c r="AX515" s="8">
        <f ca="1">RANK(PlayerGameData[[#This Row],[BLK]],PlayerGameData[BLK],0)+PlayerGameData[[#This Row],[VisibleOrder]]</f>
        <v>32</v>
      </c>
      <c r="AY515" s="8">
        <f ca="1">IF(COUNTIF(PlayerGameData[BLKOrder],PlayerGameData[[#This Row],[BLKOrder]])&gt;1,PlayerGameData[[#This Row],[PointRank]]/100+PlayerGameData[[#This Row],[BLKOrder]],PlayerGameData[[#This Row],[BLKOrder]])</f>
        <v>34.159999999999997</v>
      </c>
      <c r="AZ515" s="8">
        <f ca="1">RANK(PlayerGameData[[#This Row],[BLKTieBreak]],PlayerGameData[BLKTieBreak],1)</f>
        <v>216</v>
      </c>
      <c r="BA515" s="11">
        <f ca="1">IFERROR(IF(PlayerGameData[[#This Row],[FGA]]&gt;$AA$5,PlayerGameData[[#This Row],[FG%*]],PlayerGameData[[#This Row],[FG%*]]*-1),-2)</f>
        <v>-2</v>
      </c>
      <c r="BB515" s="8">
        <f ca="1">RANK(PlayerGameData[[#This Row],[EligFG]],PlayerGameData[EligFG],0)+PlayerGameData[[#This Row],[VisibleOrder]]</f>
        <v>215</v>
      </c>
      <c r="BC515" s="8">
        <f ca="1">IF(COUNTIF(PlayerGameData[EligFGOrder],PlayerGameData[[#This Row],[EligFGOrder]])&gt;1,PlayerGameData[[#This Row],[PointRank]]/100+PlayerGameData[[#This Row],[EligFGOrder]],PlayerGameData[[#This Row],[EligFGOrder]])</f>
        <v>217.16</v>
      </c>
      <c r="BD515" s="8">
        <f ca="1">RANK(PlayerGameData[[#This Row],[EligFGTieBreak]],PlayerGameData[EligFGTieBreak],1)</f>
        <v>216</v>
      </c>
      <c r="BE515" s="8" t="str">
        <f>Roster!$D$3</f>
        <v>East</v>
      </c>
      <c r="BF515" s="8" t="str">
        <f>Roster!$D$2</f>
        <v>Northeast</v>
      </c>
      <c r="BG515" s="8" t="str">
        <f>Roster!$D$4</f>
        <v>North</v>
      </c>
      <c r="BH515" s="197">
        <f ca="1">IFERROR(VLOOKUP(CONCATENATE(PlayerGameData[[#This Row],[Opponent]]," ",MONTH(PlayerGameData[[#This Row],[Date]]),"/",DAY(PlayerGameData[[#This Row],[Date]]),"/",YEAR(PlayerGameData[[#This Row],[Date]])),Table35[],2,FALSE),0)</f>
        <v>1</v>
      </c>
      <c r="BI515" s="197">
        <f ca="1">IF(PlayerGameData[[#This Row],[Visible]]=1,1,1000)</f>
        <v>1</v>
      </c>
      <c r="BJ515" s="197" t="e">
        <f ca="1">_xlfn.MAXIFS(TeamGameData[Win],TeamGameData[School, Opponent,Game'#],PlayerGameData[[#This Row],[School, Opponent,Game'#]])</f>
        <v>#NAME?</v>
      </c>
      <c r="BK515" s="197" t="e">
        <f ca="1">_xlfn.MAXIFS(TeamGameData[Loss],TeamGameData[School, Opponent,Game'#],PlayerGameData[[#This Row],[School, Opponent,Game'#]])</f>
        <v>#NAME?</v>
      </c>
    </row>
    <row r="516" spans="1:63" x14ac:dyDescent="0.25">
      <c r="A516" s="8" t="str">
        <f t="shared" ca="1" si="243"/>
        <v>Carson Barritt, 14</v>
      </c>
      <c r="B516" s="8" t="str">
        <f>Roster!$B$1</f>
        <v>Upton</v>
      </c>
      <c r="C516" s="8" t="str">
        <f t="shared" ca="1" si="231"/>
        <v>Kaycee</v>
      </c>
      <c r="D516" s="10">
        <f t="shared" ca="1" si="232"/>
        <v>44981</v>
      </c>
      <c r="E516" s="8">
        <f t="shared" ca="1" si="233"/>
        <v>1</v>
      </c>
      <c r="F516" s="8">
        <f t="shared" ca="1" si="234"/>
        <v>0</v>
      </c>
      <c r="G516" s="8">
        <f t="shared" ca="1" si="235"/>
        <v>1</v>
      </c>
      <c r="H516" s="8">
        <f t="shared" ca="1" si="236"/>
        <v>0</v>
      </c>
      <c r="I516" s="8">
        <f t="shared" ca="1" si="237"/>
        <v>0</v>
      </c>
      <c r="J516" s="8">
        <f t="shared" ca="1" si="238"/>
        <v>0</v>
      </c>
      <c r="K516" s="8">
        <f t="shared" ca="1" si="239"/>
        <v>0</v>
      </c>
      <c r="L516" s="8">
        <f t="shared" ca="1" si="244"/>
        <v>0</v>
      </c>
      <c r="M516" s="8">
        <f t="shared" ca="1" si="245"/>
        <v>0</v>
      </c>
      <c r="N516" s="8">
        <f t="shared" ca="1" si="246"/>
        <v>0</v>
      </c>
      <c r="O516" s="8">
        <f t="shared" ca="1" si="247"/>
        <v>0</v>
      </c>
      <c r="P516" s="8">
        <f t="shared" ca="1" si="248"/>
        <v>0</v>
      </c>
      <c r="Q516" s="8">
        <f t="shared" ca="1" si="249"/>
        <v>0</v>
      </c>
      <c r="R516" s="8">
        <f t="shared" ca="1" si="250"/>
        <v>0</v>
      </c>
      <c r="S516" s="8">
        <f t="shared" ca="1" si="251"/>
        <v>1</v>
      </c>
      <c r="T516" s="8">
        <f t="shared" ca="1" si="252"/>
        <v>1</v>
      </c>
      <c r="U516" s="8">
        <f t="shared" ca="1" si="253"/>
        <v>0</v>
      </c>
      <c r="V516" s="8">
        <f t="shared" ca="1" si="254"/>
        <v>0</v>
      </c>
      <c r="W516" s="11" t="str">
        <f t="shared" ca="1" si="255"/>
        <v/>
      </c>
      <c r="X516" s="11" t="str">
        <f t="shared" ca="1" si="256"/>
        <v/>
      </c>
      <c r="Y516" s="11" t="str">
        <f t="shared" ca="1" si="257"/>
        <v/>
      </c>
      <c r="Z516" s="11" t="str">
        <f t="shared" ca="1" si="258"/>
        <v/>
      </c>
      <c r="AA516" s="11" t="str">
        <f t="shared" ca="1" si="259"/>
        <v/>
      </c>
      <c r="AB516" s="47">
        <f ca="1">PlayerGameData[[#This Row],[3FGA]]+PlayerGameData[[#This Row],[2FGA]]</f>
        <v>0</v>
      </c>
      <c r="AC516" s="47">
        <f ca="1">PlayerGameData[[#This Row],[OFF REB]]+PlayerGameData[[#This Row],[DEF REB]]</f>
        <v>0</v>
      </c>
      <c r="AD516" s="8">
        <f t="shared" si="240"/>
        <v>22</v>
      </c>
      <c r="AE516" s="8" t="str">
        <f t="shared" ca="1" si="241"/>
        <v>Carson Barritt, 14 - Kaycee 2/24/2023</v>
      </c>
      <c r="AF516" s="8" t="str">
        <f t="shared" ca="1" si="260"/>
        <v>R</v>
      </c>
      <c r="AG516" s="8" t="str">
        <f ca="1">IFERROR(IF(C516=0,"",IF(AND(VLOOKUP(PlayerGameData[[#This Row],[Opponent]],WYTeamInfo,2,FALSE)=Roster!$D$1,VLOOKUP(PlayerGameData[[#This Row],[Opponent]],WYTeamInfo,3,FALSE)=Roster!$D$2),"SR","")),"")</f>
        <v>SR</v>
      </c>
      <c r="AH516" s="8" t="str">
        <f>CONCATENATE(Roster!$D$1," ",Roster!$D$5)</f>
        <v>1A BB</v>
      </c>
      <c r="AI516" s="8" t="str">
        <f t="shared" ca="1" si="242"/>
        <v>Upton - Kaycee 2/24/2023</v>
      </c>
      <c r="AJ516" s="8">
        <f ca="1">IFERROR(VLOOKUP(PlayerGameData[[#This Row],[School, Opponent,Game'#]],Table3[],2,FALSE),0)</f>
        <v>1</v>
      </c>
      <c r="AK516" s="8">
        <f ca="1">IF(PlayerGameData[[#This Row],[Visible]]=1,1,1000)</f>
        <v>1</v>
      </c>
      <c r="AL516" s="8">
        <f ca="1">RANK(PlayerGameData[[#This Row],[TL PTS]],PlayerGameData[TL PTS],0)+PlayerGameData[[#This Row],[VisibleOrder]]</f>
        <v>185</v>
      </c>
      <c r="AM516" s="8">
        <f ca="1">IF(COUNTIF(PlayerGameData[PointOrder],PlayerGameData[[#This Row],[PointOrder]])&gt;1,RANK(PlayerGameData[[#This Row],[FGA]],PlayerGameData[FGA],0)/100,0)+PlayerGameData[[#This Row],[PointOrder]]</f>
        <v>187.14</v>
      </c>
      <c r="AN516" s="8">
        <f ca="1">RANK(PlayerGameData[[#This Row],[PointTieBreak]],PlayerGameData[PointTieBreak],1)</f>
        <v>216</v>
      </c>
      <c r="AO516" s="8">
        <f ca="1">RANK(PlayerGameData[[#This Row],[REB]],PlayerGameData[REB],0)+PlayerGameData[[#This Row],[VisibleOrder]]</f>
        <v>192</v>
      </c>
      <c r="AP516" s="8">
        <f ca="1">IF(COUNTIF(PlayerGameData[REBOrder],PlayerGameData[[#This Row],[REBOrder]])&gt;1,PlayerGameData[[#This Row],[PointRank]]/100+PlayerGameData[[#This Row],[REBOrder]],PlayerGameData[[#This Row],[REBOrder]])</f>
        <v>194.16</v>
      </c>
      <c r="AQ516" s="8">
        <f ca="1">RANK(PlayerGameData[[#This Row],[REBTieBreak]],PlayerGameData[REBTieBreak],1)</f>
        <v>224</v>
      </c>
      <c r="AR516" s="8">
        <f ca="1">RANK(PlayerGameData[[#This Row],[AST]],PlayerGameData[AST],0)+PlayerGameData[[#This Row],[VisibleOrder]]</f>
        <v>158</v>
      </c>
      <c r="AS516" s="8">
        <f ca="1">IF(COUNTIF(PlayerGameData[ASTOrder],PlayerGameData[[#This Row],[ASTOrder]])&gt;1,PlayerGameData[[#This Row],[PointRank]]/100+PlayerGameData[[#This Row],[ASTOrder]],PlayerGameData[[#This Row],[ASTOrder]])</f>
        <v>160.16</v>
      </c>
      <c r="AT516" s="8">
        <f ca="1">RANK(PlayerGameData[[#This Row],[ASTTieBreak]],PlayerGameData[ASTTieBreak],1)</f>
        <v>221</v>
      </c>
      <c r="AU516" s="8">
        <f ca="1">RANK(PlayerGameData[[#This Row],[STL]],PlayerGameData[STL],0)+PlayerGameData[[#This Row],[VisibleOrder]]</f>
        <v>143</v>
      </c>
      <c r="AV516" s="8">
        <f ca="1">IF(COUNTIF(PlayerGameData[STLOrder],PlayerGameData[[#This Row],[STLOrder]])&gt;1,PlayerGameData[[#This Row],[PointRank]]/100+PlayerGameData[[#This Row],[STLOrder]],PlayerGameData[[#This Row],[STLOrder]])</f>
        <v>145.16</v>
      </c>
      <c r="AW516" s="8">
        <f ca="1">RANK(PlayerGameData[[#This Row],[STLTieBreak]],PlayerGameData[STLTieBreak],1)</f>
        <v>217</v>
      </c>
      <c r="AX516" s="8">
        <f ca="1">RANK(PlayerGameData[[#This Row],[BLK]],PlayerGameData[BLK],0)+PlayerGameData[[#This Row],[VisibleOrder]]</f>
        <v>32</v>
      </c>
      <c r="AY516" s="8">
        <f ca="1">IF(COUNTIF(PlayerGameData[BLKOrder],PlayerGameData[[#This Row],[BLKOrder]])&gt;1,PlayerGameData[[#This Row],[PointRank]]/100+PlayerGameData[[#This Row],[BLKOrder]],PlayerGameData[[#This Row],[BLKOrder]])</f>
        <v>34.159999999999997</v>
      </c>
      <c r="AZ516" s="8">
        <f ca="1">RANK(PlayerGameData[[#This Row],[BLKTieBreak]],PlayerGameData[BLKTieBreak],1)</f>
        <v>216</v>
      </c>
      <c r="BA516" s="11">
        <f ca="1">IFERROR(IF(PlayerGameData[[#This Row],[FGA]]&gt;$AA$5,PlayerGameData[[#This Row],[FG%*]],PlayerGameData[[#This Row],[FG%*]]*-1),-2)</f>
        <v>-2</v>
      </c>
      <c r="BB516" s="8">
        <f ca="1">RANK(PlayerGameData[[#This Row],[EligFG]],PlayerGameData[EligFG],0)+PlayerGameData[[#This Row],[VisibleOrder]]</f>
        <v>215</v>
      </c>
      <c r="BC516" s="8">
        <f ca="1">IF(COUNTIF(PlayerGameData[EligFGOrder],PlayerGameData[[#This Row],[EligFGOrder]])&gt;1,PlayerGameData[[#This Row],[PointRank]]/100+PlayerGameData[[#This Row],[EligFGOrder]],PlayerGameData[[#This Row],[EligFGOrder]])</f>
        <v>217.16</v>
      </c>
      <c r="BD516" s="8">
        <f ca="1">RANK(PlayerGameData[[#This Row],[EligFGTieBreak]],PlayerGameData[EligFGTieBreak],1)</f>
        <v>216</v>
      </c>
      <c r="BE516" s="8" t="str">
        <f>Roster!$D$3</f>
        <v>East</v>
      </c>
      <c r="BF516" s="8" t="str">
        <f>Roster!$D$2</f>
        <v>Northeast</v>
      </c>
      <c r="BG516" s="8" t="str">
        <f>Roster!$D$4</f>
        <v>North</v>
      </c>
      <c r="BH516" s="197">
        <f ca="1">IFERROR(VLOOKUP(CONCATENATE(PlayerGameData[[#This Row],[Opponent]]," ",MONTH(PlayerGameData[[#This Row],[Date]]),"/",DAY(PlayerGameData[[#This Row],[Date]]),"/",YEAR(PlayerGameData[[#This Row],[Date]])),Table35[],2,FALSE),0)</f>
        <v>1</v>
      </c>
      <c r="BI516" s="197">
        <f ca="1">IF(PlayerGameData[[#This Row],[Visible]]=1,1,1000)</f>
        <v>1</v>
      </c>
      <c r="BJ516" s="197" t="e">
        <f ca="1">_xlfn.MAXIFS(TeamGameData[Win],TeamGameData[School, Opponent,Game'#],PlayerGameData[[#This Row],[School, Opponent,Game'#]])</f>
        <v>#NAME?</v>
      </c>
      <c r="BK516" s="197" t="e">
        <f ca="1">_xlfn.MAXIFS(TeamGameData[Loss],TeamGameData[School, Opponent,Game'#],PlayerGameData[[#This Row],[School, Opponent,Game'#]])</f>
        <v>#NAME?</v>
      </c>
    </row>
    <row r="517" spans="1:63" x14ac:dyDescent="0.25">
      <c r="A517" s="8" t="str">
        <f t="shared" ca="1" si="243"/>
        <v>Ben Carpenter, 21</v>
      </c>
      <c r="B517" s="8" t="str">
        <f>Roster!$B$1</f>
        <v>Upton</v>
      </c>
      <c r="C517" s="8" t="str">
        <f t="shared" ca="1" si="231"/>
        <v>Kaycee</v>
      </c>
      <c r="D517" s="10">
        <f t="shared" ca="1" si="232"/>
        <v>44981</v>
      </c>
      <c r="E517" s="8">
        <f t="shared" ca="1" si="233"/>
        <v>1</v>
      </c>
      <c r="F517" s="8">
        <f t="shared" ca="1" si="234"/>
        <v>0</v>
      </c>
      <c r="G517" s="8">
        <f t="shared" ca="1" si="235"/>
        <v>2</v>
      </c>
      <c r="H517" s="8">
        <f t="shared" ca="1" si="236"/>
        <v>0</v>
      </c>
      <c r="I517" s="8">
        <f t="shared" ca="1" si="237"/>
        <v>0</v>
      </c>
      <c r="J517" s="8">
        <f t="shared" ca="1" si="238"/>
        <v>0</v>
      </c>
      <c r="K517" s="8">
        <f t="shared" ca="1" si="239"/>
        <v>0</v>
      </c>
      <c r="L517" s="8">
        <f t="shared" ca="1" si="244"/>
        <v>0</v>
      </c>
      <c r="M517" s="8">
        <f t="shared" ca="1" si="245"/>
        <v>0</v>
      </c>
      <c r="N517" s="8">
        <f t="shared" ca="1" si="246"/>
        <v>0</v>
      </c>
      <c r="O517" s="8">
        <f t="shared" ca="1" si="247"/>
        <v>0</v>
      </c>
      <c r="P517" s="8">
        <f t="shared" ca="1" si="248"/>
        <v>0</v>
      </c>
      <c r="Q517" s="8">
        <f t="shared" ca="1" si="249"/>
        <v>0</v>
      </c>
      <c r="R517" s="8">
        <f t="shared" ca="1" si="250"/>
        <v>0</v>
      </c>
      <c r="S517" s="8">
        <f t="shared" ca="1" si="251"/>
        <v>0</v>
      </c>
      <c r="T517" s="8">
        <f t="shared" ca="1" si="252"/>
        <v>0</v>
      </c>
      <c r="U517" s="8">
        <f t="shared" ca="1" si="253"/>
        <v>0</v>
      </c>
      <c r="V517" s="8">
        <f t="shared" ca="1" si="254"/>
        <v>0</v>
      </c>
      <c r="W517" s="11" t="str">
        <f t="shared" ca="1" si="255"/>
        <v/>
      </c>
      <c r="X517" s="11" t="str">
        <f t="shared" ca="1" si="256"/>
        <v/>
      </c>
      <c r="Y517" s="11" t="str">
        <f t="shared" ca="1" si="257"/>
        <v/>
      </c>
      <c r="Z517" s="11" t="str">
        <f t="shared" ca="1" si="258"/>
        <v/>
      </c>
      <c r="AA517" s="11" t="str">
        <f t="shared" ca="1" si="259"/>
        <v/>
      </c>
      <c r="AB517" s="47">
        <f ca="1">PlayerGameData[[#This Row],[3FGA]]+PlayerGameData[[#This Row],[2FGA]]</f>
        <v>0</v>
      </c>
      <c r="AC517" s="47">
        <f ca="1">PlayerGameData[[#This Row],[OFF REB]]+PlayerGameData[[#This Row],[DEF REB]]</f>
        <v>0</v>
      </c>
      <c r="AD517" s="8">
        <f t="shared" si="240"/>
        <v>22</v>
      </c>
      <c r="AE517" s="8" t="str">
        <f t="shared" ca="1" si="241"/>
        <v>Ben Carpenter, 21 - Kaycee 2/24/2023</v>
      </c>
      <c r="AF517" s="8" t="str">
        <f t="shared" ca="1" si="260"/>
        <v>R</v>
      </c>
      <c r="AG517" s="8" t="str">
        <f ca="1">IFERROR(IF(C517=0,"",IF(AND(VLOOKUP(PlayerGameData[[#This Row],[Opponent]],WYTeamInfo,2,FALSE)=Roster!$D$1,VLOOKUP(PlayerGameData[[#This Row],[Opponent]],WYTeamInfo,3,FALSE)=Roster!$D$2),"SR","")),"")</f>
        <v>SR</v>
      </c>
      <c r="AH517" s="8" t="str">
        <f>CONCATENATE(Roster!$D$1," ",Roster!$D$5)</f>
        <v>1A BB</v>
      </c>
      <c r="AI517" s="8" t="str">
        <f t="shared" ca="1" si="242"/>
        <v>Upton - Kaycee 2/24/2023</v>
      </c>
      <c r="AJ517" s="8">
        <f ca="1">IFERROR(VLOOKUP(PlayerGameData[[#This Row],[School, Opponent,Game'#]],Table3[],2,FALSE),0)</f>
        <v>1</v>
      </c>
      <c r="AK517" s="8">
        <f ca="1">IF(PlayerGameData[[#This Row],[Visible]]=1,1,1000)</f>
        <v>1</v>
      </c>
      <c r="AL517" s="8">
        <f ca="1">RANK(PlayerGameData[[#This Row],[TL PTS]],PlayerGameData[TL PTS],0)+PlayerGameData[[#This Row],[VisibleOrder]]</f>
        <v>185</v>
      </c>
      <c r="AM517" s="8">
        <f ca="1">IF(COUNTIF(PlayerGameData[PointOrder],PlayerGameData[[#This Row],[PointOrder]])&gt;1,RANK(PlayerGameData[[#This Row],[FGA]],PlayerGameData[FGA],0)/100,0)+PlayerGameData[[#This Row],[PointOrder]]</f>
        <v>187.14</v>
      </c>
      <c r="AN517" s="8">
        <f ca="1">RANK(PlayerGameData[[#This Row],[PointTieBreak]],PlayerGameData[PointTieBreak],1)</f>
        <v>216</v>
      </c>
      <c r="AO517" s="8">
        <f ca="1">RANK(PlayerGameData[[#This Row],[REB]],PlayerGameData[REB],0)+PlayerGameData[[#This Row],[VisibleOrder]]</f>
        <v>192</v>
      </c>
      <c r="AP517" s="8">
        <f ca="1">IF(COUNTIF(PlayerGameData[REBOrder],PlayerGameData[[#This Row],[REBOrder]])&gt;1,PlayerGameData[[#This Row],[PointRank]]/100+PlayerGameData[[#This Row],[REBOrder]],PlayerGameData[[#This Row],[REBOrder]])</f>
        <v>194.16</v>
      </c>
      <c r="AQ517" s="8">
        <f ca="1">RANK(PlayerGameData[[#This Row],[REBTieBreak]],PlayerGameData[REBTieBreak],1)</f>
        <v>224</v>
      </c>
      <c r="AR517" s="8">
        <f ca="1">RANK(PlayerGameData[[#This Row],[AST]],PlayerGameData[AST],0)+PlayerGameData[[#This Row],[VisibleOrder]]</f>
        <v>158</v>
      </c>
      <c r="AS517" s="8">
        <f ca="1">IF(COUNTIF(PlayerGameData[ASTOrder],PlayerGameData[[#This Row],[ASTOrder]])&gt;1,PlayerGameData[[#This Row],[PointRank]]/100+PlayerGameData[[#This Row],[ASTOrder]],PlayerGameData[[#This Row],[ASTOrder]])</f>
        <v>160.16</v>
      </c>
      <c r="AT517" s="8">
        <f ca="1">RANK(PlayerGameData[[#This Row],[ASTTieBreak]],PlayerGameData[ASTTieBreak],1)</f>
        <v>221</v>
      </c>
      <c r="AU517" s="8">
        <f ca="1">RANK(PlayerGameData[[#This Row],[STL]],PlayerGameData[STL],0)+PlayerGameData[[#This Row],[VisibleOrder]]</f>
        <v>143</v>
      </c>
      <c r="AV517" s="8">
        <f ca="1">IF(COUNTIF(PlayerGameData[STLOrder],PlayerGameData[[#This Row],[STLOrder]])&gt;1,PlayerGameData[[#This Row],[PointRank]]/100+PlayerGameData[[#This Row],[STLOrder]],PlayerGameData[[#This Row],[STLOrder]])</f>
        <v>145.16</v>
      </c>
      <c r="AW517" s="8">
        <f ca="1">RANK(PlayerGameData[[#This Row],[STLTieBreak]],PlayerGameData[STLTieBreak],1)</f>
        <v>217</v>
      </c>
      <c r="AX517" s="8">
        <f ca="1">RANK(PlayerGameData[[#This Row],[BLK]],PlayerGameData[BLK],0)+PlayerGameData[[#This Row],[VisibleOrder]]</f>
        <v>32</v>
      </c>
      <c r="AY517" s="8">
        <f ca="1">IF(COUNTIF(PlayerGameData[BLKOrder],PlayerGameData[[#This Row],[BLKOrder]])&gt;1,PlayerGameData[[#This Row],[PointRank]]/100+PlayerGameData[[#This Row],[BLKOrder]],PlayerGameData[[#This Row],[BLKOrder]])</f>
        <v>34.159999999999997</v>
      </c>
      <c r="AZ517" s="8">
        <f ca="1">RANK(PlayerGameData[[#This Row],[BLKTieBreak]],PlayerGameData[BLKTieBreak],1)</f>
        <v>216</v>
      </c>
      <c r="BA517" s="11">
        <f ca="1">IFERROR(IF(PlayerGameData[[#This Row],[FGA]]&gt;$AA$5,PlayerGameData[[#This Row],[FG%*]],PlayerGameData[[#This Row],[FG%*]]*-1),-2)</f>
        <v>-2</v>
      </c>
      <c r="BB517" s="8">
        <f ca="1">RANK(PlayerGameData[[#This Row],[EligFG]],PlayerGameData[EligFG],0)+PlayerGameData[[#This Row],[VisibleOrder]]</f>
        <v>215</v>
      </c>
      <c r="BC517" s="8">
        <f ca="1">IF(COUNTIF(PlayerGameData[EligFGOrder],PlayerGameData[[#This Row],[EligFGOrder]])&gt;1,PlayerGameData[[#This Row],[PointRank]]/100+PlayerGameData[[#This Row],[EligFGOrder]],PlayerGameData[[#This Row],[EligFGOrder]])</f>
        <v>217.16</v>
      </c>
      <c r="BD517" s="8">
        <f ca="1">RANK(PlayerGameData[[#This Row],[EligFGTieBreak]],PlayerGameData[EligFGTieBreak],1)</f>
        <v>216</v>
      </c>
      <c r="BE517" s="8" t="str">
        <f>Roster!$D$3</f>
        <v>East</v>
      </c>
      <c r="BF517" s="8" t="str">
        <f>Roster!$D$2</f>
        <v>Northeast</v>
      </c>
      <c r="BG517" s="8" t="str">
        <f>Roster!$D$4</f>
        <v>North</v>
      </c>
      <c r="BH517" s="197">
        <f ca="1">IFERROR(VLOOKUP(CONCATENATE(PlayerGameData[[#This Row],[Opponent]]," ",MONTH(PlayerGameData[[#This Row],[Date]]),"/",DAY(PlayerGameData[[#This Row],[Date]]),"/",YEAR(PlayerGameData[[#This Row],[Date]])),Table35[],2,FALSE),0)</f>
        <v>1</v>
      </c>
      <c r="BI517" s="197">
        <f ca="1">IF(PlayerGameData[[#This Row],[Visible]]=1,1,1000)</f>
        <v>1</v>
      </c>
      <c r="BJ517" s="197" t="e">
        <f ca="1">_xlfn.MAXIFS(TeamGameData[Win],TeamGameData[School, Opponent,Game'#],PlayerGameData[[#This Row],[School, Opponent,Game'#]])</f>
        <v>#NAME?</v>
      </c>
      <c r="BK517" s="197" t="e">
        <f ca="1">_xlfn.MAXIFS(TeamGameData[Loss],TeamGameData[School, Opponent,Game'#],PlayerGameData[[#This Row],[School, Opponent,Game'#]])</f>
        <v>#NAME?</v>
      </c>
    </row>
    <row r="518" spans="1:63" x14ac:dyDescent="0.25">
      <c r="A518" s="8" t="str">
        <f t="shared" ca="1" si="243"/>
        <v>Ethan Schiller, 23</v>
      </c>
      <c r="B518" s="8" t="str">
        <f>Roster!$B$1</f>
        <v>Upton</v>
      </c>
      <c r="C518" s="8" t="str">
        <f t="shared" ca="1" si="231"/>
        <v>Kaycee</v>
      </c>
      <c r="D518" s="10">
        <f t="shared" ca="1" si="232"/>
        <v>44981</v>
      </c>
      <c r="E518" s="8">
        <f t="shared" ca="1" si="233"/>
        <v>1</v>
      </c>
      <c r="F518" s="8">
        <f t="shared" ca="1" si="234"/>
        <v>1</v>
      </c>
      <c r="G518" s="8">
        <f t="shared" ca="1" si="235"/>
        <v>15</v>
      </c>
      <c r="H518" s="8">
        <f t="shared" ca="1" si="236"/>
        <v>1</v>
      </c>
      <c r="I518" s="8">
        <f t="shared" ca="1" si="237"/>
        <v>2</v>
      </c>
      <c r="J518" s="8">
        <f t="shared" ca="1" si="238"/>
        <v>2</v>
      </c>
      <c r="K518" s="8">
        <f t="shared" ca="1" si="239"/>
        <v>5</v>
      </c>
      <c r="L518" s="8">
        <f t="shared" ca="1" si="244"/>
        <v>1</v>
      </c>
      <c r="M518" s="8">
        <f t="shared" ca="1" si="245"/>
        <v>2</v>
      </c>
      <c r="N518" s="8">
        <f t="shared" ca="1" si="246"/>
        <v>1</v>
      </c>
      <c r="O518" s="8">
        <f t="shared" ca="1" si="247"/>
        <v>4</v>
      </c>
      <c r="P518" s="8">
        <f t="shared" ca="1" si="248"/>
        <v>2</v>
      </c>
      <c r="Q518" s="8">
        <f t="shared" ca="1" si="249"/>
        <v>4</v>
      </c>
      <c r="R518" s="8">
        <f t="shared" ca="1" si="250"/>
        <v>1</v>
      </c>
      <c r="S518" s="8">
        <f t="shared" ca="1" si="251"/>
        <v>5</v>
      </c>
      <c r="T518" s="8">
        <f t="shared" ca="1" si="252"/>
        <v>1</v>
      </c>
      <c r="U518" s="8">
        <f t="shared" ca="1" si="253"/>
        <v>0</v>
      </c>
      <c r="V518" s="8">
        <f t="shared" ca="1" si="254"/>
        <v>8</v>
      </c>
      <c r="W518" s="11">
        <f t="shared" ca="1" si="255"/>
        <v>0.5</v>
      </c>
      <c r="X518" s="11">
        <f t="shared" ca="1" si="256"/>
        <v>0.4</v>
      </c>
      <c r="Y518" s="11">
        <f t="shared" ca="1" si="257"/>
        <v>0.5</v>
      </c>
      <c r="Z518" s="11">
        <f t="shared" ca="1" si="258"/>
        <v>0.42857142857142855</v>
      </c>
      <c r="AA518" s="11">
        <f t="shared" ca="1" si="259"/>
        <v>0.5</v>
      </c>
      <c r="AB518" s="47">
        <f ca="1">PlayerGameData[[#This Row],[3FGA]]+PlayerGameData[[#This Row],[2FGA]]</f>
        <v>7</v>
      </c>
      <c r="AC518" s="47">
        <f ca="1">PlayerGameData[[#This Row],[OFF REB]]+PlayerGameData[[#This Row],[DEF REB]]</f>
        <v>5</v>
      </c>
      <c r="AD518" s="8">
        <f t="shared" si="240"/>
        <v>22</v>
      </c>
      <c r="AE518" s="8" t="str">
        <f t="shared" ca="1" si="241"/>
        <v>Ethan Schiller, 23 - Kaycee 2/24/2023</v>
      </c>
      <c r="AF518" s="8" t="str">
        <f t="shared" ca="1" si="260"/>
        <v>R</v>
      </c>
      <c r="AG518" s="8" t="str">
        <f ca="1">IFERROR(IF(C518=0,"",IF(AND(VLOOKUP(PlayerGameData[[#This Row],[Opponent]],WYTeamInfo,2,FALSE)=Roster!$D$1,VLOOKUP(PlayerGameData[[#This Row],[Opponent]],WYTeamInfo,3,FALSE)=Roster!$D$2),"SR","")),"")</f>
        <v>SR</v>
      </c>
      <c r="AH518" s="8" t="str">
        <f>CONCATENATE(Roster!$D$1," ",Roster!$D$5)</f>
        <v>1A BB</v>
      </c>
      <c r="AI518" s="8" t="str">
        <f t="shared" ca="1" si="242"/>
        <v>Upton - Kaycee 2/24/2023</v>
      </c>
      <c r="AJ518" s="8">
        <f ca="1">IFERROR(VLOOKUP(PlayerGameData[[#This Row],[School, Opponent,Game'#]],Table3[],2,FALSE),0)</f>
        <v>1</v>
      </c>
      <c r="AK518" s="8">
        <f ca="1">IF(PlayerGameData[[#This Row],[Visible]]=1,1,1000)</f>
        <v>1</v>
      </c>
      <c r="AL518" s="8">
        <f ca="1">RANK(PlayerGameData[[#This Row],[TL PTS]],PlayerGameData[TL PTS],0)+PlayerGameData[[#This Row],[VisibleOrder]]</f>
        <v>82</v>
      </c>
      <c r="AM518" s="8">
        <f ca="1">IF(COUNTIF(PlayerGameData[PointOrder],PlayerGameData[[#This Row],[PointOrder]])&gt;1,RANK(PlayerGameData[[#This Row],[FGA]],PlayerGameData[FGA],0)/100,0)+PlayerGameData[[#This Row],[PointOrder]]</f>
        <v>82.93</v>
      </c>
      <c r="AN518" s="8">
        <f ca="1">RANK(PlayerGameData[[#This Row],[PointTieBreak]],PlayerGameData[PointTieBreak],1)</f>
        <v>88</v>
      </c>
      <c r="AO518" s="8">
        <f ca="1">RANK(PlayerGameData[[#This Row],[REB]],PlayerGameData[REB],0)+PlayerGameData[[#This Row],[VisibleOrder]]</f>
        <v>52</v>
      </c>
      <c r="AP518" s="8">
        <f ca="1">IF(COUNTIF(PlayerGameData[REBOrder],PlayerGameData[[#This Row],[REBOrder]])&gt;1,PlayerGameData[[#This Row],[PointRank]]/100+PlayerGameData[[#This Row],[REBOrder]],PlayerGameData[[#This Row],[REBOrder]])</f>
        <v>52.88</v>
      </c>
      <c r="AQ518" s="8">
        <f ca="1">RANK(PlayerGameData[[#This Row],[REBTieBreak]],PlayerGameData[REBTieBreak],1)</f>
        <v>64</v>
      </c>
      <c r="AR518" s="8">
        <f ca="1">RANK(PlayerGameData[[#This Row],[AST]],PlayerGameData[AST],0)+PlayerGameData[[#This Row],[VisibleOrder]]</f>
        <v>69</v>
      </c>
      <c r="AS518" s="8">
        <f ca="1">IF(COUNTIF(PlayerGameData[ASTOrder],PlayerGameData[[#This Row],[ASTOrder]])&gt;1,PlayerGameData[[#This Row],[PointRank]]/100+PlayerGameData[[#This Row],[ASTOrder]],PlayerGameData[[#This Row],[ASTOrder]])</f>
        <v>69.88</v>
      </c>
      <c r="AT518" s="8">
        <f ca="1">RANK(PlayerGameData[[#This Row],[ASTTieBreak]],PlayerGameData[ASTTieBreak],1)</f>
        <v>89</v>
      </c>
      <c r="AU518" s="8">
        <f ca="1">RANK(PlayerGameData[[#This Row],[STL]],PlayerGameData[STL],0)+PlayerGameData[[#This Row],[VisibleOrder]]</f>
        <v>10</v>
      </c>
      <c r="AV518" s="8">
        <f ca="1">IF(COUNTIF(PlayerGameData[STLOrder],PlayerGameData[[#This Row],[STLOrder]])&gt;1,PlayerGameData[[#This Row],[PointRank]]/100+PlayerGameData[[#This Row],[STLOrder]],PlayerGameData[[#This Row],[STLOrder]])</f>
        <v>10.88</v>
      </c>
      <c r="AW518" s="8">
        <f ca="1">RANK(PlayerGameData[[#This Row],[STLTieBreak]],PlayerGameData[STLTieBreak],1)</f>
        <v>22</v>
      </c>
      <c r="AX518" s="8">
        <f ca="1">RANK(PlayerGameData[[#This Row],[BLK]],PlayerGameData[BLK],0)+PlayerGameData[[#This Row],[VisibleOrder]]</f>
        <v>11</v>
      </c>
      <c r="AY518" s="8">
        <f ca="1">IF(COUNTIF(PlayerGameData[BLKOrder],PlayerGameData[[#This Row],[BLKOrder]])&gt;1,PlayerGameData[[#This Row],[PointRank]]/100+PlayerGameData[[#This Row],[BLKOrder]],PlayerGameData[[#This Row],[BLKOrder]])</f>
        <v>11.88</v>
      </c>
      <c r="AZ518" s="8">
        <f ca="1">RANK(PlayerGameData[[#This Row],[BLKTieBreak]],PlayerGameData[BLKTieBreak],1)</f>
        <v>23</v>
      </c>
      <c r="BA518" s="11">
        <f ca="1">IFERROR(IF(PlayerGameData[[#This Row],[FGA]]&gt;$AA$5,PlayerGameData[[#This Row],[FG%*]],PlayerGameData[[#This Row],[FG%*]]*-1),-2)</f>
        <v>0.42857142857142855</v>
      </c>
      <c r="BB518" s="8">
        <f ca="1">RANK(PlayerGameData[[#This Row],[EligFG]],PlayerGameData[EligFG],0)+PlayerGameData[[#This Row],[VisibleOrder]]</f>
        <v>63</v>
      </c>
      <c r="BC518" s="8">
        <f ca="1">IF(COUNTIF(PlayerGameData[EligFGOrder],PlayerGameData[[#This Row],[EligFGOrder]])&gt;1,PlayerGameData[[#This Row],[PointRank]]/100+PlayerGameData[[#This Row],[EligFGOrder]],PlayerGameData[[#This Row],[EligFGOrder]])</f>
        <v>63.88</v>
      </c>
      <c r="BD518" s="8">
        <f ca="1">RANK(PlayerGameData[[#This Row],[EligFGTieBreak]],PlayerGameData[EligFGTieBreak],1)</f>
        <v>62</v>
      </c>
      <c r="BE518" s="8" t="str">
        <f>Roster!$D$3</f>
        <v>East</v>
      </c>
      <c r="BF518" s="8" t="str">
        <f>Roster!$D$2</f>
        <v>Northeast</v>
      </c>
      <c r="BG518" s="8" t="str">
        <f>Roster!$D$4</f>
        <v>North</v>
      </c>
      <c r="BH518" s="197">
        <f ca="1">IFERROR(VLOOKUP(CONCATENATE(PlayerGameData[[#This Row],[Opponent]]," ",MONTH(PlayerGameData[[#This Row],[Date]]),"/",DAY(PlayerGameData[[#This Row],[Date]]),"/",YEAR(PlayerGameData[[#This Row],[Date]])),Table35[],2,FALSE),0)</f>
        <v>1</v>
      </c>
      <c r="BI518" s="197">
        <f ca="1">IF(PlayerGameData[[#This Row],[Visible]]=1,1,1000)</f>
        <v>1</v>
      </c>
      <c r="BJ518" s="197" t="e">
        <f ca="1">_xlfn.MAXIFS(TeamGameData[Win],TeamGameData[School, Opponent,Game'#],PlayerGameData[[#This Row],[School, Opponent,Game'#]])</f>
        <v>#NAME?</v>
      </c>
      <c r="BK518" s="197" t="e">
        <f ca="1">_xlfn.MAXIFS(TeamGameData[Loss],TeamGameData[School, Opponent,Game'#],PlayerGameData[[#This Row],[School, Opponent,Game'#]])</f>
        <v>#NAME?</v>
      </c>
    </row>
    <row r="519" spans="1:63" x14ac:dyDescent="0.25">
      <c r="A519" s="8" t="str">
        <f t="shared" ca="1" si="243"/>
        <v>Bridger Bruce, 25</v>
      </c>
      <c r="B519" s="8" t="str">
        <f>Roster!$B$1</f>
        <v>Upton</v>
      </c>
      <c r="C519" s="8" t="str">
        <f t="shared" ref="C519:C582" ca="1" si="261">INDIRECT("'game1 ("&amp;$AD519&amp;")'!$b$3")</f>
        <v>Kaycee</v>
      </c>
      <c r="D519" s="10">
        <f t="shared" ref="D519:D582" ca="1" si="262">INDIRECT("'game1 ("&amp;$AD519&amp;")'!$m$4")</f>
        <v>44981</v>
      </c>
      <c r="E519" s="8">
        <f t="shared" ref="E519:E582" ca="1" si="263">INDIRECT("'game1 ("&amp;$AD519&amp;")'!"&amp;ADDRESS(ROW(A$7)+MOD(ROW(A519)-7,24),COLUMN(D519)))</f>
        <v>1</v>
      </c>
      <c r="F519" s="8">
        <f t="shared" ref="F519:F582" ca="1" si="264">IF(INDIRECT("'game1 ("&amp;$AD519&amp;")'!"&amp;ADDRESS(ROW(B$7)+MOD(ROW(B519)-7,24),COLUMN(C519)))="s",1,0)</f>
        <v>0</v>
      </c>
      <c r="G519" s="8">
        <f t="shared" ref="G519:G582" ca="1" si="265">INDIRECT("'game1 ("&amp;$AD519&amp;")'!"&amp;ADDRESS(ROW(B$7)+MOD(ROW(B519)-7,24),COLUMN(E519)))</f>
        <v>11</v>
      </c>
      <c r="H519" s="8">
        <f t="shared" ref="H519:H582" ca="1" si="266">INDIRECT("'game1 ("&amp;$AD519&amp;")'!"&amp;ADDRESS(ROW(B$7)+MOD(ROW(B519)-7,24),COLUMN(F519)))</f>
        <v>2</v>
      </c>
      <c r="I519" s="8">
        <f t="shared" ref="I519:I582" ca="1" si="267">INDIRECT("'game1 ("&amp;$AD519&amp;")'!"&amp;ADDRESS(ROW(C$7)+MOD(ROW(C519)-7,24),COLUMN(G519)))</f>
        <v>3</v>
      </c>
      <c r="J519" s="8">
        <f t="shared" ref="J519:J582" ca="1" si="268">INDIRECT("'game1 ("&amp;$AD519&amp;")'!"&amp;ADDRESS(ROW(D$7)+MOD(ROW(D519)-7,24),COLUMN(H519)))</f>
        <v>0</v>
      </c>
      <c r="K519" s="8">
        <f t="shared" ref="K519:K582" ca="1" si="269">INDIRECT("'game1 ("&amp;$AD519&amp;")'!"&amp;ADDRESS(ROW(E$7)+MOD(ROW(E519)-7,24),COLUMN(I519)))</f>
        <v>0</v>
      </c>
      <c r="L519" s="8">
        <f t="shared" ca="1" si="244"/>
        <v>0</v>
      </c>
      <c r="M519" s="8">
        <f t="shared" ca="1" si="245"/>
        <v>0</v>
      </c>
      <c r="N519" s="8">
        <f t="shared" ca="1" si="246"/>
        <v>1</v>
      </c>
      <c r="O519" s="8">
        <f t="shared" ca="1" si="247"/>
        <v>3</v>
      </c>
      <c r="P519" s="8">
        <f t="shared" ca="1" si="248"/>
        <v>1</v>
      </c>
      <c r="Q519" s="8">
        <f t="shared" ca="1" si="249"/>
        <v>1</v>
      </c>
      <c r="R519" s="8">
        <f t="shared" ca="1" si="250"/>
        <v>0</v>
      </c>
      <c r="S519" s="8">
        <f t="shared" ca="1" si="251"/>
        <v>1</v>
      </c>
      <c r="T519" s="8">
        <f t="shared" ca="1" si="252"/>
        <v>2</v>
      </c>
      <c r="U519" s="8">
        <f t="shared" ca="1" si="253"/>
        <v>1</v>
      </c>
      <c r="V519" s="8">
        <f t="shared" ca="1" si="254"/>
        <v>6</v>
      </c>
      <c r="W519" s="11">
        <f t="shared" ca="1" si="255"/>
        <v>0.66666666666666663</v>
      </c>
      <c r="X519" s="11" t="str">
        <f t="shared" ca="1" si="256"/>
        <v/>
      </c>
      <c r="Y519" s="11" t="str">
        <f t="shared" ca="1" si="257"/>
        <v/>
      </c>
      <c r="Z519" s="11">
        <f t="shared" ca="1" si="258"/>
        <v>0.66666666666666663</v>
      </c>
      <c r="AA519" s="11">
        <f t="shared" ca="1" si="259"/>
        <v>1</v>
      </c>
      <c r="AB519" s="47">
        <f ca="1">PlayerGameData[[#This Row],[3FGA]]+PlayerGameData[[#This Row],[2FGA]]</f>
        <v>3</v>
      </c>
      <c r="AC519" s="47">
        <f ca="1">PlayerGameData[[#This Row],[OFF REB]]+PlayerGameData[[#This Row],[DEF REB]]</f>
        <v>4</v>
      </c>
      <c r="AD519" s="8">
        <f t="shared" ref="AD519:AD582" si="270">INT((ROW(A519)-7)/24)+1</f>
        <v>22</v>
      </c>
      <c r="AE519" s="8" t="str">
        <f t="shared" ref="AE519:AE582" ca="1" si="271">CONCATENATE(A519," - ",C519," ",MONTH(D519),"/",DAY(D519),"/",YEAR(D519))</f>
        <v>Bridger Bruce, 25 - Kaycee 2/24/2023</v>
      </c>
      <c r="AF519" s="8" t="str">
        <f t="shared" ca="1" si="260"/>
        <v>R</v>
      </c>
      <c r="AG519" s="8" t="str">
        <f ca="1">IFERROR(IF(C519=0,"",IF(AND(VLOOKUP(PlayerGameData[[#This Row],[Opponent]],WYTeamInfo,2,FALSE)=Roster!$D$1,VLOOKUP(PlayerGameData[[#This Row],[Opponent]],WYTeamInfo,3,FALSE)=Roster!$D$2),"SR","")),"")</f>
        <v>SR</v>
      </c>
      <c r="AH519" s="8" t="str">
        <f>CONCATENATE(Roster!$D$1," ",Roster!$D$5)</f>
        <v>1A BB</v>
      </c>
      <c r="AI519" s="8" t="str">
        <f t="shared" ref="AI519:AI582" ca="1" si="272">IF($C519&lt;&gt;0,CONCATENATE($B519," - ",$C519," ",MONTH($D519),"/",DAY($D519),"/",YEAR($D519)),"Blank")</f>
        <v>Upton - Kaycee 2/24/2023</v>
      </c>
      <c r="AJ519" s="8">
        <f ca="1">IFERROR(VLOOKUP(PlayerGameData[[#This Row],[School, Opponent,Game'#]],Table3[],2,FALSE),0)</f>
        <v>1</v>
      </c>
      <c r="AK519" s="8">
        <f ca="1">IF(PlayerGameData[[#This Row],[Visible]]=1,1,1000)</f>
        <v>1</v>
      </c>
      <c r="AL519" s="8">
        <f ca="1">RANK(PlayerGameData[[#This Row],[TL PTS]],PlayerGameData[TL PTS],0)+PlayerGameData[[#This Row],[VisibleOrder]]</f>
        <v>102</v>
      </c>
      <c r="AM519" s="8">
        <f ca="1">IF(COUNTIF(PlayerGameData[PointOrder],PlayerGameData[[#This Row],[PointOrder]])&gt;1,RANK(PlayerGameData[[#This Row],[FGA]],PlayerGameData[FGA],0)/100,0)+PlayerGameData[[#This Row],[PointOrder]]</f>
        <v>103.4</v>
      </c>
      <c r="AN519" s="8">
        <f ca="1">RANK(PlayerGameData[[#This Row],[PointTieBreak]],PlayerGameData[PointTieBreak],1)</f>
        <v>106</v>
      </c>
      <c r="AO519" s="8">
        <f ca="1">RANK(PlayerGameData[[#This Row],[REB]],PlayerGameData[REB],0)+PlayerGameData[[#This Row],[VisibleOrder]]</f>
        <v>79</v>
      </c>
      <c r="AP519" s="8">
        <f ca="1">IF(COUNTIF(PlayerGameData[REBOrder],PlayerGameData[[#This Row],[REBOrder]])&gt;1,PlayerGameData[[#This Row],[PointRank]]/100+PlayerGameData[[#This Row],[REBOrder]],PlayerGameData[[#This Row],[REBOrder]])</f>
        <v>80.06</v>
      </c>
      <c r="AQ519" s="8">
        <f ca="1">RANK(PlayerGameData[[#This Row],[REBTieBreak]],PlayerGameData[REBTieBreak],1)</f>
        <v>94</v>
      </c>
      <c r="AR519" s="8">
        <f ca="1">RANK(PlayerGameData[[#This Row],[AST]],PlayerGameData[AST],0)+PlayerGameData[[#This Row],[VisibleOrder]]</f>
        <v>115</v>
      </c>
      <c r="AS519" s="8">
        <f ca="1">IF(COUNTIF(PlayerGameData[ASTOrder],PlayerGameData[[#This Row],[ASTOrder]])&gt;1,PlayerGameData[[#This Row],[PointRank]]/100+PlayerGameData[[#This Row],[ASTOrder]],PlayerGameData[[#This Row],[ASTOrder]])</f>
        <v>116.06</v>
      </c>
      <c r="AT519" s="8">
        <f ca="1">RANK(PlayerGameData[[#This Row],[ASTTieBreak]],PlayerGameData[ASTTieBreak],1)</f>
        <v>131</v>
      </c>
      <c r="AU519" s="8">
        <f ca="1">RANK(PlayerGameData[[#This Row],[STL]],PlayerGameData[STL],0)+PlayerGameData[[#This Row],[VisibleOrder]]</f>
        <v>84</v>
      </c>
      <c r="AV519" s="8">
        <f ca="1">IF(COUNTIF(PlayerGameData[STLOrder],PlayerGameData[[#This Row],[STLOrder]])&gt;1,PlayerGameData[[#This Row],[PointRank]]/100+PlayerGameData[[#This Row],[STLOrder]],PlayerGameData[[#This Row],[STLOrder]])</f>
        <v>85.06</v>
      </c>
      <c r="AW519" s="8">
        <f ca="1">RANK(PlayerGameData[[#This Row],[STLTieBreak]],PlayerGameData[STLTieBreak],1)</f>
        <v>108</v>
      </c>
      <c r="AX519" s="8">
        <f ca="1">RANK(PlayerGameData[[#This Row],[BLK]],PlayerGameData[BLK],0)+PlayerGameData[[#This Row],[VisibleOrder]]</f>
        <v>32</v>
      </c>
      <c r="AY519" s="8">
        <f ca="1">IF(COUNTIF(PlayerGameData[BLKOrder],PlayerGameData[[#This Row],[BLKOrder]])&gt;1,PlayerGameData[[#This Row],[PointRank]]/100+PlayerGameData[[#This Row],[BLKOrder]],PlayerGameData[[#This Row],[BLKOrder]])</f>
        <v>33.06</v>
      </c>
      <c r="AZ519" s="8">
        <f ca="1">RANK(PlayerGameData[[#This Row],[BLKTieBreak]],PlayerGameData[BLKTieBreak],1)</f>
        <v>113</v>
      </c>
      <c r="BA519" s="11">
        <f ca="1">IFERROR(IF(PlayerGameData[[#This Row],[FGA]]&gt;$AA$5,PlayerGameData[[#This Row],[FG%*]],PlayerGameData[[#This Row],[FG%*]]*-1),-2)</f>
        <v>-0.66666666666666663</v>
      </c>
      <c r="BB519" s="8">
        <f ca="1">RANK(PlayerGameData[[#This Row],[EligFG]],PlayerGameData[EligFG],0)+PlayerGameData[[#This Row],[VisibleOrder]]</f>
        <v>197</v>
      </c>
      <c r="BC519" s="8">
        <f ca="1">IF(COUNTIF(PlayerGameData[EligFGOrder],PlayerGameData[[#This Row],[EligFGOrder]])&gt;1,PlayerGameData[[#This Row],[PointRank]]/100+PlayerGameData[[#This Row],[EligFGOrder]],PlayerGameData[[#This Row],[EligFGOrder]])</f>
        <v>198.06</v>
      </c>
      <c r="BD519" s="8">
        <f ca="1">RANK(PlayerGameData[[#This Row],[EligFGTieBreak]],PlayerGameData[EligFGTieBreak],1)</f>
        <v>196</v>
      </c>
      <c r="BE519" s="8" t="str">
        <f>Roster!$D$3</f>
        <v>East</v>
      </c>
      <c r="BF519" s="8" t="str">
        <f>Roster!$D$2</f>
        <v>Northeast</v>
      </c>
      <c r="BG519" s="8" t="str">
        <f>Roster!$D$4</f>
        <v>North</v>
      </c>
      <c r="BH519" s="197">
        <f ca="1">IFERROR(VLOOKUP(CONCATENATE(PlayerGameData[[#This Row],[Opponent]]," ",MONTH(PlayerGameData[[#This Row],[Date]]),"/",DAY(PlayerGameData[[#This Row],[Date]]),"/",YEAR(PlayerGameData[[#This Row],[Date]])),Table35[],2,FALSE),0)</f>
        <v>1</v>
      </c>
      <c r="BI519" s="197">
        <f ca="1">IF(PlayerGameData[[#This Row],[Visible]]=1,1,1000)</f>
        <v>1</v>
      </c>
      <c r="BJ519" s="197" t="e">
        <f ca="1">_xlfn.MAXIFS(TeamGameData[Win],TeamGameData[School, Opponent,Game'#],PlayerGameData[[#This Row],[School, Opponent,Game'#]])</f>
        <v>#NAME?</v>
      </c>
      <c r="BK519" s="197" t="e">
        <f ca="1">_xlfn.MAXIFS(TeamGameData[Loss],TeamGameData[School, Opponent,Game'#],PlayerGameData[[#This Row],[School, Opponent,Game'#]])</f>
        <v>#NAME?</v>
      </c>
    </row>
    <row r="520" spans="1:63" x14ac:dyDescent="0.25">
      <c r="A520" s="8" t="str">
        <f t="shared" ref="A520:A583" ca="1" si="273">CONCATENATE(INDIRECT("Roster!B"&amp;ROW(A$7)+MOD(ROW(A520)-7,24)),", ",INDIRECT("Roster!a"&amp;ROW(A$7)+MOD(ROW(A520)-7,24)))</f>
        <v>Kailer Duarte, 31</v>
      </c>
      <c r="B520" s="8" t="str">
        <f>Roster!$B$1</f>
        <v>Upton</v>
      </c>
      <c r="C520" s="8" t="str">
        <f t="shared" ca="1" si="261"/>
        <v>Kaycee</v>
      </c>
      <c r="D520" s="10">
        <f t="shared" ca="1" si="262"/>
        <v>44981</v>
      </c>
      <c r="E520" s="8">
        <f t="shared" ca="1" si="263"/>
        <v>1</v>
      </c>
      <c r="F520" s="8">
        <f t="shared" ca="1" si="264"/>
        <v>1</v>
      </c>
      <c r="G520" s="8">
        <f t="shared" ca="1" si="265"/>
        <v>16</v>
      </c>
      <c r="H520" s="8">
        <f t="shared" ca="1" si="266"/>
        <v>2</v>
      </c>
      <c r="I520" s="8">
        <f t="shared" ca="1" si="267"/>
        <v>2</v>
      </c>
      <c r="J520" s="8">
        <f t="shared" ca="1" si="268"/>
        <v>5</v>
      </c>
      <c r="K520" s="8">
        <f t="shared" ca="1" si="269"/>
        <v>5</v>
      </c>
      <c r="L520" s="8">
        <f t="shared" ref="L520:L583" ca="1" si="274">INDIRECT("'game1 ("&amp;$AD520&amp;")'!"&amp;ADDRESS(ROW(G$7)+MOD(ROW(G520)-7,24),COLUMN(J520)))</f>
        <v>1</v>
      </c>
      <c r="M520" s="8">
        <f t="shared" ref="M520:M583" ca="1" si="275">INDIRECT("'game1 ("&amp;$AD520&amp;")'!"&amp;ADDRESS(ROW(H$7)+MOD(ROW(H520)-7,24),COLUMN(K520)))</f>
        <v>3</v>
      </c>
      <c r="N520" s="8">
        <f t="shared" ref="N520:N583" ca="1" si="276">INDIRECT("'game1 ("&amp;$AD520&amp;")'!"&amp;ADDRESS(ROW(I$7)+MOD(ROW(I520)-7,24),COLUMN(L520)))</f>
        <v>1</v>
      </c>
      <c r="O520" s="8">
        <f t="shared" ref="O520:O583" ca="1" si="277">INDIRECT("'game1 ("&amp;$AD520&amp;")'!"&amp;ADDRESS(ROW(J$7)+MOD(ROW(J520)-7,24),COLUMN(M520)))</f>
        <v>3</v>
      </c>
      <c r="P520" s="8">
        <f t="shared" ref="P520:P583" ca="1" si="278">INDIRECT("'game1 ("&amp;$AD520&amp;")'!"&amp;ADDRESS(ROW(K$7)+MOD(ROW(K520)-7,24),COLUMN(N520)))</f>
        <v>3</v>
      </c>
      <c r="Q520" s="8">
        <f t="shared" ref="Q520:Q583" ca="1" si="279">INDIRECT("'game1 ("&amp;$AD520&amp;")'!"&amp;ADDRESS(ROW(L$7)+MOD(ROW(L520)-7,24),COLUMN(O520)))</f>
        <v>0</v>
      </c>
      <c r="R520" s="8">
        <f t="shared" ref="R520:R583" ca="1" si="280">INDIRECT("'game1 ("&amp;$AD520&amp;")'!"&amp;ADDRESS(ROW(M$7)+MOD(ROW(M520)-7,24),COLUMN(P520)))</f>
        <v>0</v>
      </c>
      <c r="S520" s="8">
        <f t="shared" ref="S520:S583" ca="1" si="281">INDIRECT("'game1 ("&amp;$AD520&amp;")'!"&amp;ADDRESS(ROW(N$7)+MOD(ROW(N520)-7,24),COLUMN(Q520)))</f>
        <v>1</v>
      </c>
      <c r="T520" s="8">
        <f t="shared" ref="T520:T583" ca="1" si="282">INDIRECT("'game1 ("&amp;$AD520&amp;")'!"&amp;ADDRESS(ROW(O$7)+MOD(ROW(O520)-7,24),COLUMN(R520)))</f>
        <v>2</v>
      </c>
      <c r="U520" s="8">
        <f t="shared" ref="U520:U583" ca="1" si="283">INDIRECT("'game1 ("&amp;$AD520&amp;")'!"&amp;ADDRESS(ROW(P$7)+MOD(ROW(P520)-7,24),COLUMN(S520)))</f>
        <v>1</v>
      </c>
      <c r="V520" s="8">
        <f t="shared" ref="V520:V583" ca="1" si="284">INDIRECT("'game1 ("&amp;$AD520&amp;")'!"&amp;ADDRESS(ROW(Q$7)+MOD(ROW(Q520)-7,24),COLUMN(T520)))</f>
        <v>17</v>
      </c>
      <c r="W520" s="11">
        <f t="shared" ref="W520:W583" ca="1" si="285">INDIRECT("'game1 ("&amp;$AD520&amp;")'!"&amp;ADDRESS(ROW(R$7)+MOD(ROW(R520)-7,24),COLUMN(U520)))</f>
        <v>1</v>
      </c>
      <c r="X520" s="11">
        <f t="shared" ref="X520:X583" ca="1" si="286">INDIRECT("'game1 ("&amp;$AD520&amp;")'!"&amp;ADDRESS(ROW(S$7)+MOD(ROW(S520)-7,24),COLUMN(V520)))</f>
        <v>1</v>
      </c>
      <c r="Y520" s="11">
        <f t="shared" ref="Y520:Y583" ca="1" si="287">INDIRECT("'game1 ("&amp;$AD520&amp;")'!"&amp;ADDRESS(ROW(T$7)+MOD(ROW(T520)-7,24),COLUMN(W520)))</f>
        <v>0.33333333333333331</v>
      </c>
      <c r="Z520" s="11">
        <f t="shared" ref="Z520:Z583" ca="1" si="288">INDIRECT("'game1 ("&amp;$AD520&amp;")'!"&amp;ADDRESS(ROW(U$7)+MOD(ROW(U520)-7,24),COLUMN(X520)))</f>
        <v>1</v>
      </c>
      <c r="AA520" s="11">
        <f t="shared" ref="AA520:AA583" ca="1" si="289">INDIRECT("'game1 ("&amp;$AD520&amp;")'!"&amp;ADDRESS(ROW(V$7)+MOD(ROW(V520)-7,24),COLUMN(Y520)))</f>
        <v>1.1428571428571428</v>
      </c>
      <c r="AB520" s="47">
        <f ca="1">PlayerGameData[[#This Row],[3FGA]]+PlayerGameData[[#This Row],[2FGA]]</f>
        <v>7</v>
      </c>
      <c r="AC520" s="47">
        <f ca="1">PlayerGameData[[#This Row],[OFF REB]]+PlayerGameData[[#This Row],[DEF REB]]</f>
        <v>4</v>
      </c>
      <c r="AD520" s="8">
        <f t="shared" si="270"/>
        <v>22</v>
      </c>
      <c r="AE520" s="8" t="str">
        <f t="shared" ca="1" si="271"/>
        <v>Kailer Duarte, 31 - Kaycee 2/24/2023</v>
      </c>
      <c r="AF520" s="8" t="str">
        <f t="shared" ref="AF520:AF583" ca="1" si="290">IFERROR(INDIRECT("'game1 ("&amp;$AD520&amp;")'!$a$2"),"")</f>
        <v>R</v>
      </c>
      <c r="AG520" s="8" t="str">
        <f ca="1">IFERROR(IF(C520=0,"",IF(AND(VLOOKUP(PlayerGameData[[#This Row],[Opponent]],WYTeamInfo,2,FALSE)=Roster!$D$1,VLOOKUP(PlayerGameData[[#This Row],[Opponent]],WYTeamInfo,3,FALSE)=Roster!$D$2),"SR","")),"")</f>
        <v>SR</v>
      </c>
      <c r="AH520" s="8" t="str">
        <f>CONCATENATE(Roster!$D$1," ",Roster!$D$5)</f>
        <v>1A BB</v>
      </c>
      <c r="AI520" s="8" t="str">
        <f t="shared" ca="1" si="272"/>
        <v>Upton - Kaycee 2/24/2023</v>
      </c>
      <c r="AJ520" s="8">
        <f ca="1">IFERROR(VLOOKUP(PlayerGameData[[#This Row],[School, Opponent,Game'#]],Table3[],2,FALSE),0)</f>
        <v>1</v>
      </c>
      <c r="AK520" s="8">
        <f ca="1">IF(PlayerGameData[[#This Row],[Visible]]=1,1,1000)</f>
        <v>1</v>
      </c>
      <c r="AL520" s="8">
        <f ca="1">RANK(PlayerGameData[[#This Row],[TL PTS]],PlayerGameData[TL PTS],0)+PlayerGameData[[#This Row],[VisibleOrder]]</f>
        <v>18</v>
      </c>
      <c r="AM520" s="8">
        <f ca="1">IF(COUNTIF(PlayerGameData[PointOrder],PlayerGameData[[#This Row],[PointOrder]])&gt;1,RANK(PlayerGameData[[#This Row],[FGA]],PlayerGameData[FGA],0)/100,0)+PlayerGameData[[#This Row],[PointOrder]]</f>
        <v>18.93</v>
      </c>
      <c r="AN520" s="8">
        <f ca="1">RANK(PlayerGameData[[#This Row],[PointTieBreak]],PlayerGameData[PointTieBreak],1)</f>
        <v>24</v>
      </c>
      <c r="AO520" s="8">
        <f ca="1">RANK(PlayerGameData[[#This Row],[REB]],PlayerGameData[REB],0)+PlayerGameData[[#This Row],[VisibleOrder]]</f>
        <v>79</v>
      </c>
      <c r="AP520" s="8">
        <f ca="1">IF(COUNTIF(PlayerGameData[REBOrder],PlayerGameData[[#This Row],[REBOrder]])&gt;1,PlayerGameData[[#This Row],[PointRank]]/100+PlayerGameData[[#This Row],[REBOrder]],PlayerGameData[[#This Row],[REBOrder]])</f>
        <v>79.239999999999995</v>
      </c>
      <c r="AQ520" s="8">
        <f ca="1">RANK(PlayerGameData[[#This Row],[REBTieBreak]],PlayerGameData[REBTieBreak],1)</f>
        <v>82</v>
      </c>
      <c r="AR520" s="8">
        <f ca="1">RANK(PlayerGameData[[#This Row],[AST]],PlayerGameData[AST],0)+PlayerGameData[[#This Row],[VisibleOrder]]</f>
        <v>39</v>
      </c>
      <c r="AS520" s="8">
        <f ca="1">IF(COUNTIF(PlayerGameData[ASTOrder],PlayerGameData[[#This Row],[ASTOrder]])&gt;1,PlayerGameData[[#This Row],[PointRank]]/100+PlayerGameData[[#This Row],[ASTOrder]],PlayerGameData[[#This Row],[ASTOrder]])</f>
        <v>39.24</v>
      </c>
      <c r="AT520" s="8">
        <f ca="1">RANK(PlayerGameData[[#This Row],[ASTTieBreak]],PlayerGameData[ASTTieBreak],1)</f>
        <v>41</v>
      </c>
      <c r="AU520" s="8">
        <f ca="1">RANK(PlayerGameData[[#This Row],[STL]],PlayerGameData[STL],0)+PlayerGameData[[#This Row],[VisibleOrder]]</f>
        <v>143</v>
      </c>
      <c r="AV520" s="8">
        <f ca="1">IF(COUNTIF(PlayerGameData[STLOrder],PlayerGameData[[#This Row],[STLOrder]])&gt;1,PlayerGameData[[#This Row],[PointRank]]/100+PlayerGameData[[#This Row],[STLOrder]],PlayerGameData[[#This Row],[STLOrder]])</f>
        <v>143.24</v>
      </c>
      <c r="AW520" s="8">
        <f ca="1">RANK(PlayerGameData[[#This Row],[STLTieBreak]],PlayerGameData[STLTieBreak],1)</f>
        <v>148</v>
      </c>
      <c r="AX520" s="8">
        <f ca="1">RANK(PlayerGameData[[#This Row],[BLK]],PlayerGameData[BLK],0)+PlayerGameData[[#This Row],[VisibleOrder]]</f>
        <v>32</v>
      </c>
      <c r="AY520" s="8">
        <f ca="1">IF(COUNTIF(PlayerGameData[BLKOrder],PlayerGameData[[#This Row],[BLKOrder]])&gt;1,PlayerGameData[[#This Row],[PointRank]]/100+PlayerGameData[[#This Row],[BLKOrder]],PlayerGameData[[#This Row],[BLKOrder]])</f>
        <v>32.24</v>
      </c>
      <c r="AZ520" s="8">
        <f ca="1">RANK(PlayerGameData[[#This Row],[BLKTieBreak]],PlayerGameData[BLKTieBreak],1)</f>
        <v>52</v>
      </c>
      <c r="BA520" s="11">
        <f ca="1">IFERROR(IF(PlayerGameData[[#This Row],[FGA]]&gt;$AA$5,PlayerGameData[[#This Row],[FG%*]],PlayerGameData[[#This Row],[FG%*]]*-1),-2)</f>
        <v>1</v>
      </c>
      <c r="BB520" s="8">
        <f ca="1">RANK(PlayerGameData[[#This Row],[EligFG]],PlayerGameData[EligFG],0)+PlayerGameData[[#This Row],[VisibleOrder]]</f>
        <v>2</v>
      </c>
      <c r="BC520" s="8">
        <f ca="1">IF(COUNTIF(PlayerGameData[EligFGOrder],PlayerGameData[[#This Row],[EligFGOrder]])&gt;1,PlayerGameData[[#This Row],[PointRank]]/100+PlayerGameData[[#This Row],[EligFGOrder]],PlayerGameData[[#This Row],[EligFGOrder]])</f>
        <v>2</v>
      </c>
      <c r="BD520" s="8">
        <f ca="1">RANK(PlayerGameData[[#This Row],[EligFGTieBreak]],PlayerGameData[EligFGTieBreak],1)</f>
        <v>1</v>
      </c>
      <c r="BE520" s="8" t="str">
        <f>Roster!$D$3</f>
        <v>East</v>
      </c>
      <c r="BF520" s="8" t="str">
        <f>Roster!$D$2</f>
        <v>Northeast</v>
      </c>
      <c r="BG520" s="8" t="str">
        <f>Roster!$D$4</f>
        <v>North</v>
      </c>
      <c r="BH520" s="197">
        <f ca="1">IFERROR(VLOOKUP(CONCATENATE(PlayerGameData[[#This Row],[Opponent]]," ",MONTH(PlayerGameData[[#This Row],[Date]]),"/",DAY(PlayerGameData[[#This Row],[Date]]),"/",YEAR(PlayerGameData[[#This Row],[Date]])),Table35[],2,FALSE),0)</f>
        <v>1</v>
      </c>
      <c r="BI520" s="197">
        <f ca="1">IF(PlayerGameData[[#This Row],[Visible]]=1,1,1000)</f>
        <v>1</v>
      </c>
      <c r="BJ520" s="197" t="e">
        <f ca="1">_xlfn.MAXIFS(TeamGameData[Win],TeamGameData[School, Opponent,Game'#],PlayerGameData[[#This Row],[School, Opponent,Game'#]])</f>
        <v>#NAME?</v>
      </c>
      <c r="BK520" s="197" t="e">
        <f ca="1">_xlfn.MAXIFS(TeamGameData[Loss],TeamGameData[School, Opponent,Game'#],PlayerGameData[[#This Row],[School, Opponent,Game'#]])</f>
        <v>#NAME?</v>
      </c>
    </row>
    <row r="521" spans="1:63" x14ac:dyDescent="0.25">
      <c r="A521" s="8" t="str">
        <f t="shared" ca="1" si="273"/>
        <v>Matt Stirmel, 33</v>
      </c>
      <c r="B521" s="8" t="str">
        <f>Roster!$B$1</f>
        <v>Upton</v>
      </c>
      <c r="C521" s="8" t="str">
        <f t="shared" ca="1" si="261"/>
        <v>Kaycee</v>
      </c>
      <c r="D521" s="10">
        <f t="shared" ca="1" si="262"/>
        <v>44981</v>
      </c>
      <c r="E521" s="8">
        <f t="shared" ca="1" si="263"/>
        <v>1</v>
      </c>
      <c r="F521" s="8">
        <f t="shared" ca="1" si="264"/>
        <v>0</v>
      </c>
      <c r="G521" s="8">
        <f t="shared" ca="1" si="265"/>
        <v>1</v>
      </c>
      <c r="H521" s="8">
        <f t="shared" ca="1" si="266"/>
        <v>0</v>
      </c>
      <c r="I521" s="8">
        <f t="shared" ca="1" si="267"/>
        <v>0</v>
      </c>
      <c r="J521" s="8">
        <f t="shared" ca="1" si="268"/>
        <v>0</v>
      </c>
      <c r="K521" s="8">
        <f t="shared" ca="1" si="269"/>
        <v>0</v>
      </c>
      <c r="L521" s="8">
        <f t="shared" ca="1" si="274"/>
        <v>0</v>
      </c>
      <c r="M521" s="8">
        <f t="shared" ca="1" si="275"/>
        <v>0</v>
      </c>
      <c r="N521" s="8">
        <f t="shared" ca="1" si="276"/>
        <v>0</v>
      </c>
      <c r="O521" s="8">
        <f t="shared" ca="1" si="277"/>
        <v>0</v>
      </c>
      <c r="P521" s="8">
        <f t="shared" ca="1" si="278"/>
        <v>0</v>
      </c>
      <c r="Q521" s="8">
        <f t="shared" ca="1" si="279"/>
        <v>0</v>
      </c>
      <c r="R521" s="8">
        <f t="shared" ca="1" si="280"/>
        <v>0</v>
      </c>
      <c r="S521" s="8">
        <f t="shared" ca="1" si="281"/>
        <v>1</v>
      </c>
      <c r="T521" s="8">
        <f t="shared" ca="1" si="282"/>
        <v>2</v>
      </c>
      <c r="U521" s="8">
        <f t="shared" ca="1" si="283"/>
        <v>0</v>
      </c>
      <c r="V521" s="8">
        <f t="shared" ca="1" si="284"/>
        <v>0</v>
      </c>
      <c r="W521" s="11" t="str">
        <f t="shared" ca="1" si="285"/>
        <v/>
      </c>
      <c r="X521" s="11" t="str">
        <f t="shared" ca="1" si="286"/>
        <v/>
      </c>
      <c r="Y521" s="11" t="str">
        <f t="shared" ca="1" si="287"/>
        <v/>
      </c>
      <c r="Z521" s="11" t="str">
        <f t="shared" ca="1" si="288"/>
        <v/>
      </c>
      <c r="AA521" s="11" t="str">
        <f t="shared" ca="1" si="289"/>
        <v/>
      </c>
      <c r="AB521" s="47">
        <f ca="1">PlayerGameData[[#This Row],[3FGA]]+PlayerGameData[[#This Row],[2FGA]]</f>
        <v>0</v>
      </c>
      <c r="AC521" s="47">
        <f ca="1">PlayerGameData[[#This Row],[OFF REB]]+PlayerGameData[[#This Row],[DEF REB]]</f>
        <v>0</v>
      </c>
      <c r="AD521" s="8">
        <f t="shared" si="270"/>
        <v>22</v>
      </c>
      <c r="AE521" s="8" t="str">
        <f t="shared" ca="1" si="271"/>
        <v>Matt Stirmel, 33 - Kaycee 2/24/2023</v>
      </c>
      <c r="AF521" s="8" t="str">
        <f t="shared" ca="1" si="290"/>
        <v>R</v>
      </c>
      <c r="AG521" s="8" t="str">
        <f ca="1">IFERROR(IF(C521=0,"",IF(AND(VLOOKUP(PlayerGameData[[#This Row],[Opponent]],WYTeamInfo,2,FALSE)=Roster!$D$1,VLOOKUP(PlayerGameData[[#This Row],[Opponent]],WYTeamInfo,3,FALSE)=Roster!$D$2),"SR","")),"")</f>
        <v>SR</v>
      </c>
      <c r="AH521" s="8" t="str">
        <f>CONCATENATE(Roster!$D$1," ",Roster!$D$5)</f>
        <v>1A BB</v>
      </c>
      <c r="AI521" s="8" t="str">
        <f t="shared" ca="1" si="272"/>
        <v>Upton - Kaycee 2/24/2023</v>
      </c>
      <c r="AJ521" s="8">
        <f ca="1">IFERROR(VLOOKUP(PlayerGameData[[#This Row],[School, Opponent,Game'#]],Table3[],2,FALSE),0)</f>
        <v>1</v>
      </c>
      <c r="AK521" s="8">
        <f ca="1">IF(PlayerGameData[[#This Row],[Visible]]=1,1,1000)</f>
        <v>1</v>
      </c>
      <c r="AL521" s="8">
        <f ca="1">RANK(PlayerGameData[[#This Row],[TL PTS]],PlayerGameData[TL PTS],0)+PlayerGameData[[#This Row],[VisibleOrder]]</f>
        <v>185</v>
      </c>
      <c r="AM521" s="8">
        <f ca="1">IF(COUNTIF(PlayerGameData[PointOrder],PlayerGameData[[#This Row],[PointOrder]])&gt;1,RANK(PlayerGameData[[#This Row],[FGA]],PlayerGameData[FGA],0)/100,0)+PlayerGameData[[#This Row],[PointOrder]]</f>
        <v>187.14</v>
      </c>
      <c r="AN521" s="8">
        <f ca="1">RANK(PlayerGameData[[#This Row],[PointTieBreak]],PlayerGameData[PointTieBreak],1)</f>
        <v>216</v>
      </c>
      <c r="AO521" s="8">
        <f ca="1">RANK(PlayerGameData[[#This Row],[REB]],PlayerGameData[REB],0)+PlayerGameData[[#This Row],[VisibleOrder]]</f>
        <v>192</v>
      </c>
      <c r="AP521" s="8">
        <f ca="1">IF(COUNTIF(PlayerGameData[REBOrder],PlayerGameData[[#This Row],[REBOrder]])&gt;1,PlayerGameData[[#This Row],[PointRank]]/100+PlayerGameData[[#This Row],[REBOrder]],PlayerGameData[[#This Row],[REBOrder]])</f>
        <v>194.16</v>
      </c>
      <c r="AQ521" s="8">
        <f ca="1">RANK(PlayerGameData[[#This Row],[REBTieBreak]],PlayerGameData[REBTieBreak],1)</f>
        <v>224</v>
      </c>
      <c r="AR521" s="8">
        <f ca="1">RANK(PlayerGameData[[#This Row],[AST]],PlayerGameData[AST],0)+PlayerGameData[[#This Row],[VisibleOrder]]</f>
        <v>158</v>
      </c>
      <c r="AS521" s="8">
        <f ca="1">IF(COUNTIF(PlayerGameData[ASTOrder],PlayerGameData[[#This Row],[ASTOrder]])&gt;1,PlayerGameData[[#This Row],[PointRank]]/100+PlayerGameData[[#This Row],[ASTOrder]],PlayerGameData[[#This Row],[ASTOrder]])</f>
        <v>160.16</v>
      </c>
      <c r="AT521" s="8">
        <f ca="1">RANK(PlayerGameData[[#This Row],[ASTTieBreak]],PlayerGameData[ASTTieBreak],1)</f>
        <v>221</v>
      </c>
      <c r="AU521" s="8">
        <f ca="1">RANK(PlayerGameData[[#This Row],[STL]],PlayerGameData[STL],0)+PlayerGameData[[#This Row],[VisibleOrder]]</f>
        <v>143</v>
      </c>
      <c r="AV521" s="8">
        <f ca="1">IF(COUNTIF(PlayerGameData[STLOrder],PlayerGameData[[#This Row],[STLOrder]])&gt;1,PlayerGameData[[#This Row],[PointRank]]/100+PlayerGameData[[#This Row],[STLOrder]],PlayerGameData[[#This Row],[STLOrder]])</f>
        <v>145.16</v>
      </c>
      <c r="AW521" s="8">
        <f ca="1">RANK(PlayerGameData[[#This Row],[STLTieBreak]],PlayerGameData[STLTieBreak],1)</f>
        <v>217</v>
      </c>
      <c r="AX521" s="8">
        <f ca="1">RANK(PlayerGameData[[#This Row],[BLK]],PlayerGameData[BLK],0)+PlayerGameData[[#This Row],[VisibleOrder]]</f>
        <v>32</v>
      </c>
      <c r="AY521" s="8">
        <f ca="1">IF(COUNTIF(PlayerGameData[BLKOrder],PlayerGameData[[#This Row],[BLKOrder]])&gt;1,PlayerGameData[[#This Row],[PointRank]]/100+PlayerGameData[[#This Row],[BLKOrder]],PlayerGameData[[#This Row],[BLKOrder]])</f>
        <v>34.159999999999997</v>
      </c>
      <c r="AZ521" s="8">
        <f ca="1">RANK(PlayerGameData[[#This Row],[BLKTieBreak]],PlayerGameData[BLKTieBreak],1)</f>
        <v>216</v>
      </c>
      <c r="BA521" s="11">
        <f ca="1">IFERROR(IF(PlayerGameData[[#This Row],[FGA]]&gt;$AA$5,PlayerGameData[[#This Row],[FG%*]],PlayerGameData[[#This Row],[FG%*]]*-1),-2)</f>
        <v>-2</v>
      </c>
      <c r="BB521" s="8">
        <f ca="1">RANK(PlayerGameData[[#This Row],[EligFG]],PlayerGameData[EligFG],0)+PlayerGameData[[#This Row],[VisibleOrder]]</f>
        <v>215</v>
      </c>
      <c r="BC521" s="8">
        <f ca="1">IF(COUNTIF(PlayerGameData[EligFGOrder],PlayerGameData[[#This Row],[EligFGOrder]])&gt;1,PlayerGameData[[#This Row],[PointRank]]/100+PlayerGameData[[#This Row],[EligFGOrder]],PlayerGameData[[#This Row],[EligFGOrder]])</f>
        <v>217.16</v>
      </c>
      <c r="BD521" s="8">
        <f ca="1">RANK(PlayerGameData[[#This Row],[EligFGTieBreak]],PlayerGameData[EligFGTieBreak],1)</f>
        <v>216</v>
      </c>
      <c r="BE521" s="8" t="str">
        <f>Roster!$D$3</f>
        <v>East</v>
      </c>
      <c r="BF521" s="8" t="str">
        <f>Roster!$D$2</f>
        <v>Northeast</v>
      </c>
      <c r="BG521" s="8" t="str">
        <f>Roster!$D$4</f>
        <v>North</v>
      </c>
      <c r="BH521" s="197">
        <f ca="1">IFERROR(VLOOKUP(CONCATENATE(PlayerGameData[[#This Row],[Opponent]]," ",MONTH(PlayerGameData[[#This Row],[Date]]),"/",DAY(PlayerGameData[[#This Row],[Date]]),"/",YEAR(PlayerGameData[[#This Row],[Date]])),Table35[],2,FALSE),0)</f>
        <v>1</v>
      </c>
      <c r="BI521" s="197">
        <f ca="1">IF(PlayerGameData[[#This Row],[Visible]]=1,1,1000)</f>
        <v>1</v>
      </c>
      <c r="BJ521" s="197" t="e">
        <f ca="1">_xlfn.MAXIFS(TeamGameData[Win],TeamGameData[School, Opponent,Game'#],PlayerGameData[[#This Row],[School, Opponent,Game'#]])</f>
        <v>#NAME?</v>
      </c>
      <c r="BK521" s="197" t="e">
        <f ca="1">_xlfn.MAXIFS(TeamGameData[Loss],TeamGameData[School, Opponent,Game'#],PlayerGameData[[#This Row],[School, Opponent,Game'#]])</f>
        <v>#NAME?</v>
      </c>
    </row>
    <row r="522" spans="1:63" x14ac:dyDescent="0.25">
      <c r="A522" s="8" t="str">
        <f t="shared" ca="1" si="273"/>
        <v>Jacob McNutt, 34</v>
      </c>
      <c r="B522" s="8" t="str">
        <f>Roster!$B$1</f>
        <v>Upton</v>
      </c>
      <c r="C522" s="8" t="str">
        <f t="shared" ca="1" si="261"/>
        <v>Kaycee</v>
      </c>
      <c r="D522" s="10">
        <f t="shared" ca="1" si="262"/>
        <v>44981</v>
      </c>
      <c r="E522" s="8">
        <f t="shared" ca="1" si="263"/>
        <v>1</v>
      </c>
      <c r="F522" s="8">
        <f t="shared" ca="1" si="264"/>
        <v>0</v>
      </c>
      <c r="G522" s="8">
        <f t="shared" ca="1" si="265"/>
        <v>1</v>
      </c>
      <c r="H522" s="8">
        <f t="shared" ca="1" si="266"/>
        <v>0</v>
      </c>
      <c r="I522" s="8">
        <f t="shared" ca="1" si="267"/>
        <v>0</v>
      </c>
      <c r="J522" s="8">
        <f t="shared" ca="1" si="268"/>
        <v>0</v>
      </c>
      <c r="K522" s="8">
        <f t="shared" ca="1" si="269"/>
        <v>0</v>
      </c>
      <c r="L522" s="8">
        <f t="shared" ca="1" si="274"/>
        <v>0</v>
      </c>
      <c r="M522" s="8">
        <f t="shared" ca="1" si="275"/>
        <v>0</v>
      </c>
      <c r="N522" s="8">
        <f t="shared" ca="1" si="276"/>
        <v>0</v>
      </c>
      <c r="O522" s="8">
        <f t="shared" ca="1" si="277"/>
        <v>0</v>
      </c>
      <c r="P522" s="8">
        <f t="shared" ca="1" si="278"/>
        <v>0</v>
      </c>
      <c r="Q522" s="8">
        <f t="shared" ca="1" si="279"/>
        <v>0</v>
      </c>
      <c r="R522" s="8">
        <f t="shared" ca="1" si="280"/>
        <v>0</v>
      </c>
      <c r="S522" s="8">
        <f t="shared" ca="1" si="281"/>
        <v>0</v>
      </c>
      <c r="T522" s="8">
        <f t="shared" ca="1" si="282"/>
        <v>0</v>
      </c>
      <c r="U522" s="8">
        <f t="shared" ca="1" si="283"/>
        <v>0</v>
      </c>
      <c r="V522" s="8">
        <f t="shared" ca="1" si="284"/>
        <v>0</v>
      </c>
      <c r="W522" s="11" t="str">
        <f t="shared" ca="1" si="285"/>
        <v/>
      </c>
      <c r="X522" s="11" t="str">
        <f t="shared" ca="1" si="286"/>
        <v/>
      </c>
      <c r="Y522" s="11" t="str">
        <f t="shared" ca="1" si="287"/>
        <v/>
      </c>
      <c r="Z522" s="11" t="str">
        <f t="shared" ca="1" si="288"/>
        <v/>
      </c>
      <c r="AA522" s="11" t="str">
        <f t="shared" ca="1" si="289"/>
        <v/>
      </c>
      <c r="AB522" s="47">
        <f ca="1">PlayerGameData[[#This Row],[3FGA]]+PlayerGameData[[#This Row],[2FGA]]</f>
        <v>0</v>
      </c>
      <c r="AC522" s="47">
        <f ca="1">PlayerGameData[[#This Row],[OFF REB]]+PlayerGameData[[#This Row],[DEF REB]]</f>
        <v>0</v>
      </c>
      <c r="AD522" s="8">
        <f t="shared" si="270"/>
        <v>22</v>
      </c>
      <c r="AE522" s="8" t="str">
        <f t="shared" ca="1" si="271"/>
        <v>Jacob McNutt, 34 - Kaycee 2/24/2023</v>
      </c>
      <c r="AF522" s="8" t="str">
        <f t="shared" ca="1" si="290"/>
        <v>R</v>
      </c>
      <c r="AG522" s="8" t="str">
        <f ca="1">IFERROR(IF(C522=0,"",IF(AND(VLOOKUP(PlayerGameData[[#This Row],[Opponent]],WYTeamInfo,2,FALSE)=Roster!$D$1,VLOOKUP(PlayerGameData[[#This Row],[Opponent]],WYTeamInfo,3,FALSE)=Roster!$D$2),"SR","")),"")</f>
        <v>SR</v>
      </c>
      <c r="AH522" s="8" t="str">
        <f>CONCATENATE(Roster!$D$1," ",Roster!$D$5)</f>
        <v>1A BB</v>
      </c>
      <c r="AI522" s="8" t="str">
        <f t="shared" ca="1" si="272"/>
        <v>Upton - Kaycee 2/24/2023</v>
      </c>
      <c r="AJ522" s="8">
        <f ca="1">IFERROR(VLOOKUP(PlayerGameData[[#This Row],[School, Opponent,Game'#]],Table3[],2,FALSE),0)</f>
        <v>1</v>
      </c>
      <c r="AK522" s="8">
        <f ca="1">IF(PlayerGameData[[#This Row],[Visible]]=1,1,1000)</f>
        <v>1</v>
      </c>
      <c r="AL522" s="8">
        <f ca="1">RANK(PlayerGameData[[#This Row],[TL PTS]],PlayerGameData[TL PTS],0)+PlayerGameData[[#This Row],[VisibleOrder]]</f>
        <v>185</v>
      </c>
      <c r="AM522" s="8">
        <f ca="1">IF(COUNTIF(PlayerGameData[PointOrder],PlayerGameData[[#This Row],[PointOrder]])&gt;1,RANK(PlayerGameData[[#This Row],[FGA]],PlayerGameData[FGA],0)/100,0)+PlayerGameData[[#This Row],[PointOrder]]</f>
        <v>187.14</v>
      </c>
      <c r="AN522" s="8">
        <f ca="1">RANK(PlayerGameData[[#This Row],[PointTieBreak]],PlayerGameData[PointTieBreak],1)</f>
        <v>216</v>
      </c>
      <c r="AO522" s="8">
        <f ca="1">RANK(PlayerGameData[[#This Row],[REB]],PlayerGameData[REB],0)+PlayerGameData[[#This Row],[VisibleOrder]]</f>
        <v>192</v>
      </c>
      <c r="AP522" s="8">
        <f ca="1">IF(COUNTIF(PlayerGameData[REBOrder],PlayerGameData[[#This Row],[REBOrder]])&gt;1,PlayerGameData[[#This Row],[PointRank]]/100+PlayerGameData[[#This Row],[REBOrder]],PlayerGameData[[#This Row],[REBOrder]])</f>
        <v>194.16</v>
      </c>
      <c r="AQ522" s="8">
        <f ca="1">RANK(PlayerGameData[[#This Row],[REBTieBreak]],PlayerGameData[REBTieBreak],1)</f>
        <v>224</v>
      </c>
      <c r="AR522" s="8">
        <f ca="1">RANK(PlayerGameData[[#This Row],[AST]],PlayerGameData[AST],0)+PlayerGameData[[#This Row],[VisibleOrder]]</f>
        <v>158</v>
      </c>
      <c r="AS522" s="8">
        <f ca="1">IF(COUNTIF(PlayerGameData[ASTOrder],PlayerGameData[[#This Row],[ASTOrder]])&gt;1,PlayerGameData[[#This Row],[PointRank]]/100+PlayerGameData[[#This Row],[ASTOrder]],PlayerGameData[[#This Row],[ASTOrder]])</f>
        <v>160.16</v>
      </c>
      <c r="AT522" s="8">
        <f ca="1">RANK(PlayerGameData[[#This Row],[ASTTieBreak]],PlayerGameData[ASTTieBreak],1)</f>
        <v>221</v>
      </c>
      <c r="AU522" s="8">
        <f ca="1">RANK(PlayerGameData[[#This Row],[STL]],PlayerGameData[STL],0)+PlayerGameData[[#This Row],[VisibleOrder]]</f>
        <v>143</v>
      </c>
      <c r="AV522" s="8">
        <f ca="1">IF(COUNTIF(PlayerGameData[STLOrder],PlayerGameData[[#This Row],[STLOrder]])&gt;1,PlayerGameData[[#This Row],[PointRank]]/100+PlayerGameData[[#This Row],[STLOrder]],PlayerGameData[[#This Row],[STLOrder]])</f>
        <v>145.16</v>
      </c>
      <c r="AW522" s="8">
        <f ca="1">RANK(PlayerGameData[[#This Row],[STLTieBreak]],PlayerGameData[STLTieBreak],1)</f>
        <v>217</v>
      </c>
      <c r="AX522" s="8">
        <f ca="1">RANK(PlayerGameData[[#This Row],[BLK]],PlayerGameData[BLK],0)+PlayerGameData[[#This Row],[VisibleOrder]]</f>
        <v>32</v>
      </c>
      <c r="AY522" s="8">
        <f ca="1">IF(COUNTIF(PlayerGameData[BLKOrder],PlayerGameData[[#This Row],[BLKOrder]])&gt;1,PlayerGameData[[#This Row],[PointRank]]/100+PlayerGameData[[#This Row],[BLKOrder]],PlayerGameData[[#This Row],[BLKOrder]])</f>
        <v>34.159999999999997</v>
      </c>
      <c r="AZ522" s="8">
        <f ca="1">RANK(PlayerGameData[[#This Row],[BLKTieBreak]],PlayerGameData[BLKTieBreak],1)</f>
        <v>216</v>
      </c>
      <c r="BA522" s="11">
        <f ca="1">IFERROR(IF(PlayerGameData[[#This Row],[FGA]]&gt;$AA$5,PlayerGameData[[#This Row],[FG%*]],PlayerGameData[[#This Row],[FG%*]]*-1),-2)</f>
        <v>-2</v>
      </c>
      <c r="BB522" s="8">
        <f ca="1">RANK(PlayerGameData[[#This Row],[EligFG]],PlayerGameData[EligFG],0)+PlayerGameData[[#This Row],[VisibleOrder]]</f>
        <v>215</v>
      </c>
      <c r="BC522" s="8">
        <f ca="1">IF(COUNTIF(PlayerGameData[EligFGOrder],PlayerGameData[[#This Row],[EligFGOrder]])&gt;1,PlayerGameData[[#This Row],[PointRank]]/100+PlayerGameData[[#This Row],[EligFGOrder]],PlayerGameData[[#This Row],[EligFGOrder]])</f>
        <v>217.16</v>
      </c>
      <c r="BD522" s="8">
        <f ca="1">RANK(PlayerGameData[[#This Row],[EligFGTieBreak]],PlayerGameData[EligFGTieBreak],1)</f>
        <v>216</v>
      </c>
      <c r="BE522" s="8" t="str">
        <f>Roster!$D$3</f>
        <v>East</v>
      </c>
      <c r="BF522" s="8" t="str">
        <f>Roster!$D$2</f>
        <v>Northeast</v>
      </c>
      <c r="BG522" s="8" t="str">
        <f>Roster!$D$4</f>
        <v>North</v>
      </c>
      <c r="BH522" s="197">
        <f ca="1">IFERROR(VLOOKUP(CONCATENATE(PlayerGameData[[#This Row],[Opponent]]," ",MONTH(PlayerGameData[[#This Row],[Date]]),"/",DAY(PlayerGameData[[#This Row],[Date]]),"/",YEAR(PlayerGameData[[#This Row],[Date]])),Table35[],2,FALSE),0)</f>
        <v>1</v>
      </c>
      <c r="BI522" s="197">
        <f ca="1">IF(PlayerGameData[[#This Row],[Visible]]=1,1,1000)</f>
        <v>1</v>
      </c>
      <c r="BJ522" s="197" t="e">
        <f ca="1">_xlfn.MAXIFS(TeamGameData[Win],TeamGameData[School, Opponent,Game'#],PlayerGameData[[#This Row],[School, Opponent,Game'#]])</f>
        <v>#NAME?</v>
      </c>
      <c r="BK522" s="197" t="e">
        <f ca="1">_xlfn.MAXIFS(TeamGameData[Loss],TeamGameData[School, Opponent,Game'#],PlayerGameData[[#This Row],[School, Opponent,Game'#]])</f>
        <v>#NAME?</v>
      </c>
    </row>
    <row r="523" spans="1:63" x14ac:dyDescent="0.25">
      <c r="A523" s="8" t="str">
        <f t="shared" ca="1" si="273"/>
        <v>Ryan Baker, 35</v>
      </c>
      <c r="B523" s="8" t="str">
        <f>Roster!$B$1</f>
        <v>Upton</v>
      </c>
      <c r="C523" s="8" t="str">
        <f t="shared" ca="1" si="261"/>
        <v>Kaycee</v>
      </c>
      <c r="D523" s="10">
        <f t="shared" ca="1" si="262"/>
        <v>44981</v>
      </c>
      <c r="E523" s="8">
        <f t="shared" ca="1" si="263"/>
        <v>1</v>
      </c>
      <c r="F523" s="8">
        <f t="shared" ca="1" si="264"/>
        <v>0</v>
      </c>
      <c r="G523" s="8">
        <f t="shared" ca="1" si="265"/>
        <v>11</v>
      </c>
      <c r="H523" s="8">
        <f t="shared" ca="1" si="266"/>
        <v>0</v>
      </c>
      <c r="I523" s="8">
        <f t="shared" ca="1" si="267"/>
        <v>0</v>
      </c>
      <c r="J523" s="8">
        <f t="shared" ca="1" si="268"/>
        <v>0</v>
      </c>
      <c r="K523" s="8">
        <f t="shared" ca="1" si="269"/>
        <v>0</v>
      </c>
      <c r="L523" s="8">
        <f t="shared" ca="1" si="274"/>
        <v>2</v>
      </c>
      <c r="M523" s="8">
        <f t="shared" ca="1" si="275"/>
        <v>2</v>
      </c>
      <c r="N523" s="8">
        <f t="shared" ca="1" si="276"/>
        <v>1</v>
      </c>
      <c r="O523" s="8">
        <f t="shared" ca="1" si="277"/>
        <v>1</v>
      </c>
      <c r="P523" s="8">
        <f t="shared" ca="1" si="278"/>
        <v>2</v>
      </c>
      <c r="Q523" s="8">
        <f t="shared" ca="1" si="279"/>
        <v>1</v>
      </c>
      <c r="R523" s="8">
        <f t="shared" ca="1" si="280"/>
        <v>0</v>
      </c>
      <c r="S523" s="8">
        <f t="shared" ca="1" si="281"/>
        <v>1</v>
      </c>
      <c r="T523" s="8">
        <f t="shared" ca="1" si="282"/>
        <v>0</v>
      </c>
      <c r="U523" s="8">
        <f t="shared" ca="1" si="283"/>
        <v>0</v>
      </c>
      <c r="V523" s="8">
        <f t="shared" ca="1" si="284"/>
        <v>2</v>
      </c>
      <c r="W523" s="11" t="str">
        <f t="shared" ca="1" si="285"/>
        <v/>
      </c>
      <c r="X523" s="11" t="str">
        <f t="shared" ca="1" si="286"/>
        <v/>
      </c>
      <c r="Y523" s="11">
        <f t="shared" ca="1" si="287"/>
        <v>1</v>
      </c>
      <c r="Z523" s="11" t="str">
        <f t="shared" ca="1" si="288"/>
        <v/>
      </c>
      <c r="AA523" s="11" t="str">
        <f t="shared" ca="1" si="289"/>
        <v/>
      </c>
      <c r="AB523" s="47">
        <f ca="1">PlayerGameData[[#This Row],[3FGA]]+PlayerGameData[[#This Row],[2FGA]]</f>
        <v>0</v>
      </c>
      <c r="AC523" s="47">
        <f ca="1">PlayerGameData[[#This Row],[OFF REB]]+PlayerGameData[[#This Row],[DEF REB]]</f>
        <v>2</v>
      </c>
      <c r="AD523" s="8">
        <f t="shared" si="270"/>
        <v>22</v>
      </c>
      <c r="AE523" s="8" t="str">
        <f t="shared" ca="1" si="271"/>
        <v>Ryan Baker, 35 - Kaycee 2/24/2023</v>
      </c>
      <c r="AF523" s="8" t="str">
        <f t="shared" ca="1" si="290"/>
        <v>R</v>
      </c>
      <c r="AG523" s="8" t="str">
        <f ca="1">IFERROR(IF(C523=0,"",IF(AND(VLOOKUP(PlayerGameData[[#This Row],[Opponent]],WYTeamInfo,2,FALSE)=Roster!$D$1,VLOOKUP(PlayerGameData[[#This Row],[Opponent]],WYTeamInfo,3,FALSE)=Roster!$D$2),"SR","")),"")</f>
        <v>SR</v>
      </c>
      <c r="AH523" s="8" t="str">
        <f>CONCATENATE(Roster!$D$1," ",Roster!$D$5)</f>
        <v>1A BB</v>
      </c>
      <c r="AI523" s="8" t="str">
        <f t="shared" ca="1" si="272"/>
        <v>Upton - Kaycee 2/24/2023</v>
      </c>
      <c r="AJ523" s="8">
        <f ca="1">IFERROR(VLOOKUP(PlayerGameData[[#This Row],[School, Opponent,Game'#]],Table3[],2,FALSE),0)</f>
        <v>1</v>
      </c>
      <c r="AK523" s="8">
        <f ca="1">IF(PlayerGameData[[#This Row],[Visible]]=1,1,1000)</f>
        <v>1</v>
      </c>
      <c r="AL523" s="8">
        <f ca="1">RANK(PlayerGameData[[#This Row],[TL PTS]],PlayerGameData[TL PTS],0)+PlayerGameData[[#This Row],[VisibleOrder]]</f>
        <v>152</v>
      </c>
      <c r="AM523" s="8">
        <f ca="1">IF(COUNTIF(PlayerGameData[PointOrder],PlayerGameData[[#This Row],[PointOrder]])&gt;1,RANK(PlayerGameData[[#This Row],[FGA]],PlayerGameData[FGA],0)/100,0)+PlayerGameData[[#This Row],[PointOrder]]</f>
        <v>154.13999999999999</v>
      </c>
      <c r="AN523" s="8">
        <f ca="1">RANK(PlayerGameData[[#This Row],[PointTieBreak]],PlayerGameData[PointTieBreak],1)</f>
        <v>174</v>
      </c>
      <c r="AO523" s="8">
        <f ca="1">RANK(PlayerGameData[[#This Row],[REB]],PlayerGameData[REB],0)+PlayerGameData[[#This Row],[VisibleOrder]]</f>
        <v>137</v>
      </c>
      <c r="AP523" s="8">
        <f ca="1">IF(COUNTIF(PlayerGameData[REBOrder],PlayerGameData[[#This Row],[REBOrder]])&gt;1,PlayerGameData[[#This Row],[PointRank]]/100+PlayerGameData[[#This Row],[REBOrder]],PlayerGameData[[#This Row],[REBOrder]])</f>
        <v>138.74</v>
      </c>
      <c r="AQ523" s="8">
        <f ca="1">RANK(PlayerGameData[[#This Row],[REBTieBreak]],PlayerGameData[REBTieBreak],1)</f>
        <v>154</v>
      </c>
      <c r="AR523" s="8">
        <f ca="1">RANK(PlayerGameData[[#This Row],[AST]],PlayerGameData[AST],0)+PlayerGameData[[#This Row],[VisibleOrder]]</f>
        <v>69</v>
      </c>
      <c r="AS523" s="8">
        <f ca="1">IF(COUNTIF(PlayerGameData[ASTOrder],PlayerGameData[[#This Row],[ASTOrder]])&gt;1,PlayerGameData[[#This Row],[PointRank]]/100+PlayerGameData[[#This Row],[ASTOrder]],PlayerGameData[[#This Row],[ASTOrder]])</f>
        <v>70.739999999999995</v>
      </c>
      <c r="AT523" s="8">
        <f ca="1">RANK(PlayerGameData[[#This Row],[ASTTieBreak]],PlayerGameData[ASTTieBreak],1)</f>
        <v>110</v>
      </c>
      <c r="AU523" s="8">
        <f ca="1">RANK(PlayerGameData[[#This Row],[STL]],PlayerGameData[STL],0)+PlayerGameData[[#This Row],[VisibleOrder]]</f>
        <v>84</v>
      </c>
      <c r="AV523" s="8">
        <f ca="1">IF(COUNTIF(PlayerGameData[STLOrder],PlayerGameData[[#This Row],[STLOrder]])&gt;1,PlayerGameData[[#This Row],[PointRank]]/100+PlayerGameData[[#This Row],[STLOrder]],PlayerGameData[[#This Row],[STLOrder]])</f>
        <v>85.74</v>
      </c>
      <c r="AW523" s="8">
        <f ca="1">RANK(PlayerGameData[[#This Row],[STLTieBreak]],PlayerGameData[STLTieBreak],1)</f>
        <v>132</v>
      </c>
      <c r="AX523" s="8">
        <f ca="1">RANK(PlayerGameData[[#This Row],[BLK]],PlayerGameData[BLK],0)+PlayerGameData[[#This Row],[VisibleOrder]]</f>
        <v>32</v>
      </c>
      <c r="AY523" s="8">
        <f ca="1">IF(COUNTIF(PlayerGameData[BLKOrder],PlayerGameData[[#This Row],[BLKOrder]])&gt;1,PlayerGameData[[#This Row],[PointRank]]/100+PlayerGameData[[#This Row],[BLKOrder]],PlayerGameData[[#This Row],[BLKOrder]])</f>
        <v>33.74</v>
      </c>
      <c r="AZ523" s="8">
        <f ca="1">RANK(PlayerGameData[[#This Row],[BLKTieBreak]],PlayerGameData[BLKTieBreak],1)</f>
        <v>175</v>
      </c>
      <c r="BA523" s="11">
        <f ca="1">IFERROR(IF(PlayerGameData[[#This Row],[FGA]]&gt;$AA$5,PlayerGameData[[#This Row],[FG%*]],PlayerGameData[[#This Row],[FG%*]]*-1),-2)</f>
        <v>-2</v>
      </c>
      <c r="BB523" s="8">
        <f ca="1">RANK(PlayerGameData[[#This Row],[EligFG]],PlayerGameData[EligFG],0)+PlayerGameData[[#This Row],[VisibleOrder]]</f>
        <v>215</v>
      </c>
      <c r="BC523" s="8">
        <f ca="1">IF(COUNTIF(PlayerGameData[EligFGOrder],PlayerGameData[[#This Row],[EligFGOrder]])&gt;1,PlayerGameData[[#This Row],[PointRank]]/100+PlayerGameData[[#This Row],[EligFGOrder]],PlayerGameData[[#This Row],[EligFGOrder]])</f>
        <v>216.74</v>
      </c>
      <c r="BD523" s="8">
        <f ca="1">RANK(PlayerGameData[[#This Row],[EligFGTieBreak]],PlayerGameData[EligFGTieBreak],1)</f>
        <v>214</v>
      </c>
      <c r="BE523" s="8" t="str">
        <f>Roster!$D$3</f>
        <v>East</v>
      </c>
      <c r="BF523" s="8" t="str">
        <f>Roster!$D$2</f>
        <v>Northeast</v>
      </c>
      <c r="BG523" s="8" t="str">
        <f>Roster!$D$4</f>
        <v>North</v>
      </c>
      <c r="BH523" s="197">
        <f ca="1">IFERROR(VLOOKUP(CONCATENATE(PlayerGameData[[#This Row],[Opponent]]," ",MONTH(PlayerGameData[[#This Row],[Date]]),"/",DAY(PlayerGameData[[#This Row],[Date]]),"/",YEAR(PlayerGameData[[#This Row],[Date]])),Table35[],2,FALSE),0)</f>
        <v>1</v>
      </c>
      <c r="BI523" s="197">
        <f ca="1">IF(PlayerGameData[[#This Row],[Visible]]=1,1,1000)</f>
        <v>1</v>
      </c>
      <c r="BJ523" s="197" t="e">
        <f ca="1">_xlfn.MAXIFS(TeamGameData[Win],TeamGameData[School, Opponent,Game'#],PlayerGameData[[#This Row],[School, Opponent,Game'#]])</f>
        <v>#NAME?</v>
      </c>
      <c r="BK523" s="197" t="e">
        <f ca="1">_xlfn.MAXIFS(TeamGameData[Loss],TeamGameData[School, Opponent,Game'#],PlayerGameData[[#This Row],[School, Opponent,Game'#]])</f>
        <v>#NAME?</v>
      </c>
    </row>
    <row r="524" spans="1:63" x14ac:dyDescent="0.25">
      <c r="A524" s="8" t="str">
        <f t="shared" ca="1" si="273"/>
        <v xml:space="preserve">, </v>
      </c>
      <c r="B524" s="8" t="str">
        <f>Roster!$B$1</f>
        <v>Upton</v>
      </c>
      <c r="C524" s="8" t="str">
        <f t="shared" ca="1" si="261"/>
        <v>Kaycee</v>
      </c>
      <c r="D524" s="10">
        <f t="shared" ca="1" si="262"/>
        <v>44981</v>
      </c>
      <c r="E524" s="8">
        <f t="shared" ca="1" si="263"/>
        <v>0</v>
      </c>
      <c r="F524" s="8">
        <f t="shared" ca="1" si="264"/>
        <v>0</v>
      </c>
      <c r="G524" s="8">
        <f t="shared" ca="1" si="265"/>
        <v>0</v>
      </c>
      <c r="H524" s="8">
        <f t="shared" ca="1" si="266"/>
        <v>0</v>
      </c>
      <c r="I524" s="8">
        <f t="shared" ca="1" si="267"/>
        <v>0</v>
      </c>
      <c r="J524" s="8">
        <f t="shared" ca="1" si="268"/>
        <v>0</v>
      </c>
      <c r="K524" s="8">
        <f t="shared" ca="1" si="269"/>
        <v>0</v>
      </c>
      <c r="L524" s="8">
        <f t="shared" ca="1" si="274"/>
        <v>0</v>
      </c>
      <c r="M524" s="8">
        <f t="shared" ca="1" si="275"/>
        <v>0</v>
      </c>
      <c r="N524" s="8">
        <f t="shared" ca="1" si="276"/>
        <v>0</v>
      </c>
      <c r="O524" s="8">
        <f t="shared" ca="1" si="277"/>
        <v>0</v>
      </c>
      <c r="P524" s="8">
        <f t="shared" ca="1" si="278"/>
        <v>0</v>
      </c>
      <c r="Q524" s="8">
        <f t="shared" ca="1" si="279"/>
        <v>0</v>
      </c>
      <c r="R524" s="8">
        <f t="shared" ca="1" si="280"/>
        <v>0</v>
      </c>
      <c r="S524" s="8">
        <f t="shared" ca="1" si="281"/>
        <v>0</v>
      </c>
      <c r="T524" s="8">
        <f t="shared" ca="1" si="282"/>
        <v>0</v>
      </c>
      <c r="U524" s="8">
        <f t="shared" ca="1" si="283"/>
        <v>0</v>
      </c>
      <c r="V524" s="8">
        <f t="shared" ca="1" si="284"/>
        <v>0</v>
      </c>
      <c r="W524" s="11" t="str">
        <f t="shared" ca="1" si="285"/>
        <v/>
      </c>
      <c r="X524" s="11" t="str">
        <f t="shared" ca="1" si="286"/>
        <v/>
      </c>
      <c r="Y524" s="11" t="str">
        <f t="shared" ca="1" si="287"/>
        <v/>
      </c>
      <c r="Z524" s="11" t="str">
        <f t="shared" ca="1" si="288"/>
        <v/>
      </c>
      <c r="AA524" s="11" t="str">
        <f t="shared" ca="1" si="289"/>
        <v/>
      </c>
      <c r="AB524" s="47">
        <f ca="1">PlayerGameData[[#This Row],[3FGA]]+PlayerGameData[[#This Row],[2FGA]]</f>
        <v>0</v>
      </c>
      <c r="AC524" s="47">
        <f ca="1">PlayerGameData[[#This Row],[OFF REB]]+PlayerGameData[[#This Row],[DEF REB]]</f>
        <v>0</v>
      </c>
      <c r="AD524" s="8">
        <f t="shared" si="270"/>
        <v>22</v>
      </c>
      <c r="AE524" s="8" t="str">
        <f t="shared" ca="1" si="271"/>
        <v>,  - Kaycee 2/24/2023</v>
      </c>
      <c r="AF524" s="8" t="str">
        <f t="shared" ca="1" si="290"/>
        <v>R</v>
      </c>
      <c r="AG524" s="8" t="str">
        <f ca="1">IFERROR(IF(C524=0,"",IF(AND(VLOOKUP(PlayerGameData[[#This Row],[Opponent]],WYTeamInfo,2,FALSE)=Roster!$D$1,VLOOKUP(PlayerGameData[[#This Row],[Opponent]],WYTeamInfo,3,FALSE)=Roster!$D$2),"SR","")),"")</f>
        <v>SR</v>
      </c>
      <c r="AH524" s="8" t="str">
        <f>CONCATENATE(Roster!$D$1," ",Roster!$D$5)</f>
        <v>1A BB</v>
      </c>
      <c r="AI524" s="8" t="str">
        <f t="shared" ca="1" si="272"/>
        <v>Upton - Kaycee 2/24/2023</v>
      </c>
      <c r="AJ524" s="8">
        <f ca="1">IFERROR(VLOOKUP(PlayerGameData[[#This Row],[School, Opponent,Game'#]],Table3[],2,FALSE),0)</f>
        <v>1</v>
      </c>
      <c r="AK524" s="8">
        <f ca="1">IF(PlayerGameData[[#This Row],[Visible]]=1,1,1000)</f>
        <v>1</v>
      </c>
      <c r="AL524" s="8">
        <f ca="1">RANK(PlayerGameData[[#This Row],[TL PTS]],PlayerGameData[TL PTS],0)+PlayerGameData[[#This Row],[VisibleOrder]]</f>
        <v>185</v>
      </c>
      <c r="AM524" s="8">
        <f ca="1">IF(COUNTIF(PlayerGameData[PointOrder],PlayerGameData[[#This Row],[PointOrder]])&gt;1,RANK(PlayerGameData[[#This Row],[FGA]],PlayerGameData[FGA],0)/100,0)+PlayerGameData[[#This Row],[PointOrder]]</f>
        <v>187.14</v>
      </c>
      <c r="AN524" s="8">
        <f ca="1">RANK(PlayerGameData[[#This Row],[PointTieBreak]],PlayerGameData[PointTieBreak],1)</f>
        <v>216</v>
      </c>
      <c r="AO524" s="8">
        <f ca="1">RANK(PlayerGameData[[#This Row],[REB]],PlayerGameData[REB],0)+PlayerGameData[[#This Row],[VisibleOrder]]</f>
        <v>192</v>
      </c>
      <c r="AP524" s="8">
        <f ca="1">IF(COUNTIF(PlayerGameData[REBOrder],PlayerGameData[[#This Row],[REBOrder]])&gt;1,PlayerGameData[[#This Row],[PointRank]]/100+PlayerGameData[[#This Row],[REBOrder]],PlayerGameData[[#This Row],[REBOrder]])</f>
        <v>194.16</v>
      </c>
      <c r="AQ524" s="8">
        <f ca="1">RANK(PlayerGameData[[#This Row],[REBTieBreak]],PlayerGameData[REBTieBreak],1)</f>
        <v>224</v>
      </c>
      <c r="AR524" s="8">
        <f ca="1">RANK(PlayerGameData[[#This Row],[AST]],PlayerGameData[AST],0)+PlayerGameData[[#This Row],[VisibleOrder]]</f>
        <v>158</v>
      </c>
      <c r="AS524" s="8">
        <f ca="1">IF(COUNTIF(PlayerGameData[ASTOrder],PlayerGameData[[#This Row],[ASTOrder]])&gt;1,PlayerGameData[[#This Row],[PointRank]]/100+PlayerGameData[[#This Row],[ASTOrder]],PlayerGameData[[#This Row],[ASTOrder]])</f>
        <v>160.16</v>
      </c>
      <c r="AT524" s="8">
        <f ca="1">RANK(PlayerGameData[[#This Row],[ASTTieBreak]],PlayerGameData[ASTTieBreak],1)</f>
        <v>221</v>
      </c>
      <c r="AU524" s="8">
        <f ca="1">RANK(PlayerGameData[[#This Row],[STL]],PlayerGameData[STL],0)+PlayerGameData[[#This Row],[VisibleOrder]]</f>
        <v>143</v>
      </c>
      <c r="AV524" s="8">
        <f ca="1">IF(COUNTIF(PlayerGameData[STLOrder],PlayerGameData[[#This Row],[STLOrder]])&gt;1,PlayerGameData[[#This Row],[PointRank]]/100+PlayerGameData[[#This Row],[STLOrder]],PlayerGameData[[#This Row],[STLOrder]])</f>
        <v>145.16</v>
      </c>
      <c r="AW524" s="8">
        <f ca="1">RANK(PlayerGameData[[#This Row],[STLTieBreak]],PlayerGameData[STLTieBreak],1)</f>
        <v>217</v>
      </c>
      <c r="AX524" s="8">
        <f ca="1">RANK(PlayerGameData[[#This Row],[BLK]],PlayerGameData[BLK],0)+PlayerGameData[[#This Row],[VisibleOrder]]</f>
        <v>32</v>
      </c>
      <c r="AY524" s="8">
        <f ca="1">IF(COUNTIF(PlayerGameData[BLKOrder],PlayerGameData[[#This Row],[BLKOrder]])&gt;1,PlayerGameData[[#This Row],[PointRank]]/100+PlayerGameData[[#This Row],[BLKOrder]],PlayerGameData[[#This Row],[BLKOrder]])</f>
        <v>34.159999999999997</v>
      </c>
      <c r="AZ524" s="8">
        <f ca="1">RANK(PlayerGameData[[#This Row],[BLKTieBreak]],PlayerGameData[BLKTieBreak],1)</f>
        <v>216</v>
      </c>
      <c r="BA524" s="11">
        <f ca="1">IFERROR(IF(PlayerGameData[[#This Row],[FGA]]&gt;$AA$5,PlayerGameData[[#This Row],[FG%*]],PlayerGameData[[#This Row],[FG%*]]*-1),-2)</f>
        <v>-2</v>
      </c>
      <c r="BB524" s="8">
        <f ca="1">RANK(PlayerGameData[[#This Row],[EligFG]],PlayerGameData[EligFG],0)+PlayerGameData[[#This Row],[VisibleOrder]]</f>
        <v>215</v>
      </c>
      <c r="BC524" s="8">
        <f ca="1">IF(COUNTIF(PlayerGameData[EligFGOrder],PlayerGameData[[#This Row],[EligFGOrder]])&gt;1,PlayerGameData[[#This Row],[PointRank]]/100+PlayerGameData[[#This Row],[EligFGOrder]],PlayerGameData[[#This Row],[EligFGOrder]])</f>
        <v>217.16</v>
      </c>
      <c r="BD524" s="8">
        <f ca="1">RANK(PlayerGameData[[#This Row],[EligFGTieBreak]],PlayerGameData[EligFGTieBreak],1)</f>
        <v>216</v>
      </c>
      <c r="BE524" s="8" t="str">
        <f>Roster!$D$3</f>
        <v>East</v>
      </c>
      <c r="BF524" s="8" t="str">
        <f>Roster!$D$2</f>
        <v>Northeast</v>
      </c>
      <c r="BG524" s="8" t="str">
        <f>Roster!$D$4</f>
        <v>North</v>
      </c>
      <c r="BH524" s="197">
        <f ca="1">IFERROR(VLOOKUP(CONCATENATE(PlayerGameData[[#This Row],[Opponent]]," ",MONTH(PlayerGameData[[#This Row],[Date]]),"/",DAY(PlayerGameData[[#This Row],[Date]]),"/",YEAR(PlayerGameData[[#This Row],[Date]])),Table35[],2,FALSE),0)</f>
        <v>1</v>
      </c>
      <c r="BI524" s="197">
        <f ca="1">IF(PlayerGameData[[#This Row],[Visible]]=1,1,1000)</f>
        <v>1</v>
      </c>
      <c r="BJ524" s="197" t="e">
        <f ca="1">_xlfn.MAXIFS(TeamGameData[Win],TeamGameData[School, Opponent,Game'#],PlayerGameData[[#This Row],[School, Opponent,Game'#]])</f>
        <v>#NAME?</v>
      </c>
      <c r="BK524" s="197" t="e">
        <f ca="1">_xlfn.MAXIFS(TeamGameData[Loss],TeamGameData[School, Opponent,Game'#],PlayerGameData[[#This Row],[School, Opponent,Game'#]])</f>
        <v>#NAME?</v>
      </c>
    </row>
    <row r="525" spans="1:63" x14ac:dyDescent="0.25">
      <c r="A525" s="8" t="str">
        <f t="shared" ca="1" si="273"/>
        <v xml:space="preserve">, </v>
      </c>
      <c r="B525" s="8" t="str">
        <f>Roster!$B$1</f>
        <v>Upton</v>
      </c>
      <c r="C525" s="8" t="str">
        <f t="shared" ca="1" si="261"/>
        <v>Kaycee</v>
      </c>
      <c r="D525" s="10">
        <f t="shared" ca="1" si="262"/>
        <v>44981</v>
      </c>
      <c r="E525" s="8">
        <f t="shared" ca="1" si="263"/>
        <v>0</v>
      </c>
      <c r="F525" s="8">
        <f t="shared" ca="1" si="264"/>
        <v>0</v>
      </c>
      <c r="G525" s="8">
        <f t="shared" ca="1" si="265"/>
        <v>0</v>
      </c>
      <c r="H525" s="8">
        <f t="shared" ca="1" si="266"/>
        <v>0</v>
      </c>
      <c r="I525" s="8">
        <f t="shared" ca="1" si="267"/>
        <v>0</v>
      </c>
      <c r="J525" s="8">
        <f t="shared" ca="1" si="268"/>
        <v>0</v>
      </c>
      <c r="K525" s="8">
        <f t="shared" ca="1" si="269"/>
        <v>0</v>
      </c>
      <c r="L525" s="8">
        <f t="shared" ca="1" si="274"/>
        <v>0</v>
      </c>
      <c r="M525" s="8">
        <f t="shared" ca="1" si="275"/>
        <v>0</v>
      </c>
      <c r="N525" s="8">
        <f t="shared" ca="1" si="276"/>
        <v>0</v>
      </c>
      <c r="O525" s="8">
        <f t="shared" ca="1" si="277"/>
        <v>0</v>
      </c>
      <c r="P525" s="8">
        <f t="shared" ca="1" si="278"/>
        <v>0</v>
      </c>
      <c r="Q525" s="8">
        <f t="shared" ca="1" si="279"/>
        <v>0</v>
      </c>
      <c r="R525" s="8">
        <f t="shared" ca="1" si="280"/>
        <v>0</v>
      </c>
      <c r="S525" s="8">
        <f t="shared" ca="1" si="281"/>
        <v>0</v>
      </c>
      <c r="T525" s="8">
        <f t="shared" ca="1" si="282"/>
        <v>0</v>
      </c>
      <c r="U525" s="8">
        <f t="shared" ca="1" si="283"/>
        <v>0</v>
      </c>
      <c r="V525" s="8">
        <f t="shared" ca="1" si="284"/>
        <v>0</v>
      </c>
      <c r="W525" s="11" t="str">
        <f t="shared" ca="1" si="285"/>
        <v/>
      </c>
      <c r="X525" s="11" t="str">
        <f t="shared" ca="1" si="286"/>
        <v/>
      </c>
      <c r="Y525" s="11" t="str">
        <f t="shared" ca="1" si="287"/>
        <v/>
      </c>
      <c r="Z525" s="11" t="str">
        <f t="shared" ca="1" si="288"/>
        <v/>
      </c>
      <c r="AA525" s="11" t="str">
        <f t="shared" ca="1" si="289"/>
        <v/>
      </c>
      <c r="AB525" s="47">
        <f ca="1">PlayerGameData[[#This Row],[3FGA]]+PlayerGameData[[#This Row],[2FGA]]</f>
        <v>0</v>
      </c>
      <c r="AC525" s="47">
        <f ca="1">PlayerGameData[[#This Row],[OFF REB]]+PlayerGameData[[#This Row],[DEF REB]]</f>
        <v>0</v>
      </c>
      <c r="AD525" s="8">
        <f t="shared" si="270"/>
        <v>22</v>
      </c>
      <c r="AE525" s="8" t="str">
        <f t="shared" ca="1" si="271"/>
        <v>,  - Kaycee 2/24/2023</v>
      </c>
      <c r="AF525" s="8" t="str">
        <f t="shared" ca="1" si="290"/>
        <v>R</v>
      </c>
      <c r="AG525" s="8" t="str">
        <f ca="1">IFERROR(IF(C525=0,"",IF(AND(VLOOKUP(PlayerGameData[[#This Row],[Opponent]],WYTeamInfo,2,FALSE)=Roster!$D$1,VLOOKUP(PlayerGameData[[#This Row],[Opponent]],WYTeamInfo,3,FALSE)=Roster!$D$2),"SR","")),"")</f>
        <v>SR</v>
      </c>
      <c r="AH525" s="8" t="str">
        <f>CONCATENATE(Roster!$D$1," ",Roster!$D$5)</f>
        <v>1A BB</v>
      </c>
      <c r="AI525" s="8" t="str">
        <f t="shared" ca="1" si="272"/>
        <v>Upton - Kaycee 2/24/2023</v>
      </c>
      <c r="AJ525" s="8">
        <f ca="1">IFERROR(VLOOKUP(PlayerGameData[[#This Row],[School, Opponent,Game'#]],Table3[],2,FALSE),0)</f>
        <v>1</v>
      </c>
      <c r="AK525" s="8">
        <f ca="1">IF(PlayerGameData[[#This Row],[Visible]]=1,1,1000)</f>
        <v>1</v>
      </c>
      <c r="AL525" s="8">
        <f ca="1">RANK(PlayerGameData[[#This Row],[TL PTS]],PlayerGameData[TL PTS],0)+PlayerGameData[[#This Row],[VisibleOrder]]</f>
        <v>185</v>
      </c>
      <c r="AM525" s="8">
        <f ca="1">IF(COUNTIF(PlayerGameData[PointOrder],PlayerGameData[[#This Row],[PointOrder]])&gt;1,RANK(PlayerGameData[[#This Row],[FGA]],PlayerGameData[FGA],0)/100,0)+PlayerGameData[[#This Row],[PointOrder]]</f>
        <v>187.14</v>
      </c>
      <c r="AN525" s="8">
        <f ca="1">RANK(PlayerGameData[[#This Row],[PointTieBreak]],PlayerGameData[PointTieBreak],1)</f>
        <v>216</v>
      </c>
      <c r="AO525" s="8">
        <f ca="1">RANK(PlayerGameData[[#This Row],[REB]],PlayerGameData[REB],0)+PlayerGameData[[#This Row],[VisibleOrder]]</f>
        <v>192</v>
      </c>
      <c r="AP525" s="8">
        <f ca="1">IF(COUNTIF(PlayerGameData[REBOrder],PlayerGameData[[#This Row],[REBOrder]])&gt;1,PlayerGameData[[#This Row],[PointRank]]/100+PlayerGameData[[#This Row],[REBOrder]],PlayerGameData[[#This Row],[REBOrder]])</f>
        <v>194.16</v>
      </c>
      <c r="AQ525" s="8">
        <f ca="1">RANK(PlayerGameData[[#This Row],[REBTieBreak]],PlayerGameData[REBTieBreak],1)</f>
        <v>224</v>
      </c>
      <c r="AR525" s="8">
        <f ca="1">RANK(PlayerGameData[[#This Row],[AST]],PlayerGameData[AST],0)+PlayerGameData[[#This Row],[VisibleOrder]]</f>
        <v>158</v>
      </c>
      <c r="AS525" s="8">
        <f ca="1">IF(COUNTIF(PlayerGameData[ASTOrder],PlayerGameData[[#This Row],[ASTOrder]])&gt;1,PlayerGameData[[#This Row],[PointRank]]/100+PlayerGameData[[#This Row],[ASTOrder]],PlayerGameData[[#This Row],[ASTOrder]])</f>
        <v>160.16</v>
      </c>
      <c r="AT525" s="8">
        <f ca="1">RANK(PlayerGameData[[#This Row],[ASTTieBreak]],PlayerGameData[ASTTieBreak],1)</f>
        <v>221</v>
      </c>
      <c r="AU525" s="8">
        <f ca="1">RANK(PlayerGameData[[#This Row],[STL]],PlayerGameData[STL],0)+PlayerGameData[[#This Row],[VisibleOrder]]</f>
        <v>143</v>
      </c>
      <c r="AV525" s="8">
        <f ca="1">IF(COUNTIF(PlayerGameData[STLOrder],PlayerGameData[[#This Row],[STLOrder]])&gt;1,PlayerGameData[[#This Row],[PointRank]]/100+PlayerGameData[[#This Row],[STLOrder]],PlayerGameData[[#This Row],[STLOrder]])</f>
        <v>145.16</v>
      </c>
      <c r="AW525" s="8">
        <f ca="1">RANK(PlayerGameData[[#This Row],[STLTieBreak]],PlayerGameData[STLTieBreak],1)</f>
        <v>217</v>
      </c>
      <c r="AX525" s="8">
        <f ca="1">RANK(PlayerGameData[[#This Row],[BLK]],PlayerGameData[BLK],0)+PlayerGameData[[#This Row],[VisibleOrder]]</f>
        <v>32</v>
      </c>
      <c r="AY525" s="8">
        <f ca="1">IF(COUNTIF(PlayerGameData[BLKOrder],PlayerGameData[[#This Row],[BLKOrder]])&gt;1,PlayerGameData[[#This Row],[PointRank]]/100+PlayerGameData[[#This Row],[BLKOrder]],PlayerGameData[[#This Row],[BLKOrder]])</f>
        <v>34.159999999999997</v>
      </c>
      <c r="AZ525" s="8">
        <f ca="1">RANK(PlayerGameData[[#This Row],[BLKTieBreak]],PlayerGameData[BLKTieBreak],1)</f>
        <v>216</v>
      </c>
      <c r="BA525" s="11">
        <f ca="1">IFERROR(IF(PlayerGameData[[#This Row],[FGA]]&gt;$AA$5,PlayerGameData[[#This Row],[FG%*]],PlayerGameData[[#This Row],[FG%*]]*-1),-2)</f>
        <v>-2</v>
      </c>
      <c r="BB525" s="8">
        <f ca="1">RANK(PlayerGameData[[#This Row],[EligFG]],PlayerGameData[EligFG],0)+PlayerGameData[[#This Row],[VisibleOrder]]</f>
        <v>215</v>
      </c>
      <c r="BC525" s="8">
        <f ca="1">IF(COUNTIF(PlayerGameData[EligFGOrder],PlayerGameData[[#This Row],[EligFGOrder]])&gt;1,PlayerGameData[[#This Row],[PointRank]]/100+PlayerGameData[[#This Row],[EligFGOrder]],PlayerGameData[[#This Row],[EligFGOrder]])</f>
        <v>217.16</v>
      </c>
      <c r="BD525" s="8">
        <f ca="1">RANK(PlayerGameData[[#This Row],[EligFGTieBreak]],PlayerGameData[EligFGTieBreak],1)</f>
        <v>216</v>
      </c>
      <c r="BE525" s="8" t="str">
        <f>Roster!$D$3</f>
        <v>East</v>
      </c>
      <c r="BF525" s="8" t="str">
        <f>Roster!$D$2</f>
        <v>Northeast</v>
      </c>
      <c r="BG525" s="8" t="str">
        <f>Roster!$D$4</f>
        <v>North</v>
      </c>
      <c r="BH525" s="197">
        <f ca="1">IFERROR(VLOOKUP(CONCATENATE(PlayerGameData[[#This Row],[Opponent]]," ",MONTH(PlayerGameData[[#This Row],[Date]]),"/",DAY(PlayerGameData[[#This Row],[Date]]),"/",YEAR(PlayerGameData[[#This Row],[Date]])),Table35[],2,FALSE),0)</f>
        <v>1</v>
      </c>
      <c r="BI525" s="197">
        <f ca="1">IF(PlayerGameData[[#This Row],[Visible]]=1,1,1000)</f>
        <v>1</v>
      </c>
      <c r="BJ525" s="197" t="e">
        <f ca="1">_xlfn.MAXIFS(TeamGameData[Win],TeamGameData[School, Opponent,Game'#],PlayerGameData[[#This Row],[School, Opponent,Game'#]])</f>
        <v>#NAME?</v>
      </c>
      <c r="BK525" s="197" t="e">
        <f ca="1">_xlfn.MAXIFS(TeamGameData[Loss],TeamGameData[School, Opponent,Game'#],PlayerGameData[[#This Row],[School, Opponent,Game'#]])</f>
        <v>#NAME?</v>
      </c>
    </row>
    <row r="526" spans="1:63" x14ac:dyDescent="0.25">
      <c r="A526" s="8" t="str">
        <f t="shared" ca="1" si="273"/>
        <v xml:space="preserve">, </v>
      </c>
      <c r="B526" s="8" t="str">
        <f>Roster!$B$1</f>
        <v>Upton</v>
      </c>
      <c r="C526" s="8" t="str">
        <f t="shared" ca="1" si="261"/>
        <v>Kaycee</v>
      </c>
      <c r="D526" s="10">
        <f t="shared" ca="1" si="262"/>
        <v>44981</v>
      </c>
      <c r="E526" s="8">
        <f t="shared" ca="1" si="263"/>
        <v>0</v>
      </c>
      <c r="F526" s="8">
        <f t="shared" ca="1" si="264"/>
        <v>0</v>
      </c>
      <c r="G526" s="8">
        <f t="shared" ca="1" si="265"/>
        <v>0</v>
      </c>
      <c r="H526" s="8">
        <f t="shared" ca="1" si="266"/>
        <v>0</v>
      </c>
      <c r="I526" s="8">
        <f t="shared" ca="1" si="267"/>
        <v>0</v>
      </c>
      <c r="J526" s="8">
        <f t="shared" ca="1" si="268"/>
        <v>0</v>
      </c>
      <c r="K526" s="8">
        <f t="shared" ca="1" si="269"/>
        <v>0</v>
      </c>
      <c r="L526" s="8">
        <f t="shared" ca="1" si="274"/>
        <v>0</v>
      </c>
      <c r="M526" s="8">
        <f t="shared" ca="1" si="275"/>
        <v>0</v>
      </c>
      <c r="N526" s="8">
        <f t="shared" ca="1" si="276"/>
        <v>0</v>
      </c>
      <c r="O526" s="8">
        <f t="shared" ca="1" si="277"/>
        <v>0</v>
      </c>
      <c r="P526" s="8">
        <f t="shared" ca="1" si="278"/>
        <v>0</v>
      </c>
      <c r="Q526" s="8">
        <f t="shared" ca="1" si="279"/>
        <v>0</v>
      </c>
      <c r="R526" s="8">
        <f t="shared" ca="1" si="280"/>
        <v>0</v>
      </c>
      <c r="S526" s="8">
        <f t="shared" ca="1" si="281"/>
        <v>0</v>
      </c>
      <c r="T526" s="8">
        <f t="shared" ca="1" si="282"/>
        <v>0</v>
      </c>
      <c r="U526" s="8">
        <f t="shared" ca="1" si="283"/>
        <v>0</v>
      </c>
      <c r="V526" s="8">
        <f t="shared" ca="1" si="284"/>
        <v>0</v>
      </c>
      <c r="W526" s="11" t="str">
        <f t="shared" ca="1" si="285"/>
        <v/>
      </c>
      <c r="X526" s="11" t="str">
        <f t="shared" ca="1" si="286"/>
        <v/>
      </c>
      <c r="Y526" s="11" t="str">
        <f t="shared" ca="1" si="287"/>
        <v/>
      </c>
      <c r="Z526" s="11" t="str">
        <f t="shared" ca="1" si="288"/>
        <v/>
      </c>
      <c r="AA526" s="11" t="str">
        <f t="shared" ca="1" si="289"/>
        <v/>
      </c>
      <c r="AB526" s="47">
        <f ca="1">PlayerGameData[[#This Row],[3FGA]]+PlayerGameData[[#This Row],[2FGA]]</f>
        <v>0</v>
      </c>
      <c r="AC526" s="47">
        <f ca="1">PlayerGameData[[#This Row],[OFF REB]]+PlayerGameData[[#This Row],[DEF REB]]</f>
        <v>0</v>
      </c>
      <c r="AD526" s="8">
        <f t="shared" si="270"/>
        <v>22</v>
      </c>
      <c r="AE526" s="8" t="str">
        <f t="shared" ca="1" si="271"/>
        <v>,  - Kaycee 2/24/2023</v>
      </c>
      <c r="AF526" s="8" t="str">
        <f t="shared" ca="1" si="290"/>
        <v>R</v>
      </c>
      <c r="AG526" s="8" t="str">
        <f ca="1">IFERROR(IF(C526=0,"",IF(AND(VLOOKUP(PlayerGameData[[#This Row],[Opponent]],WYTeamInfo,2,FALSE)=Roster!$D$1,VLOOKUP(PlayerGameData[[#This Row],[Opponent]],WYTeamInfo,3,FALSE)=Roster!$D$2),"SR","")),"")</f>
        <v>SR</v>
      </c>
      <c r="AH526" s="8" t="str">
        <f>CONCATENATE(Roster!$D$1," ",Roster!$D$5)</f>
        <v>1A BB</v>
      </c>
      <c r="AI526" s="8" t="str">
        <f t="shared" ca="1" si="272"/>
        <v>Upton - Kaycee 2/24/2023</v>
      </c>
      <c r="AJ526" s="8">
        <f ca="1">IFERROR(VLOOKUP(PlayerGameData[[#This Row],[School, Opponent,Game'#]],Table3[],2,FALSE),0)</f>
        <v>1</v>
      </c>
      <c r="AK526" s="8">
        <f ca="1">IF(PlayerGameData[[#This Row],[Visible]]=1,1,1000)</f>
        <v>1</v>
      </c>
      <c r="AL526" s="8">
        <f ca="1">RANK(PlayerGameData[[#This Row],[TL PTS]],PlayerGameData[TL PTS],0)+PlayerGameData[[#This Row],[VisibleOrder]]</f>
        <v>185</v>
      </c>
      <c r="AM526" s="8">
        <f ca="1">IF(COUNTIF(PlayerGameData[PointOrder],PlayerGameData[[#This Row],[PointOrder]])&gt;1,RANK(PlayerGameData[[#This Row],[FGA]],PlayerGameData[FGA],0)/100,0)+PlayerGameData[[#This Row],[PointOrder]]</f>
        <v>187.14</v>
      </c>
      <c r="AN526" s="8">
        <f ca="1">RANK(PlayerGameData[[#This Row],[PointTieBreak]],PlayerGameData[PointTieBreak],1)</f>
        <v>216</v>
      </c>
      <c r="AO526" s="8">
        <f ca="1">RANK(PlayerGameData[[#This Row],[REB]],PlayerGameData[REB],0)+PlayerGameData[[#This Row],[VisibleOrder]]</f>
        <v>192</v>
      </c>
      <c r="AP526" s="8">
        <f ca="1">IF(COUNTIF(PlayerGameData[REBOrder],PlayerGameData[[#This Row],[REBOrder]])&gt;1,PlayerGameData[[#This Row],[PointRank]]/100+PlayerGameData[[#This Row],[REBOrder]],PlayerGameData[[#This Row],[REBOrder]])</f>
        <v>194.16</v>
      </c>
      <c r="AQ526" s="8">
        <f ca="1">RANK(PlayerGameData[[#This Row],[REBTieBreak]],PlayerGameData[REBTieBreak],1)</f>
        <v>224</v>
      </c>
      <c r="AR526" s="8">
        <f ca="1">RANK(PlayerGameData[[#This Row],[AST]],PlayerGameData[AST],0)+PlayerGameData[[#This Row],[VisibleOrder]]</f>
        <v>158</v>
      </c>
      <c r="AS526" s="8">
        <f ca="1">IF(COUNTIF(PlayerGameData[ASTOrder],PlayerGameData[[#This Row],[ASTOrder]])&gt;1,PlayerGameData[[#This Row],[PointRank]]/100+PlayerGameData[[#This Row],[ASTOrder]],PlayerGameData[[#This Row],[ASTOrder]])</f>
        <v>160.16</v>
      </c>
      <c r="AT526" s="8">
        <f ca="1">RANK(PlayerGameData[[#This Row],[ASTTieBreak]],PlayerGameData[ASTTieBreak],1)</f>
        <v>221</v>
      </c>
      <c r="AU526" s="8">
        <f ca="1">RANK(PlayerGameData[[#This Row],[STL]],PlayerGameData[STL],0)+PlayerGameData[[#This Row],[VisibleOrder]]</f>
        <v>143</v>
      </c>
      <c r="AV526" s="8">
        <f ca="1">IF(COUNTIF(PlayerGameData[STLOrder],PlayerGameData[[#This Row],[STLOrder]])&gt;1,PlayerGameData[[#This Row],[PointRank]]/100+PlayerGameData[[#This Row],[STLOrder]],PlayerGameData[[#This Row],[STLOrder]])</f>
        <v>145.16</v>
      </c>
      <c r="AW526" s="8">
        <f ca="1">RANK(PlayerGameData[[#This Row],[STLTieBreak]],PlayerGameData[STLTieBreak],1)</f>
        <v>217</v>
      </c>
      <c r="AX526" s="8">
        <f ca="1">RANK(PlayerGameData[[#This Row],[BLK]],PlayerGameData[BLK],0)+PlayerGameData[[#This Row],[VisibleOrder]]</f>
        <v>32</v>
      </c>
      <c r="AY526" s="8">
        <f ca="1">IF(COUNTIF(PlayerGameData[BLKOrder],PlayerGameData[[#This Row],[BLKOrder]])&gt;1,PlayerGameData[[#This Row],[PointRank]]/100+PlayerGameData[[#This Row],[BLKOrder]],PlayerGameData[[#This Row],[BLKOrder]])</f>
        <v>34.159999999999997</v>
      </c>
      <c r="AZ526" s="8">
        <f ca="1">RANK(PlayerGameData[[#This Row],[BLKTieBreak]],PlayerGameData[BLKTieBreak],1)</f>
        <v>216</v>
      </c>
      <c r="BA526" s="11">
        <f ca="1">IFERROR(IF(PlayerGameData[[#This Row],[FGA]]&gt;$AA$5,PlayerGameData[[#This Row],[FG%*]],PlayerGameData[[#This Row],[FG%*]]*-1),-2)</f>
        <v>-2</v>
      </c>
      <c r="BB526" s="8">
        <f ca="1">RANK(PlayerGameData[[#This Row],[EligFG]],PlayerGameData[EligFG],0)+PlayerGameData[[#This Row],[VisibleOrder]]</f>
        <v>215</v>
      </c>
      <c r="BC526" s="8">
        <f ca="1">IF(COUNTIF(PlayerGameData[EligFGOrder],PlayerGameData[[#This Row],[EligFGOrder]])&gt;1,PlayerGameData[[#This Row],[PointRank]]/100+PlayerGameData[[#This Row],[EligFGOrder]],PlayerGameData[[#This Row],[EligFGOrder]])</f>
        <v>217.16</v>
      </c>
      <c r="BD526" s="8">
        <f ca="1">RANK(PlayerGameData[[#This Row],[EligFGTieBreak]],PlayerGameData[EligFGTieBreak],1)</f>
        <v>216</v>
      </c>
      <c r="BE526" s="8" t="str">
        <f>Roster!$D$3</f>
        <v>East</v>
      </c>
      <c r="BF526" s="8" t="str">
        <f>Roster!$D$2</f>
        <v>Northeast</v>
      </c>
      <c r="BG526" s="8" t="str">
        <f>Roster!$D$4</f>
        <v>North</v>
      </c>
      <c r="BH526" s="197">
        <f ca="1">IFERROR(VLOOKUP(CONCATENATE(PlayerGameData[[#This Row],[Opponent]]," ",MONTH(PlayerGameData[[#This Row],[Date]]),"/",DAY(PlayerGameData[[#This Row],[Date]]),"/",YEAR(PlayerGameData[[#This Row],[Date]])),Table35[],2,FALSE),0)</f>
        <v>1</v>
      </c>
      <c r="BI526" s="197">
        <f ca="1">IF(PlayerGameData[[#This Row],[Visible]]=1,1,1000)</f>
        <v>1</v>
      </c>
      <c r="BJ526" s="197" t="e">
        <f ca="1">_xlfn.MAXIFS(TeamGameData[Win],TeamGameData[School, Opponent,Game'#],PlayerGameData[[#This Row],[School, Opponent,Game'#]])</f>
        <v>#NAME?</v>
      </c>
      <c r="BK526" s="197" t="e">
        <f ca="1">_xlfn.MAXIFS(TeamGameData[Loss],TeamGameData[School, Opponent,Game'#],PlayerGameData[[#This Row],[School, Opponent,Game'#]])</f>
        <v>#NAME?</v>
      </c>
    </row>
    <row r="527" spans="1:63" x14ac:dyDescent="0.25">
      <c r="A527" s="8" t="str">
        <f t="shared" ca="1" si="273"/>
        <v xml:space="preserve">, </v>
      </c>
      <c r="B527" s="8" t="str">
        <f>Roster!$B$1</f>
        <v>Upton</v>
      </c>
      <c r="C527" s="8" t="str">
        <f t="shared" ca="1" si="261"/>
        <v>Kaycee</v>
      </c>
      <c r="D527" s="10">
        <f t="shared" ca="1" si="262"/>
        <v>44981</v>
      </c>
      <c r="E527" s="8">
        <f t="shared" ca="1" si="263"/>
        <v>0</v>
      </c>
      <c r="F527" s="8">
        <f t="shared" ca="1" si="264"/>
        <v>0</v>
      </c>
      <c r="G527" s="8">
        <f t="shared" ca="1" si="265"/>
        <v>0</v>
      </c>
      <c r="H527" s="8">
        <f t="shared" ca="1" si="266"/>
        <v>0</v>
      </c>
      <c r="I527" s="8">
        <f t="shared" ca="1" si="267"/>
        <v>0</v>
      </c>
      <c r="J527" s="8">
        <f t="shared" ca="1" si="268"/>
        <v>0</v>
      </c>
      <c r="K527" s="8">
        <f t="shared" ca="1" si="269"/>
        <v>0</v>
      </c>
      <c r="L527" s="8">
        <f t="shared" ca="1" si="274"/>
        <v>0</v>
      </c>
      <c r="M527" s="8">
        <f t="shared" ca="1" si="275"/>
        <v>0</v>
      </c>
      <c r="N527" s="8">
        <f t="shared" ca="1" si="276"/>
        <v>0</v>
      </c>
      <c r="O527" s="8">
        <f t="shared" ca="1" si="277"/>
        <v>0</v>
      </c>
      <c r="P527" s="8">
        <f t="shared" ca="1" si="278"/>
        <v>0</v>
      </c>
      <c r="Q527" s="8">
        <f t="shared" ca="1" si="279"/>
        <v>0</v>
      </c>
      <c r="R527" s="8">
        <f t="shared" ca="1" si="280"/>
        <v>0</v>
      </c>
      <c r="S527" s="8">
        <f t="shared" ca="1" si="281"/>
        <v>0</v>
      </c>
      <c r="T527" s="8">
        <f t="shared" ca="1" si="282"/>
        <v>0</v>
      </c>
      <c r="U527" s="8">
        <f t="shared" ca="1" si="283"/>
        <v>0</v>
      </c>
      <c r="V527" s="8">
        <f t="shared" ca="1" si="284"/>
        <v>0</v>
      </c>
      <c r="W527" s="11" t="str">
        <f t="shared" ca="1" si="285"/>
        <v/>
      </c>
      <c r="X527" s="11" t="str">
        <f t="shared" ca="1" si="286"/>
        <v/>
      </c>
      <c r="Y527" s="11" t="str">
        <f t="shared" ca="1" si="287"/>
        <v/>
      </c>
      <c r="Z527" s="11" t="str">
        <f t="shared" ca="1" si="288"/>
        <v/>
      </c>
      <c r="AA527" s="11" t="str">
        <f t="shared" ca="1" si="289"/>
        <v/>
      </c>
      <c r="AB527" s="47">
        <f ca="1">PlayerGameData[[#This Row],[3FGA]]+PlayerGameData[[#This Row],[2FGA]]</f>
        <v>0</v>
      </c>
      <c r="AC527" s="47">
        <f ca="1">PlayerGameData[[#This Row],[OFF REB]]+PlayerGameData[[#This Row],[DEF REB]]</f>
        <v>0</v>
      </c>
      <c r="AD527" s="8">
        <f t="shared" si="270"/>
        <v>22</v>
      </c>
      <c r="AE527" s="8" t="str">
        <f t="shared" ca="1" si="271"/>
        <v>,  - Kaycee 2/24/2023</v>
      </c>
      <c r="AF527" s="8" t="str">
        <f t="shared" ca="1" si="290"/>
        <v>R</v>
      </c>
      <c r="AG527" s="8" t="str">
        <f ca="1">IFERROR(IF(C527=0,"",IF(AND(VLOOKUP(PlayerGameData[[#This Row],[Opponent]],WYTeamInfo,2,FALSE)=Roster!$D$1,VLOOKUP(PlayerGameData[[#This Row],[Opponent]],WYTeamInfo,3,FALSE)=Roster!$D$2),"SR","")),"")</f>
        <v>SR</v>
      </c>
      <c r="AH527" s="8" t="str">
        <f>CONCATENATE(Roster!$D$1," ",Roster!$D$5)</f>
        <v>1A BB</v>
      </c>
      <c r="AI527" s="8" t="str">
        <f t="shared" ca="1" si="272"/>
        <v>Upton - Kaycee 2/24/2023</v>
      </c>
      <c r="AJ527" s="8">
        <f ca="1">IFERROR(VLOOKUP(PlayerGameData[[#This Row],[School, Opponent,Game'#]],Table3[],2,FALSE),0)</f>
        <v>1</v>
      </c>
      <c r="AK527" s="8">
        <f ca="1">IF(PlayerGameData[[#This Row],[Visible]]=1,1,1000)</f>
        <v>1</v>
      </c>
      <c r="AL527" s="8">
        <f ca="1">RANK(PlayerGameData[[#This Row],[TL PTS]],PlayerGameData[TL PTS],0)+PlayerGameData[[#This Row],[VisibleOrder]]</f>
        <v>185</v>
      </c>
      <c r="AM527" s="8">
        <f ca="1">IF(COUNTIF(PlayerGameData[PointOrder],PlayerGameData[[#This Row],[PointOrder]])&gt;1,RANK(PlayerGameData[[#This Row],[FGA]],PlayerGameData[FGA],0)/100,0)+PlayerGameData[[#This Row],[PointOrder]]</f>
        <v>187.14</v>
      </c>
      <c r="AN527" s="8">
        <f ca="1">RANK(PlayerGameData[[#This Row],[PointTieBreak]],PlayerGameData[PointTieBreak],1)</f>
        <v>216</v>
      </c>
      <c r="AO527" s="8">
        <f ca="1">RANK(PlayerGameData[[#This Row],[REB]],PlayerGameData[REB],0)+PlayerGameData[[#This Row],[VisibleOrder]]</f>
        <v>192</v>
      </c>
      <c r="AP527" s="8">
        <f ca="1">IF(COUNTIF(PlayerGameData[REBOrder],PlayerGameData[[#This Row],[REBOrder]])&gt;1,PlayerGameData[[#This Row],[PointRank]]/100+PlayerGameData[[#This Row],[REBOrder]],PlayerGameData[[#This Row],[REBOrder]])</f>
        <v>194.16</v>
      </c>
      <c r="AQ527" s="8">
        <f ca="1">RANK(PlayerGameData[[#This Row],[REBTieBreak]],PlayerGameData[REBTieBreak],1)</f>
        <v>224</v>
      </c>
      <c r="AR527" s="8">
        <f ca="1">RANK(PlayerGameData[[#This Row],[AST]],PlayerGameData[AST],0)+PlayerGameData[[#This Row],[VisibleOrder]]</f>
        <v>158</v>
      </c>
      <c r="AS527" s="8">
        <f ca="1">IF(COUNTIF(PlayerGameData[ASTOrder],PlayerGameData[[#This Row],[ASTOrder]])&gt;1,PlayerGameData[[#This Row],[PointRank]]/100+PlayerGameData[[#This Row],[ASTOrder]],PlayerGameData[[#This Row],[ASTOrder]])</f>
        <v>160.16</v>
      </c>
      <c r="AT527" s="8">
        <f ca="1">RANK(PlayerGameData[[#This Row],[ASTTieBreak]],PlayerGameData[ASTTieBreak],1)</f>
        <v>221</v>
      </c>
      <c r="AU527" s="8">
        <f ca="1">RANK(PlayerGameData[[#This Row],[STL]],PlayerGameData[STL],0)+PlayerGameData[[#This Row],[VisibleOrder]]</f>
        <v>143</v>
      </c>
      <c r="AV527" s="8">
        <f ca="1">IF(COUNTIF(PlayerGameData[STLOrder],PlayerGameData[[#This Row],[STLOrder]])&gt;1,PlayerGameData[[#This Row],[PointRank]]/100+PlayerGameData[[#This Row],[STLOrder]],PlayerGameData[[#This Row],[STLOrder]])</f>
        <v>145.16</v>
      </c>
      <c r="AW527" s="8">
        <f ca="1">RANK(PlayerGameData[[#This Row],[STLTieBreak]],PlayerGameData[STLTieBreak],1)</f>
        <v>217</v>
      </c>
      <c r="AX527" s="8">
        <f ca="1">RANK(PlayerGameData[[#This Row],[BLK]],PlayerGameData[BLK],0)+PlayerGameData[[#This Row],[VisibleOrder]]</f>
        <v>32</v>
      </c>
      <c r="AY527" s="8">
        <f ca="1">IF(COUNTIF(PlayerGameData[BLKOrder],PlayerGameData[[#This Row],[BLKOrder]])&gt;1,PlayerGameData[[#This Row],[PointRank]]/100+PlayerGameData[[#This Row],[BLKOrder]],PlayerGameData[[#This Row],[BLKOrder]])</f>
        <v>34.159999999999997</v>
      </c>
      <c r="AZ527" s="8">
        <f ca="1">RANK(PlayerGameData[[#This Row],[BLKTieBreak]],PlayerGameData[BLKTieBreak],1)</f>
        <v>216</v>
      </c>
      <c r="BA527" s="11">
        <f ca="1">IFERROR(IF(PlayerGameData[[#This Row],[FGA]]&gt;$AA$5,PlayerGameData[[#This Row],[FG%*]],PlayerGameData[[#This Row],[FG%*]]*-1),-2)</f>
        <v>-2</v>
      </c>
      <c r="BB527" s="8">
        <f ca="1">RANK(PlayerGameData[[#This Row],[EligFG]],PlayerGameData[EligFG],0)+PlayerGameData[[#This Row],[VisibleOrder]]</f>
        <v>215</v>
      </c>
      <c r="BC527" s="8">
        <f ca="1">IF(COUNTIF(PlayerGameData[EligFGOrder],PlayerGameData[[#This Row],[EligFGOrder]])&gt;1,PlayerGameData[[#This Row],[PointRank]]/100+PlayerGameData[[#This Row],[EligFGOrder]],PlayerGameData[[#This Row],[EligFGOrder]])</f>
        <v>217.16</v>
      </c>
      <c r="BD527" s="8">
        <f ca="1">RANK(PlayerGameData[[#This Row],[EligFGTieBreak]],PlayerGameData[EligFGTieBreak],1)</f>
        <v>216</v>
      </c>
      <c r="BE527" s="8" t="str">
        <f>Roster!$D$3</f>
        <v>East</v>
      </c>
      <c r="BF527" s="8" t="str">
        <f>Roster!$D$2</f>
        <v>Northeast</v>
      </c>
      <c r="BG527" s="8" t="str">
        <f>Roster!$D$4</f>
        <v>North</v>
      </c>
      <c r="BH527" s="197">
        <f ca="1">IFERROR(VLOOKUP(CONCATENATE(PlayerGameData[[#This Row],[Opponent]]," ",MONTH(PlayerGameData[[#This Row],[Date]]),"/",DAY(PlayerGameData[[#This Row],[Date]]),"/",YEAR(PlayerGameData[[#This Row],[Date]])),Table35[],2,FALSE),0)</f>
        <v>1</v>
      </c>
      <c r="BI527" s="197">
        <f ca="1">IF(PlayerGameData[[#This Row],[Visible]]=1,1,1000)</f>
        <v>1</v>
      </c>
      <c r="BJ527" s="197" t="e">
        <f ca="1">_xlfn.MAXIFS(TeamGameData[Win],TeamGameData[School, Opponent,Game'#],PlayerGameData[[#This Row],[School, Opponent,Game'#]])</f>
        <v>#NAME?</v>
      </c>
      <c r="BK527" s="197" t="e">
        <f ca="1">_xlfn.MAXIFS(TeamGameData[Loss],TeamGameData[School, Opponent,Game'#],PlayerGameData[[#This Row],[School, Opponent,Game'#]])</f>
        <v>#NAME?</v>
      </c>
    </row>
    <row r="528" spans="1:63" x14ac:dyDescent="0.25">
      <c r="A528" s="8" t="str">
        <f t="shared" ca="1" si="273"/>
        <v xml:space="preserve">, </v>
      </c>
      <c r="B528" s="8" t="str">
        <f>Roster!$B$1</f>
        <v>Upton</v>
      </c>
      <c r="C528" s="8" t="str">
        <f t="shared" ca="1" si="261"/>
        <v>Kaycee</v>
      </c>
      <c r="D528" s="10">
        <f t="shared" ca="1" si="262"/>
        <v>44981</v>
      </c>
      <c r="E528" s="8">
        <f t="shared" ca="1" si="263"/>
        <v>0</v>
      </c>
      <c r="F528" s="8">
        <f t="shared" ca="1" si="264"/>
        <v>0</v>
      </c>
      <c r="G528" s="8">
        <f t="shared" ca="1" si="265"/>
        <v>0</v>
      </c>
      <c r="H528" s="8">
        <f t="shared" ca="1" si="266"/>
        <v>0</v>
      </c>
      <c r="I528" s="8">
        <f t="shared" ca="1" si="267"/>
        <v>0</v>
      </c>
      <c r="J528" s="8">
        <f t="shared" ca="1" si="268"/>
        <v>0</v>
      </c>
      <c r="K528" s="8">
        <f t="shared" ca="1" si="269"/>
        <v>0</v>
      </c>
      <c r="L528" s="8">
        <f t="shared" ca="1" si="274"/>
        <v>0</v>
      </c>
      <c r="M528" s="8">
        <f t="shared" ca="1" si="275"/>
        <v>0</v>
      </c>
      <c r="N528" s="8">
        <f t="shared" ca="1" si="276"/>
        <v>0</v>
      </c>
      <c r="O528" s="8">
        <f t="shared" ca="1" si="277"/>
        <v>0</v>
      </c>
      <c r="P528" s="8">
        <f t="shared" ca="1" si="278"/>
        <v>0</v>
      </c>
      <c r="Q528" s="8">
        <f t="shared" ca="1" si="279"/>
        <v>0</v>
      </c>
      <c r="R528" s="8">
        <f t="shared" ca="1" si="280"/>
        <v>0</v>
      </c>
      <c r="S528" s="8">
        <f t="shared" ca="1" si="281"/>
        <v>0</v>
      </c>
      <c r="T528" s="8">
        <f t="shared" ca="1" si="282"/>
        <v>0</v>
      </c>
      <c r="U528" s="8">
        <f t="shared" ca="1" si="283"/>
        <v>0</v>
      </c>
      <c r="V528" s="8">
        <f t="shared" ca="1" si="284"/>
        <v>0</v>
      </c>
      <c r="W528" s="11" t="str">
        <f t="shared" ca="1" si="285"/>
        <v/>
      </c>
      <c r="X528" s="11" t="str">
        <f t="shared" ca="1" si="286"/>
        <v/>
      </c>
      <c r="Y528" s="11" t="str">
        <f t="shared" ca="1" si="287"/>
        <v/>
      </c>
      <c r="Z528" s="11" t="str">
        <f t="shared" ca="1" si="288"/>
        <v/>
      </c>
      <c r="AA528" s="11" t="str">
        <f t="shared" ca="1" si="289"/>
        <v/>
      </c>
      <c r="AB528" s="47">
        <f ca="1">PlayerGameData[[#This Row],[3FGA]]+PlayerGameData[[#This Row],[2FGA]]</f>
        <v>0</v>
      </c>
      <c r="AC528" s="47">
        <f ca="1">PlayerGameData[[#This Row],[OFF REB]]+PlayerGameData[[#This Row],[DEF REB]]</f>
        <v>0</v>
      </c>
      <c r="AD528" s="8">
        <f t="shared" si="270"/>
        <v>22</v>
      </c>
      <c r="AE528" s="8" t="str">
        <f t="shared" ca="1" si="271"/>
        <v>,  - Kaycee 2/24/2023</v>
      </c>
      <c r="AF528" s="8" t="str">
        <f t="shared" ca="1" si="290"/>
        <v>R</v>
      </c>
      <c r="AG528" s="8" t="str">
        <f ca="1">IFERROR(IF(C528=0,"",IF(AND(VLOOKUP(PlayerGameData[[#This Row],[Opponent]],WYTeamInfo,2,FALSE)=Roster!$D$1,VLOOKUP(PlayerGameData[[#This Row],[Opponent]],WYTeamInfo,3,FALSE)=Roster!$D$2),"SR","")),"")</f>
        <v>SR</v>
      </c>
      <c r="AH528" s="8" t="str">
        <f>CONCATENATE(Roster!$D$1," ",Roster!$D$5)</f>
        <v>1A BB</v>
      </c>
      <c r="AI528" s="8" t="str">
        <f t="shared" ca="1" si="272"/>
        <v>Upton - Kaycee 2/24/2023</v>
      </c>
      <c r="AJ528" s="8">
        <f ca="1">IFERROR(VLOOKUP(PlayerGameData[[#This Row],[School, Opponent,Game'#]],Table3[],2,FALSE),0)</f>
        <v>1</v>
      </c>
      <c r="AK528" s="8">
        <f ca="1">IF(PlayerGameData[[#This Row],[Visible]]=1,1,1000)</f>
        <v>1</v>
      </c>
      <c r="AL528" s="8">
        <f ca="1">RANK(PlayerGameData[[#This Row],[TL PTS]],PlayerGameData[TL PTS],0)+PlayerGameData[[#This Row],[VisibleOrder]]</f>
        <v>185</v>
      </c>
      <c r="AM528" s="8">
        <f ca="1">IF(COUNTIF(PlayerGameData[PointOrder],PlayerGameData[[#This Row],[PointOrder]])&gt;1,RANK(PlayerGameData[[#This Row],[FGA]],PlayerGameData[FGA],0)/100,0)+PlayerGameData[[#This Row],[PointOrder]]</f>
        <v>187.14</v>
      </c>
      <c r="AN528" s="8">
        <f ca="1">RANK(PlayerGameData[[#This Row],[PointTieBreak]],PlayerGameData[PointTieBreak],1)</f>
        <v>216</v>
      </c>
      <c r="AO528" s="8">
        <f ca="1">RANK(PlayerGameData[[#This Row],[REB]],PlayerGameData[REB],0)+PlayerGameData[[#This Row],[VisibleOrder]]</f>
        <v>192</v>
      </c>
      <c r="AP528" s="8">
        <f ca="1">IF(COUNTIF(PlayerGameData[REBOrder],PlayerGameData[[#This Row],[REBOrder]])&gt;1,PlayerGameData[[#This Row],[PointRank]]/100+PlayerGameData[[#This Row],[REBOrder]],PlayerGameData[[#This Row],[REBOrder]])</f>
        <v>194.16</v>
      </c>
      <c r="AQ528" s="8">
        <f ca="1">RANK(PlayerGameData[[#This Row],[REBTieBreak]],PlayerGameData[REBTieBreak],1)</f>
        <v>224</v>
      </c>
      <c r="AR528" s="8">
        <f ca="1">RANK(PlayerGameData[[#This Row],[AST]],PlayerGameData[AST],0)+PlayerGameData[[#This Row],[VisibleOrder]]</f>
        <v>158</v>
      </c>
      <c r="AS528" s="8">
        <f ca="1">IF(COUNTIF(PlayerGameData[ASTOrder],PlayerGameData[[#This Row],[ASTOrder]])&gt;1,PlayerGameData[[#This Row],[PointRank]]/100+PlayerGameData[[#This Row],[ASTOrder]],PlayerGameData[[#This Row],[ASTOrder]])</f>
        <v>160.16</v>
      </c>
      <c r="AT528" s="8">
        <f ca="1">RANK(PlayerGameData[[#This Row],[ASTTieBreak]],PlayerGameData[ASTTieBreak],1)</f>
        <v>221</v>
      </c>
      <c r="AU528" s="8">
        <f ca="1">RANK(PlayerGameData[[#This Row],[STL]],PlayerGameData[STL],0)+PlayerGameData[[#This Row],[VisibleOrder]]</f>
        <v>143</v>
      </c>
      <c r="AV528" s="8">
        <f ca="1">IF(COUNTIF(PlayerGameData[STLOrder],PlayerGameData[[#This Row],[STLOrder]])&gt;1,PlayerGameData[[#This Row],[PointRank]]/100+PlayerGameData[[#This Row],[STLOrder]],PlayerGameData[[#This Row],[STLOrder]])</f>
        <v>145.16</v>
      </c>
      <c r="AW528" s="8">
        <f ca="1">RANK(PlayerGameData[[#This Row],[STLTieBreak]],PlayerGameData[STLTieBreak],1)</f>
        <v>217</v>
      </c>
      <c r="AX528" s="8">
        <f ca="1">RANK(PlayerGameData[[#This Row],[BLK]],PlayerGameData[BLK],0)+PlayerGameData[[#This Row],[VisibleOrder]]</f>
        <v>32</v>
      </c>
      <c r="AY528" s="8">
        <f ca="1">IF(COUNTIF(PlayerGameData[BLKOrder],PlayerGameData[[#This Row],[BLKOrder]])&gt;1,PlayerGameData[[#This Row],[PointRank]]/100+PlayerGameData[[#This Row],[BLKOrder]],PlayerGameData[[#This Row],[BLKOrder]])</f>
        <v>34.159999999999997</v>
      </c>
      <c r="AZ528" s="8">
        <f ca="1">RANK(PlayerGameData[[#This Row],[BLKTieBreak]],PlayerGameData[BLKTieBreak],1)</f>
        <v>216</v>
      </c>
      <c r="BA528" s="11">
        <f ca="1">IFERROR(IF(PlayerGameData[[#This Row],[FGA]]&gt;$AA$5,PlayerGameData[[#This Row],[FG%*]],PlayerGameData[[#This Row],[FG%*]]*-1),-2)</f>
        <v>-2</v>
      </c>
      <c r="BB528" s="8">
        <f ca="1">RANK(PlayerGameData[[#This Row],[EligFG]],PlayerGameData[EligFG],0)+PlayerGameData[[#This Row],[VisibleOrder]]</f>
        <v>215</v>
      </c>
      <c r="BC528" s="8">
        <f ca="1">IF(COUNTIF(PlayerGameData[EligFGOrder],PlayerGameData[[#This Row],[EligFGOrder]])&gt;1,PlayerGameData[[#This Row],[PointRank]]/100+PlayerGameData[[#This Row],[EligFGOrder]],PlayerGameData[[#This Row],[EligFGOrder]])</f>
        <v>217.16</v>
      </c>
      <c r="BD528" s="8">
        <f ca="1">RANK(PlayerGameData[[#This Row],[EligFGTieBreak]],PlayerGameData[EligFGTieBreak],1)</f>
        <v>216</v>
      </c>
      <c r="BE528" s="8" t="str">
        <f>Roster!$D$3</f>
        <v>East</v>
      </c>
      <c r="BF528" s="8" t="str">
        <f>Roster!$D$2</f>
        <v>Northeast</v>
      </c>
      <c r="BG528" s="8" t="str">
        <f>Roster!$D$4</f>
        <v>North</v>
      </c>
      <c r="BH528" s="197">
        <f ca="1">IFERROR(VLOOKUP(CONCATENATE(PlayerGameData[[#This Row],[Opponent]]," ",MONTH(PlayerGameData[[#This Row],[Date]]),"/",DAY(PlayerGameData[[#This Row],[Date]]),"/",YEAR(PlayerGameData[[#This Row],[Date]])),Table35[],2,FALSE),0)</f>
        <v>1</v>
      </c>
      <c r="BI528" s="197">
        <f ca="1">IF(PlayerGameData[[#This Row],[Visible]]=1,1,1000)</f>
        <v>1</v>
      </c>
      <c r="BJ528" s="197" t="e">
        <f ca="1">_xlfn.MAXIFS(TeamGameData[Win],TeamGameData[School, Opponent,Game'#],PlayerGameData[[#This Row],[School, Opponent,Game'#]])</f>
        <v>#NAME?</v>
      </c>
      <c r="BK528" s="197" t="e">
        <f ca="1">_xlfn.MAXIFS(TeamGameData[Loss],TeamGameData[School, Opponent,Game'#],PlayerGameData[[#This Row],[School, Opponent,Game'#]])</f>
        <v>#NAME?</v>
      </c>
    </row>
    <row r="529" spans="1:63" x14ac:dyDescent="0.25">
      <c r="A529" s="8" t="str">
        <f t="shared" ca="1" si="273"/>
        <v xml:space="preserve">, </v>
      </c>
      <c r="B529" s="8" t="str">
        <f>Roster!$B$1</f>
        <v>Upton</v>
      </c>
      <c r="C529" s="8" t="str">
        <f t="shared" ca="1" si="261"/>
        <v>Kaycee</v>
      </c>
      <c r="D529" s="10">
        <f t="shared" ca="1" si="262"/>
        <v>44981</v>
      </c>
      <c r="E529" s="8">
        <f t="shared" ca="1" si="263"/>
        <v>0</v>
      </c>
      <c r="F529" s="8">
        <f t="shared" ca="1" si="264"/>
        <v>0</v>
      </c>
      <c r="G529" s="8">
        <f t="shared" ca="1" si="265"/>
        <v>0</v>
      </c>
      <c r="H529" s="8">
        <f t="shared" ca="1" si="266"/>
        <v>0</v>
      </c>
      <c r="I529" s="8">
        <f t="shared" ca="1" si="267"/>
        <v>0</v>
      </c>
      <c r="J529" s="8">
        <f t="shared" ca="1" si="268"/>
        <v>0</v>
      </c>
      <c r="K529" s="8">
        <f t="shared" ca="1" si="269"/>
        <v>0</v>
      </c>
      <c r="L529" s="8">
        <f t="shared" ca="1" si="274"/>
        <v>0</v>
      </c>
      <c r="M529" s="8">
        <f t="shared" ca="1" si="275"/>
        <v>0</v>
      </c>
      <c r="N529" s="8">
        <f t="shared" ca="1" si="276"/>
        <v>0</v>
      </c>
      <c r="O529" s="8">
        <f t="shared" ca="1" si="277"/>
        <v>0</v>
      </c>
      <c r="P529" s="8">
        <f t="shared" ca="1" si="278"/>
        <v>0</v>
      </c>
      <c r="Q529" s="8">
        <f t="shared" ca="1" si="279"/>
        <v>0</v>
      </c>
      <c r="R529" s="8">
        <f t="shared" ca="1" si="280"/>
        <v>0</v>
      </c>
      <c r="S529" s="8">
        <f t="shared" ca="1" si="281"/>
        <v>0</v>
      </c>
      <c r="T529" s="8">
        <f t="shared" ca="1" si="282"/>
        <v>0</v>
      </c>
      <c r="U529" s="8">
        <f t="shared" ca="1" si="283"/>
        <v>0</v>
      </c>
      <c r="V529" s="8">
        <f t="shared" ca="1" si="284"/>
        <v>0</v>
      </c>
      <c r="W529" s="11" t="str">
        <f t="shared" ca="1" si="285"/>
        <v/>
      </c>
      <c r="X529" s="11" t="str">
        <f t="shared" ca="1" si="286"/>
        <v/>
      </c>
      <c r="Y529" s="11" t="str">
        <f t="shared" ca="1" si="287"/>
        <v/>
      </c>
      <c r="Z529" s="11" t="str">
        <f t="shared" ca="1" si="288"/>
        <v/>
      </c>
      <c r="AA529" s="11" t="str">
        <f t="shared" ca="1" si="289"/>
        <v/>
      </c>
      <c r="AB529" s="47">
        <f ca="1">PlayerGameData[[#This Row],[3FGA]]+PlayerGameData[[#This Row],[2FGA]]</f>
        <v>0</v>
      </c>
      <c r="AC529" s="47">
        <f ca="1">PlayerGameData[[#This Row],[OFF REB]]+PlayerGameData[[#This Row],[DEF REB]]</f>
        <v>0</v>
      </c>
      <c r="AD529" s="8">
        <f t="shared" si="270"/>
        <v>22</v>
      </c>
      <c r="AE529" s="8" t="str">
        <f t="shared" ca="1" si="271"/>
        <v>,  - Kaycee 2/24/2023</v>
      </c>
      <c r="AF529" s="8" t="str">
        <f t="shared" ca="1" si="290"/>
        <v>R</v>
      </c>
      <c r="AG529" s="8" t="str">
        <f ca="1">IFERROR(IF(C529=0,"",IF(AND(VLOOKUP(PlayerGameData[[#This Row],[Opponent]],WYTeamInfo,2,FALSE)=Roster!$D$1,VLOOKUP(PlayerGameData[[#This Row],[Opponent]],WYTeamInfo,3,FALSE)=Roster!$D$2),"SR","")),"")</f>
        <v>SR</v>
      </c>
      <c r="AH529" s="8" t="str">
        <f>CONCATENATE(Roster!$D$1," ",Roster!$D$5)</f>
        <v>1A BB</v>
      </c>
      <c r="AI529" s="8" t="str">
        <f t="shared" ca="1" si="272"/>
        <v>Upton - Kaycee 2/24/2023</v>
      </c>
      <c r="AJ529" s="8">
        <f ca="1">IFERROR(VLOOKUP(PlayerGameData[[#This Row],[School, Opponent,Game'#]],Table3[],2,FALSE),0)</f>
        <v>1</v>
      </c>
      <c r="AK529" s="8">
        <f ca="1">IF(PlayerGameData[[#This Row],[Visible]]=1,1,1000)</f>
        <v>1</v>
      </c>
      <c r="AL529" s="8">
        <f ca="1">RANK(PlayerGameData[[#This Row],[TL PTS]],PlayerGameData[TL PTS],0)+PlayerGameData[[#This Row],[VisibleOrder]]</f>
        <v>185</v>
      </c>
      <c r="AM529" s="8">
        <f ca="1">IF(COUNTIF(PlayerGameData[PointOrder],PlayerGameData[[#This Row],[PointOrder]])&gt;1,RANK(PlayerGameData[[#This Row],[FGA]],PlayerGameData[FGA],0)/100,0)+PlayerGameData[[#This Row],[PointOrder]]</f>
        <v>187.14</v>
      </c>
      <c r="AN529" s="8">
        <f ca="1">RANK(PlayerGameData[[#This Row],[PointTieBreak]],PlayerGameData[PointTieBreak],1)</f>
        <v>216</v>
      </c>
      <c r="AO529" s="8">
        <f ca="1">RANK(PlayerGameData[[#This Row],[REB]],PlayerGameData[REB],0)+PlayerGameData[[#This Row],[VisibleOrder]]</f>
        <v>192</v>
      </c>
      <c r="AP529" s="8">
        <f ca="1">IF(COUNTIF(PlayerGameData[REBOrder],PlayerGameData[[#This Row],[REBOrder]])&gt;1,PlayerGameData[[#This Row],[PointRank]]/100+PlayerGameData[[#This Row],[REBOrder]],PlayerGameData[[#This Row],[REBOrder]])</f>
        <v>194.16</v>
      </c>
      <c r="AQ529" s="8">
        <f ca="1">RANK(PlayerGameData[[#This Row],[REBTieBreak]],PlayerGameData[REBTieBreak],1)</f>
        <v>224</v>
      </c>
      <c r="AR529" s="8">
        <f ca="1">RANK(PlayerGameData[[#This Row],[AST]],PlayerGameData[AST],0)+PlayerGameData[[#This Row],[VisibleOrder]]</f>
        <v>158</v>
      </c>
      <c r="AS529" s="8">
        <f ca="1">IF(COUNTIF(PlayerGameData[ASTOrder],PlayerGameData[[#This Row],[ASTOrder]])&gt;1,PlayerGameData[[#This Row],[PointRank]]/100+PlayerGameData[[#This Row],[ASTOrder]],PlayerGameData[[#This Row],[ASTOrder]])</f>
        <v>160.16</v>
      </c>
      <c r="AT529" s="8">
        <f ca="1">RANK(PlayerGameData[[#This Row],[ASTTieBreak]],PlayerGameData[ASTTieBreak],1)</f>
        <v>221</v>
      </c>
      <c r="AU529" s="8">
        <f ca="1">RANK(PlayerGameData[[#This Row],[STL]],PlayerGameData[STL],0)+PlayerGameData[[#This Row],[VisibleOrder]]</f>
        <v>143</v>
      </c>
      <c r="AV529" s="8">
        <f ca="1">IF(COUNTIF(PlayerGameData[STLOrder],PlayerGameData[[#This Row],[STLOrder]])&gt;1,PlayerGameData[[#This Row],[PointRank]]/100+PlayerGameData[[#This Row],[STLOrder]],PlayerGameData[[#This Row],[STLOrder]])</f>
        <v>145.16</v>
      </c>
      <c r="AW529" s="8">
        <f ca="1">RANK(PlayerGameData[[#This Row],[STLTieBreak]],PlayerGameData[STLTieBreak],1)</f>
        <v>217</v>
      </c>
      <c r="AX529" s="8">
        <f ca="1">RANK(PlayerGameData[[#This Row],[BLK]],PlayerGameData[BLK],0)+PlayerGameData[[#This Row],[VisibleOrder]]</f>
        <v>32</v>
      </c>
      <c r="AY529" s="8">
        <f ca="1">IF(COUNTIF(PlayerGameData[BLKOrder],PlayerGameData[[#This Row],[BLKOrder]])&gt;1,PlayerGameData[[#This Row],[PointRank]]/100+PlayerGameData[[#This Row],[BLKOrder]],PlayerGameData[[#This Row],[BLKOrder]])</f>
        <v>34.159999999999997</v>
      </c>
      <c r="AZ529" s="8">
        <f ca="1">RANK(PlayerGameData[[#This Row],[BLKTieBreak]],PlayerGameData[BLKTieBreak],1)</f>
        <v>216</v>
      </c>
      <c r="BA529" s="11">
        <f ca="1">IFERROR(IF(PlayerGameData[[#This Row],[FGA]]&gt;$AA$5,PlayerGameData[[#This Row],[FG%*]],PlayerGameData[[#This Row],[FG%*]]*-1),-2)</f>
        <v>-2</v>
      </c>
      <c r="BB529" s="8">
        <f ca="1">RANK(PlayerGameData[[#This Row],[EligFG]],PlayerGameData[EligFG],0)+PlayerGameData[[#This Row],[VisibleOrder]]</f>
        <v>215</v>
      </c>
      <c r="BC529" s="8">
        <f ca="1">IF(COUNTIF(PlayerGameData[EligFGOrder],PlayerGameData[[#This Row],[EligFGOrder]])&gt;1,PlayerGameData[[#This Row],[PointRank]]/100+PlayerGameData[[#This Row],[EligFGOrder]],PlayerGameData[[#This Row],[EligFGOrder]])</f>
        <v>217.16</v>
      </c>
      <c r="BD529" s="8">
        <f ca="1">RANK(PlayerGameData[[#This Row],[EligFGTieBreak]],PlayerGameData[EligFGTieBreak],1)</f>
        <v>216</v>
      </c>
      <c r="BE529" s="8" t="str">
        <f>Roster!$D$3</f>
        <v>East</v>
      </c>
      <c r="BF529" s="8" t="str">
        <f>Roster!$D$2</f>
        <v>Northeast</v>
      </c>
      <c r="BG529" s="8" t="str">
        <f>Roster!$D$4</f>
        <v>North</v>
      </c>
      <c r="BH529" s="197">
        <f ca="1">IFERROR(VLOOKUP(CONCATENATE(PlayerGameData[[#This Row],[Opponent]]," ",MONTH(PlayerGameData[[#This Row],[Date]]),"/",DAY(PlayerGameData[[#This Row],[Date]]),"/",YEAR(PlayerGameData[[#This Row],[Date]])),Table35[],2,FALSE),0)</f>
        <v>1</v>
      </c>
      <c r="BI529" s="197">
        <f ca="1">IF(PlayerGameData[[#This Row],[Visible]]=1,1,1000)</f>
        <v>1</v>
      </c>
      <c r="BJ529" s="197" t="e">
        <f ca="1">_xlfn.MAXIFS(TeamGameData[Win],TeamGameData[School, Opponent,Game'#],PlayerGameData[[#This Row],[School, Opponent,Game'#]])</f>
        <v>#NAME?</v>
      </c>
      <c r="BK529" s="197" t="e">
        <f ca="1">_xlfn.MAXIFS(TeamGameData[Loss],TeamGameData[School, Opponent,Game'#],PlayerGameData[[#This Row],[School, Opponent,Game'#]])</f>
        <v>#NAME?</v>
      </c>
    </row>
    <row r="530" spans="1:63" x14ac:dyDescent="0.25">
      <c r="A530" s="8" t="str">
        <f t="shared" ca="1" si="273"/>
        <v xml:space="preserve">, </v>
      </c>
      <c r="B530" s="8" t="str">
        <f>Roster!$B$1</f>
        <v>Upton</v>
      </c>
      <c r="C530" s="8" t="str">
        <f t="shared" ca="1" si="261"/>
        <v>Kaycee</v>
      </c>
      <c r="D530" s="10">
        <f t="shared" ca="1" si="262"/>
        <v>44981</v>
      </c>
      <c r="E530" s="8">
        <f t="shared" ca="1" si="263"/>
        <v>0</v>
      </c>
      <c r="F530" s="8">
        <f t="shared" ca="1" si="264"/>
        <v>0</v>
      </c>
      <c r="G530" s="8">
        <f t="shared" ca="1" si="265"/>
        <v>0</v>
      </c>
      <c r="H530" s="8">
        <f t="shared" ca="1" si="266"/>
        <v>0</v>
      </c>
      <c r="I530" s="8">
        <f t="shared" ca="1" si="267"/>
        <v>0</v>
      </c>
      <c r="J530" s="8">
        <f t="shared" ca="1" si="268"/>
        <v>0</v>
      </c>
      <c r="K530" s="8">
        <f t="shared" ca="1" si="269"/>
        <v>0</v>
      </c>
      <c r="L530" s="8">
        <f t="shared" ca="1" si="274"/>
        <v>0</v>
      </c>
      <c r="M530" s="8">
        <f t="shared" ca="1" si="275"/>
        <v>0</v>
      </c>
      <c r="N530" s="8">
        <f t="shared" ca="1" si="276"/>
        <v>0</v>
      </c>
      <c r="O530" s="8">
        <f t="shared" ca="1" si="277"/>
        <v>0</v>
      </c>
      <c r="P530" s="8">
        <f t="shared" ca="1" si="278"/>
        <v>0</v>
      </c>
      <c r="Q530" s="8">
        <f t="shared" ca="1" si="279"/>
        <v>0</v>
      </c>
      <c r="R530" s="8">
        <f t="shared" ca="1" si="280"/>
        <v>0</v>
      </c>
      <c r="S530" s="8">
        <f t="shared" ca="1" si="281"/>
        <v>0</v>
      </c>
      <c r="T530" s="8">
        <f t="shared" ca="1" si="282"/>
        <v>0</v>
      </c>
      <c r="U530" s="8">
        <f t="shared" ca="1" si="283"/>
        <v>0</v>
      </c>
      <c r="V530" s="8">
        <f t="shared" ca="1" si="284"/>
        <v>0</v>
      </c>
      <c r="W530" s="11" t="str">
        <f t="shared" ca="1" si="285"/>
        <v/>
      </c>
      <c r="X530" s="11" t="str">
        <f t="shared" ca="1" si="286"/>
        <v/>
      </c>
      <c r="Y530" s="11" t="str">
        <f t="shared" ca="1" si="287"/>
        <v/>
      </c>
      <c r="Z530" s="11" t="str">
        <f t="shared" ca="1" si="288"/>
        <v/>
      </c>
      <c r="AA530" s="11" t="str">
        <f t="shared" ca="1" si="289"/>
        <v/>
      </c>
      <c r="AB530" s="47">
        <f ca="1">PlayerGameData[[#This Row],[3FGA]]+PlayerGameData[[#This Row],[2FGA]]</f>
        <v>0</v>
      </c>
      <c r="AC530" s="47">
        <f ca="1">PlayerGameData[[#This Row],[OFF REB]]+PlayerGameData[[#This Row],[DEF REB]]</f>
        <v>0</v>
      </c>
      <c r="AD530" s="8">
        <f t="shared" si="270"/>
        <v>22</v>
      </c>
      <c r="AE530" s="8" t="str">
        <f t="shared" ca="1" si="271"/>
        <v>,  - Kaycee 2/24/2023</v>
      </c>
      <c r="AF530" s="8" t="str">
        <f t="shared" ca="1" si="290"/>
        <v>R</v>
      </c>
      <c r="AG530" s="8" t="str">
        <f ca="1">IFERROR(IF(C530=0,"",IF(AND(VLOOKUP(PlayerGameData[[#This Row],[Opponent]],WYTeamInfo,2,FALSE)=Roster!$D$1,VLOOKUP(PlayerGameData[[#This Row],[Opponent]],WYTeamInfo,3,FALSE)=Roster!$D$2),"SR","")),"")</f>
        <v>SR</v>
      </c>
      <c r="AH530" s="8" t="str">
        <f>CONCATENATE(Roster!$D$1," ",Roster!$D$5)</f>
        <v>1A BB</v>
      </c>
      <c r="AI530" s="8" t="str">
        <f t="shared" ca="1" si="272"/>
        <v>Upton - Kaycee 2/24/2023</v>
      </c>
      <c r="AJ530" s="8">
        <f ca="1">IFERROR(VLOOKUP(PlayerGameData[[#This Row],[School, Opponent,Game'#]],Table3[],2,FALSE),0)</f>
        <v>1</v>
      </c>
      <c r="AK530" s="8">
        <f ca="1">IF(PlayerGameData[[#This Row],[Visible]]=1,1,1000)</f>
        <v>1</v>
      </c>
      <c r="AL530" s="8">
        <f ca="1">RANK(PlayerGameData[[#This Row],[TL PTS]],PlayerGameData[TL PTS],0)+PlayerGameData[[#This Row],[VisibleOrder]]</f>
        <v>185</v>
      </c>
      <c r="AM530" s="8">
        <f ca="1">IF(COUNTIF(PlayerGameData[PointOrder],PlayerGameData[[#This Row],[PointOrder]])&gt;1,RANK(PlayerGameData[[#This Row],[FGA]],PlayerGameData[FGA],0)/100,0)+PlayerGameData[[#This Row],[PointOrder]]</f>
        <v>187.14</v>
      </c>
      <c r="AN530" s="8">
        <f ca="1">RANK(PlayerGameData[[#This Row],[PointTieBreak]],PlayerGameData[PointTieBreak],1)</f>
        <v>216</v>
      </c>
      <c r="AO530" s="8">
        <f ca="1">RANK(PlayerGameData[[#This Row],[REB]],PlayerGameData[REB],0)+PlayerGameData[[#This Row],[VisibleOrder]]</f>
        <v>192</v>
      </c>
      <c r="AP530" s="8">
        <f ca="1">IF(COUNTIF(PlayerGameData[REBOrder],PlayerGameData[[#This Row],[REBOrder]])&gt;1,PlayerGameData[[#This Row],[PointRank]]/100+PlayerGameData[[#This Row],[REBOrder]],PlayerGameData[[#This Row],[REBOrder]])</f>
        <v>194.16</v>
      </c>
      <c r="AQ530" s="8">
        <f ca="1">RANK(PlayerGameData[[#This Row],[REBTieBreak]],PlayerGameData[REBTieBreak],1)</f>
        <v>224</v>
      </c>
      <c r="AR530" s="8">
        <f ca="1">RANK(PlayerGameData[[#This Row],[AST]],PlayerGameData[AST],0)+PlayerGameData[[#This Row],[VisibleOrder]]</f>
        <v>158</v>
      </c>
      <c r="AS530" s="8">
        <f ca="1">IF(COUNTIF(PlayerGameData[ASTOrder],PlayerGameData[[#This Row],[ASTOrder]])&gt;1,PlayerGameData[[#This Row],[PointRank]]/100+PlayerGameData[[#This Row],[ASTOrder]],PlayerGameData[[#This Row],[ASTOrder]])</f>
        <v>160.16</v>
      </c>
      <c r="AT530" s="8">
        <f ca="1">RANK(PlayerGameData[[#This Row],[ASTTieBreak]],PlayerGameData[ASTTieBreak],1)</f>
        <v>221</v>
      </c>
      <c r="AU530" s="8">
        <f ca="1">RANK(PlayerGameData[[#This Row],[STL]],PlayerGameData[STL],0)+PlayerGameData[[#This Row],[VisibleOrder]]</f>
        <v>143</v>
      </c>
      <c r="AV530" s="8">
        <f ca="1">IF(COUNTIF(PlayerGameData[STLOrder],PlayerGameData[[#This Row],[STLOrder]])&gt;1,PlayerGameData[[#This Row],[PointRank]]/100+PlayerGameData[[#This Row],[STLOrder]],PlayerGameData[[#This Row],[STLOrder]])</f>
        <v>145.16</v>
      </c>
      <c r="AW530" s="8">
        <f ca="1">RANK(PlayerGameData[[#This Row],[STLTieBreak]],PlayerGameData[STLTieBreak],1)</f>
        <v>217</v>
      </c>
      <c r="AX530" s="8">
        <f ca="1">RANK(PlayerGameData[[#This Row],[BLK]],PlayerGameData[BLK],0)+PlayerGameData[[#This Row],[VisibleOrder]]</f>
        <v>32</v>
      </c>
      <c r="AY530" s="8">
        <f ca="1">IF(COUNTIF(PlayerGameData[BLKOrder],PlayerGameData[[#This Row],[BLKOrder]])&gt;1,PlayerGameData[[#This Row],[PointRank]]/100+PlayerGameData[[#This Row],[BLKOrder]],PlayerGameData[[#This Row],[BLKOrder]])</f>
        <v>34.159999999999997</v>
      </c>
      <c r="AZ530" s="8">
        <f ca="1">RANK(PlayerGameData[[#This Row],[BLKTieBreak]],PlayerGameData[BLKTieBreak],1)</f>
        <v>216</v>
      </c>
      <c r="BA530" s="11">
        <f ca="1">IFERROR(IF(PlayerGameData[[#This Row],[FGA]]&gt;$AA$5,PlayerGameData[[#This Row],[FG%*]],PlayerGameData[[#This Row],[FG%*]]*-1),-2)</f>
        <v>-2</v>
      </c>
      <c r="BB530" s="8">
        <f ca="1">RANK(PlayerGameData[[#This Row],[EligFG]],PlayerGameData[EligFG],0)+PlayerGameData[[#This Row],[VisibleOrder]]</f>
        <v>215</v>
      </c>
      <c r="BC530" s="8">
        <f ca="1">IF(COUNTIF(PlayerGameData[EligFGOrder],PlayerGameData[[#This Row],[EligFGOrder]])&gt;1,PlayerGameData[[#This Row],[PointRank]]/100+PlayerGameData[[#This Row],[EligFGOrder]],PlayerGameData[[#This Row],[EligFGOrder]])</f>
        <v>217.16</v>
      </c>
      <c r="BD530" s="8">
        <f ca="1">RANK(PlayerGameData[[#This Row],[EligFGTieBreak]],PlayerGameData[EligFGTieBreak],1)</f>
        <v>216</v>
      </c>
      <c r="BE530" s="8" t="str">
        <f>Roster!$D$3</f>
        <v>East</v>
      </c>
      <c r="BF530" s="8" t="str">
        <f>Roster!$D$2</f>
        <v>Northeast</v>
      </c>
      <c r="BG530" s="8" t="str">
        <f>Roster!$D$4</f>
        <v>North</v>
      </c>
      <c r="BH530" s="197">
        <f ca="1">IFERROR(VLOOKUP(CONCATENATE(PlayerGameData[[#This Row],[Opponent]]," ",MONTH(PlayerGameData[[#This Row],[Date]]),"/",DAY(PlayerGameData[[#This Row],[Date]]),"/",YEAR(PlayerGameData[[#This Row],[Date]])),Table35[],2,FALSE),0)</f>
        <v>1</v>
      </c>
      <c r="BI530" s="197">
        <f ca="1">IF(PlayerGameData[[#This Row],[Visible]]=1,1,1000)</f>
        <v>1</v>
      </c>
      <c r="BJ530" s="197" t="e">
        <f ca="1">_xlfn.MAXIFS(TeamGameData[Win],TeamGameData[School, Opponent,Game'#],PlayerGameData[[#This Row],[School, Opponent,Game'#]])</f>
        <v>#NAME?</v>
      </c>
      <c r="BK530" s="197" t="e">
        <f ca="1">_xlfn.MAXIFS(TeamGameData[Loss],TeamGameData[School, Opponent,Game'#],PlayerGameData[[#This Row],[School, Opponent,Game'#]])</f>
        <v>#NAME?</v>
      </c>
    </row>
    <row r="531" spans="1:63" x14ac:dyDescent="0.25">
      <c r="A531" s="8" t="str">
        <f t="shared" ca="1" si="273"/>
        <v xml:space="preserve">, </v>
      </c>
      <c r="B531" s="8" t="str">
        <f>Roster!$B$1</f>
        <v>Upton</v>
      </c>
      <c r="C531" s="8" t="str">
        <f t="shared" ca="1" si="261"/>
        <v>Kaycee</v>
      </c>
      <c r="D531" s="10">
        <f t="shared" ca="1" si="262"/>
        <v>44981</v>
      </c>
      <c r="E531" s="8">
        <f t="shared" ca="1" si="263"/>
        <v>0</v>
      </c>
      <c r="F531" s="8">
        <f t="shared" ca="1" si="264"/>
        <v>0</v>
      </c>
      <c r="G531" s="8">
        <f t="shared" ca="1" si="265"/>
        <v>0</v>
      </c>
      <c r="H531" s="8">
        <f t="shared" ca="1" si="266"/>
        <v>0</v>
      </c>
      <c r="I531" s="8">
        <f t="shared" ca="1" si="267"/>
        <v>0</v>
      </c>
      <c r="J531" s="8">
        <f t="shared" ca="1" si="268"/>
        <v>0</v>
      </c>
      <c r="K531" s="8">
        <f t="shared" ca="1" si="269"/>
        <v>0</v>
      </c>
      <c r="L531" s="8">
        <f t="shared" ca="1" si="274"/>
        <v>0</v>
      </c>
      <c r="M531" s="8">
        <f t="shared" ca="1" si="275"/>
        <v>0</v>
      </c>
      <c r="N531" s="8">
        <f t="shared" ca="1" si="276"/>
        <v>0</v>
      </c>
      <c r="O531" s="8">
        <f t="shared" ca="1" si="277"/>
        <v>0</v>
      </c>
      <c r="P531" s="8">
        <f t="shared" ca="1" si="278"/>
        <v>0</v>
      </c>
      <c r="Q531" s="8">
        <f t="shared" ca="1" si="279"/>
        <v>0</v>
      </c>
      <c r="R531" s="8">
        <f t="shared" ca="1" si="280"/>
        <v>0</v>
      </c>
      <c r="S531" s="8">
        <f t="shared" ca="1" si="281"/>
        <v>0</v>
      </c>
      <c r="T531" s="8">
        <f t="shared" ca="1" si="282"/>
        <v>0</v>
      </c>
      <c r="U531" s="8">
        <f t="shared" ca="1" si="283"/>
        <v>0</v>
      </c>
      <c r="V531" s="8">
        <f t="shared" ca="1" si="284"/>
        <v>0</v>
      </c>
      <c r="W531" s="11" t="str">
        <f t="shared" ca="1" si="285"/>
        <v/>
      </c>
      <c r="X531" s="11" t="str">
        <f t="shared" ca="1" si="286"/>
        <v/>
      </c>
      <c r="Y531" s="11" t="str">
        <f t="shared" ca="1" si="287"/>
        <v/>
      </c>
      <c r="Z531" s="11" t="str">
        <f t="shared" ca="1" si="288"/>
        <v/>
      </c>
      <c r="AA531" s="11" t="str">
        <f t="shared" ca="1" si="289"/>
        <v/>
      </c>
      <c r="AB531" s="47">
        <f ca="1">PlayerGameData[[#This Row],[3FGA]]+PlayerGameData[[#This Row],[2FGA]]</f>
        <v>0</v>
      </c>
      <c r="AC531" s="47">
        <f ca="1">PlayerGameData[[#This Row],[OFF REB]]+PlayerGameData[[#This Row],[DEF REB]]</f>
        <v>0</v>
      </c>
      <c r="AD531" s="8">
        <f t="shared" si="270"/>
        <v>22</v>
      </c>
      <c r="AE531" s="8" t="str">
        <f t="shared" ca="1" si="271"/>
        <v>,  - Kaycee 2/24/2023</v>
      </c>
      <c r="AF531" s="8" t="str">
        <f t="shared" ca="1" si="290"/>
        <v>R</v>
      </c>
      <c r="AG531" s="8" t="str">
        <f ca="1">IFERROR(IF(C531=0,"",IF(AND(VLOOKUP(PlayerGameData[[#This Row],[Opponent]],WYTeamInfo,2,FALSE)=Roster!$D$1,VLOOKUP(PlayerGameData[[#This Row],[Opponent]],WYTeamInfo,3,FALSE)=Roster!$D$2),"SR","")),"")</f>
        <v>SR</v>
      </c>
      <c r="AH531" s="8" t="str">
        <f>CONCATENATE(Roster!$D$1," ",Roster!$D$5)</f>
        <v>1A BB</v>
      </c>
      <c r="AI531" s="8" t="str">
        <f t="shared" ca="1" si="272"/>
        <v>Upton - Kaycee 2/24/2023</v>
      </c>
      <c r="AJ531" s="8">
        <f ca="1">IFERROR(VLOOKUP(PlayerGameData[[#This Row],[School, Opponent,Game'#]],Table3[],2,FALSE),0)</f>
        <v>1</v>
      </c>
      <c r="AK531" s="8">
        <f ca="1">IF(PlayerGameData[[#This Row],[Visible]]=1,1,1000)</f>
        <v>1</v>
      </c>
      <c r="AL531" s="8">
        <f ca="1">RANK(PlayerGameData[[#This Row],[TL PTS]],PlayerGameData[TL PTS],0)+PlayerGameData[[#This Row],[VisibleOrder]]</f>
        <v>185</v>
      </c>
      <c r="AM531" s="8">
        <f ca="1">IF(COUNTIF(PlayerGameData[PointOrder],PlayerGameData[[#This Row],[PointOrder]])&gt;1,RANK(PlayerGameData[[#This Row],[FGA]],PlayerGameData[FGA],0)/100,0)+PlayerGameData[[#This Row],[PointOrder]]</f>
        <v>187.14</v>
      </c>
      <c r="AN531" s="8">
        <f ca="1">RANK(PlayerGameData[[#This Row],[PointTieBreak]],PlayerGameData[PointTieBreak],1)</f>
        <v>216</v>
      </c>
      <c r="AO531" s="8">
        <f ca="1">RANK(PlayerGameData[[#This Row],[REB]],PlayerGameData[REB],0)+PlayerGameData[[#This Row],[VisibleOrder]]</f>
        <v>192</v>
      </c>
      <c r="AP531" s="8">
        <f ca="1">IF(COUNTIF(PlayerGameData[REBOrder],PlayerGameData[[#This Row],[REBOrder]])&gt;1,PlayerGameData[[#This Row],[PointRank]]/100+PlayerGameData[[#This Row],[REBOrder]],PlayerGameData[[#This Row],[REBOrder]])</f>
        <v>194.16</v>
      </c>
      <c r="AQ531" s="8">
        <f ca="1">RANK(PlayerGameData[[#This Row],[REBTieBreak]],PlayerGameData[REBTieBreak],1)</f>
        <v>224</v>
      </c>
      <c r="AR531" s="8">
        <f ca="1">RANK(PlayerGameData[[#This Row],[AST]],PlayerGameData[AST],0)+PlayerGameData[[#This Row],[VisibleOrder]]</f>
        <v>158</v>
      </c>
      <c r="AS531" s="8">
        <f ca="1">IF(COUNTIF(PlayerGameData[ASTOrder],PlayerGameData[[#This Row],[ASTOrder]])&gt;1,PlayerGameData[[#This Row],[PointRank]]/100+PlayerGameData[[#This Row],[ASTOrder]],PlayerGameData[[#This Row],[ASTOrder]])</f>
        <v>160.16</v>
      </c>
      <c r="AT531" s="8">
        <f ca="1">RANK(PlayerGameData[[#This Row],[ASTTieBreak]],PlayerGameData[ASTTieBreak],1)</f>
        <v>221</v>
      </c>
      <c r="AU531" s="8">
        <f ca="1">RANK(PlayerGameData[[#This Row],[STL]],PlayerGameData[STL],0)+PlayerGameData[[#This Row],[VisibleOrder]]</f>
        <v>143</v>
      </c>
      <c r="AV531" s="8">
        <f ca="1">IF(COUNTIF(PlayerGameData[STLOrder],PlayerGameData[[#This Row],[STLOrder]])&gt;1,PlayerGameData[[#This Row],[PointRank]]/100+PlayerGameData[[#This Row],[STLOrder]],PlayerGameData[[#This Row],[STLOrder]])</f>
        <v>145.16</v>
      </c>
      <c r="AW531" s="8">
        <f ca="1">RANK(PlayerGameData[[#This Row],[STLTieBreak]],PlayerGameData[STLTieBreak],1)</f>
        <v>217</v>
      </c>
      <c r="AX531" s="8">
        <f ca="1">RANK(PlayerGameData[[#This Row],[BLK]],PlayerGameData[BLK],0)+PlayerGameData[[#This Row],[VisibleOrder]]</f>
        <v>32</v>
      </c>
      <c r="AY531" s="8">
        <f ca="1">IF(COUNTIF(PlayerGameData[BLKOrder],PlayerGameData[[#This Row],[BLKOrder]])&gt;1,PlayerGameData[[#This Row],[PointRank]]/100+PlayerGameData[[#This Row],[BLKOrder]],PlayerGameData[[#This Row],[BLKOrder]])</f>
        <v>34.159999999999997</v>
      </c>
      <c r="AZ531" s="8">
        <f ca="1">RANK(PlayerGameData[[#This Row],[BLKTieBreak]],PlayerGameData[BLKTieBreak],1)</f>
        <v>216</v>
      </c>
      <c r="BA531" s="11">
        <f ca="1">IFERROR(IF(PlayerGameData[[#This Row],[FGA]]&gt;$AA$5,PlayerGameData[[#This Row],[FG%*]],PlayerGameData[[#This Row],[FG%*]]*-1),-2)</f>
        <v>-2</v>
      </c>
      <c r="BB531" s="8">
        <f ca="1">RANK(PlayerGameData[[#This Row],[EligFG]],PlayerGameData[EligFG],0)+PlayerGameData[[#This Row],[VisibleOrder]]</f>
        <v>215</v>
      </c>
      <c r="BC531" s="8">
        <f ca="1">IF(COUNTIF(PlayerGameData[EligFGOrder],PlayerGameData[[#This Row],[EligFGOrder]])&gt;1,PlayerGameData[[#This Row],[PointRank]]/100+PlayerGameData[[#This Row],[EligFGOrder]],PlayerGameData[[#This Row],[EligFGOrder]])</f>
        <v>217.16</v>
      </c>
      <c r="BD531" s="8">
        <f ca="1">RANK(PlayerGameData[[#This Row],[EligFGTieBreak]],PlayerGameData[EligFGTieBreak],1)</f>
        <v>216</v>
      </c>
      <c r="BE531" s="8" t="str">
        <f>Roster!$D$3</f>
        <v>East</v>
      </c>
      <c r="BF531" s="8" t="str">
        <f>Roster!$D$2</f>
        <v>Northeast</v>
      </c>
      <c r="BG531" s="8" t="str">
        <f>Roster!$D$4</f>
        <v>North</v>
      </c>
      <c r="BH531" s="197">
        <f ca="1">IFERROR(VLOOKUP(CONCATENATE(PlayerGameData[[#This Row],[Opponent]]," ",MONTH(PlayerGameData[[#This Row],[Date]]),"/",DAY(PlayerGameData[[#This Row],[Date]]),"/",YEAR(PlayerGameData[[#This Row],[Date]])),Table35[],2,FALSE),0)</f>
        <v>1</v>
      </c>
      <c r="BI531" s="197">
        <f ca="1">IF(PlayerGameData[[#This Row],[Visible]]=1,1,1000)</f>
        <v>1</v>
      </c>
      <c r="BJ531" s="197" t="e">
        <f ca="1">_xlfn.MAXIFS(TeamGameData[Win],TeamGameData[School, Opponent,Game'#],PlayerGameData[[#This Row],[School, Opponent,Game'#]])</f>
        <v>#NAME?</v>
      </c>
      <c r="BK531" s="197" t="e">
        <f ca="1">_xlfn.MAXIFS(TeamGameData[Loss],TeamGameData[School, Opponent,Game'#],PlayerGameData[[#This Row],[School, Opponent,Game'#]])</f>
        <v>#NAME?</v>
      </c>
    </row>
    <row r="532" spans="1:63" x14ac:dyDescent="0.25">
      <c r="A532" s="8" t="str">
        <f t="shared" ca="1" si="273"/>
        <v xml:space="preserve">, </v>
      </c>
      <c r="B532" s="8" t="str">
        <f>Roster!$B$1</f>
        <v>Upton</v>
      </c>
      <c r="C532" s="8" t="str">
        <f t="shared" ca="1" si="261"/>
        <v>Kaycee</v>
      </c>
      <c r="D532" s="10">
        <f t="shared" ca="1" si="262"/>
        <v>44981</v>
      </c>
      <c r="E532" s="8">
        <f t="shared" ca="1" si="263"/>
        <v>0</v>
      </c>
      <c r="F532" s="8">
        <f t="shared" ca="1" si="264"/>
        <v>0</v>
      </c>
      <c r="G532" s="8">
        <f t="shared" ca="1" si="265"/>
        <v>0</v>
      </c>
      <c r="H532" s="8">
        <f t="shared" ca="1" si="266"/>
        <v>0</v>
      </c>
      <c r="I532" s="8">
        <f t="shared" ca="1" si="267"/>
        <v>0</v>
      </c>
      <c r="J532" s="8">
        <f t="shared" ca="1" si="268"/>
        <v>0</v>
      </c>
      <c r="K532" s="8">
        <f t="shared" ca="1" si="269"/>
        <v>0</v>
      </c>
      <c r="L532" s="8">
        <f t="shared" ca="1" si="274"/>
        <v>0</v>
      </c>
      <c r="M532" s="8">
        <f t="shared" ca="1" si="275"/>
        <v>0</v>
      </c>
      <c r="N532" s="8">
        <f t="shared" ca="1" si="276"/>
        <v>0</v>
      </c>
      <c r="O532" s="8">
        <f t="shared" ca="1" si="277"/>
        <v>0</v>
      </c>
      <c r="P532" s="8">
        <f t="shared" ca="1" si="278"/>
        <v>0</v>
      </c>
      <c r="Q532" s="8">
        <f t="shared" ca="1" si="279"/>
        <v>0</v>
      </c>
      <c r="R532" s="8">
        <f t="shared" ca="1" si="280"/>
        <v>0</v>
      </c>
      <c r="S532" s="8">
        <f t="shared" ca="1" si="281"/>
        <v>0</v>
      </c>
      <c r="T532" s="8">
        <f t="shared" ca="1" si="282"/>
        <v>0</v>
      </c>
      <c r="U532" s="8">
        <f t="shared" ca="1" si="283"/>
        <v>0</v>
      </c>
      <c r="V532" s="8">
        <f t="shared" ca="1" si="284"/>
        <v>0</v>
      </c>
      <c r="W532" s="11" t="str">
        <f t="shared" ca="1" si="285"/>
        <v/>
      </c>
      <c r="X532" s="11" t="str">
        <f t="shared" ca="1" si="286"/>
        <v/>
      </c>
      <c r="Y532" s="11" t="str">
        <f t="shared" ca="1" si="287"/>
        <v/>
      </c>
      <c r="Z532" s="11" t="str">
        <f t="shared" ca="1" si="288"/>
        <v/>
      </c>
      <c r="AA532" s="11" t="str">
        <f t="shared" ca="1" si="289"/>
        <v/>
      </c>
      <c r="AB532" s="47">
        <f ca="1">PlayerGameData[[#This Row],[3FGA]]+PlayerGameData[[#This Row],[2FGA]]</f>
        <v>0</v>
      </c>
      <c r="AC532" s="47">
        <f ca="1">PlayerGameData[[#This Row],[OFF REB]]+PlayerGameData[[#This Row],[DEF REB]]</f>
        <v>0</v>
      </c>
      <c r="AD532" s="8">
        <f t="shared" si="270"/>
        <v>22</v>
      </c>
      <c r="AE532" s="8" t="str">
        <f t="shared" ca="1" si="271"/>
        <v>,  - Kaycee 2/24/2023</v>
      </c>
      <c r="AF532" s="8" t="str">
        <f t="shared" ca="1" si="290"/>
        <v>R</v>
      </c>
      <c r="AG532" s="8" t="str">
        <f ca="1">IFERROR(IF(C532=0,"",IF(AND(VLOOKUP(PlayerGameData[[#This Row],[Opponent]],WYTeamInfo,2,FALSE)=Roster!$D$1,VLOOKUP(PlayerGameData[[#This Row],[Opponent]],WYTeamInfo,3,FALSE)=Roster!$D$2),"SR","")),"")</f>
        <v>SR</v>
      </c>
      <c r="AH532" s="8" t="str">
        <f>CONCATENATE(Roster!$D$1," ",Roster!$D$5)</f>
        <v>1A BB</v>
      </c>
      <c r="AI532" s="8" t="str">
        <f t="shared" ca="1" si="272"/>
        <v>Upton - Kaycee 2/24/2023</v>
      </c>
      <c r="AJ532" s="8">
        <f ca="1">IFERROR(VLOOKUP(PlayerGameData[[#This Row],[School, Opponent,Game'#]],Table3[],2,FALSE),0)</f>
        <v>1</v>
      </c>
      <c r="AK532" s="8">
        <f ca="1">IF(PlayerGameData[[#This Row],[Visible]]=1,1,1000)</f>
        <v>1</v>
      </c>
      <c r="AL532" s="8">
        <f ca="1">RANK(PlayerGameData[[#This Row],[TL PTS]],PlayerGameData[TL PTS],0)+PlayerGameData[[#This Row],[VisibleOrder]]</f>
        <v>185</v>
      </c>
      <c r="AM532" s="8">
        <f ca="1">IF(COUNTIF(PlayerGameData[PointOrder],PlayerGameData[[#This Row],[PointOrder]])&gt;1,RANK(PlayerGameData[[#This Row],[FGA]],PlayerGameData[FGA],0)/100,0)+PlayerGameData[[#This Row],[PointOrder]]</f>
        <v>187.14</v>
      </c>
      <c r="AN532" s="8">
        <f ca="1">RANK(PlayerGameData[[#This Row],[PointTieBreak]],PlayerGameData[PointTieBreak],1)</f>
        <v>216</v>
      </c>
      <c r="AO532" s="8">
        <f ca="1">RANK(PlayerGameData[[#This Row],[REB]],PlayerGameData[REB],0)+PlayerGameData[[#This Row],[VisibleOrder]]</f>
        <v>192</v>
      </c>
      <c r="AP532" s="8">
        <f ca="1">IF(COUNTIF(PlayerGameData[REBOrder],PlayerGameData[[#This Row],[REBOrder]])&gt;1,PlayerGameData[[#This Row],[PointRank]]/100+PlayerGameData[[#This Row],[REBOrder]],PlayerGameData[[#This Row],[REBOrder]])</f>
        <v>194.16</v>
      </c>
      <c r="AQ532" s="8">
        <f ca="1">RANK(PlayerGameData[[#This Row],[REBTieBreak]],PlayerGameData[REBTieBreak],1)</f>
        <v>224</v>
      </c>
      <c r="AR532" s="8">
        <f ca="1">RANK(PlayerGameData[[#This Row],[AST]],PlayerGameData[AST],0)+PlayerGameData[[#This Row],[VisibleOrder]]</f>
        <v>158</v>
      </c>
      <c r="AS532" s="8">
        <f ca="1">IF(COUNTIF(PlayerGameData[ASTOrder],PlayerGameData[[#This Row],[ASTOrder]])&gt;1,PlayerGameData[[#This Row],[PointRank]]/100+PlayerGameData[[#This Row],[ASTOrder]],PlayerGameData[[#This Row],[ASTOrder]])</f>
        <v>160.16</v>
      </c>
      <c r="AT532" s="8">
        <f ca="1">RANK(PlayerGameData[[#This Row],[ASTTieBreak]],PlayerGameData[ASTTieBreak],1)</f>
        <v>221</v>
      </c>
      <c r="AU532" s="8">
        <f ca="1">RANK(PlayerGameData[[#This Row],[STL]],PlayerGameData[STL],0)+PlayerGameData[[#This Row],[VisibleOrder]]</f>
        <v>143</v>
      </c>
      <c r="AV532" s="8">
        <f ca="1">IF(COUNTIF(PlayerGameData[STLOrder],PlayerGameData[[#This Row],[STLOrder]])&gt;1,PlayerGameData[[#This Row],[PointRank]]/100+PlayerGameData[[#This Row],[STLOrder]],PlayerGameData[[#This Row],[STLOrder]])</f>
        <v>145.16</v>
      </c>
      <c r="AW532" s="8">
        <f ca="1">RANK(PlayerGameData[[#This Row],[STLTieBreak]],PlayerGameData[STLTieBreak],1)</f>
        <v>217</v>
      </c>
      <c r="AX532" s="8">
        <f ca="1">RANK(PlayerGameData[[#This Row],[BLK]],PlayerGameData[BLK],0)+PlayerGameData[[#This Row],[VisibleOrder]]</f>
        <v>32</v>
      </c>
      <c r="AY532" s="8">
        <f ca="1">IF(COUNTIF(PlayerGameData[BLKOrder],PlayerGameData[[#This Row],[BLKOrder]])&gt;1,PlayerGameData[[#This Row],[PointRank]]/100+PlayerGameData[[#This Row],[BLKOrder]],PlayerGameData[[#This Row],[BLKOrder]])</f>
        <v>34.159999999999997</v>
      </c>
      <c r="AZ532" s="8">
        <f ca="1">RANK(PlayerGameData[[#This Row],[BLKTieBreak]],PlayerGameData[BLKTieBreak],1)</f>
        <v>216</v>
      </c>
      <c r="BA532" s="11">
        <f ca="1">IFERROR(IF(PlayerGameData[[#This Row],[FGA]]&gt;$AA$5,PlayerGameData[[#This Row],[FG%*]],PlayerGameData[[#This Row],[FG%*]]*-1),-2)</f>
        <v>-2</v>
      </c>
      <c r="BB532" s="8">
        <f ca="1">RANK(PlayerGameData[[#This Row],[EligFG]],PlayerGameData[EligFG],0)+PlayerGameData[[#This Row],[VisibleOrder]]</f>
        <v>215</v>
      </c>
      <c r="BC532" s="8">
        <f ca="1">IF(COUNTIF(PlayerGameData[EligFGOrder],PlayerGameData[[#This Row],[EligFGOrder]])&gt;1,PlayerGameData[[#This Row],[PointRank]]/100+PlayerGameData[[#This Row],[EligFGOrder]],PlayerGameData[[#This Row],[EligFGOrder]])</f>
        <v>217.16</v>
      </c>
      <c r="BD532" s="8">
        <f ca="1">RANK(PlayerGameData[[#This Row],[EligFGTieBreak]],PlayerGameData[EligFGTieBreak],1)</f>
        <v>216</v>
      </c>
      <c r="BE532" s="8" t="str">
        <f>Roster!$D$3</f>
        <v>East</v>
      </c>
      <c r="BF532" s="8" t="str">
        <f>Roster!$D$2</f>
        <v>Northeast</v>
      </c>
      <c r="BG532" s="8" t="str">
        <f>Roster!$D$4</f>
        <v>North</v>
      </c>
      <c r="BH532" s="197">
        <f ca="1">IFERROR(VLOOKUP(CONCATENATE(PlayerGameData[[#This Row],[Opponent]]," ",MONTH(PlayerGameData[[#This Row],[Date]]),"/",DAY(PlayerGameData[[#This Row],[Date]]),"/",YEAR(PlayerGameData[[#This Row],[Date]])),Table35[],2,FALSE),0)</f>
        <v>1</v>
      </c>
      <c r="BI532" s="197">
        <f ca="1">IF(PlayerGameData[[#This Row],[Visible]]=1,1,1000)</f>
        <v>1</v>
      </c>
      <c r="BJ532" s="197" t="e">
        <f ca="1">_xlfn.MAXIFS(TeamGameData[Win],TeamGameData[School, Opponent,Game'#],PlayerGameData[[#This Row],[School, Opponent,Game'#]])</f>
        <v>#NAME?</v>
      </c>
      <c r="BK532" s="197" t="e">
        <f ca="1">_xlfn.MAXIFS(TeamGameData[Loss],TeamGameData[School, Opponent,Game'#],PlayerGameData[[#This Row],[School, Opponent,Game'#]])</f>
        <v>#NAME?</v>
      </c>
    </row>
    <row r="533" spans="1:63" x14ac:dyDescent="0.25">
      <c r="A533" s="8" t="str">
        <f t="shared" ca="1" si="273"/>
        <v xml:space="preserve">, </v>
      </c>
      <c r="B533" s="8" t="str">
        <f>Roster!$B$1</f>
        <v>Upton</v>
      </c>
      <c r="C533" s="8" t="str">
        <f t="shared" ca="1" si="261"/>
        <v>Kaycee</v>
      </c>
      <c r="D533" s="10">
        <f t="shared" ca="1" si="262"/>
        <v>44981</v>
      </c>
      <c r="E533" s="8">
        <f t="shared" ca="1" si="263"/>
        <v>0</v>
      </c>
      <c r="F533" s="8">
        <f t="shared" ca="1" si="264"/>
        <v>0</v>
      </c>
      <c r="G533" s="8">
        <f t="shared" ca="1" si="265"/>
        <v>0</v>
      </c>
      <c r="H533" s="8">
        <f t="shared" ca="1" si="266"/>
        <v>0</v>
      </c>
      <c r="I533" s="8">
        <f t="shared" ca="1" si="267"/>
        <v>0</v>
      </c>
      <c r="J533" s="8">
        <f t="shared" ca="1" si="268"/>
        <v>0</v>
      </c>
      <c r="K533" s="8">
        <f t="shared" ca="1" si="269"/>
        <v>0</v>
      </c>
      <c r="L533" s="8">
        <f t="shared" ca="1" si="274"/>
        <v>0</v>
      </c>
      <c r="M533" s="8">
        <f t="shared" ca="1" si="275"/>
        <v>0</v>
      </c>
      <c r="N533" s="8">
        <f t="shared" ca="1" si="276"/>
        <v>0</v>
      </c>
      <c r="O533" s="8">
        <f t="shared" ca="1" si="277"/>
        <v>0</v>
      </c>
      <c r="P533" s="8">
        <f t="shared" ca="1" si="278"/>
        <v>0</v>
      </c>
      <c r="Q533" s="8">
        <f t="shared" ca="1" si="279"/>
        <v>0</v>
      </c>
      <c r="R533" s="8">
        <f t="shared" ca="1" si="280"/>
        <v>0</v>
      </c>
      <c r="S533" s="8">
        <f t="shared" ca="1" si="281"/>
        <v>0</v>
      </c>
      <c r="T533" s="8">
        <f t="shared" ca="1" si="282"/>
        <v>0</v>
      </c>
      <c r="U533" s="8">
        <f t="shared" ca="1" si="283"/>
        <v>0</v>
      </c>
      <c r="V533" s="8">
        <f t="shared" ca="1" si="284"/>
        <v>0</v>
      </c>
      <c r="W533" s="11" t="str">
        <f t="shared" ca="1" si="285"/>
        <v/>
      </c>
      <c r="X533" s="11" t="str">
        <f t="shared" ca="1" si="286"/>
        <v/>
      </c>
      <c r="Y533" s="11" t="str">
        <f t="shared" ca="1" si="287"/>
        <v/>
      </c>
      <c r="Z533" s="11" t="str">
        <f t="shared" ca="1" si="288"/>
        <v/>
      </c>
      <c r="AA533" s="11" t="str">
        <f t="shared" ca="1" si="289"/>
        <v/>
      </c>
      <c r="AB533" s="47">
        <f ca="1">PlayerGameData[[#This Row],[3FGA]]+PlayerGameData[[#This Row],[2FGA]]</f>
        <v>0</v>
      </c>
      <c r="AC533" s="47">
        <f ca="1">PlayerGameData[[#This Row],[OFF REB]]+PlayerGameData[[#This Row],[DEF REB]]</f>
        <v>0</v>
      </c>
      <c r="AD533" s="8">
        <f t="shared" si="270"/>
        <v>22</v>
      </c>
      <c r="AE533" s="8" t="str">
        <f t="shared" ca="1" si="271"/>
        <v>,  - Kaycee 2/24/2023</v>
      </c>
      <c r="AF533" s="8" t="str">
        <f t="shared" ca="1" si="290"/>
        <v>R</v>
      </c>
      <c r="AG533" s="8" t="str">
        <f ca="1">IFERROR(IF(C533=0,"",IF(AND(VLOOKUP(PlayerGameData[[#This Row],[Opponent]],WYTeamInfo,2,FALSE)=Roster!$D$1,VLOOKUP(PlayerGameData[[#This Row],[Opponent]],WYTeamInfo,3,FALSE)=Roster!$D$2),"SR","")),"")</f>
        <v>SR</v>
      </c>
      <c r="AH533" s="8" t="str">
        <f>CONCATENATE(Roster!$D$1," ",Roster!$D$5)</f>
        <v>1A BB</v>
      </c>
      <c r="AI533" s="8" t="str">
        <f t="shared" ca="1" si="272"/>
        <v>Upton - Kaycee 2/24/2023</v>
      </c>
      <c r="AJ533" s="8">
        <f ca="1">IFERROR(VLOOKUP(PlayerGameData[[#This Row],[School, Opponent,Game'#]],Table3[],2,FALSE),0)</f>
        <v>1</v>
      </c>
      <c r="AK533" s="8">
        <f ca="1">IF(PlayerGameData[[#This Row],[Visible]]=1,1,1000)</f>
        <v>1</v>
      </c>
      <c r="AL533" s="8">
        <f ca="1">RANK(PlayerGameData[[#This Row],[TL PTS]],PlayerGameData[TL PTS],0)+PlayerGameData[[#This Row],[VisibleOrder]]</f>
        <v>185</v>
      </c>
      <c r="AM533" s="8">
        <f ca="1">IF(COUNTIF(PlayerGameData[PointOrder],PlayerGameData[[#This Row],[PointOrder]])&gt;1,RANK(PlayerGameData[[#This Row],[FGA]],PlayerGameData[FGA],0)/100,0)+PlayerGameData[[#This Row],[PointOrder]]</f>
        <v>187.14</v>
      </c>
      <c r="AN533" s="8">
        <f ca="1">RANK(PlayerGameData[[#This Row],[PointTieBreak]],PlayerGameData[PointTieBreak],1)</f>
        <v>216</v>
      </c>
      <c r="AO533" s="8">
        <f ca="1">RANK(PlayerGameData[[#This Row],[REB]],PlayerGameData[REB],0)+PlayerGameData[[#This Row],[VisibleOrder]]</f>
        <v>192</v>
      </c>
      <c r="AP533" s="8">
        <f ca="1">IF(COUNTIF(PlayerGameData[REBOrder],PlayerGameData[[#This Row],[REBOrder]])&gt;1,PlayerGameData[[#This Row],[PointRank]]/100+PlayerGameData[[#This Row],[REBOrder]],PlayerGameData[[#This Row],[REBOrder]])</f>
        <v>194.16</v>
      </c>
      <c r="AQ533" s="8">
        <f ca="1">RANK(PlayerGameData[[#This Row],[REBTieBreak]],PlayerGameData[REBTieBreak],1)</f>
        <v>224</v>
      </c>
      <c r="AR533" s="8">
        <f ca="1">RANK(PlayerGameData[[#This Row],[AST]],PlayerGameData[AST],0)+PlayerGameData[[#This Row],[VisibleOrder]]</f>
        <v>158</v>
      </c>
      <c r="AS533" s="8">
        <f ca="1">IF(COUNTIF(PlayerGameData[ASTOrder],PlayerGameData[[#This Row],[ASTOrder]])&gt;1,PlayerGameData[[#This Row],[PointRank]]/100+PlayerGameData[[#This Row],[ASTOrder]],PlayerGameData[[#This Row],[ASTOrder]])</f>
        <v>160.16</v>
      </c>
      <c r="AT533" s="8">
        <f ca="1">RANK(PlayerGameData[[#This Row],[ASTTieBreak]],PlayerGameData[ASTTieBreak],1)</f>
        <v>221</v>
      </c>
      <c r="AU533" s="8">
        <f ca="1">RANK(PlayerGameData[[#This Row],[STL]],PlayerGameData[STL],0)+PlayerGameData[[#This Row],[VisibleOrder]]</f>
        <v>143</v>
      </c>
      <c r="AV533" s="8">
        <f ca="1">IF(COUNTIF(PlayerGameData[STLOrder],PlayerGameData[[#This Row],[STLOrder]])&gt;1,PlayerGameData[[#This Row],[PointRank]]/100+PlayerGameData[[#This Row],[STLOrder]],PlayerGameData[[#This Row],[STLOrder]])</f>
        <v>145.16</v>
      </c>
      <c r="AW533" s="8">
        <f ca="1">RANK(PlayerGameData[[#This Row],[STLTieBreak]],PlayerGameData[STLTieBreak],1)</f>
        <v>217</v>
      </c>
      <c r="AX533" s="8">
        <f ca="1">RANK(PlayerGameData[[#This Row],[BLK]],PlayerGameData[BLK],0)+PlayerGameData[[#This Row],[VisibleOrder]]</f>
        <v>32</v>
      </c>
      <c r="AY533" s="8">
        <f ca="1">IF(COUNTIF(PlayerGameData[BLKOrder],PlayerGameData[[#This Row],[BLKOrder]])&gt;1,PlayerGameData[[#This Row],[PointRank]]/100+PlayerGameData[[#This Row],[BLKOrder]],PlayerGameData[[#This Row],[BLKOrder]])</f>
        <v>34.159999999999997</v>
      </c>
      <c r="AZ533" s="8">
        <f ca="1">RANK(PlayerGameData[[#This Row],[BLKTieBreak]],PlayerGameData[BLKTieBreak],1)</f>
        <v>216</v>
      </c>
      <c r="BA533" s="11">
        <f ca="1">IFERROR(IF(PlayerGameData[[#This Row],[FGA]]&gt;$AA$5,PlayerGameData[[#This Row],[FG%*]],PlayerGameData[[#This Row],[FG%*]]*-1),-2)</f>
        <v>-2</v>
      </c>
      <c r="BB533" s="8">
        <f ca="1">RANK(PlayerGameData[[#This Row],[EligFG]],PlayerGameData[EligFG],0)+PlayerGameData[[#This Row],[VisibleOrder]]</f>
        <v>215</v>
      </c>
      <c r="BC533" s="8">
        <f ca="1">IF(COUNTIF(PlayerGameData[EligFGOrder],PlayerGameData[[#This Row],[EligFGOrder]])&gt;1,PlayerGameData[[#This Row],[PointRank]]/100+PlayerGameData[[#This Row],[EligFGOrder]],PlayerGameData[[#This Row],[EligFGOrder]])</f>
        <v>217.16</v>
      </c>
      <c r="BD533" s="8">
        <f ca="1">RANK(PlayerGameData[[#This Row],[EligFGTieBreak]],PlayerGameData[EligFGTieBreak],1)</f>
        <v>216</v>
      </c>
      <c r="BE533" s="8" t="str">
        <f>Roster!$D$3</f>
        <v>East</v>
      </c>
      <c r="BF533" s="8" t="str">
        <f>Roster!$D$2</f>
        <v>Northeast</v>
      </c>
      <c r="BG533" s="8" t="str">
        <f>Roster!$D$4</f>
        <v>North</v>
      </c>
      <c r="BH533" s="197">
        <f ca="1">IFERROR(VLOOKUP(CONCATENATE(PlayerGameData[[#This Row],[Opponent]]," ",MONTH(PlayerGameData[[#This Row],[Date]]),"/",DAY(PlayerGameData[[#This Row],[Date]]),"/",YEAR(PlayerGameData[[#This Row],[Date]])),Table35[],2,FALSE),0)</f>
        <v>1</v>
      </c>
      <c r="BI533" s="197">
        <f ca="1">IF(PlayerGameData[[#This Row],[Visible]]=1,1,1000)</f>
        <v>1</v>
      </c>
      <c r="BJ533" s="197" t="e">
        <f ca="1">_xlfn.MAXIFS(TeamGameData[Win],TeamGameData[School, Opponent,Game'#],PlayerGameData[[#This Row],[School, Opponent,Game'#]])</f>
        <v>#NAME?</v>
      </c>
      <c r="BK533" s="197" t="e">
        <f ca="1">_xlfn.MAXIFS(TeamGameData[Loss],TeamGameData[School, Opponent,Game'#],PlayerGameData[[#This Row],[School, Opponent,Game'#]])</f>
        <v>#NAME?</v>
      </c>
    </row>
    <row r="534" spans="1:63" x14ac:dyDescent="0.25">
      <c r="A534" s="8" t="str">
        <f t="shared" ca="1" si="273"/>
        <v xml:space="preserve">Team, </v>
      </c>
      <c r="B534" s="8" t="str">
        <f>Roster!$B$1</f>
        <v>Upton</v>
      </c>
      <c r="C534" s="8" t="str">
        <f t="shared" ca="1" si="261"/>
        <v>Kaycee</v>
      </c>
      <c r="D534" s="10">
        <f t="shared" ca="1" si="262"/>
        <v>44981</v>
      </c>
      <c r="E534" s="8">
        <f t="shared" ca="1" si="263"/>
        <v>0</v>
      </c>
      <c r="F534" s="8">
        <f t="shared" ca="1" si="264"/>
        <v>0</v>
      </c>
      <c r="G534" s="8">
        <f t="shared" ca="1" si="265"/>
        <v>0</v>
      </c>
      <c r="H534" s="8">
        <f t="shared" ca="1" si="266"/>
        <v>0</v>
      </c>
      <c r="I534" s="8">
        <f t="shared" ca="1" si="267"/>
        <v>0</v>
      </c>
      <c r="J534" s="8">
        <f t="shared" ca="1" si="268"/>
        <v>0</v>
      </c>
      <c r="K534" s="8">
        <f t="shared" ca="1" si="269"/>
        <v>0</v>
      </c>
      <c r="L534" s="8">
        <f t="shared" ca="1" si="274"/>
        <v>0</v>
      </c>
      <c r="M534" s="8">
        <f t="shared" ca="1" si="275"/>
        <v>0</v>
      </c>
      <c r="N534" s="8">
        <f t="shared" ca="1" si="276"/>
        <v>0</v>
      </c>
      <c r="O534" s="8">
        <f t="shared" ca="1" si="277"/>
        <v>0</v>
      </c>
      <c r="P534" s="8">
        <f t="shared" ca="1" si="278"/>
        <v>0</v>
      </c>
      <c r="Q534" s="8">
        <f t="shared" ca="1" si="279"/>
        <v>0</v>
      </c>
      <c r="R534" s="8">
        <f t="shared" ca="1" si="280"/>
        <v>0</v>
      </c>
      <c r="S534" s="8">
        <f t="shared" ca="1" si="281"/>
        <v>0</v>
      </c>
      <c r="T534" s="8">
        <f t="shared" ca="1" si="282"/>
        <v>0</v>
      </c>
      <c r="U534" s="8">
        <f t="shared" ca="1" si="283"/>
        <v>0</v>
      </c>
      <c r="V534" s="8">
        <f t="shared" ca="1" si="284"/>
        <v>0</v>
      </c>
      <c r="W534" s="11" t="str">
        <f t="shared" ca="1" si="285"/>
        <v/>
      </c>
      <c r="X534" s="11" t="str">
        <f t="shared" ca="1" si="286"/>
        <v/>
      </c>
      <c r="Y534" s="11" t="str">
        <f t="shared" ca="1" si="287"/>
        <v/>
      </c>
      <c r="Z534" s="11" t="str">
        <f t="shared" ca="1" si="288"/>
        <v/>
      </c>
      <c r="AA534" s="11" t="str">
        <f t="shared" ca="1" si="289"/>
        <v/>
      </c>
      <c r="AB534" s="47">
        <f ca="1">PlayerGameData[[#This Row],[3FGA]]+PlayerGameData[[#This Row],[2FGA]]</f>
        <v>0</v>
      </c>
      <c r="AC534" s="47">
        <f ca="1">PlayerGameData[[#This Row],[OFF REB]]+PlayerGameData[[#This Row],[DEF REB]]</f>
        <v>0</v>
      </c>
      <c r="AD534" s="8">
        <f t="shared" si="270"/>
        <v>22</v>
      </c>
      <c r="AE534" s="8" t="str">
        <f t="shared" ca="1" si="271"/>
        <v>Team,  - Kaycee 2/24/2023</v>
      </c>
      <c r="AF534" s="8" t="str">
        <f t="shared" ca="1" si="290"/>
        <v>R</v>
      </c>
      <c r="AG534" s="8" t="str">
        <f ca="1">IFERROR(IF(C534=0,"",IF(AND(VLOOKUP(PlayerGameData[[#This Row],[Opponent]],WYTeamInfo,2,FALSE)=Roster!$D$1,VLOOKUP(PlayerGameData[[#This Row],[Opponent]],WYTeamInfo,3,FALSE)=Roster!$D$2),"SR","")),"")</f>
        <v>SR</v>
      </c>
      <c r="AH534" s="8" t="str">
        <f>CONCATENATE(Roster!$D$1," ",Roster!$D$5)</f>
        <v>1A BB</v>
      </c>
      <c r="AI534" s="8" t="str">
        <f t="shared" ca="1" si="272"/>
        <v>Upton - Kaycee 2/24/2023</v>
      </c>
      <c r="AJ534" s="8">
        <f ca="1">IFERROR(VLOOKUP(PlayerGameData[[#This Row],[School, Opponent,Game'#]],Table3[],2,FALSE),0)</f>
        <v>1</v>
      </c>
      <c r="AK534" s="8">
        <f ca="1">IF(PlayerGameData[[#This Row],[Visible]]=1,1,1000)</f>
        <v>1</v>
      </c>
      <c r="AL534" s="8">
        <f ca="1">RANK(PlayerGameData[[#This Row],[TL PTS]],PlayerGameData[TL PTS],0)+PlayerGameData[[#This Row],[VisibleOrder]]</f>
        <v>185</v>
      </c>
      <c r="AM534" s="8">
        <f ca="1">IF(COUNTIF(PlayerGameData[PointOrder],PlayerGameData[[#This Row],[PointOrder]])&gt;1,RANK(PlayerGameData[[#This Row],[FGA]],PlayerGameData[FGA],0)/100,0)+PlayerGameData[[#This Row],[PointOrder]]</f>
        <v>187.14</v>
      </c>
      <c r="AN534" s="8">
        <f ca="1">RANK(PlayerGameData[[#This Row],[PointTieBreak]],PlayerGameData[PointTieBreak],1)</f>
        <v>216</v>
      </c>
      <c r="AO534" s="8">
        <f ca="1">RANK(PlayerGameData[[#This Row],[REB]],PlayerGameData[REB],0)+PlayerGameData[[#This Row],[VisibleOrder]]</f>
        <v>192</v>
      </c>
      <c r="AP534" s="8">
        <f ca="1">IF(COUNTIF(PlayerGameData[REBOrder],PlayerGameData[[#This Row],[REBOrder]])&gt;1,PlayerGameData[[#This Row],[PointRank]]/100+PlayerGameData[[#This Row],[REBOrder]],PlayerGameData[[#This Row],[REBOrder]])</f>
        <v>194.16</v>
      </c>
      <c r="AQ534" s="8">
        <f ca="1">RANK(PlayerGameData[[#This Row],[REBTieBreak]],PlayerGameData[REBTieBreak],1)</f>
        <v>224</v>
      </c>
      <c r="AR534" s="8">
        <f ca="1">RANK(PlayerGameData[[#This Row],[AST]],PlayerGameData[AST],0)+PlayerGameData[[#This Row],[VisibleOrder]]</f>
        <v>158</v>
      </c>
      <c r="AS534" s="8">
        <f ca="1">IF(COUNTIF(PlayerGameData[ASTOrder],PlayerGameData[[#This Row],[ASTOrder]])&gt;1,PlayerGameData[[#This Row],[PointRank]]/100+PlayerGameData[[#This Row],[ASTOrder]],PlayerGameData[[#This Row],[ASTOrder]])</f>
        <v>160.16</v>
      </c>
      <c r="AT534" s="8">
        <f ca="1">RANK(PlayerGameData[[#This Row],[ASTTieBreak]],PlayerGameData[ASTTieBreak],1)</f>
        <v>221</v>
      </c>
      <c r="AU534" s="8">
        <f ca="1">RANK(PlayerGameData[[#This Row],[STL]],PlayerGameData[STL],0)+PlayerGameData[[#This Row],[VisibleOrder]]</f>
        <v>143</v>
      </c>
      <c r="AV534" s="8">
        <f ca="1">IF(COUNTIF(PlayerGameData[STLOrder],PlayerGameData[[#This Row],[STLOrder]])&gt;1,PlayerGameData[[#This Row],[PointRank]]/100+PlayerGameData[[#This Row],[STLOrder]],PlayerGameData[[#This Row],[STLOrder]])</f>
        <v>145.16</v>
      </c>
      <c r="AW534" s="8">
        <f ca="1">RANK(PlayerGameData[[#This Row],[STLTieBreak]],PlayerGameData[STLTieBreak],1)</f>
        <v>217</v>
      </c>
      <c r="AX534" s="8">
        <f ca="1">RANK(PlayerGameData[[#This Row],[BLK]],PlayerGameData[BLK],0)+PlayerGameData[[#This Row],[VisibleOrder]]</f>
        <v>32</v>
      </c>
      <c r="AY534" s="8">
        <f ca="1">IF(COUNTIF(PlayerGameData[BLKOrder],PlayerGameData[[#This Row],[BLKOrder]])&gt;1,PlayerGameData[[#This Row],[PointRank]]/100+PlayerGameData[[#This Row],[BLKOrder]],PlayerGameData[[#This Row],[BLKOrder]])</f>
        <v>34.159999999999997</v>
      </c>
      <c r="AZ534" s="8">
        <f ca="1">RANK(PlayerGameData[[#This Row],[BLKTieBreak]],PlayerGameData[BLKTieBreak],1)</f>
        <v>216</v>
      </c>
      <c r="BA534" s="11">
        <f ca="1">IFERROR(IF(PlayerGameData[[#This Row],[FGA]]&gt;$AA$5,PlayerGameData[[#This Row],[FG%*]],PlayerGameData[[#This Row],[FG%*]]*-1),-2)</f>
        <v>-2</v>
      </c>
      <c r="BB534" s="8">
        <f ca="1">RANK(PlayerGameData[[#This Row],[EligFG]],PlayerGameData[EligFG],0)+PlayerGameData[[#This Row],[VisibleOrder]]</f>
        <v>215</v>
      </c>
      <c r="BC534" s="8">
        <f ca="1">IF(COUNTIF(PlayerGameData[EligFGOrder],PlayerGameData[[#This Row],[EligFGOrder]])&gt;1,PlayerGameData[[#This Row],[PointRank]]/100+PlayerGameData[[#This Row],[EligFGOrder]],PlayerGameData[[#This Row],[EligFGOrder]])</f>
        <v>217.16</v>
      </c>
      <c r="BD534" s="8">
        <f ca="1">RANK(PlayerGameData[[#This Row],[EligFGTieBreak]],PlayerGameData[EligFGTieBreak],1)</f>
        <v>216</v>
      </c>
      <c r="BE534" s="8" t="str">
        <f>Roster!$D$3</f>
        <v>East</v>
      </c>
      <c r="BF534" s="8" t="str">
        <f>Roster!$D$2</f>
        <v>Northeast</v>
      </c>
      <c r="BG534" s="8" t="str">
        <f>Roster!$D$4</f>
        <v>North</v>
      </c>
      <c r="BH534" s="197">
        <f ca="1">IFERROR(VLOOKUP(CONCATENATE(PlayerGameData[[#This Row],[Opponent]]," ",MONTH(PlayerGameData[[#This Row],[Date]]),"/",DAY(PlayerGameData[[#This Row],[Date]]),"/",YEAR(PlayerGameData[[#This Row],[Date]])),Table35[],2,FALSE),0)</f>
        <v>1</v>
      </c>
      <c r="BI534" s="197">
        <f ca="1">IF(PlayerGameData[[#This Row],[Visible]]=1,1,1000)</f>
        <v>1</v>
      </c>
      <c r="BJ534" s="197" t="e">
        <f ca="1">_xlfn.MAXIFS(TeamGameData[Win],TeamGameData[School, Opponent,Game'#],PlayerGameData[[#This Row],[School, Opponent,Game'#]])</f>
        <v>#NAME?</v>
      </c>
      <c r="BK534" s="197" t="e">
        <f ca="1">_xlfn.MAXIFS(TeamGameData[Loss],TeamGameData[School, Opponent,Game'#],PlayerGameData[[#This Row],[School, Opponent,Game'#]])</f>
        <v>#NAME?</v>
      </c>
    </row>
    <row r="535" spans="1:63" x14ac:dyDescent="0.25">
      <c r="A535" s="8" t="str">
        <f t="shared" ca="1" si="273"/>
        <v>Landon Butler, 1</v>
      </c>
      <c r="B535" s="8" t="str">
        <f>Roster!$B$1</f>
        <v>Upton</v>
      </c>
      <c r="C535" s="8" t="str">
        <f t="shared" ca="1" si="261"/>
        <v>Southeast</v>
      </c>
      <c r="D535" s="10">
        <f t="shared" ca="1" si="262"/>
        <v>44982</v>
      </c>
      <c r="E535" s="8">
        <f t="shared" ca="1" si="263"/>
        <v>0</v>
      </c>
      <c r="F535" s="8">
        <f t="shared" ca="1" si="264"/>
        <v>0</v>
      </c>
      <c r="G535" s="8">
        <f t="shared" ca="1" si="265"/>
        <v>0</v>
      </c>
      <c r="H535" s="8">
        <f t="shared" ca="1" si="266"/>
        <v>0</v>
      </c>
      <c r="I535" s="8">
        <f t="shared" ca="1" si="267"/>
        <v>0</v>
      </c>
      <c r="J535" s="8">
        <f t="shared" ca="1" si="268"/>
        <v>0</v>
      </c>
      <c r="K535" s="8">
        <f t="shared" ca="1" si="269"/>
        <v>0</v>
      </c>
      <c r="L535" s="8">
        <f t="shared" ca="1" si="274"/>
        <v>0</v>
      </c>
      <c r="M535" s="8">
        <f t="shared" ca="1" si="275"/>
        <v>0</v>
      </c>
      <c r="N535" s="8">
        <f t="shared" ca="1" si="276"/>
        <v>0</v>
      </c>
      <c r="O535" s="8">
        <f t="shared" ca="1" si="277"/>
        <v>0</v>
      </c>
      <c r="P535" s="8">
        <f t="shared" ca="1" si="278"/>
        <v>0</v>
      </c>
      <c r="Q535" s="8">
        <f t="shared" ca="1" si="279"/>
        <v>0</v>
      </c>
      <c r="R535" s="8">
        <f t="shared" ca="1" si="280"/>
        <v>0</v>
      </c>
      <c r="S535" s="8">
        <f t="shared" ca="1" si="281"/>
        <v>0</v>
      </c>
      <c r="T535" s="8">
        <f t="shared" ca="1" si="282"/>
        <v>0</v>
      </c>
      <c r="U535" s="8">
        <f t="shared" ca="1" si="283"/>
        <v>0</v>
      </c>
      <c r="V535" s="8">
        <f t="shared" ca="1" si="284"/>
        <v>0</v>
      </c>
      <c r="W535" s="11" t="str">
        <f t="shared" ca="1" si="285"/>
        <v/>
      </c>
      <c r="X535" s="11" t="str">
        <f t="shared" ca="1" si="286"/>
        <v/>
      </c>
      <c r="Y535" s="11" t="str">
        <f t="shared" ca="1" si="287"/>
        <v/>
      </c>
      <c r="Z535" s="11" t="str">
        <f t="shared" ca="1" si="288"/>
        <v/>
      </c>
      <c r="AA535" s="11" t="str">
        <f t="shared" ca="1" si="289"/>
        <v/>
      </c>
      <c r="AB535" s="47">
        <f ca="1">PlayerGameData[[#This Row],[3FGA]]+PlayerGameData[[#This Row],[2FGA]]</f>
        <v>0</v>
      </c>
      <c r="AC535" s="47">
        <f ca="1">PlayerGameData[[#This Row],[OFF REB]]+PlayerGameData[[#This Row],[DEF REB]]</f>
        <v>0</v>
      </c>
      <c r="AD535" s="8">
        <f t="shared" si="270"/>
        <v>23</v>
      </c>
      <c r="AE535" s="8" t="str">
        <f t="shared" ca="1" si="271"/>
        <v>Landon Butler, 1 - Southeast 2/25/2023</v>
      </c>
      <c r="AF535" s="8" t="str">
        <f t="shared" ca="1" si="290"/>
        <v>R</v>
      </c>
      <c r="AG535" s="8" t="str">
        <f ca="1">IFERROR(IF(C535=0,"",IF(AND(VLOOKUP(PlayerGameData[[#This Row],[Opponent]],WYTeamInfo,2,FALSE)=Roster!$D$1,VLOOKUP(PlayerGameData[[#This Row],[Opponent]],WYTeamInfo,3,FALSE)=Roster!$D$2),"SR","")),"")</f>
        <v/>
      </c>
      <c r="AH535" s="8" t="str">
        <f>CONCATENATE(Roster!$D$1," ",Roster!$D$5)</f>
        <v>1A BB</v>
      </c>
      <c r="AI535" s="8" t="str">
        <f t="shared" ca="1" si="272"/>
        <v>Upton - Southeast 2/25/2023</v>
      </c>
      <c r="AJ535" s="8">
        <f ca="1">IFERROR(VLOOKUP(PlayerGameData[[#This Row],[School, Opponent,Game'#]],Table3[],2,FALSE),0)</f>
        <v>1</v>
      </c>
      <c r="AK535" s="8">
        <f ca="1">IF(PlayerGameData[[#This Row],[Visible]]=1,1,1000)</f>
        <v>1</v>
      </c>
      <c r="AL535" s="8">
        <f ca="1">RANK(PlayerGameData[[#This Row],[TL PTS]],PlayerGameData[TL PTS],0)+PlayerGameData[[#This Row],[VisibleOrder]]</f>
        <v>185</v>
      </c>
      <c r="AM535" s="8">
        <f ca="1">IF(COUNTIF(PlayerGameData[PointOrder],PlayerGameData[[#This Row],[PointOrder]])&gt;1,RANK(PlayerGameData[[#This Row],[FGA]],PlayerGameData[FGA],0)/100,0)+PlayerGameData[[#This Row],[PointOrder]]</f>
        <v>187.14</v>
      </c>
      <c r="AN535" s="8">
        <f ca="1">RANK(PlayerGameData[[#This Row],[PointTieBreak]],PlayerGameData[PointTieBreak],1)</f>
        <v>216</v>
      </c>
      <c r="AO535" s="8">
        <f ca="1">RANK(PlayerGameData[[#This Row],[REB]],PlayerGameData[REB],0)+PlayerGameData[[#This Row],[VisibleOrder]]</f>
        <v>192</v>
      </c>
      <c r="AP535" s="8">
        <f ca="1">IF(COUNTIF(PlayerGameData[REBOrder],PlayerGameData[[#This Row],[REBOrder]])&gt;1,PlayerGameData[[#This Row],[PointRank]]/100+PlayerGameData[[#This Row],[REBOrder]],PlayerGameData[[#This Row],[REBOrder]])</f>
        <v>194.16</v>
      </c>
      <c r="AQ535" s="8">
        <f ca="1">RANK(PlayerGameData[[#This Row],[REBTieBreak]],PlayerGameData[REBTieBreak],1)</f>
        <v>224</v>
      </c>
      <c r="AR535" s="8">
        <f ca="1">RANK(PlayerGameData[[#This Row],[AST]],PlayerGameData[AST],0)+PlayerGameData[[#This Row],[VisibleOrder]]</f>
        <v>158</v>
      </c>
      <c r="AS535" s="8">
        <f ca="1">IF(COUNTIF(PlayerGameData[ASTOrder],PlayerGameData[[#This Row],[ASTOrder]])&gt;1,PlayerGameData[[#This Row],[PointRank]]/100+PlayerGameData[[#This Row],[ASTOrder]],PlayerGameData[[#This Row],[ASTOrder]])</f>
        <v>160.16</v>
      </c>
      <c r="AT535" s="8">
        <f ca="1">RANK(PlayerGameData[[#This Row],[ASTTieBreak]],PlayerGameData[ASTTieBreak],1)</f>
        <v>221</v>
      </c>
      <c r="AU535" s="8">
        <f ca="1">RANK(PlayerGameData[[#This Row],[STL]],PlayerGameData[STL],0)+PlayerGameData[[#This Row],[VisibleOrder]]</f>
        <v>143</v>
      </c>
      <c r="AV535" s="8">
        <f ca="1">IF(COUNTIF(PlayerGameData[STLOrder],PlayerGameData[[#This Row],[STLOrder]])&gt;1,PlayerGameData[[#This Row],[PointRank]]/100+PlayerGameData[[#This Row],[STLOrder]],PlayerGameData[[#This Row],[STLOrder]])</f>
        <v>145.16</v>
      </c>
      <c r="AW535" s="8">
        <f ca="1">RANK(PlayerGameData[[#This Row],[STLTieBreak]],PlayerGameData[STLTieBreak],1)</f>
        <v>217</v>
      </c>
      <c r="AX535" s="8">
        <f ca="1">RANK(PlayerGameData[[#This Row],[BLK]],PlayerGameData[BLK],0)+PlayerGameData[[#This Row],[VisibleOrder]]</f>
        <v>32</v>
      </c>
      <c r="AY535" s="8">
        <f ca="1">IF(COUNTIF(PlayerGameData[BLKOrder],PlayerGameData[[#This Row],[BLKOrder]])&gt;1,PlayerGameData[[#This Row],[PointRank]]/100+PlayerGameData[[#This Row],[BLKOrder]],PlayerGameData[[#This Row],[BLKOrder]])</f>
        <v>34.159999999999997</v>
      </c>
      <c r="AZ535" s="8">
        <f ca="1">RANK(PlayerGameData[[#This Row],[BLKTieBreak]],PlayerGameData[BLKTieBreak],1)</f>
        <v>216</v>
      </c>
      <c r="BA535" s="11">
        <f ca="1">IFERROR(IF(PlayerGameData[[#This Row],[FGA]]&gt;$AA$5,PlayerGameData[[#This Row],[FG%*]],PlayerGameData[[#This Row],[FG%*]]*-1),-2)</f>
        <v>-2</v>
      </c>
      <c r="BB535" s="8">
        <f ca="1">RANK(PlayerGameData[[#This Row],[EligFG]],PlayerGameData[EligFG],0)+PlayerGameData[[#This Row],[VisibleOrder]]</f>
        <v>215</v>
      </c>
      <c r="BC535" s="8">
        <f ca="1">IF(COUNTIF(PlayerGameData[EligFGOrder],PlayerGameData[[#This Row],[EligFGOrder]])&gt;1,PlayerGameData[[#This Row],[PointRank]]/100+PlayerGameData[[#This Row],[EligFGOrder]],PlayerGameData[[#This Row],[EligFGOrder]])</f>
        <v>217.16</v>
      </c>
      <c r="BD535" s="8">
        <f ca="1">RANK(PlayerGameData[[#This Row],[EligFGTieBreak]],PlayerGameData[EligFGTieBreak],1)</f>
        <v>216</v>
      </c>
      <c r="BE535" s="8" t="str">
        <f>Roster!$D$3</f>
        <v>East</v>
      </c>
      <c r="BF535" s="8" t="str">
        <f>Roster!$D$2</f>
        <v>Northeast</v>
      </c>
      <c r="BG535" s="8" t="str">
        <f>Roster!$D$4</f>
        <v>North</v>
      </c>
      <c r="BH535" s="197">
        <f ca="1">IFERROR(VLOOKUP(CONCATENATE(PlayerGameData[[#This Row],[Opponent]]," ",MONTH(PlayerGameData[[#This Row],[Date]]),"/",DAY(PlayerGameData[[#This Row],[Date]]),"/",YEAR(PlayerGameData[[#This Row],[Date]])),Table35[],2,FALSE),0)</f>
        <v>1</v>
      </c>
      <c r="BI535" s="197">
        <f ca="1">IF(PlayerGameData[[#This Row],[Visible]]=1,1,1000)</f>
        <v>1</v>
      </c>
      <c r="BJ535" s="197" t="e">
        <f ca="1">_xlfn.MAXIFS(TeamGameData[Win],TeamGameData[School, Opponent,Game'#],PlayerGameData[[#This Row],[School, Opponent,Game'#]])</f>
        <v>#NAME?</v>
      </c>
      <c r="BK535" s="197" t="e">
        <f ca="1">_xlfn.MAXIFS(TeamGameData[Loss],TeamGameData[School, Opponent,Game'#],PlayerGameData[[#This Row],[School, Opponent,Game'#]])</f>
        <v>#NAME?</v>
      </c>
    </row>
    <row r="536" spans="1:63" x14ac:dyDescent="0.25">
      <c r="A536" s="8" t="str">
        <f t="shared" ca="1" si="273"/>
        <v>Logan Timberman, 3</v>
      </c>
      <c r="B536" s="8" t="str">
        <f>Roster!$B$1</f>
        <v>Upton</v>
      </c>
      <c r="C536" s="8" t="str">
        <f t="shared" ca="1" si="261"/>
        <v>Southeast</v>
      </c>
      <c r="D536" s="10">
        <f t="shared" ca="1" si="262"/>
        <v>44982</v>
      </c>
      <c r="E536" s="8">
        <f t="shared" ca="1" si="263"/>
        <v>1</v>
      </c>
      <c r="F536" s="8">
        <f t="shared" ca="1" si="264"/>
        <v>1</v>
      </c>
      <c r="G536" s="8">
        <f t="shared" ca="1" si="265"/>
        <v>29</v>
      </c>
      <c r="H536" s="8">
        <f t="shared" ca="1" si="266"/>
        <v>1</v>
      </c>
      <c r="I536" s="8">
        <f t="shared" ca="1" si="267"/>
        <v>3</v>
      </c>
      <c r="J536" s="8">
        <f t="shared" ca="1" si="268"/>
        <v>3</v>
      </c>
      <c r="K536" s="8">
        <f t="shared" ca="1" si="269"/>
        <v>7</v>
      </c>
      <c r="L536" s="8">
        <f t="shared" ca="1" si="274"/>
        <v>2</v>
      </c>
      <c r="M536" s="8">
        <f t="shared" ca="1" si="275"/>
        <v>2</v>
      </c>
      <c r="N536" s="8">
        <f t="shared" ca="1" si="276"/>
        <v>2</v>
      </c>
      <c r="O536" s="8">
        <f t="shared" ca="1" si="277"/>
        <v>5</v>
      </c>
      <c r="P536" s="8">
        <f t="shared" ca="1" si="278"/>
        <v>1</v>
      </c>
      <c r="Q536" s="8">
        <f t="shared" ca="1" si="279"/>
        <v>2</v>
      </c>
      <c r="R536" s="8">
        <f t="shared" ca="1" si="280"/>
        <v>1</v>
      </c>
      <c r="S536" s="8">
        <f t="shared" ca="1" si="281"/>
        <v>4</v>
      </c>
      <c r="T536" s="8">
        <f t="shared" ca="1" si="282"/>
        <v>4</v>
      </c>
      <c r="U536" s="8">
        <f t="shared" ca="1" si="283"/>
        <v>0</v>
      </c>
      <c r="V536" s="8">
        <f t="shared" ca="1" si="284"/>
        <v>11</v>
      </c>
      <c r="W536" s="11">
        <f t="shared" ca="1" si="285"/>
        <v>0.33333333333333331</v>
      </c>
      <c r="X536" s="11">
        <f t="shared" ca="1" si="286"/>
        <v>0.42857142857142855</v>
      </c>
      <c r="Y536" s="11">
        <f t="shared" ca="1" si="287"/>
        <v>1</v>
      </c>
      <c r="Z536" s="11">
        <f t="shared" ca="1" si="288"/>
        <v>0.4</v>
      </c>
      <c r="AA536" s="11">
        <f t="shared" ca="1" si="289"/>
        <v>0.45</v>
      </c>
      <c r="AB536" s="47">
        <f ca="1">PlayerGameData[[#This Row],[3FGA]]+PlayerGameData[[#This Row],[2FGA]]</f>
        <v>10</v>
      </c>
      <c r="AC536" s="47">
        <f ca="1">PlayerGameData[[#This Row],[OFF REB]]+PlayerGameData[[#This Row],[DEF REB]]</f>
        <v>7</v>
      </c>
      <c r="AD536" s="8">
        <f t="shared" si="270"/>
        <v>23</v>
      </c>
      <c r="AE536" s="8" t="str">
        <f t="shared" ca="1" si="271"/>
        <v>Logan Timberman, 3 - Southeast 2/25/2023</v>
      </c>
      <c r="AF536" s="8" t="str">
        <f t="shared" ca="1" si="290"/>
        <v>R</v>
      </c>
      <c r="AG536" s="8" t="str">
        <f ca="1">IFERROR(IF(C536=0,"",IF(AND(VLOOKUP(PlayerGameData[[#This Row],[Opponent]],WYTeamInfo,2,FALSE)=Roster!$D$1,VLOOKUP(PlayerGameData[[#This Row],[Opponent]],WYTeamInfo,3,FALSE)=Roster!$D$2),"SR","")),"")</f>
        <v/>
      </c>
      <c r="AH536" s="8" t="str">
        <f>CONCATENATE(Roster!$D$1," ",Roster!$D$5)</f>
        <v>1A BB</v>
      </c>
      <c r="AI536" s="8" t="str">
        <f t="shared" ca="1" si="272"/>
        <v>Upton - Southeast 2/25/2023</v>
      </c>
      <c r="AJ536" s="8">
        <f ca="1">IFERROR(VLOOKUP(PlayerGameData[[#This Row],[School, Opponent,Game'#]],Table3[],2,FALSE),0)</f>
        <v>1</v>
      </c>
      <c r="AK536" s="8">
        <f ca="1">IF(PlayerGameData[[#This Row],[Visible]]=1,1,1000)</f>
        <v>1</v>
      </c>
      <c r="AL536" s="8">
        <f ca="1">RANK(PlayerGameData[[#This Row],[TL PTS]],PlayerGameData[TL PTS],0)+PlayerGameData[[#This Row],[VisibleOrder]]</f>
        <v>58</v>
      </c>
      <c r="AM536" s="8">
        <f ca="1">IF(COUNTIF(PlayerGameData[PointOrder],PlayerGameData[[#This Row],[PointOrder]])&gt;1,RANK(PlayerGameData[[#This Row],[FGA]],PlayerGameData[FGA],0)/100,0)+PlayerGameData[[#This Row],[PointOrder]]</f>
        <v>58.43</v>
      </c>
      <c r="AN536" s="8">
        <f ca="1">RANK(PlayerGameData[[#This Row],[PointTieBreak]],PlayerGameData[PointTieBreak],1)</f>
        <v>58</v>
      </c>
      <c r="AO536" s="8">
        <f ca="1">RANK(PlayerGameData[[#This Row],[REB]],PlayerGameData[REB],0)+PlayerGameData[[#This Row],[VisibleOrder]]</f>
        <v>29</v>
      </c>
      <c r="AP536" s="8">
        <f ca="1">IF(COUNTIF(PlayerGameData[REBOrder],PlayerGameData[[#This Row],[REBOrder]])&gt;1,PlayerGameData[[#This Row],[PointRank]]/100+PlayerGameData[[#This Row],[REBOrder]],PlayerGameData[[#This Row],[REBOrder]])</f>
        <v>29.58</v>
      </c>
      <c r="AQ536" s="8">
        <f ca="1">RANK(PlayerGameData[[#This Row],[REBTieBreak]],PlayerGameData[REBTieBreak],1)</f>
        <v>31</v>
      </c>
      <c r="AR536" s="8">
        <f ca="1">RANK(PlayerGameData[[#This Row],[AST]],PlayerGameData[AST],0)+PlayerGameData[[#This Row],[VisibleOrder]]</f>
        <v>115</v>
      </c>
      <c r="AS536" s="8">
        <f ca="1">IF(COUNTIF(PlayerGameData[ASTOrder],PlayerGameData[[#This Row],[ASTOrder]])&gt;1,PlayerGameData[[#This Row],[PointRank]]/100+PlayerGameData[[#This Row],[ASTOrder]],PlayerGameData[[#This Row],[ASTOrder]])</f>
        <v>115.58</v>
      </c>
      <c r="AT536" s="8">
        <f ca="1">RANK(PlayerGameData[[#This Row],[ASTTieBreak]],PlayerGameData[ASTTieBreak],1)</f>
        <v>121</v>
      </c>
      <c r="AU536" s="8">
        <f ca="1">RANK(PlayerGameData[[#This Row],[STL]],PlayerGameData[STL],0)+PlayerGameData[[#This Row],[VisibleOrder]]</f>
        <v>48</v>
      </c>
      <c r="AV536" s="8">
        <f ca="1">IF(COUNTIF(PlayerGameData[STLOrder],PlayerGameData[[#This Row],[STLOrder]])&gt;1,PlayerGameData[[#This Row],[PointRank]]/100+PlayerGameData[[#This Row],[STLOrder]],PlayerGameData[[#This Row],[STLOrder]])</f>
        <v>48.58</v>
      </c>
      <c r="AW536" s="8">
        <f ca="1">RANK(PlayerGameData[[#This Row],[STLTieBreak]],PlayerGameData[STLTieBreak],1)</f>
        <v>56</v>
      </c>
      <c r="AX536" s="8">
        <f ca="1">RANK(PlayerGameData[[#This Row],[BLK]],PlayerGameData[BLK],0)+PlayerGameData[[#This Row],[VisibleOrder]]</f>
        <v>11</v>
      </c>
      <c r="AY536" s="8">
        <f ca="1">IF(COUNTIF(PlayerGameData[BLKOrder],PlayerGameData[[#This Row],[BLKOrder]])&gt;1,PlayerGameData[[#This Row],[PointRank]]/100+PlayerGameData[[#This Row],[BLKOrder]],PlayerGameData[[#This Row],[BLKOrder]])</f>
        <v>11.58</v>
      </c>
      <c r="AZ536" s="8">
        <f ca="1">RANK(PlayerGameData[[#This Row],[BLKTieBreak]],PlayerGameData[BLKTieBreak],1)</f>
        <v>16</v>
      </c>
      <c r="BA536" s="11">
        <f ca="1">IFERROR(IF(PlayerGameData[[#This Row],[FGA]]&gt;$AA$5,PlayerGameData[[#This Row],[FG%*]],PlayerGameData[[#This Row],[FG%*]]*-1),-2)</f>
        <v>0.4</v>
      </c>
      <c r="BB536" s="8">
        <f ca="1">RANK(PlayerGameData[[#This Row],[EligFG]],PlayerGameData[EligFG],0)+PlayerGameData[[#This Row],[VisibleOrder]]</f>
        <v>68</v>
      </c>
      <c r="BC536" s="8">
        <f ca="1">IF(COUNTIF(PlayerGameData[EligFGOrder],PlayerGameData[[#This Row],[EligFGOrder]])&gt;1,PlayerGameData[[#This Row],[PointRank]]/100+PlayerGameData[[#This Row],[EligFGOrder]],PlayerGameData[[#This Row],[EligFGOrder]])</f>
        <v>68.58</v>
      </c>
      <c r="BD536" s="8">
        <f ca="1">RANK(PlayerGameData[[#This Row],[EligFGTieBreak]],PlayerGameData[EligFGTieBreak],1)</f>
        <v>69</v>
      </c>
      <c r="BE536" s="8" t="str">
        <f>Roster!$D$3</f>
        <v>East</v>
      </c>
      <c r="BF536" s="8" t="str">
        <f>Roster!$D$2</f>
        <v>Northeast</v>
      </c>
      <c r="BG536" s="8" t="str">
        <f>Roster!$D$4</f>
        <v>North</v>
      </c>
      <c r="BH536" s="197">
        <f ca="1">IFERROR(VLOOKUP(CONCATENATE(PlayerGameData[[#This Row],[Opponent]]," ",MONTH(PlayerGameData[[#This Row],[Date]]),"/",DAY(PlayerGameData[[#This Row],[Date]]),"/",YEAR(PlayerGameData[[#This Row],[Date]])),Table35[],2,FALSE),0)</f>
        <v>1</v>
      </c>
      <c r="BI536" s="197">
        <f ca="1">IF(PlayerGameData[[#This Row],[Visible]]=1,1,1000)</f>
        <v>1</v>
      </c>
      <c r="BJ536" s="197" t="e">
        <f ca="1">_xlfn.MAXIFS(TeamGameData[Win],TeamGameData[School, Opponent,Game'#],PlayerGameData[[#This Row],[School, Opponent,Game'#]])</f>
        <v>#NAME?</v>
      </c>
      <c r="BK536" s="197" t="e">
        <f ca="1">_xlfn.MAXIFS(TeamGameData[Loss],TeamGameData[School, Opponent,Game'#],PlayerGameData[[#This Row],[School, Opponent,Game'#]])</f>
        <v>#NAME?</v>
      </c>
    </row>
    <row r="537" spans="1:63" x14ac:dyDescent="0.25">
      <c r="A537" s="8" t="str">
        <f t="shared" ca="1" si="273"/>
        <v>Chase Mills, 5</v>
      </c>
      <c r="B537" s="8" t="str">
        <f>Roster!$B$1</f>
        <v>Upton</v>
      </c>
      <c r="C537" s="8" t="str">
        <f t="shared" ca="1" si="261"/>
        <v>Southeast</v>
      </c>
      <c r="D537" s="10">
        <f t="shared" ca="1" si="262"/>
        <v>44982</v>
      </c>
      <c r="E537" s="8">
        <f t="shared" ca="1" si="263"/>
        <v>1</v>
      </c>
      <c r="F537" s="8">
        <f t="shared" ca="1" si="264"/>
        <v>1</v>
      </c>
      <c r="G537" s="8">
        <f t="shared" ca="1" si="265"/>
        <v>6</v>
      </c>
      <c r="H537" s="8">
        <f t="shared" ca="1" si="266"/>
        <v>0</v>
      </c>
      <c r="I537" s="8">
        <f t="shared" ca="1" si="267"/>
        <v>1</v>
      </c>
      <c r="J537" s="8">
        <f t="shared" ca="1" si="268"/>
        <v>1</v>
      </c>
      <c r="K537" s="8">
        <f t="shared" ca="1" si="269"/>
        <v>1</v>
      </c>
      <c r="L537" s="8">
        <f t="shared" ca="1" si="274"/>
        <v>0</v>
      </c>
      <c r="M537" s="8">
        <f t="shared" ca="1" si="275"/>
        <v>0</v>
      </c>
      <c r="N537" s="8">
        <f t="shared" ca="1" si="276"/>
        <v>0</v>
      </c>
      <c r="O537" s="8">
        <f t="shared" ca="1" si="277"/>
        <v>0</v>
      </c>
      <c r="P537" s="8">
        <f t="shared" ca="1" si="278"/>
        <v>0</v>
      </c>
      <c r="Q537" s="8">
        <f t="shared" ca="1" si="279"/>
        <v>1</v>
      </c>
      <c r="R537" s="8">
        <f t="shared" ca="1" si="280"/>
        <v>0</v>
      </c>
      <c r="S537" s="8">
        <f t="shared" ca="1" si="281"/>
        <v>0</v>
      </c>
      <c r="T537" s="8">
        <f t="shared" ca="1" si="282"/>
        <v>0</v>
      </c>
      <c r="U537" s="8">
        <f t="shared" ca="1" si="283"/>
        <v>0</v>
      </c>
      <c r="V537" s="8">
        <f t="shared" ca="1" si="284"/>
        <v>2</v>
      </c>
      <c r="W537" s="11">
        <f t="shared" ca="1" si="285"/>
        <v>0</v>
      </c>
      <c r="X537" s="11">
        <f t="shared" ca="1" si="286"/>
        <v>1</v>
      </c>
      <c r="Y537" s="11" t="str">
        <f t="shared" ca="1" si="287"/>
        <v/>
      </c>
      <c r="Z537" s="11">
        <f t="shared" ca="1" si="288"/>
        <v>0.5</v>
      </c>
      <c r="AA537" s="11">
        <f t="shared" ca="1" si="289"/>
        <v>0.5</v>
      </c>
      <c r="AB537" s="47">
        <f ca="1">PlayerGameData[[#This Row],[3FGA]]+PlayerGameData[[#This Row],[2FGA]]</f>
        <v>2</v>
      </c>
      <c r="AC537" s="47">
        <f ca="1">PlayerGameData[[#This Row],[OFF REB]]+PlayerGameData[[#This Row],[DEF REB]]</f>
        <v>0</v>
      </c>
      <c r="AD537" s="8">
        <f t="shared" si="270"/>
        <v>23</v>
      </c>
      <c r="AE537" s="8" t="str">
        <f t="shared" ca="1" si="271"/>
        <v>Chase Mills, 5 - Southeast 2/25/2023</v>
      </c>
      <c r="AF537" s="8" t="str">
        <f t="shared" ca="1" si="290"/>
        <v>R</v>
      </c>
      <c r="AG537" s="8" t="str">
        <f ca="1">IFERROR(IF(C537=0,"",IF(AND(VLOOKUP(PlayerGameData[[#This Row],[Opponent]],WYTeamInfo,2,FALSE)=Roster!$D$1,VLOOKUP(PlayerGameData[[#This Row],[Opponent]],WYTeamInfo,3,FALSE)=Roster!$D$2),"SR","")),"")</f>
        <v/>
      </c>
      <c r="AH537" s="8" t="str">
        <f>CONCATENATE(Roster!$D$1," ",Roster!$D$5)</f>
        <v>1A BB</v>
      </c>
      <c r="AI537" s="8" t="str">
        <f t="shared" ca="1" si="272"/>
        <v>Upton - Southeast 2/25/2023</v>
      </c>
      <c r="AJ537" s="8">
        <f ca="1">IFERROR(VLOOKUP(PlayerGameData[[#This Row],[School, Opponent,Game'#]],Table3[],2,FALSE),0)</f>
        <v>1</v>
      </c>
      <c r="AK537" s="8">
        <f ca="1">IF(PlayerGameData[[#This Row],[Visible]]=1,1,1000)</f>
        <v>1</v>
      </c>
      <c r="AL537" s="8">
        <f ca="1">RANK(PlayerGameData[[#This Row],[TL PTS]],PlayerGameData[TL PTS],0)+PlayerGameData[[#This Row],[VisibleOrder]]</f>
        <v>152</v>
      </c>
      <c r="AM537" s="8">
        <f ca="1">IF(COUNTIF(PlayerGameData[PointOrder],PlayerGameData[[#This Row],[PointOrder]])&gt;1,RANK(PlayerGameData[[#This Row],[FGA]],PlayerGameData[FGA],0)/100,0)+PlayerGameData[[#This Row],[PointOrder]]</f>
        <v>153.61000000000001</v>
      </c>
      <c r="AN537" s="8">
        <f ca="1">RANK(PlayerGameData[[#This Row],[PointTieBreak]],PlayerGameData[PointTieBreak],1)</f>
        <v>163</v>
      </c>
      <c r="AO537" s="8">
        <f ca="1">RANK(PlayerGameData[[#This Row],[REB]],PlayerGameData[REB],0)+PlayerGameData[[#This Row],[VisibleOrder]]</f>
        <v>192</v>
      </c>
      <c r="AP537" s="8">
        <f ca="1">IF(COUNTIF(PlayerGameData[REBOrder],PlayerGameData[[#This Row],[REBOrder]])&gt;1,PlayerGameData[[#This Row],[PointRank]]/100+PlayerGameData[[#This Row],[REBOrder]],PlayerGameData[[#This Row],[REBOrder]])</f>
        <v>193.63</v>
      </c>
      <c r="AQ537" s="8">
        <f ca="1">RANK(PlayerGameData[[#This Row],[REBTieBreak]],PlayerGameData[REBTieBreak],1)</f>
        <v>204</v>
      </c>
      <c r="AR537" s="8">
        <f ca="1">RANK(PlayerGameData[[#This Row],[AST]],PlayerGameData[AST],0)+PlayerGameData[[#This Row],[VisibleOrder]]</f>
        <v>158</v>
      </c>
      <c r="AS537" s="8">
        <f ca="1">IF(COUNTIF(PlayerGameData[ASTOrder],PlayerGameData[[#This Row],[ASTOrder]])&gt;1,PlayerGameData[[#This Row],[PointRank]]/100+PlayerGameData[[#This Row],[ASTOrder]],PlayerGameData[[#This Row],[ASTOrder]])</f>
        <v>159.63</v>
      </c>
      <c r="AT537" s="8">
        <f ca="1">RANK(PlayerGameData[[#This Row],[ASTTieBreak]],PlayerGameData[ASTTieBreak],1)</f>
        <v>186</v>
      </c>
      <c r="AU537" s="8">
        <f ca="1">RANK(PlayerGameData[[#This Row],[STL]],PlayerGameData[STL],0)+PlayerGameData[[#This Row],[VisibleOrder]]</f>
        <v>84</v>
      </c>
      <c r="AV537" s="8">
        <f ca="1">IF(COUNTIF(PlayerGameData[STLOrder],PlayerGameData[[#This Row],[STLOrder]])&gt;1,PlayerGameData[[#This Row],[PointRank]]/100+PlayerGameData[[#This Row],[STLOrder]],PlayerGameData[[#This Row],[STLOrder]])</f>
        <v>85.63</v>
      </c>
      <c r="AW537" s="8">
        <f ca="1">RANK(PlayerGameData[[#This Row],[STLTieBreak]],PlayerGameData[STLTieBreak],1)</f>
        <v>129</v>
      </c>
      <c r="AX537" s="8">
        <f ca="1">RANK(PlayerGameData[[#This Row],[BLK]],PlayerGameData[BLK],0)+PlayerGameData[[#This Row],[VisibleOrder]]</f>
        <v>32</v>
      </c>
      <c r="AY537" s="8">
        <f ca="1">IF(COUNTIF(PlayerGameData[BLKOrder],PlayerGameData[[#This Row],[BLKOrder]])&gt;1,PlayerGameData[[#This Row],[PointRank]]/100+PlayerGameData[[#This Row],[BLKOrder]],PlayerGameData[[#This Row],[BLKOrder]])</f>
        <v>33.630000000000003</v>
      </c>
      <c r="AZ537" s="8">
        <f ca="1">RANK(PlayerGameData[[#This Row],[BLKTieBreak]],PlayerGameData[BLKTieBreak],1)</f>
        <v>164</v>
      </c>
      <c r="BA537" s="11">
        <f ca="1">IFERROR(IF(PlayerGameData[[#This Row],[FGA]]&gt;$AA$5,PlayerGameData[[#This Row],[FG%*]],PlayerGameData[[#This Row],[FG%*]]*-1),-2)</f>
        <v>-0.5</v>
      </c>
      <c r="BB537" s="8">
        <f ca="1">RANK(PlayerGameData[[#This Row],[EligFG]],PlayerGameData[EligFG],0)+PlayerGameData[[#This Row],[VisibleOrder]]</f>
        <v>182</v>
      </c>
      <c r="BC537" s="8">
        <f ca="1">IF(COUNTIF(PlayerGameData[EligFGOrder],PlayerGameData[[#This Row],[EligFGOrder]])&gt;1,PlayerGameData[[#This Row],[PointRank]]/100+PlayerGameData[[#This Row],[EligFGOrder]],PlayerGameData[[#This Row],[EligFGOrder]])</f>
        <v>183.63</v>
      </c>
      <c r="BD537" s="8">
        <f ca="1">RANK(PlayerGameData[[#This Row],[EligFGTieBreak]],PlayerGameData[EligFGTieBreak],1)</f>
        <v>188</v>
      </c>
      <c r="BE537" s="8" t="str">
        <f>Roster!$D$3</f>
        <v>East</v>
      </c>
      <c r="BF537" s="8" t="str">
        <f>Roster!$D$2</f>
        <v>Northeast</v>
      </c>
      <c r="BG537" s="8" t="str">
        <f>Roster!$D$4</f>
        <v>North</v>
      </c>
      <c r="BH537" s="197">
        <f ca="1">IFERROR(VLOOKUP(CONCATENATE(PlayerGameData[[#This Row],[Opponent]]," ",MONTH(PlayerGameData[[#This Row],[Date]]),"/",DAY(PlayerGameData[[#This Row],[Date]]),"/",YEAR(PlayerGameData[[#This Row],[Date]])),Table35[],2,FALSE),0)</f>
        <v>1</v>
      </c>
      <c r="BI537" s="197">
        <f ca="1">IF(PlayerGameData[[#This Row],[Visible]]=1,1,1000)</f>
        <v>1</v>
      </c>
      <c r="BJ537" s="197" t="e">
        <f ca="1">_xlfn.MAXIFS(TeamGameData[Win],TeamGameData[School, Opponent,Game'#],PlayerGameData[[#This Row],[School, Opponent,Game'#]])</f>
        <v>#NAME?</v>
      </c>
      <c r="BK537" s="197" t="e">
        <f ca="1">_xlfn.MAXIFS(TeamGameData[Loss],TeamGameData[School, Opponent,Game'#],PlayerGameData[[#This Row],[School, Opponent,Game'#]])</f>
        <v>#NAME?</v>
      </c>
    </row>
    <row r="538" spans="1:63" x14ac:dyDescent="0.25">
      <c r="A538" s="8" t="str">
        <f t="shared" ca="1" si="273"/>
        <v>Rhett Watt, 10</v>
      </c>
      <c r="B538" s="8" t="str">
        <f>Roster!$B$1</f>
        <v>Upton</v>
      </c>
      <c r="C538" s="8" t="str">
        <f t="shared" ca="1" si="261"/>
        <v>Southeast</v>
      </c>
      <c r="D538" s="10">
        <f t="shared" ca="1" si="262"/>
        <v>44982</v>
      </c>
      <c r="E538" s="8">
        <f t="shared" ca="1" si="263"/>
        <v>1</v>
      </c>
      <c r="F538" s="8">
        <f t="shared" ca="1" si="264"/>
        <v>1</v>
      </c>
      <c r="G538" s="8">
        <f t="shared" ca="1" si="265"/>
        <v>29</v>
      </c>
      <c r="H538" s="8">
        <f t="shared" ca="1" si="266"/>
        <v>2</v>
      </c>
      <c r="I538" s="8">
        <f t="shared" ca="1" si="267"/>
        <v>3</v>
      </c>
      <c r="J538" s="8">
        <f t="shared" ca="1" si="268"/>
        <v>1</v>
      </c>
      <c r="K538" s="8">
        <f t="shared" ca="1" si="269"/>
        <v>6</v>
      </c>
      <c r="L538" s="8">
        <f t="shared" ca="1" si="274"/>
        <v>1</v>
      </c>
      <c r="M538" s="8">
        <f t="shared" ca="1" si="275"/>
        <v>2</v>
      </c>
      <c r="N538" s="8">
        <f t="shared" ca="1" si="276"/>
        <v>3</v>
      </c>
      <c r="O538" s="8">
        <f t="shared" ca="1" si="277"/>
        <v>6</v>
      </c>
      <c r="P538" s="8">
        <f t="shared" ca="1" si="278"/>
        <v>2</v>
      </c>
      <c r="Q538" s="8">
        <f t="shared" ca="1" si="279"/>
        <v>2</v>
      </c>
      <c r="R538" s="8">
        <f t="shared" ca="1" si="280"/>
        <v>0</v>
      </c>
      <c r="S538" s="8">
        <f t="shared" ca="1" si="281"/>
        <v>4</v>
      </c>
      <c r="T538" s="8">
        <f t="shared" ca="1" si="282"/>
        <v>1</v>
      </c>
      <c r="U538" s="8">
        <f t="shared" ca="1" si="283"/>
        <v>0</v>
      </c>
      <c r="V538" s="8">
        <f t="shared" ca="1" si="284"/>
        <v>9</v>
      </c>
      <c r="W538" s="11">
        <f t="shared" ca="1" si="285"/>
        <v>0.66666666666666663</v>
      </c>
      <c r="X538" s="11">
        <f t="shared" ca="1" si="286"/>
        <v>0.16666666666666666</v>
      </c>
      <c r="Y538" s="11">
        <f t="shared" ca="1" si="287"/>
        <v>0.5</v>
      </c>
      <c r="Z538" s="11">
        <f t="shared" ca="1" si="288"/>
        <v>0.33333333333333331</v>
      </c>
      <c r="AA538" s="11">
        <f t="shared" ca="1" si="289"/>
        <v>0.44444444444444442</v>
      </c>
      <c r="AB538" s="47">
        <f ca="1">PlayerGameData[[#This Row],[3FGA]]+PlayerGameData[[#This Row],[2FGA]]</f>
        <v>9</v>
      </c>
      <c r="AC538" s="47">
        <f ca="1">PlayerGameData[[#This Row],[OFF REB]]+PlayerGameData[[#This Row],[DEF REB]]</f>
        <v>9</v>
      </c>
      <c r="AD538" s="8">
        <f t="shared" si="270"/>
        <v>23</v>
      </c>
      <c r="AE538" s="8" t="str">
        <f t="shared" ca="1" si="271"/>
        <v>Rhett Watt, 10 - Southeast 2/25/2023</v>
      </c>
      <c r="AF538" s="8" t="str">
        <f t="shared" ca="1" si="290"/>
        <v>R</v>
      </c>
      <c r="AG538" s="8" t="str">
        <f ca="1">IFERROR(IF(C538=0,"",IF(AND(VLOOKUP(PlayerGameData[[#This Row],[Opponent]],WYTeamInfo,2,FALSE)=Roster!$D$1,VLOOKUP(PlayerGameData[[#This Row],[Opponent]],WYTeamInfo,3,FALSE)=Roster!$D$2),"SR","")),"")</f>
        <v/>
      </c>
      <c r="AH538" s="8" t="str">
        <f>CONCATENATE(Roster!$D$1," ",Roster!$D$5)</f>
        <v>1A BB</v>
      </c>
      <c r="AI538" s="8" t="str">
        <f t="shared" ca="1" si="272"/>
        <v>Upton - Southeast 2/25/2023</v>
      </c>
      <c r="AJ538" s="8">
        <f ca="1">IFERROR(VLOOKUP(PlayerGameData[[#This Row],[School, Opponent,Game'#]],Table3[],2,FALSE),0)</f>
        <v>1</v>
      </c>
      <c r="AK538" s="8">
        <f ca="1">IF(PlayerGameData[[#This Row],[Visible]]=1,1,1000)</f>
        <v>1</v>
      </c>
      <c r="AL538" s="8">
        <f ca="1">RANK(PlayerGameData[[#This Row],[TL PTS]],PlayerGameData[TL PTS],0)+PlayerGameData[[#This Row],[VisibleOrder]]</f>
        <v>75</v>
      </c>
      <c r="AM538" s="8">
        <f ca="1">IF(COUNTIF(PlayerGameData[PointOrder],PlayerGameData[[#This Row],[PointOrder]])&gt;1,RANK(PlayerGameData[[#This Row],[FGA]],PlayerGameData[FGA],0)/100,0)+PlayerGameData[[#This Row],[PointOrder]]</f>
        <v>75.59</v>
      </c>
      <c r="AN538" s="8">
        <f ca="1">RANK(PlayerGameData[[#This Row],[PointTieBreak]],PlayerGameData[PointTieBreak],1)</f>
        <v>77</v>
      </c>
      <c r="AO538" s="8">
        <f ca="1">RANK(PlayerGameData[[#This Row],[REB]],PlayerGameData[REB],0)+PlayerGameData[[#This Row],[VisibleOrder]]</f>
        <v>13</v>
      </c>
      <c r="AP538" s="8">
        <f ca="1">IF(COUNTIF(PlayerGameData[REBOrder],PlayerGameData[[#This Row],[REBOrder]])&gt;1,PlayerGameData[[#This Row],[PointRank]]/100+PlayerGameData[[#This Row],[REBOrder]],PlayerGameData[[#This Row],[REBOrder]])</f>
        <v>13.77</v>
      </c>
      <c r="AQ538" s="8">
        <f ca="1">RANK(PlayerGameData[[#This Row],[REBTieBreak]],PlayerGameData[REBTieBreak],1)</f>
        <v>17</v>
      </c>
      <c r="AR538" s="8">
        <f ca="1">RANK(PlayerGameData[[#This Row],[AST]],PlayerGameData[AST],0)+PlayerGameData[[#This Row],[VisibleOrder]]</f>
        <v>69</v>
      </c>
      <c r="AS538" s="8">
        <f ca="1">IF(COUNTIF(PlayerGameData[ASTOrder],PlayerGameData[[#This Row],[ASTOrder]])&gt;1,PlayerGameData[[#This Row],[PointRank]]/100+PlayerGameData[[#This Row],[ASTOrder]],PlayerGameData[[#This Row],[ASTOrder]])</f>
        <v>69.77</v>
      </c>
      <c r="AT538" s="8">
        <f ca="1">RANK(PlayerGameData[[#This Row],[ASTTieBreak]],PlayerGameData[ASTTieBreak],1)</f>
        <v>84</v>
      </c>
      <c r="AU538" s="8">
        <f ca="1">RANK(PlayerGameData[[#This Row],[STL]],PlayerGameData[STL],0)+PlayerGameData[[#This Row],[VisibleOrder]]</f>
        <v>48</v>
      </c>
      <c r="AV538" s="8">
        <f ca="1">IF(COUNTIF(PlayerGameData[STLOrder],PlayerGameData[[#This Row],[STLOrder]])&gt;1,PlayerGameData[[#This Row],[PointRank]]/100+PlayerGameData[[#This Row],[STLOrder]],PlayerGameData[[#This Row],[STLOrder]])</f>
        <v>48.77</v>
      </c>
      <c r="AW538" s="8">
        <f ca="1">RANK(PlayerGameData[[#This Row],[STLTieBreak]],PlayerGameData[STLTieBreak],1)</f>
        <v>64</v>
      </c>
      <c r="AX538" s="8">
        <f ca="1">RANK(PlayerGameData[[#This Row],[BLK]],PlayerGameData[BLK],0)+PlayerGameData[[#This Row],[VisibleOrder]]</f>
        <v>32</v>
      </c>
      <c r="AY538" s="8">
        <f ca="1">IF(COUNTIF(PlayerGameData[BLKOrder],PlayerGameData[[#This Row],[BLKOrder]])&gt;1,PlayerGameData[[#This Row],[PointRank]]/100+PlayerGameData[[#This Row],[BLKOrder]],PlayerGameData[[#This Row],[BLKOrder]])</f>
        <v>32.770000000000003</v>
      </c>
      <c r="AZ538" s="8">
        <f ca="1">RANK(PlayerGameData[[#This Row],[BLKTieBreak]],PlayerGameData[BLKTieBreak],1)</f>
        <v>92</v>
      </c>
      <c r="BA538" s="11">
        <f ca="1">IFERROR(IF(PlayerGameData[[#This Row],[FGA]]&gt;$AA$5,PlayerGameData[[#This Row],[FG%*]],PlayerGameData[[#This Row],[FG%*]]*-1),-2)</f>
        <v>0.33333333333333331</v>
      </c>
      <c r="BB538" s="8">
        <f ca="1">RANK(PlayerGameData[[#This Row],[EligFG]],PlayerGameData[EligFG],0)+PlayerGameData[[#This Row],[VisibleOrder]]</f>
        <v>80</v>
      </c>
      <c r="BC538" s="8">
        <f ca="1">IF(COUNTIF(PlayerGameData[EligFGOrder],PlayerGameData[[#This Row],[EligFGOrder]])&gt;1,PlayerGameData[[#This Row],[PointRank]]/100+PlayerGameData[[#This Row],[EligFGOrder]],PlayerGameData[[#This Row],[EligFGOrder]])</f>
        <v>80.77</v>
      </c>
      <c r="BD538" s="8">
        <f ca="1">RANK(PlayerGameData[[#This Row],[EligFGTieBreak]],PlayerGameData[EligFGTieBreak],1)</f>
        <v>82</v>
      </c>
      <c r="BE538" s="8" t="str">
        <f>Roster!$D$3</f>
        <v>East</v>
      </c>
      <c r="BF538" s="8" t="str">
        <f>Roster!$D$2</f>
        <v>Northeast</v>
      </c>
      <c r="BG538" s="8" t="str">
        <f>Roster!$D$4</f>
        <v>North</v>
      </c>
      <c r="BH538" s="197">
        <f ca="1">IFERROR(VLOOKUP(CONCATENATE(PlayerGameData[[#This Row],[Opponent]]," ",MONTH(PlayerGameData[[#This Row],[Date]]),"/",DAY(PlayerGameData[[#This Row],[Date]]),"/",YEAR(PlayerGameData[[#This Row],[Date]])),Table35[],2,FALSE),0)</f>
        <v>1</v>
      </c>
      <c r="BI538" s="197">
        <f ca="1">IF(PlayerGameData[[#This Row],[Visible]]=1,1,1000)</f>
        <v>1</v>
      </c>
      <c r="BJ538" s="197" t="e">
        <f ca="1">_xlfn.MAXIFS(TeamGameData[Win],TeamGameData[School, Opponent,Game'#],PlayerGameData[[#This Row],[School, Opponent,Game'#]])</f>
        <v>#NAME?</v>
      </c>
      <c r="BK538" s="197" t="e">
        <f ca="1">_xlfn.MAXIFS(TeamGameData[Loss],TeamGameData[School, Opponent,Game'#],PlayerGameData[[#This Row],[School, Opponent,Game'#]])</f>
        <v>#NAME?</v>
      </c>
    </row>
    <row r="539" spans="1:63" x14ac:dyDescent="0.25">
      <c r="A539" s="8" t="str">
        <f t="shared" ca="1" si="273"/>
        <v>Keith Coburn, 11</v>
      </c>
      <c r="B539" s="8" t="str">
        <f>Roster!$B$1</f>
        <v>Upton</v>
      </c>
      <c r="C539" s="8" t="str">
        <f t="shared" ca="1" si="261"/>
        <v>Southeast</v>
      </c>
      <c r="D539" s="10">
        <f t="shared" ca="1" si="262"/>
        <v>44982</v>
      </c>
      <c r="E539" s="8">
        <f t="shared" ca="1" si="263"/>
        <v>0</v>
      </c>
      <c r="F539" s="8">
        <f t="shared" ca="1" si="264"/>
        <v>0</v>
      </c>
      <c r="G539" s="8">
        <f t="shared" ca="1" si="265"/>
        <v>0</v>
      </c>
      <c r="H539" s="8">
        <f t="shared" ca="1" si="266"/>
        <v>0</v>
      </c>
      <c r="I539" s="8">
        <f t="shared" ca="1" si="267"/>
        <v>0</v>
      </c>
      <c r="J539" s="8">
        <f t="shared" ca="1" si="268"/>
        <v>0</v>
      </c>
      <c r="K539" s="8">
        <f t="shared" ca="1" si="269"/>
        <v>0</v>
      </c>
      <c r="L539" s="8">
        <f t="shared" ca="1" si="274"/>
        <v>0</v>
      </c>
      <c r="M539" s="8">
        <f t="shared" ca="1" si="275"/>
        <v>0</v>
      </c>
      <c r="N539" s="8">
        <f t="shared" ca="1" si="276"/>
        <v>0</v>
      </c>
      <c r="O539" s="8">
        <f t="shared" ca="1" si="277"/>
        <v>0</v>
      </c>
      <c r="P539" s="8">
        <f t="shared" ca="1" si="278"/>
        <v>0</v>
      </c>
      <c r="Q539" s="8">
        <f t="shared" ca="1" si="279"/>
        <v>0</v>
      </c>
      <c r="R539" s="8">
        <f t="shared" ca="1" si="280"/>
        <v>0</v>
      </c>
      <c r="S539" s="8">
        <f t="shared" ca="1" si="281"/>
        <v>0</v>
      </c>
      <c r="T539" s="8">
        <f t="shared" ca="1" si="282"/>
        <v>0</v>
      </c>
      <c r="U539" s="8">
        <f t="shared" ca="1" si="283"/>
        <v>0</v>
      </c>
      <c r="V539" s="8">
        <f t="shared" ca="1" si="284"/>
        <v>0</v>
      </c>
      <c r="W539" s="11" t="str">
        <f t="shared" ca="1" si="285"/>
        <v/>
      </c>
      <c r="X539" s="11" t="str">
        <f t="shared" ca="1" si="286"/>
        <v/>
      </c>
      <c r="Y539" s="11" t="str">
        <f t="shared" ca="1" si="287"/>
        <v/>
      </c>
      <c r="Z539" s="11" t="str">
        <f t="shared" ca="1" si="288"/>
        <v/>
      </c>
      <c r="AA539" s="11" t="str">
        <f t="shared" ca="1" si="289"/>
        <v/>
      </c>
      <c r="AB539" s="47">
        <f ca="1">PlayerGameData[[#This Row],[3FGA]]+PlayerGameData[[#This Row],[2FGA]]</f>
        <v>0</v>
      </c>
      <c r="AC539" s="47">
        <f ca="1">PlayerGameData[[#This Row],[OFF REB]]+PlayerGameData[[#This Row],[DEF REB]]</f>
        <v>0</v>
      </c>
      <c r="AD539" s="8">
        <f t="shared" si="270"/>
        <v>23</v>
      </c>
      <c r="AE539" s="8" t="str">
        <f t="shared" ca="1" si="271"/>
        <v>Keith Coburn, 11 - Southeast 2/25/2023</v>
      </c>
      <c r="AF539" s="8" t="str">
        <f t="shared" ca="1" si="290"/>
        <v>R</v>
      </c>
      <c r="AG539" s="8" t="str">
        <f ca="1">IFERROR(IF(C539=0,"",IF(AND(VLOOKUP(PlayerGameData[[#This Row],[Opponent]],WYTeamInfo,2,FALSE)=Roster!$D$1,VLOOKUP(PlayerGameData[[#This Row],[Opponent]],WYTeamInfo,3,FALSE)=Roster!$D$2),"SR","")),"")</f>
        <v/>
      </c>
      <c r="AH539" s="8" t="str">
        <f>CONCATENATE(Roster!$D$1," ",Roster!$D$5)</f>
        <v>1A BB</v>
      </c>
      <c r="AI539" s="8" t="str">
        <f t="shared" ca="1" si="272"/>
        <v>Upton - Southeast 2/25/2023</v>
      </c>
      <c r="AJ539" s="8">
        <f ca="1">IFERROR(VLOOKUP(PlayerGameData[[#This Row],[School, Opponent,Game'#]],Table3[],2,FALSE),0)</f>
        <v>1</v>
      </c>
      <c r="AK539" s="8">
        <f ca="1">IF(PlayerGameData[[#This Row],[Visible]]=1,1,1000)</f>
        <v>1</v>
      </c>
      <c r="AL539" s="8">
        <f ca="1">RANK(PlayerGameData[[#This Row],[TL PTS]],PlayerGameData[TL PTS],0)+PlayerGameData[[#This Row],[VisibleOrder]]</f>
        <v>185</v>
      </c>
      <c r="AM539" s="8">
        <f ca="1">IF(COUNTIF(PlayerGameData[PointOrder],PlayerGameData[[#This Row],[PointOrder]])&gt;1,RANK(PlayerGameData[[#This Row],[FGA]],PlayerGameData[FGA],0)/100,0)+PlayerGameData[[#This Row],[PointOrder]]</f>
        <v>187.14</v>
      </c>
      <c r="AN539" s="8">
        <f ca="1">RANK(PlayerGameData[[#This Row],[PointTieBreak]],PlayerGameData[PointTieBreak],1)</f>
        <v>216</v>
      </c>
      <c r="AO539" s="8">
        <f ca="1">RANK(PlayerGameData[[#This Row],[REB]],PlayerGameData[REB],0)+PlayerGameData[[#This Row],[VisibleOrder]]</f>
        <v>192</v>
      </c>
      <c r="AP539" s="8">
        <f ca="1">IF(COUNTIF(PlayerGameData[REBOrder],PlayerGameData[[#This Row],[REBOrder]])&gt;1,PlayerGameData[[#This Row],[PointRank]]/100+PlayerGameData[[#This Row],[REBOrder]],PlayerGameData[[#This Row],[REBOrder]])</f>
        <v>194.16</v>
      </c>
      <c r="AQ539" s="8">
        <f ca="1">RANK(PlayerGameData[[#This Row],[REBTieBreak]],PlayerGameData[REBTieBreak],1)</f>
        <v>224</v>
      </c>
      <c r="AR539" s="8">
        <f ca="1">RANK(PlayerGameData[[#This Row],[AST]],PlayerGameData[AST],0)+PlayerGameData[[#This Row],[VisibleOrder]]</f>
        <v>158</v>
      </c>
      <c r="AS539" s="8">
        <f ca="1">IF(COUNTIF(PlayerGameData[ASTOrder],PlayerGameData[[#This Row],[ASTOrder]])&gt;1,PlayerGameData[[#This Row],[PointRank]]/100+PlayerGameData[[#This Row],[ASTOrder]],PlayerGameData[[#This Row],[ASTOrder]])</f>
        <v>160.16</v>
      </c>
      <c r="AT539" s="8">
        <f ca="1">RANK(PlayerGameData[[#This Row],[ASTTieBreak]],PlayerGameData[ASTTieBreak],1)</f>
        <v>221</v>
      </c>
      <c r="AU539" s="8">
        <f ca="1">RANK(PlayerGameData[[#This Row],[STL]],PlayerGameData[STL],0)+PlayerGameData[[#This Row],[VisibleOrder]]</f>
        <v>143</v>
      </c>
      <c r="AV539" s="8">
        <f ca="1">IF(COUNTIF(PlayerGameData[STLOrder],PlayerGameData[[#This Row],[STLOrder]])&gt;1,PlayerGameData[[#This Row],[PointRank]]/100+PlayerGameData[[#This Row],[STLOrder]],PlayerGameData[[#This Row],[STLOrder]])</f>
        <v>145.16</v>
      </c>
      <c r="AW539" s="8">
        <f ca="1">RANK(PlayerGameData[[#This Row],[STLTieBreak]],PlayerGameData[STLTieBreak],1)</f>
        <v>217</v>
      </c>
      <c r="AX539" s="8">
        <f ca="1">RANK(PlayerGameData[[#This Row],[BLK]],PlayerGameData[BLK],0)+PlayerGameData[[#This Row],[VisibleOrder]]</f>
        <v>32</v>
      </c>
      <c r="AY539" s="8">
        <f ca="1">IF(COUNTIF(PlayerGameData[BLKOrder],PlayerGameData[[#This Row],[BLKOrder]])&gt;1,PlayerGameData[[#This Row],[PointRank]]/100+PlayerGameData[[#This Row],[BLKOrder]],PlayerGameData[[#This Row],[BLKOrder]])</f>
        <v>34.159999999999997</v>
      </c>
      <c r="AZ539" s="8">
        <f ca="1">RANK(PlayerGameData[[#This Row],[BLKTieBreak]],PlayerGameData[BLKTieBreak],1)</f>
        <v>216</v>
      </c>
      <c r="BA539" s="11">
        <f ca="1">IFERROR(IF(PlayerGameData[[#This Row],[FGA]]&gt;$AA$5,PlayerGameData[[#This Row],[FG%*]],PlayerGameData[[#This Row],[FG%*]]*-1),-2)</f>
        <v>-2</v>
      </c>
      <c r="BB539" s="8">
        <f ca="1">RANK(PlayerGameData[[#This Row],[EligFG]],PlayerGameData[EligFG],0)+PlayerGameData[[#This Row],[VisibleOrder]]</f>
        <v>215</v>
      </c>
      <c r="BC539" s="8">
        <f ca="1">IF(COUNTIF(PlayerGameData[EligFGOrder],PlayerGameData[[#This Row],[EligFGOrder]])&gt;1,PlayerGameData[[#This Row],[PointRank]]/100+PlayerGameData[[#This Row],[EligFGOrder]],PlayerGameData[[#This Row],[EligFGOrder]])</f>
        <v>217.16</v>
      </c>
      <c r="BD539" s="8">
        <f ca="1">RANK(PlayerGameData[[#This Row],[EligFGTieBreak]],PlayerGameData[EligFGTieBreak],1)</f>
        <v>216</v>
      </c>
      <c r="BE539" s="8" t="str">
        <f>Roster!$D$3</f>
        <v>East</v>
      </c>
      <c r="BF539" s="8" t="str">
        <f>Roster!$D$2</f>
        <v>Northeast</v>
      </c>
      <c r="BG539" s="8" t="str">
        <f>Roster!$D$4</f>
        <v>North</v>
      </c>
      <c r="BH539" s="197">
        <f ca="1">IFERROR(VLOOKUP(CONCATENATE(PlayerGameData[[#This Row],[Opponent]]," ",MONTH(PlayerGameData[[#This Row],[Date]]),"/",DAY(PlayerGameData[[#This Row],[Date]]),"/",YEAR(PlayerGameData[[#This Row],[Date]])),Table35[],2,FALSE),0)</f>
        <v>1</v>
      </c>
      <c r="BI539" s="197">
        <f ca="1">IF(PlayerGameData[[#This Row],[Visible]]=1,1,1000)</f>
        <v>1</v>
      </c>
      <c r="BJ539" s="197" t="e">
        <f ca="1">_xlfn.MAXIFS(TeamGameData[Win],TeamGameData[School, Opponent,Game'#],PlayerGameData[[#This Row],[School, Opponent,Game'#]])</f>
        <v>#NAME?</v>
      </c>
      <c r="BK539" s="197" t="e">
        <f ca="1">_xlfn.MAXIFS(TeamGameData[Loss],TeamGameData[School, Opponent,Game'#],PlayerGameData[[#This Row],[School, Opponent,Game'#]])</f>
        <v>#NAME?</v>
      </c>
    </row>
    <row r="540" spans="1:63" x14ac:dyDescent="0.25">
      <c r="A540" s="8" t="str">
        <f t="shared" ca="1" si="273"/>
        <v>Carson Barritt, 14</v>
      </c>
      <c r="B540" s="8" t="str">
        <f>Roster!$B$1</f>
        <v>Upton</v>
      </c>
      <c r="C540" s="8" t="str">
        <f t="shared" ca="1" si="261"/>
        <v>Southeast</v>
      </c>
      <c r="D540" s="10">
        <f t="shared" ca="1" si="262"/>
        <v>44982</v>
      </c>
      <c r="E540" s="8">
        <f t="shared" ca="1" si="263"/>
        <v>0</v>
      </c>
      <c r="F540" s="8">
        <f t="shared" ca="1" si="264"/>
        <v>0</v>
      </c>
      <c r="G540" s="8">
        <f t="shared" ca="1" si="265"/>
        <v>0</v>
      </c>
      <c r="H540" s="8">
        <f t="shared" ca="1" si="266"/>
        <v>0</v>
      </c>
      <c r="I540" s="8">
        <f t="shared" ca="1" si="267"/>
        <v>0</v>
      </c>
      <c r="J540" s="8">
        <f t="shared" ca="1" si="268"/>
        <v>0</v>
      </c>
      <c r="K540" s="8">
        <f t="shared" ca="1" si="269"/>
        <v>0</v>
      </c>
      <c r="L540" s="8">
        <f t="shared" ca="1" si="274"/>
        <v>0</v>
      </c>
      <c r="M540" s="8">
        <f t="shared" ca="1" si="275"/>
        <v>0</v>
      </c>
      <c r="N540" s="8">
        <f t="shared" ca="1" si="276"/>
        <v>0</v>
      </c>
      <c r="O540" s="8">
        <f t="shared" ca="1" si="277"/>
        <v>0</v>
      </c>
      <c r="P540" s="8">
        <f t="shared" ca="1" si="278"/>
        <v>0</v>
      </c>
      <c r="Q540" s="8">
        <f t="shared" ca="1" si="279"/>
        <v>0</v>
      </c>
      <c r="R540" s="8">
        <f t="shared" ca="1" si="280"/>
        <v>0</v>
      </c>
      <c r="S540" s="8">
        <f t="shared" ca="1" si="281"/>
        <v>0</v>
      </c>
      <c r="T540" s="8">
        <f t="shared" ca="1" si="282"/>
        <v>0</v>
      </c>
      <c r="U540" s="8">
        <f t="shared" ca="1" si="283"/>
        <v>0</v>
      </c>
      <c r="V540" s="8">
        <f t="shared" ca="1" si="284"/>
        <v>0</v>
      </c>
      <c r="W540" s="11" t="str">
        <f t="shared" ca="1" si="285"/>
        <v/>
      </c>
      <c r="X540" s="11" t="str">
        <f t="shared" ca="1" si="286"/>
        <v/>
      </c>
      <c r="Y540" s="11" t="str">
        <f t="shared" ca="1" si="287"/>
        <v/>
      </c>
      <c r="Z540" s="11" t="str">
        <f t="shared" ca="1" si="288"/>
        <v/>
      </c>
      <c r="AA540" s="11" t="str">
        <f t="shared" ca="1" si="289"/>
        <v/>
      </c>
      <c r="AB540" s="47">
        <f ca="1">PlayerGameData[[#This Row],[3FGA]]+PlayerGameData[[#This Row],[2FGA]]</f>
        <v>0</v>
      </c>
      <c r="AC540" s="47">
        <f ca="1">PlayerGameData[[#This Row],[OFF REB]]+PlayerGameData[[#This Row],[DEF REB]]</f>
        <v>0</v>
      </c>
      <c r="AD540" s="8">
        <f t="shared" si="270"/>
        <v>23</v>
      </c>
      <c r="AE540" s="8" t="str">
        <f t="shared" ca="1" si="271"/>
        <v>Carson Barritt, 14 - Southeast 2/25/2023</v>
      </c>
      <c r="AF540" s="8" t="str">
        <f t="shared" ca="1" si="290"/>
        <v>R</v>
      </c>
      <c r="AG540" s="8" t="str">
        <f ca="1">IFERROR(IF(C540=0,"",IF(AND(VLOOKUP(PlayerGameData[[#This Row],[Opponent]],WYTeamInfo,2,FALSE)=Roster!$D$1,VLOOKUP(PlayerGameData[[#This Row],[Opponent]],WYTeamInfo,3,FALSE)=Roster!$D$2),"SR","")),"")</f>
        <v/>
      </c>
      <c r="AH540" s="8" t="str">
        <f>CONCATENATE(Roster!$D$1," ",Roster!$D$5)</f>
        <v>1A BB</v>
      </c>
      <c r="AI540" s="8" t="str">
        <f t="shared" ca="1" si="272"/>
        <v>Upton - Southeast 2/25/2023</v>
      </c>
      <c r="AJ540" s="8">
        <f ca="1">IFERROR(VLOOKUP(PlayerGameData[[#This Row],[School, Opponent,Game'#]],Table3[],2,FALSE),0)</f>
        <v>1</v>
      </c>
      <c r="AK540" s="8">
        <f ca="1">IF(PlayerGameData[[#This Row],[Visible]]=1,1,1000)</f>
        <v>1</v>
      </c>
      <c r="AL540" s="8">
        <f ca="1">RANK(PlayerGameData[[#This Row],[TL PTS]],PlayerGameData[TL PTS],0)+PlayerGameData[[#This Row],[VisibleOrder]]</f>
        <v>185</v>
      </c>
      <c r="AM540" s="8">
        <f ca="1">IF(COUNTIF(PlayerGameData[PointOrder],PlayerGameData[[#This Row],[PointOrder]])&gt;1,RANK(PlayerGameData[[#This Row],[FGA]],PlayerGameData[FGA],0)/100,0)+PlayerGameData[[#This Row],[PointOrder]]</f>
        <v>187.14</v>
      </c>
      <c r="AN540" s="8">
        <f ca="1">RANK(PlayerGameData[[#This Row],[PointTieBreak]],PlayerGameData[PointTieBreak],1)</f>
        <v>216</v>
      </c>
      <c r="AO540" s="8">
        <f ca="1">RANK(PlayerGameData[[#This Row],[REB]],PlayerGameData[REB],0)+PlayerGameData[[#This Row],[VisibleOrder]]</f>
        <v>192</v>
      </c>
      <c r="AP540" s="8">
        <f ca="1">IF(COUNTIF(PlayerGameData[REBOrder],PlayerGameData[[#This Row],[REBOrder]])&gt;1,PlayerGameData[[#This Row],[PointRank]]/100+PlayerGameData[[#This Row],[REBOrder]],PlayerGameData[[#This Row],[REBOrder]])</f>
        <v>194.16</v>
      </c>
      <c r="AQ540" s="8">
        <f ca="1">RANK(PlayerGameData[[#This Row],[REBTieBreak]],PlayerGameData[REBTieBreak],1)</f>
        <v>224</v>
      </c>
      <c r="AR540" s="8">
        <f ca="1">RANK(PlayerGameData[[#This Row],[AST]],PlayerGameData[AST],0)+PlayerGameData[[#This Row],[VisibleOrder]]</f>
        <v>158</v>
      </c>
      <c r="AS540" s="8">
        <f ca="1">IF(COUNTIF(PlayerGameData[ASTOrder],PlayerGameData[[#This Row],[ASTOrder]])&gt;1,PlayerGameData[[#This Row],[PointRank]]/100+PlayerGameData[[#This Row],[ASTOrder]],PlayerGameData[[#This Row],[ASTOrder]])</f>
        <v>160.16</v>
      </c>
      <c r="AT540" s="8">
        <f ca="1">RANK(PlayerGameData[[#This Row],[ASTTieBreak]],PlayerGameData[ASTTieBreak],1)</f>
        <v>221</v>
      </c>
      <c r="AU540" s="8">
        <f ca="1">RANK(PlayerGameData[[#This Row],[STL]],PlayerGameData[STL],0)+PlayerGameData[[#This Row],[VisibleOrder]]</f>
        <v>143</v>
      </c>
      <c r="AV540" s="8">
        <f ca="1">IF(COUNTIF(PlayerGameData[STLOrder],PlayerGameData[[#This Row],[STLOrder]])&gt;1,PlayerGameData[[#This Row],[PointRank]]/100+PlayerGameData[[#This Row],[STLOrder]],PlayerGameData[[#This Row],[STLOrder]])</f>
        <v>145.16</v>
      </c>
      <c r="AW540" s="8">
        <f ca="1">RANK(PlayerGameData[[#This Row],[STLTieBreak]],PlayerGameData[STLTieBreak],1)</f>
        <v>217</v>
      </c>
      <c r="AX540" s="8">
        <f ca="1">RANK(PlayerGameData[[#This Row],[BLK]],PlayerGameData[BLK],0)+PlayerGameData[[#This Row],[VisibleOrder]]</f>
        <v>32</v>
      </c>
      <c r="AY540" s="8">
        <f ca="1">IF(COUNTIF(PlayerGameData[BLKOrder],PlayerGameData[[#This Row],[BLKOrder]])&gt;1,PlayerGameData[[#This Row],[PointRank]]/100+PlayerGameData[[#This Row],[BLKOrder]],PlayerGameData[[#This Row],[BLKOrder]])</f>
        <v>34.159999999999997</v>
      </c>
      <c r="AZ540" s="8">
        <f ca="1">RANK(PlayerGameData[[#This Row],[BLKTieBreak]],PlayerGameData[BLKTieBreak],1)</f>
        <v>216</v>
      </c>
      <c r="BA540" s="11">
        <f ca="1">IFERROR(IF(PlayerGameData[[#This Row],[FGA]]&gt;$AA$5,PlayerGameData[[#This Row],[FG%*]],PlayerGameData[[#This Row],[FG%*]]*-1),-2)</f>
        <v>-2</v>
      </c>
      <c r="BB540" s="8">
        <f ca="1">RANK(PlayerGameData[[#This Row],[EligFG]],PlayerGameData[EligFG],0)+PlayerGameData[[#This Row],[VisibleOrder]]</f>
        <v>215</v>
      </c>
      <c r="BC540" s="8">
        <f ca="1">IF(COUNTIF(PlayerGameData[EligFGOrder],PlayerGameData[[#This Row],[EligFGOrder]])&gt;1,PlayerGameData[[#This Row],[PointRank]]/100+PlayerGameData[[#This Row],[EligFGOrder]],PlayerGameData[[#This Row],[EligFGOrder]])</f>
        <v>217.16</v>
      </c>
      <c r="BD540" s="8">
        <f ca="1">RANK(PlayerGameData[[#This Row],[EligFGTieBreak]],PlayerGameData[EligFGTieBreak],1)</f>
        <v>216</v>
      </c>
      <c r="BE540" s="8" t="str">
        <f>Roster!$D$3</f>
        <v>East</v>
      </c>
      <c r="BF540" s="8" t="str">
        <f>Roster!$D$2</f>
        <v>Northeast</v>
      </c>
      <c r="BG540" s="8" t="str">
        <f>Roster!$D$4</f>
        <v>North</v>
      </c>
      <c r="BH540" s="197">
        <f ca="1">IFERROR(VLOOKUP(CONCATENATE(PlayerGameData[[#This Row],[Opponent]]," ",MONTH(PlayerGameData[[#This Row],[Date]]),"/",DAY(PlayerGameData[[#This Row],[Date]]),"/",YEAR(PlayerGameData[[#This Row],[Date]])),Table35[],2,FALSE),0)</f>
        <v>1</v>
      </c>
      <c r="BI540" s="197">
        <f ca="1">IF(PlayerGameData[[#This Row],[Visible]]=1,1,1000)</f>
        <v>1</v>
      </c>
      <c r="BJ540" s="197" t="e">
        <f ca="1">_xlfn.MAXIFS(TeamGameData[Win],TeamGameData[School, Opponent,Game'#],PlayerGameData[[#This Row],[School, Opponent,Game'#]])</f>
        <v>#NAME?</v>
      </c>
      <c r="BK540" s="197" t="e">
        <f ca="1">_xlfn.MAXIFS(TeamGameData[Loss],TeamGameData[School, Opponent,Game'#],PlayerGameData[[#This Row],[School, Opponent,Game'#]])</f>
        <v>#NAME?</v>
      </c>
    </row>
    <row r="541" spans="1:63" x14ac:dyDescent="0.25">
      <c r="A541" s="8" t="str">
        <f t="shared" ca="1" si="273"/>
        <v>Ben Carpenter, 21</v>
      </c>
      <c r="B541" s="8" t="str">
        <f>Roster!$B$1</f>
        <v>Upton</v>
      </c>
      <c r="C541" s="8" t="str">
        <f t="shared" ca="1" si="261"/>
        <v>Southeast</v>
      </c>
      <c r="D541" s="10">
        <f t="shared" ca="1" si="262"/>
        <v>44982</v>
      </c>
      <c r="E541" s="8">
        <f t="shared" ca="1" si="263"/>
        <v>0</v>
      </c>
      <c r="F541" s="8">
        <f t="shared" ca="1" si="264"/>
        <v>0</v>
      </c>
      <c r="G541" s="8">
        <f t="shared" ca="1" si="265"/>
        <v>0</v>
      </c>
      <c r="H541" s="8">
        <f t="shared" ca="1" si="266"/>
        <v>0</v>
      </c>
      <c r="I541" s="8">
        <f t="shared" ca="1" si="267"/>
        <v>0</v>
      </c>
      <c r="J541" s="8">
        <f t="shared" ca="1" si="268"/>
        <v>0</v>
      </c>
      <c r="K541" s="8">
        <f t="shared" ca="1" si="269"/>
        <v>0</v>
      </c>
      <c r="L541" s="8">
        <f t="shared" ca="1" si="274"/>
        <v>0</v>
      </c>
      <c r="M541" s="8">
        <f t="shared" ca="1" si="275"/>
        <v>0</v>
      </c>
      <c r="N541" s="8">
        <f t="shared" ca="1" si="276"/>
        <v>0</v>
      </c>
      <c r="O541" s="8">
        <f t="shared" ca="1" si="277"/>
        <v>0</v>
      </c>
      <c r="P541" s="8">
        <f t="shared" ca="1" si="278"/>
        <v>0</v>
      </c>
      <c r="Q541" s="8">
        <f t="shared" ca="1" si="279"/>
        <v>0</v>
      </c>
      <c r="R541" s="8">
        <f t="shared" ca="1" si="280"/>
        <v>0</v>
      </c>
      <c r="S541" s="8">
        <f t="shared" ca="1" si="281"/>
        <v>0</v>
      </c>
      <c r="T541" s="8">
        <f t="shared" ca="1" si="282"/>
        <v>0</v>
      </c>
      <c r="U541" s="8">
        <f t="shared" ca="1" si="283"/>
        <v>0</v>
      </c>
      <c r="V541" s="8">
        <f t="shared" ca="1" si="284"/>
        <v>0</v>
      </c>
      <c r="W541" s="11" t="str">
        <f t="shared" ca="1" si="285"/>
        <v/>
      </c>
      <c r="X541" s="11" t="str">
        <f t="shared" ca="1" si="286"/>
        <v/>
      </c>
      <c r="Y541" s="11" t="str">
        <f t="shared" ca="1" si="287"/>
        <v/>
      </c>
      <c r="Z541" s="11" t="str">
        <f t="shared" ca="1" si="288"/>
        <v/>
      </c>
      <c r="AA541" s="11" t="str">
        <f t="shared" ca="1" si="289"/>
        <v/>
      </c>
      <c r="AB541" s="47">
        <f ca="1">PlayerGameData[[#This Row],[3FGA]]+PlayerGameData[[#This Row],[2FGA]]</f>
        <v>0</v>
      </c>
      <c r="AC541" s="47">
        <f ca="1">PlayerGameData[[#This Row],[OFF REB]]+PlayerGameData[[#This Row],[DEF REB]]</f>
        <v>0</v>
      </c>
      <c r="AD541" s="8">
        <f t="shared" si="270"/>
        <v>23</v>
      </c>
      <c r="AE541" s="8" t="str">
        <f t="shared" ca="1" si="271"/>
        <v>Ben Carpenter, 21 - Southeast 2/25/2023</v>
      </c>
      <c r="AF541" s="8" t="str">
        <f t="shared" ca="1" si="290"/>
        <v>R</v>
      </c>
      <c r="AG541" s="8" t="str">
        <f ca="1">IFERROR(IF(C541=0,"",IF(AND(VLOOKUP(PlayerGameData[[#This Row],[Opponent]],WYTeamInfo,2,FALSE)=Roster!$D$1,VLOOKUP(PlayerGameData[[#This Row],[Opponent]],WYTeamInfo,3,FALSE)=Roster!$D$2),"SR","")),"")</f>
        <v/>
      </c>
      <c r="AH541" s="8" t="str">
        <f>CONCATENATE(Roster!$D$1," ",Roster!$D$5)</f>
        <v>1A BB</v>
      </c>
      <c r="AI541" s="8" t="str">
        <f t="shared" ca="1" si="272"/>
        <v>Upton - Southeast 2/25/2023</v>
      </c>
      <c r="AJ541" s="8">
        <f ca="1">IFERROR(VLOOKUP(PlayerGameData[[#This Row],[School, Opponent,Game'#]],Table3[],2,FALSE),0)</f>
        <v>1</v>
      </c>
      <c r="AK541" s="8">
        <f ca="1">IF(PlayerGameData[[#This Row],[Visible]]=1,1,1000)</f>
        <v>1</v>
      </c>
      <c r="AL541" s="8">
        <f ca="1">RANK(PlayerGameData[[#This Row],[TL PTS]],PlayerGameData[TL PTS],0)+PlayerGameData[[#This Row],[VisibleOrder]]</f>
        <v>185</v>
      </c>
      <c r="AM541" s="8">
        <f ca="1">IF(COUNTIF(PlayerGameData[PointOrder],PlayerGameData[[#This Row],[PointOrder]])&gt;1,RANK(PlayerGameData[[#This Row],[FGA]],PlayerGameData[FGA],0)/100,0)+PlayerGameData[[#This Row],[PointOrder]]</f>
        <v>187.14</v>
      </c>
      <c r="AN541" s="8">
        <f ca="1">RANK(PlayerGameData[[#This Row],[PointTieBreak]],PlayerGameData[PointTieBreak],1)</f>
        <v>216</v>
      </c>
      <c r="AO541" s="8">
        <f ca="1">RANK(PlayerGameData[[#This Row],[REB]],PlayerGameData[REB],0)+PlayerGameData[[#This Row],[VisibleOrder]]</f>
        <v>192</v>
      </c>
      <c r="AP541" s="8">
        <f ca="1">IF(COUNTIF(PlayerGameData[REBOrder],PlayerGameData[[#This Row],[REBOrder]])&gt;1,PlayerGameData[[#This Row],[PointRank]]/100+PlayerGameData[[#This Row],[REBOrder]],PlayerGameData[[#This Row],[REBOrder]])</f>
        <v>194.16</v>
      </c>
      <c r="AQ541" s="8">
        <f ca="1">RANK(PlayerGameData[[#This Row],[REBTieBreak]],PlayerGameData[REBTieBreak],1)</f>
        <v>224</v>
      </c>
      <c r="AR541" s="8">
        <f ca="1">RANK(PlayerGameData[[#This Row],[AST]],PlayerGameData[AST],0)+PlayerGameData[[#This Row],[VisibleOrder]]</f>
        <v>158</v>
      </c>
      <c r="AS541" s="8">
        <f ca="1">IF(COUNTIF(PlayerGameData[ASTOrder],PlayerGameData[[#This Row],[ASTOrder]])&gt;1,PlayerGameData[[#This Row],[PointRank]]/100+PlayerGameData[[#This Row],[ASTOrder]],PlayerGameData[[#This Row],[ASTOrder]])</f>
        <v>160.16</v>
      </c>
      <c r="AT541" s="8">
        <f ca="1">RANK(PlayerGameData[[#This Row],[ASTTieBreak]],PlayerGameData[ASTTieBreak],1)</f>
        <v>221</v>
      </c>
      <c r="AU541" s="8">
        <f ca="1">RANK(PlayerGameData[[#This Row],[STL]],PlayerGameData[STL],0)+PlayerGameData[[#This Row],[VisibleOrder]]</f>
        <v>143</v>
      </c>
      <c r="AV541" s="8">
        <f ca="1">IF(COUNTIF(PlayerGameData[STLOrder],PlayerGameData[[#This Row],[STLOrder]])&gt;1,PlayerGameData[[#This Row],[PointRank]]/100+PlayerGameData[[#This Row],[STLOrder]],PlayerGameData[[#This Row],[STLOrder]])</f>
        <v>145.16</v>
      </c>
      <c r="AW541" s="8">
        <f ca="1">RANK(PlayerGameData[[#This Row],[STLTieBreak]],PlayerGameData[STLTieBreak],1)</f>
        <v>217</v>
      </c>
      <c r="AX541" s="8">
        <f ca="1">RANK(PlayerGameData[[#This Row],[BLK]],PlayerGameData[BLK],0)+PlayerGameData[[#This Row],[VisibleOrder]]</f>
        <v>32</v>
      </c>
      <c r="AY541" s="8">
        <f ca="1">IF(COUNTIF(PlayerGameData[BLKOrder],PlayerGameData[[#This Row],[BLKOrder]])&gt;1,PlayerGameData[[#This Row],[PointRank]]/100+PlayerGameData[[#This Row],[BLKOrder]],PlayerGameData[[#This Row],[BLKOrder]])</f>
        <v>34.159999999999997</v>
      </c>
      <c r="AZ541" s="8">
        <f ca="1">RANK(PlayerGameData[[#This Row],[BLKTieBreak]],PlayerGameData[BLKTieBreak],1)</f>
        <v>216</v>
      </c>
      <c r="BA541" s="11">
        <f ca="1">IFERROR(IF(PlayerGameData[[#This Row],[FGA]]&gt;$AA$5,PlayerGameData[[#This Row],[FG%*]],PlayerGameData[[#This Row],[FG%*]]*-1),-2)</f>
        <v>-2</v>
      </c>
      <c r="BB541" s="8">
        <f ca="1">RANK(PlayerGameData[[#This Row],[EligFG]],PlayerGameData[EligFG],0)+PlayerGameData[[#This Row],[VisibleOrder]]</f>
        <v>215</v>
      </c>
      <c r="BC541" s="8">
        <f ca="1">IF(COUNTIF(PlayerGameData[EligFGOrder],PlayerGameData[[#This Row],[EligFGOrder]])&gt;1,PlayerGameData[[#This Row],[PointRank]]/100+PlayerGameData[[#This Row],[EligFGOrder]],PlayerGameData[[#This Row],[EligFGOrder]])</f>
        <v>217.16</v>
      </c>
      <c r="BD541" s="8">
        <f ca="1">RANK(PlayerGameData[[#This Row],[EligFGTieBreak]],PlayerGameData[EligFGTieBreak],1)</f>
        <v>216</v>
      </c>
      <c r="BE541" s="8" t="str">
        <f>Roster!$D$3</f>
        <v>East</v>
      </c>
      <c r="BF541" s="8" t="str">
        <f>Roster!$D$2</f>
        <v>Northeast</v>
      </c>
      <c r="BG541" s="8" t="str">
        <f>Roster!$D$4</f>
        <v>North</v>
      </c>
      <c r="BH541" s="197">
        <f ca="1">IFERROR(VLOOKUP(CONCATENATE(PlayerGameData[[#This Row],[Opponent]]," ",MONTH(PlayerGameData[[#This Row],[Date]]),"/",DAY(PlayerGameData[[#This Row],[Date]]),"/",YEAR(PlayerGameData[[#This Row],[Date]])),Table35[],2,FALSE),0)</f>
        <v>1</v>
      </c>
      <c r="BI541" s="197">
        <f ca="1">IF(PlayerGameData[[#This Row],[Visible]]=1,1,1000)</f>
        <v>1</v>
      </c>
      <c r="BJ541" s="197" t="e">
        <f ca="1">_xlfn.MAXIFS(TeamGameData[Win],TeamGameData[School, Opponent,Game'#],PlayerGameData[[#This Row],[School, Opponent,Game'#]])</f>
        <v>#NAME?</v>
      </c>
      <c r="BK541" s="197" t="e">
        <f ca="1">_xlfn.MAXIFS(TeamGameData[Loss],TeamGameData[School, Opponent,Game'#],PlayerGameData[[#This Row],[School, Opponent,Game'#]])</f>
        <v>#NAME?</v>
      </c>
    </row>
    <row r="542" spans="1:63" x14ac:dyDescent="0.25">
      <c r="A542" s="8" t="str">
        <f t="shared" ca="1" si="273"/>
        <v>Ethan Schiller, 23</v>
      </c>
      <c r="B542" s="8" t="str">
        <f>Roster!$B$1</f>
        <v>Upton</v>
      </c>
      <c r="C542" s="8" t="str">
        <f t="shared" ca="1" si="261"/>
        <v>Southeast</v>
      </c>
      <c r="D542" s="10">
        <f t="shared" ca="1" si="262"/>
        <v>44982</v>
      </c>
      <c r="E542" s="8">
        <f t="shared" ca="1" si="263"/>
        <v>1</v>
      </c>
      <c r="F542" s="8">
        <f t="shared" ca="1" si="264"/>
        <v>1</v>
      </c>
      <c r="G542" s="8">
        <f t="shared" ca="1" si="265"/>
        <v>25</v>
      </c>
      <c r="H542" s="8">
        <f t="shared" ca="1" si="266"/>
        <v>0</v>
      </c>
      <c r="I542" s="8">
        <f t="shared" ca="1" si="267"/>
        <v>1</v>
      </c>
      <c r="J542" s="8">
        <f t="shared" ca="1" si="268"/>
        <v>4</v>
      </c>
      <c r="K542" s="8">
        <f t="shared" ca="1" si="269"/>
        <v>7</v>
      </c>
      <c r="L542" s="8">
        <f t="shared" ca="1" si="274"/>
        <v>4</v>
      </c>
      <c r="M542" s="8">
        <f t="shared" ca="1" si="275"/>
        <v>6</v>
      </c>
      <c r="N542" s="8">
        <f t="shared" ca="1" si="276"/>
        <v>6</v>
      </c>
      <c r="O542" s="8">
        <f t="shared" ca="1" si="277"/>
        <v>4</v>
      </c>
      <c r="P542" s="8">
        <f t="shared" ca="1" si="278"/>
        <v>6</v>
      </c>
      <c r="Q542" s="8">
        <f t="shared" ca="1" si="279"/>
        <v>1</v>
      </c>
      <c r="R542" s="8">
        <f t="shared" ca="1" si="280"/>
        <v>2</v>
      </c>
      <c r="S542" s="8">
        <f t="shared" ca="1" si="281"/>
        <v>2</v>
      </c>
      <c r="T542" s="8">
        <f t="shared" ca="1" si="282"/>
        <v>4</v>
      </c>
      <c r="U542" s="8">
        <f t="shared" ca="1" si="283"/>
        <v>1</v>
      </c>
      <c r="V542" s="8">
        <f t="shared" ca="1" si="284"/>
        <v>12</v>
      </c>
      <c r="W542" s="11">
        <f t="shared" ca="1" si="285"/>
        <v>0</v>
      </c>
      <c r="X542" s="11">
        <f t="shared" ca="1" si="286"/>
        <v>0.5714285714285714</v>
      </c>
      <c r="Y542" s="11">
        <f t="shared" ca="1" si="287"/>
        <v>0.66666666666666663</v>
      </c>
      <c r="Z542" s="11">
        <f t="shared" ca="1" si="288"/>
        <v>0.5</v>
      </c>
      <c r="AA542" s="11">
        <f t="shared" ca="1" si="289"/>
        <v>0.5</v>
      </c>
      <c r="AB542" s="47">
        <f ca="1">PlayerGameData[[#This Row],[3FGA]]+PlayerGameData[[#This Row],[2FGA]]</f>
        <v>8</v>
      </c>
      <c r="AC542" s="47">
        <f ca="1">PlayerGameData[[#This Row],[OFF REB]]+PlayerGameData[[#This Row],[DEF REB]]</f>
        <v>10</v>
      </c>
      <c r="AD542" s="8">
        <f t="shared" si="270"/>
        <v>23</v>
      </c>
      <c r="AE542" s="8" t="str">
        <f t="shared" ca="1" si="271"/>
        <v>Ethan Schiller, 23 - Southeast 2/25/2023</v>
      </c>
      <c r="AF542" s="8" t="str">
        <f t="shared" ca="1" si="290"/>
        <v>R</v>
      </c>
      <c r="AG542" s="8" t="str">
        <f ca="1">IFERROR(IF(C542=0,"",IF(AND(VLOOKUP(PlayerGameData[[#This Row],[Opponent]],WYTeamInfo,2,FALSE)=Roster!$D$1,VLOOKUP(PlayerGameData[[#This Row],[Opponent]],WYTeamInfo,3,FALSE)=Roster!$D$2),"SR","")),"")</f>
        <v/>
      </c>
      <c r="AH542" s="8" t="str">
        <f>CONCATENATE(Roster!$D$1," ",Roster!$D$5)</f>
        <v>1A BB</v>
      </c>
      <c r="AI542" s="8" t="str">
        <f t="shared" ca="1" si="272"/>
        <v>Upton - Southeast 2/25/2023</v>
      </c>
      <c r="AJ542" s="8">
        <f ca="1">IFERROR(VLOOKUP(PlayerGameData[[#This Row],[School, Opponent,Game'#]],Table3[],2,FALSE),0)</f>
        <v>1</v>
      </c>
      <c r="AK542" s="8">
        <f ca="1">IF(PlayerGameData[[#This Row],[Visible]]=1,1,1000)</f>
        <v>1</v>
      </c>
      <c r="AL542" s="8">
        <f ca="1">RANK(PlayerGameData[[#This Row],[TL PTS]],PlayerGameData[TL PTS],0)+PlayerGameData[[#This Row],[VisibleOrder]]</f>
        <v>51</v>
      </c>
      <c r="AM542" s="8">
        <f ca="1">IF(COUNTIF(PlayerGameData[PointOrder],PlayerGameData[[#This Row],[PointOrder]])&gt;1,RANK(PlayerGameData[[#This Row],[FGA]],PlayerGameData[FGA],0)/100,0)+PlayerGameData[[#This Row],[PointOrder]]</f>
        <v>51.76</v>
      </c>
      <c r="AN542" s="8">
        <f ca="1">RANK(PlayerGameData[[#This Row],[PointTieBreak]],PlayerGameData[PointTieBreak],1)</f>
        <v>54</v>
      </c>
      <c r="AO542" s="8">
        <f ca="1">RANK(PlayerGameData[[#This Row],[REB]],PlayerGameData[REB],0)+PlayerGameData[[#This Row],[VisibleOrder]]</f>
        <v>6</v>
      </c>
      <c r="AP542" s="8">
        <f ca="1">IF(COUNTIF(PlayerGameData[REBOrder],PlayerGameData[[#This Row],[REBOrder]])&gt;1,PlayerGameData[[#This Row],[PointRank]]/100+PlayerGameData[[#This Row],[REBOrder]],PlayerGameData[[#This Row],[REBOrder]])</f>
        <v>6.54</v>
      </c>
      <c r="AQ542" s="8">
        <f ca="1">RANK(PlayerGameData[[#This Row],[REBTieBreak]],PlayerGameData[REBTieBreak],1)</f>
        <v>10</v>
      </c>
      <c r="AR542" s="8">
        <f ca="1">RANK(PlayerGameData[[#This Row],[AST]],PlayerGameData[AST],0)+PlayerGameData[[#This Row],[VisibleOrder]]</f>
        <v>7</v>
      </c>
      <c r="AS542" s="8">
        <f ca="1">IF(COUNTIF(PlayerGameData[ASTOrder],PlayerGameData[[#This Row],[ASTOrder]])&gt;1,PlayerGameData[[#This Row],[PointRank]]/100+PlayerGameData[[#This Row],[ASTOrder]],PlayerGameData[[#This Row],[ASTOrder]])</f>
        <v>7.54</v>
      </c>
      <c r="AT542" s="8">
        <f ca="1">RANK(PlayerGameData[[#This Row],[ASTTieBreak]],PlayerGameData[ASTTieBreak],1)</f>
        <v>9</v>
      </c>
      <c r="AU542" s="8">
        <f ca="1">RANK(PlayerGameData[[#This Row],[STL]],PlayerGameData[STL],0)+PlayerGameData[[#This Row],[VisibleOrder]]</f>
        <v>84</v>
      </c>
      <c r="AV542" s="8">
        <f ca="1">IF(COUNTIF(PlayerGameData[STLOrder],PlayerGameData[[#This Row],[STLOrder]])&gt;1,PlayerGameData[[#This Row],[PointRank]]/100+PlayerGameData[[#This Row],[STLOrder]],PlayerGameData[[#This Row],[STLOrder]])</f>
        <v>84.54</v>
      </c>
      <c r="AW542" s="8">
        <f ca="1">RANK(PlayerGameData[[#This Row],[STLTieBreak]],PlayerGameData[STLTieBreak],1)</f>
        <v>94</v>
      </c>
      <c r="AX542" s="8">
        <f ca="1">RANK(PlayerGameData[[#This Row],[BLK]],PlayerGameData[BLK],0)+PlayerGameData[[#This Row],[VisibleOrder]]</f>
        <v>5</v>
      </c>
      <c r="AY542" s="8">
        <f ca="1">IF(COUNTIF(PlayerGameData[BLKOrder],PlayerGameData[[#This Row],[BLKOrder]])&gt;1,PlayerGameData[[#This Row],[PointRank]]/100+PlayerGameData[[#This Row],[BLKOrder]],PlayerGameData[[#This Row],[BLKOrder]])</f>
        <v>5.54</v>
      </c>
      <c r="AZ542" s="8">
        <f ca="1">RANK(PlayerGameData[[#This Row],[BLKTieBreak]],PlayerGameData[BLKTieBreak],1)</f>
        <v>7</v>
      </c>
      <c r="BA542" s="11">
        <f ca="1">IFERROR(IF(PlayerGameData[[#This Row],[FGA]]&gt;$AA$5,PlayerGameData[[#This Row],[FG%*]],PlayerGameData[[#This Row],[FG%*]]*-1),-2)</f>
        <v>0.5</v>
      </c>
      <c r="BB542" s="8">
        <f ca="1">RANK(PlayerGameData[[#This Row],[EligFG]],PlayerGameData[EligFG],0)+PlayerGameData[[#This Row],[VisibleOrder]]</f>
        <v>39</v>
      </c>
      <c r="BC542" s="8">
        <f ca="1">IF(COUNTIF(PlayerGameData[EligFGOrder],PlayerGameData[[#This Row],[EligFGOrder]])&gt;1,PlayerGameData[[#This Row],[PointRank]]/100+PlayerGameData[[#This Row],[EligFGOrder]],PlayerGameData[[#This Row],[EligFGOrder]])</f>
        <v>39.54</v>
      </c>
      <c r="BD542" s="8">
        <f ca="1">RANK(PlayerGameData[[#This Row],[EligFGTieBreak]],PlayerGameData[EligFGTieBreak],1)</f>
        <v>45</v>
      </c>
      <c r="BE542" s="8" t="str">
        <f>Roster!$D$3</f>
        <v>East</v>
      </c>
      <c r="BF542" s="8" t="str">
        <f>Roster!$D$2</f>
        <v>Northeast</v>
      </c>
      <c r="BG542" s="8" t="str">
        <f>Roster!$D$4</f>
        <v>North</v>
      </c>
      <c r="BH542" s="197">
        <f ca="1">IFERROR(VLOOKUP(CONCATENATE(PlayerGameData[[#This Row],[Opponent]]," ",MONTH(PlayerGameData[[#This Row],[Date]]),"/",DAY(PlayerGameData[[#This Row],[Date]]),"/",YEAR(PlayerGameData[[#This Row],[Date]])),Table35[],2,FALSE),0)</f>
        <v>1</v>
      </c>
      <c r="BI542" s="197">
        <f ca="1">IF(PlayerGameData[[#This Row],[Visible]]=1,1,1000)</f>
        <v>1</v>
      </c>
      <c r="BJ542" s="197" t="e">
        <f ca="1">_xlfn.MAXIFS(TeamGameData[Win],TeamGameData[School, Opponent,Game'#],PlayerGameData[[#This Row],[School, Opponent,Game'#]])</f>
        <v>#NAME?</v>
      </c>
      <c r="BK542" s="197" t="e">
        <f ca="1">_xlfn.MAXIFS(TeamGameData[Loss],TeamGameData[School, Opponent,Game'#],PlayerGameData[[#This Row],[School, Opponent,Game'#]])</f>
        <v>#NAME?</v>
      </c>
    </row>
    <row r="543" spans="1:63" x14ac:dyDescent="0.25">
      <c r="A543" s="8" t="str">
        <f t="shared" ca="1" si="273"/>
        <v>Bridger Bruce, 25</v>
      </c>
      <c r="B543" s="8" t="str">
        <f>Roster!$B$1</f>
        <v>Upton</v>
      </c>
      <c r="C543" s="8" t="str">
        <f t="shared" ca="1" si="261"/>
        <v>Southeast</v>
      </c>
      <c r="D543" s="10">
        <f t="shared" ca="1" si="262"/>
        <v>44982</v>
      </c>
      <c r="E543" s="8">
        <f t="shared" ca="1" si="263"/>
        <v>1</v>
      </c>
      <c r="F543" s="8">
        <f t="shared" ca="1" si="264"/>
        <v>0</v>
      </c>
      <c r="G543" s="8">
        <f t="shared" ca="1" si="265"/>
        <v>15</v>
      </c>
      <c r="H543" s="8">
        <f t="shared" ca="1" si="266"/>
        <v>0</v>
      </c>
      <c r="I543" s="8">
        <f t="shared" ca="1" si="267"/>
        <v>3</v>
      </c>
      <c r="J543" s="8">
        <f t="shared" ca="1" si="268"/>
        <v>0</v>
      </c>
      <c r="K543" s="8">
        <f t="shared" ca="1" si="269"/>
        <v>0</v>
      </c>
      <c r="L543" s="8">
        <f t="shared" ca="1" si="274"/>
        <v>0</v>
      </c>
      <c r="M543" s="8">
        <f t="shared" ca="1" si="275"/>
        <v>2</v>
      </c>
      <c r="N543" s="8">
        <f t="shared" ca="1" si="276"/>
        <v>0</v>
      </c>
      <c r="O543" s="8">
        <f t="shared" ca="1" si="277"/>
        <v>4</v>
      </c>
      <c r="P543" s="8">
        <f t="shared" ca="1" si="278"/>
        <v>0</v>
      </c>
      <c r="Q543" s="8">
        <f t="shared" ca="1" si="279"/>
        <v>1</v>
      </c>
      <c r="R543" s="8">
        <f t="shared" ca="1" si="280"/>
        <v>0</v>
      </c>
      <c r="S543" s="8">
        <f t="shared" ca="1" si="281"/>
        <v>3</v>
      </c>
      <c r="T543" s="8">
        <f t="shared" ca="1" si="282"/>
        <v>1</v>
      </c>
      <c r="U543" s="8">
        <f t="shared" ca="1" si="283"/>
        <v>0</v>
      </c>
      <c r="V543" s="8">
        <f t="shared" ca="1" si="284"/>
        <v>0</v>
      </c>
      <c r="W543" s="11">
        <f t="shared" ca="1" si="285"/>
        <v>0</v>
      </c>
      <c r="X543" s="11" t="str">
        <f t="shared" ca="1" si="286"/>
        <v/>
      </c>
      <c r="Y543" s="11">
        <f t="shared" ca="1" si="287"/>
        <v>0</v>
      </c>
      <c r="Z543" s="11">
        <f t="shared" ca="1" si="288"/>
        <v>0</v>
      </c>
      <c r="AA543" s="11">
        <f t="shared" ca="1" si="289"/>
        <v>0</v>
      </c>
      <c r="AB543" s="47">
        <f ca="1">PlayerGameData[[#This Row],[3FGA]]+PlayerGameData[[#This Row],[2FGA]]</f>
        <v>3</v>
      </c>
      <c r="AC543" s="47">
        <f ca="1">PlayerGameData[[#This Row],[OFF REB]]+PlayerGameData[[#This Row],[DEF REB]]</f>
        <v>4</v>
      </c>
      <c r="AD543" s="8">
        <f t="shared" si="270"/>
        <v>23</v>
      </c>
      <c r="AE543" s="8" t="str">
        <f t="shared" ca="1" si="271"/>
        <v>Bridger Bruce, 25 - Southeast 2/25/2023</v>
      </c>
      <c r="AF543" s="8" t="str">
        <f t="shared" ca="1" si="290"/>
        <v>R</v>
      </c>
      <c r="AG543" s="8" t="str">
        <f ca="1">IFERROR(IF(C543=0,"",IF(AND(VLOOKUP(PlayerGameData[[#This Row],[Opponent]],WYTeamInfo,2,FALSE)=Roster!$D$1,VLOOKUP(PlayerGameData[[#This Row],[Opponent]],WYTeamInfo,3,FALSE)=Roster!$D$2),"SR","")),"")</f>
        <v/>
      </c>
      <c r="AH543" s="8" t="str">
        <f>CONCATENATE(Roster!$D$1," ",Roster!$D$5)</f>
        <v>1A BB</v>
      </c>
      <c r="AI543" s="8" t="str">
        <f t="shared" ca="1" si="272"/>
        <v>Upton - Southeast 2/25/2023</v>
      </c>
      <c r="AJ543" s="8">
        <f ca="1">IFERROR(VLOOKUP(PlayerGameData[[#This Row],[School, Opponent,Game'#]],Table3[],2,FALSE),0)</f>
        <v>1</v>
      </c>
      <c r="AK543" s="8">
        <f ca="1">IF(PlayerGameData[[#This Row],[Visible]]=1,1,1000)</f>
        <v>1</v>
      </c>
      <c r="AL543" s="8">
        <f ca="1">RANK(PlayerGameData[[#This Row],[TL PTS]],PlayerGameData[TL PTS],0)+PlayerGameData[[#This Row],[VisibleOrder]]</f>
        <v>185</v>
      </c>
      <c r="AM543" s="8">
        <f ca="1">IF(COUNTIF(PlayerGameData[PointOrder],PlayerGameData[[#This Row],[PointOrder]])&gt;1,RANK(PlayerGameData[[#This Row],[FGA]],PlayerGameData[FGA],0)/100,0)+PlayerGameData[[#This Row],[PointOrder]]</f>
        <v>186.4</v>
      </c>
      <c r="AN543" s="8">
        <f ca="1">RANK(PlayerGameData[[#This Row],[PointTieBreak]],PlayerGameData[PointTieBreak],1)</f>
        <v>187</v>
      </c>
      <c r="AO543" s="8">
        <f ca="1">RANK(PlayerGameData[[#This Row],[REB]],PlayerGameData[REB],0)+PlayerGameData[[#This Row],[VisibleOrder]]</f>
        <v>79</v>
      </c>
      <c r="AP543" s="8">
        <f ca="1">IF(COUNTIF(PlayerGameData[REBOrder],PlayerGameData[[#This Row],[REBOrder]])&gt;1,PlayerGameData[[#This Row],[PointRank]]/100+PlayerGameData[[#This Row],[REBOrder]],PlayerGameData[[#This Row],[REBOrder]])</f>
        <v>80.87</v>
      </c>
      <c r="AQ543" s="8">
        <f ca="1">RANK(PlayerGameData[[#This Row],[REBTieBreak]],PlayerGameData[REBTieBreak],1)</f>
        <v>106</v>
      </c>
      <c r="AR543" s="8">
        <f ca="1">RANK(PlayerGameData[[#This Row],[AST]],PlayerGameData[AST],0)+PlayerGameData[[#This Row],[VisibleOrder]]</f>
        <v>158</v>
      </c>
      <c r="AS543" s="8">
        <f ca="1">IF(COUNTIF(PlayerGameData[ASTOrder],PlayerGameData[[#This Row],[ASTOrder]])&gt;1,PlayerGameData[[#This Row],[PointRank]]/100+PlayerGameData[[#This Row],[ASTOrder]],PlayerGameData[[#This Row],[ASTOrder]])</f>
        <v>159.87</v>
      </c>
      <c r="AT543" s="8">
        <f ca="1">RANK(PlayerGameData[[#This Row],[ASTTieBreak]],PlayerGameData[ASTTieBreak],1)</f>
        <v>203</v>
      </c>
      <c r="AU543" s="8">
        <f ca="1">RANK(PlayerGameData[[#This Row],[STL]],PlayerGameData[STL],0)+PlayerGameData[[#This Row],[VisibleOrder]]</f>
        <v>84</v>
      </c>
      <c r="AV543" s="8">
        <f ca="1">IF(COUNTIF(PlayerGameData[STLOrder],PlayerGameData[[#This Row],[STLOrder]])&gt;1,PlayerGameData[[#This Row],[PointRank]]/100+PlayerGameData[[#This Row],[STLOrder]],PlayerGameData[[#This Row],[STLOrder]])</f>
        <v>85.87</v>
      </c>
      <c r="AW543" s="8">
        <f ca="1">RANK(PlayerGameData[[#This Row],[STLTieBreak]],PlayerGameData[STLTieBreak],1)</f>
        <v>135</v>
      </c>
      <c r="AX543" s="8">
        <f ca="1">RANK(PlayerGameData[[#This Row],[BLK]],PlayerGameData[BLK],0)+PlayerGameData[[#This Row],[VisibleOrder]]</f>
        <v>32</v>
      </c>
      <c r="AY543" s="8">
        <f ca="1">IF(COUNTIF(PlayerGameData[BLKOrder],PlayerGameData[[#This Row],[BLKOrder]])&gt;1,PlayerGameData[[#This Row],[PointRank]]/100+PlayerGameData[[#This Row],[BLKOrder]],PlayerGameData[[#This Row],[BLKOrder]])</f>
        <v>33.869999999999997</v>
      </c>
      <c r="AZ543" s="8">
        <f ca="1">RANK(PlayerGameData[[#This Row],[BLKTieBreak]],PlayerGameData[BLKTieBreak],1)</f>
        <v>188</v>
      </c>
      <c r="BA543" s="11">
        <f ca="1">IFERROR(IF(PlayerGameData[[#This Row],[FGA]]&gt;$AA$5,PlayerGameData[[#This Row],[FG%*]],PlayerGameData[[#This Row],[FG%*]]*-1),-2)</f>
        <v>0</v>
      </c>
      <c r="BB543" s="8">
        <f ca="1">RANK(PlayerGameData[[#This Row],[EligFG]],PlayerGameData[EligFG],0)+PlayerGameData[[#This Row],[VisibleOrder]]</f>
        <v>117</v>
      </c>
      <c r="BC543" s="8">
        <f ca="1">IF(COUNTIF(PlayerGameData[EligFGOrder],PlayerGameData[[#This Row],[EligFGOrder]])&gt;1,PlayerGameData[[#This Row],[PointRank]]/100+PlayerGameData[[#This Row],[EligFGOrder]],PlayerGameData[[#This Row],[EligFGOrder]])</f>
        <v>118.87</v>
      </c>
      <c r="BD543" s="8">
        <f ca="1">RANK(PlayerGameData[[#This Row],[EligFGTieBreak]],PlayerGameData[EligFGTieBreak],1)</f>
        <v>129</v>
      </c>
      <c r="BE543" s="8" t="str">
        <f>Roster!$D$3</f>
        <v>East</v>
      </c>
      <c r="BF543" s="8" t="str">
        <f>Roster!$D$2</f>
        <v>Northeast</v>
      </c>
      <c r="BG543" s="8" t="str">
        <f>Roster!$D$4</f>
        <v>North</v>
      </c>
      <c r="BH543" s="197">
        <f ca="1">IFERROR(VLOOKUP(CONCATENATE(PlayerGameData[[#This Row],[Opponent]]," ",MONTH(PlayerGameData[[#This Row],[Date]]),"/",DAY(PlayerGameData[[#This Row],[Date]]),"/",YEAR(PlayerGameData[[#This Row],[Date]])),Table35[],2,FALSE),0)</f>
        <v>1</v>
      </c>
      <c r="BI543" s="197">
        <f ca="1">IF(PlayerGameData[[#This Row],[Visible]]=1,1,1000)</f>
        <v>1</v>
      </c>
      <c r="BJ543" s="197" t="e">
        <f ca="1">_xlfn.MAXIFS(TeamGameData[Win],TeamGameData[School, Opponent,Game'#],PlayerGameData[[#This Row],[School, Opponent,Game'#]])</f>
        <v>#NAME?</v>
      </c>
      <c r="BK543" s="197" t="e">
        <f ca="1">_xlfn.MAXIFS(TeamGameData[Loss],TeamGameData[School, Opponent,Game'#],PlayerGameData[[#This Row],[School, Opponent,Game'#]])</f>
        <v>#NAME?</v>
      </c>
    </row>
    <row r="544" spans="1:63" x14ac:dyDescent="0.25">
      <c r="A544" s="8" t="str">
        <f t="shared" ca="1" si="273"/>
        <v>Kailer Duarte, 31</v>
      </c>
      <c r="B544" s="8" t="str">
        <f>Roster!$B$1</f>
        <v>Upton</v>
      </c>
      <c r="C544" s="8" t="str">
        <f t="shared" ca="1" si="261"/>
        <v>Southeast</v>
      </c>
      <c r="D544" s="10">
        <f t="shared" ca="1" si="262"/>
        <v>44982</v>
      </c>
      <c r="E544" s="8">
        <f t="shared" ca="1" si="263"/>
        <v>1</v>
      </c>
      <c r="F544" s="8">
        <f t="shared" ca="1" si="264"/>
        <v>1</v>
      </c>
      <c r="G544" s="8">
        <f t="shared" ca="1" si="265"/>
        <v>30</v>
      </c>
      <c r="H544" s="8">
        <f t="shared" ca="1" si="266"/>
        <v>1</v>
      </c>
      <c r="I544" s="8">
        <f t="shared" ca="1" si="267"/>
        <v>3</v>
      </c>
      <c r="J544" s="8">
        <f t="shared" ca="1" si="268"/>
        <v>6</v>
      </c>
      <c r="K544" s="8">
        <f t="shared" ca="1" si="269"/>
        <v>9</v>
      </c>
      <c r="L544" s="8">
        <f t="shared" ca="1" si="274"/>
        <v>3</v>
      </c>
      <c r="M544" s="8">
        <f t="shared" ca="1" si="275"/>
        <v>3</v>
      </c>
      <c r="N544" s="8">
        <f t="shared" ca="1" si="276"/>
        <v>2</v>
      </c>
      <c r="O544" s="8">
        <f t="shared" ca="1" si="277"/>
        <v>7</v>
      </c>
      <c r="P544" s="8">
        <f t="shared" ca="1" si="278"/>
        <v>3</v>
      </c>
      <c r="Q544" s="8">
        <f t="shared" ca="1" si="279"/>
        <v>0</v>
      </c>
      <c r="R544" s="8">
        <f t="shared" ca="1" si="280"/>
        <v>0</v>
      </c>
      <c r="S544" s="8">
        <f t="shared" ca="1" si="281"/>
        <v>4</v>
      </c>
      <c r="T544" s="8">
        <f t="shared" ca="1" si="282"/>
        <v>2</v>
      </c>
      <c r="U544" s="8">
        <f t="shared" ca="1" si="283"/>
        <v>0</v>
      </c>
      <c r="V544" s="8">
        <f t="shared" ca="1" si="284"/>
        <v>18</v>
      </c>
      <c r="W544" s="11">
        <f t="shared" ca="1" si="285"/>
        <v>0.33333333333333331</v>
      </c>
      <c r="X544" s="11">
        <f t="shared" ca="1" si="286"/>
        <v>0.66666666666666663</v>
      </c>
      <c r="Y544" s="11">
        <f t="shared" ca="1" si="287"/>
        <v>1</v>
      </c>
      <c r="Z544" s="11">
        <f t="shared" ca="1" si="288"/>
        <v>0.58333333333333337</v>
      </c>
      <c r="AA544" s="11">
        <f t="shared" ca="1" si="289"/>
        <v>0.625</v>
      </c>
      <c r="AB544" s="47">
        <f ca="1">PlayerGameData[[#This Row],[3FGA]]+PlayerGameData[[#This Row],[2FGA]]</f>
        <v>12</v>
      </c>
      <c r="AC544" s="47">
        <f ca="1">PlayerGameData[[#This Row],[OFF REB]]+PlayerGameData[[#This Row],[DEF REB]]</f>
        <v>9</v>
      </c>
      <c r="AD544" s="8">
        <f t="shared" si="270"/>
        <v>23</v>
      </c>
      <c r="AE544" s="8" t="str">
        <f t="shared" ca="1" si="271"/>
        <v>Kailer Duarte, 31 - Southeast 2/25/2023</v>
      </c>
      <c r="AF544" s="8" t="str">
        <f t="shared" ca="1" si="290"/>
        <v>R</v>
      </c>
      <c r="AG544" s="8" t="str">
        <f ca="1">IFERROR(IF(C544=0,"",IF(AND(VLOOKUP(PlayerGameData[[#This Row],[Opponent]],WYTeamInfo,2,FALSE)=Roster!$D$1,VLOOKUP(PlayerGameData[[#This Row],[Opponent]],WYTeamInfo,3,FALSE)=Roster!$D$2),"SR","")),"")</f>
        <v/>
      </c>
      <c r="AH544" s="8" t="str">
        <f>CONCATENATE(Roster!$D$1," ",Roster!$D$5)</f>
        <v>1A BB</v>
      </c>
      <c r="AI544" s="8" t="str">
        <f t="shared" ca="1" si="272"/>
        <v>Upton - Southeast 2/25/2023</v>
      </c>
      <c r="AJ544" s="8">
        <f ca="1">IFERROR(VLOOKUP(PlayerGameData[[#This Row],[School, Opponent,Game'#]],Table3[],2,FALSE),0)</f>
        <v>1</v>
      </c>
      <c r="AK544" s="8">
        <f ca="1">IF(PlayerGameData[[#This Row],[Visible]]=1,1,1000)</f>
        <v>1</v>
      </c>
      <c r="AL544" s="8">
        <f ca="1">RANK(PlayerGameData[[#This Row],[TL PTS]],PlayerGameData[TL PTS],0)+PlayerGameData[[#This Row],[VisibleOrder]]</f>
        <v>13</v>
      </c>
      <c r="AM544" s="8">
        <f ca="1">IF(COUNTIF(PlayerGameData[PointOrder],PlayerGameData[[#This Row],[PointOrder]])&gt;1,RANK(PlayerGameData[[#This Row],[FGA]],PlayerGameData[FGA],0)/100,0)+PlayerGameData[[#This Row],[PointOrder]]</f>
        <v>13.25</v>
      </c>
      <c r="AN544" s="8">
        <f ca="1">RANK(PlayerGameData[[#This Row],[PointTieBreak]],PlayerGameData[PointTieBreak],1)</f>
        <v>15</v>
      </c>
      <c r="AO544" s="8">
        <f ca="1">RANK(PlayerGameData[[#This Row],[REB]],PlayerGameData[REB],0)+PlayerGameData[[#This Row],[VisibleOrder]]</f>
        <v>13</v>
      </c>
      <c r="AP544" s="8">
        <f ca="1">IF(COUNTIF(PlayerGameData[REBOrder],PlayerGameData[[#This Row],[REBOrder]])&gt;1,PlayerGameData[[#This Row],[PointRank]]/100+PlayerGameData[[#This Row],[REBOrder]],PlayerGameData[[#This Row],[REBOrder]])</f>
        <v>13.15</v>
      </c>
      <c r="AQ544" s="8">
        <f ca="1">RANK(PlayerGameData[[#This Row],[REBTieBreak]],PlayerGameData[REBTieBreak],1)</f>
        <v>12</v>
      </c>
      <c r="AR544" s="8">
        <f ca="1">RANK(PlayerGameData[[#This Row],[AST]],PlayerGameData[AST],0)+PlayerGameData[[#This Row],[VisibleOrder]]</f>
        <v>39</v>
      </c>
      <c r="AS544" s="8">
        <f ca="1">IF(COUNTIF(PlayerGameData[ASTOrder],PlayerGameData[[#This Row],[ASTOrder]])&gt;1,PlayerGameData[[#This Row],[PointRank]]/100+PlayerGameData[[#This Row],[ASTOrder]],PlayerGameData[[#This Row],[ASTOrder]])</f>
        <v>39.15</v>
      </c>
      <c r="AT544" s="8">
        <f ca="1">RANK(PlayerGameData[[#This Row],[ASTTieBreak]],PlayerGameData[ASTTieBreak],1)</f>
        <v>40</v>
      </c>
      <c r="AU544" s="8">
        <f ca="1">RANK(PlayerGameData[[#This Row],[STL]],PlayerGameData[STL],0)+PlayerGameData[[#This Row],[VisibleOrder]]</f>
        <v>143</v>
      </c>
      <c r="AV544" s="8">
        <f ca="1">IF(COUNTIF(PlayerGameData[STLOrder],PlayerGameData[[#This Row],[STLOrder]])&gt;1,PlayerGameData[[#This Row],[PointRank]]/100+PlayerGameData[[#This Row],[STLOrder]],PlayerGameData[[#This Row],[STLOrder]])</f>
        <v>143.15</v>
      </c>
      <c r="AW544" s="8">
        <f ca="1">RANK(PlayerGameData[[#This Row],[STLTieBreak]],PlayerGameData[STLTieBreak],1)</f>
        <v>146</v>
      </c>
      <c r="AX544" s="8">
        <f ca="1">RANK(PlayerGameData[[#This Row],[BLK]],PlayerGameData[BLK],0)+PlayerGameData[[#This Row],[VisibleOrder]]</f>
        <v>32</v>
      </c>
      <c r="AY544" s="8">
        <f ca="1">IF(COUNTIF(PlayerGameData[BLKOrder],PlayerGameData[[#This Row],[BLKOrder]])&gt;1,PlayerGameData[[#This Row],[PointRank]]/100+PlayerGameData[[#This Row],[BLKOrder]],PlayerGameData[[#This Row],[BLKOrder]])</f>
        <v>32.15</v>
      </c>
      <c r="AZ544" s="8">
        <f ca="1">RANK(PlayerGameData[[#This Row],[BLKTieBreak]],PlayerGameData[BLKTieBreak],1)</f>
        <v>43</v>
      </c>
      <c r="BA544" s="11">
        <f ca="1">IFERROR(IF(PlayerGameData[[#This Row],[FGA]]&gt;$AA$5,PlayerGameData[[#This Row],[FG%*]],PlayerGameData[[#This Row],[FG%*]]*-1),-2)</f>
        <v>0.58333333333333337</v>
      </c>
      <c r="BB544" s="8">
        <f ca="1">RANK(PlayerGameData[[#This Row],[EligFG]],PlayerGameData[EligFG],0)+PlayerGameData[[#This Row],[VisibleOrder]]</f>
        <v>25</v>
      </c>
      <c r="BC544" s="8">
        <f ca="1">IF(COUNTIF(PlayerGameData[EligFGOrder],PlayerGameData[[#This Row],[EligFGOrder]])&gt;1,PlayerGameData[[#This Row],[PointRank]]/100+PlayerGameData[[#This Row],[EligFGOrder]],PlayerGameData[[#This Row],[EligFGOrder]])</f>
        <v>25.15</v>
      </c>
      <c r="BD544" s="8">
        <f ca="1">RANK(PlayerGameData[[#This Row],[EligFGTieBreak]],PlayerGameData[EligFGTieBreak],1)</f>
        <v>24</v>
      </c>
      <c r="BE544" s="8" t="str">
        <f>Roster!$D$3</f>
        <v>East</v>
      </c>
      <c r="BF544" s="8" t="str">
        <f>Roster!$D$2</f>
        <v>Northeast</v>
      </c>
      <c r="BG544" s="8" t="str">
        <f>Roster!$D$4</f>
        <v>North</v>
      </c>
      <c r="BH544" s="197">
        <f ca="1">IFERROR(VLOOKUP(CONCATENATE(PlayerGameData[[#This Row],[Opponent]]," ",MONTH(PlayerGameData[[#This Row],[Date]]),"/",DAY(PlayerGameData[[#This Row],[Date]]),"/",YEAR(PlayerGameData[[#This Row],[Date]])),Table35[],2,FALSE),0)</f>
        <v>1</v>
      </c>
      <c r="BI544" s="197">
        <f ca="1">IF(PlayerGameData[[#This Row],[Visible]]=1,1,1000)</f>
        <v>1</v>
      </c>
      <c r="BJ544" s="197" t="e">
        <f ca="1">_xlfn.MAXIFS(TeamGameData[Win],TeamGameData[School, Opponent,Game'#],PlayerGameData[[#This Row],[School, Opponent,Game'#]])</f>
        <v>#NAME?</v>
      </c>
      <c r="BK544" s="197" t="e">
        <f ca="1">_xlfn.MAXIFS(TeamGameData[Loss],TeamGameData[School, Opponent,Game'#],PlayerGameData[[#This Row],[School, Opponent,Game'#]])</f>
        <v>#NAME?</v>
      </c>
    </row>
    <row r="545" spans="1:63" x14ac:dyDescent="0.25">
      <c r="A545" s="8" t="str">
        <f t="shared" ca="1" si="273"/>
        <v>Matt Stirmel, 33</v>
      </c>
      <c r="B545" s="8" t="str">
        <f>Roster!$B$1</f>
        <v>Upton</v>
      </c>
      <c r="C545" s="8" t="str">
        <f t="shared" ca="1" si="261"/>
        <v>Southeast</v>
      </c>
      <c r="D545" s="10">
        <f t="shared" ca="1" si="262"/>
        <v>44982</v>
      </c>
      <c r="E545" s="8">
        <f t="shared" ca="1" si="263"/>
        <v>0</v>
      </c>
      <c r="F545" s="8">
        <f t="shared" ca="1" si="264"/>
        <v>0</v>
      </c>
      <c r="G545" s="8">
        <f t="shared" ca="1" si="265"/>
        <v>0</v>
      </c>
      <c r="H545" s="8">
        <f t="shared" ca="1" si="266"/>
        <v>0</v>
      </c>
      <c r="I545" s="8">
        <f t="shared" ca="1" si="267"/>
        <v>0</v>
      </c>
      <c r="J545" s="8">
        <f t="shared" ca="1" si="268"/>
        <v>0</v>
      </c>
      <c r="K545" s="8">
        <f t="shared" ca="1" si="269"/>
        <v>0</v>
      </c>
      <c r="L545" s="8">
        <f t="shared" ca="1" si="274"/>
        <v>0</v>
      </c>
      <c r="M545" s="8">
        <f t="shared" ca="1" si="275"/>
        <v>0</v>
      </c>
      <c r="N545" s="8">
        <f t="shared" ca="1" si="276"/>
        <v>0</v>
      </c>
      <c r="O545" s="8">
        <f t="shared" ca="1" si="277"/>
        <v>0</v>
      </c>
      <c r="P545" s="8">
        <f t="shared" ca="1" si="278"/>
        <v>0</v>
      </c>
      <c r="Q545" s="8">
        <f t="shared" ca="1" si="279"/>
        <v>0</v>
      </c>
      <c r="R545" s="8">
        <f t="shared" ca="1" si="280"/>
        <v>0</v>
      </c>
      <c r="S545" s="8">
        <f t="shared" ca="1" si="281"/>
        <v>0</v>
      </c>
      <c r="T545" s="8">
        <f t="shared" ca="1" si="282"/>
        <v>0</v>
      </c>
      <c r="U545" s="8">
        <f t="shared" ca="1" si="283"/>
        <v>0</v>
      </c>
      <c r="V545" s="8">
        <f t="shared" ca="1" si="284"/>
        <v>0</v>
      </c>
      <c r="W545" s="11" t="str">
        <f t="shared" ca="1" si="285"/>
        <v/>
      </c>
      <c r="X545" s="11" t="str">
        <f t="shared" ca="1" si="286"/>
        <v/>
      </c>
      <c r="Y545" s="11" t="str">
        <f t="shared" ca="1" si="287"/>
        <v/>
      </c>
      <c r="Z545" s="11" t="str">
        <f t="shared" ca="1" si="288"/>
        <v/>
      </c>
      <c r="AA545" s="11" t="str">
        <f t="shared" ca="1" si="289"/>
        <v/>
      </c>
      <c r="AB545" s="47">
        <f ca="1">PlayerGameData[[#This Row],[3FGA]]+PlayerGameData[[#This Row],[2FGA]]</f>
        <v>0</v>
      </c>
      <c r="AC545" s="47">
        <f ca="1">PlayerGameData[[#This Row],[OFF REB]]+PlayerGameData[[#This Row],[DEF REB]]</f>
        <v>0</v>
      </c>
      <c r="AD545" s="8">
        <f t="shared" si="270"/>
        <v>23</v>
      </c>
      <c r="AE545" s="8" t="str">
        <f t="shared" ca="1" si="271"/>
        <v>Matt Stirmel, 33 - Southeast 2/25/2023</v>
      </c>
      <c r="AF545" s="8" t="str">
        <f t="shared" ca="1" si="290"/>
        <v>R</v>
      </c>
      <c r="AG545" s="8" t="str">
        <f ca="1">IFERROR(IF(C545=0,"",IF(AND(VLOOKUP(PlayerGameData[[#This Row],[Opponent]],WYTeamInfo,2,FALSE)=Roster!$D$1,VLOOKUP(PlayerGameData[[#This Row],[Opponent]],WYTeamInfo,3,FALSE)=Roster!$D$2),"SR","")),"")</f>
        <v/>
      </c>
      <c r="AH545" s="8" t="str">
        <f>CONCATENATE(Roster!$D$1," ",Roster!$D$5)</f>
        <v>1A BB</v>
      </c>
      <c r="AI545" s="8" t="str">
        <f t="shared" ca="1" si="272"/>
        <v>Upton - Southeast 2/25/2023</v>
      </c>
      <c r="AJ545" s="8">
        <f ca="1">IFERROR(VLOOKUP(PlayerGameData[[#This Row],[School, Opponent,Game'#]],Table3[],2,FALSE),0)</f>
        <v>1</v>
      </c>
      <c r="AK545" s="8">
        <f ca="1">IF(PlayerGameData[[#This Row],[Visible]]=1,1,1000)</f>
        <v>1</v>
      </c>
      <c r="AL545" s="8">
        <f ca="1">RANK(PlayerGameData[[#This Row],[TL PTS]],PlayerGameData[TL PTS],0)+PlayerGameData[[#This Row],[VisibleOrder]]</f>
        <v>185</v>
      </c>
      <c r="AM545" s="8">
        <f ca="1">IF(COUNTIF(PlayerGameData[PointOrder],PlayerGameData[[#This Row],[PointOrder]])&gt;1,RANK(PlayerGameData[[#This Row],[FGA]],PlayerGameData[FGA],0)/100,0)+PlayerGameData[[#This Row],[PointOrder]]</f>
        <v>187.14</v>
      </c>
      <c r="AN545" s="8">
        <f ca="1">RANK(PlayerGameData[[#This Row],[PointTieBreak]],PlayerGameData[PointTieBreak],1)</f>
        <v>216</v>
      </c>
      <c r="AO545" s="8">
        <f ca="1">RANK(PlayerGameData[[#This Row],[REB]],PlayerGameData[REB],0)+PlayerGameData[[#This Row],[VisibleOrder]]</f>
        <v>192</v>
      </c>
      <c r="AP545" s="8">
        <f ca="1">IF(COUNTIF(PlayerGameData[REBOrder],PlayerGameData[[#This Row],[REBOrder]])&gt;1,PlayerGameData[[#This Row],[PointRank]]/100+PlayerGameData[[#This Row],[REBOrder]],PlayerGameData[[#This Row],[REBOrder]])</f>
        <v>194.16</v>
      </c>
      <c r="AQ545" s="8">
        <f ca="1">RANK(PlayerGameData[[#This Row],[REBTieBreak]],PlayerGameData[REBTieBreak],1)</f>
        <v>224</v>
      </c>
      <c r="AR545" s="8">
        <f ca="1">RANK(PlayerGameData[[#This Row],[AST]],PlayerGameData[AST],0)+PlayerGameData[[#This Row],[VisibleOrder]]</f>
        <v>158</v>
      </c>
      <c r="AS545" s="8">
        <f ca="1">IF(COUNTIF(PlayerGameData[ASTOrder],PlayerGameData[[#This Row],[ASTOrder]])&gt;1,PlayerGameData[[#This Row],[PointRank]]/100+PlayerGameData[[#This Row],[ASTOrder]],PlayerGameData[[#This Row],[ASTOrder]])</f>
        <v>160.16</v>
      </c>
      <c r="AT545" s="8">
        <f ca="1">RANK(PlayerGameData[[#This Row],[ASTTieBreak]],PlayerGameData[ASTTieBreak],1)</f>
        <v>221</v>
      </c>
      <c r="AU545" s="8">
        <f ca="1">RANK(PlayerGameData[[#This Row],[STL]],PlayerGameData[STL],0)+PlayerGameData[[#This Row],[VisibleOrder]]</f>
        <v>143</v>
      </c>
      <c r="AV545" s="8">
        <f ca="1">IF(COUNTIF(PlayerGameData[STLOrder],PlayerGameData[[#This Row],[STLOrder]])&gt;1,PlayerGameData[[#This Row],[PointRank]]/100+PlayerGameData[[#This Row],[STLOrder]],PlayerGameData[[#This Row],[STLOrder]])</f>
        <v>145.16</v>
      </c>
      <c r="AW545" s="8">
        <f ca="1">RANK(PlayerGameData[[#This Row],[STLTieBreak]],PlayerGameData[STLTieBreak],1)</f>
        <v>217</v>
      </c>
      <c r="AX545" s="8">
        <f ca="1">RANK(PlayerGameData[[#This Row],[BLK]],PlayerGameData[BLK],0)+PlayerGameData[[#This Row],[VisibleOrder]]</f>
        <v>32</v>
      </c>
      <c r="AY545" s="8">
        <f ca="1">IF(COUNTIF(PlayerGameData[BLKOrder],PlayerGameData[[#This Row],[BLKOrder]])&gt;1,PlayerGameData[[#This Row],[PointRank]]/100+PlayerGameData[[#This Row],[BLKOrder]],PlayerGameData[[#This Row],[BLKOrder]])</f>
        <v>34.159999999999997</v>
      </c>
      <c r="AZ545" s="8">
        <f ca="1">RANK(PlayerGameData[[#This Row],[BLKTieBreak]],PlayerGameData[BLKTieBreak],1)</f>
        <v>216</v>
      </c>
      <c r="BA545" s="11">
        <f ca="1">IFERROR(IF(PlayerGameData[[#This Row],[FGA]]&gt;$AA$5,PlayerGameData[[#This Row],[FG%*]],PlayerGameData[[#This Row],[FG%*]]*-1),-2)</f>
        <v>-2</v>
      </c>
      <c r="BB545" s="8">
        <f ca="1">RANK(PlayerGameData[[#This Row],[EligFG]],PlayerGameData[EligFG],0)+PlayerGameData[[#This Row],[VisibleOrder]]</f>
        <v>215</v>
      </c>
      <c r="BC545" s="8">
        <f ca="1">IF(COUNTIF(PlayerGameData[EligFGOrder],PlayerGameData[[#This Row],[EligFGOrder]])&gt;1,PlayerGameData[[#This Row],[PointRank]]/100+PlayerGameData[[#This Row],[EligFGOrder]],PlayerGameData[[#This Row],[EligFGOrder]])</f>
        <v>217.16</v>
      </c>
      <c r="BD545" s="8">
        <f ca="1">RANK(PlayerGameData[[#This Row],[EligFGTieBreak]],PlayerGameData[EligFGTieBreak],1)</f>
        <v>216</v>
      </c>
      <c r="BE545" s="8" t="str">
        <f>Roster!$D$3</f>
        <v>East</v>
      </c>
      <c r="BF545" s="8" t="str">
        <f>Roster!$D$2</f>
        <v>Northeast</v>
      </c>
      <c r="BG545" s="8" t="str">
        <f>Roster!$D$4</f>
        <v>North</v>
      </c>
      <c r="BH545" s="197">
        <f ca="1">IFERROR(VLOOKUP(CONCATENATE(PlayerGameData[[#This Row],[Opponent]]," ",MONTH(PlayerGameData[[#This Row],[Date]]),"/",DAY(PlayerGameData[[#This Row],[Date]]),"/",YEAR(PlayerGameData[[#This Row],[Date]])),Table35[],2,FALSE),0)</f>
        <v>1</v>
      </c>
      <c r="BI545" s="197">
        <f ca="1">IF(PlayerGameData[[#This Row],[Visible]]=1,1,1000)</f>
        <v>1</v>
      </c>
      <c r="BJ545" s="197" t="e">
        <f ca="1">_xlfn.MAXIFS(TeamGameData[Win],TeamGameData[School, Opponent,Game'#],PlayerGameData[[#This Row],[School, Opponent,Game'#]])</f>
        <v>#NAME?</v>
      </c>
      <c r="BK545" s="197" t="e">
        <f ca="1">_xlfn.MAXIFS(TeamGameData[Loss],TeamGameData[School, Opponent,Game'#],PlayerGameData[[#This Row],[School, Opponent,Game'#]])</f>
        <v>#NAME?</v>
      </c>
    </row>
    <row r="546" spans="1:63" x14ac:dyDescent="0.25">
      <c r="A546" s="8" t="str">
        <f t="shared" ca="1" si="273"/>
        <v>Jacob McNutt, 34</v>
      </c>
      <c r="B546" s="8" t="str">
        <f>Roster!$B$1</f>
        <v>Upton</v>
      </c>
      <c r="C546" s="8" t="str">
        <f t="shared" ca="1" si="261"/>
        <v>Southeast</v>
      </c>
      <c r="D546" s="10">
        <f t="shared" ca="1" si="262"/>
        <v>44982</v>
      </c>
      <c r="E546" s="8">
        <f t="shared" ca="1" si="263"/>
        <v>0</v>
      </c>
      <c r="F546" s="8">
        <f t="shared" ca="1" si="264"/>
        <v>0</v>
      </c>
      <c r="G546" s="8">
        <f t="shared" ca="1" si="265"/>
        <v>0</v>
      </c>
      <c r="H546" s="8">
        <f t="shared" ca="1" si="266"/>
        <v>0</v>
      </c>
      <c r="I546" s="8">
        <f t="shared" ca="1" si="267"/>
        <v>0</v>
      </c>
      <c r="J546" s="8">
        <f t="shared" ca="1" si="268"/>
        <v>0</v>
      </c>
      <c r="K546" s="8">
        <f t="shared" ca="1" si="269"/>
        <v>0</v>
      </c>
      <c r="L546" s="8">
        <f t="shared" ca="1" si="274"/>
        <v>0</v>
      </c>
      <c r="M546" s="8">
        <f t="shared" ca="1" si="275"/>
        <v>0</v>
      </c>
      <c r="N546" s="8">
        <f t="shared" ca="1" si="276"/>
        <v>0</v>
      </c>
      <c r="O546" s="8">
        <f t="shared" ca="1" si="277"/>
        <v>0</v>
      </c>
      <c r="P546" s="8">
        <f t="shared" ca="1" si="278"/>
        <v>0</v>
      </c>
      <c r="Q546" s="8">
        <f t="shared" ca="1" si="279"/>
        <v>0</v>
      </c>
      <c r="R546" s="8">
        <f t="shared" ca="1" si="280"/>
        <v>0</v>
      </c>
      <c r="S546" s="8">
        <f t="shared" ca="1" si="281"/>
        <v>0</v>
      </c>
      <c r="T546" s="8">
        <f t="shared" ca="1" si="282"/>
        <v>0</v>
      </c>
      <c r="U546" s="8">
        <f t="shared" ca="1" si="283"/>
        <v>0</v>
      </c>
      <c r="V546" s="8">
        <f t="shared" ca="1" si="284"/>
        <v>0</v>
      </c>
      <c r="W546" s="11" t="str">
        <f t="shared" ca="1" si="285"/>
        <v/>
      </c>
      <c r="X546" s="11" t="str">
        <f t="shared" ca="1" si="286"/>
        <v/>
      </c>
      <c r="Y546" s="11" t="str">
        <f t="shared" ca="1" si="287"/>
        <v/>
      </c>
      <c r="Z546" s="11" t="str">
        <f t="shared" ca="1" si="288"/>
        <v/>
      </c>
      <c r="AA546" s="11" t="str">
        <f t="shared" ca="1" si="289"/>
        <v/>
      </c>
      <c r="AB546" s="47">
        <f ca="1">PlayerGameData[[#This Row],[3FGA]]+PlayerGameData[[#This Row],[2FGA]]</f>
        <v>0</v>
      </c>
      <c r="AC546" s="47">
        <f ca="1">PlayerGameData[[#This Row],[OFF REB]]+PlayerGameData[[#This Row],[DEF REB]]</f>
        <v>0</v>
      </c>
      <c r="AD546" s="8">
        <f t="shared" si="270"/>
        <v>23</v>
      </c>
      <c r="AE546" s="8" t="str">
        <f t="shared" ca="1" si="271"/>
        <v>Jacob McNutt, 34 - Southeast 2/25/2023</v>
      </c>
      <c r="AF546" s="8" t="str">
        <f t="shared" ca="1" si="290"/>
        <v>R</v>
      </c>
      <c r="AG546" s="8" t="str">
        <f ca="1">IFERROR(IF(C546=0,"",IF(AND(VLOOKUP(PlayerGameData[[#This Row],[Opponent]],WYTeamInfo,2,FALSE)=Roster!$D$1,VLOOKUP(PlayerGameData[[#This Row],[Opponent]],WYTeamInfo,3,FALSE)=Roster!$D$2),"SR","")),"")</f>
        <v/>
      </c>
      <c r="AH546" s="8" t="str">
        <f>CONCATENATE(Roster!$D$1," ",Roster!$D$5)</f>
        <v>1A BB</v>
      </c>
      <c r="AI546" s="8" t="str">
        <f t="shared" ca="1" si="272"/>
        <v>Upton - Southeast 2/25/2023</v>
      </c>
      <c r="AJ546" s="8">
        <f ca="1">IFERROR(VLOOKUP(PlayerGameData[[#This Row],[School, Opponent,Game'#]],Table3[],2,FALSE),0)</f>
        <v>1</v>
      </c>
      <c r="AK546" s="8">
        <f ca="1">IF(PlayerGameData[[#This Row],[Visible]]=1,1,1000)</f>
        <v>1</v>
      </c>
      <c r="AL546" s="8">
        <f ca="1">RANK(PlayerGameData[[#This Row],[TL PTS]],PlayerGameData[TL PTS],0)+PlayerGameData[[#This Row],[VisibleOrder]]</f>
        <v>185</v>
      </c>
      <c r="AM546" s="8">
        <f ca="1">IF(COUNTIF(PlayerGameData[PointOrder],PlayerGameData[[#This Row],[PointOrder]])&gt;1,RANK(PlayerGameData[[#This Row],[FGA]],PlayerGameData[FGA],0)/100,0)+PlayerGameData[[#This Row],[PointOrder]]</f>
        <v>187.14</v>
      </c>
      <c r="AN546" s="8">
        <f ca="1">RANK(PlayerGameData[[#This Row],[PointTieBreak]],PlayerGameData[PointTieBreak],1)</f>
        <v>216</v>
      </c>
      <c r="AO546" s="8">
        <f ca="1">RANK(PlayerGameData[[#This Row],[REB]],PlayerGameData[REB],0)+PlayerGameData[[#This Row],[VisibleOrder]]</f>
        <v>192</v>
      </c>
      <c r="AP546" s="8">
        <f ca="1">IF(COUNTIF(PlayerGameData[REBOrder],PlayerGameData[[#This Row],[REBOrder]])&gt;1,PlayerGameData[[#This Row],[PointRank]]/100+PlayerGameData[[#This Row],[REBOrder]],PlayerGameData[[#This Row],[REBOrder]])</f>
        <v>194.16</v>
      </c>
      <c r="AQ546" s="8">
        <f ca="1">RANK(PlayerGameData[[#This Row],[REBTieBreak]],PlayerGameData[REBTieBreak],1)</f>
        <v>224</v>
      </c>
      <c r="AR546" s="8">
        <f ca="1">RANK(PlayerGameData[[#This Row],[AST]],PlayerGameData[AST],0)+PlayerGameData[[#This Row],[VisibleOrder]]</f>
        <v>158</v>
      </c>
      <c r="AS546" s="8">
        <f ca="1">IF(COUNTIF(PlayerGameData[ASTOrder],PlayerGameData[[#This Row],[ASTOrder]])&gt;1,PlayerGameData[[#This Row],[PointRank]]/100+PlayerGameData[[#This Row],[ASTOrder]],PlayerGameData[[#This Row],[ASTOrder]])</f>
        <v>160.16</v>
      </c>
      <c r="AT546" s="8">
        <f ca="1">RANK(PlayerGameData[[#This Row],[ASTTieBreak]],PlayerGameData[ASTTieBreak],1)</f>
        <v>221</v>
      </c>
      <c r="AU546" s="8">
        <f ca="1">RANK(PlayerGameData[[#This Row],[STL]],PlayerGameData[STL],0)+PlayerGameData[[#This Row],[VisibleOrder]]</f>
        <v>143</v>
      </c>
      <c r="AV546" s="8">
        <f ca="1">IF(COUNTIF(PlayerGameData[STLOrder],PlayerGameData[[#This Row],[STLOrder]])&gt;1,PlayerGameData[[#This Row],[PointRank]]/100+PlayerGameData[[#This Row],[STLOrder]],PlayerGameData[[#This Row],[STLOrder]])</f>
        <v>145.16</v>
      </c>
      <c r="AW546" s="8">
        <f ca="1">RANK(PlayerGameData[[#This Row],[STLTieBreak]],PlayerGameData[STLTieBreak],1)</f>
        <v>217</v>
      </c>
      <c r="AX546" s="8">
        <f ca="1">RANK(PlayerGameData[[#This Row],[BLK]],PlayerGameData[BLK],0)+PlayerGameData[[#This Row],[VisibleOrder]]</f>
        <v>32</v>
      </c>
      <c r="AY546" s="8">
        <f ca="1">IF(COUNTIF(PlayerGameData[BLKOrder],PlayerGameData[[#This Row],[BLKOrder]])&gt;1,PlayerGameData[[#This Row],[PointRank]]/100+PlayerGameData[[#This Row],[BLKOrder]],PlayerGameData[[#This Row],[BLKOrder]])</f>
        <v>34.159999999999997</v>
      </c>
      <c r="AZ546" s="8">
        <f ca="1">RANK(PlayerGameData[[#This Row],[BLKTieBreak]],PlayerGameData[BLKTieBreak],1)</f>
        <v>216</v>
      </c>
      <c r="BA546" s="11">
        <f ca="1">IFERROR(IF(PlayerGameData[[#This Row],[FGA]]&gt;$AA$5,PlayerGameData[[#This Row],[FG%*]],PlayerGameData[[#This Row],[FG%*]]*-1),-2)</f>
        <v>-2</v>
      </c>
      <c r="BB546" s="8">
        <f ca="1">RANK(PlayerGameData[[#This Row],[EligFG]],PlayerGameData[EligFG],0)+PlayerGameData[[#This Row],[VisibleOrder]]</f>
        <v>215</v>
      </c>
      <c r="BC546" s="8">
        <f ca="1">IF(COUNTIF(PlayerGameData[EligFGOrder],PlayerGameData[[#This Row],[EligFGOrder]])&gt;1,PlayerGameData[[#This Row],[PointRank]]/100+PlayerGameData[[#This Row],[EligFGOrder]],PlayerGameData[[#This Row],[EligFGOrder]])</f>
        <v>217.16</v>
      </c>
      <c r="BD546" s="8">
        <f ca="1">RANK(PlayerGameData[[#This Row],[EligFGTieBreak]],PlayerGameData[EligFGTieBreak],1)</f>
        <v>216</v>
      </c>
      <c r="BE546" s="8" t="str">
        <f>Roster!$D$3</f>
        <v>East</v>
      </c>
      <c r="BF546" s="8" t="str">
        <f>Roster!$D$2</f>
        <v>Northeast</v>
      </c>
      <c r="BG546" s="8" t="str">
        <f>Roster!$D$4</f>
        <v>North</v>
      </c>
      <c r="BH546" s="197">
        <f ca="1">IFERROR(VLOOKUP(CONCATENATE(PlayerGameData[[#This Row],[Opponent]]," ",MONTH(PlayerGameData[[#This Row],[Date]]),"/",DAY(PlayerGameData[[#This Row],[Date]]),"/",YEAR(PlayerGameData[[#This Row],[Date]])),Table35[],2,FALSE),0)</f>
        <v>1</v>
      </c>
      <c r="BI546" s="197">
        <f ca="1">IF(PlayerGameData[[#This Row],[Visible]]=1,1,1000)</f>
        <v>1</v>
      </c>
      <c r="BJ546" s="197" t="e">
        <f ca="1">_xlfn.MAXIFS(TeamGameData[Win],TeamGameData[School, Opponent,Game'#],PlayerGameData[[#This Row],[School, Opponent,Game'#]])</f>
        <v>#NAME?</v>
      </c>
      <c r="BK546" s="197" t="e">
        <f ca="1">_xlfn.MAXIFS(TeamGameData[Loss],TeamGameData[School, Opponent,Game'#],PlayerGameData[[#This Row],[School, Opponent,Game'#]])</f>
        <v>#NAME?</v>
      </c>
    </row>
    <row r="547" spans="1:63" x14ac:dyDescent="0.25">
      <c r="A547" s="8" t="str">
        <f t="shared" ca="1" si="273"/>
        <v>Ryan Baker, 35</v>
      </c>
      <c r="B547" s="8" t="str">
        <f>Roster!$B$1</f>
        <v>Upton</v>
      </c>
      <c r="C547" s="8" t="str">
        <f t="shared" ca="1" si="261"/>
        <v>Southeast</v>
      </c>
      <c r="D547" s="10">
        <f t="shared" ca="1" si="262"/>
        <v>44982</v>
      </c>
      <c r="E547" s="8">
        <f t="shared" ca="1" si="263"/>
        <v>1</v>
      </c>
      <c r="F547" s="8">
        <f t="shared" ca="1" si="264"/>
        <v>0</v>
      </c>
      <c r="G547" s="8">
        <f t="shared" ca="1" si="265"/>
        <v>22</v>
      </c>
      <c r="H547" s="8">
        <f t="shared" ca="1" si="266"/>
        <v>0</v>
      </c>
      <c r="I547" s="8">
        <f t="shared" ca="1" si="267"/>
        <v>1</v>
      </c>
      <c r="J547" s="8">
        <f t="shared" ca="1" si="268"/>
        <v>0</v>
      </c>
      <c r="K547" s="8">
        <f t="shared" ca="1" si="269"/>
        <v>5</v>
      </c>
      <c r="L547" s="8">
        <f t="shared" ca="1" si="274"/>
        <v>1</v>
      </c>
      <c r="M547" s="8">
        <f t="shared" ca="1" si="275"/>
        <v>3</v>
      </c>
      <c r="N547" s="8">
        <f t="shared" ca="1" si="276"/>
        <v>0</v>
      </c>
      <c r="O547" s="8">
        <f t="shared" ca="1" si="277"/>
        <v>1</v>
      </c>
      <c r="P547" s="8">
        <f t="shared" ca="1" si="278"/>
        <v>0</v>
      </c>
      <c r="Q547" s="8">
        <f t="shared" ca="1" si="279"/>
        <v>3</v>
      </c>
      <c r="R547" s="8">
        <f t="shared" ca="1" si="280"/>
        <v>0</v>
      </c>
      <c r="S547" s="8">
        <f t="shared" ca="1" si="281"/>
        <v>2</v>
      </c>
      <c r="T547" s="8">
        <f t="shared" ca="1" si="282"/>
        <v>1</v>
      </c>
      <c r="U547" s="8">
        <f t="shared" ca="1" si="283"/>
        <v>2</v>
      </c>
      <c r="V547" s="8">
        <f t="shared" ca="1" si="284"/>
        <v>1</v>
      </c>
      <c r="W547" s="11">
        <f t="shared" ca="1" si="285"/>
        <v>0</v>
      </c>
      <c r="X547" s="11">
        <f t="shared" ca="1" si="286"/>
        <v>0</v>
      </c>
      <c r="Y547" s="11">
        <f t="shared" ca="1" si="287"/>
        <v>0.33333333333333331</v>
      </c>
      <c r="Z547" s="11">
        <f t="shared" ca="1" si="288"/>
        <v>0</v>
      </c>
      <c r="AA547" s="11">
        <f t="shared" ca="1" si="289"/>
        <v>0</v>
      </c>
      <c r="AB547" s="47">
        <f ca="1">PlayerGameData[[#This Row],[3FGA]]+PlayerGameData[[#This Row],[2FGA]]</f>
        <v>6</v>
      </c>
      <c r="AC547" s="47">
        <f ca="1">PlayerGameData[[#This Row],[OFF REB]]+PlayerGameData[[#This Row],[DEF REB]]</f>
        <v>1</v>
      </c>
      <c r="AD547" s="8">
        <f t="shared" si="270"/>
        <v>23</v>
      </c>
      <c r="AE547" s="8" t="str">
        <f t="shared" ca="1" si="271"/>
        <v>Ryan Baker, 35 - Southeast 2/25/2023</v>
      </c>
      <c r="AF547" s="8" t="str">
        <f t="shared" ca="1" si="290"/>
        <v>R</v>
      </c>
      <c r="AG547" s="8" t="str">
        <f ca="1">IFERROR(IF(C547=0,"",IF(AND(VLOOKUP(PlayerGameData[[#This Row],[Opponent]],WYTeamInfo,2,FALSE)=Roster!$D$1,VLOOKUP(PlayerGameData[[#This Row],[Opponent]],WYTeamInfo,3,FALSE)=Roster!$D$2),"SR","")),"")</f>
        <v/>
      </c>
      <c r="AH547" s="8" t="str">
        <f>CONCATENATE(Roster!$D$1," ",Roster!$D$5)</f>
        <v>1A BB</v>
      </c>
      <c r="AI547" s="8" t="str">
        <f t="shared" ca="1" si="272"/>
        <v>Upton - Southeast 2/25/2023</v>
      </c>
      <c r="AJ547" s="8">
        <f ca="1">IFERROR(VLOOKUP(PlayerGameData[[#This Row],[School, Opponent,Game'#]],Table3[],2,FALSE),0)</f>
        <v>1</v>
      </c>
      <c r="AK547" s="8">
        <f ca="1">IF(PlayerGameData[[#This Row],[Visible]]=1,1,1000)</f>
        <v>1</v>
      </c>
      <c r="AL547" s="8">
        <f ca="1">RANK(PlayerGameData[[#This Row],[TL PTS]],PlayerGameData[TL PTS],0)+PlayerGameData[[#This Row],[VisibleOrder]]</f>
        <v>176</v>
      </c>
      <c r="AM547" s="8">
        <f ca="1">IF(COUNTIF(PlayerGameData[PointOrder],PlayerGameData[[#This Row],[PointOrder]])&gt;1,RANK(PlayerGameData[[#This Row],[FGA]],PlayerGameData[FGA],0)/100,0)+PlayerGameData[[#This Row],[PointOrder]]</f>
        <v>177.08</v>
      </c>
      <c r="AN547" s="8">
        <f ca="1">RANK(PlayerGameData[[#This Row],[PointTieBreak]],PlayerGameData[PointTieBreak],1)</f>
        <v>175</v>
      </c>
      <c r="AO547" s="8">
        <f ca="1">RANK(PlayerGameData[[#This Row],[REB]],PlayerGameData[REB],0)+PlayerGameData[[#This Row],[VisibleOrder]]</f>
        <v>163</v>
      </c>
      <c r="AP547" s="8">
        <f ca="1">IF(COUNTIF(PlayerGameData[REBOrder],PlayerGameData[[#This Row],[REBOrder]])&gt;1,PlayerGameData[[#This Row],[PointRank]]/100+PlayerGameData[[#This Row],[REBOrder]],PlayerGameData[[#This Row],[REBOrder]])</f>
        <v>164.75</v>
      </c>
      <c r="AQ547" s="8">
        <f ca="1">RANK(PlayerGameData[[#This Row],[REBTieBreak]],PlayerGameData[REBTieBreak],1)</f>
        <v>179</v>
      </c>
      <c r="AR547" s="8">
        <f ca="1">RANK(PlayerGameData[[#This Row],[AST]],PlayerGameData[AST],0)+PlayerGameData[[#This Row],[VisibleOrder]]</f>
        <v>158</v>
      </c>
      <c r="AS547" s="8">
        <f ca="1">IF(COUNTIF(PlayerGameData[ASTOrder],PlayerGameData[[#This Row],[ASTOrder]])&gt;1,PlayerGameData[[#This Row],[PointRank]]/100+PlayerGameData[[#This Row],[ASTOrder]],PlayerGameData[[#This Row],[ASTOrder]])</f>
        <v>159.75</v>
      </c>
      <c r="AT547" s="8">
        <f ca="1">RANK(PlayerGameData[[#This Row],[ASTTieBreak]],PlayerGameData[ASTTieBreak],1)</f>
        <v>193</v>
      </c>
      <c r="AU547" s="8">
        <f ca="1">RANK(PlayerGameData[[#This Row],[STL]],PlayerGameData[STL],0)+PlayerGameData[[#This Row],[VisibleOrder]]</f>
        <v>26</v>
      </c>
      <c r="AV547" s="8">
        <f ca="1">IF(COUNTIF(PlayerGameData[STLOrder],PlayerGameData[[#This Row],[STLOrder]])&gt;1,PlayerGameData[[#This Row],[PointRank]]/100+PlayerGameData[[#This Row],[STLOrder]],PlayerGameData[[#This Row],[STLOrder]])</f>
        <v>27.75</v>
      </c>
      <c r="AW547" s="8">
        <f ca="1">RANK(PlayerGameData[[#This Row],[STLTieBreak]],PlayerGameData[STLTieBreak],1)</f>
        <v>46</v>
      </c>
      <c r="AX547" s="8">
        <f ca="1">RANK(PlayerGameData[[#This Row],[BLK]],PlayerGameData[BLK],0)+PlayerGameData[[#This Row],[VisibleOrder]]</f>
        <v>32</v>
      </c>
      <c r="AY547" s="8">
        <f ca="1">IF(COUNTIF(PlayerGameData[BLKOrder],PlayerGameData[[#This Row],[BLKOrder]])&gt;1,PlayerGameData[[#This Row],[PointRank]]/100+PlayerGameData[[#This Row],[BLKOrder]],PlayerGameData[[#This Row],[BLKOrder]])</f>
        <v>33.75</v>
      </c>
      <c r="AZ547" s="8">
        <f ca="1">RANK(PlayerGameData[[#This Row],[BLKTieBreak]],PlayerGameData[BLKTieBreak],1)</f>
        <v>176</v>
      </c>
      <c r="BA547" s="11">
        <f ca="1">IFERROR(IF(PlayerGameData[[#This Row],[FGA]]&gt;$AA$5,PlayerGameData[[#This Row],[FG%*]],PlayerGameData[[#This Row],[FG%*]]*-1),-2)</f>
        <v>0</v>
      </c>
      <c r="BB547" s="8">
        <f ca="1">RANK(PlayerGameData[[#This Row],[EligFG]],PlayerGameData[EligFG],0)+PlayerGameData[[#This Row],[VisibleOrder]]</f>
        <v>117</v>
      </c>
      <c r="BC547" s="8">
        <f ca="1">IF(COUNTIF(PlayerGameData[EligFGOrder],PlayerGameData[[#This Row],[EligFGOrder]])&gt;1,PlayerGameData[[#This Row],[PointRank]]/100+PlayerGameData[[#This Row],[EligFGOrder]],PlayerGameData[[#This Row],[EligFGOrder]])</f>
        <v>118.75</v>
      </c>
      <c r="BD547" s="8">
        <f ca="1">RANK(PlayerGameData[[#This Row],[EligFGTieBreak]],PlayerGameData[EligFGTieBreak],1)</f>
        <v>118</v>
      </c>
      <c r="BE547" s="8" t="str">
        <f>Roster!$D$3</f>
        <v>East</v>
      </c>
      <c r="BF547" s="8" t="str">
        <f>Roster!$D$2</f>
        <v>Northeast</v>
      </c>
      <c r="BG547" s="8" t="str">
        <f>Roster!$D$4</f>
        <v>North</v>
      </c>
      <c r="BH547" s="197">
        <f ca="1">IFERROR(VLOOKUP(CONCATENATE(PlayerGameData[[#This Row],[Opponent]]," ",MONTH(PlayerGameData[[#This Row],[Date]]),"/",DAY(PlayerGameData[[#This Row],[Date]]),"/",YEAR(PlayerGameData[[#This Row],[Date]])),Table35[],2,FALSE),0)</f>
        <v>1</v>
      </c>
      <c r="BI547" s="197">
        <f ca="1">IF(PlayerGameData[[#This Row],[Visible]]=1,1,1000)</f>
        <v>1</v>
      </c>
      <c r="BJ547" s="197" t="e">
        <f ca="1">_xlfn.MAXIFS(TeamGameData[Win],TeamGameData[School, Opponent,Game'#],PlayerGameData[[#This Row],[School, Opponent,Game'#]])</f>
        <v>#NAME?</v>
      </c>
      <c r="BK547" s="197" t="e">
        <f ca="1">_xlfn.MAXIFS(TeamGameData[Loss],TeamGameData[School, Opponent,Game'#],PlayerGameData[[#This Row],[School, Opponent,Game'#]])</f>
        <v>#NAME?</v>
      </c>
    </row>
    <row r="548" spans="1:63" x14ac:dyDescent="0.25">
      <c r="A548" s="8" t="str">
        <f t="shared" ca="1" si="273"/>
        <v xml:space="preserve">, </v>
      </c>
      <c r="B548" s="8" t="str">
        <f>Roster!$B$1</f>
        <v>Upton</v>
      </c>
      <c r="C548" s="8" t="str">
        <f t="shared" ca="1" si="261"/>
        <v>Southeast</v>
      </c>
      <c r="D548" s="10">
        <f t="shared" ca="1" si="262"/>
        <v>44982</v>
      </c>
      <c r="E548" s="8">
        <f t="shared" ca="1" si="263"/>
        <v>0</v>
      </c>
      <c r="F548" s="8">
        <f t="shared" ca="1" si="264"/>
        <v>0</v>
      </c>
      <c r="G548" s="8">
        <f t="shared" ca="1" si="265"/>
        <v>0</v>
      </c>
      <c r="H548" s="8">
        <f t="shared" ca="1" si="266"/>
        <v>0</v>
      </c>
      <c r="I548" s="8">
        <f t="shared" ca="1" si="267"/>
        <v>0</v>
      </c>
      <c r="J548" s="8">
        <f t="shared" ca="1" si="268"/>
        <v>0</v>
      </c>
      <c r="K548" s="8">
        <f t="shared" ca="1" si="269"/>
        <v>0</v>
      </c>
      <c r="L548" s="8">
        <f t="shared" ca="1" si="274"/>
        <v>0</v>
      </c>
      <c r="M548" s="8">
        <f t="shared" ca="1" si="275"/>
        <v>0</v>
      </c>
      <c r="N548" s="8">
        <f t="shared" ca="1" si="276"/>
        <v>0</v>
      </c>
      <c r="O548" s="8">
        <f t="shared" ca="1" si="277"/>
        <v>0</v>
      </c>
      <c r="P548" s="8">
        <f t="shared" ca="1" si="278"/>
        <v>0</v>
      </c>
      <c r="Q548" s="8">
        <f t="shared" ca="1" si="279"/>
        <v>0</v>
      </c>
      <c r="R548" s="8">
        <f t="shared" ca="1" si="280"/>
        <v>0</v>
      </c>
      <c r="S548" s="8">
        <f t="shared" ca="1" si="281"/>
        <v>0</v>
      </c>
      <c r="T548" s="8">
        <f t="shared" ca="1" si="282"/>
        <v>0</v>
      </c>
      <c r="U548" s="8">
        <f t="shared" ca="1" si="283"/>
        <v>0</v>
      </c>
      <c r="V548" s="8">
        <f t="shared" ca="1" si="284"/>
        <v>0</v>
      </c>
      <c r="W548" s="11" t="str">
        <f t="shared" ca="1" si="285"/>
        <v/>
      </c>
      <c r="X548" s="11" t="str">
        <f t="shared" ca="1" si="286"/>
        <v/>
      </c>
      <c r="Y548" s="11" t="str">
        <f t="shared" ca="1" si="287"/>
        <v/>
      </c>
      <c r="Z548" s="11" t="str">
        <f t="shared" ca="1" si="288"/>
        <v/>
      </c>
      <c r="AA548" s="11" t="str">
        <f t="shared" ca="1" si="289"/>
        <v/>
      </c>
      <c r="AB548" s="47">
        <f ca="1">PlayerGameData[[#This Row],[3FGA]]+PlayerGameData[[#This Row],[2FGA]]</f>
        <v>0</v>
      </c>
      <c r="AC548" s="47">
        <f ca="1">PlayerGameData[[#This Row],[OFF REB]]+PlayerGameData[[#This Row],[DEF REB]]</f>
        <v>0</v>
      </c>
      <c r="AD548" s="8">
        <f t="shared" si="270"/>
        <v>23</v>
      </c>
      <c r="AE548" s="8" t="str">
        <f t="shared" ca="1" si="271"/>
        <v>,  - Southeast 2/25/2023</v>
      </c>
      <c r="AF548" s="8" t="str">
        <f t="shared" ca="1" si="290"/>
        <v>R</v>
      </c>
      <c r="AG548" s="8" t="str">
        <f ca="1">IFERROR(IF(C548=0,"",IF(AND(VLOOKUP(PlayerGameData[[#This Row],[Opponent]],WYTeamInfo,2,FALSE)=Roster!$D$1,VLOOKUP(PlayerGameData[[#This Row],[Opponent]],WYTeamInfo,3,FALSE)=Roster!$D$2),"SR","")),"")</f>
        <v/>
      </c>
      <c r="AH548" s="8" t="str">
        <f>CONCATENATE(Roster!$D$1," ",Roster!$D$5)</f>
        <v>1A BB</v>
      </c>
      <c r="AI548" s="8" t="str">
        <f t="shared" ca="1" si="272"/>
        <v>Upton - Southeast 2/25/2023</v>
      </c>
      <c r="AJ548" s="8">
        <f ca="1">IFERROR(VLOOKUP(PlayerGameData[[#This Row],[School, Opponent,Game'#]],Table3[],2,FALSE),0)</f>
        <v>1</v>
      </c>
      <c r="AK548" s="8">
        <f ca="1">IF(PlayerGameData[[#This Row],[Visible]]=1,1,1000)</f>
        <v>1</v>
      </c>
      <c r="AL548" s="8">
        <f ca="1">RANK(PlayerGameData[[#This Row],[TL PTS]],PlayerGameData[TL PTS],0)+PlayerGameData[[#This Row],[VisibleOrder]]</f>
        <v>185</v>
      </c>
      <c r="AM548" s="8">
        <f ca="1">IF(COUNTIF(PlayerGameData[PointOrder],PlayerGameData[[#This Row],[PointOrder]])&gt;1,RANK(PlayerGameData[[#This Row],[FGA]],PlayerGameData[FGA],0)/100,0)+PlayerGameData[[#This Row],[PointOrder]]</f>
        <v>187.14</v>
      </c>
      <c r="AN548" s="8">
        <f ca="1">RANK(PlayerGameData[[#This Row],[PointTieBreak]],PlayerGameData[PointTieBreak],1)</f>
        <v>216</v>
      </c>
      <c r="AO548" s="8">
        <f ca="1">RANK(PlayerGameData[[#This Row],[REB]],PlayerGameData[REB],0)+PlayerGameData[[#This Row],[VisibleOrder]]</f>
        <v>192</v>
      </c>
      <c r="AP548" s="8">
        <f ca="1">IF(COUNTIF(PlayerGameData[REBOrder],PlayerGameData[[#This Row],[REBOrder]])&gt;1,PlayerGameData[[#This Row],[PointRank]]/100+PlayerGameData[[#This Row],[REBOrder]],PlayerGameData[[#This Row],[REBOrder]])</f>
        <v>194.16</v>
      </c>
      <c r="AQ548" s="8">
        <f ca="1">RANK(PlayerGameData[[#This Row],[REBTieBreak]],PlayerGameData[REBTieBreak],1)</f>
        <v>224</v>
      </c>
      <c r="AR548" s="8">
        <f ca="1">RANK(PlayerGameData[[#This Row],[AST]],PlayerGameData[AST],0)+PlayerGameData[[#This Row],[VisibleOrder]]</f>
        <v>158</v>
      </c>
      <c r="AS548" s="8">
        <f ca="1">IF(COUNTIF(PlayerGameData[ASTOrder],PlayerGameData[[#This Row],[ASTOrder]])&gt;1,PlayerGameData[[#This Row],[PointRank]]/100+PlayerGameData[[#This Row],[ASTOrder]],PlayerGameData[[#This Row],[ASTOrder]])</f>
        <v>160.16</v>
      </c>
      <c r="AT548" s="8">
        <f ca="1">RANK(PlayerGameData[[#This Row],[ASTTieBreak]],PlayerGameData[ASTTieBreak],1)</f>
        <v>221</v>
      </c>
      <c r="AU548" s="8">
        <f ca="1">RANK(PlayerGameData[[#This Row],[STL]],PlayerGameData[STL],0)+PlayerGameData[[#This Row],[VisibleOrder]]</f>
        <v>143</v>
      </c>
      <c r="AV548" s="8">
        <f ca="1">IF(COUNTIF(PlayerGameData[STLOrder],PlayerGameData[[#This Row],[STLOrder]])&gt;1,PlayerGameData[[#This Row],[PointRank]]/100+PlayerGameData[[#This Row],[STLOrder]],PlayerGameData[[#This Row],[STLOrder]])</f>
        <v>145.16</v>
      </c>
      <c r="AW548" s="8">
        <f ca="1">RANK(PlayerGameData[[#This Row],[STLTieBreak]],PlayerGameData[STLTieBreak],1)</f>
        <v>217</v>
      </c>
      <c r="AX548" s="8">
        <f ca="1">RANK(PlayerGameData[[#This Row],[BLK]],PlayerGameData[BLK],0)+PlayerGameData[[#This Row],[VisibleOrder]]</f>
        <v>32</v>
      </c>
      <c r="AY548" s="8">
        <f ca="1">IF(COUNTIF(PlayerGameData[BLKOrder],PlayerGameData[[#This Row],[BLKOrder]])&gt;1,PlayerGameData[[#This Row],[PointRank]]/100+PlayerGameData[[#This Row],[BLKOrder]],PlayerGameData[[#This Row],[BLKOrder]])</f>
        <v>34.159999999999997</v>
      </c>
      <c r="AZ548" s="8">
        <f ca="1">RANK(PlayerGameData[[#This Row],[BLKTieBreak]],PlayerGameData[BLKTieBreak],1)</f>
        <v>216</v>
      </c>
      <c r="BA548" s="11">
        <f ca="1">IFERROR(IF(PlayerGameData[[#This Row],[FGA]]&gt;$AA$5,PlayerGameData[[#This Row],[FG%*]],PlayerGameData[[#This Row],[FG%*]]*-1),-2)</f>
        <v>-2</v>
      </c>
      <c r="BB548" s="8">
        <f ca="1">RANK(PlayerGameData[[#This Row],[EligFG]],PlayerGameData[EligFG],0)+PlayerGameData[[#This Row],[VisibleOrder]]</f>
        <v>215</v>
      </c>
      <c r="BC548" s="8">
        <f ca="1">IF(COUNTIF(PlayerGameData[EligFGOrder],PlayerGameData[[#This Row],[EligFGOrder]])&gt;1,PlayerGameData[[#This Row],[PointRank]]/100+PlayerGameData[[#This Row],[EligFGOrder]],PlayerGameData[[#This Row],[EligFGOrder]])</f>
        <v>217.16</v>
      </c>
      <c r="BD548" s="8">
        <f ca="1">RANK(PlayerGameData[[#This Row],[EligFGTieBreak]],PlayerGameData[EligFGTieBreak],1)</f>
        <v>216</v>
      </c>
      <c r="BE548" s="8" t="str">
        <f>Roster!$D$3</f>
        <v>East</v>
      </c>
      <c r="BF548" s="8" t="str">
        <f>Roster!$D$2</f>
        <v>Northeast</v>
      </c>
      <c r="BG548" s="8" t="str">
        <f>Roster!$D$4</f>
        <v>North</v>
      </c>
      <c r="BH548" s="197">
        <f ca="1">IFERROR(VLOOKUP(CONCATENATE(PlayerGameData[[#This Row],[Opponent]]," ",MONTH(PlayerGameData[[#This Row],[Date]]),"/",DAY(PlayerGameData[[#This Row],[Date]]),"/",YEAR(PlayerGameData[[#This Row],[Date]])),Table35[],2,FALSE),0)</f>
        <v>1</v>
      </c>
      <c r="BI548" s="197">
        <f ca="1">IF(PlayerGameData[[#This Row],[Visible]]=1,1,1000)</f>
        <v>1</v>
      </c>
      <c r="BJ548" s="197" t="e">
        <f ca="1">_xlfn.MAXIFS(TeamGameData[Win],TeamGameData[School, Opponent,Game'#],PlayerGameData[[#This Row],[School, Opponent,Game'#]])</f>
        <v>#NAME?</v>
      </c>
      <c r="BK548" s="197" t="e">
        <f ca="1">_xlfn.MAXIFS(TeamGameData[Loss],TeamGameData[School, Opponent,Game'#],PlayerGameData[[#This Row],[School, Opponent,Game'#]])</f>
        <v>#NAME?</v>
      </c>
    </row>
    <row r="549" spans="1:63" x14ac:dyDescent="0.25">
      <c r="A549" s="8" t="str">
        <f t="shared" ca="1" si="273"/>
        <v xml:space="preserve">, </v>
      </c>
      <c r="B549" s="8" t="str">
        <f>Roster!$B$1</f>
        <v>Upton</v>
      </c>
      <c r="C549" s="8" t="str">
        <f t="shared" ca="1" si="261"/>
        <v>Southeast</v>
      </c>
      <c r="D549" s="10">
        <f t="shared" ca="1" si="262"/>
        <v>44982</v>
      </c>
      <c r="E549" s="8">
        <f t="shared" ca="1" si="263"/>
        <v>0</v>
      </c>
      <c r="F549" s="8">
        <f t="shared" ca="1" si="264"/>
        <v>0</v>
      </c>
      <c r="G549" s="8">
        <f t="shared" ca="1" si="265"/>
        <v>0</v>
      </c>
      <c r="H549" s="8">
        <f t="shared" ca="1" si="266"/>
        <v>0</v>
      </c>
      <c r="I549" s="8">
        <f t="shared" ca="1" si="267"/>
        <v>0</v>
      </c>
      <c r="J549" s="8">
        <f t="shared" ca="1" si="268"/>
        <v>0</v>
      </c>
      <c r="K549" s="8">
        <f t="shared" ca="1" si="269"/>
        <v>0</v>
      </c>
      <c r="L549" s="8">
        <f t="shared" ca="1" si="274"/>
        <v>0</v>
      </c>
      <c r="M549" s="8">
        <f t="shared" ca="1" si="275"/>
        <v>0</v>
      </c>
      <c r="N549" s="8">
        <f t="shared" ca="1" si="276"/>
        <v>0</v>
      </c>
      <c r="O549" s="8">
        <f t="shared" ca="1" si="277"/>
        <v>0</v>
      </c>
      <c r="P549" s="8">
        <f t="shared" ca="1" si="278"/>
        <v>0</v>
      </c>
      <c r="Q549" s="8">
        <f t="shared" ca="1" si="279"/>
        <v>0</v>
      </c>
      <c r="R549" s="8">
        <f t="shared" ca="1" si="280"/>
        <v>0</v>
      </c>
      <c r="S549" s="8">
        <f t="shared" ca="1" si="281"/>
        <v>0</v>
      </c>
      <c r="T549" s="8">
        <f t="shared" ca="1" si="282"/>
        <v>0</v>
      </c>
      <c r="U549" s="8">
        <f t="shared" ca="1" si="283"/>
        <v>0</v>
      </c>
      <c r="V549" s="8">
        <f t="shared" ca="1" si="284"/>
        <v>0</v>
      </c>
      <c r="W549" s="11" t="str">
        <f t="shared" ca="1" si="285"/>
        <v/>
      </c>
      <c r="X549" s="11" t="str">
        <f t="shared" ca="1" si="286"/>
        <v/>
      </c>
      <c r="Y549" s="11" t="str">
        <f t="shared" ca="1" si="287"/>
        <v/>
      </c>
      <c r="Z549" s="11" t="str">
        <f t="shared" ca="1" si="288"/>
        <v/>
      </c>
      <c r="AA549" s="11" t="str">
        <f t="shared" ca="1" si="289"/>
        <v/>
      </c>
      <c r="AB549" s="47">
        <f ca="1">PlayerGameData[[#This Row],[3FGA]]+PlayerGameData[[#This Row],[2FGA]]</f>
        <v>0</v>
      </c>
      <c r="AC549" s="47">
        <f ca="1">PlayerGameData[[#This Row],[OFF REB]]+PlayerGameData[[#This Row],[DEF REB]]</f>
        <v>0</v>
      </c>
      <c r="AD549" s="8">
        <f t="shared" si="270"/>
        <v>23</v>
      </c>
      <c r="AE549" s="8" t="str">
        <f t="shared" ca="1" si="271"/>
        <v>,  - Southeast 2/25/2023</v>
      </c>
      <c r="AF549" s="8" t="str">
        <f t="shared" ca="1" si="290"/>
        <v>R</v>
      </c>
      <c r="AG549" s="8" t="str">
        <f ca="1">IFERROR(IF(C549=0,"",IF(AND(VLOOKUP(PlayerGameData[[#This Row],[Opponent]],WYTeamInfo,2,FALSE)=Roster!$D$1,VLOOKUP(PlayerGameData[[#This Row],[Opponent]],WYTeamInfo,3,FALSE)=Roster!$D$2),"SR","")),"")</f>
        <v/>
      </c>
      <c r="AH549" s="8" t="str">
        <f>CONCATENATE(Roster!$D$1," ",Roster!$D$5)</f>
        <v>1A BB</v>
      </c>
      <c r="AI549" s="8" t="str">
        <f t="shared" ca="1" si="272"/>
        <v>Upton - Southeast 2/25/2023</v>
      </c>
      <c r="AJ549" s="8">
        <f ca="1">IFERROR(VLOOKUP(PlayerGameData[[#This Row],[School, Opponent,Game'#]],Table3[],2,FALSE),0)</f>
        <v>1</v>
      </c>
      <c r="AK549" s="8">
        <f ca="1">IF(PlayerGameData[[#This Row],[Visible]]=1,1,1000)</f>
        <v>1</v>
      </c>
      <c r="AL549" s="8">
        <f ca="1">RANK(PlayerGameData[[#This Row],[TL PTS]],PlayerGameData[TL PTS],0)+PlayerGameData[[#This Row],[VisibleOrder]]</f>
        <v>185</v>
      </c>
      <c r="AM549" s="8">
        <f ca="1">IF(COUNTIF(PlayerGameData[PointOrder],PlayerGameData[[#This Row],[PointOrder]])&gt;1,RANK(PlayerGameData[[#This Row],[FGA]],PlayerGameData[FGA],0)/100,0)+PlayerGameData[[#This Row],[PointOrder]]</f>
        <v>187.14</v>
      </c>
      <c r="AN549" s="8">
        <f ca="1">RANK(PlayerGameData[[#This Row],[PointTieBreak]],PlayerGameData[PointTieBreak],1)</f>
        <v>216</v>
      </c>
      <c r="AO549" s="8">
        <f ca="1">RANK(PlayerGameData[[#This Row],[REB]],PlayerGameData[REB],0)+PlayerGameData[[#This Row],[VisibleOrder]]</f>
        <v>192</v>
      </c>
      <c r="AP549" s="8">
        <f ca="1">IF(COUNTIF(PlayerGameData[REBOrder],PlayerGameData[[#This Row],[REBOrder]])&gt;1,PlayerGameData[[#This Row],[PointRank]]/100+PlayerGameData[[#This Row],[REBOrder]],PlayerGameData[[#This Row],[REBOrder]])</f>
        <v>194.16</v>
      </c>
      <c r="AQ549" s="8">
        <f ca="1">RANK(PlayerGameData[[#This Row],[REBTieBreak]],PlayerGameData[REBTieBreak],1)</f>
        <v>224</v>
      </c>
      <c r="AR549" s="8">
        <f ca="1">RANK(PlayerGameData[[#This Row],[AST]],PlayerGameData[AST],0)+PlayerGameData[[#This Row],[VisibleOrder]]</f>
        <v>158</v>
      </c>
      <c r="AS549" s="8">
        <f ca="1">IF(COUNTIF(PlayerGameData[ASTOrder],PlayerGameData[[#This Row],[ASTOrder]])&gt;1,PlayerGameData[[#This Row],[PointRank]]/100+PlayerGameData[[#This Row],[ASTOrder]],PlayerGameData[[#This Row],[ASTOrder]])</f>
        <v>160.16</v>
      </c>
      <c r="AT549" s="8">
        <f ca="1">RANK(PlayerGameData[[#This Row],[ASTTieBreak]],PlayerGameData[ASTTieBreak],1)</f>
        <v>221</v>
      </c>
      <c r="AU549" s="8">
        <f ca="1">RANK(PlayerGameData[[#This Row],[STL]],PlayerGameData[STL],0)+PlayerGameData[[#This Row],[VisibleOrder]]</f>
        <v>143</v>
      </c>
      <c r="AV549" s="8">
        <f ca="1">IF(COUNTIF(PlayerGameData[STLOrder],PlayerGameData[[#This Row],[STLOrder]])&gt;1,PlayerGameData[[#This Row],[PointRank]]/100+PlayerGameData[[#This Row],[STLOrder]],PlayerGameData[[#This Row],[STLOrder]])</f>
        <v>145.16</v>
      </c>
      <c r="AW549" s="8">
        <f ca="1">RANK(PlayerGameData[[#This Row],[STLTieBreak]],PlayerGameData[STLTieBreak],1)</f>
        <v>217</v>
      </c>
      <c r="AX549" s="8">
        <f ca="1">RANK(PlayerGameData[[#This Row],[BLK]],PlayerGameData[BLK],0)+PlayerGameData[[#This Row],[VisibleOrder]]</f>
        <v>32</v>
      </c>
      <c r="AY549" s="8">
        <f ca="1">IF(COUNTIF(PlayerGameData[BLKOrder],PlayerGameData[[#This Row],[BLKOrder]])&gt;1,PlayerGameData[[#This Row],[PointRank]]/100+PlayerGameData[[#This Row],[BLKOrder]],PlayerGameData[[#This Row],[BLKOrder]])</f>
        <v>34.159999999999997</v>
      </c>
      <c r="AZ549" s="8">
        <f ca="1">RANK(PlayerGameData[[#This Row],[BLKTieBreak]],PlayerGameData[BLKTieBreak],1)</f>
        <v>216</v>
      </c>
      <c r="BA549" s="11">
        <f ca="1">IFERROR(IF(PlayerGameData[[#This Row],[FGA]]&gt;$AA$5,PlayerGameData[[#This Row],[FG%*]],PlayerGameData[[#This Row],[FG%*]]*-1),-2)</f>
        <v>-2</v>
      </c>
      <c r="BB549" s="8">
        <f ca="1">RANK(PlayerGameData[[#This Row],[EligFG]],PlayerGameData[EligFG],0)+PlayerGameData[[#This Row],[VisibleOrder]]</f>
        <v>215</v>
      </c>
      <c r="BC549" s="8">
        <f ca="1">IF(COUNTIF(PlayerGameData[EligFGOrder],PlayerGameData[[#This Row],[EligFGOrder]])&gt;1,PlayerGameData[[#This Row],[PointRank]]/100+PlayerGameData[[#This Row],[EligFGOrder]],PlayerGameData[[#This Row],[EligFGOrder]])</f>
        <v>217.16</v>
      </c>
      <c r="BD549" s="8">
        <f ca="1">RANK(PlayerGameData[[#This Row],[EligFGTieBreak]],PlayerGameData[EligFGTieBreak],1)</f>
        <v>216</v>
      </c>
      <c r="BE549" s="8" t="str">
        <f>Roster!$D$3</f>
        <v>East</v>
      </c>
      <c r="BF549" s="8" t="str">
        <f>Roster!$D$2</f>
        <v>Northeast</v>
      </c>
      <c r="BG549" s="8" t="str">
        <f>Roster!$D$4</f>
        <v>North</v>
      </c>
      <c r="BH549" s="197">
        <f ca="1">IFERROR(VLOOKUP(CONCATENATE(PlayerGameData[[#This Row],[Opponent]]," ",MONTH(PlayerGameData[[#This Row],[Date]]),"/",DAY(PlayerGameData[[#This Row],[Date]]),"/",YEAR(PlayerGameData[[#This Row],[Date]])),Table35[],2,FALSE),0)</f>
        <v>1</v>
      </c>
      <c r="BI549" s="197">
        <f ca="1">IF(PlayerGameData[[#This Row],[Visible]]=1,1,1000)</f>
        <v>1</v>
      </c>
      <c r="BJ549" s="197" t="e">
        <f ca="1">_xlfn.MAXIFS(TeamGameData[Win],TeamGameData[School, Opponent,Game'#],PlayerGameData[[#This Row],[School, Opponent,Game'#]])</f>
        <v>#NAME?</v>
      </c>
      <c r="BK549" s="197" t="e">
        <f ca="1">_xlfn.MAXIFS(TeamGameData[Loss],TeamGameData[School, Opponent,Game'#],PlayerGameData[[#This Row],[School, Opponent,Game'#]])</f>
        <v>#NAME?</v>
      </c>
    </row>
    <row r="550" spans="1:63" x14ac:dyDescent="0.25">
      <c r="A550" s="8" t="str">
        <f t="shared" ca="1" si="273"/>
        <v xml:space="preserve">, </v>
      </c>
      <c r="B550" s="8" t="str">
        <f>Roster!$B$1</f>
        <v>Upton</v>
      </c>
      <c r="C550" s="8" t="str">
        <f t="shared" ca="1" si="261"/>
        <v>Southeast</v>
      </c>
      <c r="D550" s="10">
        <f t="shared" ca="1" si="262"/>
        <v>44982</v>
      </c>
      <c r="E550" s="8">
        <f t="shared" ca="1" si="263"/>
        <v>0</v>
      </c>
      <c r="F550" s="8">
        <f t="shared" ca="1" si="264"/>
        <v>0</v>
      </c>
      <c r="G550" s="8">
        <f t="shared" ca="1" si="265"/>
        <v>0</v>
      </c>
      <c r="H550" s="8">
        <f t="shared" ca="1" si="266"/>
        <v>0</v>
      </c>
      <c r="I550" s="8">
        <f t="shared" ca="1" si="267"/>
        <v>0</v>
      </c>
      <c r="J550" s="8">
        <f t="shared" ca="1" si="268"/>
        <v>0</v>
      </c>
      <c r="K550" s="8">
        <f t="shared" ca="1" si="269"/>
        <v>0</v>
      </c>
      <c r="L550" s="8">
        <f t="shared" ca="1" si="274"/>
        <v>0</v>
      </c>
      <c r="M550" s="8">
        <f t="shared" ca="1" si="275"/>
        <v>0</v>
      </c>
      <c r="N550" s="8">
        <f t="shared" ca="1" si="276"/>
        <v>0</v>
      </c>
      <c r="O550" s="8">
        <f t="shared" ca="1" si="277"/>
        <v>0</v>
      </c>
      <c r="P550" s="8">
        <f t="shared" ca="1" si="278"/>
        <v>0</v>
      </c>
      <c r="Q550" s="8">
        <f t="shared" ca="1" si="279"/>
        <v>0</v>
      </c>
      <c r="R550" s="8">
        <f t="shared" ca="1" si="280"/>
        <v>0</v>
      </c>
      <c r="S550" s="8">
        <f t="shared" ca="1" si="281"/>
        <v>0</v>
      </c>
      <c r="T550" s="8">
        <f t="shared" ca="1" si="282"/>
        <v>0</v>
      </c>
      <c r="U550" s="8">
        <f t="shared" ca="1" si="283"/>
        <v>0</v>
      </c>
      <c r="V550" s="8">
        <f t="shared" ca="1" si="284"/>
        <v>0</v>
      </c>
      <c r="W550" s="11" t="str">
        <f t="shared" ca="1" si="285"/>
        <v/>
      </c>
      <c r="X550" s="11" t="str">
        <f t="shared" ca="1" si="286"/>
        <v/>
      </c>
      <c r="Y550" s="11" t="str">
        <f t="shared" ca="1" si="287"/>
        <v/>
      </c>
      <c r="Z550" s="11" t="str">
        <f t="shared" ca="1" si="288"/>
        <v/>
      </c>
      <c r="AA550" s="11" t="str">
        <f t="shared" ca="1" si="289"/>
        <v/>
      </c>
      <c r="AB550" s="47">
        <f ca="1">PlayerGameData[[#This Row],[3FGA]]+PlayerGameData[[#This Row],[2FGA]]</f>
        <v>0</v>
      </c>
      <c r="AC550" s="47">
        <f ca="1">PlayerGameData[[#This Row],[OFF REB]]+PlayerGameData[[#This Row],[DEF REB]]</f>
        <v>0</v>
      </c>
      <c r="AD550" s="8">
        <f t="shared" si="270"/>
        <v>23</v>
      </c>
      <c r="AE550" s="8" t="str">
        <f t="shared" ca="1" si="271"/>
        <v>,  - Southeast 2/25/2023</v>
      </c>
      <c r="AF550" s="8" t="str">
        <f t="shared" ca="1" si="290"/>
        <v>R</v>
      </c>
      <c r="AG550" s="8" t="str">
        <f ca="1">IFERROR(IF(C550=0,"",IF(AND(VLOOKUP(PlayerGameData[[#This Row],[Opponent]],WYTeamInfo,2,FALSE)=Roster!$D$1,VLOOKUP(PlayerGameData[[#This Row],[Opponent]],WYTeamInfo,3,FALSE)=Roster!$D$2),"SR","")),"")</f>
        <v/>
      </c>
      <c r="AH550" s="8" t="str">
        <f>CONCATENATE(Roster!$D$1," ",Roster!$D$5)</f>
        <v>1A BB</v>
      </c>
      <c r="AI550" s="8" t="str">
        <f t="shared" ca="1" si="272"/>
        <v>Upton - Southeast 2/25/2023</v>
      </c>
      <c r="AJ550" s="8">
        <f ca="1">IFERROR(VLOOKUP(PlayerGameData[[#This Row],[School, Opponent,Game'#]],Table3[],2,FALSE),0)</f>
        <v>1</v>
      </c>
      <c r="AK550" s="8">
        <f ca="1">IF(PlayerGameData[[#This Row],[Visible]]=1,1,1000)</f>
        <v>1</v>
      </c>
      <c r="AL550" s="8">
        <f ca="1">RANK(PlayerGameData[[#This Row],[TL PTS]],PlayerGameData[TL PTS],0)+PlayerGameData[[#This Row],[VisibleOrder]]</f>
        <v>185</v>
      </c>
      <c r="AM550" s="8">
        <f ca="1">IF(COUNTIF(PlayerGameData[PointOrder],PlayerGameData[[#This Row],[PointOrder]])&gt;1,RANK(PlayerGameData[[#This Row],[FGA]],PlayerGameData[FGA],0)/100,0)+PlayerGameData[[#This Row],[PointOrder]]</f>
        <v>187.14</v>
      </c>
      <c r="AN550" s="8">
        <f ca="1">RANK(PlayerGameData[[#This Row],[PointTieBreak]],PlayerGameData[PointTieBreak],1)</f>
        <v>216</v>
      </c>
      <c r="AO550" s="8">
        <f ca="1">RANK(PlayerGameData[[#This Row],[REB]],PlayerGameData[REB],0)+PlayerGameData[[#This Row],[VisibleOrder]]</f>
        <v>192</v>
      </c>
      <c r="AP550" s="8">
        <f ca="1">IF(COUNTIF(PlayerGameData[REBOrder],PlayerGameData[[#This Row],[REBOrder]])&gt;1,PlayerGameData[[#This Row],[PointRank]]/100+PlayerGameData[[#This Row],[REBOrder]],PlayerGameData[[#This Row],[REBOrder]])</f>
        <v>194.16</v>
      </c>
      <c r="AQ550" s="8">
        <f ca="1">RANK(PlayerGameData[[#This Row],[REBTieBreak]],PlayerGameData[REBTieBreak],1)</f>
        <v>224</v>
      </c>
      <c r="AR550" s="8">
        <f ca="1">RANK(PlayerGameData[[#This Row],[AST]],PlayerGameData[AST],0)+PlayerGameData[[#This Row],[VisibleOrder]]</f>
        <v>158</v>
      </c>
      <c r="AS550" s="8">
        <f ca="1">IF(COUNTIF(PlayerGameData[ASTOrder],PlayerGameData[[#This Row],[ASTOrder]])&gt;1,PlayerGameData[[#This Row],[PointRank]]/100+PlayerGameData[[#This Row],[ASTOrder]],PlayerGameData[[#This Row],[ASTOrder]])</f>
        <v>160.16</v>
      </c>
      <c r="AT550" s="8">
        <f ca="1">RANK(PlayerGameData[[#This Row],[ASTTieBreak]],PlayerGameData[ASTTieBreak],1)</f>
        <v>221</v>
      </c>
      <c r="AU550" s="8">
        <f ca="1">RANK(PlayerGameData[[#This Row],[STL]],PlayerGameData[STL],0)+PlayerGameData[[#This Row],[VisibleOrder]]</f>
        <v>143</v>
      </c>
      <c r="AV550" s="8">
        <f ca="1">IF(COUNTIF(PlayerGameData[STLOrder],PlayerGameData[[#This Row],[STLOrder]])&gt;1,PlayerGameData[[#This Row],[PointRank]]/100+PlayerGameData[[#This Row],[STLOrder]],PlayerGameData[[#This Row],[STLOrder]])</f>
        <v>145.16</v>
      </c>
      <c r="AW550" s="8">
        <f ca="1">RANK(PlayerGameData[[#This Row],[STLTieBreak]],PlayerGameData[STLTieBreak],1)</f>
        <v>217</v>
      </c>
      <c r="AX550" s="8">
        <f ca="1">RANK(PlayerGameData[[#This Row],[BLK]],PlayerGameData[BLK],0)+PlayerGameData[[#This Row],[VisibleOrder]]</f>
        <v>32</v>
      </c>
      <c r="AY550" s="8">
        <f ca="1">IF(COUNTIF(PlayerGameData[BLKOrder],PlayerGameData[[#This Row],[BLKOrder]])&gt;1,PlayerGameData[[#This Row],[PointRank]]/100+PlayerGameData[[#This Row],[BLKOrder]],PlayerGameData[[#This Row],[BLKOrder]])</f>
        <v>34.159999999999997</v>
      </c>
      <c r="AZ550" s="8">
        <f ca="1">RANK(PlayerGameData[[#This Row],[BLKTieBreak]],PlayerGameData[BLKTieBreak],1)</f>
        <v>216</v>
      </c>
      <c r="BA550" s="11">
        <f ca="1">IFERROR(IF(PlayerGameData[[#This Row],[FGA]]&gt;$AA$5,PlayerGameData[[#This Row],[FG%*]],PlayerGameData[[#This Row],[FG%*]]*-1),-2)</f>
        <v>-2</v>
      </c>
      <c r="BB550" s="8">
        <f ca="1">RANK(PlayerGameData[[#This Row],[EligFG]],PlayerGameData[EligFG],0)+PlayerGameData[[#This Row],[VisibleOrder]]</f>
        <v>215</v>
      </c>
      <c r="BC550" s="8">
        <f ca="1">IF(COUNTIF(PlayerGameData[EligFGOrder],PlayerGameData[[#This Row],[EligFGOrder]])&gt;1,PlayerGameData[[#This Row],[PointRank]]/100+PlayerGameData[[#This Row],[EligFGOrder]],PlayerGameData[[#This Row],[EligFGOrder]])</f>
        <v>217.16</v>
      </c>
      <c r="BD550" s="8">
        <f ca="1">RANK(PlayerGameData[[#This Row],[EligFGTieBreak]],PlayerGameData[EligFGTieBreak],1)</f>
        <v>216</v>
      </c>
      <c r="BE550" s="8" t="str">
        <f>Roster!$D$3</f>
        <v>East</v>
      </c>
      <c r="BF550" s="8" t="str">
        <f>Roster!$D$2</f>
        <v>Northeast</v>
      </c>
      <c r="BG550" s="8" t="str">
        <f>Roster!$D$4</f>
        <v>North</v>
      </c>
      <c r="BH550" s="197">
        <f ca="1">IFERROR(VLOOKUP(CONCATENATE(PlayerGameData[[#This Row],[Opponent]]," ",MONTH(PlayerGameData[[#This Row],[Date]]),"/",DAY(PlayerGameData[[#This Row],[Date]]),"/",YEAR(PlayerGameData[[#This Row],[Date]])),Table35[],2,FALSE),0)</f>
        <v>1</v>
      </c>
      <c r="BI550" s="197">
        <f ca="1">IF(PlayerGameData[[#This Row],[Visible]]=1,1,1000)</f>
        <v>1</v>
      </c>
      <c r="BJ550" s="197" t="e">
        <f ca="1">_xlfn.MAXIFS(TeamGameData[Win],TeamGameData[School, Opponent,Game'#],PlayerGameData[[#This Row],[School, Opponent,Game'#]])</f>
        <v>#NAME?</v>
      </c>
      <c r="BK550" s="197" t="e">
        <f ca="1">_xlfn.MAXIFS(TeamGameData[Loss],TeamGameData[School, Opponent,Game'#],PlayerGameData[[#This Row],[School, Opponent,Game'#]])</f>
        <v>#NAME?</v>
      </c>
    </row>
    <row r="551" spans="1:63" x14ac:dyDescent="0.25">
      <c r="A551" s="8" t="str">
        <f t="shared" ca="1" si="273"/>
        <v xml:space="preserve">, </v>
      </c>
      <c r="B551" s="8" t="str">
        <f>Roster!$B$1</f>
        <v>Upton</v>
      </c>
      <c r="C551" s="8" t="str">
        <f t="shared" ca="1" si="261"/>
        <v>Southeast</v>
      </c>
      <c r="D551" s="10">
        <f t="shared" ca="1" si="262"/>
        <v>44982</v>
      </c>
      <c r="E551" s="8">
        <f t="shared" ca="1" si="263"/>
        <v>0</v>
      </c>
      <c r="F551" s="8">
        <f t="shared" ca="1" si="264"/>
        <v>0</v>
      </c>
      <c r="G551" s="8">
        <f t="shared" ca="1" si="265"/>
        <v>0</v>
      </c>
      <c r="H551" s="8">
        <f t="shared" ca="1" si="266"/>
        <v>0</v>
      </c>
      <c r="I551" s="8">
        <f t="shared" ca="1" si="267"/>
        <v>0</v>
      </c>
      <c r="J551" s="8">
        <f t="shared" ca="1" si="268"/>
        <v>0</v>
      </c>
      <c r="K551" s="8">
        <f t="shared" ca="1" si="269"/>
        <v>0</v>
      </c>
      <c r="L551" s="8">
        <f t="shared" ca="1" si="274"/>
        <v>0</v>
      </c>
      <c r="M551" s="8">
        <f t="shared" ca="1" si="275"/>
        <v>0</v>
      </c>
      <c r="N551" s="8">
        <f t="shared" ca="1" si="276"/>
        <v>0</v>
      </c>
      <c r="O551" s="8">
        <f t="shared" ca="1" si="277"/>
        <v>0</v>
      </c>
      <c r="P551" s="8">
        <f t="shared" ca="1" si="278"/>
        <v>0</v>
      </c>
      <c r="Q551" s="8">
        <f t="shared" ca="1" si="279"/>
        <v>0</v>
      </c>
      <c r="R551" s="8">
        <f t="shared" ca="1" si="280"/>
        <v>0</v>
      </c>
      <c r="S551" s="8">
        <f t="shared" ca="1" si="281"/>
        <v>0</v>
      </c>
      <c r="T551" s="8">
        <f t="shared" ca="1" si="282"/>
        <v>0</v>
      </c>
      <c r="U551" s="8">
        <f t="shared" ca="1" si="283"/>
        <v>0</v>
      </c>
      <c r="V551" s="8">
        <f t="shared" ca="1" si="284"/>
        <v>0</v>
      </c>
      <c r="W551" s="11" t="str">
        <f t="shared" ca="1" si="285"/>
        <v/>
      </c>
      <c r="X551" s="11" t="str">
        <f t="shared" ca="1" si="286"/>
        <v/>
      </c>
      <c r="Y551" s="11" t="str">
        <f t="shared" ca="1" si="287"/>
        <v/>
      </c>
      <c r="Z551" s="11" t="str">
        <f t="shared" ca="1" si="288"/>
        <v/>
      </c>
      <c r="AA551" s="11" t="str">
        <f t="shared" ca="1" si="289"/>
        <v/>
      </c>
      <c r="AB551" s="47">
        <f ca="1">PlayerGameData[[#This Row],[3FGA]]+PlayerGameData[[#This Row],[2FGA]]</f>
        <v>0</v>
      </c>
      <c r="AC551" s="47">
        <f ca="1">PlayerGameData[[#This Row],[OFF REB]]+PlayerGameData[[#This Row],[DEF REB]]</f>
        <v>0</v>
      </c>
      <c r="AD551" s="8">
        <f t="shared" si="270"/>
        <v>23</v>
      </c>
      <c r="AE551" s="8" t="str">
        <f t="shared" ca="1" si="271"/>
        <v>,  - Southeast 2/25/2023</v>
      </c>
      <c r="AF551" s="8" t="str">
        <f t="shared" ca="1" si="290"/>
        <v>R</v>
      </c>
      <c r="AG551" s="8" t="str">
        <f ca="1">IFERROR(IF(C551=0,"",IF(AND(VLOOKUP(PlayerGameData[[#This Row],[Opponent]],WYTeamInfo,2,FALSE)=Roster!$D$1,VLOOKUP(PlayerGameData[[#This Row],[Opponent]],WYTeamInfo,3,FALSE)=Roster!$D$2),"SR","")),"")</f>
        <v/>
      </c>
      <c r="AH551" s="8" t="str">
        <f>CONCATENATE(Roster!$D$1," ",Roster!$D$5)</f>
        <v>1A BB</v>
      </c>
      <c r="AI551" s="8" t="str">
        <f t="shared" ca="1" si="272"/>
        <v>Upton - Southeast 2/25/2023</v>
      </c>
      <c r="AJ551" s="8">
        <f ca="1">IFERROR(VLOOKUP(PlayerGameData[[#This Row],[School, Opponent,Game'#]],Table3[],2,FALSE),0)</f>
        <v>1</v>
      </c>
      <c r="AK551" s="8">
        <f ca="1">IF(PlayerGameData[[#This Row],[Visible]]=1,1,1000)</f>
        <v>1</v>
      </c>
      <c r="AL551" s="8">
        <f ca="1">RANK(PlayerGameData[[#This Row],[TL PTS]],PlayerGameData[TL PTS],0)+PlayerGameData[[#This Row],[VisibleOrder]]</f>
        <v>185</v>
      </c>
      <c r="AM551" s="8">
        <f ca="1">IF(COUNTIF(PlayerGameData[PointOrder],PlayerGameData[[#This Row],[PointOrder]])&gt;1,RANK(PlayerGameData[[#This Row],[FGA]],PlayerGameData[FGA],0)/100,0)+PlayerGameData[[#This Row],[PointOrder]]</f>
        <v>187.14</v>
      </c>
      <c r="AN551" s="8">
        <f ca="1">RANK(PlayerGameData[[#This Row],[PointTieBreak]],PlayerGameData[PointTieBreak],1)</f>
        <v>216</v>
      </c>
      <c r="AO551" s="8">
        <f ca="1">RANK(PlayerGameData[[#This Row],[REB]],PlayerGameData[REB],0)+PlayerGameData[[#This Row],[VisibleOrder]]</f>
        <v>192</v>
      </c>
      <c r="AP551" s="8">
        <f ca="1">IF(COUNTIF(PlayerGameData[REBOrder],PlayerGameData[[#This Row],[REBOrder]])&gt;1,PlayerGameData[[#This Row],[PointRank]]/100+PlayerGameData[[#This Row],[REBOrder]],PlayerGameData[[#This Row],[REBOrder]])</f>
        <v>194.16</v>
      </c>
      <c r="AQ551" s="8">
        <f ca="1">RANK(PlayerGameData[[#This Row],[REBTieBreak]],PlayerGameData[REBTieBreak],1)</f>
        <v>224</v>
      </c>
      <c r="AR551" s="8">
        <f ca="1">RANK(PlayerGameData[[#This Row],[AST]],PlayerGameData[AST],0)+PlayerGameData[[#This Row],[VisibleOrder]]</f>
        <v>158</v>
      </c>
      <c r="AS551" s="8">
        <f ca="1">IF(COUNTIF(PlayerGameData[ASTOrder],PlayerGameData[[#This Row],[ASTOrder]])&gt;1,PlayerGameData[[#This Row],[PointRank]]/100+PlayerGameData[[#This Row],[ASTOrder]],PlayerGameData[[#This Row],[ASTOrder]])</f>
        <v>160.16</v>
      </c>
      <c r="AT551" s="8">
        <f ca="1">RANK(PlayerGameData[[#This Row],[ASTTieBreak]],PlayerGameData[ASTTieBreak],1)</f>
        <v>221</v>
      </c>
      <c r="AU551" s="8">
        <f ca="1">RANK(PlayerGameData[[#This Row],[STL]],PlayerGameData[STL],0)+PlayerGameData[[#This Row],[VisibleOrder]]</f>
        <v>143</v>
      </c>
      <c r="AV551" s="8">
        <f ca="1">IF(COUNTIF(PlayerGameData[STLOrder],PlayerGameData[[#This Row],[STLOrder]])&gt;1,PlayerGameData[[#This Row],[PointRank]]/100+PlayerGameData[[#This Row],[STLOrder]],PlayerGameData[[#This Row],[STLOrder]])</f>
        <v>145.16</v>
      </c>
      <c r="AW551" s="8">
        <f ca="1">RANK(PlayerGameData[[#This Row],[STLTieBreak]],PlayerGameData[STLTieBreak],1)</f>
        <v>217</v>
      </c>
      <c r="AX551" s="8">
        <f ca="1">RANK(PlayerGameData[[#This Row],[BLK]],PlayerGameData[BLK],0)+PlayerGameData[[#This Row],[VisibleOrder]]</f>
        <v>32</v>
      </c>
      <c r="AY551" s="8">
        <f ca="1">IF(COUNTIF(PlayerGameData[BLKOrder],PlayerGameData[[#This Row],[BLKOrder]])&gt;1,PlayerGameData[[#This Row],[PointRank]]/100+PlayerGameData[[#This Row],[BLKOrder]],PlayerGameData[[#This Row],[BLKOrder]])</f>
        <v>34.159999999999997</v>
      </c>
      <c r="AZ551" s="8">
        <f ca="1">RANK(PlayerGameData[[#This Row],[BLKTieBreak]],PlayerGameData[BLKTieBreak],1)</f>
        <v>216</v>
      </c>
      <c r="BA551" s="11">
        <f ca="1">IFERROR(IF(PlayerGameData[[#This Row],[FGA]]&gt;$AA$5,PlayerGameData[[#This Row],[FG%*]],PlayerGameData[[#This Row],[FG%*]]*-1),-2)</f>
        <v>-2</v>
      </c>
      <c r="BB551" s="8">
        <f ca="1">RANK(PlayerGameData[[#This Row],[EligFG]],PlayerGameData[EligFG],0)+PlayerGameData[[#This Row],[VisibleOrder]]</f>
        <v>215</v>
      </c>
      <c r="BC551" s="8">
        <f ca="1">IF(COUNTIF(PlayerGameData[EligFGOrder],PlayerGameData[[#This Row],[EligFGOrder]])&gt;1,PlayerGameData[[#This Row],[PointRank]]/100+PlayerGameData[[#This Row],[EligFGOrder]],PlayerGameData[[#This Row],[EligFGOrder]])</f>
        <v>217.16</v>
      </c>
      <c r="BD551" s="8">
        <f ca="1">RANK(PlayerGameData[[#This Row],[EligFGTieBreak]],PlayerGameData[EligFGTieBreak],1)</f>
        <v>216</v>
      </c>
      <c r="BE551" s="8" t="str">
        <f>Roster!$D$3</f>
        <v>East</v>
      </c>
      <c r="BF551" s="8" t="str">
        <f>Roster!$D$2</f>
        <v>Northeast</v>
      </c>
      <c r="BG551" s="8" t="str">
        <f>Roster!$D$4</f>
        <v>North</v>
      </c>
      <c r="BH551" s="197">
        <f ca="1">IFERROR(VLOOKUP(CONCATENATE(PlayerGameData[[#This Row],[Opponent]]," ",MONTH(PlayerGameData[[#This Row],[Date]]),"/",DAY(PlayerGameData[[#This Row],[Date]]),"/",YEAR(PlayerGameData[[#This Row],[Date]])),Table35[],2,FALSE),0)</f>
        <v>1</v>
      </c>
      <c r="BI551" s="197">
        <f ca="1">IF(PlayerGameData[[#This Row],[Visible]]=1,1,1000)</f>
        <v>1</v>
      </c>
      <c r="BJ551" s="197" t="e">
        <f ca="1">_xlfn.MAXIFS(TeamGameData[Win],TeamGameData[School, Opponent,Game'#],PlayerGameData[[#This Row],[School, Opponent,Game'#]])</f>
        <v>#NAME?</v>
      </c>
      <c r="BK551" s="197" t="e">
        <f ca="1">_xlfn.MAXIFS(TeamGameData[Loss],TeamGameData[School, Opponent,Game'#],PlayerGameData[[#This Row],[School, Opponent,Game'#]])</f>
        <v>#NAME?</v>
      </c>
    </row>
    <row r="552" spans="1:63" x14ac:dyDescent="0.25">
      <c r="A552" s="8" t="str">
        <f t="shared" ca="1" si="273"/>
        <v xml:space="preserve">, </v>
      </c>
      <c r="B552" s="8" t="str">
        <f>Roster!$B$1</f>
        <v>Upton</v>
      </c>
      <c r="C552" s="8" t="str">
        <f t="shared" ca="1" si="261"/>
        <v>Southeast</v>
      </c>
      <c r="D552" s="10">
        <f t="shared" ca="1" si="262"/>
        <v>44982</v>
      </c>
      <c r="E552" s="8">
        <f t="shared" ca="1" si="263"/>
        <v>0</v>
      </c>
      <c r="F552" s="8">
        <f t="shared" ca="1" si="264"/>
        <v>0</v>
      </c>
      <c r="G552" s="8">
        <f t="shared" ca="1" si="265"/>
        <v>0</v>
      </c>
      <c r="H552" s="8">
        <f t="shared" ca="1" si="266"/>
        <v>0</v>
      </c>
      <c r="I552" s="8">
        <f t="shared" ca="1" si="267"/>
        <v>0</v>
      </c>
      <c r="J552" s="8">
        <f t="shared" ca="1" si="268"/>
        <v>0</v>
      </c>
      <c r="K552" s="8">
        <f t="shared" ca="1" si="269"/>
        <v>0</v>
      </c>
      <c r="L552" s="8">
        <f t="shared" ca="1" si="274"/>
        <v>0</v>
      </c>
      <c r="M552" s="8">
        <f t="shared" ca="1" si="275"/>
        <v>0</v>
      </c>
      <c r="N552" s="8">
        <f t="shared" ca="1" si="276"/>
        <v>0</v>
      </c>
      <c r="O552" s="8">
        <f t="shared" ca="1" si="277"/>
        <v>0</v>
      </c>
      <c r="P552" s="8">
        <f t="shared" ca="1" si="278"/>
        <v>0</v>
      </c>
      <c r="Q552" s="8">
        <f t="shared" ca="1" si="279"/>
        <v>0</v>
      </c>
      <c r="R552" s="8">
        <f t="shared" ca="1" si="280"/>
        <v>0</v>
      </c>
      <c r="S552" s="8">
        <f t="shared" ca="1" si="281"/>
        <v>0</v>
      </c>
      <c r="T552" s="8">
        <f t="shared" ca="1" si="282"/>
        <v>0</v>
      </c>
      <c r="U552" s="8">
        <f t="shared" ca="1" si="283"/>
        <v>0</v>
      </c>
      <c r="V552" s="8">
        <f t="shared" ca="1" si="284"/>
        <v>0</v>
      </c>
      <c r="W552" s="11" t="str">
        <f t="shared" ca="1" si="285"/>
        <v/>
      </c>
      <c r="X552" s="11" t="str">
        <f t="shared" ca="1" si="286"/>
        <v/>
      </c>
      <c r="Y552" s="11" t="str">
        <f t="shared" ca="1" si="287"/>
        <v/>
      </c>
      <c r="Z552" s="11" t="str">
        <f t="shared" ca="1" si="288"/>
        <v/>
      </c>
      <c r="AA552" s="11" t="str">
        <f t="shared" ca="1" si="289"/>
        <v/>
      </c>
      <c r="AB552" s="47">
        <f ca="1">PlayerGameData[[#This Row],[3FGA]]+PlayerGameData[[#This Row],[2FGA]]</f>
        <v>0</v>
      </c>
      <c r="AC552" s="47">
        <f ca="1">PlayerGameData[[#This Row],[OFF REB]]+PlayerGameData[[#This Row],[DEF REB]]</f>
        <v>0</v>
      </c>
      <c r="AD552" s="8">
        <f t="shared" si="270"/>
        <v>23</v>
      </c>
      <c r="AE552" s="8" t="str">
        <f t="shared" ca="1" si="271"/>
        <v>,  - Southeast 2/25/2023</v>
      </c>
      <c r="AF552" s="8" t="str">
        <f t="shared" ca="1" si="290"/>
        <v>R</v>
      </c>
      <c r="AG552" s="8" t="str">
        <f ca="1">IFERROR(IF(C552=0,"",IF(AND(VLOOKUP(PlayerGameData[[#This Row],[Opponent]],WYTeamInfo,2,FALSE)=Roster!$D$1,VLOOKUP(PlayerGameData[[#This Row],[Opponent]],WYTeamInfo,3,FALSE)=Roster!$D$2),"SR","")),"")</f>
        <v/>
      </c>
      <c r="AH552" s="8" t="str">
        <f>CONCATENATE(Roster!$D$1," ",Roster!$D$5)</f>
        <v>1A BB</v>
      </c>
      <c r="AI552" s="8" t="str">
        <f t="shared" ca="1" si="272"/>
        <v>Upton - Southeast 2/25/2023</v>
      </c>
      <c r="AJ552" s="8">
        <f ca="1">IFERROR(VLOOKUP(PlayerGameData[[#This Row],[School, Opponent,Game'#]],Table3[],2,FALSE),0)</f>
        <v>1</v>
      </c>
      <c r="AK552" s="8">
        <f ca="1">IF(PlayerGameData[[#This Row],[Visible]]=1,1,1000)</f>
        <v>1</v>
      </c>
      <c r="AL552" s="8">
        <f ca="1">RANK(PlayerGameData[[#This Row],[TL PTS]],PlayerGameData[TL PTS],0)+PlayerGameData[[#This Row],[VisibleOrder]]</f>
        <v>185</v>
      </c>
      <c r="AM552" s="8">
        <f ca="1">IF(COUNTIF(PlayerGameData[PointOrder],PlayerGameData[[#This Row],[PointOrder]])&gt;1,RANK(PlayerGameData[[#This Row],[FGA]],PlayerGameData[FGA],0)/100,0)+PlayerGameData[[#This Row],[PointOrder]]</f>
        <v>187.14</v>
      </c>
      <c r="AN552" s="8">
        <f ca="1">RANK(PlayerGameData[[#This Row],[PointTieBreak]],PlayerGameData[PointTieBreak],1)</f>
        <v>216</v>
      </c>
      <c r="AO552" s="8">
        <f ca="1">RANK(PlayerGameData[[#This Row],[REB]],PlayerGameData[REB],0)+PlayerGameData[[#This Row],[VisibleOrder]]</f>
        <v>192</v>
      </c>
      <c r="AP552" s="8">
        <f ca="1">IF(COUNTIF(PlayerGameData[REBOrder],PlayerGameData[[#This Row],[REBOrder]])&gt;1,PlayerGameData[[#This Row],[PointRank]]/100+PlayerGameData[[#This Row],[REBOrder]],PlayerGameData[[#This Row],[REBOrder]])</f>
        <v>194.16</v>
      </c>
      <c r="AQ552" s="8">
        <f ca="1">RANK(PlayerGameData[[#This Row],[REBTieBreak]],PlayerGameData[REBTieBreak],1)</f>
        <v>224</v>
      </c>
      <c r="AR552" s="8">
        <f ca="1">RANK(PlayerGameData[[#This Row],[AST]],PlayerGameData[AST],0)+PlayerGameData[[#This Row],[VisibleOrder]]</f>
        <v>158</v>
      </c>
      <c r="AS552" s="8">
        <f ca="1">IF(COUNTIF(PlayerGameData[ASTOrder],PlayerGameData[[#This Row],[ASTOrder]])&gt;1,PlayerGameData[[#This Row],[PointRank]]/100+PlayerGameData[[#This Row],[ASTOrder]],PlayerGameData[[#This Row],[ASTOrder]])</f>
        <v>160.16</v>
      </c>
      <c r="AT552" s="8">
        <f ca="1">RANK(PlayerGameData[[#This Row],[ASTTieBreak]],PlayerGameData[ASTTieBreak],1)</f>
        <v>221</v>
      </c>
      <c r="AU552" s="8">
        <f ca="1">RANK(PlayerGameData[[#This Row],[STL]],PlayerGameData[STL],0)+PlayerGameData[[#This Row],[VisibleOrder]]</f>
        <v>143</v>
      </c>
      <c r="AV552" s="8">
        <f ca="1">IF(COUNTIF(PlayerGameData[STLOrder],PlayerGameData[[#This Row],[STLOrder]])&gt;1,PlayerGameData[[#This Row],[PointRank]]/100+PlayerGameData[[#This Row],[STLOrder]],PlayerGameData[[#This Row],[STLOrder]])</f>
        <v>145.16</v>
      </c>
      <c r="AW552" s="8">
        <f ca="1">RANK(PlayerGameData[[#This Row],[STLTieBreak]],PlayerGameData[STLTieBreak],1)</f>
        <v>217</v>
      </c>
      <c r="AX552" s="8">
        <f ca="1">RANK(PlayerGameData[[#This Row],[BLK]],PlayerGameData[BLK],0)+PlayerGameData[[#This Row],[VisibleOrder]]</f>
        <v>32</v>
      </c>
      <c r="AY552" s="8">
        <f ca="1">IF(COUNTIF(PlayerGameData[BLKOrder],PlayerGameData[[#This Row],[BLKOrder]])&gt;1,PlayerGameData[[#This Row],[PointRank]]/100+PlayerGameData[[#This Row],[BLKOrder]],PlayerGameData[[#This Row],[BLKOrder]])</f>
        <v>34.159999999999997</v>
      </c>
      <c r="AZ552" s="8">
        <f ca="1">RANK(PlayerGameData[[#This Row],[BLKTieBreak]],PlayerGameData[BLKTieBreak],1)</f>
        <v>216</v>
      </c>
      <c r="BA552" s="11">
        <f ca="1">IFERROR(IF(PlayerGameData[[#This Row],[FGA]]&gt;$AA$5,PlayerGameData[[#This Row],[FG%*]],PlayerGameData[[#This Row],[FG%*]]*-1),-2)</f>
        <v>-2</v>
      </c>
      <c r="BB552" s="8">
        <f ca="1">RANK(PlayerGameData[[#This Row],[EligFG]],PlayerGameData[EligFG],0)+PlayerGameData[[#This Row],[VisibleOrder]]</f>
        <v>215</v>
      </c>
      <c r="BC552" s="8">
        <f ca="1">IF(COUNTIF(PlayerGameData[EligFGOrder],PlayerGameData[[#This Row],[EligFGOrder]])&gt;1,PlayerGameData[[#This Row],[PointRank]]/100+PlayerGameData[[#This Row],[EligFGOrder]],PlayerGameData[[#This Row],[EligFGOrder]])</f>
        <v>217.16</v>
      </c>
      <c r="BD552" s="8">
        <f ca="1">RANK(PlayerGameData[[#This Row],[EligFGTieBreak]],PlayerGameData[EligFGTieBreak],1)</f>
        <v>216</v>
      </c>
      <c r="BE552" s="8" t="str">
        <f>Roster!$D$3</f>
        <v>East</v>
      </c>
      <c r="BF552" s="8" t="str">
        <f>Roster!$D$2</f>
        <v>Northeast</v>
      </c>
      <c r="BG552" s="8" t="str">
        <f>Roster!$D$4</f>
        <v>North</v>
      </c>
      <c r="BH552" s="197">
        <f ca="1">IFERROR(VLOOKUP(CONCATENATE(PlayerGameData[[#This Row],[Opponent]]," ",MONTH(PlayerGameData[[#This Row],[Date]]),"/",DAY(PlayerGameData[[#This Row],[Date]]),"/",YEAR(PlayerGameData[[#This Row],[Date]])),Table35[],2,FALSE),0)</f>
        <v>1</v>
      </c>
      <c r="BI552" s="197">
        <f ca="1">IF(PlayerGameData[[#This Row],[Visible]]=1,1,1000)</f>
        <v>1</v>
      </c>
      <c r="BJ552" s="197" t="e">
        <f ca="1">_xlfn.MAXIFS(TeamGameData[Win],TeamGameData[School, Opponent,Game'#],PlayerGameData[[#This Row],[School, Opponent,Game'#]])</f>
        <v>#NAME?</v>
      </c>
      <c r="BK552" s="197" t="e">
        <f ca="1">_xlfn.MAXIFS(TeamGameData[Loss],TeamGameData[School, Opponent,Game'#],PlayerGameData[[#This Row],[School, Opponent,Game'#]])</f>
        <v>#NAME?</v>
      </c>
    </row>
    <row r="553" spans="1:63" x14ac:dyDescent="0.25">
      <c r="A553" s="8" t="str">
        <f t="shared" ca="1" si="273"/>
        <v xml:space="preserve">, </v>
      </c>
      <c r="B553" s="8" t="str">
        <f>Roster!$B$1</f>
        <v>Upton</v>
      </c>
      <c r="C553" s="8" t="str">
        <f t="shared" ca="1" si="261"/>
        <v>Southeast</v>
      </c>
      <c r="D553" s="10">
        <f t="shared" ca="1" si="262"/>
        <v>44982</v>
      </c>
      <c r="E553" s="8">
        <f t="shared" ca="1" si="263"/>
        <v>0</v>
      </c>
      <c r="F553" s="8">
        <f t="shared" ca="1" si="264"/>
        <v>0</v>
      </c>
      <c r="G553" s="8">
        <f t="shared" ca="1" si="265"/>
        <v>0</v>
      </c>
      <c r="H553" s="8">
        <f t="shared" ca="1" si="266"/>
        <v>0</v>
      </c>
      <c r="I553" s="8">
        <f t="shared" ca="1" si="267"/>
        <v>0</v>
      </c>
      <c r="J553" s="8">
        <f t="shared" ca="1" si="268"/>
        <v>0</v>
      </c>
      <c r="K553" s="8">
        <f t="shared" ca="1" si="269"/>
        <v>0</v>
      </c>
      <c r="L553" s="8">
        <f t="shared" ca="1" si="274"/>
        <v>0</v>
      </c>
      <c r="M553" s="8">
        <f t="shared" ca="1" si="275"/>
        <v>0</v>
      </c>
      <c r="N553" s="8">
        <f t="shared" ca="1" si="276"/>
        <v>0</v>
      </c>
      <c r="O553" s="8">
        <f t="shared" ca="1" si="277"/>
        <v>0</v>
      </c>
      <c r="P553" s="8">
        <f t="shared" ca="1" si="278"/>
        <v>0</v>
      </c>
      <c r="Q553" s="8">
        <f t="shared" ca="1" si="279"/>
        <v>0</v>
      </c>
      <c r="R553" s="8">
        <f t="shared" ca="1" si="280"/>
        <v>0</v>
      </c>
      <c r="S553" s="8">
        <f t="shared" ca="1" si="281"/>
        <v>0</v>
      </c>
      <c r="T553" s="8">
        <f t="shared" ca="1" si="282"/>
        <v>0</v>
      </c>
      <c r="U553" s="8">
        <f t="shared" ca="1" si="283"/>
        <v>0</v>
      </c>
      <c r="V553" s="8">
        <f t="shared" ca="1" si="284"/>
        <v>0</v>
      </c>
      <c r="W553" s="11" t="str">
        <f t="shared" ca="1" si="285"/>
        <v/>
      </c>
      <c r="X553" s="11" t="str">
        <f t="shared" ca="1" si="286"/>
        <v/>
      </c>
      <c r="Y553" s="11" t="str">
        <f t="shared" ca="1" si="287"/>
        <v/>
      </c>
      <c r="Z553" s="11" t="str">
        <f t="shared" ca="1" si="288"/>
        <v/>
      </c>
      <c r="AA553" s="11" t="str">
        <f t="shared" ca="1" si="289"/>
        <v/>
      </c>
      <c r="AB553" s="47">
        <f ca="1">PlayerGameData[[#This Row],[3FGA]]+PlayerGameData[[#This Row],[2FGA]]</f>
        <v>0</v>
      </c>
      <c r="AC553" s="47">
        <f ca="1">PlayerGameData[[#This Row],[OFF REB]]+PlayerGameData[[#This Row],[DEF REB]]</f>
        <v>0</v>
      </c>
      <c r="AD553" s="8">
        <f t="shared" si="270"/>
        <v>23</v>
      </c>
      <c r="AE553" s="8" t="str">
        <f t="shared" ca="1" si="271"/>
        <v>,  - Southeast 2/25/2023</v>
      </c>
      <c r="AF553" s="8" t="str">
        <f t="shared" ca="1" si="290"/>
        <v>R</v>
      </c>
      <c r="AG553" s="8" t="str">
        <f ca="1">IFERROR(IF(C553=0,"",IF(AND(VLOOKUP(PlayerGameData[[#This Row],[Opponent]],WYTeamInfo,2,FALSE)=Roster!$D$1,VLOOKUP(PlayerGameData[[#This Row],[Opponent]],WYTeamInfo,3,FALSE)=Roster!$D$2),"SR","")),"")</f>
        <v/>
      </c>
      <c r="AH553" s="8" t="str">
        <f>CONCATENATE(Roster!$D$1," ",Roster!$D$5)</f>
        <v>1A BB</v>
      </c>
      <c r="AI553" s="8" t="str">
        <f t="shared" ca="1" si="272"/>
        <v>Upton - Southeast 2/25/2023</v>
      </c>
      <c r="AJ553" s="8">
        <f ca="1">IFERROR(VLOOKUP(PlayerGameData[[#This Row],[School, Opponent,Game'#]],Table3[],2,FALSE),0)</f>
        <v>1</v>
      </c>
      <c r="AK553" s="8">
        <f ca="1">IF(PlayerGameData[[#This Row],[Visible]]=1,1,1000)</f>
        <v>1</v>
      </c>
      <c r="AL553" s="8">
        <f ca="1">RANK(PlayerGameData[[#This Row],[TL PTS]],PlayerGameData[TL PTS],0)+PlayerGameData[[#This Row],[VisibleOrder]]</f>
        <v>185</v>
      </c>
      <c r="AM553" s="8">
        <f ca="1">IF(COUNTIF(PlayerGameData[PointOrder],PlayerGameData[[#This Row],[PointOrder]])&gt;1,RANK(PlayerGameData[[#This Row],[FGA]],PlayerGameData[FGA],0)/100,0)+PlayerGameData[[#This Row],[PointOrder]]</f>
        <v>187.14</v>
      </c>
      <c r="AN553" s="8">
        <f ca="1">RANK(PlayerGameData[[#This Row],[PointTieBreak]],PlayerGameData[PointTieBreak],1)</f>
        <v>216</v>
      </c>
      <c r="AO553" s="8">
        <f ca="1">RANK(PlayerGameData[[#This Row],[REB]],PlayerGameData[REB],0)+PlayerGameData[[#This Row],[VisibleOrder]]</f>
        <v>192</v>
      </c>
      <c r="AP553" s="8">
        <f ca="1">IF(COUNTIF(PlayerGameData[REBOrder],PlayerGameData[[#This Row],[REBOrder]])&gt;1,PlayerGameData[[#This Row],[PointRank]]/100+PlayerGameData[[#This Row],[REBOrder]],PlayerGameData[[#This Row],[REBOrder]])</f>
        <v>194.16</v>
      </c>
      <c r="AQ553" s="8">
        <f ca="1">RANK(PlayerGameData[[#This Row],[REBTieBreak]],PlayerGameData[REBTieBreak],1)</f>
        <v>224</v>
      </c>
      <c r="AR553" s="8">
        <f ca="1">RANK(PlayerGameData[[#This Row],[AST]],PlayerGameData[AST],0)+PlayerGameData[[#This Row],[VisibleOrder]]</f>
        <v>158</v>
      </c>
      <c r="AS553" s="8">
        <f ca="1">IF(COUNTIF(PlayerGameData[ASTOrder],PlayerGameData[[#This Row],[ASTOrder]])&gt;1,PlayerGameData[[#This Row],[PointRank]]/100+PlayerGameData[[#This Row],[ASTOrder]],PlayerGameData[[#This Row],[ASTOrder]])</f>
        <v>160.16</v>
      </c>
      <c r="AT553" s="8">
        <f ca="1">RANK(PlayerGameData[[#This Row],[ASTTieBreak]],PlayerGameData[ASTTieBreak],1)</f>
        <v>221</v>
      </c>
      <c r="AU553" s="8">
        <f ca="1">RANK(PlayerGameData[[#This Row],[STL]],PlayerGameData[STL],0)+PlayerGameData[[#This Row],[VisibleOrder]]</f>
        <v>143</v>
      </c>
      <c r="AV553" s="8">
        <f ca="1">IF(COUNTIF(PlayerGameData[STLOrder],PlayerGameData[[#This Row],[STLOrder]])&gt;1,PlayerGameData[[#This Row],[PointRank]]/100+PlayerGameData[[#This Row],[STLOrder]],PlayerGameData[[#This Row],[STLOrder]])</f>
        <v>145.16</v>
      </c>
      <c r="AW553" s="8">
        <f ca="1">RANK(PlayerGameData[[#This Row],[STLTieBreak]],PlayerGameData[STLTieBreak],1)</f>
        <v>217</v>
      </c>
      <c r="AX553" s="8">
        <f ca="1">RANK(PlayerGameData[[#This Row],[BLK]],PlayerGameData[BLK],0)+PlayerGameData[[#This Row],[VisibleOrder]]</f>
        <v>32</v>
      </c>
      <c r="AY553" s="8">
        <f ca="1">IF(COUNTIF(PlayerGameData[BLKOrder],PlayerGameData[[#This Row],[BLKOrder]])&gt;1,PlayerGameData[[#This Row],[PointRank]]/100+PlayerGameData[[#This Row],[BLKOrder]],PlayerGameData[[#This Row],[BLKOrder]])</f>
        <v>34.159999999999997</v>
      </c>
      <c r="AZ553" s="8">
        <f ca="1">RANK(PlayerGameData[[#This Row],[BLKTieBreak]],PlayerGameData[BLKTieBreak],1)</f>
        <v>216</v>
      </c>
      <c r="BA553" s="11">
        <f ca="1">IFERROR(IF(PlayerGameData[[#This Row],[FGA]]&gt;$AA$5,PlayerGameData[[#This Row],[FG%*]],PlayerGameData[[#This Row],[FG%*]]*-1),-2)</f>
        <v>-2</v>
      </c>
      <c r="BB553" s="8">
        <f ca="1">RANK(PlayerGameData[[#This Row],[EligFG]],PlayerGameData[EligFG],0)+PlayerGameData[[#This Row],[VisibleOrder]]</f>
        <v>215</v>
      </c>
      <c r="BC553" s="8">
        <f ca="1">IF(COUNTIF(PlayerGameData[EligFGOrder],PlayerGameData[[#This Row],[EligFGOrder]])&gt;1,PlayerGameData[[#This Row],[PointRank]]/100+PlayerGameData[[#This Row],[EligFGOrder]],PlayerGameData[[#This Row],[EligFGOrder]])</f>
        <v>217.16</v>
      </c>
      <c r="BD553" s="8">
        <f ca="1">RANK(PlayerGameData[[#This Row],[EligFGTieBreak]],PlayerGameData[EligFGTieBreak],1)</f>
        <v>216</v>
      </c>
      <c r="BE553" s="8" t="str">
        <f>Roster!$D$3</f>
        <v>East</v>
      </c>
      <c r="BF553" s="8" t="str">
        <f>Roster!$D$2</f>
        <v>Northeast</v>
      </c>
      <c r="BG553" s="8" t="str">
        <f>Roster!$D$4</f>
        <v>North</v>
      </c>
      <c r="BH553" s="197">
        <f ca="1">IFERROR(VLOOKUP(CONCATENATE(PlayerGameData[[#This Row],[Opponent]]," ",MONTH(PlayerGameData[[#This Row],[Date]]),"/",DAY(PlayerGameData[[#This Row],[Date]]),"/",YEAR(PlayerGameData[[#This Row],[Date]])),Table35[],2,FALSE),0)</f>
        <v>1</v>
      </c>
      <c r="BI553" s="197">
        <f ca="1">IF(PlayerGameData[[#This Row],[Visible]]=1,1,1000)</f>
        <v>1</v>
      </c>
      <c r="BJ553" s="197" t="e">
        <f ca="1">_xlfn.MAXIFS(TeamGameData[Win],TeamGameData[School, Opponent,Game'#],PlayerGameData[[#This Row],[School, Opponent,Game'#]])</f>
        <v>#NAME?</v>
      </c>
      <c r="BK553" s="197" t="e">
        <f ca="1">_xlfn.MAXIFS(TeamGameData[Loss],TeamGameData[School, Opponent,Game'#],PlayerGameData[[#This Row],[School, Opponent,Game'#]])</f>
        <v>#NAME?</v>
      </c>
    </row>
    <row r="554" spans="1:63" x14ac:dyDescent="0.25">
      <c r="A554" s="8" t="str">
        <f t="shared" ca="1" si="273"/>
        <v xml:space="preserve">, </v>
      </c>
      <c r="B554" s="8" t="str">
        <f>Roster!$B$1</f>
        <v>Upton</v>
      </c>
      <c r="C554" s="8" t="str">
        <f t="shared" ca="1" si="261"/>
        <v>Southeast</v>
      </c>
      <c r="D554" s="10">
        <f t="shared" ca="1" si="262"/>
        <v>44982</v>
      </c>
      <c r="E554" s="8">
        <f t="shared" ca="1" si="263"/>
        <v>0</v>
      </c>
      <c r="F554" s="8">
        <f t="shared" ca="1" si="264"/>
        <v>0</v>
      </c>
      <c r="G554" s="8">
        <f t="shared" ca="1" si="265"/>
        <v>0</v>
      </c>
      <c r="H554" s="8">
        <f t="shared" ca="1" si="266"/>
        <v>0</v>
      </c>
      <c r="I554" s="8">
        <f t="shared" ca="1" si="267"/>
        <v>0</v>
      </c>
      <c r="J554" s="8">
        <f t="shared" ca="1" si="268"/>
        <v>0</v>
      </c>
      <c r="K554" s="8">
        <f t="shared" ca="1" si="269"/>
        <v>0</v>
      </c>
      <c r="L554" s="8">
        <f t="shared" ca="1" si="274"/>
        <v>0</v>
      </c>
      <c r="M554" s="8">
        <f t="shared" ca="1" si="275"/>
        <v>0</v>
      </c>
      <c r="N554" s="8">
        <f t="shared" ca="1" si="276"/>
        <v>0</v>
      </c>
      <c r="O554" s="8">
        <f t="shared" ca="1" si="277"/>
        <v>0</v>
      </c>
      <c r="P554" s="8">
        <f t="shared" ca="1" si="278"/>
        <v>0</v>
      </c>
      <c r="Q554" s="8">
        <f t="shared" ca="1" si="279"/>
        <v>0</v>
      </c>
      <c r="R554" s="8">
        <f t="shared" ca="1" si="280"/>
        <v>0</v>
      </c>
      <c r="S554" s="8">
        <f t="shared" ca="1" si="281"/>
        <v>0</v>
      </c>
      <c r="T554" s="8">
        <f t="shared" ca="1" si="282"/>
        <v>0</v>
      </c>
      <c r="U554" s="8">
        <f t="shared" ca="1" si="283"/>
        <v>0</v>
      </c>
      <c r="V554" s="8">
        <f t="shared" ca="1" si="284"/>
        <v>0</v>
      </c>
      <c r="W554" s="11" t="str">
        <f t="shared" ca="1" si="285"/>
        <v/>
      </c>
      <c r="X554" s="11" t="str">
        <f t="shared" ca="1" si="286"/>
        <v/>
      </c>
      <c r="Y554" s="11" t="str">
        <f t="shared" ca="1" si="287"/>
        <v/>
      </c>
      <c r="Z554" s="11" t="str">
        <f t="shared" ca="1" si="288"/>
        <v/>
      </c>
      <c r="AA554" s="11" t="str">
        <f t="shared" ca="1" si="289"/>
        <v/>
      </c>
      <c r="AB554" s="47">
        <f ca="1">PlayerGameData[[#This Row],[3FGA]]+PlayerGameData[[#This Row],[2FGA]]</f>
        <v>0</v>
      </c>
      <c r="AC554" s="47">
        <f ca="1">PlayerGameData[[#This Row],[OFF REB]]+PlayerGameData[[#This Row],[DEF REB]]</f>
        <v>0</v>
      </c>
      <c r="AD554" s="8">
        <f t="shared" si="270"/>
        <v>23</v>
      </c>
      <c r="AE554" s="8" t="str">
        <f t="shared" ca="1" si="271"/>
        <v>,  - Southeast 2/25/2023</v>
      </c>
      <c r="AF554" s="8" t="str">
        <f t="shared" ca="1" si="290"/>
        <v>R</v>
      </c>
      <c r="AG554" s="8" t="str">
        <f ca="1">IFERROR(IF(C554=0,"",IF(AND(VLOOKUP(PlayerGameData[[#This Row],[Opponent]],WYTeamInfo,2,FALSE)=Roster!$D$1,VLOOKUP(PlayerGameData[[#This Row],[Opponent]],WYTeamInfo,3,FALSE)=Roster!$D$2),"SR","")),"")</f>
        <v/>
      </c>
      <c r="AH554" s="8" t="str">
        <f>CONCATENATE(Roster!$D$1," ",Roster!$D$5)</f>
        <v>1A BB</v>
      </c>
      <c r="AI554" s="8" t="str">
        <f t="shared" ca="1" si="272"/>
        <v>Upton - Southeast 2/25/2023</v>
      </c>
      <c r="AJ554" s="8">
        <f ca="1">IFERROR(VLOOKUP(PlayerGameData[[#This Row],[School, Opponent,Game'#]],Table3[],2,FALSE),0)</f>
        <v>1</v>
      </c>
      <c r="AK554" s="8">
        <f ca="1">IF(PlayerGameData[[#This Row],[Visible]]=1,1,1000)</f>
        <v>1</v>
      </c>
      <c r="AL554" s="8">
        <f ca="1">RANK(PlayerGameData[[#This Row],[TL PTS]],PlayerGameData[TL PTS],0)+PlayerGameData[[#This Row],[VisibleOrder]]</f>
        <v>185</v>
      </c>
      <c r="AM554" s="8">
        <f ca="1">IF(COUNTIF(PlayerGameData[PointOrder],PlayerGameData[[#This Row],[PointOrder]])&gt;1,RANK(PlayerGameData[[#This Row],[FGA]],PlayerGameData[FGA],0)/100,0)+PlayerGameData[[#This Row],[PointOrder]]</f>
        <v>187.14</v>
      </c>
      <c r="AN554" s="8">
        <f ca="1">RANK(PlayerGameData[[#This Row],[PointTieBreak]],PlayerGameData[PointTieBreak],1)</f>
        <v>216</v>
      </c>
      <c r="AO554" s="8">
        <f ca="1">RANK(PlayerGameData[[#This Row],[REB]],PlayerGameData[REB],0)+PlayerGameData[[#This Row],[VisibleOrder]]</f>
        <v>192</v>
      </c>
      <c r="AP554" s="8">
        <f ca="1">IF(COUNTIF(PlayerGameData[REBOrder],PlayerGameData[[#This Row],[REBOrder]])&gt;1,PlayerGameData[[#This Row],[PointRank]]/100+PlayerGameData[[#This Row],[REBOrder]],PlayerGameData[[#This Row],[REBOrder]])</f>
        <v>194.16</v>
      </c>
      <c r="AQ554" s="8">
        <f ca="1">RANK(PlayerGameData[[#This Row],[REBTieBreak]],PlayerGameData[REBTieBreak],1)</f>
        <v>224</v>
      </c>
      <c r="AR554" s="8">
        <f ca="1">RANK(PlayerGameData[[#This Row],[AST]],PlayerGameData[AST],0)+PlayerGameData[[#This Row],[VisibleOrder]]</f>
        <v>158</v>
      </c>
      <c r="AS554" s="8">
        <f ca="1">IF(COUNTIF(PlayerGameData[ASTOrder],PlayerGameData[[#This Row],[ASTOrder]])&gt;1,PlayerGameData[[#This Row],[PointRank]]/100+PlayerGameData[[#This Row],[ASTOrder]],PlayerGameData[[#This Row],[ASTOrder]])</f>
        <v>160.16</v>
      </c>
      <c r="AT554" s="8">
        <f ca="1">RANK(PlayerGameData[[#This Row],[ASTTieBreak]],PlayerGameData[ASTTieBreak],1)</f>
        <v>221</v>
      </c>
      <c r="AU554" s="8">
        <f ca="1">RANK(PlayerGameData[[#This Row],[STL]],PlayerGameData[STL],0)+PlayerGameData[[#This Row],[VisibleOrder]]</f>
        <v>143</v>
      </c>
      <c r="AV554" s="8">
        <f ca="1">IF(COUNTIF(PlayerGameData[STLOrder],PlayerGameData[[#This Row],[STLOrder]])&gt;1,PlayerGameData[[#This Row],[PointRank]]/100+PlayerGameData[[#This Row],[STLOrder]],PlayerGameData[[#This Row],[STLOrder]])</f>
        <v>145.16</v>
      </c>
      <c r="AW554" s="8">
        <f ca="1">RANK(PlayerGameData[[#This Row],[STLTieBreak]],PlayerGameData[STLTieBreak],1)</f>
        <v>217</v>
      </c>
      <c r="AX554" s="8">
        <f ca="1">RANK(PlayerGameData[[#This Row],[BLK]],PlayerGameData[BLK],0)+PlayerGameData[[#This Row],[VisibleOrder]]</f>
        <v>32</v>
      </c>
      <c r="AY554" s="8">
        <f ca="1">IF(COUNTIF(PlayerGameData[BLKOrder],PlayerGameData[[#This Row],[BLKOrder]])&gt;1,PlayerGameData[[#This Row],[PointRank]]/100+PlayerGameData[[#This Row],[BLKOrder]],PlayerGameData[[#This Row],[BLKOrder]])</f>
        <v>34.159999999999997</v>
      </c>
      <c r="AZ554" s="8">
        <f ca="1">RANK(PlayerGameData[[#This Row],[BLKTieBreak]],PlayerGameData[BLKTieBreak],1)</f>
        <v>216</v>
      </c>
      <c r="BA554" s="11">
        <f ca="1">IFERROR(IF(PlayerGameData[[#This Row],[FGA]]&gt;$AA$5,PlayerGameData[[#This Row],[FG%*]],PlayerGameData[[#This Row],[FG%*]]*-1),-2)</f>
        <v>-2</v>
      </c>
      <c r="BB554" s="8">
        <f ca="1">RANK(PlayerGameData[[#This Row],[EligFG]],PlayerGameData[EligFG],0)+PlayerGameData[[#This Row],[VisibleOrder]]</f>
        <v>215</v>
      </c>
      <c r="BC554" s="8">
        <f ca="1">IF(COUNTIF(PlayerGameData[EligFGOrder],PlayerGameData[[#This Row],[EligFGOrder]])&gt;1,PlayerGameData[[#This Row],[PointRank]]/100+PlayerGameData[[#This Row],[EligFGOrder]],PlayerGameData[[#This Row],[EligFGOrder]])</f>
        <v>217.16</v>
      </c>
      <c r="BD554" s="8">
        <f ca="1">RANK(PlayerGameData[[#This Row],[EligFGTieBreak]],PlayerGameData[EligFGTieBreak],1)</f>
        <v>216</v>
      </c>
      <c r="BE554" s="8" t="str">
        <f>Roster!$D$3</f>
        <v>East</v>
      </c>
      <c r="BF554" s="8" t="str">
        <f>Roster!$D$2</f>
        <v>Northeast</v>
      </c>
      <c r="BG554" s="8" t="str">
        <f>Roster!$D$4</f>
        <v>North</v>
      </c>
      <c r="BH554" s="197">
        <f ca="1">IFERROR(VLOOKUP(CONCATENATE(PlayerGameData[[#This Row],[Opponent]]," ",MONTH(PlayerGameData[[#This Row],[Date]]),"/",DAY(PlayerGameData[[#This Row],[Date]]),"/",YEAR(PlayerGameData[[#This Row],[Date]])),Table35[],2,FALSE),0)</f>
        <v>1</v>
      </c>
      <c r="BI554" s="197">
        <f ca="1">IF(PlayerGameData[[#This Row],[Visible]]=1,1,1000)</f>
        <v>1</v>
      </c>
      <c r="BJ554" s="197" t="e">
        <f ca="1">_xlfn.MAXIFS(TeamGameData[Win],TeamGameData[School, Opponent,Game'#],PlayerGameData[[#This Row],[School, Opponent,Game'#]])</f>
        <v>#NAME?</v>
      </c>
      <c r="BK554" s="197" t="e">
        <f ca="1">_xlfn.MAXIFS(TeamGameData[Loss],TeamGameData[School, Opponent,Game'#],PlayerGameData[[#This Row],[School, Opponent,Game'#]])</f>
        <v>#NAME?</v>
      </c>
    </row>
    <row r="555" spans="1:63" x14ac:dyDescent="0.25">
      <c r="A555" s="8" t="str">
        <f t="shared" ca="1" si="273"/>
        <v xml:space="preserve">, </v>
      </c>
      <c r="B555" s="8" t="str">
        <f>Roster!$B$1</f>
        <v>Upton</v>
      </c>
      <c r="C555" s="8" t="str">
        <f t="shared" ca="1" si="261"/>
        <v>Southeast</v>
      </c>
      <c r="D555" s="10">
        <f t="shared" ca="1" si="262"/>
        <v>44982</v>
      </c>
      <c r="E555" s="8">
        <f t="shared" ca="1" si="263"/>
        <v>0</v>
      </c>
      <c r="F555" s="8">
        <f t="shared" ca="1" si="264"/>
        <v>0</v>
      </c>
      <c r="G555" s="8">
        <f t="shared" ca="1" si="265"/>
        <v>0</v>
      </c>
      <c r="H555" s="8">
        <f t="shared" ca="1" si="266"/>
        <v>0</v>
      </c>
      <c r="I555" s="8">
        <f t="shared" ca="1" si="267"/>
        <v>0</v>
      </c>
      <c r="J555" s="8">
        <f t="shared" ca="1" si="268"/>
        <v>0</v>
      </c>
      <c r="K555" s="8">
        <f t="shared" ca="1" si="269"/>
        <v>0</v>
      </c>
      <c r="L555" s="8">
        <f t="shared" ca="1" si="274"/>
        <v>0</v>
      </c>
      <c r="M555" s="8">
        <f t="shared" ca="1" si="275"/>
        <v>0</v>
      </c>
      <c r="N555" s="8">
        <f t="shared" ca="1" si="276"/>
        <v>0</v>
      </c>
      <c r="O555" s="8">
        <f t="shared" ca="1" si="277"/>
        <v>0</v>
      </c>
      <c r="P555" s="8">
        <f t="shared" ca="1" si="278"/>
        <v>0</v>
      </c>
      <c r="Q555" s="8">
        <f t="shared" ca="1" si="279"/>
        <v>0</v>
      </c>
      <c r="R555" s="8">
        <f t="shared" ca="1" si="280"/>
        <v>0</v>
      </c>
      <c r="S555" s="8">
        <f t="shared" ca="1" si="281"/>
        <v>0</v>
      </c>
      <c r="T555" s="8">
        <f t="shared" ca="1" si="282"/>
        <v>0</v>
      </c>
      <c r="U555" s="8">
        <f t="shared" ca="1" si="283"/>
        <v>0</v>
      </c>
      <c r="V555" s="8">
        <f t="shared" ca="1" si="284"/>
        <v>0</v>
      </c>
      <c r="W555" s="11" t="str">
        <f t="shared" ca="1" si="285"/>
        <v/>
      </c>
      <c r="X555" s="11" t="str">
        <f t="shared" ca="1" si="286"/>
        <v/>
      </c>
      <c r="Y555" s="11" t="str">
        <f t="shared" ca="1" si="287"/>
        <v/>
      </c>
      <c r="Z555" s="11" t="str">
        <f t="shared" ca="1" si="288"/>
        <v/>
      </c>
      <c r="AA555" s="11" t="str">
        <f t="shared" ca="1" si="289"/>
        <v/>
      </c>
      <c r="AB555" s="47">
        <f ca="1">PlayerGameData[[#This Row],[3FGA]]+PlayerGameData[[#This Row],[2FGA]]</f>
        <v>0</v>
      </c>
      <c r="AC555" s="47">
        <f ca="1">PlayerGameData[[#This Row],[OFF REB]]+PlayerGameData[[#This Row],[DEF REB]]</f>
        <v>0</v>
      </c>
      <c r="AD555" s="8">
        <f t="shared" si="270"/>
        <v>23</v>
      </c>
      <c r="AE555" s="8" t="str">
        <f t="shared" ca="1" si="271"/>
        <v>,  - Southeast 2/25/2023</v>
      </c>
      <c r="AF555" s="8" t="str">
        <f t="shared" ca="1" si="290"/>
        <v>R</v>
      </c>
      <c r="AG555" s="8" t="str">
        <f ca="1">IFERROR(IF(C555=0,"",IF(AND(VLOOKUP(PlayerGameData[[#This Row],[Opponent]],WYTeamInfo,2,FALSE)=Roster!$D$1,VLOOKUP(PlayerGameData[[#This Row],[Opponent]],WYTeamInfo,3,FALSE)=Roster!$D$2),"SR","")),"")</f>
        <v/>
      </c>
      <c r="AH555" s="8" t="str">
        <f>CONCATENATE(Roster!$D$1," ",Roster!$D$5)</f>
        <v>1A BB</v>
      </c>
      <c r="AI555" s="8" t="str">
        <f t="shared" ca="1" si="272"/>
        <v>Upton - Southeast 2/25/2023</v>
      </c>
      <c r="AJ555" s="8">
        <f ca="1">IFERROR(VLOOKUP(PlayerGameData[[#This Row],[School, Opponent,Game'#]],Table3[],2,FALSE),0)</f>
        <v>1</v>
      </c>
      <c r="AK555" s="8">
        <f ca="1">IF(PlayerGameData[[#This Row],[Visible]]=1,1,1000)</f>
        <v>1</v>
      </c>
      <c r="AL555" s="8">
        <f ca="1">RANK(PlayerGameData[[#This Row],[TL PTS]],PlayerGameData[TL PTS],0)+PlayerGameData[[#This Row],[VisibleOrder]]</f>
        <v>185</v>
      </c>
      <c r="AM555" s="8">
        <f ca="1">IF(COUNTIF(PlayerGameData[PointOrder],PlayerGameData[[#This Row],[PointOrder]])&gt;1,RANK(PlayerGameData[[#This Row],[FGA]],PlayerGameData[FGA],0)/100,0)+PlayerGameData[[#This Row],[PointOrder]]</f>
        <v>187.14</v>
      </c>
      <c r="AN555" s="8">
        <f ca="1">RANK(PlayerGameData[[#This Row],[PointTieBreak]],PlayerGameData[PointTieBreak],1)</f>
        <v>216</v>
      </c>
      <c r="AO555" s="8">
        <f ca="1">RANK(PlayerGameData[[#This Row],[REB]],PlayerGameData[REB],0)+PlayerGameData[[#This Row],[VisibleOrder]]</f>
        <v>192</v>
      </c>
      <c r="AP555" s="8">
        <f ca="1">IF(COUNTIF(PlayerGameData[REBOrder],PlayerGameData[[#This Row],[REBOrder]])&gt;1,PlayerGameData[[#This Row],[PointRank]]/100+PlayerGameData[[#This Row],[REBOrder]],PlayerGameData[[#This Row],[REBOrder]])</f>
        <v>194.16</v>
      </c>
      <c r="AQ555" s="8">
        <f ca="1">RANK(PlayerGameData[[#This Row],[REBTieBreak]],PlayerGameData[REBTieBreak],1)</f>
        <v>224</v>
      </c>
      <c r="AR555" s="8">
        <f ca="1">RANK(PlayerGameData[[#This Row],[AST]],PlayerGameData[AST],0)+PlayerGameData[[#This Row],[VisibleOrder]]</f>
        <v>158</v>
      </c>
      <c r="AS555" s="8">
        <f ca="1">IF(COUNTIF(PlayerGameData[ASTOrder],PlayerGameData[[#This Row],[ASTOrder]])&gt;1,PlayerGameData[[#This Row],[PointRank]]/100+PlayerGameData[[#This Row],[ASTOrder]],PlayerGameData[[#This Row],[ASTOrder]])</f>
        <v>160.16</v>
      </c>
      <c r="AT555" s="8">
        <f ca="1">RANK(PlayerGameData[[#This Row],[ASTTieBreak]],PlayerGameData[ASTTieBreak],1)</f>
        <v>221</v>
      </c>
      <c r="AU555" s="8">
        <f ca="1">RANK(PlayerGameData[[#This Row],[STL]],PlayerGameData[STL],0)+PlayerGameData[[#This Row],[VisibleOrder]]</f>
        <v>143</v>
      </c>
      <c r="AV555" s="8">
        <f ca="1">IF(COUNTIF(PlayerGameData[STLOrder],PlayerGameData[[#This Row],[STLOrder]])&gt;1,PlayerGameData[[#This Row],[PointRank]]/100+PlayerGameData[[#This Row],[STLOrder]],PlayerGameData[[#This Row],[STLOrder]])</f>
        <v>145.16</v>
      </c>
      <c r="AW555" s="8">
        <f ca="1">RANK(PlayerGameData[[#This Row],[STLTieBreak]],PlayerGameData[STLTieBreak],1)</f>
        <v>217</v>
      </c>
      <c r="AX555" s="8">
        <f ca="1">RANK(PlayerGameData[[#This Row],[BLK]],PlayerGameData[BLK],0)+PlayerGameData[[#This Row],[VisibleOrder]]</f>
        <v>32</v>
      </c>
      <c r="AY555" s="8">
        <f ca="1">IF(COUNTIF(PlayerGameData[BLKOrder],PlayerGameData[[#This Row],[BLKOrder]])&gt;1,PlayerGameData[[#This Row],[PointRank]]/100+PlayerGameData[[#This Row],[BLKOrder]],PlayerGameData[[#This Row],[BLKOrder]])</f>
        <v>34.159999999999997</v>
      </c>
      <c r="AZ555" s="8">
        <f ca="1">RANK(PlayerGameData[[#This Row],[BLKTieBreak]],PlayerGameData[BLKTieBreak],1)</f>
        <v>216</v>
      </c>
      <c r="BA555" s="11">
        <f ca="1">IFERROR(IF(PlayerGameData[[#This Row],[FGA]]&gt;$AA$5,PlayerGameData[[#This Row],[FG%*]],PlayerGameData[[#This Row],[FG%*]]*-1),-2)</f>
        <v>-2</v>
      </c>
      <c r="BB555" s="8">
        <f ca="1">RANK(PlayerGameData[[#This Row],[EligFG]],PlayerGameData[EligFG],0)+PlayerGameData[[#This Row],[VisibleOrder]]</f>
        <v>215</v>
      </c>
      <c r="BC555" s="8">
        <f ca="1">IF(COUNTIF(PlayerGameData[EligFGOrder],PlayerGameData[[#This Row],[EligFGOrder]])&gt;1,PlayerGameData[[#This Row],[PointRank]]/100+PlayerGameData[[#This Row],[EligFGOrder]],PlayerGameData[[#This Row],[EligFGOrder]])</f>
        <v>217.16</v>
      </c>
      <c r="BD555" s="8">
        <f ca="1">RANK(PlayerGameData[[#This Row],[EligFGTieBreak]],PlayerGameData[EligFGTieBreak],1)</f>
        <v>216</v>
      </c>
      <c r="BE555" s="8" t="str">
        <f>Roster!$D$3</f>
        <v>East</v>
      </c>
      <c r="BF555" s="8" t="str">
        <f>Roster!$D$2</f>
        <v>Northeast</v>
      </c>
      <c r="BG555" s="8" t="str">
        <f>Roster!$D$4</f>
        <v>North</v>
      </c>
      <c r="BH555" s="197">
        <f ca="1">IFERROR(VLOOKUP(CONCATENATE(PlayerGameData[[#This Row],[Opponent]]," ",MONTH(PlayerGameData[[#This Row],[Date]]),"/",DAY(PlayerGameData[[#This Row],[Date]]),"/",YEAR(PlayerGameData[[#This Row],[Date]])),Table35[],2,FALSE),0)</f>
        <v>1</v>
      </c>
      <c r="BI555" s="197">
        <f ca="1">IF(PlayerGameData[[#This Row],[Visible]]=1,1,1000)</f>
        <v>1</v>
      </c>
      <c r="BJ555" s="197" t="e">
        <f ca="1">_xlfn.MAXIFS(TeamGameData[Win],TeamGameData[School, Opponent,Game'#],PlayerGameData[[#This Row],[School, Opponent,Game'#]])</f>
        <v>#NAME?</v>
      </c>
      <c r="BK555" s="197" t="e">
        <f ca="1">_xlfn.MAXIFS(TeamGameData[Loss],TeamGameData[School, Opponent,Game'#],PlayerGameData[[#This Row],[School, Opponent,Game'#]])</f>
        <v>#NAME?</v>
      </c>
    </row>
    <row r="556" spans="1:63" x14ac:dyDescent="0.25">
      <c r="A556" s="8" t="str">
        <f t="shared" ca="1" si="273"/>
        <v xml:space="preserve">, </v>
      </c>
      <c r="B556" s="8" t="str">
        <f>Roster!$B$1</f>
        <v>Upton</v>
      </c>
      <c r="C556" s="8" t="str">
        <f t="shared" ca="1" si="261"/>
        <v>Southeast</v>
      </c>
      <c r="D556" s="10">
        <f t="shared" ca="1" si="262"/>
        <v>44982</v>
      </c>
      <c r="E556" s="8">
        <f t="shared" ca="1" si="263"/>
        <v>0</v>
      </c>
      <c r="F556" s="8">
        <f t="shared" ca="1" si="264"/>
        <v>0</v>
      </c>
      <c r="G556" s="8">
        <f t="shared" ca="1" si="265"/>
        <v>0</v>
      </c>
      <c r="H556" s="8">
        <f t="shared" ca="1" si="266"/>
        <v>0</v>
      </c>
      <c r="I556" s="8">
        <f t="shared" ca="1" si="267"/>
        <v>0</v>
      </c>
      <c r="J556" s="8">
        <f t="shared" ca="1" si="268"/>
        <v>0</v>
      </c>
      <c r="K556" s="8">
        <f t="shared" ca="1" si="269"/>
        <v>0</v>
      </c>
      <c r="L556" s="8">
        <f t="shared" ca="1" si="274"/>
        <v>0</v>
      </c>
      <c r="M556" s="8">
        <f t="shared" ca="1" si="275"/>
        <v>0</v>
      </c>
      <c r="N556" s="8">
        <f t="shared" ca="1" si="276"/>
        <v>0</v>
      </c>
      <c r="O556" s="8">
        <f t="shared" ca="1" si="277"/>
        <v>0</v>
      </c>
      <c r="P556" s="8">
        <f t="shared" ca="1" si="278"/>
        <v>0</v>
      </c>
      <c r="Q556" s="8">
        <f t="shared" ca="1" si="279"/>
        <v>0</v>
      </c>
      <c r="R556" s="8">
        <f t="shared" ca="1" si="280"/>
        <v>0</v>
      </c>
      <c r="S556" s="8">
        <f t="shared" ca="1" si="281"/>
        <v>0</v>
      </c>
      <c r="T556" s="8">
        <f t="shared" ca="1" si="282"/>
        <v>0</v>
      </c>
      <c r="U556" s="8">
        <f t="shared" ca="1" si="283"/>
        <v>0</v>
      </c>
      <c r="V556" s="8">
        <f t="shared" ca="1" si="284"/>
        <v>0</v>
      </c>
      <c r="W556" s="11" t="str">
        <f t="shared" ca="1" si="285"/>
        <v/>
      </c>
      <c r="X556" s="11" t="str">
        <f t="shared" ca="1" si="286"/>
        <v/>
      </c>
      <c r="Y556" s="11" t="str">
        <f t="shared" ca="1" si="287"/>
        <v/>
      </c>
      <c r="Z556" s="11" t="str">
        <f t="shared" ca="1" si="288"/>
        <v/>
      </c>
      <c r="AA556" s="11" t="str">
        <f t="shared" ca="1" si="289"/>
        <v/>
      </c>
      <c r="AB556" s="47">
        <f ca="1">PlayerGameData[[#This Row],[3FGA]]+PlayerGameData[[#This Row],[2FGA]]</f>
        <v>0</v>
      </c>
      <c r="AC556" s="47">
        <f ca="1">PlayerGameData[[#This Row],[OFF REB]]+PlayerGameData[[#This Row],[DEF REB]]</f>
        <v>0</v>
      </c>
      <c r="AD556" s="8">
        <f t="shared" si="270"/>
        <v>23</v>
      </c>
      <c r="AE556" s="8" t="str">
        <f t="shared" ca="1" si="271"/>
        <v>,  - Southeast 2/25/2023</v>
      </c>
      <c r="AF556" s="8" t="str">
        <f t="shared" ca="1" si="290"/>
        <v>R</v>
      </c>
      <c r="AG556" s="8" t="str">
        <f ca="1">IFERROR(IF(C556=0,"",IF(AND(VLOOKUP(PlayerGameData[[#This Row],[Opponent]],WYTeamInfo,2,FALSE)=Roster!$D$1,VLOOKUP(PlayerGameData[[#This Row],[Opponent]],WYTeamInfo,3,FALSE)=Roster!$D$2),"SR","")),"")</f>
        <v/>
      </c>
      <c r="AH556" s="8" t="str">
        <f>CONCATENATE(Roster!$D$1," ",Roster!$D$5)</f>
        <v>1A BB</v>
      </c>
      <c r="AI556" s="8" t="str">
        <f t="shared" ca="1" si="272"/>
        <v>Upton - Southeast 2/25/2023</v>
      </c>
      <c r="AJ556" s="8">
        <f ca="1">IFERROR(VLOOKUP(PlayerGameData[[#This Row],[School, Opponent,Game'#]],Table3[],2,FALSE),0)</f>
        <v>1</v>
      </c>
      <c r="AK556" s="8">
        <f ca="1">IF(PlayerGameData[[#This Row],[Visible]]=1,1,1000)</f>
        <v>1</v>
      </c>
      <c r="AL556" s="8">
        <f ca="1">RANK(PlayerGameData[[#This Row],[TL PTS]],PlayerGameData[TL PTS],0)+PlayerGameData[[#This Row],[VisibleOrder]]</f>
        <v>185</v>
      </c>
      <c r="AM556" s="8">
        <f ca="1">IF(COUNTIF(PlayerGameData[PointOrder],PlayerGameData[[#This Row],[PointOrder]])&gt;1,RANK(PlayerGameData[[#This Row],[FGA]],PlayerGameData[FGA],0)/100,0)+PlayerGameData[[#This Row],[PointOrder]]</f>
        <v>187.14</v>
      </c>
      <c r="AN556" s="8">
        <f ca="1">RANK(PlayerGameData[[#This Row],[PointTieBreak]],PlayerGameData[PointTieBreak],1)</f>
        <v>216</v>
      </c>
      <c r="AO556" s="8">
        <f ca="1">RANK(PlayerGameData[[#This Row],[REB]],PlayerGameData[REB],0)+PlayerGameData[[#This Row],[VisibleOrder]]</f>
        <v>192</v>
      </c>
      <c r="AP556" s="8">
        <f ca="1">IF(COUNTIF(PlayerGameData[REBOrder],PlayerGameData[[#This Row],[REBOrder]])&gt;1,PlayerGameData[[#This Row],[PointRank]]/100+PlayerGameData[[#This Row],[REBOrder]],PlayerGameData[[#This Row],[REBOrder]])</f>
        <v>194.16</v>
      </c>
      <c r="AQ556" s="8">
        <f ca="1">RANK(PlayerGameData[[#This Row],[REBTieBreak]],PlayerGameData[REBTieBreak],1)</f>
        <v>224</v>
      </c>
      <c r="AR556" s="8">
        <f ca="1">RANK(PlayerGameData[[#This Row],[AST]],PlayerGameData[AST],0)+PlayerGameData[[#This Row],[VisibleOrder]]</f>
        <v>158</v>
      </c>
      <c r="AS556" s="8">
        <f ca="1">IF(COUNTIF(PlayerGameData[ASTOrder],PlayerGameData[[#This Row],[ASTOrder]])&gt;1,PlayerGameData[[#This Row],[PointRank]]/100+PlayerGameData[[#This Row],[ASTOrder]],PlayerGameData[[#This Row],[ASTOrder]])</f>
        <v>160.16</v>
      </c>
      <c r="AT556" s="8">
        <f ca="1">RANK(PlayerGameData[[#This Row],[ASTTieBreak]],PlayerGameData[ASTTieBreak],1)</f>
        <v>221</v>
      </c>
      <c r="AU556" s="8">
        <f ca="1">RANK(PlayerGameData[[#This Row],[STL]],PlayerGameData[STL],0)+PlayerGameData[[#This Row],[VisibleOrder]]</f>
        <v>143</v>
      </c>
      <c r="AV556" s="8">
        <f ca="1">IF(COUNTIF(PlayerGameData[STLOrder],PlayerGameData[[#This Row],[STLOrder]])&gt;1,PlayerGameData[[#This Row],[PointRank]]/100+PlayerGameData[[#This Row],[STLOrder]],PlayerGameData[[#This Row],[STLOrder]])</f>
        <v>145.16</v>
      </c>
      <c r="AW556" s="8">
        <f ca="1">RANK(PlayerGameData[[#This Row],[STLTieBreak]],PlayerGameData[STLTieBreak],1)</f>
        <v>217</v>
      </c>
      <c r="AX556" s="8">
        <f ca="1">RANK(PlayerGameData[[#This Row],[BLK]],PlayerGameData[BLK],0)+PlayerGameData[[#This Row],[VisibleOrder]]</f>
        <v>32</v>
      </c>
      <c r="AY556" s="8">
        <f ca="1">IF(COUNTIF(PlayerGameData[BLKOrder],PlayerGameData[[#This Row],[BLKOrder]])&gt;1,PlayerGameData[[#This Row],[PointRank]]/100+PlayerGameData[[#This Row],[BLKOrder]],PlayerGameData[[#This Row],[BLKOrder]])</f>
        <v>34.159999999999997</v>
      </c>
      <c r="AZ556" s="8">
        <f ca="1">RANK(PlayerGameData[[#This Row],[BLKTieBreak]],PlayerGameData[BLKTieBreak],1)</f>
        <v>216</v>
      </c>
      <c r="BA556" s="11">
        <f ca="1">IFERROR(IF(PlayerGameData[[#This Row],[FGA]]&gt;$AA$5,PlayerGameData[[#This Row],[FG%*]],PlayerGameData[[#This Row],[FG%*]]*-1),-2)</f>
        <v>-2</v>
      </c>
      <c r="BB556" s="8">
        <f ca="1">RANK(PlayerGameData[[#This Row],[EligFG]],PlayerGameData[EligFG],0)+PlayerGameData[[#This Row],[VisibleOrder]]</f>
        <v>215</v>
      </c>
      <c r="BC556" s="8">
        <f ca="1">IF(COUNTIF(PlayerGameData[EligFGOrder],PlayerGameData[[#This Row],[EligFGOrder]])&gt;1,PlayerGameData[[#This Row],[PointRank]]/100+PlayerGameData[[#This Row],[EligFGOrder]],PlayerGameData[[#This Row],[EligFGOrder]])</f>
        <v>217.16</v>
      </c>
      <c r="BD556" s="8">
        <f ca="1">RANK(PlayerGameData[[#This Row],[EligFGTieBreak]],PlayerGameData[EligFGTieBreak],1)</f>
        <v>216</v>
      </c>
      <c r="BE556" s="8" t="str">
        <f>Roster!$D$3</f>
        <v>East</v>
      </c>
      <c r="BF556" s="8" t="str">
        <f>Roster!$D$2</f>
        <v>Northeast</v>
      </c>
      <c r="BG556" s="8" t="str">
        <f>Roster!$D$4</f>
        <v>North</v>
      </c>
      <c r="BH556" s="197">
        <f ca="1">IFERROR(VLOOKUP(CONCATENATE(PlayerGameData[[#This Row],[Opponent]]," ",MONTH(PlayerGameData[[#This Row],[Date]]),"/",DAY(PlayerGameData[[#This Row],[Date]]),"/",YEAR(PlayerGameData[[#This Row],[Date]])),Table35[],2,FALSE),0)</f>
        <v>1</v>
      </c>
      <c r="BI556" s="197">
        <f ca="1">IF(PlayerGameData[[#This Row],[Visible]]=1,1,1000)</f>
        <v>1</v>
      </c>
      <c r="BJ556" s="197" t="e">
        <f ca="1">_xlfn.MAXIFS(TeamGameData[Win],TeamGameData[School, Opponent,Game'#],PlayerGameData[[#This Row],[School, Opponent,Game'#]])</f>
        <v>#NAME?</v>
      </c>
      <c r="BK556" s="197" t="e">
        <f ca="1">_xlfn.MAXIFS(TeamGameData[Loss],TeamGameData[School, Opponent,Game'#],PlayerGameData[[#This Row],[School, Opponent,Game'#]])</f>
        <v>#NAME?</v>
      </c>
    </row>
    <row r="557" spans="1:63" x14ac:dyDescent="0.25">
      <c r="A557" s="8" t="str">
        <f t="shared" ca="1" si="273"/>
        <v xml:space="preserve">, </v>
      </c>
      <c r="B557" s="8" t="str">
        <f>Roster!$B$1</f>
        <v>Upton</v>
      </c>
      <c r="C557" s="8" t="str">
        <f t="shared" ca="1" si="261"/>
        <v>Southeast</v>
      </c>
      <c r="D557" s="10">
        <f t="shared" ca="1" si="262"/>
        <v>44982</v>
      </c>
      <c r="E557" s="8">
        <f t="shared" ca="1" si="263"/>
        <v>0</v>
      </c>
      <c r="F557" s="8">
        <f t="shared" ca="1" si="264"/>
        <v>0</v>
      </c>
      <c r="G557" s="8">
        <f t="shared" ca="1" si="265"/>
        <v>0</v>
      </c>
      <c r="H557" s="8">
        <f t="shared" ca="1" si="266"/>
        <v>0</v>
      </c>
      <c r="I557" s="8">
        <f t="shared" ca="1" si="267"/>
        <v>0</v>
      </c>
      <c r="J557" s="8">
        <f t="shared" ca="1" si="268"/>
        <v>0</v>
      </c>
      <c r="K557" s="8">
        <f t="shared" ca="1" si="269"/>
        <v>0</v>
      </c>
      <c r="L557" s="8">
        <f t="shared" ca="1" si="274"/>
        <v>0</v>
      </c>
      <c r="M557" s="8">
        <f t="shared" ca="1" si="275"/>
        <v>0</v>
      </c>
      <c r="N557" s="8">
        <f t="shared" ca="1" si="276"/>
        <v>0</v>
      </c>
      <c r="O557" s="8">
        <f t="shared" ca="1" si="277"/>
        <v>0</v>
      </c>
      <c r="P557" s="8">
        <f t="shared" ca="1" si="278"/>
        <v>0</v>
      </c>
      <c r="Q557" s="8">
        <f t="shared" ca="1" si="279"/>
        <v>0</v>
      </c>
      <c r="R557" s="8">
        <f t="shared" ca="1" si="280"/>
        <v>0</v>
      </c>
      <c r="S557" s="8">
        <f t="shared" ca="1" si="281"/>
        <v>0</v>
      </c>
      <c r="T557" s="8">
        <f t="shared" ca="1" si="282"/>
        <v>0</v>
      </c>
      <c r="U557" s="8">
        <f t="shared" ca="1" si="283"/>
        <v>0</v>
      </c>
      <c r="V557" s="8">
        <f t="shared" ca="1" si="284"/>
        <v>0</v>
      </c>
      <c r="W557" s="11" t="str">
        <f t="shared" ca="1" si="285"/>
        <v/>
      </c>
      <c r="X557" s="11" t="str">
        <f t="shared" ca="1" si="286"/>
        <v/>
      </c>
      <c r="Y557" s="11" t="str">
        <f t="shared" ca="1" si="287"/>
        <v/>
      </c>
      <c r="Z557" s="11" t="str">
        <f t="shared" ca="1" si="288"/>
        <v/>
      </c>
      <c r="AA557" s="11" t="str">
        <f t="shared" ca="1" si="289"/>
        <v/>
      </c>
      <c r="AB557" s="47">
        <f ca="1">PlayerGameData[[#This Row],[3FGA]]+PlayerGameData[[#This Row],[2FGA]]</f>
        <v>0</v>
      </c>
      <c r="AC557" s="47">
        <f ca="1">PlayerGameData[[#This Row],[OFF REB]]+PlayerGameData[[#This Row],[DEF REB]]</f>
        <v>0</v>
      </c>
      <c r="AD557" s="8">
        <f t="shared" si="270"/>
        <v>23</v>
      </c>
      <c r="AE557" s="8" t="str">
        <f t="shared" ca="1" si="271"/>
        <v>,  - Southeast 2/25/2023</v>
      </c>
      <c r="AF557" s="8" t="str">
        <f t="shared" ca="1" si="290"/>
        <v>R</v>
      </c>
      <c r="AG557" s="8" t="str">
        <f ca="1">IFERROR(IF(C557=0,"",IF(AND(VLOOKUP(PlayerGameData[[#This Row],[Opponent]],WYTeamInfo,2,FALSE)=Roster!$D$1,VLOOKUP(PlayerGameData[[#This Row],[Opponent]],WYTeamInfo,3,FALSE)=Roster!$D$2),"SR","")),"")</f>
        <v/>
      </c>
      <c r="AH557" s="8" t="str">
        <f>CONCATENATE(Roster!$D$1," ",Roster!$D$5)</f>
        <v>1A BB</v>
      </c>
      <c r="AI557" s="8" t="str">
        <f t="shared" ca="1" si="272"/>
        <v>Upton - Southeast 2/25/2023</v>
      </c>
      <c r="AJ557" s="8">
        <f ca="1">IFERROR(VLOOKUP(PlayerGameData[[#This Row],[School, Opponent,Game'#]],Table3[],2,FALSE),0)</f>
        <v>1</v>
      </c>
      <c r="AK557" s="8">
        <f ca="1">IF(PlayerGameData[[#This Row],[Visible]]=1,1,1000)</f>
        <v>1</v>
      </c>
      <c r="AL557" s="8">
        <f ca="1">RANK(PlayerGameData[[#This Row],[TL PTS]],PlayerGameData[TL PTS],0)+PlayerGameData[[#This Row],[VisibleOrder]]</f>
        <v>185</v>
      </c>
      <c r="AM557" s="8">
        <f ca="1">IF(COUNTIF(PlayerGameData[PointOrder],PlayerGameData[[#This Row],[PointOrder]])&gt;1,RANK(PlayerGameData[[#This Row],[FGA]],PlayerGameData[FGA],0)/100,0)+PlayerGameData[[#This Row],[PointOrder]]</f>
        <v>187.14</v>
      </c>
      <c r="AN557" s="8">
        <f ca="1">RANK(PlayerGameData[[#This Row],[PointTieBreak]],PlayerGameData[PointTieBreak],1)</f>
        <v>216</v>
      </c>
      <c r="AO557" s="8">
        <f ca="1">RANK(PlayerGameData[[#This Row],[REB]],PlayerGameData[REB],0)+PlayerGameData[[#This Row],[VisibleOrder]]</f>
        <v>192</v>
      </c>
      <c r="AP557" s="8">
        <f ca="1">IF(COUNTIF(PlayerGameData[REBOrder],PlayerGameData[[#This Row],[REBOrder]])&gt;1,PlayerGameData[[#This Row],[PointRank]]/100+PlayerGameData[[#This Row],[REBOrder]],PlayerGameData[[#This Row],[REBOrder]])</f>
        <v>194.16</v>
      </c>
      <c r="AQ557" s="8">
        <f ca="1">RANK(PlayerGameData[[#This Row],[REBTieBreak]],PlayerGameData[REBTieBreak],1)</f>
        <v>224</v>
      </c>
      <c r="AR557" s="8">
        <f ca="1">RANK(PlayerGameData[[#This Row],[AST]],PlayerGameData[AST],0)+PlayerGameData[[#This Row],[VisibleOrder]]</f>
        <v>158</v>
      </c>
      <c r="AS557" s="8">
        <f ca="1">IF(COUNTIF(PlayerGameData[ASTOrder],PlayerGameData[[#This Row],[ASTOrder]])&gt;1,PlayerGameData[[#This Row],[PointRank]]/100+PlayerGameData[[#This Row],[ASTOrder]],PlayerGameData[[#This Row],[ASTOrder]])</f>
        <v>160.16</v>
      </c>
      <c r="AT557" s="8">
        <f ca="1">RANK(PlayerGameData[[#This Row],[ASTTieBreak]],PlayerGameData[ASTTieBreak],1)</f>
        <v>221</v>
      </c>
      <c r="AU557" s="8">
        <f ca="1">RANK(PlayerGameData[[#This Row],[STL]],PlayerGameData[STL],0)+PlayerGameData[[#This Row],[VisibleOrder]]</f>
        <v>143</v>
      </c>
      <c r="AV557" s="8">
        <f ca="1">IF(COUNTIF(PlayerGameData[STLOrder],PlayerGameData[[#This Row],[STLOrder]])&gt;1,PlayerGameData[[#This Row],[PointRank]]/100+PlayerGameData[[#This Row],[STLOrder]],PlayerGameData[[#This Row],[STLOrder]])</f>
        <v>145.16</v>
      </c>
      <c r="AW557" s="8">
        <f ca="1">RANK(PlayerGameData[[#This Row],[STLTieBreak]],PlayerGameData[STLTieBreak],1)</f>
        <v>217</v>
      </c>
      <c r="AX557" s="8">
        <f ca="1">RANK(PlayerGameData[[#This Row],[BLK]],PlayerGameData[BLK],0)+PlayerGameData[[#This Row],[VisibleOrder]]</f>
        <v>32</v>
      </c>
      <c r="AY557" s="8">
        <f ca="1">IF(COUNTIF(PlayerGameData[BLKOrder],PlayerGameData[[#This Row],[BLKOrder]])&gt;1,PlayerGameData[[#This Row],[PointRank]]/100+PlayerGameData[[#This Row],[BLKOrder]],PlayerGameData[[#This Row],[BLKOrder]])</f>
        <v>34.159999999999997</v>
      </c>
      <c r="AZ557" s="8">
        <f ca="1">RANK(PlayerGameData[[#This Row],[BLKTieBreak]],PlayerGameData[BLKTieBreak],1)</f>
        <v>216</v>
      </c>
      <c r="BA557" s="11">
        <f ca="1">IFERROR(IF(PlayerGameData[[#This Row],[FGA]]&gt;$AA$5,PlayerGameData[[#This Row],[FG%*]],PlayerGameData[[#This Row],[FG%*]]*-1),-2)</f>
        <v>-2</v>
      </c>
      <c r="BB557" s="8">
        <f ca="1">RANK(PlayerGameData[[#This Row],[EligFG]],PlayerGameData[EligFG],0)+PlayerGameData[[#This Row],[VisibleOrder]]</f>
        <v>215</v>
      </c>
      <c r="BC557" s="8">
        <f ca="1">IF(COUNTIF(PlayerGameData[EligFGOrder],PlayerGameData[[#This Row],[EligFGOrder]])&gt;1,PlayerGameData[[#This Row],[PointRank]]/100+PlayerGameData[[#This Row],[EligFGOrder]],PlayerGameData[[#This Row],[EligFGOrder]])</f>
        <v>217.16</v>
      </c>
      <c r="BD557" s="8">
        <f ca="1">RANK(PlayerGameData[[#This Row],[EligFGTieBreak]],PlayerGameData[EligFGTieBreak],1)</f>
        <v>216</v>
      </c>
      <c r="BE557" s="8" t="str">
        <f>Roster!$D$3</f>
        <v>East</v>
      </c>
      <c r="BF557" s="8" t="str">
        <f>Roster!$D$2</f>
        <v>Northeast</v>
      </c>
      <c r="BG557" s="8" t="str">
        <f>Roster!$D$4</f>
        <v>North</v>
      </c>
      <c r="BH557" s="197">
        <f ca="1">IFERROR(VLOOKUP(CONCATENATE(PlayerGameData[[#This Row],[Opponent]]," ",MONTH(PlayerGameData[[#This Row],[Date]]),"/",DAY(PlayerGameData[[#This Row],[Date]]),"/",YEAR(PlayerGameData[[#This Row],[Date]])),Table35[],2,FALSE),0)</f>
        <v>1</v>
      </c>
      <c r="BI557" s="197">
        <f ca="1">IF(PlayerGameData[[#This Row],[Visible]]=1,1,1000)</f>
        <v>1</v>
      </c>
      <c r="BJ557" s="197" t="e">
        <f ca="1">_xlfn.MAXIFS(TeamGameData[Win],TeamGameData[School, Opponent,Game'#],PlayerGameData[[#This Row],[School, Opponent,Game'#]])</f>
        <v>#NAME?</v>
      </c>
      <c r="BK557" s="197" t="e">
        <f ca="1">_xlfn.MAXIFS(TeamGameData[Loss],TeamGameData[School, Opponent,Game'#],PlayerGameData[[#This Row],[School, Opponent,Game'#]])</f>
        <v>#NAME?</v>
      </c>
    </row>
    <row r="558" spans="1:63" x14ac:dyDescent="0.25">
      <c r="A558" s="8" t="str">
        <f t="shared" ca="1" si="273"/>
        <v xml:space="preserve">Team, </v>
      </c>
      <c r="B558" s="8" t="str">
        <f>Roster!$B$1</f>
        <v>Upton</v>
      </c>
      <c r="C558" s="8" t="str">
        <f t="shared" ca="1" si="261"/>
        <v>Southeast</v>
      </c>
      <c r="D558" s="10">
        <f t="shared" ca="1" si="262"/>
        <v>44982</v>
      </c>
      <c r="E558" s="8">
        <f t="shared" ca="1" si="263"/>
        <v>0</v>
      </c>
      <c r="F558" s="8">
        <f t="shared" ca="1" si="264"/>
        <v>0</v>
      </c>
      <c r="G558" s="8">
        <f t="shared" ca="1" si="265"/>
        <v>0</v>
      </c>
      <c r="H558" s="8">
        <f t="shared" ca="1" si="266"/>
        <v>0</v>
      </c>
      <c r="I558" s="8">
        <f t="shared" ca="1" si="267"/>
        <v>0</v>
      </c>
      <c r="J558" s="8">
        <f t="shared" ca="1" si="268"/>
        <v>0</v>
      </c>
      <c r="K558" s="8">
        <f t="shared" ca="1" si="269"/>
        <v>0</v>
      </c>
      <c r="L558" s="8">
        <f t="shared" ca="1" si="274"/>
        <v>0</v>
      </c>
      <c r="M558" s="8">
        <f t="shared" ca="1" si="275"/>
        <v>0</v>
      </c>
      <c r="N558" s="8">
        <f t="shared" ca="1" si="276"/>
        <v>0</v>
      </c>
      <c r="O558" s="8">
        <f t="shared" ca="1" si="277"/>
        <v>0</v>
      </c>
      <c r="P558" s="8">
        <f t="shared" ca="1" si="278"/>
        <v>0</v>
      </c>
      <c r="Q558" s="8">
        <f t="shared" ca="1" si="279"/>
        <v>0</v>
      </c>
      <c r="R558" s="8">
        <f t="shared" ca="1" si="280"/>
        <v>0</v>
      </c>
      <c r="S558" s="8">
        <f t="shared" ca="1" si="281"/>
        <v>0</v>
      </c>
      <c r="T558" s="8">
        <f t="shared" ca="1" si="282"/>
        <v>0</v>
      </c>
      <c r="U558" s="8">
        <f t="shared" ca="1" si="283"/>
        <v>0</v>
      </c>
      <c r="V558" s="8">
        <f t="shared" ca="1" si="284"/>
        <v>0</v>
      </c>
      <c r="W558" s="11" t="str">
        <f t="shared" ca="1" si="285"/>
        <v/>
      </c>
      <c r="X558" s="11" t="str">
        <f t="shared" ca="1" si="286"/>
        <v/>
      </c>
      <c r="Y558" s="11" t="str">
        <f t="shared" ca="1" si="287"/>
        <v/>
      </c>
      <c r="Z558" s="11" t="str">
        <f t="shared" ca="1" si="288"/>
        <v/>
      </c>
      <c r="AA558" s="11" t="str">
        <f t="shared" ca="1" si="289"/>
        <v/>
      </c>
      <c r="AB558" s="47">
        <f ca="1">PlayerGameData[[#This Row],[3FGA]]+PlayerGameData[[#This Row],[2FGA]]</f>
        <v>0</v>
      </c>
      <c r="AC558" s="47">
        <f ca="1">PlayerGameData[[#This Row],[OFF REB]]+PlayerGameData[[#This Row],[DEF REB]]</f>
        <v>0</v>
      </c>
      <c r="AD558" s="8">
        <f t="shared" si="270"/>
        <v>23</v>
      </c>
      <c r="AE558" s="8" t="str">
        <f t="shared" ca="1" si="271"/>
        <v>Team,  - Southeast 2/25/2023</v>
      </c>
      <c r="AF558" s="8" t="str">
        <f t="shared" ca="1" si="290"/>
        <v>R</v>
      </c>
      <c r="AG558" s="8" t="str">
        <f ca="1">IFERROR(IF(C558=0,"",IF(AND(VLOOKUP(PlayerGameData[[#This Row],[Opponent]],WYTeamInfo,2,FALSE)=Roster!$D$1,VLOOKUP(PlayerGameData[[#This Row],[Opponent]],WYTeamInfo,3,FALSE)=Roster!$D$2),"SR","")),"")</f>
        <v/>
      </c>
      <c r="AH558" s="8" t="str">
        <f>CONCATENATE(Roster!$D$1," ",Roster!$D$5)</f>
        <v>1A BB</v>
      </c>
      <c r="AI558" s="8" t="str">
        <f t="shared" ca="1" si="272"/>
        <v>Upton - Southeast 2/25/2023</v>
      </c>
      <c r="AJ558" s="8">
        <f ca="1">IFERROR(VLOOKUP(PlayerGameData[[#This Row],[School, Opponent,Game'#]],Table3[],2,FALSE),0)</f>
        <v>1</v>
      </c>
      <c r="AK558" s="8">
        <f ca="1">IF(PlayerGameData[[#This Row],[Visible]]=1,1,1000)</f>
        <v>1</v>
      </c>
      <c r="AL558" s="8">
        <f ca="1">RANK(PlayerGameData[[#This Row],[TL PTS]],PlayerGameData[TL PTS],0)+PlayerGameData[[#This Row],[VisibleOrder]]</f>
        <v>185</v>
      </c>
      <c r="AM558" s="8">
        <f ca="1">IF(COUNTIF(PlayerGameData[PointOrder],PlayerGameData[[#This Row],[PointOrder]])&gt;1,RANK(PlayerGameData[[#This Row],[FGA]],PlayerGameData[FGA],0)/100,0)+PlayerGameData[[#This Row],[PointOrder]]</f>
        <v>187.14</v>
      </c>
      <c r="AN558" s="8">
        <f ca="1">RANK(PlayerGameData[[#This Row],[PointTieBreak]],PlayerGameData[PointTieBreak],1)</f>
        <v>216</v>
      </c>
      <c r="AO558" s="8">
        <f ca="1">RANK(PlayerGameData[[#This Row],[REB]],PlayerGameData[REB],0)+PlayerGameData[[#This Row],[VisibleOrder]]</f>
        <v>192</v>
      </c>
      <c r="AP558" s="8">
        <f ca="1">IF(COUNTIF(PlayerGameData[REBOrder],PlayerGameData[[#This Row],[REBOrder]])&gt;1,PlayerGameData[[#This Row],[PointRank]]/100+PlayerGameData[[#This Row],[REBOrder]],PlayerGameData[[#This Row],[REBOrder]])</f>
        <v>194.16</v>
      </c>
      <c r="AQ558" s="8">
        <f ca="1">RANK(PlayerGameData[[#This Row],[REBTieBreak]],PlayerGameData[REBTieBreak],1)</f>
        <v>224</v>
      </c>
      <c r="AR558" s="8">
        <f ca="1">RANK(PlayerGameData[[#This Row],[AST]],PlayerGameData[AST],0)+PlayerGameData[[#This Row],[VisibleOrder]]</f>
        <v>158</v>
      </c>
      <c r="AS558" s="8">
        <f ca="1">IF(COUNTIF(PlayerGameData[ASTOrder],PlayerGameData[[#This Row],[ASTOrder]])&gt;1,PlayerGameData[[#This Row],[PointRank]]/100+PlayerGameData[[#This Row],[ASTOrder]],PlayerGameData[[#This Row],[ASTOrder]])</f>
        <v>160.16</v>
      </c>
      <c r="AT558" s="8">
        <f ca="1">RANK(PlayerGameData[[#This Row],[ASTTieBreak]],PlayerGameData[ASTTieBreak],1)</f>
        <v>221</v>
      </c>
      <c r="AU558" s="8">
        <f ca="1">RANK(PlayerGameData[[#This Row],[STL]],PlayerGameData[STL],0)+PlayerGameData[[#This Row],[VisibleOrder]]</f>
        <v>143</v>
      </c>
      <c r="AV558" s="8">
        <f ca="1">IF(COUNTIF(PlayerGameData[STLOrder],PlayerGameData[[#This Row],[STLOrder]])&gt;1,PlayerGameData[[#This Row],[PointRank]]/100+PlayerGameData[[#This Row],[STLOrder]],PlayerGameData[[#This Row],[STLOrder]])</f>
        <v>145.16</v>
      </c>
      <c r="AW558" s="8">
        <f ca="1">RANK(PlayerGameData[[#This Row],[STLTieBreak]],PlayerGameData[STLTieBreak],1)</f>
        <v>217</v>
      </c>
      <c r="AX558" s="8">
        <f ca="1">RANK(PlayerGameData[[#This Row],[BLK]],PlayerGameData[BLK],0)+PlayerGameData[[#This Row],[VisibleOrder]]</f>
        <v>32</v>
      </c>
      <c r="AY558" s="8">
        <f ca="1">IF(COUNTIF(PlayerGameData[BLKOrder],PlayerGameData[[#This Row],[BLKOrder]])&gt;1,PlayerGameData[[#This Row],[PointRank]]/100+PlayerGameData[[#This Row],[BLKOrder]],PlayerGameData[[#This Row],[BLKOrder]])</f>
        <v>34.159999999999997</v>
      </c>
      <c r="AZ558" s="8">
        <f ca="1">RANK(PlayerGameData[[#This Row],[BLKTieBreak]],PlayerGameData[BLKTieBreak],1)</f>
        <v>216</v>
      </c>
      <c r="BA558" s="11">
        <f ca="1">IFERROR(IF(PlayerGameData[[#This Row],[FGA]]&gt;$AA$5,PlayerGameData[[#This Row],[FG%*]],PlayerGameData[[#This Row],[FG%*]]*-1),-2)</f>
        <v>-2</v>
      </c>
      <c r="BB558" s="8">
        <f ca="1">RANK(PlayerGameData[[#This Row],[EligFG]],PlayerGameData[EligFG],0)+PlayerGameData[[#This Row],[VisibleOrder]]</f>
        <v>215</v>
      </c>
      <c r="BC558" s="8">
        <f ca="1">IF(COUNTIF(PlayerGameData[EligFGOrder],PlayerGameData[[#This Row],[EligFGOrder]])&gt;1,PlayerGameData[[#This Row],[PointRank]]/100+PlayerGameData[[#This Row],[EligFGOrder]],PlayerGameData[[#This Row],[EligFGOrder]])</f>
        <v>217.16</v>
      </c>
      <c r="BD558" s="8">
        <f ca="1">RANK(PlayerGameData[[#This Row],[EligFGTieBreak]],PlayerGameData[EligFGTieBreak],1)</f>
        <v>216</v>
      </c>
      <c r="BE558" s="8" t="str">
        <f>Roster!$D$3</f>
        <v>East</v>
      </c>
      <c r="BF558" s="8" t="str">
        <f>Roster!$D$2</f>
        <v>Northeast</v>
      </c>
      <c r="BG558" s="8" t="str">
        <f>Roster!$D$4</f>
        <v>North</v>
      </c>
      <c r="BH558" s="197">
        <f ca="1">IFERROR(VLOOKUP(CONCATENATE(PlayerGameData[[#This Row],[Opponent]]," ",MONTH(PlayerGameData[[#This Row],[Date]]),"/",DAY(PlayerGameData[[#This Row],[Date]]),"/",YEAR(PlayerGameData[[#This Row],[Date]])),Table35[],2,FALSE),0)</f>
        <v>1</v>
      </c>
      <c r="BI558" s="197">
        <f ca="1">IF(PlayerGameData[[#This Row],[Visible]]=1,1,1000)</f>
        <v>1</v>
      </c>
      <c r="BJ558" s="197" t="e">
        <f ca="1">_xlfn.MAXIFS(TeamGameData[Win],TeamGameData[School, Opponent,Game'#],PlayerGameData[[#This Row],[School, Opponent,Game'#]])</f>
        <v>#NAME?</v>
      </c>
      <c r="BK558" s="197" t="e">
        <f ca="1">_xlfn.MAXIFS(TeamGameData[Loss],TeamGameData[School, Opponent,Game'#],PlayerGameData[[#This Row],[School, Opponent,Game'#]])</f>
        <v>#NAME?</v>
      </c>
    </row>
    <row r="559" spans="1:63" x14ac:dyDescent="0.25">
      <c r="A559" s="8" t="str">
        <f t="shared" ca="1" si="273"/>
        <v>Landon Butler, 1</v>
      </c>
      <c r="B559" s="8" t="str">
        <f>Roster!$B$1</f>
        <v>Upton</v>
      </c>
      <c r="C559" s="8" t="str">
        <f t="shared" ca="1" si="261"/>
        <v>Farson Eden</v>
      </c>
      <c r="D559" s="10">
        <f t="shared" ca="1" si="262"/>
        <v>44987</v>
      </c>
      <c r="E559" s="8">
        <f t="shared" ca="1" si="263"/>
        <v>1</v>
      </c>
      <c r="F559" s="8">
        <f t="shared" ca="1" si="264"/>
        <v>0</v>
      </c>
      <c r="G559" s="8">
        <f t="shared" ca="1" si="265"/>
        <v>1</v>
      </c>
      <c r="H559" s="8">
        <f t="shared" ca="1" si="266"/>
        <v>0</v>
      </c>
      <c r="I559" s="8">
        <f t="shared" ca="1" si="267"/>
        <v>0</v>
      </c>
      <c r="J559" s="8">
        <f t="shared" ca="1" si="268"/>
        <v>0</v>
      </c>
      <c r="K559" s="8">
        <f t="shared" ca="1" si="269"/>
        <v>0</v>
      </c>
      <c r="L559" s="8">
        <f t="shared" ca="1" si="274"/>
        <v>0</v>
      </c>
      <c r="M559" s="8">
        <f t="shared" ca="1" si="275"/>
        <v>0</v>
      </c>
      <c r="N559" s="8">
        <f t="shared" ca="1" si="276"/>
        <v>0</v>
      </c>
      <c r="O559" s="8">
        <f t="shared" ca="1" si="277"/>
        <v>0</v>
      </c>
      <c r="P559" s="8">
        <f t="shared" ca="1" si="278"/>
        <v>0</v>
      </c>
      <c r="Q559" s="8">
        <f t="shared" ca="1" si="279"/>
        <v>0</v>
      </c>
      <c r="R559" s="8">
        <f t="shared" ca="1" si="280"/>
        <v>0</v>
      </c>
      <c r="S559" s="8">
        <f t="shared" ca="1" si="281"/>
        <v>0</v>
      </c>
      <c r="T559" s="8">
        <f t="shared" ca="1" si="282"/>
        <v>0</v>
      </c>
      <c r="U559" s="8">
        <f t="shared" ca="1" si="283"/>
        <v>0</v>
      </c>
      <c r="V559" s="8">
        <f t="shared" ca="1" si="284"/>
        <v>0</v>
      </c>
      <c r="W559" s="11" t="str">
        <f t="shared" ca="1" si="285"/>
        <v/>
      </c>
      <c r="X559" s="11" t="str">
        <f t="shared" ca="1" si="286"/>
        <v/>
      </c>
      <c r="Y559" s="11" t="str">
        <f t="shared" ca="1" si="287"/>
        <v/>
      </c>
      <c r="Z559" s="11" t="str">
        <f t="shared" ca="1" si="288"/>
        <v/>
      </c>
      <c r="AA559" s="11" t="str">
        <f t="shared" ca="1" si="289"/>
        <v/>
      </c>
      <c r="AB559" s="47">
        <f ca="1">PlayerGameData[[#This Row],[3FGA]]+PlayerGameData[[#This Row],[2FGA]]</f>
        <v>0</v>
      </c>
      <c r="AC559" s="47">
        <f ca="1">PlayerGameData[[#This Row],[OFF REB]]+PlayerGameData[[#This Row],[DEF REB]]</f>
        <v>0</v>
      </c>
      <c r="AD559" s="8">
        <f t="shared" si="270"/>
        <v>24</v>
      </c>
      <c r="AE559" s="8" t="str">
        <f t="shared" ca="1" si="271"/>
        <v>Landon Butler, 1 - Farson Eden 3/2/2023</v>
      </c>
      <c r="AF559" s="8" t="str">
        <f t="shared" ca="1" si="290"/>
        <v/>
      </c>
      <c r="AG559" s="8" t="str">
        <f ca="1">IFERROR(IF(C559=0,"",IF(AND(VLOOKUP(PlayerGameData[[#This Row],[Opponent]],WYTeamInfo,2,FALSE)=Roster!$D$1,VLOOKUP(PlayerGameData[[#This Row],[Opponent]],WYTeamInfo,3,FALSE)=Roster!$D$2),"SR","")),"")</f>
        <v/>
      </c>
      <c r="AH559" s="8" t="str">
        <f>CONCATENATE(Roster!$D$1," ",Roster!$D$5)</f>
        <v>1A BB</v>
      </c>
      <c r="AI559" s="8" t="str">
        <f t="shared" ca="1" si="272"/>
        <v>Upton - Farson Eden 3/2/2023</v>
      </c>
      <c r="AJ559" s="8">
        <f ca="1">IFERROR(VLOOKUP(PlayerGameData[[#This Row],[School, Opponent,Game'#]],Table3[],2,FALSE),0)</f>
        <v>1</v>
      </c>
      <c r="AK559" s="8">
        <f ca="1">IF(PlayerGameData[[#This Row],[Visible]]=1,1,1000)</f>
        <v>1</v>
      </c>
      <c r="AL559" s="8">
        <f ca="1">RANK(PlayerGameData[[#This Row],[TL PTS]],PlayerGameData[TL PTS],0)+PlayerGameData[[#This Row],[VisibleOrder]]</f>
        <v>185</v>
      </c>
      <c r="AM559" s="8">
        <f ca="1">IF(COUNTIF(PlayerGameData[PointOrder],PlayerGameData[[#This Row],[PointOrder]])&gt;1,RANK(PlayerGameData[[#This Row],[FGA]],PlayerGameData[FGA],0)/100,0)+PlayerGameData[[#This Row],[PointOrder]]</f>
        <v>187.14</v>
      </c>
      <c r="AN559" s="8">
        <f ca="1">RANK(PlayerGameData[[#This Row],[PointTieBreak]],PlayerGameData[PointTieBreak],1)</f>
        <v>216</v>
      </c>
      <c r="AO559" s="8">
        <f ca="1">RANK(PlayerGameData[[#This Row],[REB]],PlayerGameData[REB],0)+PlayerGameData[[#This Row],[VisibleOrder]]</f>
        <v>192</v>
      </c>
      <c r="AP559" s="8">
        <f ca="1">IF(COUNTIF(PlayerGameData[REBOrder],PlayerGameData[[#This Row],[REBOrder]])&gt;1,PlayerGameData[[#This Row],[PointRank]]/100+PlayerGameData[[#This Row],[REBOrder]],PlayerGameData[[#This Row],[REBOrder]])</f>
        <v>194.16</v>
      </c>
      <c r="AQ559" s="8">
        <f ca="1">RANK(PlayerGameData[[#This Row],[REBTieBreak]],PlayerGameData[REBTieBreak],1)</f>
        <v>224</v>
      </c>
      <c r="AR559" s="8">
        <f ca="1">RANK(PlayerGameData[[#This Row],[AST]],PlayerGameData[AST],0)+PlayerGameData[[#This Row],[VisibleOrder]]</f>
        <v>158</v>
      </c>
      <c r="AS559" s="8">
        <f ca="1">IF(COUNTIF(PlayerGameData[ASTOrder],PlayerGameData[[#This Row],[ASTOrder]])&gt;1,PlayerGameData[[#This Row],[PointRank]]/100+PlayerGameData[[#This Row],[ASTOrder]],PlayerGameData[[#This Row],[ASTOrder]])</f>
        <v>160.16</v>
      </c>
      <c r="AT559" s="8">
        <f ca="1">RANK(PlayerGameData[[#This Row],[ASTTieBreak]],PlayerGameData[ASTTieBreak],1)</f>
        <v>221</v>
      </c>
      <c r="AU559" s="8">
        <f ca="1">RANK(PlayerGameData[[#This Row],[STL]],PlayerGameData[STL],0)+PlayerGameData[[#This Row],[VisibleOrder]]</f>
        <v>143</v>
      </c>
      <c r="AV559" s="8">
        <f ca="1">IF(COUNTIF(PlayerGameData[STLOrder],PlayerGameData[[#This Row],[STLOrder]])&gt;1,PlayerGameData[[#This Row],[PointRank]]/100+PlayerGameData[[#This Row],[STLOrder]],PlayerGameData[[#This Row],[STLOrder]])</f>
        <v>145.16</v>
      </c>
      <c r="AW559" s="8">
        <f ca="1">RANK(PlayerGameData[[#This Row],[STLTieBreak]],PlayerGameData[STLTieBreak],1)</f>
        <v>217</v>
      </c>
      <c r="AX559" s="8">
        <f ca="1">RANK(PlayerGameData[[#This Row],[BLK]],PlayerGameData[BLK],0)+PlayerGameData[[#This Row],[VisibleOrder]]</f>
        <v>32</v>
      </c>
      <c r="AY559" s="8">
        <f ca="1">IF(COUNTIF(PlayerGameData[BLKOrder],PlayerGameData[[#This Row],[BLKOrder]])&gt;1,PlayerGameData[[#This Row],[PointRank]]/100+PlayerGameData[[#This Row],[BLKOrder]],PlayerGameData[[#This Row],[BLKOrder]])</f>
        <v>34.159999999999997</v>
      </c>
      <c r="AZ559" s="8">
        <f ca="1">RANK(PlayerGameData[[#This Row],[BLKTieBreak]],PlayerGameData[BLKTieBreak],1)</f>
        <v>216</v>
      </c>
      <c r="BA559" s="11">
        <f ca="1">IFERROR(IF(PlayerGameData[[#This Row],[FGA]]&gt;$AA$5,PlayerGameData[[#This Row],[FG%*]],PlayerGameData[[#This Row],[FG%*]]*-1),-2)</f>
        <v>-2</v>
      </c>
      <c r="BB559" s="8">
        <f ca="1">RANK(PlayerGameData[[#This Row],[EligFG]],PlayerGameData[EligFG],0)+PlayerGameData[[#This Row],[VisibleOrder]]</f>
        <v>215</v>
      </c>
      <c r="BC559" s="8">
        <f ca="1">IF(COUNTIF(PlayerGameData[EligFGOrder],PlayerGameData[[#This Row],[EligFGOrder]])&gt;1,PlayerGameData[[#This Row],[PointRank]]/100+PlayerGameData[[#This Row],[EligFGOrder]],PlayerGameData[[#This Row],[EligFGOrder]])</f>
        <v>217.16</v>
      </c>
      <c r="BD559" s="8">
        <f ca="1">RANK(PlayerGameData[[#This Row],[EligFGTieBreak]],PlayerGameData[EligFGTieBreak],1)</f>
        <v>216</v>
      </c>
      <c r="BE559" s="8" t="str">
        <f>Roster!$D$3</f>
        <v>East</v>
      </c>
      <c r="BF559" s="8" t="str">
        <f>Roster!$D$2</f>
        <v>Northeast</v>
      </c>
      <c r="BG559" s="8" t="str">
        <f>Roster!$D$4</f>
        <v>North</v>
      </c>
      <c r="BH559" s="197">
        <f ca="1">IFERROR(VLOOKUP(CONCATENATE(PlayerGameData[[#This Row],[Opponent]]," ",MONTH(PlayerGameData[[#This Row],[Date]]),"/",DAY(PlayerGameData[[#This Row],[Date]]),"/",YEAR(PlayerGameData[[#This Row],[Date]])),Table35[],2,FALSE),0)</f>
        <v>1</v>
      </c>
      <c r="BI559" s="197">
        <f ca="1">IF(PlayerGameData[[#This Row],[Visible]]=1,1,1000)</f>
        <v>1</v>
      </c>
      <c r="BJ559" s="197" t="e">
        <f ca="1">_xlfn.MAXIFS(TeamGameData[Win],TeamGameData[School, Opponent,Game'#],PlayerGameData[[#This Row],[School, Opponent,Game'#]])</f>
        <v>#NAME?</v>
      </c>
      <c r="BK559" s="197" t="e">
        <f ca="1">_xlfn.MAXIFS(TeamGameData[Loss],TeamGameData[School, Opponent,Game'#],PlayerGameData[[#This Row],[School, Opponent,Game'#]])</f>
        <v>#NAME?</v>
      </c>
    </row>
    <row r="560" spans="1:63" x14ac:dyDescent="0.25">
      <c r="A560" s="8" t="str">
        <f t="shared" ca="1" si="273"/>
        <v>Logan Timberman, 3</v>
      </c>
      <c r="B560" s="8" t="str">
        <f>Roster!$B$1</f>
        <v>Upton</v>
      </c>
      <c r="C560" s="8" t="str">
        <f t="shared" ca="1" si="261"/>
        <v>Farson Eden</v>
      </c>
      <c r="D560" s="10">
        <f t="shared" ca="1" si="262"/>
        <v>44987</v>
      </c>
      <c r="E560" s="8">
        <f t="shared" ca="1" si="263"/>
        <v>1</v>
      </c>
      <c r="F560" s="8">
        <f t="shared" ca="1" si="264"/>
        <v>1</v>
      </c>
      <c r="G560" s="8">
        <f t="shared" ca="1" si="265"/>
        <v>25</v>
      </c>
      <c r="H560" s="8">
        <f t="shared" ca="1" si="266"/>
        <v>1</v>
      </c>
      <c r="I560" s="8">
        <f t="shared" ca="1" si="267"/>
        <v>1</v>
      </c>
      <c r="J560" s="8">
        <f t="shared" ca="1" si="268"/>
        <v>2</v>
      </c>
      <c r="K560" s="8">
        <f t="shared" ca="1" si="269"/>
        <v>3</v>
      </c>
      <c r="L560" s="8">
        <f t="shared" ca="1" si="274"/>
        <v>0</v>
      </c>
      <c r="M560" s="8">
        <f t="shared" ca="1" si="275"/>
        <v>0</v>
      </c>
      <c r="N560" s="8">
        <f t="shared" ca="1" si="276"/>
        <v>1</v>
      </c>
      <c r="O560" s="8">
        <f t="shared" ca="1" si="277"/>
        <v>4</v>
      </c>
      <c r="P560" s="8">
        <f t="shared" ca="1" si="278"/>
        <v>6</v>
      </c>
      <c r="Q560" s="8">
        <f t="shared" ca="1" si="279"/>
        <v>2</v>
      </c>
      <c r="R560" s="8">
        <f t="shared" ca="1" si="280"/>
        <v>0</v>
      </c>
      <c r="S560" s="8">
        <f t="shared" ca="1" si="281"/>
        <v>0</v>
      </c>
      <c r="T560" s="8">
        <f t="shared" ca="1" si="282"/>
        <v>2</v>
      </c>
      <c r="U560" s="8">
        <f t="shared" ca="1" si="283"/>
        <v>0</v>
      </c>
      <c r="V560" s="8">
        <f t="shared" ca="1" si="284"/>
        <v>7</v>
      </c>
      <c r="W560" s="11">
        <f t="shared" ca="1" si="285"/>
        <v>1</v>
      </c>
      <c r="X560" s="11">
        <f t="shared" ca="1" si="286"/>
        <v>0.66666666666666663</v>
      </c>
      <c r="Y560" s="11" t="str">
        <f t="shared" ca="1" si="287"/>
        <v/>
      </c>
      <c r="Z560" s="11">
        <f t="shared" ca="1" si="288"/>
        <v>0.75</v>
      </c>
      <c r="AA560" s="11">
        <f t="shared" ca="1" si="289"/>
        <v>0.875</v>
      </c>
      <c r="AB560" s="47">
        <f ca="1">PlayerGameData[[#This Row],[3FGA]]+PlayerGameData[[#This Row],[2FGA]]</f>
        <v>4</v>
      </c>
      <c r="AC560" s="47">
        <f ca="1">PlayerGameData[[#This Row],[OFF REB]]+PlayerGameData[[#This Row],[DEF REB]]</f>
        <v>5</v>
      </c>
      <c r="AD560" s="8">
        <f t="shared" si="270"/>
        <v>24</v>
      </c>
      <c r="AE560" s="8" t="str">
        <f t="shared" ca="1" si="271"/>
        <v>Logan Timberman, 3 - Farson Eden 3/2/2023</v>
      </c>
      <c r="AF560" s="8" t="str">
        <f t="shared" ca="1" si="290"/>
        <v/>
      </c>
      <c r="AG560" s="8" t="str">
        <f ca="1">IFERROR(IF(C560=0,"",IF(AND(VLOOKUP(PlayerGameData[[#This Row],[Opponent]],WYTeamInfo,2,FALSE)=Roster!$D$1,VLOOKUP(PlayerGameData[[#This Row],[Opponent]],WYTeamInfo,3,FALSE)=Roster!$D$2),"SR","")),"")</f>
        <v/>
      </c>
      <c r="AH560" s="8" t="str">
        <f>CONCATENATE(Roster!$D$1," ",Roster!$D$5)</f>
        <v>1A BB</v>
      </c>
      <c r="AI560" s="8" t="str">
        <f t="shared" ca="1" si="272"/>
        <v>Upton - Farson Eden 3/2/2023</v>
      </c>
      <c r="AJ560" s="8">
        <f ca="1">IFERROR(VLOOKUP(PlayerGameData[[#This Row],[School, Opponent,Game'#]],Table3[],2,FALSE),0)</f>
        <v>1</v>
      </c>
      <c r="AK560" s="8">
        <f ca="1">IF(PlayerGameData[[#This Row],[Visible]]=1,1,1000)</f>
        <v>1</v>
      </c>
      <c r="AL560" s="8">
        <f ca="1">RANK(PlayerGameData[[#This Row],[TL PTS]],PlayerGameData[TL PTS],0)+PlayerGameData[[#This Row],[VisibleOrder]]</f>
        <v>94</v>
      </c>
      <c r="AM560" s="8">
        <f ca="1">IF(COUNTIF(PlayerGameData[PointOrder],PlayerGameData[[#This Row],[PointOrder]])&gt;1,RANK(PlayerGameData[[#This Row],[FGA]],PlayerGameData[FGA],0)/100,0)+PlayerGameData[[#This Row],[PointOrder]]</f>
        <v>95.27</v>
      </c>
      <c r="AN560" s="8">
        <f ca="1">RANK(PlayerGameData[[#This Row],[PointTieBreak]],PlayerGameData[PointTieBreak],1)</f>
        <v>100</v>
      </c>
      <c r="AO560" s="8">
        <f ca="1">RANK(PlayerGameData[[#This Row],[REB]],PlayerGameData[REB],0)+PlayerGameData[[#This Row],[VisibleOrder]]</f>
        <v>52</v>
      </c>
      <c r="AP560" s="8">
        <f ca="1">IF(COUNTIF(PlayerGameData[REBOrder],PlayerGameData[[#This Row],[REBOrder]])&gt;1,PlayerGameData[[#This Row],[PointRank]]/100+PlayerGameData[[#This Row],[REBOrder]],PlayerGameData[[#This Row],[REBOrder]])</f>
        <v>53</v>
      </c>
      <c r="AQ560" s="8">
        <f ca="1">RANK(PlayerGameData[[#This Row],[REBTieBreak]],PlayerGameData[REBTieBreak],1)</f>
        <v>67</v>
      </c>
      <c r="AR560" s="8">
        <f ca="1">RANK(PlayerGameData[[#This Row],[AST]],PlayerGameData[AST],0)+PlayerGameData[[#This Row],[VisibleOrder]]</f>
        <v>7</v>
      </c>
      <c r="AS560" s="8">
        <f ca="1">IF(COUNTIF(PlayerGameData[ASTOrder],PlayerGameData[[#This Row],[ASTOrder]])&gt;1,PlayerGameData[[#This Row],[PointRank]]/100+PlayerGameData[[#This Row],[ASTOrder]],PlayerGameData[[#This Row],[ASTOrder]])</f>
        <v>8</v>
      </c>
      <c r="AT560" s="8">
        <f ca="1">RANK(PlayerGameData[[#This Row],[ASTTieBreak]],PlayerGameData[ASTTieBreak],1)</f>
        <v>11</v>
      </c>
      <c r="AU560" s="8">
        <f ca="1">RANK(PlayerGameData[[#This Row],[STL]],PlayerGameData[STL],0)+PlayerGameData[[#This Row],[VisibleOrder]]</f>
        <v>48</v>
      </c>
      <c r="AV560" s="8">
        <f ca="1">IF(COUNTIF(PlayerGameData[STLOrder],PlayerGameData[[#This Row],[STLOrder]])&gt;1,PlayerGameData[[#This Row],[PointRank]]/100+PlayerGameData[[#This Row],[STLOrder]],PlayerGameData[[#This Row],[STLOrder]])</f>
        <v>49</v>
      </c>
      <c r="AW560" s="8">
        <f ca="1">RANK(PlayerGameData[[#This Row],[STLTieBreak]],PlayerGameData[STLTieBreak],1)</f>
        <v>69</v>
      </c>
      <c r="AX560" s="8">
        <f ca="1">RANK(PlayerGameData[[#This Row],[BLK]],PlayerGameData[BLK],0)+PlayerGameData[[#This Row],[VisibleOrder]]</f>
        <v>32</v>
      </c>
      <c r="AY560" s="8">
        <f ca="1">IF(COUNTIF(PlayerGameData[BLKOrder],PlayerGameData[[#This Row],[BLKOrder]])&gt;1,PlayerGameData[[#This Row],[PointRank]]/100+PlayerGameData[[#This Row],[BLKOrder]],PlayerGameData[[#This Row],[BLKOrder]])</f>
        <v>33</v>
      </c>
      <c r="AZ560" s="8">
        <f ca="1">RANK(PlayerGameData[[#This Row],[BLKTieBreak]],PlayerGameData[BLKTieBreak],1)</f>
        <v>107</v>
      </c>
      <c r="BA560" s="11">
        <f ca="1">IFERROR(IF(PlayerGameData[[#This Row],[FGA]]&gt;$AA$5,PlayerGameData[[#This Row],[FG%*]],PlayerGameData[[#This Row],[FG%*]]*-1),-2)</f>
        <v>-0.75</v>
      </c>
      <c r="BB560" s="8">
        <f ca="1">RANK(PlayerGameData[[#This Row],[EligFG]],PlayerGameData[EligFG],0)+PlayerGameData[[#This Row],[VisibleOrder]]</f>
        <v>201</v>
      </c>
      <c r="BC560" s="8">
        <f ca="1">IF(COUNTIF(PlayerGameData[EligFGOrder],PlayerGameData[[#This Row],[EligFGOrder]])&gt;1,PlayerGameData[[#This Row],[PointRank]]/100+PlayerGameData[[#This Row],[EligFGOrder]],PlayerGameData[[#This Row],[EligFGOrder]])</f>
        <v>202</v>
      </c>
      <c r="BD560" s="8">
        <f ca="1">RANK(PlayerGameData[[#This Row],[EligFGTieBreak]],PlayerGameData[EligFGTieBreak],1)</f>
        <v>201</v>
      </c>
      <c r="BE560" s="8" t="str">
        <f>Roster!$D$3</f>
        <v>East</v>
      </c>
      <c r="BF560" s="8" t="str">
        <f>Roster!$D$2</f>
        <v>Northeast</v>
      </c>
      <c r="BG560" s="8" t="str">
        <f>Roster!$D$4</f>
        <v>North</v>
      </c>
      <c r="BH560" s="197">
        <f ca="1">IFERROR(VLOOKUP(CONCATENATE(PlayerGameData[[#This Row],[Opponent]]," ",MONTH(PlayerGameData[[#This Row],[Date]]),"/",DAY(PlayerGameData[[#This Row],[Date]]),"/",YEAR(PlayerGameData[[#This Row],[Date]])),Table35[],2,FALSE),0)</f>
        <v>1</v>
      </c>
      <c r="BI560" s="197">
        <f ca="1">IF(PlayerGameData[[#This Row],[Visible]]=1,1,1000)</f>
        <v>1</v>
      </c>
      <c r="BJ560" s="197" t="e">
        <f ca="1">_xlfn.MAXIFS(TeamGameData[Win],TeamGameData[School, Opponent,Game'#],PlayerGameData[[#This Row],[School, Opponent,Game'#]])</f>
        <v>#NAME?</v>
      </c>
      <c r="BK560" s="197" t="e">
        <f ca="1">_xlfn.MAXIFS(TeamGameData[Loss],TeamGameData[School, Opponent,Game'#],PlayerGameData[[#This Row],[School, Opponent,Game'#]])</f>
        <v>#NAME?</v>
      </c>
    </row>
    <row r="561" spans="1:63" x14ac:dyDescent="0.25">
      <c r="A561" s="8" t="str">
        <f t="shared" ca="1" si="273"/>
        <v>Chase Mills, 5</v>
      </c>
      <c r="B561" s="8" t="str">
        <f>Roster!$B$1</f>
        <v>Upton</v>
      </c>
      <c r="C561" s="8" t="str">
        <f t="shared" ca="1" si="261"/>
        <v>Farson Eden</v>
      </c>
      <c r="D561" s="10">
        <f t="shared" ca="1" si="262"/>
        <v>44987</v>
      </c>
      <c r="E561" s="8">
        <f t="shared" ca="1" si="263"/>
        <v>1</v>
      </c>
      <c r="F561" s="8">
        <f t="shared" ca="1" si="264"/>
        <v>1</v>
      </c>
      <c r="G561" s="8">
        <f t="shared" ca="1" si="265"/>
        <v>26</v>
      </c>
      <c r="H561" s="8">
        <f t="shared" ca="1" si="266"/>
        <v>3</v>
      </c>
      <c r="I561" s="8">
        <f t="shared" ca="1" si="267"/>
        <v>3</v>
      </c>
      <c r="J561" s="8">
        <f t="shared" ca="1" si="268"/>
        <v>3</v>
      </c>
      <c r="K561" s="8">
        <f t="shared" ca="1" si="269"/>
        <v>6</v>
      </c>
      <c r="L561" s="8">
        <f t="shared" ca="1" si="274"/>
        <v>0</v>
      </c>
      <c r="M561" s="8">
        <f t="shared" ca="1" si="275"/>
        <v>0</v>
      </c>
      <c r="N561" s="8">
        <f t="shared" ca="1" si="276"/>
        <v>1</v>
      </c>
      <c r="O561" s="8">
        <f t="shared" ca="1" si="277"/>
        <v>3</v>
      </c>
      <c r="P561" s="8">
        <f t="shared" ca="1" si="278"/>
        <v>1</v>
      </c>
      <c r="Q561" s="8">
        <f t="shared" ca="1" si="279"/>
        <v>1</v>
      </c>
      <c r="R561" s="8">
        <f t="shared" ca="1" si="280"/>
        <v>1</v>
      </c>
      <c r="S561" s="8">
        <f t="shared" ca="1" si="281"/>
        <v>6</v>
      </c>
      <c r="T561" s="8">
        <f t="shared" ca="1" si="282"/>
        <v>1</v>
      </c>
      <c r="U561" s="8">
        <f t="shared" ca="1" si="283"/>
        <v>0</v>
      </c>
      <c r="V561" s="8">
        <f t="shared" ca="1" si="284"/>
        <v>15</v>
      </c>
      <c r="W561" s="11">
        <f t="shared" ca="1" si="285"/>
        <v>1</v>
      </c>
      <c r="X561" s="11">
        <f t="shared" ca="1" si="286"/>
        <v>0.5</v>
      </c>
      <c r="Y561" s="11" t="str">
        <f t="shared" ca="1" si="287"/>
        <v/>
      </c>
      <c r="Z561" s="11">
        <f t="shared" ca="1" si="288"/>
        <v>0.66666666666666663</v>
      </c>
      <c r="AA561" s="11">
        <f t="shared" ca="1" si="289"/>
        <v>0.83333333333333337</v>
      </c>
      <c r="AB561" s="47">
        <f ca="1">PlayerGameData[[#This Row],[3FGA]]+PlayerGameData[[#This Row],[2FGA]]</f>
        <v>9</v>
      </c>
      <c r="AC561" s="47">
        <f ca="1">PlayerGameData[[#This Row],[OFF REB]]+PlayerGameData[[#This Row],[DEF REB]]</f>
        <v>4</v>
      </c>
      <c r="AD561" s="8">
        <f t="shared" si="270"/>
        <v>24</v>
      </c>
      <c r="AE561" s="8" t="str">
        <f t="shared" ca="1" si="271"/>
        <v>Chase Mills, 5 - Farson Eden 3/2/2023</v>
      </c>
      <c r="AF561" s="8" t="str">
        <f t="shared" ca="1" si="290"/>
        <v/>
      </c>
      <c r="AG561" s="8" t="str">
        <f ca="1">IFERROR(IF(C561=0,"",IF(AND(VLOOKUP(PlayerGameData[[#This Row],[Opponent]],WYTeamInfo,2,FALSE)=Roster!$D$1,VLOOKUP(PlayerGameData[[#This Row],[Opponent]],WYTeamInfo,3,FALSE)=Roster!$D$2),"SR","")),"")</f>
        <v/>
      </c>
      <c r="AH561" s="8" t="str">
        <f>CONCATENATE(Roster!$D$1," ",Roster!$D$5)</f>
        <v>1A BB</v>
      </c>
      <c r="AI561" s="8" t="str">
        <f t="shared" ca="1" si="272"/>
        <v>Upton - Farson Eden 3/2/2023</v>
      </c>
      <c r="AJ561" s="8">
        <f ca="1">IFERROR(VLOOKUP(PlayerGameData[[#This Row],[School, Opponent,Game'#]],Table3[],2,FALSE),0)</f>
        <v>1</v>
      </c>
      <c r="AK561" s="8">
        <f ca="1">IF(PlayerGameData[[#This Row],[Visible]]=1,1,1000)</f>
        <v>1</v>
      </c>
      <c r="AL561" s="8">
        <f ca="1">RANK(PlayerGameData[[#This Row],[TL PTS]],PlayerGameData[TL PTS],0)+PlayerGameData[[#This Row],[VisibleOrder]]</f>
        <v>30</v>
      </c>
      <c r="AM561" s="8">
        <f ca="1">IF(COUNTIF(PlayerGameData[PointOrder],PlayerGameData[[#This Row],[PointOrder]])&gt;1,RANK(PlayerGameData[[#This Row],[FGA]],PlayerGameData[FGA],0)/100,0)+PlayerGameData[[#This Row],[PointOrder]]</f>
        <v>30.59</v>
      </c>
      <c r="AN561" s="8">
        <f ca="1">RANK(PlayerGameData[[#This Row],[PointTieBreak]],PlayerGameData[PointTieBreak],1)</f>
        <v>32</v>
      </c>
      <c r="AO561" s="8">
        <f ca="1">RANK(PlayerGameData[[#This Row],[REB]],PlayerGameData[REB],0)+PlayerGameData[[#This Row],[VisibleOrder]]</f>
        <v>79</v>
      </c>
      <c r="AP561" s="8">
        <f ca="1">IF(COUNTIF(PlayerGameData[REBOrder],PlayerGameData[[#This Row],[REBOrder]])&gt;1,PlayerGameData[[#This Row],[PointRank]]/100+PlayerGameData[[#This Row],[REBOrder]],PlayerGameData[[#This Row],[REBOrder]])</f>
        <v>79.319999999999993</v>
      </c>
      <c r="AQ561" s="8">
        <f ca="1">RANK(PlayerGameData[[#This Row],[REBTieBreak]],PlayerGameData[REBTieBreak],1)</f>
        <v>85</v>
      </c>
      <c r="AR561" s="8">
        <f ca="1">RANK(PlayerGameData[[#This Row],[AST]],PlayerGameData[AST],0)+PlayerGameData[[#This Row],[VisibleOrder]]</f>
        <v>115</v>
      </c>
      <c r="AS561" s="8">
        <f ca="1">IF(COUNTIF(PlayerGameData[ASTOrder],PlayerGameData[[#This Row],[ASTOrder]])&gt;1,PlayerGameData[[#This Row],[PointRank]]/100+PlayerGameData[[#This Row],[ASTOrder]],PlayerGameData[[#This Row],[ASTOrder]])</f>
        <v>115.32</v>
      </c>
      <c r="AT561" s="8">
        <f ca="1">RANK(PlayerGameData[[#This Row],[ASTTieBreak]],PlayerGameData[ASTTieBreak],1)</f>
        <v>115</v>
      </c>
      <c r="AU561" s="8">
        <f ca="1">RANK(PlayerGameData[[#This Row],[STL]],PlayerGameData[STL],0)+PlayerGameData[[#This Row],[VisibleOrder]]</f>
        <v>84</v>
      </c>
      <c r="AV561" s="8">
        <f ca="1">IF(COUNTIF(PlayerGameData[STLOrder],PlayerGameData[[#This Row],[STLOrder]])&gt;1,PlayerGameData[[#This Row],[PointRank]]/100+PlayerGameData[[#This Row],[STLOrder]],PlayerGameData[[#This Row],[STLOrder]])</f>
        <v>84.32</v>
      </c>
      <c r="AW561" s="8">
        <f ca="1">RANK(PlayerGameData[[#This Row],[STLTieBreak]],PlayerGameData[STLTieBreak],1)</f>
        <v>87</v>
      </c>
      <c r="AX561" s="8">
        <f ca="1">RANK(PlayerGameData[[#This Row],[BLK]],PlayerGameData[BLK],0)+PlayerGameData[[#This Row],[VisibleOrder]]</f>
        <v>11</v>
      </c>
      <c r="AY561" s="8">
        <f ca="1">IF(COUNTIF(PlayerGameData[BLKOrder],PlayerGameData[[#This Row],[BLKOrder]])&gt;1,PlayerGameData[[#This Row],[PointRank]]/100+PlayerGameData[[#This Row],[BLKOrder]],PlayerGameData[[#This Row],[BLKOrder]])</f>
        <v>11.32</v>
      </c>
      <c r="AZ561" s="8">
        <f ca="1">RANK(PlayerGameData[[#This Row],[BLKTieBreak]],PlayerGameData[BLKTieBreak],1)</f>
        <v>13</v>
      </c>
      <c r="BA561" s="11">
        <f ca="1">IFERROR(IF(PlayerGameData[[#This Row],[FGA]]&gt;$AA$5,PlayerGameData[[#This Row],[FG%*]],PlayerGameData[[#This Row],[FG%*]]*-1),-2)</f>
        <v>0.66666666666666663</v>
      </c>
      <c r="BB561" s="8">
        <f ca="1">RANK(PlayerGameData[[#This Row],[EligFG]],PlayerGameData[EligFG],0)+PlayerGameData[[#This Row],[VisibleOrder]]</f>
        <v>13</v>
      </c>
      <c r="BC561" s="8">
        <f ca="1">IF(COUNTIF(PlayerGameData[EligFGOrder],PlayerGameData[[#This Row],[EligFGOrder]])&gt;1,PlayerGameData[[#This Row],[PointRank]]/100+PlayerGameData[[#This Row],[EligFGOrder]],PlayerGameData[[#This Row],[EligFGOrder]])</f>
        <v>13.32</v>
      </c>
      <c r="BD561" s="8">
        <f ca="1">RANK(PlayerGameData[[#This Row],[EligFGTieBreak]],PlayerGameData[EligFGTieBreak],1)</f>
        <v>12</v>
      </c>
      <c r="BE561" s="8" t="str">
        <f>Roster!$D$3</f>
        <v>East</v>
      </c>
      <c r="BF561" s="8" t="str">
        <f>Roster!$D$2</f>
        <v>Northeast</v>
      </c>
      <c r="BG561" s="8" t="str">
        <f>Roster!$D$4</f>
        <v>North</v>
      </c>
      <c r="BH561" s="197">
        <f ca="1">IFERROR(VLOOKUP(CONCATENATE(PlayerGameData[[#This Row],[Opponent]]," ",MONTH(PlayerGameData[[#This Row],[Date]]),"/",DAY(PlayerGameData[[#This Row],[Date]]),"/",YEAR(PlayerGameData[[#This Row],[Date]])),Table35[],2,FALSE),0)</f>
        <v>1</v>
      </c>
      <c r="BI561" s="197">
        <f ca="1">IF(PlayerGameData[[#This Row],[Visible]]=1,1,1000)</f>
        <v>1</v>
      </c>
      <c r="BJ561" s="197" t="e">
        <f ca="1">_xlfn.MAXIFS(TeamGameData[Win],TeamGameData[School, Opponent,Game'#],PlayerGameData[[#This Row],[School, Opponent,Game'#]])</f>
        <v>#NAME?</v>
      </c>
      <c r="BK561" s="197" t="e">
        <f ca="1">_xlfn.MAXIFS(TeamGameData[Loss],TeamGameData[School, Opponent,Game'#],PlayerGameData[[#This Row],[School, Opponent,Game'#]])</f>
        <v>#NAME?</v>
      </c>
    </row>
    <row r="562" spans="1:63" x14ac:dyDescent="0.25">
      <c r="A562" s="8" t="str">
        <f t="shared" ca="1" si="273"/>
        <v>Rhett Watt, 10</v>
      </c>
      <c r="B562" s="8" t="str">
        <f>Roster!$B$1</f>
        <v>Upton</v>
      </c>
      <c r="C562" s="8" t="str">
        <f t="shared" ca="1" si="261"/>
        <v>Farson Eden</v>
      </c>
      <c r="D562" s="10">
        <f t="shared" ca="1" si="262"/>
        <v>44987</v>
      </c>
      <c r="E562" s="8">
        <f t="shared" ca="1" si="263"/>
        <v>1</v>
      </c>
      <c r="F562" s="8">
        <f t="shared" ca="1" si="264"/>
        <v>1</v>
      </c>
      <c r="G562" s="8">
        <f t="shared" ca="1" si="265"/>
        <v>20</v>
      </c>
      <c r="H562" s="8">
        <f t="shared" ca="1" si="266"/>
        <v>1</v>
      </c>
      <c r="I562" s="8">
        <f t="shared" ca="1" si="267"/>
        <v>2</v>
      </c>
      <c r="J562" s="8">
        <f t="shared" ca="1" si="268"/>
        <v>0</v>
      </c>
      <c r="K562" s="8">
        <f t="shared" ca="1" si="269"/>
        <v>2</v>
      </c>
      <c r="L562" s="8">
        <f t="shared" ca="1" si="274"/>
        <v>2</v>
      </c>
      <c r="M562" s="8">
        <f t="shared" ca="1" si="275"/>
        <v>4</v>
      </c>
      <c r="N562" s="8">
        <f t="shared" ca="1" si="276"/>
        <v>0</v>
      </c>
      <c r="O562" s="8">
        <f t="shared" ca="1" si="277"/>
        <v>3</v>
      </c>
      <c r="P562" s="8">
        <f t="shared" ca="1" si="278"/>
        <v>1</v>
      </c>
      <c r="Q562" s="8">
        <f t="shared" ca="1" si="279"/>
        <v>1</v>
      </c>
      <c r="R562" s="8">
        <f t="shared" ca="1" si="280"/>
        <v>0</v>
      </c>
      <c r="S562" s="8">
        <f t="shared" ca="1" si="281"/>
        <v>2</v>
      </c>
      <c r="T562" s="8">
        <f t="shared" ca="1" si="282"/>
        <v>2</v>
      </c>
      <c r="U562" s="8">
        <f t="shared" ca="1" si="283"/>
        <v>0</v>
      </c>
      <c r="V562" s="8">
        <f t="shared" ca="1" si="284"/>
        <v>5</v>
      </c>
      <c r="W562" s="11">
        <f t="shared" ca="1" si="285"/>
        <v>0.5</v>
      </c>
      <c r="X562" s="11">
        <f t="shared" ca="1" si="286"/>
        <v>0</v>
      </c>
      <c r="Y562" s="11">
        <f t="shared" ca="1" si="287"/>
        <v>0.5</v>
      </c>
      <c r="Z562" s="11">
        <f t="shared" ca="1" si="288"/>
        <v>0.25</v>
      </c>
      <c r="AA562" s="11">
        <f t="shared" ca="1" si="289"/>
        <v>0.375</v>
      </c>
      <c r="AB562" s="47">
        <f ca="1">PlayerGameData[[#This Row],[3FGA]]+PlayerGameData[[#This Row],[2FGA]]</f>
        <v>4</v>
      </c>
      <c r="AC562" s="47">
        <f ca="1">PlayerGameData[[#This Row],[OFF REB]]+PlayerGameData[[#This Row],[DEF REB]]</f>
        <v>3</v>
      </c>
      <c r="AD562" s="8">
        <f t="shared" si="270"/>
        <v>24</v>
      </c>
      <c r="AE562" s="8" t="str">
        <f t="shared" ca="1" si="271"/>
        <v>Rhett Watt, 10 - Farson Eden 3/2/2023</v>
      </c>
      <c r="AF562" s="8" t="str">
        <f t="shared" ca="1" si="290"/>
        <v/>
      </c>
      <c r="AG562" s="8" t="str">
        <f ca="1">IFERROR(IF(C562=0,"",IF(AND(VLOOKUP(PlayerGameData[[#This Row],[Opponent]],WYTeamInfo,2,FALSE)=Roster!$D$1,VLOOKUP(PlayerGameData[[#This Row],[Opponent]],WYTeamInfo,3,FALSE)=Roster!$D$2),"SR","")),"")</f>
        <v/>
      </c>
      <c r="AH562" s="8" t="str">
        <f>CONCATENATE(Roster!$D$1," ",Roster!$D$5)</f>
        <v>1A BB</v>
      </c>
      <c r="AI562" s="8" t="str">
        <f t="shared" ca="1" si="272"/>
        <v>Upton - Farson Eden 3/2/2023</v>
      </c>
      <c r="AJ562" s="8">
        <f ca="1">IFERROR(VLOOKUP(PlayerGameData[[#This Row],[School, Opponent,Game'#]],Table3[],2,FALSE),0)</f>
        <v>1</v>
      </c>
      <c r="AK562" s="8">
        <f ca="1">IF(PlayerGameData[[#This Row],[Visible]]=1,1,1000)</f>
        <v>1</v>
      </c>
      <c r="AL562" s="8">
        <f ca="1">RANK(PlayerGameData[[#This Row],[TL PTS]],PlayerGameData[TL PTS],0)+PlayerGameData[[#This Row],[VisibleOrder]]</f>
        <v>110</v>
      </c>
      <c r="AM562" s="8">
        <f ca="1">IF(COUNTIF(PlayerGameData[PointOrder],PlayerGameData[[#This Row],[PointOrder]])&gt;1,RANK(PlayerGameData[[#This Row],[FGA]],PlayerGameData[FGA],0)/100,0)+PlayerGameData[[#This Row],[PointOrder]]</f>
        <v>111.27</v>
      </c>
      <c r="AN562" s="8">
        <f ca="1">RANK(PlayerGameData[[#This Row],[PointTieBreak]],PlayerGameData[PointTieBreak],1)</f>
        <v>113</v>
      </c>
      <c r="AO562" s="8">
        <f ca="1">RANK(PlayerGameData[[#This Row],[REB]],PlayerGameData[REB],0)+PlayerGameData[[#This Row],[VisibleOrder]]</f>
        <v>108</v>
      </c>
      <c r="AP562" s="8">
        <f ca="1">IF(COUNTIF(PlayerGameData[REBOrder],PlayerGameData[[#This Row],[REBOrder]])&gt;1,PlayerGameData[[#This Row],[PointRank]]/100+PlayerGameData[[#This Row],[REBOrder]],PlayerGameData[[#This Row],[REBOrder]])</f>
        <v>109.13</v>
      </c>
      <c r="AQ562" s="8">
        <f ca="1">RANK(PlayerGameData[[#This Row],[REBTieBreak]],PlayerGameData[REBTieBreak],1)</f>
        <v>119</v>
      </c>
      <c r="AR562" s="8">
        <f ca="1">RANK(PlayerGameData[[#This Row],[AST]],PlayerGameData[AST],0)+PlayerGameData[[#This Row],[VisibleOrder]]</f>
        <v>115</v>
      </c>
      <c r="AS562" s="8">
        <f ca="1">IF(COUNTIF(PlayerGameData[ASTOrder],PlayerGameData[[#This Row],[ASTOrder]])&gt;1,PlayerGameData[[#This Row],[PointRank]]/100+PlayerGameData[[#This Row],[ASTOrder]],PlayerGameData[[#This Row],[ASTOrder]])</f>
        <v>116.13</v>
      </c>
      <c r="AT562" s="8">
        <f ca="1">RANK(PlayerGameData[[#This Row],[ASTTieBreak]],PlayerGameData[ASTTieBreak],1)</f>
        <v>133</v>
      </c>
      <c r="AU562" s="8">
        <f ca="1">RANK(PlayerGameData[[#This Row],[STL]],PlayerGameData[STL],0)+PlayerGameData[[#This Row],[VisibleOrder]]</f>
        <v>84</v>
      </c>
      <c r="AV562" s="8">
        <f ca="1">IF(COUNTIF(PlayerGameData[STLOrder],PlayerGameData[[#This Row],[STLOrder]])&gt;1,PlayerGameData[[#This Row],[PointRank]]/100+PlayerGameData[[#This Row],[STLOrder]],PlayerGameData[[#This Row],[STLOrder]])</f>
        <v>85.13</v>
      </c>
      <c r="AW562" s="8">
        <f ca="1">RANK(PlayerGameData[[#This Row],[STLTieBreak]],PlayerGameData[STLTieBreak],1)</f>
        <v>113</v>
      </c>
      <c r="AX562" s="8">
        <f ca="1">RANK(PlayerGameData[[#This Row],[BLK]],PlayerGameData[BLK],0)+PlayerGameData[[#This Row],[VisibleOrder]]</f>
        <v>32</v>
      </c>
      <c r="AY562" s="8">
        <f ca="1">IF(COUNTIF(PlayerGameData[BLKOrder],PlayerGameData[[#This Row],[BLKOrder]])&gt;1,PlayerGameData[[#This Row],[PointRank]]/100+PlayerGameData[[#This Row],[BLKOrder]],PlayerGameData[[#This Row],[BLKOrder]])</f>
        <v>33.130000000000003</v>
      </c>
      <c r="AZ562" s="8">
        <f ca="1">RANK(PlayerGameData[[#This Row],[BLKTieBreak]],PlayerGameData[BLKTieBreak],1)</f>
        <v>118</v>
      </c>
      <c r="BA562" s="11">
        <f ca="1">IFERROR(IF(PlayerGameData[[#This Row],[FGA]]&gt;$AA$5,PlayerGameData[[#This Row],[FG%*]],PlayerGameData[[#This Row],[FG%*]]*-1),-2)</f>
        <v>-0.25</v>
      </c>
      <c r="BB562" s="8">
        <f ca="1">RANK(PlayerGameData[[#This Row],[EligFG]],PlayerGameData[EligFG],0)+PlayerGameData[[#This Row],[VisibleOrder]]</f>
        <v>160</v>
      </c>
      <c r="BC562" s="8">
        <f ca="1">IF(COUNTIF(PlayerGameData[EligFGOrder],PlayerGameData[[#This Row],[EligFGOrder]])&gt;1,PlayerGameData[[#This Row],[PointRank]]/100+PlayerGameData[[#This Row],[EligFGOrder]],PlayerGameData[[#This Row],[EligFGOrder]])</f>
        <v>161.13</v>
      </c>
      <c r="BD562" s="8">
        <f ca="1">RANK(PlayerGameData[[#This Row],[EligFGTieBreak]],PlayerGameData[EligFGTieBreak],1)</f>
        <v>159</v>
      </c>
      <c r="BE562" s="8" t="str">
        <f>Roster!$D$3</f>
        <v>East</v>
      </c>
      <c r="BF562" s="8" t="str">
        <f>Roster!$D$2</f>
        <v>Northeast</v>
      </c>
      <c r="BG562" s="8" t="str">
        <f>Roster!$D$4</f>
        <v>North</v>
      </c>
      <c r="BH562" s="197">
        <f ca="1">IFERROR(VLOOKUP(CONCATENATE(PlayerGameData[[#This Row],[Opponent]]," ",MONTH(PlayerGameData[[#This Row],[Date]]),"/",DAY(PlayerGameData[[#This Row],[Date]]),"/",YEAR(PlayerGameData[[#This Row],[Date]])),Table35[],2,FALSE),0)</f>
        <v>1</v>
      </c>
      <c r="BI562" s="197">
        <f ca="1">IF(PlayerGameData[[#This Row],[Visible]]=1,1,1000)</f>
        <v>1</v>
      </c>
      <c r="BJ562" s="197" t="e">
        <f ca="1">_xlfn.MAXIFS(TeamGameData[Win],TeamGameData[School, Opponent,Game'#],PlayerGameData[[#This Row],[School, Opponent,Game'#]])</f>
        <v>#NAME?</v>
      </c>
      <c r="BK562" s="197" t="e">
        <f ca="1">_xlfn.MAXIFS(TeamGameData[Loss],TeamGameData[School, Opponent,Game'#],PlayerGameData[[#This Row],[School, Opponent,Game'#]])</f>
        <v>#NAME?</v>
      </c>
    </row>
    <row r="563" spans="1:63" x14ac:dyDescent="0.25">
      <c r="A563" s="8" t="str">
        <f t="shared" ca="1" si="273"/>
        <v>Keith Coburn, 11</v>
      </c>
      <c r="B563" s="8" t="str">
        <f>Roster!$B$1</f>
        <v>Upton</v>
      </c>
      <c r="C563" s="8" t="str">
        <f t="shared" ca="1" si="261"/>
        <v>Farson Eden</v>
      </c>
      <c r="D563" s="10">
        <f t="shared" ca="1" si="262"/>
        <v>44987</v>
      </c>
      <c r="E563" s="8">
        <f t="shared" ca="1" si="263"/>
        <v>1</v>
      </c>
      <c r="F563" s="8">
        <f t="shared" ca="1" si="264"/>
        <v>0</v>
      </c>
      <c r="G563" s="8">
        <f t="shared" ca="1" si="265"/>
        <v>1</v>
      </c>
      <c r="H563" s="8">
        <f t="shared" ca="1" si="266"/>
        <v>0</v>
      </c>
      <c r="I563" s="8">
        <f t="shared" ca="1" si="267"/>
        <v>0</v>
      </c>
      <c r="J563" s="8">
        <f t="shared" ca="1" si="268"/>
        <v>0</v>
      </c>
      <c r="K563" s="8">
        <f t="shared" ca="1" si="269"/>
        <v>0</v>
      </c>
      <c r="L563" s="8">
        <f t="shared" ca="1" si="274"/>
        <v>0</v>
      </c>
      <c r="M563" s="8">
        <f t="shared" ca="1" si="275"/>
        <v>0</v>
      </c>
      <c r="N563" s="8">
        <f t="shared" ca="1" si="276"/>
        <v>0</v>
      </c>
      <c r="O563" s="8">
        <f t="shared" ca="1" si="277"/>
        <v>0</v>
      </c>
      <c r="P563" s="8">
        <f t="shared" ca="1" si="278"/>
        <v>0</v>
      </c>
      <c r="Q563" s="8">
        <f t="shared" ca="1" si="279"/>
        <v>0</v>
      </c>
      <c r="R563" s="8">
        <f t="shared" ca="1" si="280"/>
        <v>0</v>
      </c>
      <c r="S563" s="8">
        <f t="shared" ca="1" si="281"/>
        <v>0</v>
      </c>
      <c r="T563" s="8">
        <f t="shared" ca="1" si="282"/>
        <v>0</v>
      </c>
      <c r="U563" s="8">
        <f t="shared" ca="1" si="283"/>
        <v>0</v>
      </c>
      <c r="V563" s="8">
        <f t="shared" ca="1" si="284"/>
        <v>0</v>
      </c>
      <c r="W563" s="11" t="str">
        <f t="shared" ca="1" si="285"/>
        <v/>
      </c>
      <c r="X563" s="11" t="str">
        <f t="shared" ca="1" si="286"/>
        <v/>
      </c>
      <c r="Y563" s="11" t="str">
        <f t="shared" ca="1" si="287"/>
        <v/>
      </c>
      <c r="Z563" s="11" t="str">
        <f t="shared" ca="1" si="288"/>
        <v/>
      </c>
      <c r="AA563" s="11" t="str">
        <f t="shared" ca="1" si="289"/>
        <v/>
      </c>
      <c r="AB563" s="47">
        <f ca="1">PlayerGameData[[#This Row],[3FGA]]+PlayerGameData[[#This Row],[2FGA]]</f>
        <v>0</v>
      </c>
      <c r="AC563" s="47">
        <f ca="1">PlayerGameData[[#This Row],[OFF REB]]+PlayerGameData[[#This Row],[DEF REB]]</f>
        <v>0</v>
      </c>
      <c r="AD563" s="8">
        <f t="shared" si="270"/>
        <v>24</v>
      </c>
      <c r="AE563" s="8" t="str">
        <f t="shared" ca="1" si="271"/>
        <v>Keith Coburn, 11 - Farson Eden 3/2/2023</v>
      </c>
      <c r="AF563" s="8" t="str">
        <f t="shared" ca="1" si="290"/>
        <v/>
      </c>
      <c r="AG563" s="8" t="str">
        <f ca="1">IFERROR(IF(C563=0,"",IF(AND(VLOOKUP(PlayerGameData[[#This Row],[Opponent]],WYTeamInfo,2,FALSE)=Roster!$D$1,VLOOKUP(PlayerGameData[[#This Row],[Opponent]],WYTeamInfo,3,FALSE)=Roster!$D$2),"SR","")),"")</f>
        <v/>
      </c>
      <c r="AH563" s="8" t="str">
        <f>CONCATENATE(Roster!$D$1," ",Roster!$D$5)</f>
        <v>1A BB</v>
      </c>
      <c r="AI563" s="8" t="str">
        <f t="shared" ca="1" si="272"/>
        <v>Upton - Farson Eden 3/2/2023</v>
      </c>
      <c r="AJ563" s="8">
        <f ca="1">IFERROR(VLOOKUP(PlayerGameData[[#This Row],[School, Opponent,Game'#]],Table3[],2,FALSE),0)</f>
        <v>1</v>
      </c>
      <c r="AK563" s="8">
        <f ca="1">IF(PlayerGameData[[#This Row],[Visible]]=1,1,1000)</f>
        <v>1</v>
      </c>
      <c r="AL563" s="8">
        <f ca="1">RANK(PlayerGameData[[#This Row],[TL PTS]],PlayerGameData[TL PTS],0)+PlayerGameData[[#This Row],[VisibleOrder]]</f>
        <v>185</v>
      </c>
      <c r="AM563" s="8">
        <f ca="1">IF(COUNTIF(PlayerGameData[PointOrder],PlayerGameData[[#This Row],[PointOrder]])&gt;1,RANK(PlayerGameData[[#This Row],[FGA]],PlayerGameData[FGA],0)/100,0)+PlayerGameData[[#This Row],[PointOrder]]</f>
        <v>187.14</v>
      </c>
      <c r="AN563" s="8">
        <f ca="1">RANK(PlayerGameData[[#This Row],[PointTieBreak]],PlayerGameData[PointTieBreak],1)</f>
        <v>216</v>
      </c>
      <c r="AO563" s="8">
        <f ca="1">RANK(PlayerGameData[[#This Row],[REB]],PlayerGameData[REB],0)+PlayerGameData[[#This Row],[VisibleOrder]]</f>
        <v>192</v>
      </c>
      <c r="AP563" s="8">
        <f ca="1">IF(COUNTIF(PlayerGameData[REBOrder],PlayerGameData[[#This Row],[REBOrder]])&gt;1,PlayerGameData[[#This Row],[PointRank]]/100+PlayerGameData[[#This Row],[REBOrder]],PlayerGameData[[#This Row],[REBOrder]])</f>
        <v>194.16</v>
      </c>
      <c r="AQ563" s="8">
        <f ca="1">RANK(PlayerGameData[[#This Row],[REBTieBreak]],PlayerGameData[REBTieBreak],1)</f>
        <v>224</v>
      </c>
      <c r="AR563" s="8">
        <f ca="1">RANK(PlayerGameData[[#This Row],[AST]],PlayerGameData[AST],0)+PlayerGameData[[#This Row],[VisibleOrder]]</f>
        <v>158</v>
      </c>
      <c r="AS563" s="8">
        <f ca="1">IF(COUNTIF(PlayerGameData[ASTOrder],PlayerGameData[[#This Row],[ASTOrder]])&gt;1,PlayerGameData[[#This Row],[PointRank]]/100+PlayerGameData[[#This Row],[ASTOrder]],PlayerGameData[[#This Row],[ASTOrder]])</f>
        <v>160.16</v>
      </c>
      <c r="AT563" s="8">
        <f ca="1">RANK(PlayerGameData[[#This Row],[ASTTieBreak]],PlayerGameData[ASTTieBreak],1)</f>
        <v>221</v>
      </c>
      <c r="AU563" s="8">
        <f ca="1">RANK(PlayerGameData[[#This Row],[STL]],PlayerGameData[STL],0)+PlayerGameData[[#This Row],[VisibleOrder]]</f>
        <v>143</v>
      </c>
      <c r="AV563" s="8">
        <f ca="1">IF(COUNTIF(PlayerGameData[STLOrder],PlayerGameData[[#This Row],[STLOrder]])&gt;1,PlayerGameData[[#This Row],[PointRank]]/100+PlayerGameData[[#This Row],[STLOrder]],PlayerGameData[[#This Row],[STLOrder]])</f>
        <v>145.16</v>
      </c>
      <c r="AW563" s="8">
        <f ca="1">RANK(PlayerGameData[[#This Row],[STLTieBreak]],PlayerGameData[STLTieBreak],1)</f>
        <v>217</v>
      </c>
      <c r="AX563" s="8">
        <f ca="1">RANK(PlayerGameData[[#This Row],[BLK]],PlayerGameData[BLK],0)+PlayerGameData[[#This Row],[VisibleOrder]]</f>
        <v>32</v>
      </c>
      <c r="AY563" s="8">
        <f ca="1">IF(COUNTIF(PlayerGameData[BLKOrder],PlayerGameData[[#This Row],[BLKOrder]])&gt;1,PlayerGameData[[#This Row],[PointRank]]/100+PlayerGameData[[#This Row],[BLKOrder]],PlayerGameData[[#This Row],[BLKOrder]])</f>
        <v>34.159999999999997</v>
      </c>
      <c r="AZ563" s="8">
        <f ca="1">RANK(PlayerGameData[[#This Row],[BLKTieBreak]],PlayerGameData[BLKTieBreak],1)</f>
        <v>216</v>
      </c>
      <c r="BA563" s="11">
        <f ca="1">IFERROR(IF(PlayerGameData[[#This Row],[FGA]]&gt;$AA$5,PlayerGameData[[#This Row],[FG%*]],PlayerGameData[[#This Row],[FG%*]]*-1),-2)</f>
        <v>-2</v>
      </c>
      <c r="BB563" s="8">
        <f ca="1">RANK(PlayerGameData[[#This Row],[EligFG]],PlayerGameData[EligFG],0)+PlayerGameData[[#This Row],[VisibleOrder]]</f>
        <v>215</v>
      </c>
      <c r="BC563" s="8">
        <f ca="1">IF(COUNTIF(PlayerGameData[EligFGOrder],PlayerGameData[[#This Row],[EligFGOrder]])&gt;1,PlayerGameData[[#This Row],[PointRank]]/100+PlayerGameData[[#This Row],[EligFGOrder]],PlayerGameData[[#This Row],[EligFGOrder]])</f>
        <v>217.16</v>
      </c>
      <c r="BD563" s="8">
        <f ca="1">RANK(PlayerGameData[[#This Row],[EligFGTieBreak]],PlayerGameData[EligFGTieBreak],1)</f>
        <v>216</v>
      </c>
      <c r="BE563" s="8" t="str">
        <f>Roster!$D$3</f>
        <v>East</v>
      </c>
      <c r="BF563" s="8" t="str">
        <f>Roster!$D$2</f>
        <v>Northeast</v>
      </c>
      <c r="BG563" s="8" t="str">
        <f>Roster!$D$4</f>
        <v>North</v>
      </c>
      <c r="BH563" s="197">
        <f ca="1">IFERROR(VLOOKUP(CONCATENATE(PlayerGameData[[#This Row],[Opponent]]," ",MONTH(PlayerGameData[[#This Row],[Date]]),"/",DAY(PlayerGameData[[#This Row],[Date]]),"/",YEAR(PlayerGameData[[#This Row],[Date]])),Table35[],2,FALSE),0)</f>
        <v>1</v>
      </c>
      <c r="BI563" s="197">
        <f ca="1">IF(PlayerGameData[[#This Row],[Visible]]=1,1,1000)</f>
        <v>1</v>
      </c>
      <c r="BJ563" s="197" t="e">
        <f ca="1">_xlfn.MAXIFS(TeamGameData[Win],TeamGameData[School, Opponent,Game'#],PlayerGameData[[#This Row],[School, Opponent,Game'#]])</f>
        <v>#NAME?</v>
      </c>
      <c r="BK563" s="197" t="e">
        <f ca="1">_xlfn.MAXIFS(TeamGameData[Loss],TeamGameData[School, Opponent,Game'#],PlayerGameData[[#This Row],[School, Opponent,Game'#]])</f>
        <v>#NAME?</v>
      </c>
    </row>
    <row r="564" spans="1:63" x14ac:dyDescent="0.25">
      <c r="A564" s="8" t="str">
        <f t="shared" ca="1" si="273"/>
        <v>Carson Barritt, 14</v>
      </c>
      <c r="B564" s="8" t="str">
        <f>Roster!$B$1</f>
        <v>Upton</v>
      </c>
      <c r="C564" s="8" t="str">
        <f t="shared" ca="1" si="261"/>
        <v>Farson Eden</v>
      </c>
      <c r="D564" s="10">
        <f t="shared" ca="1" si="262"/>
        <v>44987</v>
      </c>
      <c r="E564" s="8">
        <f t="shared" ca="1" si="263"/>
        <v>0</v>
      </c>
      <c r="F564" s="8">
        <f t="shared" ca="1" si="264"/>
        <v>0</v>
      </c>
      <c r="G564" s="8">
        <f t="shared" ca="1" si="265"/>
        <v>0</v>
      </c>
      <c r="H564" s="8">
        <f t="shared" ca="1" si="266"/>
        <v>0</v>
      </c>
      <c r="I564" s="8">
        <f t="shared" ca="1" si="267"/>
        <v>0</v>
      </c>
      <c r="J564" s="8">
        <f t="shared" ca="1" si="268"/>
        <v>0</v>
      </c>
      <c r="K564" s="8">
        <f t="shared" ca="1" si="269"/>
        <v>0</v>
      </c>
      <c r="L564" s="8">
        <f t="shared" ca="1" si="274"/>
        <v>0</v>
      </c>
      <c r="M564" s="8">
        <f t="shared" ca="1" si="275"/>
        <v>0</v>
      </c>
      <c r="N564" s="8">
        <f t="shared" ca="1" si="276"/>
        <v>0</v>
      </c>
      <c r="O564" s="8">
        <f t="shared" ca="1" si="277"/>
        <v>0</v>
      </c>
      <c r="P564" s="8">
        <f t="shared" ca="1" si="278"/>
        <v>0</v>
      </c>
      <c r="Q564" s="8">
        <f t="shared" ca="1" si="279"/>
        <v>0</v>
      </c>
      <c r="R564" s="8">
        <f t="shared" ca="1" si="280"/>
        <v>0</v>
      </c>
      <c r="S564" s="8">
        <f t="shared" ca="1" si="281"/>
        <v>0</v>
      </c>
      <c r="T564" s="8">
        <f t="shared" ca="1" si="282"/>
        <v>0</v>
      </c>
      <c r="U564" s="8">
        <f t="shared" ca="1" si="283"/>
        <v>0</v>
      </c>
      <c r="V564" s="8">
        <f t="shared" ca="1" si="284"/>
        <v>0</v>
      </c>
      <c r="W564" s="11" t="str">
        <f t="shared" ca="1" si="285"/>
        <v/>
      </c>
      <c r="X564" s="11" t="str">
        <f t="shared" ca="1" si="286"/>
        <v/>
      </c>
      <c r="Y564" s="11" t="str">
        <f t="shared" ca="1" si="287"/>
        <v/>
      </c>
      <c r="Z564" s="11" t="str">
        <f t="shared" ca="1" si="288"/>
        <v/>
      </c>
      <c r="AA564" s="11" t="str">
        <f t="shared" ca="1" si="289"/>
        <v/>
      </c>
      <c r="AB564" s="47">
        <f ca="1">PlayerGameData[[#This Row],[3FGA]]+PlayerGameData[[#This Row],[2FGA]]</f>
        <v>0</v>
      </c>
      <c r="AC564" s="47">
        <f ca="1">PlayerGameData[[#This Row],[OFF REB]]+PlayerGameData[[#This Row],[DEF REB]]</f>
        <v>0</v>
      </c>
      <c r="AD564" s="8">
        <f t="shared" si="270"/>
        <v>24</v>
      </c>
      <c r="AE564" s="8" t="str">
        <f t="shared" ca="1" si="271"/>
        <v>Carson Barritt, 14 - Farson Eden 3/2/2023</v>
      </c>
      <c r="AF564" s="8" t="str">
        <f t="shared" ca="1" si="290"/>
        <v/>
      </c>
      <c r="AG564" s="8" t="str">
        <f ca="1">IFERROR(IF(C564=0,"",IF(AND(VLOOKUP(PlayerGameData[[#This Row],[Opponent]],WYTeamInfo,2,FALSE)=Roster!$D$1,VLOOKUP(PlayerGameData[[#This Row],[Opponent]],WYTeamInfo,3,FALSE)=Roster!$D$2),"SR","")),"")</f>
        <v/>
      </c>
      <c r="AH564" s="8" t="str">
        <f>CONCATENATE(Roster!$D$1," ",Roster!$D$5)</f>
        <v>1A BB</v>
      </c>
      <c r="AI564" s="8" t="str">
        <f t="shared" ca="1" si="272"/>
        <v>Upton - Farson Eden 3/2/2023</v>
      </c>
      <c r="AJ564" s="8">
        <f ca="1">IFERROR(VLOOKUP(PlayerGameData[[#This Row],[School, Opponent,Game'#]],Table3[],2,FALSE),0)</f>
        <v>1</v>
      </c>
      <c r="AK564" s="8">
        <f ca="1">IF(PlayerGameData[[#This Row],[Visible]]=1,1,1000)</f>
        <v>1</v>
      </c>
      <c r="AL564" s="8">
        <f ca="1">RANK(PlayerGameData[[#This Row],[TL PTS]],PlayerGameData[TL PTS],0)+PlayerGameData[[#This Row],[VisibleOrder]]</f>
        <v>185</v>
      </c>
      <c r="AM564" s="8">
        <f ca="1">IF(COUNTIF(PlayerGameData[PointOrder],PlayerGameData[[#This Row],[PointOrder]])&gt;1,RANK(PlayerGameData[[#This Row],[FGA]],PlayerGameData[FGA],0)/100,0)+PlayerGameData[[#This Row],[PointOrder]]</f>
        <v>187.14</v>
      </c>
      <c r="AN564" s="8">
        <f ca="1">RANK(PlayerGameData[[#This Row],[PointTieBreak]],PlayerGameData[PointTieBreak],1)</f>
        <v>216</v>
      </c>
      <c r="AO564" s="8">
        <f ca="1">RANK(PlayerGameData[[#This Row],[REB]],PlayerGameData[REB],0)+PlayerGameData[[#This Row],[VisibleOrder]]</f>
        <v>192</v>
      </c>
      <c r="AP564" s="8">
        <f ca="1">IF(COUNTIF(PlayerGameData[REBOrder],PlayerGameData[[#This Row],[REBOrder]])&gt;1,PlayerGameData[[#This Row],[PointRank]]/100+PlayerGameData[[#This Row],[REBOrder]],PlayerGameData[[#This Row],[REBOrder]])</f>
        <v>194.16</v>
      </c>
      <c r="AQ564" s="8">
        <f ca="1">RANK(PlayerGameData[[#This Row],[REBTieBreak]],PlayerGameData[REBTieBreak],1)</f>
        <v>224</v>
      </c>
      <c r="AR564" s="8">
        <f ca="1">RANK(PlayerGameData[[#This Row],[AST]],PlayerGameData[AST],0)+PlayerGameData[[#This Row],[VisibleOrder]]</f>
        <v>158</v>
      </c>
      <c r="AS564" s="8">
        <f ca="1">IF(COUNTIF(PlayerGameData[ASTOrder],PlayerGameData[[#This Row],[ASTOrder]])&gt;1,PlayerGameData[[#This Row],[PointRank]]/100+PlayerGameData[[#This Row],[ASTOrder]],PlayerGameData[[#This Row],[ASTOrder]])</f>
        <v>160.16</v>
      </c>
      <c r="AT564" s="8">
        <f ca="1">RANK(PlayerGameData[[#This Row],[ASTTieBreak]],PlayerGameData[ASTTieBreak],1)</f>
        <v>221</v>
      </c>
      <c r="AU564" s="8">
        <f ca="1">RANK(PlayerGameData[[#This Row],[STL]],PlayerGameData[STL],0)+PlayerGameData[[#This Row],[VisibleOrder]]</f>
        <v>143</v>
      </c>
      <c r="AV564" s="8">
        <f ca="1">IF(COUNTIF(PlayerGameData[STLOrder],PlayerGameData[[#This Row],[STLOrder]])&gt;1,PlayerGameData[[#This Row],[PointRank]]/100+PlayerGameData[[#This Row],[STLOrder]],PlayerGameData[[#This Row],[STLOrder]])</f>
        <v>145.16</v>
      </c>
      <c r="AW564" s="8">
        <f ca="1">RANK(PlayerGameData[[#This Row],[STLTieBreak]],PlayerGameData[STLTieBreak],1)</f>
        <v>217</v>
      </c>
      <c r="AX564" s="8">
        <f ca="1">RANK(PlayerGameData[[#This Row],[BLK]],PlayerGameData[BLK],0)+PlayerGameData[[#This Row],[VisibleOrder]]</f>
        <v>32</v>
      </c>
      <c r="AY564" s="8">
        <f ca="1">IF(COUNTIF(PlayerGameData[BLKOrder],PlayerGameData[[#This Row],[BLKOrder]])&gt;1,PlayerGameData[[#This Row],[PointRank]]/100+PlayerGameData[[#This Row],[BLKOrder]],PlayerGameData[[#This Row],[BLKOrder]])</f>
        <v>34.159999999999997</v>
      </c>
      <c r="AZ564" s="8">
        <f ca="1">RANK(PlayerGameData[[#This Row],[BLKTieBreak]],PlayerGameData[BLKTieBreak],1)</f>
        <v>216</v>
      </c>
      <c r="BA564" s="11">
        <f ca="1">IFERROR(IF(PlayerGameData[[#This Row],[FGA]]&gt;$AA$5,PlayerGameData[[#This Row],[FG%*]],PlayerGameData[[#This Row],[FG%*]]*-1),-2)</f>
        <v>-2</v>
      </c>
      <c r="BB564" s="8">
        <f ca="1">RANK(PlayerGameData[[#This Row],[EligFG]],PlayerGameData[EligFG],0)+PlayerGameData[[#This Row],[VisibleOrder]]</f>
        <v>215</v>
      </c>
      <c r="BC564" s="8">
        <f ca="1">IF(COUNTIF(PlayerGameData[EligFGOrder],PlayerGameData[[#This Row],[EligFGOrder]])&gt;1,PlayerGameData[[#This Row],[PointRank]]/100+PlayerGameData[[#This Row],[EligFGOrder]],PlayerGameData[[#This Row],[EligFGOrder]])</f>
        <v>217.16</v>
      </c>
      <c r="BD564" s="8">
        <f ca="1">RANK(PlayerGameData[[#This Row],[EligFGTieBreak]],PlayerGameData[EligFGTieBreak],1)</f>
        <v>216</v>
      </c>
      <c r="BE564" s="8" t="str">
        <f>Roster!$D$3</f>
        <v>East</v>
      </c>
      <c r="BF564" s="8" t="str">
        <f>Roster!$D$2</f>
        <v>Northeast</v>
      </c>
      <c r="BG564" s="8" t="str">
        <f>Roster!$D$4</f>
        <v>North</v>
      </c>
      <c r="BH564" s="197">
        <f ca="1">IFERROR(VLOOKUP(CONCATENATE(PlayerGameData[[#This Row],[Opponent]]," ",MONTH(PlayerGameData[[#This Row],[Date]]),"/",DAY(PlayerGameData[[#This Row],[Date]]),"/",YEAR(PlayerGameData[[#This Row],[Date]])),Table35[],2,FALSE),0)</f>
        <v>1</v>
      </c>
      <c r="BI564" s="197">
        <f ca="1">IF(PlayerGameData[[#This Row],[Visible]]=1,1,1000)</f>
        <v>1</v>
      </c>
      <c r="BJ564" s="197" t="e">
        <f ca="1">_xlfn.MAXIFS(TeamGameData[Win],TeamGameData[School, Opponent,Game'#],PlayerGameData[[#This Row],[School, Opponent,Game'#]])</f>
        <v>#NAME?</v>
      </c>
      <c r="BK564" s="197" t="e">
        <f ca="1">_xlfn.MAXIFS(TeamGameData[Loss],TeamGameData[School, Opponent,Game'#],PlayerGameData[[#This Row],[School, Opponent,Game'#]])</f>
        <v>#NAME?</v>
      </c>
    </row>
    <row r="565" spans="1:63" x14ac:dyDescent="0.25">
      <c r="A565" s="8" t="str">
        <f t="shared" ca="1" si="273"/>
        <v>Ben Carpenter, 21</v>
      </c>
      <c r="B565" s="8" t="str">
        <f>Roster!$B$1</f>
        <v>Upton</v>
      </c>
      <c r="C565" s="8" t="str">
        <f t="shared" ca="1" si="261"/>
        <v>Farson Eden</v>
      </c>
      <c r="D565" s="10">
        <f t="shared" ca="1" si="262"/>
        <v>44987</v>
      </c>
      <c r="E565" s="8">
        <f t="shared" ca="1" si="263"/>
        <v>1</v>
      </c>
      <c r="F565" s="8">
        <f t="shared" ca="1" si="264"/>
        <v>0</v>
      </c>
      <c r="G565" s="8">
        <f t="shared" ca="1" si="265"/>
        <v>1</v>
      </c>
      <c r="H565" s="8">
        <f t="shared" ca="1" si="266"/>
        <v>0</v>
      </c>
      <c r="I565" s="8">
        <f t="shared" ca="1" si="267"/>
        <v>0</v>
      </c>
      <c r="J565" s="8">
        <f t="shared" ca="1" si="268"/>
        <v>0</v>
      </c>
      <c r="K565" s="8">
        <f t="shared" ca="1" si="269"/>
        <v>0</v>
      </c>
      <c r="L565" s="8">
        <f t="shared" ca="1" si="274"/>
        <v>0</v>
      </c>
      <c r="M565" s="8">
        <f t="shared" ca="1" si="275"/>
        <v>0</v>
      </c>
      <c r="N565" s="8">
        <f t="shared" ca="1" si="276"/>
        <v>0</v>
      </c>
      <c r="O565" s="8">
        <f t="shared" ca="1" si="277"/>
        <v>0</v>
      </c>
      <c r="P565" s="8">
        <f t="shared" ca="1" si="278"/>
        <v>0</v>
      </c>
      <c r="Q565" s="8">
        <f t="shared" ca="1" si="279"/>
        <v>0</v>
      </c>
      <c r="R565" s="8">
        <f t="shared" ca="1" si="280"/>
        <v>0</v>
      </c>
      <c r="S565" s="8">
        <f t="shared" ca="1" si="281"/>
        <v>0</v>
      </c>
      <c r="T565" s="8">
        <f t="shared" ca="1" si="282"/>
        <v>0</v>
      </c>
      <c r="U565" s="8">
        <f t="shared" ca="1" si="283"/>
        <v>0</v>
      </c>
      <c r="V565" s="8">
        <f t="shared" ca="1" si="284"/>
        <v>0</v>
      </c>
      <c r="W565" s="11" t="str">
        <f t="shared" ca="1" si="285"/>
        <v/>
      </c>
      <c r="X565" s="11" t="str">
        <f t="shared" ca="1" si="286"/>
        <v/>
      </c>
      <c r="Y565" s="11" t="str">
        <f t="shared" ca="1" si="287"/>
        <v/>
      </c>
      <c r="Z565" s="11" t="str">
        <f t="shared" ca="1" si="288"/>
        <v/>
      </c>
      <c r="AA565" s="11" t="str">
        <f t="shared" ca="1" si="289"/>
        <v/>
      </c>
      <c r="AB565" s="47">
        <f ca="1">PlayerGameData[[#This Row],[3FGA]]+PlayerGameData[[#This Row],[2FGA]]</f>
        <v>0</v>
      </c>
      <c r="AC565" s="47">
        <f ca="1">PlayerGameData[[#This Row],[OFF REB]]+PlayerGameData[[#This Row],[DEF REB]]</f>
        <v>0</v>
      </c>
      <c r="AD565" s="8">
        <f t="shared" si="270"/>
        <v>24</v>
      </c>
      <c r="AE565" s="8" t="str">
        <f t="shared" ca="1" si="271"/>
        <v>Ben Carpenter, 21 - Farson Eden 3/2/2023</v>
      </c>
      <c r="AF565" s="8" t="str">
        <f t="shared" ca="1" si="290"/>
        <v/>
      </c>
      <c r="AG565" s="8" t="str">
        <f ca="1">IFERROR(IF(C565=0,"",IF(AND(VLOOKUP(PlayerGameData[[#This Row],[Opponent]],WYTeamInfo,2,FALSE)=Roster!$D$1,VLOOKUP(PlayerGameData[[#This Row],[Opponent]],WYTeamInfo,3,FALSE)=Roster!$D$2),"SR","")),"")</f>
        <v/>
      </c>
      <c r="AH565" s="8" t="str">
        <f>CONCATENATE(Roster!$D$1," ",Roster!$D$5)</f>
        <v>1A BB</v>
      </c>
      <c r="AI565" s="8" t="str">
        <f t="shared" ca="1" si="272"/>
        <v>Upton - Farson Eden 3/2/2023</v>
      </c>
      <c r="AJ565" s="8">
        <f ca="1">IFERROR(VLOOKUP(PlayerGameData[[#This Row],[School, Opponent,Game'#]],Table3[],2,FALSE),0)</f>
        <v>1</v>
      </c>
      <c r="AK565" s="8">
        <f ca="1">IF(PlayerGameData[[#This Row],[Visible]]=1,1,1000)</f>
        <v>1</v>
      </c>
      <c r="AL565" s="8">
        <f ca="1">RANK(PlayerGameData[[#This Row],[TL PTS]],PlayerGameData[TL PTS],0)+PlayerGameData[[#This Row],[VisibleOrder]]</f>
        <v>185</v>
      </c>
      <c r="AM565" s="8">
        <f ca="1">IF(COUNTIF(PlayerGameData[PointOrder],PlayerGameData[[#This Row],[PointOrder]])&gt;1,RANK(PlayerGameData[[#This Row],[FGA]],PlayerGameData[FGA],0)/100,0)+PlayerGameData[[#This Row],[PointOrder]]</f>
        <v>187.14</v>
      </c>
      <c r="AN565" s="8">
        <f ca="1">RANK(PlayerGameData[[#This Row],[PointTieBreak]],PlayerGameData[PointTieBreak],1)</f>
        <v>216</v>
      </c>
      <c r="AO565" s="8">
        <f ca="1">RANK(PlayerGameData[[#This Row],[REB]],PlayerGameData[REB],0)+PlayerGameData[[#This Row],[VisibleOrder]]</f>
        <v>192</v>
      </c>
      <c r="AP565" s="8">
        <f ca="1">IF(COUNTIF(PlayerGameData[REBOrder],PlayerGameData[[#This Row],[REBOrder]])&gt;1,PlayerGameData[[#This Row],[PointRank]]/100+PlayerGameData[[#This Row],[REBOrder]],PlayerGameData[[#This Row],[REBOrder]])</f>
        <v>194.16</v>
      </c>
      <c r="AQ565" s="8">
        <f ca="1">RANK(PlayerGameData[[#This Row],[REBTieBreak]],PlayerGameData[REBTieBreak],1)</f>
        <v>224</v>
      </c>
      <c r="AR565" s="8">
        <f ca="1">RANK(PlayerGameData[[#This Row],[AST]],PlayerGameData[AST],0)+PlayerGameData[[#This Row],[VisibleOrder]]</f>
        <v>158</v>
      </c>
      <c r="AS565" s="8">
        <f ca="1">IF(COUNTIF(PlayerGameData[ASTOrder],PlayerGameData[[#This Row],[ASTOrder]])&gt;1,PlayerGameData[[#This Row],[PointRank]]/100+PlayerGameData[[#This Row],[ASTOrder]],PlayerGameData[[#This Row],[ASTOrder]])</f>
        <v>160.16</v>
      </c>
      <c r="AT565" s="8">
        <f ca="1">RANK(PlayerGameData[[#This Row],[ASTTieBreak]],PlayerGameData[ASTTieBreak],1)</f>
        <v>221</v>
      </c>
      <c r="AU565" s="8">
        <f ca="1">RANK(PlayerGameData[[#This Row],[STL]],PlayerGameData[STL],0)+PlayerGameData[[#This Row],[VisibleOrder]]</f>
        <v>143</v>
      </c>
      <c r="AV565" s="8">
        <f ca="1">IF(COUNTIF(PlayerGameData[STLOrder],PlayerGameData[[#This Row],[STLOrder]])&gt;1,PlayerGameData[[#This Row],[PointRank]]/100+PlayerGameData[[#This Row],[STLOrder]],PlayerGameData[[#This Row],[STLOrder]])</f>
        <v>145.16</v>
      </c>
      <c r="AW565" s="8">
        <f ca="1">RANK(PlayerGameData[[#This Row],[STLTieBreak]],PlayerGameData[STLTieBreak],1)</f>
        <v>217</v>
      </c>
      <c r="AX565" s="8">
        <f ca="1">RANK(PlayerGameData[[#This Row],[BLK]],PlayerGameData[BLK],0)+PlayerGameData[[#This Row],[VisibleOrder]]</f>
        <v>32</v>
      </c>
      <c r="AY565" s="8">
        <f ca="1">IF(COUNTIF(PlayerGameData[BLKOrder],PlayerGameData[[#This Row],[BLKOrder]])&gt;1,PlayerGameData[[#This Row],[PointRank]]/100+PlayerGameData[[#This Row],[BLKOrder]],PlayerGameData[[#This Row],[BLKOrder]])</f>
        <v>34.159999999999997</v>
      </c>
      <c r="AZ565" s="8">
        <f ca="1">RANK(PlayerGameData[[#This Row],[BLKTieBreak]],PlayerGameData[BLKTieBreak],1)</f>
        <v>216</v>
      </c>
      <c r="BA565" s="11">
        <f ca="1">IFERROR(IF(PlayerGameData[[#This Row],[FGA]]&gt;$AA$5,PlayerGameData[[#This Row],[FG%*]],PlayerGameData[[#This Row],[FG%*]]*-1),-2)</f>
        <v>-2</v>
      </c>
      <c r="BB565" s="8">
        <f ca="1">RANK(PlayerGameData[[#This Row],[EligFG]],PlayerGameData[EligFG],0)+PlayerGameData[[#This Row],[VisibleOrder]]</f>
        <v>215</v>
      </c>
      <c r="BC565" s="8">
        <f ca="1">IF(COUNTIF(PlayerGameData[EligFGOrder],PlayerGameData[[#This Row],[EligFGOrder]])&gt;1,PlayerGameData[[#This Row],[PointRank]]/100+PlayerGameData[[#This Row],[EligFGOrder]],PlayerGameData[[#This Row],[EligFGOrder]])</f>
        <v>217.16</v>
      </c>
      <c r="BD565" s="8">
        <f ca="1">RANK(PlayerGameData[[#This Row],[EligFGTieBreak]],PlayerGameData[EligFGTieBreak],1)</f>
        <v>216</v>
      </c>
      <c r="BE565" s="8" t="str">
        <f>Roster!$D$3</f>
        <v>East</v>
      </c>
      <c r="BF565" s="8" t="str">
        <f>Roster!$D$2</f>
        <v>Northeast</v>
      </c>
      <c r="BG565" s="8" t="str">
        <f>Roster!$D$4</f>
        <v>North</v>
      </c>
      <c r="BH565" s="197">
        <f ca="1">IFERROR(VLOOKUP(CONCATENATE(PlayerGameData[[#This Row],[Opponent]]," ",MONTH(PlayerGameData[[#This Row],[Date]]),"/",DAY(PlayerGameData[[#This Row],[Date]]),"/",YEAR(PlayerGameData[[#This Row],[Date]])),Table35[],2,FALSE),0)</f>
        <v>1</v>
      </c>
      <c r="BI565" s="197">
        <f ca="1">IF(PlayerGameData[[#This Row],[Visible]]=1,1,1000)</f>
        <v>1</v>
      </c>
      <c r="BJ565" s="197" t="e">
        <f ca="1">_xlfn.MAXIFS(TeamGameData[Win],TeamGameData[School, Opponent,Game'#],PlayerGameData[[#This Row],[School, Opponent,Game'#]])</f>
        <v>#NAME?</v>
      </c>
      <c r="BK565" s="197" t="e">
        <f ca="1">_xlfn.MAXIFS(TeamGameData[Loss],TeamGameData[School, Opponent,Game'#],PlayerGameData[[#This Row],[School, Opponent,Game'#]])</f>
        <v>#NAME?</v>
      </c>
    </row>
    <row r="566" spans="1:63" x14ac:dyDescent="0.25">
      <c r="A566" s="8" t="str">
        <f t="shared" ca="1" si="273"/>
        <v>Ethan Schiller, 23</v>
      </c>
      <c r="B566" s="8" t="str">
        <f>Roster!$B$1</f>
        <v>Upton</v>
      </c>
      <c r="C566" s="8" t="str">
        <f t="shared" ca="1" si="261"/>
        <v>Farson Eden</v>
      </c>
      <c r="D566" s="10">
        <f t="shared" ca="1" si="262"/>
        <v>44987</v>
      </c>
      <c r="E566" s="8">
        <f t="shared" ca="1" si="263"/>
        <v>1</v>
      </c>
      <c r="F566" s="8">
        <f t="shared" ca="1" si="264"/>
        <v>1</v>
      </c>
      <c r="G566" s="8">
        <f t="shared" ca="1" si="265"/>
        <v>24</v>
      </c>
      <c r="H566" s="8">
        <f t="shared" ca="1" si="266"/>
        <v>1</v>
      </c>
      <c r="I566" s="8">
        <f t="shared" ca="1" si="267"/>
        <v>1</v>
      </c>
      <c r="J566" s="8">
        <f t="shared" ca="1" si="268"/>
        <v>3</v>
      </c>
      <c r="K566" s="8">
        <f t="shared" ca="1" si="269"/>
        <v>6</v>
      </c>
      <c r="L566" s="8">
        <f t="shared" ca="1" si="274"/>
        <v>6</v>
      </c>
      <c r="M566" s="8">
        <f t="shared" ca="1" si="275"/>
        <v>6</v>
      </c>
      <c r="N566" s="8">
        <f t="shared" ca="1" si="276"/>
        <v>2</v>
      </c>
      <c r="O566" s="8">
        <f t="shared" ca="1" si="277"/>
        <v>1</v>
      </c>
      <c r="P566" s="8">
        <f t="shared" ca="1" si="278"/>
        <v>1</v>
      </c>
      <c r="Q566" s="8">
        <f t="shared" ca="1" si="279"/>
        <v>3</v>
      </c>
      <c r="R566" s="8">
        <f t="shared" ca="1" si="280"/>
        <v>0</v>
      </c>
      <c r="S566" s="8">
        <f t="shared" ca="1" si="281"/>
        <v>3</v>
      </c>
      <c r="T566" s="8">
        <f t="shared" ca="1" si="282"/>
        <v>1</v>
      </c>
      <c r="U566" s="8">
        <f t="shared" ca="1" si="283"/>
        <v>0</v>
      </c>
      <c r="V566" s="8">
        <f t="shared" ca="1" si="284"/>
        <v>15</v>
      </c>
      <c r="W566" s="11">
        <f t="shared" ca="1" si="285"/>
        <v>1</v>
      </c>
      <c r="X566" s="11">
        <f t="shared" ca="1" si="286"/>
        <v>0.5</v>
      </c>
      <c r="Y566" s="11">
        <f t="shared" ca="1" si="287"/>
        <v>1</v>
      </c>
      <c r="Z566" s="11">
        <f t="shared" ca="1" si="288"/>
        <v>0.5714285714285714</v>
      </c>
      <c r="AA566" s="11">
        <f t="shared" ca="1" si="289"/>
        <v>0.6428571428571429</v>
      </c>
      <c r="AB566" s="47">
        <f ca="1">PlayerGameData[[#This Row],[3FGA]]+PlayerGameData[[#This Row],[2FGA]]</f>
        <v>7</v>
      </c>
      <c r="AC566" s="47">
        <f ca="1">PlayerGameData[[#This Row],[OFF REB]]+PlayerGameData[[#This Row],[DEF REB]]</f>
        <v>3</v>
      </c>
      <c r="AD566" s="8">
        <f t="shared" si="270"/>
        <v>24</v>
      </c>
      <c r="AE566" s="8" t="str">
        <f t="shared" ca="1" si="271"/>
        <v>Ethan Schiller, 23 - Farson Eden 3/2/2023</v>
      </c>
      <c r="AF566" s="8" t="str">
        <f t="shared" ca="1" si="290"/>
        <v/>
      </c>
      <c r="AG566" s="8" t="str">
        <f ca="1">IFERROR(IF(C566=0,"",IF(AND(VLOOKUP(PlayerGameData[[#This Row],[Opponent]],WYTeamInfo,2,FALSE)=Roster!$D$1,VLOOKUP(PlayerGameData[[#This Row],[Opponent]],WYTeamInfo,3,FALSE)=Roster!$D$2),"SR","")),"")</f>
        <v/>
      </c>
      <c r="AH566" s="8" t="str">
        <f>CONCATENATE(Roster!$D$1," ",Roster!$D$5)</f>
        <v>1A BB</v>
      </c>
      <c r="AI566" s="8" t="str">
        <f t="shared" ca="1" si="272"/>
        <v>Upton - Farson Eden 3/2/2023</v>
      </c>
      <c r="AJ566" s="8">
        <f ca="1">IFERROR(VLOOKUP(PlayerGameData[[#This Row],[School, Opponent,Game'#]],Table3[],2,FALSE),0)</f>
        <v>1</v>
      </c>
      <c r="AK566" s="8">
        <f ca="1">IF(PlayerGameData[[#This Row],[Visible]]=1,1,1000)</f>
        <v>1</v>
      </c>
      <c r="AL566" s="8">
        <f ca="1">RANK(PlayerGameData[[#This Row],[TL PTS]],PlayerGameData[TL PTS],0)+PlayerGameData[[#This Row],[VisibleOrder]]</f>
        <v>30</v>
      </c>
      <c r="AM566" s="8">
        <f ca="1">IF(COUNTIF(PlayerGameData[PointOrder],PlayerGameData[[#This Row],[PointOrder]])&gt;1,RANK(PlayerGameData[[#This Row],[FGA]],PlayerGameData[FGA],0)/100,0)+PlayerGameData[[#This Row],[PointOrder]]</f>
        <v>30.93</v>
      </c>
      <c r="AN566" s="8">
        <f ca="1">RANK(PlayerGameData[[#This Row],[PointTieBreak]],PlayerGameData[PointTieBreak],1)</f>
        <v>34</v>
      </c>
      <c r="AO566" s="8">
        <f ca="1">RANK(PlayerGameData[[#This Row],[REB]],PlayerGameData[REB],0)+PlayerGameData[[#This Row],[VisibleOrder]]</f>
        <v>108</v>
      </c>
      <c r="AP566" s="8">
        <f ca="1">IF(COUNTIF(PlayerGameData[REBOrder],PlayerGameData[[#This Row],[REBOrder]])&gt;1,PlayerGameData[[#This Row],[PointRank]]/100+PlayerGameData[[#This Row],[REBOrder]],PlayerGameData[[#This Row],[REBOrder]])</f>
        <v>108.34</v>
      </c>
      <c r="AQ566" s="8">
        <f ca="1">RANK(PlayerGameData[[#This Row],[REBTieBreak]],PlayerGameData[REBTieBreak],1)</f>
        <v>110</v>
      </c>
      <c r="AR566" s="8">
        <f ca="1">RANK(PlayerGameData[[#This Row],[AST]],PlayerGameData[AST],0)+PlayerGameData[[#This Row],[VisibleOrder]]</f>
        <v>115</v>
      </c>
      <c r="AS566" s="8">
        <f ca="1">IF(COUNTIF(PlayerGameData[ASTOrder],PlayerGameData[[#This Row],[ASTOrder]])&gt;1,PlayerGameData[[#This Row],[PointRank]]/100+PlayerGameData[[#This Row],[ASTOrder]],PlayerGameData[[#This Row],[ASTOrder]])</f>
        <v>115.34</v>
      </c>
      <c r="AT566" s="8">
        <f ca="1">RANK(PlayerGameData[[#This Row],[ASTTieBreak]],PlayerGameData[ASTTieBreak],1)</f>
        <v>117</v>
      </c>
      <c r="AU566" s="8">
        <f ca="1">RANK(PlayerGameData[[#This Row],[STL]],PlayerGameData[STL],0)+PlayerGameData[[#This Row],[VisibleOrder]]</f>
        <v>26</v>
      </c>
      <c r="AV566" s="8">
        <f ca="1">IF(COUNTIF(PlayerGameData[STLOrder],PlayerGameData[[#This Row],[STLOrder]])&gt;1,PlayerGameData[[#This Row],[PointRank]]/100+PlayerGameData[[#This Row],[STLOrder]],PlayerGameData[[#This Row],[STLOrder]])</f>
        <v>26.34</v>
      </c>
      <c r="AW566" s="8">
        <f ca="1">RANK(PlayerGameData[[#This Row],[STLTieBreak]],PlayerGameData[STLTieBreak],1)</f>
        <v>31</v>
      </c>
      <c r="AX566" s="8">
        <f ca="1">RANK(PlayerGameData[[#This Row],[BLK]],PlayerGameData[BLK],0)+PlayerGameData[[#This Row],[VisibleOrder]]</f>
        <v>32</v>
      </c>
      <c r="AY566" s="8">
        <f ca="1">IF(COUNTIF(PlayerGameData[BLKOrder],PlayerGameData[[#This Row],[BLKOrder]])&gt;1,PlayerGameData[[#This Row],[PointRank]]/100+PlayerGameData[[#This Row],[BLKOrder]],PlayerGameData[[#This Row],[BLKOrder]])</f>
        <v>32.340000000000003</v>
      </c>
      <c r="AZ566" s="8">
        <f ca="1">RANK(PlayerGameData[[#This Row],[BLKTieBreak]],PlayerGameData[BLKTieBreak],1)</f>
        <v>57</v>
      </c>
      <c r="BA566" s="11">
        <f ca="1">IFERROR(IF(PlayerGameData[[#This Row],[FGA]]&gt;$AA$5,PlayerGameData[[#This Row],[FG%*]],PlayerGameData[[#This Row],[FG%*]]*-1),-2)</f>
        <v>0.5714285714285714</v>
      </c>
      <c r="BB566" s="8">
        <f ca="1">RANK(PlayerGameData[[#This Row],[EligFG]],PlayerGameData[EligFG],0)+PlayerGameData[[#This Row],[VisibleOrder]]</f>
        <v>27</v>
      </c>
      <c r="BC566" s="8">
        <f ca="1">IF(COUNTIF(PlayerGameData[EligFGOrder],PlayerGameData[[#This Row],[EligFGOrder]])&gt;1,PlayerGameData[[#This Row],[PointRank]]/100+PlayerGameData[[#This Row],[EligFGOrder]],PlayerGameData[[#This Row],[EligFGOrder]])</f>
        <v>27.34</v>
      </c>
      <c r="BD566" s="8">
        <f ca="1">RANK(PlayerGameData[[#This Row],[EligFGTieBreak]],PlayerGameData[EligFGTieBreak],1)</f>
        <v>27</v>
      </c>
      <c r="BE566" s="8" t="str">
        <f>Roster!$D$3</f>
        <v>East</v>
      </c>
      <c r="BF566" s="8" t="str">
        <f>Roster!$D$2</f>
        <v>Northeast</v>
      </c>
      <c r="BG566" s="8" t="str">
        <f>Roster!$D$4</f>
        <v>North</v>
      </c>
      <c r="BH566" s="197">
        <f ca="1">IFERROR(VLOOKUP(CONCATENATE(PlayerGameData[[#This Row],[Opponent]]," ",MONTH(PlayerGameData[[#This Row],[Date]]),"/",DAY(PlayerGameData[[#This Row],[Date]]),"/",YEAR(PlayerGameData[[#This Row],[Date]])),Table35[],2,FALSE),0)</f>
        <v>1</v>
      </c>
      <c r="BI566" s="197">
        <f ca="1">IF(PlayerGameData[[#This Row],[Visible]]=1,1,1000)</f>
        <v>1</v>
      </c>
      <c r="BJ566" s="197" t="e">
        <f ca="1">_xlfn.MAXIFS(TeamGameData[Win],TeamGameData[School, Opponent,Game'#],PlayerGameData[[#This Row],[School, Opponent,Game'#]])</f>
        <v>#NAME?</v>
      </c>
      <c r="BK566" s="197" t="e">
        <f ca="1">_xlfn.MAXIFS(TeamGameData[Loss],TeamGameData[School, Opponent,Game'#],PlayerGameData[[#This Row],[School, Opponent,Game'#]])</f>
        <v>#NAME?</v>
      </c>
    </row>
    <row r="567" spans="1:63" x14ac:dyDescent="0.25">
      <c r="A567" s="8" t="str">
        <f t="shared" ca="1" si="273"/>
        <v>Bridger Bruce, 25</v>
      </c>
      <c r="B567" s="8" t="str">
        <f>Roster!$B$1</f>
        <v>Upton</v>
      </c>
      <c r="C567" s="8" t="str">
        <f t="shared" ca="1" si="261"/>
        <v>Farson Eden</v>
      </c>
      <c r="D567" s="10">
        <f t="shared" ca="1" si="262"/>
        <v>44987</v>
      </c>
      <c r="E567" s="8">
        <f t="shared" ca="1" si="263"/>
        <v>1</v>
      </c>
      <c r="F567" s="8">
        <f t="shared" ca="1" si="264"/>
        <v>0</v>
      </c>
      <c r="G567" s="8">
        <f t="shared" ca="1" si="265"/>
        <v>16</v>
      </c>
      <c r="H567" s="8">
        <f t="shared" ca="1" si="266"/>
        <v>0</v>
      </c>
      <c r="I567" s="8">
        <f t="shared" ca="1" si="267"/>
        <v>1</v>
      </c>
      <c r="J567" s="8">
        <f t="shared" ca="1" si="268"/>
        <v>0</v>
      </c>
      <c r="K567" s="8">
        <f t="shared" ca="1" si="269"/>
        <v>1</v>
      </c>
      <c r="L567" s="8">
        <f t="shared" ca="1" si="274"/>
        <v>1</v>
      </c>
      <c r="M567" s="8">
        <f t="shared" ca="1" si="275"/>
        <v>2</v>
      </c>
      <c r="N567" s="8">
        <f t="shared" ca="1" si="276"/>
        <v>1</v>
      </c>
      <c r="O567" s="8">
        <f t="shared" ca="1" si="277"/>
        <v>2</v>
      </c>
      <c r="P567" s="8">
        <f t="shared" ca="1" si="278"/>
        <v>2</v>
      </c>
      <c r="Q567" s="8">
        <f t="shared" ca="1" si="279"/>
        <v>0</v>
      </c>
      <c r="R567" s="8">
        <f t="shared" ca="1" si="280"/>
        <v>0</v>
      </c>
      <c r="S567" s="8">
        <f t="shared" ca="1" si="281"/>
        <v>1</v>
      </c>
      <c r="T567" s="8">
        <f t="shared" ca="1" si="282"/>
        <v>2</v>
      </c>
      <c r="U567" s="8">
        <f t="shared" ca="1" si="283"/>
        <v>0</v>
      </c>
      <c r="V567" s="8">
        <f t="shared" ca="1" si="284"/>
        <v>1</v>
      </c>
      <c r="W567" s="11">
        <f t="shared" ca="1" si="285"/>
        <v>0</v>
      </c>
      <c r="X567" s="11">
        <f t="shared" ca="1" si="286"/>
        <v>0</v>
      </c>
      <c r="Y567" s="11">
        <f t="shared" ca="1" si="287"/>
        <v>0.5</v>
      </c>
      <c r="Z567" s="11">
        <f t="shared" ca="1" si="288"/>
        <v>0</v>
      </c>
      <c r="AA567" s="11">
        <f t="shared" ca="1" si="289"/>
        <v>0</v>
      </c>
      <c r="AB567" s="47">
        <f ca="1">PlayerGameData[[#This Row],[3FGA]]+PlayerGameData[[#This Row],[2FGA]]</f>
        <v>2</v>
      </c>
      <c r="AC567" s="47">
        <f ca="1">PlayerGameData[[#This Row],[OFF REB]]+PlayerGameData[[#This Row],[DEF REB]]</f>
        <v>3</v>
      </c>
      <c r="AD567" s="8">
        <f t="shared" si="270"/>
        <v>24</v>
      </c>
      <c r="AE567" s="8" t="str">
        <f t="shared" ca="1" si="271"/>
        <v>Bridger Bruce, 25 - Farson Eden 3/2/2023</v>
      </c>
      <c r="AF567" s="8" t="str">
        <f t="shared" ca="1" si="290"/>
        <v/>
      </c>
      <c r="AG567" s="8" t="str">
        <f ca="1">IFERROR(IF(C567=0,"",IF(AND(VLOOKUP(PlayerGameData[[#This Row],[Opponent]],WYTeamInfo,2,FALSE)=Roster!$D$1,VLOOKUP(PlayerGameData[[#This Row],[Opponent]],WYTeamInfo,3,FALSE)=Roster!$D$2),"SR","")),"")</f>
        <v/>
      </c>
      <c r="AH567" s="8" t="str">
        <f>CONCATENATE(Roster!$D$1," ",Roster!$D$5)</f>
        <v>1A BB</v>
      </c>
      <c r="AI567" s="8" t="str">
        <f t="shared" ca="1" si="272"/>
        <v>Upton - Farson Eden 3/2/2023</v>
      </c>
      <c r="AJ567" s="8">
        <f ca="1">IFERROR(VLOOKUP(PlayerGameData[[#This Row],[School, Opponent,Game'#]],Table3[],2,FALSE),0)</f>
        <v>1</v>
      </c>
      <c r="AK567" s="8">
        <f ca="1">IF(PlayerGameData[[#This Row],[Visible]]=1,1,1000)</f>
        <v>1</v>
      </c>
      <c r="AL567" s="8">
        <f ca="1">RANK(PlayerGameData[[#This Row],[TL PTS]],PlayerGameData[TL PTS],0)+PlayerGameData[[#This Row],[VisibleOrder]]</f>
        <v>176</v>
      </c>
      <c r="AM567" s="8">
        <f ca="1">IF(COUNTIF(PlayerGameData[PointOrder],PlayerGameData[[#This Row],[PointOrder]])&gt;1,RANK(PlayerGameData[[#This Row],[FGA]],PlayerGameData[FGA],0)/100,0)+PlayerGameData[[#This Row],[PointOrder]]</f>
        <v>177.61</v>
      </c>
      <c r="AN567" s="8">
        <f ca="1">RANK(PlayerGameData[[#This Row],[PointTieBreak]],PlayerGameData[PointTieBreak],1)</f>
        <v>178</v>
      </c>
      <c r="AO567" s="8">
        <f ca="1">RANK(PlayerGameData[[#This Row],[REB]],PlayerGameData[REB],0)+PlayerGameData[[#This Row],[VisibleOrder]]</f>
        <v>108</v>
      </c>
      <c r="AP567" s="8">
        <f ca="1">IF(COUNTIF(PlayerGameData[REBOrder],PlayerGameData[[#This Row],[REBOrder]])&gt;1,PlayerGameData[[#This Row],[PointRank]]/100+PlayerGameData[[#This Row],[REBOrder]],PlayerGameData[[#This Row],[REBOrder]])</f>
        <v>109.78</v>
      </c>
      <c r="AQ567" s="8">
        <f ca="1">RANK(PlayerGameData[[#This Row],[REBTieBreak]],PlayerGameData[REBTieBreak],1)</f>
        <v>132</v>
      </c>
      <c r="AR567" s="8">
        <f ca="1">RANK(PlayerGameData[[#This Row],[AST]],PlayerGameData[AST],0)+PlayerGameData[[#This Row],[VisibleOrder]]</f>
        <v>69</v>
      </c>
      <c r="AS567" s="8">
        <f ca="1">IF(COUNTIF(PlayerGameData[ASTOrder],PlayerGameData[[#This Row],[ASTOrder]])&gt;1,PlayerGameData[[#This Row],[PointRank]]/100+PlayerGameData[[#This Row],[ASTOrder]],PlayerGameData[[#This Row],[ASTOrder]])</f>
        <v>70.78</v>
      </c>
      <c r="AT567" s="8">
        <f ca="1">RANK(PlayerGameData[[#This Row],[ASTTieBreak]],PlayerGameData[ASTTieBreak],1)</f>
        <v>111</v>
      </c>
      <c r="AU567" s="8">
        <f ca="1">RANK(PlayerGameData[[#This Row],[STL]],PlayerGameData[STL],0)+PlayerGameData[[#This Row],[VisibleOrder]]</f>
        <v>143</v>
      </c>
      <c r="AV567" s="8">
        <f ca="1">IF(COUNTIF(PlayerGameData[STLOrder],PlayerGameData[[#This Row],[STLOrder]])&gt;1,PlayerGameData[[#This Row],[PointRank]]/100+PlayerGameData[[#This Row],[STLOrder]],PlayerGameData[[#This Row],[STLOrder]])</f>
        <v>144.78</v>
      </c>
      <c r="AW567" s="8">
        <f ca="1">RANK(PlayerGameData[[#This Row],[STLTieBreak]],PlayerGameData[STLTieBreak],1)</f>
        <v>189</v>
      </c>
      <c r="AX567" s="8">
        <f ca="1">RANK(PlayerGameData[[#This Row],[BLK]],PlayerGameData[BLK],0)+PlayerGameData[[#This Row],[VisibleOrder]]</f>
        <v>32</v>
      </c>
      <c r="AY567" s="8">
        <f ca="1">IF(COUNTIF(PlayerGameData[BLKOrder],PlayerGameData[[#This Row],[BLKOrder]])&gt;1,PlayerGameData[[#This Row],[PointRank]]/100+PlayerGameData[[#This Row],[BLKOrder]],PlayerGameData[[#This Row],[BLKOrder]])</f>
        <v>33.78</v>
      </c>
      <c r="AZ567" s="8">
        <f ca="1">RANK(PlayerGameData[[#This Row],[BLKTieBreak]],PlayerGameData[BLKTieBreak],1)</f>
        <v>179</v>
      </c>
      <c r="BA567" s="11">
        <f ca="1">IFERROR(IF(PlayerGameData[[#This Row],[FGA]]&gt;$AA$5,PlayerGameData[[#This Row],[FG%*]],PlayerGameData[[#This Row],[FG%*]]*-1),-2)</f>
        <v>0</v>
      </c>
      <c r="BB567" s="8">
        <f ca="1">RANK(PlayerGameData[[#This Row],[EligFG]],PlayerGameData[EligFG],0)+PlayerGameData[[#This Row],[VisibleOrder]]</f>
        <v>117</v>
      </c>
      <c r="BC567" s="8">
        <f ca="1">IF(COUNTIF(PlayerGameData[EligFGOrder],PlayerGameData[[#This Row],[EligFGOrder]])&gt;1,PlayerGameData[[#This Row],[PointRank]]/100+PlayerGameData[[#This Row],[EligFGOrder]],PlayerGameData[[#This Row],[EligFGOrder]])</f>
        <v>118.78</v>
      </c>
      <c r="BD567" s="8">
        <f ca="1">RANK(PlayerGameData[[#This Row],[EligFGTieBreak]],PlayerGameData[EligFGTieBreak],1)</f>
        <v>121</v>
      </c>
      <c r="BE567" s="8" t="str">
        <f>Roster!$D$3</f>
        <v>East</v>
      </c>
      <c r="BF567" s="8" t="str">
        <f>Roster!$D$2</f>
        <v>Northeast</v>
      </c>
      <c r="BG567" s="8" t="str">
        <f>Roster!$D$4</f>
        <v>North</v>
      </c>
      <c r="BH567" s="197">
        <f ca="1">IFERROR(VLOOKUP(CONCATENATE(PlayerGameData[[#This Row],[Opponent]]," ",MONTH(PlayerGameData[[#This Row],[Date]]),"/",DAY(PlayerGameData[[#This Row],[Date]]),"/",YEAR(PlayerGameData[[#This Row],[Date]])),Table35[],2,FALSE),0)</f>
        <v>1</v>
      </c>
      <c r="BI567" s="197">
        <f ca="1">IF(PlayerGameData[[#This Row],[Visible]]=1,1,1000)</f>
        <v>1</v>
      </c>
      <c r="BJ567" s="197" t="e">
        <f ca="1">_xlfn.MAXIFS(TeamGameData[Win],TeamGameData[School, Opponent,Game'#],PlayerGameData[[#This Row],[School, Opponent,Game'#]])</f>
        <v>#NAME?</v>
      </c>
      <c r="BK567" s="197" t="e">
        <f ca="1">_xlfn.MAXIFS(TeamGameData[Loss],TeamGameData[School, Opponent,Game'#],PlayerGameData[[#This Row],[School, Opponent,Game'#]])</f>
        <v>#NAME?</v>
      </c>
    </row>
    <row r="568" spans="1:63" x14ac:dyDescent="0.25">
      <c r="A568" s="8" t="str">
        <f t="shared" ca="1" si="273"/>
        <v>Kailer Duarte, 31</v>
      </c>
      <c r="B568" s="8" t="str">
        <f>Roster!$B$1</f>
        <v>Upton</v>
      </c>
      <c r="C568" s="8" t="str">
        <f t="shared" ca="1" si="261"/>
        <v>Farson Eden</v>
      </c>
      <c r="D568" s="10">
        <f t="shared" ca="1" si="262"/>
        <v>44987</v>
      </c>
      <c r="E568" s="8">
        <f t="shared" ca="1" si="263"/>
        <v>1</v>
      </c>
      <c r="F568" s="8">
        <f t="shared" ca="1" si="264"/>
        <v>1</v>
      </c>
      <c r="G568" s="8">
        <f t="shared" ca="1" si="265"/>
        <v>24</v>
      </c>
      <c r="H568" s="8">
        <f t="shared" ca="1" si="266"/>
        <v>2</v>
      </c>
      <c r="I568" s="8">
        <f t="shared" ca="1" si="267"/>
        <v>4</v>
      </c>
      <c r="J568" s="8">
        <f t="shared" ca="1" si="268"/>
        <v>1</v>
      </c>
      <c r="K568" s="8">
        <f t="shared" ca="1" si="269"/>
        <v>2</v>
      </c>
      <c r="L568" s="8">
        <f t="shared" ca="1" si="274"/>
        <v>6</v>
      </c>
      <c r="M568" s="8">
        <f t="shared" ca="1" si="275"/>
        <v>9</v>
      </c>
      <c r="N568" s="8">
        <f t="shared" ca="1" si="276"/>
        <v>0</v>
      </c>
      <c r="O568" s="8">
        <f t="shared" ca="1" si="277"/>
        <v>4</v>
      </c>
      <c r="P568" s="8">
        <f t="shared" ca="1" si="278"/>
        <v>2</v>
      </c>
      <c r="Q568" s="8">
        <f t="shared" ca="1" si="279"/>
        <v>1</v>
      </c>
      <c r="R568" s="8">
        <f t="shared" ca="1" si="280"/>
        <v>0</v>
      </c>
      <c r="S568" s="8">
        <f t="shared" ca="1" si="281"/>
        <v>2</v>
      </c>
      <c r="T568" s="8">
        <f t="shared" ca="1" si="282"/>
        <v>2</v>
      </c>
      <c r="U568" s="8">
        <f t="shared" ca="1" si="283"/>
        <v>0</v>
      </c>
      <c r="V568" s="8">
        <f t="shared" ca="1" si="284"/>
        <v>14</v>
      </c>
      <c r="W568" s="11">
        <f t="shared" ca="1" si="285"/>
        <v>0.5</v>
      </c>
      <c r="X568" s="11">
        <f t="shared" ca="1" si="286"/>
        <v>0.5</v>
      </c>
      <c r="Y568" s="11">
        <f t="shared" ca="1" si="287"/>
        <v>0.66666666666666663</v>
      </c>
      <c r="Z568" s="11">
        <f t="shared" ca="1" si="288"/>
        <v>0.5</v>
      </c>
      <c r="AA568" s="11">
        <f t="shared" ca="1" si="289"/>
        <v>0.66666666666666663</v>
      </c>
      <c r="AB568" s="47">
        <f ca="1">PlayerGameData[[#This Row],[3FGA]]+PlayerGameData[[#This Row],[2FGA]]</f>
        <v>6</v>
      </c>
      <c r="AC568" s="47">
        <f ca="1">PlayerGameData[[#This Row],[OFF REB]]+PlayerGameData[[#This Row],[DEF REB]]</f>
        <v>4</v>
      </c>
      <c r="AD568" s="8">
        <f t="shared" si="270"/>
        <v>24</v>
      </c>
      <c r="AE568" s="8" t="str">
        <f t="shared" ca="1" si="271"/>
        <v>Kailer Duarte, 31 - Farson Eden 3/2/2023</v>
      </c>
      <c r="AF568" s="8" t="str">
        <f t="shared" ca="1" si="290"/>
        <v/>
      </c>
      <c r="AG568" s="8" t="str">
        <f ca="1">IFERROR(IF(C568=0,"",IF(AND(VLOOKUP(PlayerGameData[[#This Row],[Opponent]],WYTeamInfo,2,FALSE)=Roster!$D$1,VLOOKUP(PlayerGameData[[#This Row],[Opponent]],WYTeamInfo,3,FALSE)=Roster!$D$2),"SR","")),"")</f>
        <v/>
      </c>
      <c r="AH568" s="8" t="str">
        <f>CONCATENATE(Roster!$D$1," ",Roster!$D$5)</f>
        <v>1A BB</v>
      </c>
      <c r="AI568" s="8" t="str">
        <f t="shared" ca="1" si="272"/>
        <v>Upton - Farson Eden 3/2/2023</v>
      </c>
      <c r="AJ568" s="8">
        <f ca="1">IFERROR(VLOOKUP(PlayerGameData[[#This Row],[School, Opponent,Game'#]],Table3[],2,FALSE),0)</f>
        <v>1</v>
      </c>
      <c r="AK568" s="8">
        <f ca="1">IF(PlayerGameData[[#This Row],[Visible]]=1,1,1000)</f>
        <v>1</v>
      </c>
      <c r="AL568" s="8">
        <f ca="1">RANK(PlayerGameData[[#This Row],[TL PTS]],PlayerGameData[TL PTS],0)+PlayerGameData[[#This Row],[VisibleOrder]]</f>
        <v>36</v>
      </c>
      <c r="AM568" s="8">
        <f ca="1">IF(COUNTIF(PlayerGameData[PointOrder],PlayerGameData[[#This Row],[PointOrder]])&gt;1,RANK(PlayerGameData[[#This Row],[FGA]],PlayerGameData[FGA],0)/100,0)+PlayerGameData[[#This Row],[PointOrder]]</f>
        <v>37.08</v>
      </c>
      <c r="AN568" s="8">
        <f ca="1">RANK(PlayerGameData[[#This Row],[PointTieBreak]],PlayerGameData[PointTieBreak],1)</f>
        <v>43</v>
      </c>
      <c r="AO568" s="8">
        <f ca="1">RANK(PlayerGameData[[#This Row],[REB]],PlayerGameData[REB],0)+PlayerGameData[[#This Row],[VisibleOrder]]</f>
        <v>79</v>
      </c>
      <c r="AP568" s="8">
        <f ca="1">IF(COUNTIF(PlayerGameData[REBOrder],PlayerGameData[[#This Row],[REBOrder]])&gt;1,PlayerGameData[[#This Row],[PointRank]]/100+PlayerGameData[[#This Row],[REBOrder]],PlayerGameData[[#This Row],[REBOrder]])</f>
        <v>79.430000000000007</v>
      </c>
      <c r="AQ568" s="8">
        <f ca="1">RANK(PlayerGameData[[#This Row],[REBTieBreak]],PlayerGameData[REBTieBreak],1)</f>
        <v>86</v>
      </c>
      <c r="AR568" s="8">
        <f ca="1">RANK(PlayerGameData[[#This Row],[AST]],PlayerGameData[AST],0)+PlayerGameData[[#This Row],[VisibleOrder]]</f>
        <v>69</v>
      </c>
      <c r="AS568" s="8">
        <f ca="1">IF(COUNTIF(PlayerGameData[ASTOrder],PlayerGameData[[#This Row],[ASTOrder]])&gt;1,PlayerGameData[[#This Row],[PointRank]]/100+PlayerGameData[[#This Row],[ASTOrder]],PlayerGameData[[#This Row],[ASTOrder]])</f>
        <v>69.430000000000007</v>
      </c>
      <c r="AT568" s="8">
        <f ca="1">RANK(PlayerGameData[[#This Row],[ASTTieBreak]],PlayerGameData[ASTTieBreak],1)</f>
        <v>78</v>
      </c>
      <c r="AU568" s="8">
        <f ca="1">RANK(PlayerGameData[[#This Row],[STL]],PlayerGameData[STL],0)+PlayerGameData[[#This Row],[VisibleOrder]]</f>
        <v>84</v>
      </c>
      <c r="AV568" s="8">
        <f ca="1">IF(COUNTIF(PlayerGameData[STLOrder],PlayerGameData[[#This Row],[STLOrder]])&gt;1,PlayerGameData[[#This Row],[PointRank]]/100+PlayerGameData[[#This Row],[STLOrder]],PlayerGameData[[#This Row],[STLOrder]])</f>
        <v>84.43</v>
      </c>
      <c r="AW568" s="8">
        <f ca="1">RANK(PlayerGameData[[#This Row],[STLTieBreak]],PlayerGameData[STLTieBreak],1)</f>
        <v>92</v>
      </c>
      <c r="AX568" s="8">
        <f ca="1">RANK(PlayerGameData[[#This Row],[BLK]],PlayerGameData[BLK],0)+PlayerGameData[[#This Row],[VisibleOrder]]</f>
        <v>32</v>
      </c>
      <c r="AY568" s="8">
        <f ca="1">IF(COUNTIF(PlayerGameData[BLKOrder],PlayerGameData[[#This Row],[BLKOrder]])&gt;1,PlayerGameData[[#This Row],[PointRank]]/100+PlayerGameData[[#This Row],[BLKOrder]],PlayerGameData[[#This Row],[BLKOrder]])</f>
        <v>32.43</v>
      </c>
      <c r="AZ568" s="8">
        <f ca="1">RANK(PlayerGameData[[#This Row],[BLKTieBreak]],PlayerGameData[BLKTieBreak],1)</f>
        <v>64</v>
      </c>
      <c r="BA568" s="11">
        <f ca="1">IFERROR(IF(PlayerGameData[[#This Row],[FGA]]&gt;$AA$5,PlayerGameData[[#This Row],[FG%*]],PlayerGameData[[#This Row],[FG%*]]*-1),-2)</f>
        <v>0.5</v>
      </c>
      <c r="BB568" s="8">
        <f ca="1">RANK(PlayerGameData[[#This Row],[EligFG]],PlayerGameData[EligFG],0)+PlayerGameData[[#This Row],[VisibleOrder]]</f>
        <v>39</v>
      </c>
      <c r="BC568" s="8">
        <f ca="1">IF(COUNTIF(PlayerGameData[EligFGOrder],PlayerGameData[[#This Row],[EligFGOrder]])&gt;1,PlayerGameData[[#This Row],[PointRank]]/100+PlayerGameData[[#This Row],[EligFGOrder]],PlayerGameData[[#This Row],[EligFGOrder]])</f>
        <v>39.43</v>
      </c>
      <c r="BD568" s="8">
        <f ca="1">RANK(PlayerGameData[[#This Row],[EligFGTieBreak]],PlayerGameData[EligFGTieBreak],1)</f>
        <v>42</v>
      </c>
      <c r="BE568" s="8" t="str">
        <f>Roster!$D$3</f>
        <v>East</v>
      </c>
      <c r="BF568" s="8" t="str">
        <f>Roster!$D$2</f>
        <v>Northeast</v>
      </c>
      <c r="BG568" s="8" t="str">
        <f>Roster!$D$4</f>
        <v>North</v>
      </c>
      <c r="BH568" s="197">
        <f ca="1">IFERROR(VLOOKUP(CONCATENATE(PlayerGameData[[#This Row],[Opponent]]," ",MONTH(PlayerGameData[[#This Row],[Date]]),"/",DAY(PlayerGameData[[#This Row],[Date]]),"/",YEAR(PlayerGameData[[#This Row],[Date]])),Table35[],2,FALSE),0)</f>
        <v>1</v>
      </c>
      <c r="BI568" s="197">
        <f ca="1">IF(PlayerGameData[[#This Row],[Visible]]=1,1,1000)</f>
        <v>1</v>
      </c>
      <c r="BJ568" s="197" t="e">
        <f ca="1">_xlfn.MAXIFS(TeamGameData[Win],TeamGameData[School, Opponent,Game'#],PlayerGameData[[#This Row],[School, Opponent,Game'#]])</f>
        <v>#NAME?</v>
      </c>
      <c r="BK568" s="197" t="e">
        <f ca="1">_xlfn.MAXIFS(TeamGameData[Loss],TeamGameData[School, Opponent,Game'#],PlayerGameData[[#This Row],[School, Opponent,Game'#]])</f>
        <v>#NAME?</v>
      </c>
    </row>
    <row r="569" spans="1:63" x14ac:dyDescent="0.25">
      <c r="A569" s="8" t="str">
        <f t="shared" ca="1" si="273"/>
        <v>Matt Stirmel, 33</v>
      </c>
      <c r="B569" s="8" t="str">
        <f>Roster!$B$1</f>
        <v>Upton</v>
      </c>
      <c r="C569" s="8" t="str">
        <f t="shared" ca="1" si="261"/>
        <v>Farson Eden</v>
      </c>
      <c r="D569" s="10">
        <f t="shared" ca="1" si="262"/>
        <v>44987</v>
      </c>
      <c r="E569" s="8">
        <f t="shared" ca="1" si="263"/>
        <v>1</v>
      </c>
      <c r="F569" s="8">
        <f t="shared" ca="1" si="264"/>
        <v>0</v>
      </c>
      <c r="G569" s="8">
        <f t="shared" ca="1" si="265"/>
        <v>1</v>
      </c>
      <c r="H569" s="8">
        <f t="shared" ca="1" si="266"/>
        <v>0</v>
      </c>
      <c r="I569" s="8">
        <f t="shared" ca="1" si="267"/>
        <v>0</v>
      </c>
      <c r="J569" s="8">
        <f t="shared" ca="1" si="268"/>
        <v>0</v>
      </c>
      <c r="K569" s="8">
        <f t="shared" ca="1" si="269"/>
        <v>0</v>
      </c>
      <c r="L569" s="8">
        <f t="shared" ca="1" si="274"/>
        <v>0</v>
      </c>
      <c r="M569" s="8">
        <f t="shared" ca="1" si="275"/>
        <v>0</v>
      </c>
      <c r="N569" s="8">
        <f t="shared" ca="1" si="276"/>
        <v>0</v>
      </c>
      <c r="O569" s="8">
        <f t="shared" ca="1" si="277"/>
        <v>0</v>
      </c>
      <c r="P569" s="8">
        <f t="shared" ca="1" si="278"/>
        <v>0</v>
      </c>
      <c r="Q569" s="8">
        <f t="shared" ca="1" si="279"/>
        <v>0</v>
      </c>
      <c r="R569" s="8">
        <f t="shared" ca="1" si="280"/>
        <v>0</v>
      </c>
      <c r="S569" s="8">
        <f t="shared" ca="1" si="281"/>
        <v>0</v>
      </c>
      <c r="T569" s="8">
        <f t="shared" ca="1" si="282"/>
        <v>0</v>
      </c>
      <c r="U569" s="8">
        <f t="shared" ca="1" si="283"/>
        <v>0</v>
      </c>
      <c r="V569" s="8">
        <f t="shared" ca="1" si="284"/>
        <v>0</v>
      </c>
      <c r="W569" s="11" t="str">
        <f t="shared" ca="1" si="285"/>
        <v/>
      </c>
      <c r="X569" s="11" t="str">
        <f t="shared" ca="1" si="286"/>
        <v/>
      </c>
      <c r="Y569" s="11" t="str">
        <f t="shared" ca="1" si="287"/>
        <v/>
      </c>
      <c r="Z569" s="11" t="str">
        <f t="shared" ca="1" si="288"/>
        <v/>
      </c>
      <c r="AA569" s="11" t="str">
        <f t="shared" ca="1" si="289"/>
        <v/>
      </c>
      <c r="AB569" s="47">
        <f ca="1">PlayerGameData[[#This Row],[3FGA]]+PlayerGameData[[#This Row],[2FGA]]</f>
        <v>0</v>
      </c>
      <c r="AC569" s="47">
        <f ca="1">PlayerGameData[[#This Row],[OFF REB]]+PlayerGameData[[#This Row],[DEF REB]]</f>
        <v>0</v>
      </c>
      <c r="AD569" s="8">
        <f t="shared" si="270"/>
        <v>24</v>
      </c>
      <c r="AE569" s="8" t="str">
        <f t="shared" ca="1" si="271"/>
        <v>Matt Stirmel, 33 - Farson Eden 3/2/2023</v>
      </c>
      <c r="AF569" s="8" t="str">
        <f t="shared" ca="1" si="290"/>
        <v/>
      </c>
      <c r="AG569" s="8" t="str">
        <f ca="1">IFERROR(IF(C569=0,"",IF(AND(VLOOKUP(PlayerGameData[[#This Row],[Opponent]],WYTeamInfo,2,FALSE)=Roster!$D$1,VLOOKUP(PlayerGameData[[#This Row],[Opponent]],WYTeamInfo,3,FALSE)=Roster!$D$2),"SR","")),"")</f>
        <v/>
      </c>
      <c r="AH569" s="8" t="str">
        <f>CONCATENATE(Roster!$D$1," ",Roster!$D$5)</f>
        <v>1A BB</v>
      </c>
      <c r="AI569" s="8" t="str">
        <f t="shared" ca="1" si="272"/>
        <v>Upton - Farson Eden 3/2/2023</v>
      </c>
      <c r="AJ569" s="8">
        <f ca="1">IFERROR(VLOOKUP(PlayerGameData[[#This Row],[School, Opponent,Game'#]],Table3[],2,FALSE),0)</f>
        <v>1</v>
      </c>
      <c r="AK569" s="8">
        <f ca="1">IF(PlayerGameData[[#This Row],[Visible]]=1,1,1000)</f>
        <v>1</v>
      </c>
      <c r="AL569" s="8">
        <f ca="1">RANK(PlayerGameData[[#This Row],[TL PTS]],PlayerGameData[TL PTS],0)+PlayerGameData[[#This Row],[VisibleOrder]]</f>
        <v>185</v>
      </c>
      <c r="AM569" s="8">
        <f ca="1">IF(COUNTIF(PlayerGameData[PointOrder],PlayerGameData[[#This Row],[PointOrder]])&gt;1,RANK(PlayerGameData[[#This Row],[FGA]],PlayerGameData[FGA],0)/100,0)+PlayerGameData[[#This Row],[PointOrder]]</f>
        <v>187.14</v>
      </c>
      <c r="AN569" s="8">
        <f ca="1">RANK(PlayerGameData[[#This Row],[PointTieBreak]],PlayerGameData[PointTieBreak],1)</f>
        <v>216</v>
      </c>
      <c r="AO569" s="8">
        <f ca="1">RANK(PlayerGameData[[#This Row],[REB]],PlayerGameData[REB],0)+PlayerGameData[[#This Row],[VisibleOrder]]</f>
        <v>192</v>
      </c>
      <c r="AP569" s="8">
        <f ca="1">IF(COUNTIF(PlayerGameData[REBOrder],PlayerGameData[[#This Row],[REBOrder]])&gt;1,PlayerGameData[[#This Row],[PointRank]]/100+PlayerGameData[[#This Row],[REBOrder]],PlayerGameData[[#This Row],[REBOrder]])</f>
        <v>194.16</v>
      </c>
      <c r="AQ569" s="8">
        <f ca="1">RANK(PlayerGameData[[#This Row],[REBTieBreak]],PlayerGameData[REBTieBreak],1)</f>
        <v>224</v>
      </c>
      <c r="AR569" s="8">
        <f ca="1">RANK(PlayerGameData[[#This Row],[AST]],PlayerGameData[AST],0)+PlayerGameData[[#This Row],[VisibleOrder]]</f>
        <v>158</v>
      </c>
      <c r="AS569" s="8">
        <f ca="1">IF(COUNTIF(PlayerGameData[ASTOrder],PlayerGameData[[#This Row],[ASTOrder]])&gt;1,PlayerGameData[[#This Row],[PointRank]]/100+PlayerGameData[[#This Row],[ASTOrder]],PlayerGameData[[#This Row],[ASTOrder]])</f>
        <v>160.16</v>
      </c>
      <c r="AT569" s="8">
        <f ca="1">RANK(PlayerGameData[[#This Row],[ASTTieBreak]],PlayerGameData[ASTTieBreak],1)</f>
        <v>221</v>
      </c>
      <c r="AU569" s="8">
        <f ca="1">RANK(PlayerGameData[[#This Row],[STL]],PlayerGameData[STL],0)+PlayerGameData[[#This Row],[VisibleOrder]]</f>
        <v>143</v>
      </c>
      <c r="AV569" s="8">
        <f ca="1">IF(COUNTIF(PlayerGameData[STLOrder],PlayerGameData[[#This Row],[STLOrder]])&gt;1,PlayerGameData[[#This Row],[PointRank]]/100+PlayerGameData[[#This Row],[STLOrder]],PlayerGameData[[#This Row],[STLOrder]])</f>
        <v>145.16</v>
      </c>
      <c r="AW569" s="8">
        <f ca="1">RANK(PlayerGameData[[#This Row],[STLTieBreak]],PlayerGameData[STLTieBreak],1)</f>
        <v>217</v>
      </c>
      <c r="AX569" s="8">
        <f ca="1">RANK(PlayerGameData[[#This Row],[BLK]],PlayerGameData[BLK],0)+PlayerGameData[[#This Row],[VisibleOrder]]</f>
        <v>32</v>
      </c>
      <c r="AY569" s="8">
        <f ca="1">IF(COUNTIF(PlayerGameData[BLKOrder],PlayerGameData[[#This Row],[BLKOrder]])&gt;1,PlayerGameData[[#This Row],[PointRank]]/100+PlayerGameData[[#This Row],[BLKOrder]],PlayerGameData[[#This Row],[BLKOrder]])</f>
        <v>34.159999999999997</v>
      </c>
      <c r="AZ569" s="8">
        <f ca="1">RANK(PlayerGameData[[#This Row],[BLKTieBreak]],PlayerGameData[BLKTieBreak],1)</f>
        <v>216</v>
      </c>
      <c r="BA569" s="11">
        <f ca="1">IFERROR(IF(PlayerGameData[[#This Row],[FGA]]&gt;$AA$5,PlayerGameData[[#This Row],[FG%*]],PlayerGameData[[#This Row],[FG%*]]*-1),-2)</f>
        <v>-2</v>
      </c>
      <c r="BB569" s="8">
        <f ca="1">RANK(PlayerGameData[[#This Row],[EligFG]],PlayerGameData[EligFG],0)+PlayerGameData[[#This Row],[VisibleOrder]]</f>
        <v>215</v>
      </c>
      <c r="BC569" s="8">
        <f ca="1">IF(COUNTIF(PlayerGameData[EligFGOrder],PlayerGameData[[#This Row],[EligFGOrder]])&gt;1,PlayerGameData[[#This Row],[PointRank]]/100+PlayerGameData[[#This Row],[EligFGOrder]],PlayerGameData[[#This Row],[EligFGOrder]])</f>
        <v>217.16</v>
      </c>
      <c r="BD569" s="8">
        <f ca="1">RANK(PlayerGameData[[#This Row],[EligFGTieBreak]],PlayerGameData[EligFGTieBreak],1)</f>
        <v>216</v>
      </c>
      <c r="BE569" s="8" t="str">
        <f>Roster!$D$3</f>
        <v>East</v>
      </c>
      <c r="BF569" s="8" t="str">
        <f>Roster!$D$2</f>
        <v>Northeast</v>
      </c>
      <c r="BG569" s="8" t="str">
        <f>Roster!$D$4</f>
        <v>North</v>
      </c>
      <c r="BH569" s="197">
        <f ca="1">IFERROR(VLOOKUP(CONCATENATE(PlayerGameData[[#This Row],[Opponent]]," ",MONTH(PlayerGameData[[#This Row],[Date]]),"/",DAY(PlayerGameData[[#This Row],[Date]]),"/",YEAR(PlayerGameData[[#This Row],[Date]])),Table35[],2,FALSE),0)</f>
        <v>1</v>
      </c>
      <c r="BI569" s="197">
        <f ca="1">IF(PlayerGameData[[#This Row],[Visible]]=1,1,1000)</f>
        <v>1</v>
      </c>
      <c r="BJ569" s="197" t="e">
        <f ca="1">_xlfn.MAXIFS(TeamGameData[Win],TeamGameData[School, Opponent,Game'#],PlayerGameData[[#This Row],[School, Opponent,Game'#]])</f>
        <v>#NAME?</v>
      </c>
      <c r="BK569" s="197" t="e">
        <f ca="1">_xlfn.MAXIFS(TeamGameData[Loss],TeamGameData[School, Opponent,Game'#],PlayerGameData[[#This Row],[School, Opponent,Game'#]])</f>
        <v>#NAME?</v>
      </c>
    </row>
    <row r="570" spans="1:63" x14ac:dyDescent="0.25">
      <c r="A570" s="8" t="str">
        <f t="shared" ca="1" si="273"/>
        <v>Jacob McNutt, 34</v>
      </c>
      <c r="B570" s="8" t="str">
        <f>Roster!$B$1</f>
        <v>Upton</v>
      </c>
      <c r="C570" s="8" t="str">
        <f t="shared" ca="1" si="261"/>
        <v>Farson Eden</v>
      </c>
      <c r="D570" s="10">
        <f t="shared" ca="1" si="262"/>
        <v>44987</v>
      </c>
      <c r="E570" s="8">
        <f t="shared" ca="1" si="263"/>
        <v>1</v>
      </c>
      <c r="F570" s="8">
        <f t="shared" ca="1" si="264"/>
        <v>0</v>
      </c>
      <c r="G570" s="8">
        <f t="shared" ca="1" si="265"/>
        <v>1</v>
      </c>
      <c r="H570" s="8">
        <f t="shared" ca="1" si="266"/>
        <v>0</v>
      </c>
      <c r="I570" s="8">
        <f t="shared" ca="1" si="267"/>
        <v>0</v>
      </c>
      <c r="J570" s="8">
        <f t="shared" ca="1" si="268"/>
        <v>0</v>
      </c>
      <c r="K570" s="8">
        <f t="shared" ca="1" si="269"/>
        <v>0</v>
      </c>
      <c r="L570" s="8">
        <f t="shared" ca="1" si="274"/>
        <v>0</v>
      </c>
      <c r="M570" s="8">
        <f t="shared" ca="1" si="275"/>
        <v>0</v>
      </c>
      <c r="N570" s="8">
        <f t="shared" ca="1" si="276"/>
        <v>0</v>
      </c>
      <c r="O570" s="8">
        <f t="shared" ca="1" si="277"/>
        <v>0</v>
      </c>
      <c r="P570" s="8">
        <f t="shared" ca="1" si="278"/>
        <v>0</v>
      </c>
      <c r="Q570" s="8">
        <f t="shared" ca="1" si="279"/>
        <v>0</v>
      </c>
      <c r="R570" s="8">
        <f t="shared" ca="1" si="280"/>
        <v>0</v>
      </c>
      <c r="S570" s="8">
        <f t="shared" ca="1" si="281"/>
        <v>0</v>
      </c>
      <c r="T570" s="8">
        <f t="shared" ca="1" si="282"/>
        <v>0</v>
      </c>
      <c r="U570" s="8">
        <f t="shared" ca="1" si="283"/>
        <v>0</v>
      </c>
      <c r="V570" s="8">
        <f t="shared" ca="1" si="284"/>
        <v>0</v>
      </c>
      <c r="W570" s="11" t="str">
        <f t="shared" ca="1" si="285"/>
        <v/>
      </c>
      <c r="X570" s="11" t="str">
        <f t="shared" ca="1" si="286"/>
        <v/>
      </c>
      <c r="Y570" s="11" t="str">
        <f t="shared" ca="1" si="287"/>
        <v/>
      </c>
      <c r="Z570" s="11" t="str">
        <f t="shared" ca="1" si="288"/>
        <v/>
      </c>
      <c r="AA570" s="11" t="str">
        <f t="shared" ca="1" si="289"/>
        <v/>
      </c>
      <c r="AB570" s="47">
        <f ca="1">PlayerGameData[[#This Row],[3FGA]]+PlayerGameData[[#This Row],[2FGA]]</f>
        <v>0</v>
      </c>
      <c r="AC570" s="47">
        <f ca="1">PlayerGameData[[#This Row],[OFF REB]]+PlayerGameData[[#This Row],[DEF REB]]</f>
        <v>0</v>
      </c>
      <c r="AD570" s="8">
        <f t="shared" si="270"/>
        <v>24</v>
      </c>
      <c r="AE570" s="8" t="str">
        <f t="shared" ca="1" si="271"/>
        <v>Jacob McNutt, 34 - Farson Eden 3/2/2023</v>
      </c>
      <c r="AF570" s="8" t="str">
        <f t="shared" ca="1" si="290"/>
        <v/>
      </c>
      <c r="AG570" s="8" t="str">
        <f ca="1">IFERROR(IF(C570=0,"",IF(AND(VLOOKUP(PlayerGameData[[#This Row],[Opponent]],WYTeamInfo,2,FALSE)=Roster!$D$1,VLOOKUP(PlayerGameData[[#This Row],[Opponent]],WYTeamInfo,3,FALSE)=Roster!$D$2),"SR","")),"")</f>
        <v/>
      </c>
      <c r="AH570" s="8" t="str">
        <f>CONCATENATE(Roster!$D$1," ",Roster!$D$5)</f>
        <v>1A BB</v>
      </c>
      <c r="AI570" s="8" t="str">
        <f t="shared" ca="1" si="272"/>
        <v>Upton - Farson Eden 3/2/2023</v>
      </c>
      <c r="AJ570" s="8">
        <f ca="1">IFERROR(VLOOKUP(PlayerGameData[[#This Row],[School, Opponent,Game'#]],Table3[],2,FALSE),0)</f>
        <v>1</v>
      </c>
      <c r="AK570" s="8">
        <f ca="1">IF(PlayerGameData[[#This Row],[Visible]]=1,1,1000)</f>
        <v>1</v>
      </c>
      <c r="AL570" s="8">
        <f ca="1">RANK(PlayerGameData[[#This Row],[TL PTS]],PlayerGameData[TL PTS],0)+PlayerGameData[[#This Row],[VisibleOrder]]</f>
        <v>185</v>
      </c>
      <c r="AM570" s="8">
        <f ca="1">IF(COUNTIF(PlayerGameData[PointOrder],PlayerGameData[[#This Row],[PointOrder]])&gt;1,RANK(PlayerGameData[[#This Row],[FGA]],PlayerGameData[FGA],0)/100,0)+PlayerGameData[[#This Row],[PointOrder]]</f>
        <v>187.14</v>
      </c>
      <c r="AN570" s="8">
        <f ca="1">RANK(PlayerGameData[[#This Row],[PointTieBreak]],PlayerGameData[PointTieBreak],1)</f>
        <v>216</v>
      </c>
      <c r="AO570" s="8">
        <f ca="1">RANK(PlayerGameData[[#This Row],[REB]],PlayerGameData[REB],0)+PlayerGameData[[#This Row],[VisibleOrder]]</f>
        <v>192</v>
      </c>
      <c r="AP570" s="8">
        <f ca="1">IF(COUNTIF(PlayerGameData[REBOrder],PlayerGameData[[#This Row],[REBOrder]])&gt;1,PlayerGameData[[#This Row],[PointRank]]/100+PlayerGameData[[#This Row],[REBOrder]],PlayerGameData[[#This Row],[REBOrder]])</f>
        <v>194.16</v>
      </c>
      <c r="AQ570" s="8">
        <f ca="1">RANK(PlayerGameData[[#This Row],[REBTieBreak]],PlayerGameData[REBTieBreak],1)</f>
        <v>224</v>
      </c>
      <c r="AR570" s="8">
        <f ca="1">RANK(PlayerGameData[[#This Row],[AST]],PlayerGameData[AST],0)+PlayerGameData[[#This Row],[VisibleOrder]]</f>
        <v>158</v>
      </c>
      <c r="AS570" s="8">
        <f ca="1">IF(COUNTIF(PlayerGameData[ASTOrder],PlayerGameData[[#This Row],[ASTOrder]])&gt;1,PlayerGameData[[#This Row],[PointRank]]/100+PlayerGameData[[#This Row],[ASTOrder]],PlayerGameData[[#This Row],[ASTOrder]])</f>
        <v>160.16</v>
      </c>
      <c r="AT570" s="8">
        <f ca="1">RANK(PlayerGameData[[#This Row],[ASTTieBreak]],PlayerGameData[ASTTieBreak],1)</f>
        <v>221</v>
      </c>
      <c r="AU570" s="8">
        <f ca="1">RANK(PlayerGameData[[#This Row],[STL]],PlayerGameData[STL],0)+PlayerGameData[[#This Row],[VisibleOrder]]</f>
        <v>143</v>
      </c>
      <c r="AV570" s="8">
        <f ca="1">IF(COUNTIF(PlayerGameData[STLOrder],PlayerGameData[[#This Row],[STLOrder]])&gt;1,PlayerGameData[[#This Row],[PointRank]]/100+PlayerGameData[[#This Row],[STLOrder]],PlayerGameData[[#This Row],[STLOrder]])</f>
        <v>145.16</v>
      </c>
      <c r="AW570" s="8">
        <f ca="1">RANK(PlayerGameData[[#This Row],[STLTieBreak]],PlayerGameData[STLTieBreak],1)</f>
        <v>217</v>
      </c>
      <c r="AX570" s="8">
        <f ca="1">RANK(PlayerGameData[[#This Row],[BLK]],PlayerGameData[BLK],0)+PlayerGameData[[#This Row],[VisibleOrder]]</f>
        <v>32</v>
      </c>
      <c r="AY570" s="8">
        <f ca="1">IF(COUNTIF(PlayerGameData[BLKOrder],PlayerGameData[[#This Row],[BLKOrder]])&gt;1,PlayerGameData[[#This Row],[PointRank]]/100+PlayerGameData[[#This Row],[BLKOrder]],PlayerGameData[[#This Row],[BLKOrder]])</f>
        <v>34.159999999999997</v>
      </c>
      <c r="AZ570" s="8">
        <f ca="1">RANK(PlayerGameData[[#This Row],[BLKTieBreak]],PlayerGameData[BLKTieBreak],1)</f>
        <v>216</v>
      </c>
      <c r="BA570" s="11">
        <f ca="1">IFERROR(IF(PlayerGameData[[#This Row],[FGA]]&gt;$AA$5,PlayerGameData[[#This Row],[FG%*]],PlayerGameData[[#This Row],[FG%*]]*-1),-2)</f>
        <v>-2</v>
      </c>
      <c r="BB570" s="8">
        <f ca="1">RANK(PlayerGameData[[#This Row],[EligFG]],PlayerGameData[EligFG],0)+PlayerGameData[[#This Row],[VisibleOrder]]</f>
        <v>215</v>
      </c>
      <c r="BC570" s="8">
        <f ca="1">IF(COUNTIF(PlayerGameData[EligFGOrder],PlayerGameData[[#This Row],[EligFGOrder]])&gt;1,PlayerGameData[[#This Row],[PointRank]]/100+PlayerGameData[[#This Row],[EligFGOrder]],PlayerGameData[[#This Row],[EligFGOrder]])</f>
        <v>217.16</v>
      </c>
      <c r="BD570" s="8">
        <f ca="1">RANK(PlayerGameData[[#This Row],[EligFGTieBreak]],PlayerGameData[EligFGTieBreak],1)</f>
        <v>216</v>
      </c>
      <c r="BE570" s="8" t="str">
        <f>Roster!$D$3</f>
        <v>East</v>
      </c>
      <c r="BF570" s="8" t="str">
        <f>Roster!$D$2</f>
        <v>Northeast</v>
      </c>
      <c r="BG570" s="8" t="str">
        <f>Roster!$D$4</f>
        <v>North</v>
      </c>
      <c r="BH570" s="197">
        <f ca="1">IFERROR(VLOOKUP(CONCATENATE(PlayerGameData[[#This Row],[Opponent]]," ",MONTH(PlayerGameData[[#This Row],[Date]]),"/",DAY(PlayerGameData[[#This Row],[Date]]),"/",YEAR(PlayerGameData[[#This Row],[Date]])),Table35[],2,FALSE),0)</f>
        <v>1</v>
      </c>
      <c r="BI570" s="197">
        <f ca="1">IF(PlayerGameData[[#This Row],[Visible]]=1,1,1000)</f>
        <v>1</v>
      </c>
      <c r="BJ570" s="197" t="e">
        <f ca="1">_xlfn.MAXIFS(TeamGameData[Win],TeamGameData[School, Opponent,Game'#],PlayerGameData[[#This Row],[School, Opponent,Game'#]])</f>
        <v>#NAME?</v>
      </c>
      <c r="BK570" s="197" t="e">
        <f ca="1">_xlfn.MAXIFS(TeamGameData[Loss],TeamGameData[School, Opponent,Game'#],PlayerGameData[[#This Row],[School, Opponent,Game'#]])</f>
        <v>#NAME?</v>
      </c>
    </row>
    <row r="571" spans="1:63" x14ac:dyDescent="0.25">
      <c r="A571" s="8" t="str">
        <f t="shared" ca="1" si="273"/>
        <v>Ryan Baker, 35</v>
      </c>
      <c r="B571" s="8" t="str">
        <f>Roster!$B$1</f>
        <v>Upton</v>
      </c>
      <c r="C571" s="8" t="str">
        <f t="shared" ca="1" si="261"/>
        <v>Farson Eden</v>
      </c>
      <c r="D571" s="10">
        <f t="shared" ca="1" si="262"/>
        <v>44987</v>
      </c>
      <c r="E571" s="8">
        <f t="shared" ca="1" si="263"/>
        <v>1</v>
      </c>
      <c r="F571" s="8">
        <f t="shared" ca="1" si="264"/>
        <v>0</v>
      </c>
      <c r="G571" s="8">
        <f t="shared" ca="1" si="265"/>
        <v>15</v>
      </c>
      <c r="H571" s="8">
        <f t="shared" ca="1" si="266"/>
        <v>0</v>
      </c>
      <c r="I571" s="8">
        <f t="shared" ca="1" si="267"/>
        <v>1</v>
      </c>
      <c r="J571" s="8">
        <f t="shared" ca="1" si="268"/>
        <v>0</v>
      </c>
      <c r="K571" s="8">
        <f t="shared" ca="1" si="269"/>
        <v>1</v>
      </c>
      <c r="L571" s="8">
        <f t="shared" ca="1" si="274"/>
        <v>2</v>
      </c>
      <c r="M571" s="8">
        <f t="shared" ca="1" si="275"/>
        <v>2</v>
      </c>
      <c r="N571" s="8">
        <f t="shared" ca="1" si="276"/>
        <v>0</v>
      </c>
      <c r="O571" s="8">
        <f t="shared" ca="1" si="277"/>
        <v>1</v>
      </c>
      <c r="P571" s="8">
        <f t="shared" ca="1" si="278"/>
        <v>2</v>
      </c>
      <c r="Q571" s="8">
        <f t="shared" ca="1" si="279"/>
        <v>2</v>
      </c>
      <c r="R571" s="8">
        <f t="shared" ca="1" si="280"/>
        <v>0</v>
      </c>
      <c r="S571" s="8">
        <f t="shared" ca="1" si="281"/>
        <v>0</v>
      </c>
      <c r="T571" s="8">
        <f t="shared" ca="1" si="282"/>
        <v>2</v>
      </c>
      <c r="U571" s="8">
        <f t="shared" ca="1" si="283"/>
        <v>0</v>
      </c>
      <c r="V571" s="8">
        <f t="shared" ca="1" si="284"/>
        <v>2</v>
      </c>
      <c r="W571" s="11">
        <f t="shared" ca="1" si="285"/>
        <v>0</v>
      </c>
      <c r="X571" s="11">
        <f t="shared" ca="1" si="286"/>
        <v>0</v>
      </c>
      <c r="Y571" s="11">
        <f t="shared" ca="1" si="287"/>
        <v>1</v>
      </c>
      <c r="Z571" s="11">
        <f t="shared" ca="1" si="288"/>
        <v>0</v>
      </c>
      <c r="AA571" s="11">
        <f t="shared" ca="1" si="289"/>
        <v>0</v>
      </c>
      <c r="AB571" s="47">
        <f ca="1">PlayerGameData[[#This Row],[3FGA]]+PlayerGameData[[#This Row],[2FGA]]</f>
        <v>2</v>
      </c>
      <c r="AC571" s="47">
        <f ca="1">PlayerGameData[[#This Row],[OFF REB]]+PlayerGameData[[#This Row],[DEF REB]]</f>
        <v>1</v>
      </c>
      <c r="AD571" s="8">
        <f t="shared" si="270"/>
        <v>24</v>
      </c>
      <c r="AE571" s="8" t="str">
        <f t="shared" ca="1" si="271"/>
        <v>Ryan Baker, 35 - Farson Eden 3/2/2023</v>
      </c>
      <c r="AF571" s="8" t="str">
        <f t="shared" ca="1" si="290"/>
        <v/>
      </c>
      <c r="AG571" s="8" t="str">
        <f ca="1">IFERROR(IF(C571=0,"",IF(AND(VLOOKUP(PlayerGameData[[#This Row],[Opponent]],WYTeamInfo,2,FALSE)=Roster!$D$1,VLOOKUP(PlayerGameData[[#This Row],[Opponent]],WYTeamInfo,3,FALSE)=Roster!$D$2),"SR","")),"")</f>
        <v/>
      </c>
      <c r="AH571" s="8" t="str">
        <f>CONCATENATE(Roster!$D$1," ",Roster!$D$5)</f>
        <v>1A BB</v>
      </c>
      <c r="AI571" s="8" t="str">
        <f t="shared" ca="1" si="272"/>
        <v>Upton - Farson Eden 3/2/2023</v>
      </c>
      <c r="AJ571" s="8">
        <f ca="1">IFERROR(VLOOKUP(PlayerGameData[[#This Row],[School, Opponent,Game'#]],Table3[],2,FALSE),0)</f>
        <v>1</v>
      </c>
      <c r="AK571" s="8">
        <f ca="1">IF(PlayerGameData[[#This Row],[Visible]]=1,1,1000)</f>
        <v>1</v>
      </c>
      <c r="AL571" s="8">
        <f ca="1">RANK(PlayerGameData[[#This Row],[TL PTS]],PlayerGameData[TL PTS],0)+PlayerGameData[[#This Row],[VisibleOrder]]</f>
        <v>152</v>
      </c>
      <c r="AM571" s="8">
        <f ca="1">IF(COUNTIF(PlayerGameData[PointOrder],PlayerGameData[[#This Row],[PointOrder]])&gt;1,RANK(PlayerGameData[[#This Row],[FGA]],PlayerGameData[FGA],0)/100,0)+PlayerGameData[[#This Row],[PointOrder]]</f>
        <v>153.61000000000001</v>
      </c>
      <c r="AN571" s="8">
        <f ca="1">RANK(PlayerGameData[[#This Row],[PointTieBreak]],PlayerGameData[PointTieBreak],1)</f>
        <v>163</v>
      </c>
      <c r="AO571" s="8">
        <f ca="1">RANK(PlayerGameData[[#This Row],[REB]],PlayerGameData[REB],0)+PlayerGameData[[#This Row],[VisibleOrder]]</f>
        <v>163</v>
      </c>
      <c r="AP571" s="8">
        <f ca="1">IF(COUNTIF(PlayerGameData[REBOrder],PlayerGameData[[#This Row],[REBOrder]])&gt;1,PlayerGameData[[#This Row],[PointRank]]/100+PlayerGameData[[#This Row],[REBOrder]],PlayerGameData[[#This Row],[REBOrder]])</f>
        <v>164.63</v>
      </c>
      <c r="AQ571" s="8">
        <f ca="1">RANK(PlayerGameData[[#This Row],[REBTieBreak]],PlayerGameData[REBTieBreak],1)</f>
        <v>176</v>
      </c>
      <c r="AR571" s="8">
        <f ca="1">RANK(PlayerGameData[[#This Row],[AST]],PlayerGameData[AST],0)+PlayerGameData[[#This Row],[VisibleOrder]]</f>
        <v>69</v>
      </c>
      <c r="AS571" s="8">
        <f ca="1">IF(COUNTIF(PlayerGameData[ASTOrder],PlayerGameData[[#This Row],[ASTOrder]])&gt;1,PlayerGameData[[#This Row],[PointRank]]/100+PlayerGameData[[#This Row],[ASTOrder]],PlayerGameData[[#This Row],[ASTOrder]])</f>
        <v>70.63</v>
      </c>
      <c r="AT571" s="8">
        <f ca="1">RANK(PlayerGameData[[#This Row],[ASTTieBreak]],PlayerGameData[ASTTieBreak],1)</f>
        <v>106</v>
      </c>
      <c r="AU571" s="8">
        <f ca="1">RANK(PlayerGameData[[#This Row],[STL]],PlayerGameData[STL],0)+PlayerGameData[[#This Row],[VisibleOrder]]</f>
        <v>48</v>
      </c>
      <c r="AV571" s="8">
        <f ca="1">IF(COUNTIF(PlayerGameData[STLOrder],PlayerGameData[[#This Row],[STLOrder]])&gt;1,PlayerGameData[[#This Row],[PointRank]]/100+PlayerGameData[[#This Row],[STLOrder]],PlayerGameData[[#This Row],[STLOrder]])</f>
        <v>49.63</v>
      </c>
      <c r="AW571" s="8">
        <f ca="1">RANK(PlayerGameData[[#This Row],[STLTieBreak]],PlayerGameData[STLTieBreak],1)</f>
        <v>80</v>
      </c>
      <c r="AX571" s="8">
        <f ca="1">RANK(PlayerGameData[[#This Row],[BLK]],PlayerGameData[BLK],0)+PlayerGameData[[#This Row],[VisibleOrder]]</f>
        <v>32</v>
      </c>
      <c r="AY571" s="8">
        <f ca="1">IF(COUNTIF(PlayerGameData[BLKOrder],PlayerGameData[[#This Row],[BLKOrder]])&gt;1,PlayerGameData[[#This Row],[PointRank]]/100+PlayerGameData[[#This Row],[BLKOrder]],PlayerGameData[[#This Row],[BLKOrder]])</f>
        <v>33.630000000000003</v>
      </c>
      <c r="AZ571" s="8">
        <f ca="1">RANK(PlayerGameData[[#This Row],[BLKTieBreak]],PlayerGameData[BLKTieBreak],1)</f>
        <v>164</v>
      </c>
      <c r="BA571" s="11">
        <f ca="1">IFERROR(IF(PlayerGameData[[#This Row],[FGA]]&gt;$AA$5,PlayerGameData[[#This Row],[FG%*]],PlayerGameData[[#This Row],[FG%*]]*-1),-2)</f>
        <v>0</v>
      </c>
      <c r="BB571" s="8">
        <f ca="1">RANK(PlayerGameData[[#This Row],[EligFG]],PlayerGameData[EligFG],0)+PlayerGameData[[#This Row],[VisibleOrder]]</f>
        <v>117</v>
      </c>
      <c r="BC571" s="8">
        <f ca="1">IF(COUNTIF(PlayerGameData[EligFGOrder],PlayerGameData[[#This Row],[EligFGOrder]])&gt;1,PlayerGameData[[#This Row],[PointRank]]/100+PlayerGameData[[#This Row],[EligFGOrder]],PlayerGameData[[#This Row],[EligFGOrder]])</f>
        <v>118.63</v>
      </c>
      <c r="BD571" s="8">
        <f ca="1">RANK(PlayerGameData[[#This Row],[EligFGTieBreak]],PlayerGameData[EligFGTieBreak],1)</f>
        <v>117</v>
      </c>
      <c r="BE571" s="8" t="str">
        <f>Roster!$D$3</f>
        <v>East</v>
      </c>
      <c r="BF571" s="8" t="str">
        <f>Roster!$D$2</f>
        <v>Northeast</v>
      </c>
      <c r="BG571" s="8" t="str">
        <f>Roster!$D$4</f>
        <v>North</v>
      </c>
      <c r="BH571" s="197">
        <f ca="1">IFERROR(VLOOKUP(CONCATENATE(PlayerGameData[[#This Row],[Opponent]]," ",MONTH(PlayerGameData[[#This Row],[Date]]),"/",DAY(PlayerGameData[[#This Row],[Date]]),"/",YEAR(PlayerGameData[[#This Row],[Date]])),Table35[],2,FALSE),0)</f>
        <v>1</v>
      </c>
      <c r="BI571" s="197">
        <f ca="1">IF(PlayerGameData[[#This Row],[Visible]]=1,1,1000)</f>
        <v>1</v>
      </c>
      <c r="BJ571" s="197" t="e">
        <f ca="1">_xlfn.MAXIFS(TeamGameData[Win],TeamGameData[School, Opponent,Game'#],PlayerGameData[[#This Row],[School, Opponent,Game'#]])</f>
        <v>#NAME?</v>
      </c>
      <c r="BK571" s="197" t="e">
        <f ca="1">_xlfn.MAXIFS(TeamGameData[Loss],TeamGameData[School, Opponent,Game'#],PlayerGameData[[#This Row],[School, Opponent,Game'#]])</f>
        <v>#NAME?</v>
      </c>
    </row>
    <row r="572" spans="1:63" x14ac:dyDescent="0.25">
      <c r="A572" s="8" t="str">
        <f t="shared" ca="1" si="273"/>
        <v xml:space="preserve">, </v>
      </c>
      <c r="B572" s="8" t="str">
        <f>Roster!$B$1</f>
        <v>Upton</v>
      </c>
      <c r="C572" s="8" t="str">
        <f t="shared" ca="1" si="261"/>
        <v>Farson Eden</v>
      </c>
      <c r="D572" s="10">
        <f t="shared" ca="1" si="262"/>
        <v>44987</v>
      </c>
      <c r="E572" s="8">
        <f t="shared" ca="1" si="263"/>
        <v>0</v>
      </c>
      <c r="F572" s="8">
        <f t="shared" ca="1" si="264"/>
        <v>0</v>
      </c>
      <c r="G572" s="8">
        <f t="shared" ca="1" si="265"/>
        <v>0</v>
      </c>
      <c r="H572" s="8">
        <f t="shared" ca="1" si="266"/>
        <v>0</v>
      </c>
      <c r="I572" s="8">
        <f t="shared" ca="1" si="267"/>
        <v>0</v>
      </c>
      <c r="J572" s="8">
        <f t="shared" ca="1" si="268"/>
        <v>0</v>
      </c>
      <c r="K572" s="8">
        <f t="shared" ca="1" si="269"/>
        <v>0</v>
      </c>
      <c r="L572" s="8">
        <f t="shared" ca="1" si="274"/>
        <v>0</v>
      </c>
      <c r="M572" s="8">
        <f t="shared" ca="1" si="275"/>
        <v>0</v>
      </c>
      <c r="N572" s="8">
        <f t="shared" ca="1" si="276"/>
        <v>0</v>
      </c>
      <c r="O572" s="8">
        <f t="shared" ca="1" si="277"/>
        <v>0</v>
      </c>
      <c r="P572" s="8">
        <f t="shared" ca="1" si="278"/>
        <v>0</v>
      </c>
      <c r="Q572" s="8">
        <f t="shared" ca="1" si="279"/>
        <v>0</v>
      </c>
      <c r="R572" s="8">
        <f t="shared" ca="1" si="280"/>
        <v>0</v>
      </c>
      <c r="S572" s="8">
        <f t="shared" ca="1" si="281"/>
        <v>0</v>
      </c>
      <c r="T572" s="8">
        <f t="shared" ca="1" si="282"/>
        <v>0</v>
      </c>
      <c r="U572" s="8">
        <f t="shared" ca="1" si="283"/>
        <v>0</v>
      </c>
      <c r="V572" s="8">
        <f t="shared" ca="1" si="284"/>
        <v>0</v>
      </c>
      <c r="W572" s="11" t="str">
        <f t="shared" ca="1" si="285"/>
        <v/>
      </c>
      <c r="X572" s="11" t="str">
        <f t="shared" ca="1" si="286"/>
        <v/>
      </c>
      <c r="Y572" s="11" t="str">
        <f t="shared" ca="1" si="287"/>
        <v/>
      </c>
      <c r="Z572" s="11" t="str">
        <f t="shared" ca="1" si="288"/>
        <v/>
      </c>
      <c r="AA572" s="11" t="str">
        <f t="shared" ca="1" si="289"/>
        <v/>
      </c>
      <c r="AB572" s="47">
        <f ca="1">PlayerGameData[[#This Row],[3FGA]]+PlayerGameData[[#This Row],[2FGA]]</f>
        <v>0</v>
      </c>
      <c r="AC572" s="47">
        <f ca="1">PlayerGameData[[#This Row],[OFF REB]]+PlayerGameData[[#This Row],[DEF REB]]</f>
        <v>0</v>
      </c>
      <c r="AD572" s="8">
        <f t="shared" si="270"/>
        <v>24</v>
      </c>
      <c r="AE572" s="8" t="str">
        <f t="shared" ca="1" si="271"/>
        <v>,  - Farson Eden 3/2/2023</v>
      </c>
      <c r="AF572" s="8" t="str">
        <f t="shared" ca="1" si="290"/>
        <v/>
      </c>
      <c r="AG572" s="8" t="str">
        <f ca="1">IFERROR(IF(C572=0,"",IF(AND(VLOOKUP(PlayerGameData[[#This Row],[Opponent]],WYTeamInfo,2,FALSE)=Roster!$D$1,VLOOKUP(PlayerGameData[[#This Row],[Opponent]],WYTeamInfo,3,FALSE)=Roster!$D$2),"SR","")),"")</f>
        <v/>
      </c>
      <c r="AH572" s="8" t="str">
        <f>CONCATENATE(Roster!$D$1," ",Roster!$D$5)</f>
        <v>1A BB</v>
      </c>
      <c r="AI572" s="8" t="str">
        <f t="shared" ca="1" si="272"/>
        <v>Upton - Farson Eden 3/2/2023</v>
      </c>
      <c r="AJ572" s="8">
        <f ca="1">IFERROR(VLOOKUP(PlayerGameData[[#This Row],[School, Opponent,Game'#]],Table3[],2,FALSE),0)</f>
        <v>1</v>
      </c>
      <c r="AK572" s="8">
        <f ca="1">IF(PlayerGameData[[#This Row],[Visible]]=1,1,1000)</f>
        <v>1</v>
      </c>
      <c r="AL572" s="8">
        <f ca="1">RANK(PlayerGameData[[#This Row],[TL PTS]],PlayerGameData[TL PTS],0)+PlayerGameData[[#This Row],[VisibleOrder]]</f>
        <v>185</v>
      </c>
      <c r="AM572" s="8">
        <f ca="1">IF(COUNTIF(PlayerGameData[PointOrder],PlayerGameData[[#This Row],[PointOrder]])&gt;1,RANK(PlayerGameData[[#This Row],[FGA]],PlayerGameData[FGA],0)/100,0)+PlayerGameData[[#This Row],[PointOrder]]</f>
        <v>187.14</v>
      </c>
      <c r="AN572" s="8">
        <f ca="1">RANK(PlayerGameData[[#This Row],[PointTieBreak]],PlayerGameData[PointTieBreak],1)</f>
        <v>216</v>
      </c>
      <c r="AO572" s="8">
        <f ca="1">RANK(PlayerGameData[[#This Row],[REB]],PlayerGameData[REB],0)+PlayerGameData[[#This Row],[VisibleOrder]]</f>
        <v>192</v>
      </c>
      <c r="AP572" s="8">
        <f ca="1">IF(COUNTIF(PlayerGameData[REBOrder],PlayerGameData[[#This Row],[REBOrder]])&gt;1,PlayerGameData[[#This Row],[PointRank]]/100+PlayerGameData[[#This Row],[REBOrder]],PlayerGameData[[#This Row],[REBOrder]])</f>
        <v>194.16</v>
      </c>
      <c r="AQ572" s="8">
        <f ca="1">RANK(PlayerGameData[[#This Row],[REBTieBreak]],PlayerGameData[REBTieBreak],1)</f>
        <v>224</v>
      </c>
      <c r="AR572" s="8">
        <f ca="1">RANK(PlayerGameData[[#This Row],[AST]],PlayerGameData[AST],0)+PlayerGameData[[#This Row],[VisibleOrder]]</f>
        <v>158</v>
      </c>
      <c r="AS572" s="8">
        <f ca="1">IF(COUNTIF(PlayerGameData[ASTOrder],PlayerGameData[[#This Row],[ASTOrder]])&gt;1,PlayerGameData[[#This Row],[PointRank]]/100+PlayerGameData[[#This Row],[ASTOrder]],PlayerGameData[[#This Row],[ASTOrder]])</f>
        <v>160.16</v>
      </c>
      <c r="AT572" s="8">
        <f ca="1">RANK(PlayerGameData[[#This Row],[ASTTieBreak]],PlayerGameData[ASTTieBreak],1)</f>
        <v>221</v>
      </c>
      <c r="AU572" s="8">
        <f ca="1">RANK(PlayerGameData[[#This Row],[STL]],PlayerGameData[STL],0)+PlayerGameData[[#This Row],[VisibleOrder]]</f>
        <v>143</v>
      </c>
      <c r="AV572" s="8">
        <f ca="1">IF(COUNTIF(PlayerGameData[STLOrder],PlayerGameData[[#This Row],[STLOrder]])&gt;1,PlayerGameData[[#This Row],[PointRank]]/100+PlayerGameData[[#This Row],[STLOrder]],PlayerGameData[[#This Row],[STLOrder]])</f>
        <v>145.16</v>
      </c>
      <c r="AW572" s="8">
        <f ca="1">RANK(PlayerGameData[[#This Row],[STLTieBreak]],PlayerGameData[STLTieBreak],1)</f>
        <v>217</v>
      </c>
      <c r="AX572" s="8">
        <f ca="1">RANK(PlayerGameData[[#This Row],[BLK]],PlayerGameData[BLK],0)+PlayerGameData[[#This Row],[VisibleOrder]]</f>
        <v>32</v>
      </c>
      <c r="AY572" s="8">
        <f ca="1">IF(COUNTIF(PlayerGameData[BLKOrder],PlayerGameData[[#This Row],[BLKOrder]])&gt;1,PlayerGameData[[#This Row],[PointRank]]/100+PlayerGameData[[#This Row],[BLKOrder]],PlayerGameData[[#This Row],[BLKOrder]])</f>
        <v>34.159999999999997</v>
      </c>
      <c r="AZ572" s="8">
        <f ca="1">RANK(PlayerGameData[[#This Row],[BLKTieBreak]],PlayerGameData[BLKTieBreak],1)</f>
        <v>216</v>
      </c>
      <c r="BA572" s="11">
        <f ca="1">IFERROR(IF(PlayerGameData[[#This Row],[FGA]]&gt;$AA$5,PlayerGameData[[#This Row],[FG%*]],PlayerGameData[[#This Row],[FG%*]]*-1),-2)</f>
        <v>-2</v>
      </c>
      <c r="BB572" s="8">
        <f ca="1">RANK(PlayerGameData[[#This Row],[EligFG]],PlayerGameData[EligFG],0)+PlayerGameData[[#This Row],[VisibleOrder]]</f>
        <v>215</v>
      </c>
      <c r="BC572" s="8">
        <f ca="1">IF(COUNTIF(PlayerGameData[EligFGOrder],PlayerGameData[[#This Row],[EligFGOrder]])&gt;1,PlayerGameData[[#This Row],[PointRank]]/100+PlayerGameData[[#This Row],[EligFGOrder]],PlayerGameData[[#This Row],[EligFGOrder]])</f>
        <v>217.16</v>
      </c>
      <c r="BD572" s="8">
        <f ca="1">RANK(PlayerGameData[[#This Row],[EligFGTieBreak]],PlayerGameData[EligFGTieBreak],1)</f>
        <v>216</v>
      </c>
      <c r="BE572" s="8" t="str">
        <f>Roster!$D$3</f>
        <v>East</v>
      </c>
      <c r="BF572" s="8" t="str">
        <f>Roster!$D$2</f>
        <v>Northeast</v>
      </c>
      <c r="BG572" s="8" t="str">
        <f>Roster!$D$4</f>
        <v>North</v>
      </c>
      <c r="BH572" s="197">
        <f ca="1">IFERROR(VLOOKUP(CONCATENATE(PlayerGameData[[#This Row],[Opponent]]," ",MONTH(PlayerGameData[[#This Row],[Date]]),"/",DAY(PlayerGameData[[#This Row],[Date]]),"/",YEAR(PlayerGameData[[#This Row],[Date]])),Table35[],2,FALSE),0)</f>
        <v>1</v>
      </c>
      <c r="BI572" s="197">
        <f ca="1">IF(PlayerGameData[[#This Row],[Visible]]=1,1,1000)</f>
        <v>1</v>
      </c>
      <c r="BJ572" s="197" t="e">
        <f ca="1">_xlfn.MAXIFS(TeamGameData[Win],TeamGameData[School, Opponent,Game'#],PlayerGameData[[#This Row],[School, Opponent,Game'#]])</f>
        <v>#NAME?</v>
      </c>
      <c r="BK572" s="197" t="e">
        <f ca="1">_xlfn.MAXIFS(TeamGameData[Loss],TeamGameData[School, Opponent,Game'#],PlayerGameData[[#This Row],[School, Opponent,Game'#]])</f>
        <v>#NAME?</v>
      </c>
    </row>
    <row r="573" spans="1:63" x14ac:dyDescent="0.25">
      <c r="A573" s="8" t="str">
        <f t="shared" ca="1" si="273"/>
        <v xml:space="preserve">, </v>
      </c>
      <c r="B573" s="8" t="str">
        <f>Roster!$B$1</f>
        <v>Upton</v>
      </c>
      <c r="C573" s="8" t="str">
        <f t="shared" ca="1" si="261"/>
        <v>Farson Eden</v>
      </c>
      <c r="D573" s="10">
        <f t="shared" ca="1" si="262"/>
        <v>44987</v>
      </c>
      <c r="E573" s="8">
        <f t="shared" ca="1" si="263"/>
        <v>0</v>
      </c>
      <c r="F573" s="8">
        <f t="shared" ca="1" si="264"/>
        <v>0</v>
      </c>
      <c r="G573" s="8">
        <f t="shared" ca="1" si="265"/>
        <v>0</v>
      </c>
      <c r="H573" s="8">
        <f t="shared" ca="1" si="266"/>
        <v>0</v>
      </c>
      <c r="I573" s="8">
        <f t="shared" ca="1" si="267"/>
        <v>0</v>
      </c>
      <c r="J573" s="8">
        <f t="shared" ca="1" si="268"/>
        <v>0</v>
      </c>
      <c r="K573" s="8">
        <f t="shared" ca="1" si="269"/>
        <v>0</v>
      </c>
      <c r="L573" s="8">
        <f t="shared" ca="1" si="274"/>
        <v>0</v>
      </c>
      <c r="M573" s="8">
        <f t="shared" ca="1" si="275"/>
        <v>0</v>
      </c>
      <c r="N573" s="8">
        <f t="shared" ca="1" si="276"/>
        <v>0</v>
      </c>
      <c r="O573" s="8">
        <f t="shared" ca="1" si="277"/>
        <v>0</v>
      </c>
      <c r="P573" s="8">
        <f t="shared" ca="1" si="278"/>
        <v>0</v>
      </c>
      <c r="Q573" s="8">
        <f t="shared" ca="1" si="279"/>
        <v>0</v>
      </c>
      <c r="R573" s="8">
        <f t="shared" ca="1" si="280"/>
        <v>0</v>
      </c>
      <c r="S573" s="8">
        <f t="shared" ca="1" si="281"/>
        <v>0</v>
      </c>
      <c r="T573" s="8">
        <f t="shared" ca="1" si="282"/>
        <v>0</v>
      </c>
      <c r="U573" s="8">
        <f t="shared" ca="1" si="283"/>
        <v>0</v>
      </c>
      <c r="V573" s="8">
        <f t="shared" ca="1" si="284"/>
        <v>0</v>
      </c>
      <c r="W573" s="11" t="str">
        <f t="shared" ca="1" si="285"/>
        <v/>
      </c>
      <c r="X573" s="11" t="str">
        <f t="shared" ca="1" si="286"/>
        <v/>
      </c>
      <c r="Y573" s="11" t="str">
        <f t="shared" ca="1" si="287"/>
        <v/>
      </c>
      <c r="Z573" s="11" t="str">
        <f t="shared" ca="1" si="288"/>
        <v/>
      </c>
      <c r="AA573" s="11" t="str">
        <f t="shared" ca="1" si="289"/>
        <v/>
      </c>
      <c r="AB573" s="47">
        <f ca="1">PlayerGameData[[#This Row],[3FGA]]+PlayerGameData[[#This Row],[2FGA]]</f>
        <v>0</v>
      </c>
      <c r="AC573" s="47">
        <f ca="1">PlayerGameData[[#This Row],[OFF REB]]+PlayerGameData[[#This Row],[DEF REB]]</f>
        <v>0</v>
      </c>
      <c r="AD573" s="8">
        <f t="shared" si="270"/>
        <v>24</v>
      </c>
      <c r="AE573" s="8" t="str">
        <f t="shared" ca="1" si="271"/>
        <v>,  - Farson Eden 3/2/2023</v>
      </c>
      <c r="AF573" s="8" t="str">
        <f t="shared" ca="1" si="290"/>
        <v/>
      </c>
      <c r="AG573" s="8" t="str">
        <f ca="1">IFERROR(IF(C573=0,"",IF(AND(VLOOKUP(PlayerGameData[[#This Row],[Opponent]],WYTeamInfo,2,FALSE)=Roster!$D$1,VLOOKUP(PlayerGameData[[#This Row],[Opponent]],WYTeamInfo,3,FALSE)=Roster!$D$2),"SR","")),"")</f>
        <v/>
      </c>
      <c r="AH573" s="8" t="str">
        <f>CONCATENATE(Roster!$D$1," ",Roster!$D$5)</f>
        <v>1A BB</v>
      </c>
      <c r="AI573" s="8" t="str">
        <f t="shared" ca="1" si="272"/>
        <v>Upton - Farson Eden 3/2/2023</v>
      </c>
      <c r="AJ573" s="8">
        <f ca="1">IFERROR(VLOOKUP(PlayerGameData[[#This Row],[School, Opponent,Game'#]],Table3[],2,FALSE),0)</f>
        <v>1</v>
      </c>
      <c r="AK573" s="8">
        <f ca="1">IF(PlayerGameData[[#This Row],[Visible]]=1,1,1000)</f>
        <v>1</v>
      </c>
      <c r="AL573" s="8">
        <f ca="1">RANK(PlayerGameData[[#This Row],[TL PTS]],PlayerGameData[TL PTS],0)+PlayerGameData[[#This Row],[VisibleOrder]]</f>
        <v>185</v>
      </c>
      <c r="AM573" s="8">
        <f ca="1">IF(COUNTIF(PlayerGameData[PointOrder],PlayerGameData[[#This Row],[PointOrder]])&gt;1,RANK(PlayerGameData[[#This Row],[FGA]],PlayerGameData[FGA],0)/100,0)+PlayerGameData[[#This Row],[PointOrder]]</f>
        <v>187.14</v>
      </c>
      <c r="AN573" s="8">
        <f ca="1">RANK(PlayerGameData[[#This Row],[PointTieBreak]],PlayerGameData[PointTieBreak],1)</f>
        <v>216</v>
      </c>
      <c r="AO573" s="8">
        <f ca="1">RANK(PlayerGameData[[#This Row],[REB]],PlayerGameData[REB],0)+PlayerGameData[[#This Row],[VisibleOrder]]</f>
        <v>192</v>
      </c>
      <c r="AP573" s="8">
        <f ca="1">IF(COUNTIF(PlayerGameData[REBOrder],PlayerGameData[[#This Row],[REBOrder]])&gt;1,PlayerGameData[[#This Row],[PointRank]]/100+PlayerGameData[[#This Row],[REBOrder]],PlayerGameData[[#This Row],[REBOrder]])</f>
        <v>194.16</v>
      </c>
      <c r="AQ573" s="8">
        <f ca="1">RANK(PlayerGameData[[#This Row],[REBTieBreak]],PlayerGameData[REBTieBreak],1)</f>
        <v>224</v>
      </c>
      <c r="AR573" s="8">
        <f ca="1">RANK(PlayerGameData[[#This Row],[AST]],PlayerGameData[AST],0)+PlayerGameData[[#This Row],[VisibleOrder]]</f>
        <v>158</v>
      </c>
      <c r="AS573" s="8">
        <f ca="1">IF(COUNTIF(PlayerGameData[ASTOrder],PlayerGameData[[#This Row],[ASTOrder]])&gt;1,PlayerGameData[[#This Row],[PointRank]]/100+PlayerGameData[[#This Row],[ASTOrder]],PlayerGameData[[#This Row],[ASTOrder]])</f>
        <v>160.16</v>
      </c>
      <c r="AT573" s="8">
        <f ca="1">RANK(PlayerGameData[[#This Row],[ASTTieBreak]],PlayerGameData[ASTTieBreak],1)</f>
        <v>221</v>
      </c>
      <c r="AU573" s="8">
        <f ca="1">RANK(PlayerGameData[[#This Row],[STL]],PlayerGameData[STL],0)+PlayerGameData[[#This Row],[VisibleOrder]]</f>
        <v>143</v>
      </c>
      <c r="AV573" s="8">
        <f ca="1">IF(COUNTIF(PlayerGameData[STLOrder],PlayerGameData[[#This Row],[STLOrder]])&gt;1,PlayerGameData[[#This Row],[PointRank]]/100+PlayerGameData[[#This Row],[STLOrder]],PlayerGameData[[#This Row],[STLOrder]])</f>
        <v>145.16</v>
      </c>
      <c r="AW573" s="8">
        <f ca="1">RANK(PlayerGameData[[#This Row],[STLTieBreak]],PlayerGameData[STLTieBreak],1)</f>
        <v>217</v>
      </c>
      <c r="AX573" s="8">
        <f ca="1">RANK(PlayerGameData[[#This Row],[BLK]],PlayerGameData[BLK],0)+PlayerGameData[[#This Row],[VisibleOrder]]</f>
        <v>32</v>
      </c>
      <c r="AY573" s="8">
        <f ca="1">IF(COUNTIF(PlayerGameData[BLKOrder],PlayerGameData[[#This Row],[BLKOrder]])&gt;1,PlayerGameData[[#This Row],[PointRank]]/100+PlayerGameData[[#This Row],[BLKOrder]],PlayerGameData[[#This Row],[BLKOrder]])</f>
        <v>34.159999999999997</v>
      </c>
      <c r="AZ573" s="8">
        <f ca="1">RANK(PlayerGameData[[#This Row],[BLKTieBreak]],PlayerGameData[BLKTieBreak],1)</f>
        <v>216</v>
      </c>
      <c r="BA573" s="11">
        <f ca="1">IFERROR(IF(PlayerGameData[[#This Row],[FGA]]&gt;$AA$5,PlayerGameData[[#This Row],[FG%*]],PlayerGameData[[#This Row],[FG%*]]*-1),-2)</f>
        <v>-2</v>
      </c>
      <c r="BB573" s="8">
        <f ca="1">RANK(PlayerGameData[[#This Row],[EligFG]],PlayerGameData[EligFG],0)+PlayerGameData[[#This Row],[VisibleOrder]]</f>
        <v>215</v>
      </c>
      <c r="BC573" s="8">
        <f ca="1">IF(COUNTIF(PlayerGameData[EligFGOrder],PlayerGameData[[#This Row],[EligFGOrder]])&gt;1,PlayerGameData[[#This Row],[PointRank]]/100+PlayerGameData[[#This Row],[EligFGOrder]],PlayerGameData[[#This Row],[EligFGOrder]])</f>
        <v>217.16</v>
      </c>
      <c r="BD573" s="8">
        <f ca="1">RANK(PlayerGameData[[#This Row],[EligFGTieBreak]],PlayerGameData[EligFGTieBreak],1)</f>
        <v>216</v>
      </c>
      <c r="BE573" s="8" t="str">
        <f>Roster!$D$3</f>
        <v>East</v>
      </c>
      <c r="BF573" s="8" t="str">
        <f>Roster!$D$2</f>
        <v>Northeast</v>
      </c>
      <c r="BG573" s="8" t="str">
        <f>Roster!$D$4</f>
        <v>North</v>
      </c>
      <c r="BH573" s="197">
        <f ca="1">IFERROR(VLOOKUP(CONCATENATE(PlayerGameData[[#This Row],[Opponent]]," ",MONTH(PlayerGameData[[#This Row],[Date]]),"/",DAY(PlayerGameData[[#This Row],[Date]]),"/",YEAR(PlayerGameData[[#This Row],[Date]])),Table35[],2,FALSE),0)</f>
        <v>1</v>
      </c>
      <c r="BI573" s="197">
        <f ca="1">IF(PlayerGameData[[#This Row],[Visible]]=1,1,1000)</f>
        <v>1</v>
      </c>
      <c r="BJ573" s="197" t="e">
        <f ca="1">_xlfn.MAXIFS(TeamGameData[Win],TeamGameData[School, Opponent,Game'#],PlayerGameData[[#This Row],[School, Opponent,Game'#]])</f>
        <v>#NAME?</v>
      </c>
      <c r="BK573" s="197" t="e">
        <f ca="1">_xlfn.MAXIFS(TeamGameData[Loss],TeamGameData[School, Opponent,Game'#],PlayerGameData[[#This Row],[School, Opponent,Game'#]])</f>
        <v>#NAME?</v>
      </c>
    </row>
    <row r="574" spans="1:63" x14ac:dyDescent="0.25">
      <c r="A574" s="8" t="str">
        <f t="shared" ca="1" si="273"/>
        <v xml:space="preserve">, </v>
      </c>
      <c r="B574" s="8" t="str">
        <f>Roster!$B$1</f>
        <v>Upton</v>
      </c>
      <c r="C574" s="8" t="str">
        <f t="shared" ca="1" si="261"/>
        <v>Farson Eden</v>
      </c>
      <c r="D574" s="10">
        <f t="shared" ca="1" si="262"/>
        <v>44987</v>
      </c>
      <c r="E574" s="8">
        <f t="shared" ca="1" si="263"/>
        <v>0</v>
      </c>
      <c r="F574" s="8">
        <f t="shared" ca="1" si="264"/>
        <v>0</v>
      </c>
      <c r="G574" s="8">
        <f t="shared" ca="1" si="265"/>
        <v>0</v>
      </c>
      <c r="H574" s="8">
        <f t="shared" ca="1" si="266"/>
        <v>0</v>
      </c>
      <c r="I574" s="8">
        <f t="shared" ca="1" si="267"/>
        <v>0</v>
      </c>
      <c r="J574" s="8">
        <f t="shared" ca="1" si="268"/>
        <v>0</v>
      </c>
      <c r="K574" s="8">
        <f t="shared" ca="1" si="269"/>
        <v>0</v>
      </c>
      <c r="L574" s="8">
        <f t="shared" ca="1" si="274"/>
        <v>0</v>
      </c>
      <c r="M574" s="8">
        <f t="shared" ca="1" si="275"/>
        <v>0</v>
      </c>
      <c r="N574" s="8">
        <f t="shared" ca="1" si="276"/>
        <v>0</v>
      </c>
      <c r="O574" s="8">
        <f t="shared" ca="1" si="277"/>
        <v>0</v>
      </c>
      <c r="P574" s="8">
        <f t="shared" ca="1" si="278"/>
        <v>0</v>
      </c>
      <c r="Q574" s="8">
        <f t="shared" ca="1" si="279"/>
        <v>0</v>
      </c>
      <c r="R574" s="8">
        <f t="shared" ca="1" si="280"/>
        <v>0</v>
      </c>
      <c r="S574" s="8">
        <f t="shared" ca="1" si="281"/>
        <v>0</v>
      </c>
      <c r="T574" s="8">
        <f t="shared" ca="1" si="282"/>
        <v>0</v>
      </c>
      <c r="U574" s="8">
        <f t="shared" ca="1" si="283"/>
        <v>0</v>
      </c>
      <c r="V574" s="8">
        <f t="shared" ca="1" si="284"/>
        <v>0</v>
      </c>
      <c r="W574" s="11" t="str">
        <f t="shared" ca="1" si="285"/>
        <v/>
      </c>
      <c r="X574" s="11" t="str">
        <f t="shared" ca="1" si="286"/>
        <v/>
      </c>
      <c r="Y574" s="11" t="str">
        <f t="shared" ca="1" si="287"/>
        <v/>
      </c>
      <c r="Z574" s="11" t="str">
        <f t="shared" ca="1" si="288"/>
        <v/>
      </c>
      <c r="AA574" s="11" t="str">
        <f t="shared" ca="1" si="289"/>
        <v/>
      </c>
      <c r="AB574" s="47">
        <f ca="1">PlayerGameData[[#This Row],[3FGA]]+PlayerGameData[[#This Row],[2FGA]]</f>
        <v>0</v>
      </c>
      <c r="AC574" s="47">
        <f ca="1">PlayerGameData[[#This Row],[OFF REB]]+PlayerGameData[[#This Row],[DEF REB]]</f>
        <v>0</v>
      </c>
      <c r="AD574" s="8">
        <f t="shared" si="270"/>
        <v>24</v>
      </c>
      <c r="AE574" s="8" t="str">
        <f t="shared" ca="1" si="271"/>
        <v>,  - Farson Eden 3/2/2023</v>
      </c>
      <c r="AF574" s="8" t="str">
        <f t="shared" ca="1" si="290"/>
        <v/>
      </c>
      <c r="AG574" s="8" t="str">
        <f ca="1">IFERROR(IF(C574=0,"",IF(AND(VLOOKUP(PlayerGameData[[#This Row],[Opponent]],WYTeamInfo,2,FALSE)=Roster!$D$1,VLOOKUP(PlayerGameData[[#This Row],[Opponent]],WYTeamInfo,3,FALSE)=Roster!$D$2),"SR","")),"")</f>
        <v/>
      </c>
      <c r="AH574" s="8" t="str">
        <f>CONCATENATE(Roster!$D$1," ",Roster!$D$5)</f>
        <v>1A BB</v>
      </c>
      <c r="AI574" s="8" t="str">
        <f t="shared" ca="1" si="272"/>
        <v>Upton - Farson Eden 3/2/2023</v>
      </c>
      <c r="AJ574" s="8">
        <f ca="1">IFERROR(VLOOKUP(PlayerGameData[[#This Row],[School, Opponent,Game'#]],Table3[],2,FALSE),0)</f>
        <v>1</v>
      </c>
      <c r="AK574" s="8">
        <f ca="1">IF(PlayerGameData[[#This Row],[Visible]]=1,1,1000)</f>
        <v>1</v>
      </c>
      <c r="AL574" s="8">
        <f ca="1">RANK(PlayerGameData[[#This Row],[TL PTS]],PlayerGameData[TL PTS],0)+PlayerGameData[[#This Row],[VisibleOrder]]</f>
        <v>185</v>
      </c>
      <c r="AM574" s="8">
        <f ca="1">IF(COUNTIF(PlayerGameData[PointOrder],PlayerGameData[[#This Row],[PointOrder]])&gt;1,RANK(PlayerGameData[[#This Row],[FGA]],PlayerGameData[FGA],0)/100,0)+PlayerGameData[[#This Row],[PointOrder]]</f>
        <v>187.14</v>
      </c>
      <c r="AN574" s="8">
        <f ca="1">RANK(PlayerGameData[[#This Row],[PointTieBreak]],PlayerGameData[PointTieBreak],1)</f>
        <v>216</v>
      </c>
      <c r="AO574" s="8">
        <f ca="1">RANK(PlayerGameData[[#This Row],[REB]],PlayerGameData[REB],0)+PlayerGameData[[#This Row],[VisibleOrder]]</f>
        <v>192</v>
      </c>
      <c r="AP574" s="8">
        <f ca="1">IF(COUNTIF(PlayerGameData[REBOrder],PlayerGameData[[#This Row],[REBOrder]])&gt;1,PlayerGameData[[#This Row],[PointRank]]/100+PlayerGameData[[#This Row],[REBOrder]],PlayerGameData[[#This Row],[REBOrder]])</f>
        <v>194.16</v>
      </c>
      <c r="AQ574" s="8">
        <f ca="1">RANK(PlayerGameData[[#This Row],[REBTieBreak]],PlayerGameData[REBTieBreak],1)</f>
        <v>224</v>
      </c>
      <c r="AR574" s="8">
        <f ca="1">RANK(PlayerGameData[[#This Row],[AST]],PlayerGameData[AST],0)+PlayerGameData[[#This Row],[VisibleOrder]]</f>
        <v>158</v>
      </c>
      <c r="AS574" s="8">
        <f ca="1">IF(COUNTIF(PlayerGameData[ASTOrder],PlayerGameData[[#This Row],[ASTOrder]])&gt;1,PlayerGameData[[#This Row],[PointRank]]/100+PlayerGameData[[#This Row],[ASTOrder]],PlayerGameData[[#This Row],[ASTOrder]])</f>
        <v>160.16</v>
      </c>
      <c r="AT574" s="8">
        <f ca="1">RANK(PlayerGameData[[#This Row],[ASTTieBreak]],PlayerGameData[ASTTieBreak],1)</f>
        <v>221</v>
      </c>
      <c r="AU574" s="8">
        <f ca="1">RANK(PlayerGameData[[#This Row],[STL]],PlayerGameData[STL],0)+PlayerGameData[[#This Row],[VisibleOrder]]</f>
        <v>143</v>
      </c>
      <c r="AV574" s="8">
        <f ca="1">IF(COUNTIF(PlayerGameData[STLOrder],PlayerGameData[[#This Row],[STLOrder]])&gt;1,PlayerGameData[[#This Row],[PointRank]]/100+PlayerGameData[[#This Row],[STLOrder]],PlayerGameData[[#This Row],[STLOrder]])</f>
        <v>145.16</v>
      </c>
      <c r="AW574" s="8">
        <f ca="1">RANK(PlayerGameData[[#This Row],[STLTieBreak]],PlayerGameData[STLTieBreak],1)</f>
        <v>217</v>
      </c>
      <c r="AX574" s="8">
        <f ca="1">RANK(PlayerGameData[[#This Row],[BLK]],PlayerGameData[BLK],0)+PlayerGameData[[#This Row],[VisibleOrder]]</f>
        <v>32</v>
      </c>
      <c r="AY574" s="8">
        <f ca="1">IF(COUNTIF(PlayerGameData[BLKOrder],PlayerGameData[[#This Row],[BLKOrder]])&gt;1,PlayerGameData[[#This Row],[PointRank]]/100+PlayerGameData[[#This Row],[BLKOrder]],PlayerGameData[[#This Row],[BLKOrder]])</f>
        <v>34.159999999999997</v>
      </c>
      <c r="AZ574" s="8">
        <f ca="1">RANK(PlayerGameData[[#This Row],[BLKTieBreak]],PlayerGameData[BLKTieBreak],1)</f>
        <v>216</v>
      </c>
      <c r="BA574" s="11">
        <f ca="1">IFERROR(IF(PlayerGameData[[#This Row],[FGA]]&gt;$AA$5,PlayerGameData[[#This Row],[FG%*]],PlayerGameData[[#This Row],[FG%*]]*-1),-2)</f>
        <v>-2</v>
      </c>
      <c r="BB574" s="8">
        <f ca="1">RANK(PlayerGameData[[#This Row],[EligFG]],PlayerGameData[EligFG],0)+PlayerGameData[[#This Row],[VisibleOrder]]</f>
        <v>215</v>
      </c>
      <c r="BC574" s="8">
        <f ca="1">IF(COUNTIF(PlayerGameData[EligFGOrder],PlayerGameData[[#This Row],[EligFGOrder]])&gt;1,PlayerGameData[[#This Row],[PointRank]]/100+PlayerGameData[[#This Row],[EligFGOrder]],PlayerGameData[[#This Row],[EligFGOrder]])</f>
        <v>217.16</v>
      </c>
      <c r="BD574" s="8">
        <f ca="1">RANK(PlayerGameData[[#This Row],[EligFGTieBreak]],PlayerGameData[EligFGTieBreak],1)</f>
        <v>216</v>
      </c>
      <c r="BE574" s="8" t="str">
        <f>Roster!$D$3</f>
        <v>East</v>
      </c>
      <c r="BF574" s="8" t="str">
        <f>Roster!$D$2</f>
        <v>Northeast</v>
      </c>
      <c r="BG574" s="8" t="str">
        <f>Roster!$D$4</f>
        <v>North</v>
      </c>
      <c r="BH574" s="197">
        <f ca="1">IFERROR(VLOOKUP(CONCATENATE(PlayerGameData[[#This Row],[Opponent]]," ",MONTH(PlayerGameData[[#This Row],[Date]]),"/",DAY(PlayerGameData[[#This Row],[Date]]),"/",YEAR(PlayerGameData[[#This Row],[Date]])),Table35[],2,FALSE),0)</f>
        <v>1</v>
      </c>
      <c r="BI574" s="197">
        <f ca="1">IF(PlayerGameData[[#This Row],[Visible]]=1,1,1000)</f>
        <v>1</v>
      </c>
      <c r="BJ574" s="197" t="e">
        <f ca="1">_xlfn.MAXIFS(TeamGameData[Win],TeamGameData[School, Opponent,Game'#],PlayerGameData[[#This Row],[School, Opponent,Game'#]])</f>
        <v>#NAME?</v>
      </c>
      <c r="BK574" s="197" t="e">
        <f ca="1">_xlfn.MAXIFS(TeamGameData[Loss],TeamGameData[School, Opponent,Game'#],PlayerGameData[[#This Row],[School, Opponent,Game'#]])</f>
        <v>#NAME?</v>
      </c>
    </row>
    <row r="575" spans="1:63" x14ac:dyDescent="0.25">
      <c r="A575" s="8" t="str">
        <f t="shared" ca="1" si="273"/>
        <v xml:space="preserve">, </v>
      </c>
      <c r="B575" s="8" t="str">
        <f>Roster!$B$1</f>
        <v>Upton</v>
      </c>
      <c r="C575" s="8" t="str">
        <f t="shared" ca="1" si="261"/>
        <v>Farson Eden</v>
      </c>
      <c r="D575" s="10">
        <f t="shared" ca="1" si="262"/>
        <v>44987</v>
      </c>
      <c r="E575" s="8">
        <f t="shared" ca="1" si="263"/>
        <v>0</v>
      </c>
      <c r="F575" s="8">
        <f t="shared" ca="1" si="264"/>
        <v>0</v>
      </c>
      <c r="G575" s="8">
        <f t="shared" ca="1" si="265"/>
        <v>0</v>
      </c>
      <c r="H575" s="8">
        <f t="shared" ca="1" si="266"/>
        <v>0</v>
      </c>
      <c r="I575" s="8">
        <f t="shared" ca="1" si="267"/>
        <v>0</v>
      </c>
      <c r="J575" s="8">
        <f t="shared" ca="1" si="268"/>
        <v>0</v>
      </c>
      <c r="K575" s="8">
        <f t="shared" ca="1" si="269"/>
        <v>0</v>
      </c>
      <c r="L575" s="8">
        <f t="shared" ca="1" si="274"/>
        <v>0</v>
      </c>
      <c r="M575" s="8">
        <f t="shared" ca="1" si="275"/>
        <v>0</v>
      </c>
      <c r="N575" s="8">
        <f t="shared" ca="1" si="276"/>
        <v>0</v>
      </c>
      <c r="O575" s="8">
        <f t="shared" ca="1" si="277"/>
        <v>0</v>
      </c>
      <c r="P575" s="8">
        <f t="shared" ca="1" si="278"/>
        <v>0</v>
      </c>
      <c r="Q575" s="8">
        <f t="shared" ca="1" si="279"/>
        <v>0</v>
      </c>
      <c r="R575" s="8">
        <f t="shared" ca="1" si="280"/>
        <v>0</v>
      </c>
      <c r="S575" s="8">
        <f t="shared" ca="1" si="281"/>
        <v>0</v>
      </c>
      <c r="T575" s="8">
        <f t="shared" ca="1" si="282"/>
        <v>0</v>
      </c>
      <c r="U575" s="8">
        <f t="shared" ca="1" si="283"/>
        <v>0</v>
      </c>
      <c r="V575" s="8">
        <f t="shared" ca="1" si="284"/>
        <v>0</v>
      </c>
      <c r="W575" s="11" t="str">
        <f t="shared" ca="1" si="285"/>
        <v/>
      </c>
      <c r="X575" s="11" t="str">
        <f t="shared" ca="1" si="286"/>
        <v/>
      </c>
      <c r="Y575" s="11" t="str">
        <f t="shared" ca="1" si="287"/>
        <v/>
      </c>
      <c r="Z575" s="11" t="str">
        <f t="shared" ca="1" si="288"/>
        <v/>
      </c>
      <c r="AA575" s="11" t="str">
        <f t="shared" ca="1" si="289"/>
        <v/>
      </c>
      <c r="AB575" s="47">
        <f ca="1">PlayerGameData[[#This Row],[3FGA]]+PlayerGameData[[#This Row],[2FGA]]</f>
        <v>0</v>
      </c>
      <c r="AC575" s="47">
        <f ca="1">PlayerGameData[[#This Row],[OFF REB]]+PlayerGameData[[#This Row],[DEF REB]]</f>
        <v>0</v>
      </c>
      <c r="AD575" s="8">
        <f t="shared" si="270"/>
        <v>24</v>
      </c>
      <c r="AE575" s="8" t="str">
        <f t="shared" ca="1" si="271"/>
        <v>,  - Farson Eden 3/2/2023</v>
      </c>
      <c r="AF575" s="8" t="str">
        <f t="shared" ca="1" si="290"/>
        <v/>
      </c>
      <c r="AG575" s="8" t="str">
        <f ca="1">IFERROR(IF(C575=0,"",IF(AND(VLOOKUP(PlayerGameData[[#This Row],[Opponent]],WYTeamInfo,2,FALSE)=Roster!$D$1,VLOOKUP(PlayerGameData[[#This Row],[Opponent]],WYTeamInfo,3,FALSE)=Roster!$D$2),"SR","")),"")</f>
        <v/>
      </c>
      <c r="AH575" s="8" t="str">
        <f>CONCATENATE(Roster!$D$1," ",Roster!$D$5)</f>
        <v>1A BB</v>
      </c>
      <c r="AI575" s="8" t="str">
        <f t="shared" ca="1" si="272"/>
        <v>Upton - Farson Eden 3/2/2023</v>
      </c>
      <c r="AJ575" s="8">
        <f ca="1">IFERROR(VLOOKUP(PlayerGameData[[#This Row],[School, Opponent,Game'#]],Table3[],2,FALSE),0)</f>
        <v>1</v>
      </c>
      <c r="AK575" s="8">
        <f ca="1">IF(PlayerGameData[[#This Row],[Visible]]=1,1,1000)</f>
        <v>1</v>
      </c>
      <c r="AL575" s="8">
        <f ca="1">RANK(PlayerGameData[[#This Row],[TL PTS]],PlayerGameData[TL PTS],0)+PlayerGameData[[#This Row],[VisibleOrder]]</f>
        <v>185</v>
      </c>
      <c r="AM575" s="8">
        <f ca="1">IF(COUNTIF(PlayerGameData[PointOrder],PlayerGameData[[#This Row],[PointOrder]])&gt;1,RANK(PlayerGameData[[#This Row],[FGA]],PlayerGameData[FGA],0)/100,0)+PlayerGameData[[#This Row],[PointOrder]]</f>
        <v>187.14</v>
      </c>
      <c r="AN575" s="8">
        <f ca="1">RANK(PlayerGameData[[#This Row],[PointTieBreak]],PlayerGameData[PointTieBreak],1)</f>
        <v>216</v>
      </c>
      <c r="AO575" s="8">
        <f ca="1">RANK(PlayerGameData[[#This Row],[REB]],PlayerGameData[REB],0)+PlayerGameData[[#This Row],[VisibleOrder]]</f>
        <v>192</v>
      </c>
      <c r="AP575" s="8">
        <f ca="1">IF(COUNTIF(PlayerGameData[REBOrder],PlayerGameData[[#This Row],[REBOrder]])&gt;1,PlayerGameData[[#This Row],[PointRank]]/100+PlayerGameData[[#This Row],[REBOrder]],PlayerGameData[[#This Row],[REBOrder]])</f>
        <v>194.16</v>
      </c>
      <c r="AQ575" s="8">
        <f ca="1">RANK(PlayerGameData[[#This Row],[REBTieBreak]],PlayerGameData[REBTieBreak],1)</f>
        <v>224</v>
      </c>
      <c r="AR575" s="8">
        <f ca="1">RANK(PlayerGameData[[#This Row],[AST]],PlayerGameData[AST],0)+PlayerGameData[[#This Row],[VisibleOrder]]</f>
        <v>158</v>
      </c>
      <c r="AS575" s="8">
        <f ca="1">IF(COUNTIF(PlayerGameData[ASTOrder],PlayerGameData[[#This Row],[ASTOrder]])&gt;1,PlayerGameData[[#This Row],[PointRank]]/100+PlayerGameData[[#This Row],[ASTOrder]],PlayerGameData[[#This Row],[ASTOrder]])</f>
        <v>160.16</v>
      </c>
      <c r="AT575" s="8">
        <f ca="1">RANK(PlayerGameData[[#This Row],[ASTTieBreak]],PlayerGameData[ASTTieBreak],1)</f>
        <v>221</v>
      </c>
      <c r="AU575" s="8">
        <f ca="1">RANK(PlayerGameData[[#This Row],[STL]],PlayerGameData[STL],0)+PlayerGameData[[#This Row],[VisibleOrder]]</f>
        <v>143</v>
      </c>
      <c r="AV575" s="8">
        <f ca="1">IF(COUNTIF(PlayerGameData[STLOrder],PlayerGameData[[#This Row],[STLOrder]])&gt;1,PlayerGameData[[#This Row],[PointRank]]/100+PlayerGameData[[#This Row],[STLOrder]],PlayerGameData[[#This Row],[STLOrder]])</f>
        <v>145.16</v>
      </c>
      <c r="AW575" s="8">
        <f ca="1">RANK(PlayerGameData[[#This Row],[STLTieBreak]],PlayerGameData[STLTieBreak],1)</f>
        <v>217</v>
      </c>
      <c r="AX575" s="8">
        <f ca="1">RANK(PlayerGameData[[#This Row],[BLK]],PlayerGameData[BLK],0)+PlayerGameData[[#This Row],[VisibleOrder]]</f>
        <v>32</v>
      </c>
      <c r="AY575" s="8">
        <f ca="1">IF(COUNTIF(PlayerGameData[BLKOrder],PlayerGameData[[#This Row],[BLKOrder]])&gt;1,PlayerGameData[[#This Row],[PointRank]]/100+PlayerGameData[[#This Row],[BLKOrder]],PlayerGameData[[#This Row],[BLKOrder]])</f>
        <v>34.159999999999997</v>
      </c>
      <c r="AZ575" s="8">
        <f ca="1">RANK(PlayerGameData[[#This Row],[BLKTieBreak]],PlayerGameData[BLKTieBreak],1)</f>
        <v>216</v>
      </c>
      <c r="BA575" s="11">
        <f ca="1">IFERROR(IF(PlayerGameData[[#This Row],[FGA]]&gt;$AA$5,PlayerGameData[[#This Row],[FG%*]],PlayerGameData[[#This Row],[FG%*]]*-1),-2)</f>
        <v>-2</v>
      </c>
      <c r="BB575" s="8">
        <f ca="1">RANK(PlayerGameData[[#This Row],[EligFG]],PlayerGameData[EligFG],0)+PlayerGameData[[#This Row],[VisibleOrder]]</f>
        <v>215</v>
      </c>
      <c r="BC575" s="8">
        <f ca="1">IF(COUNTIF(PlayerGameData[EligFGOrder],PlayerGameData[[#This Row],[EligFGOrder]])&gt;1,PlayerGameData[[#This Row],[PointRank]]/100+PlayerGameData[[#This Row],[EligFGOrder]],PlayerGameData[[#This Row],[EligFGOrder]])</f>
        <v>217.16</v>
      </c>
      <c r="BD575" s="8">
        <f ca="1">RANK(PlayerGameData[[#This Row],[EligFGTieBreak]],PlayerGameData[EligFGTieBreak],1)</f>
        <v>216</v>
      </c>
      <c r="BE575" s="8" t="str">
        <f>Roster!$D$3</f>
        <v>East</v>
      </c>
      <c r="BF575" s="8" t="str">
        <f>Roster!$D$2</f>
        <v>Northeast</v>
      </c>
      <c r="BG575" s="8" t="str">
        <f>Roster!$D$4</f>
        <v>North</v>
      </c>
      <c r="BH575" s="197">
        <f ca="1">IFERROR(VLOOKUP(CONCATENATE(PlayerGameData[[#This Row],[Opponent]]," ",MONTH(PlayerGameData[[#This Row],[Date]]),"/",DAY(PlayerGameData[[#This Row],[Date]]),"/",YEAR(PlayerGameData[[#This Row],[Date]])),Table35[],2,FALSE),0)</f>
        <v>1</v>
      </c>
      <c r="BI575" s="197">
        <f ca="1">IF(PlayerGameData[[#This Row],[Visible]]=1,1,1000)</f>
        <v>1</v>
      </c>
      <c r="BJ575" s="197" t="e">
        <f ca="1">_xlfn.MAXIFS(TeamGameData[Win],TeamGameData[School, Opponent,Game'#],PlayerGameData[[#This Row],[School, Opponent,Game'#]])</f>
        <v>#NAME?</v>
      </c>
      <c r="BK575" s="197" t="e">
        <f ca="1">_xlfn.MAXIFS(TeamGameData[Loss],TeamGameData[School, Opponent,Game'#],PlayerGameData[[#This Row],[School, Opponent,Game'#]])</f>
        <v>#NAME?</v>
      </c>
    </row>
    <row r="576" spans="1:63" x14ac:dyDescent="0.25">
      <c r="A576" s="8" t="str">
        <f t="shared" ca="1" si="273"/>
        <v xml:space="preserve">, </v>
      </c>
      <c r="B576" s="8" t="str">
        <f>Roster!$B$1</f>
        <v>Upton</v>
      </c>
      <c r="C576" s="8" t="str">
        <f t="shared" ca="1" si="261"/>
        <v>Farson Eden</v>
      </c>
      <c r="D576" s="10">
        <f t="shared" ca="1" si="262"/>
        <v>44987</v>
      </c>
      <c r="E576" s="8">
        <f t="shared" ca="1" si="263"/>
        <v>0</v>
      </c>
      <c r="F576" s="8">
        <f t="shared" ca="1" si="264"/>
        <v>0</v>
      </c>
      <c r="G576" s="8">
        <f t="shared" ca="1" si="265"/>
        <v>0</v>
      </c>
      <c r="H576" s="8">
        <f t="shared" ca="1" si="266"/>
        <v>0</v>
      </c>
      <c r="I576" s="8">
        <f t="shared" ca="1" si="267"/>
        <v>0</v>
      </c>
      <c r="J576" s="8">
        <f t="shared" ca="1" si="268"/>
        <v>0</v>
      </c>
      <c r="K576" s="8">
        <f t="shared" ca="1" si="269"/>
        <v>0</v>
      </c>
      <c r="L576" s="8">
        <f t="shared" ca="1" si="274"/>
        <v>0</v>
      </c>
      <c r="M576" s="8">
        <f t="shared" ca="1" si="275"/>
        <v>0</v>
      </c>
      <c r="N576" s="8">
        <f t="shared" ca="1" si="276"/>
        <v>0</v>
      </c>
      <c r="O576" s="8">
        <f t="shared" ca="1" si="277"/>
        <v>0</v>
      </c>
      <c r="P576" s="8">
        <f t="shared" ca="1" si="278"/>
        <v>0</v>
      </c>
      <c r="Q576" s="8">
        <f t="shared" ca="1" si="279"/>
        <v>0</v>
      </c>
      <c r="R576" s="8">
        <f t="shared" ca="1" si="280"/>
        <v>0</v>
      </c>
      <c r="S576" s="8">
        <f t="shared" ca="1" si="281"/>
        <v>0</v>
      </c>
      <c r="T576" s="8">
        <f t="shared" ca="1" si="282"/>
        <v>0</v>
      </c>
      <c r="U576" s="8">
        <f t="shared" ca="1" si="283"/>
        <v>0</v>
      </c>
      <c r="V576" s="8">
        <f t="shared" ca="1" si="284"/>
        <v>0</v>
      </c>
      <c r="W576" s="11" t="str">
        <f t="shared" ca="1" si="285"/>
        <v/>
      </c>
      <c r="X576" s="11" t="str">
        <f t="shared" ca="1" si="286"/>
        <v/>
      </c>
      <c r="Y576" s="11" t="str">
        <f t="shared" ca="1" si="287"/>
        <v/>
      </c>
      <c r="Z576" s="11" t="str">
        <f t="shared" ca="1" si="288"/>
        <v/>
      </c>
      <c r="AA576" s="11" t="str">
        <f t="shared" ca="1" si="289"/>
        <v/>
      </c>
      <c r="AB576" s="47">
        <f ca="1">PlayerGameData[[#This Row],[3FGA]]+PlayerGameData[[#This Row],[2FGA]]</f>
        <v>0</v>
      </c>
      <c r="AC576" s="47">
        <f ca="1">PlayerGameData[[#This Row],[OFF REB]]+PlayerGameData[[#This Row],[DEF REB]]</f>
        <v>0</v>
      </c>
      <c r="AD576" s="8">
        <f t="shared" si="270"/>
        <v>24</v>
      </c>
      <c r="AE576" s="8" t="str">
        <f t="shared" ca="1" si="271"/>
        <v>,  - Farson Eden 3/2/2023</v>
      </c>
      <c r="AF576" s="8" t="str">
        <f t="shared" ca="1" si="290"/>
        <v/>
      </c>
      <c r="AG576" s="8" t="str">
        <f ca="1">IFERROR(IF(C576=0,"",IF(AND(VLOOKUP(PlayerGameData[[#This Row],[Opponent]],WYTeamInfo,2,FALSE)=Roster!$D$1,VLOOKUP(PlayerGameData[[#This Row],[Opponent]],WYTeamInfo,3,FALSE)=Roster!$D$2),"SR","")),"")</f>
        <v/>
      </c>
      <c r="AH576" s="8" t="str">
        <f>CONCATENATE(Roster!$D$1," ",Roster!$D$5)</f>
        <v>1A BB</v>
      </c>
      <c r="AI576" s="8" t="str">
        <f t="shared" ca="1" si="272"/>
        <v>Upton - Farson Eden 3/2/2023</v>
      </c>
      <c r="AJ576" s="8">
        <f ca="1">IFERROR(VLOOKUP(PlayerGameData[[#This Row],[School, Opponent,Game'#]],Table3[],2,FALSE),0)</f>
        <v>1</v>
      </c>
      <c r="AK576" s="8">
        <f ca="1">IF(PlayerGameData[[#This Row],[Visible]]=1,1,1000)</f>
        <v>1</v>
      </c>
      <c r="AL576" s="8">
        <f ca="1">RANK(PlayerGameData[[#This Row],[TL PTS]],PlayerGameData[TL PTS],0)+PlayerGameData[[#This Row],[VisibleOrder]]</f>
        <v>185</v>
      </c>
      <c r="AM576" s="8">
        <f ca="1">IF(COUNTIF(PlayerGameData[PointOrder],PlayerGameData[[#This Row],[PointOrder]])&gt;1,RANK(PlayerGameData[[#This Row],[FGA]],PlayerGameData[FGA],0)/100,0)+PlayerGameData[[#This Row],[PointOrder]]</f>
        <v>187.14</v>
      </c>
      <c r="AN576" s="8">
        <f ca="1">RANK(PlayerGameData[[#This Row],[PointTieBreak]],PlayerGameData[PointTieBreak],1)</f>
        <v>216</v>
      </c>
      <c r="AO576" s="8">
        <f ca="1">RANK(PlayerGameData[[#This Row],[REB]],PlayerGameData[REB],0)+PlayerGameData[[#This Row],[VisibleOrder]]</f>
        <v>192</v>
      </c>
      <c r="AP576" s="8">
        <f ca="1">IF(COUNTIF(PlayerGameData[REBOrder],PlayerGameData[[#This Row],[REBOrder]])&gt;1,PlayerGameData[[#This Row],[PointRank]]/100+PlayerGameData[[#This Row],[REBOrder]],PlayerGameData[[#This Row],[REBOrder]])</f>
        <v>194.16</v>
      </c>
      <c r="AQ576" s="8">
        <f ca="1">RANK(PlayerGameData[[#This Row],[REBTieBreak]],PlayerGameData[REBTieBreak],1)</f>
        <v>224</v>
      </c>
      <c r="AR576" s="8">
        <f ca="1">RANK(PlayerGameData[[#This Row],[AST]],PlayerGameData[AST],0)+PlayerGameData[[#This Row],[VisibleOrder]]</f>
        <v>158</v>
      </c>
      <c r="AS576" s="8">
        <f ca="1">IF(COUNTIF(PlayerGameData[ASTOrder],PlayerGameData[[#This Row],[ASTOrder]])&gt;1,PlayerGameData[[#This Row],[PointRank]]/100+PlayerGameData[[#This Row],[ASTOrder]],PlayerGameData[[#This Row],[ASTOrder]])</f>
        <v>160.16</v>
      </c>
      <c r="AT576" s="8">
        <f ca="1">RANK(PlayerGameData[[#This Row],[ASTTieBreak]],PlayerGameData[ASTTieBreak],1)</f>
        <v>221</v>
      </c>
      <c r="AU576" s="8">
        <f ca="1">RANK(PlayerGameData[[#This Row],[STL]],PlayerGameData[STL],0)+PlayerGameData[[#This Row],[VisibleOrder]]</f>
        <v>143</v>
      </c>
      <c r="AV576" s="8">
        <f ca="1">IF(COUNTIF(PlayerGameData[STLOrder],PlayerGameData[[#This Row],[STLOrder]])&gt;1,PlayerGameData[[#This Row],[PointRank]]/100+PlayerGameData[[#This Row],[STLOrder]],PlayerGameData[[#This Row],[STLOrder]])</f>
        <v>145.16</v>
      </c>
      <c r="AW576" s="8">
        <f ca="1">RANK(PlayerGameData[[#This Row],[STLTieBreak]],PlayerGameData[STLTieBreak],1)</f>
        <v>217</v>
      </c>
      <c r="AX576" s="8">
        <f ca="1">RANK(PlayerGameData[[#This Row],[BLK]],PlayerGameData[BLK],0)+PlayerGameData[[#This Row],[VisibleOrder]]</f>
        <v>32</v>
      </c>
      <c r="AY576" s="8">
        <f ca="1">IF(COUNTIF(PlayerGameData[BLKOrder],PlayerGameData[[#This Row],[BLKOrder]])&gt;1,PlayerGameData[[#This Row],[PointRank]]/100+PlayerGameData[[#This Row],[BLKOrder]],PlayerGameData[[#This Row],[BLKOrder]])</f>
        <v>34.159999999999997</v>
      </c>
      <c r="AZ576" s="8">
        <f ca="1">RANK(PlayerGameData[[#This Row],[BLKTieBreak]],PlayerGameData[BLKTieBreak],1)</f>
        <v>216</v>
      </c>
      <c r="BA576" s="11">
        <f ca="1">IFERROR(IF(PlayerGameData[[#This Row],[FGA]]&gt;$AA$5,PlayerGameData[[#This Row],[FG%*]],PlayerGameData[[#This Row],[FG%*]]*-1),-2)</f>
        <v>-2</v>
      </c>
      <c r="BB576" s="8">
        <f ca="1">RANK(PlayerGameData[[#This Row],[EligFG]],PlayerGameData[EligFG],0)+PlayerGameData[[#This Row],[VisibleOrder]]</f>
        <v>215</v>
      </c>
      <c r="BC576" s="8">
        <f ca="1">IF(COUNTIF(PlayerGameData[EligFGOrder],PlayerGameData[[#This Row],[EligFGOrder]])&gt;1,PlayerGameData[[#This Row],[PointRank]]/100+PlayerGameData[[#This Row],[EligFGOrder]],PlayerGameData[[#This Row],[EligFGOrder]])</f>
        <v>217.16</v>
      </c>
      <c r="BD576" s="8">
        <f ca="1">RANK(PlayerGameData[[#This Row],[EligFGTieBreak]],PlayerGameData[EligFGTieBreak],1)</f>
        <v>216</v>
      </c>
      <c r="BE576" s="8" t="str">
        <f>Roster!$D$3</f>
        <v>East</v>
      </c>
      <c r="BF576" s="8" t="str">
        <f>Roster!$D$2</f>
        <v>Northeast</v>
      </c>
      <c r="BG576" s="8" t="str">
        <f>Roster!$D$4</f>
        <v>North</v>
      </c>
      <c r="BH576" s="197">
        <f ca="1">IFERROR(VLOOKUP(CONCATENATE(PlayerGameData[[#This Row],[Opponent]]," ",MONTH(PlayerGameData[[#This Row],[Date]]),"/",DAY(PlayerGameData[[#This Row],[Date]]),"/",YEAR(PlayerGameData[[#This Row],[Date]])),Table35[],2,FALSE),0)</f>
        <v>1</v>
      </c>
      <c r="BI576" s="197">
        <f ca="1">IF(PlayerGameData[[#This Row],[Visible]]=1,1,1000)</f>
        <v>1</v>
      </c>
      <c r="BJ576" s="197" t="e">
        <f ca="1">_xlfn.MAXIFS(TeamGameData[Win],TeamGameData[School, Opponent,Game'#],PlayerGameData[[#This Row],[School, Opponent,Game'#]])</f>
        <v>#NAME?</v>
      </c>
      <c r="BK576" s="197" t="e">
        <f ca="1">_xlfn.MAXIFS(TeamGameData[Loss],TeamGameData[School, Opponent,Game'#],PlayerGameData[[#This Row],[School, Opponent,Game'#]])</f>
        <v>#NAME?</v>
      </c>
    </row>
    <row r="577" spans="1:63" x14ac:dyDescent="0.25">
      <c r="A577" s="8" t="str">
        <f t="shared" ca="1" si="273"/>
        <v xml:space="preserve">, </v>
      </c>
      <c r="B577" s="8" t="str">
        <f>Roster!$B$1</f>
        <v>Upton</v>
      </c>
      <c r="C577" s="8" t="str">
        <f t="shared" ca="1" si="261"/>
        <v>Farson Eden</v>
      </c>
      <c r="D577" s="10">
        <f t="shared" ca="1" si="262"/>
        <v>44987</v>
      </c>
      <c r="E577" s="8">
        <f t="shared" ca="1" si="263"/>
        <v>0</v>
      </c>
      <c r="F577" s="8">
        <f t="shared" ca="1" si="264"/>
        <v>0</v>
      </c>
      <c r="G577" s="8">
        <f t="shared" ca="1" si="265"/>
        <v>0</v>
      </c>
      <c r="H577" s="8">
        <f t="shared" ca="1" si="266"/>
        <v>0</v>
      </c>
      <c r="I577" s="8">
        <f t="shared" ca="1" si="267"/>
        <v>0</v>
      </c>
      <c r="J577" s="8">
        <f t="shared" ca="1" si="268"/>
        <v>0</v>
      </c>
      <c r="K577" s="8">
        <f t="shared" ca="1" si="269"/>
        <v>0</v>
      </c>
      <c r="L577" s="8">
        <f t="shared" ca="1" si="274"/>
        <v>0</v>
      </c>
      <c r="M577" s="8">
        <f t="shared" ca="1" si="275"/>
        <v>0</v>
      </c>
      <c r="N577" s="8">
        <f t="shared" ca="1" si="276"/>
        <v>0</v>
      </c>
      <c r="O577" s="8">
        <f t="shared" ca="1" si="277"/>
        <v>0</v>
      </c>
      <c r="P577" s="8">
        <f t="shared" ca="1" si="278"/>
        <v>0</v>
      </c>
      <c r="Q577" s="8">
        <f t="shared" ca="1" si="279"/>
        <v>0</v>
      </c>
      <c r="R577" s="8">
        <f t="shared" ca="1" si="280"/>
        <v>0</v>
      </c>
      <c r="S577" s="8">
        <f t="shared" ca="1" si="281"/>
        <v>0</v>
      </c>
      <c r="T577" s="8">
        <f t="shared" ca="1" si="282"/>
        <v>0</v>
      </c>
      <c r="U577" s="8">
        <f t="shared" ca="1" si="283"/>
        <v>0</v>
      </c>
      <c r="V577" s="8">
        <f t="shared" ca="1" si="284"/>
        <v>0</v>
      </c>
      <c r="W577" s="11" t="str">
        <f t="shared" ca="1" si="285"/>
        <v/>
      </c>
      <c r="X577" s="11" t="str">
        <f t="shared" ca="1" si="286"/>
        <v/>
      </c>
      <c r="Y577" s="11" t="str">
        <f t="shared" ca="1" si="287"/>
        <v/>
      </c>
      <c r="Z577" s="11" t="str">
        <f t="shared" ca="1" si="288"/>
        <v/>
      </c>
      <c r="AA577" s="11" t="str">
        <f t="shared" ca="1" si="289"/>
        <v/>
      </c>
      <c r="AB577" s="47">
        <f ca="1">PlayerGameData[[#This Row],[3FGA]]+PlayerGameData[[#This Row],[2FGA]]</f>
        <v>0</v>
      </c>
      <c r="AC577" s="47">
        <f ca="1">PlayerGameData[[#This Row],[OFF REB]]+PlayerGameData[[#This Row],[DEF REB]]</f>
        <v>0</v>
      </c>
      <c r="AD577" s="8">
        <f t="shared" si="270"/>
        <v>24</v>
      </c>
      <c r="AE577" s="8" t="str">
        <f t="shared" ca="1" si="271"/>
        <v>,  - Farson Eden 3/2/2023</v>
      </c>
      <c r="AF577" s="8" t="str">
        <f t="shared" ca="1" si="290"/>
        <v/>
      </c>
      <c r="AG577" s="8" t="str">
        <f ca="1">IFERROR(IF(C577=0,"",IF(AND(VLOOKUP(PlayerGameData[[#This Row],[Opponent]],WYTeamInfo,2,FALSE)=Roster!$D$1,VLOOKUP(PlayerGameData[[#This Row],[Opponent]],WYTeamInfo,3,FALSE)=Roster!$D$2),"SR","")),"")</f>
        <v/>
      </c>
      <c r="AH577" s="8" t="str">
        <f>CONCATENATE(Roster!$D$1," ",Roster!$D$5)</f>
        <v>1A BB</v>
      </c>
      <c r="AI577" s="8" t="str">
        <f t="shared" ca="1" si="272"/>
        <v>Upton - Farson Eden 3/2/2023</v>
      </c>
      <c r="AJ577" s="8">
        <f ca="1">IFERROR(VLOOKUP(PlayerGameData[[#This Row],[School, Opponent,Game'#]],Table3[],2,FALSE),0)</f>
        <v>1</v>
      </c>
      <c r="AK577" s="8">
        <f ca="1">IF(PlayerGameData[[#This Row],[Visible]]=1,1,1000)</f>
        <v>1</v>
      </c>
      <c r="AL577" s="8">
        <f ca="1">RANK(PlayerGameData[[#This Row],[TL PTS]],PlayerGameData[TL PTS],0)+PlayerGameData[[#This Row],[VisibleOrder]]</f>
        <v>185</v>
      </c>
      <c r="AM577" s="8">
        <f ca="1">IF(COUNTIF(PlayerGameData[PointOrder],PlayerGameData[[#This Row],[PointOrder]])&gt;1,RANK(PlayerGameData[[#This Row],[FGA]],PlayerGameData[FGA],0)/100,0)+PlayerGameData[[#This Row],[PointOrder]]</f>
        <v>187.14</v>
      </c>
      <c r="AN577" s="8">
        <f ca="1">RANK(PlayerGameData[[#This Row],[PointTieBreak]],PlayerGameData[PointTieBreak],1)</f>
        <v>216</v>
      </c>
      <c r="AO577" s="8">
        <f ca="1">RANK(PlayerGameData[[#This Row],[REB]],PlayerGameData[REB],0)+PlayerGameData[[#This Row],[VisibleOrder]]</f>
        <v>192</v>
      </c>
      <c r="AP577" s="8">
        <f ca="1">IF(COUNTIF(PlayerGameData[REBOrder],PlayerGameData[[#This Row],[REBOrder]])&gt;1,PlayerGameData[[#This Row],[PointRank]]/100+PlayerGameData[[#This Row],[REBOrder]],PlayerGameData[[#This Row],[REBOrder]])</f>
        <v>194.16</v>
      </c>
      <c r="AQ577" s="8">
        <f ca="1">RANK(PlayerGameData[[#This Row],[REBTieBreak]],PlayerGameData[REBTieBreak],1)</f>
        <v>224</v>
      </c>
      <c r="AR577" s="8">
        <f ca="1">RANK(PlayerGameData[[#This Row],[AST]],PlayerGameData[AST],0)+PlayerGameData[[#This Row],[VisibleOrder]]</f>
        <v>158</v>
      </c>
      <c r="AS577" s="8">
        <f ca="1">IF(COUNTIF(PlayerGameData[ASTOrder],PlayerGameData[[#This Row],[ASTOrder]])&gt;1,PlayerGameData[[#This Row],[PointRank]]/100+PlayerGameData[[#This Row],[ASTOrder]],PlayerGameData[[#This Row],[ASTOrder]])</f>
        <v>160.16</v>
      </c>
      <c r="AT577" s="8">
        <f ca="1">RANK(PlayerGameData[[#This Row],[ASTTieBreak]],PlayerGameData[ASTTieBreak],1)</f>
        <v>221</v>
      </c>
      <c r="AU577" s="8">
        <f ca="1">RANK(PlayerGameData[[#This Row],[STL]],PlayerGameData[STL],0)+PlayerGameData[[#This Row],[VisibleOrder]]</f>
        <v>143</v>
      </c>
      <c r="AV577" s="8">
        <f ca="1">IF(COUNTIF(PlayerGameData[STLOrder],PlayerGameData[[#This Row],[STLOrder]])&gt;1,PlayerGameData[[#This Row],[PointRank]]/100+PlayerGameData[[#This Row],[STLOrder]],PlayerGameData[[#This Row],[STLOrder]])</f>
        <v>145.16</v>
      </c>
      <c r="AW577" s="8">
        <f ca="1">RANK(PlayerGameData[[#This Row],[STLTieBreak]],PlayerGameData[STLTieBreak],1)</f>
        <v>217</v>
      </c>
      <c r="AX577" s="8">
        <f ca="1">RANK(PlayerGameData[[#This Row],[BLK]],PlayerGameData[BLK],0)+PlayerGameData[[#This Row],[VisibleOrder]]</f>
        <v>32</v>
      </c>
      <c r="AY577" s="8">
        <f ca="1">IF(COUNTIF(PlayerGameData[BLKOrder],PlayerGameData[[#This Row],[BLKOrder]])&gt;1,PlayerGameData[[#This Row],[PointRank]]/100+PlayerGameData[[#This Row],[BLKOrder]],PlayerGameData[[#This Row],[BLKOrder]])</f>
        <v>34.159999999999997</v>
      </c>
      <c r="AZ577" s="8">
        <f ca="1">RANK(PlayerGameData[[#This Row],[BLKTieBreak]],PlayerGameData[BLKTieBreak],1)</f>
        <v>216</v>
      </c>
      <c r="BA577" s="11">
        <f ca="1">IFERROR(IF(PlayerGameData[[#This Row],[FGA]]&gt;$AA$5,PlayerGameData[[#This Row],[FG%*]],PlayerGameData[[#This Row],[FG%*]]*-1),-2)</f>
        <v>-2</v>
      </c>
      <c r="BB577" s="8">
        <f ca="1">RANK(PlayerGameData[[#This Row],[EligFG]],PlayerGameData[EligFG],0)+PlayerGameData[[#This Row],[VisibleOrder]]</f>
        <v>215</v>
      </c>
      <c r="BC577" s="8">
        <f ca="1">IF(COUNTIF(PlayerGameData[EligFGOrder],PlayerGameData[[#This Row],[EligFGOrder]])&gt;1,PlayerGameData[[#This Row],[PointRank]]/100+PlayerGameData[[#This Row],[EligFGOrder]],PlayerGameData[[#This Row],[EligFGOrder]])</f>
        <v>217.16</v>
      </c>
      <c r="BD577" s="8">
        <f ca="1">RANK(PlayerGameData[[#This Row],[EligFGTieBreak]],PlayerGameData[EligFGTieBreak],1)</f>
        <v>216</v>
      </c>
      <c r="BE577" s="8" t="str">
        <f>Roster!$D$3</f>
        <v>East</v>
      </c>
      <c r="BF577" s="8" t="str">
        <f>Roster!$D$2</f>
        <v>Northeast</v>
      </c>
      <c r="BG577" s="8" t="str">
        <f>Roster!$D$4</f>
        <v>North</v>
      </c>
      <c r="BH577" s="197">
        <f ca="1">IFERROR(VLOOKUP(CONCATENATE(PlayerGameData[[#This Row],[Opponent]]," ",MONTH(PlayerGameData[[#This Row],[Date]]),"/",DAY(PlayerGameData[[#This Row],[Date]]),"/",YEAR(PlayerGameData[[#This Row],[Date]])),Table35[],2,FALSE),0)</f>
        <v>1</v>
      </c>
      <c r="BI577" s="197">
        <f ca="1">IF(PlayerGameData[[#This Row],[Visible]]=1,1,1000)</f>
        <v>1</v>
      </c>
      <c r="BJ577" s="197" t="e">
        <f ca="1">_xlfn.MAXIFS(TeamGameData[Win],TeamGameData[School, Opponent,Game'#],PlayerGameData[[#This Row],[School, Opponent,Game'#]])</f>
        <v>#NAME?</v>
      </c>
      <c r="BK577" s="197" t="e">
        <f ca="1">_xlfn.MAXIFS(TeamGameData[Loss],TeamGameData[School, Opponent,Game'#],PlayerGameData[[#This Row],[School, Opponent,Game'#]])</f>
        <v>#NAME?</v>
      </c>
    </row>
    <row r="578" spans="1:63" x14ac:dyDescent="0.25">
      <c r="A578" s="8" t="str">
        <f t="shared" ca="1" si="273"/>
        <v xml:space="preserve">, </v>
      </c>
      <c r="B578" s="8" t="str">
        <f>Roster!$B$1</f>
        <v>Upton</v>
      </c>
      <c r="C578" s="8" t="str">
        <f t="shared" ca="1" si="261"/>
        <v>Farson Eden</v>
      </c>
      <c r="D578" s="10">
        <f t="shared" ca="1" si="262"/>
        <v>44987</v>
      </c>
      <c r="E578" s="8">
        <f t="shared" ca="1" si="263"/>
        <v>0</v>
      </c>
      <c r="F578" s="8">
        <f t="shared" ca="1" si="264"/>
        <v>0</v>
      </c>
      <c r="G578" s="8">
        <f t="shared" ca="1" si="265"/>
        <v>0</v>
      </c>
      <c r="H578" s="8">
        <f t="shared" ca="1" si="266"/>
        <v>0</v>
      </c>
      <c r="I578" s="8">
        <f t="shared" ca="1" si="267"/>
        <v>0</v>
      </c>
      <c r="J578" s="8">
        <f t="shared" ca="1" si="268"/>
        <v>0</v>
      </c>
      <c r="K578" s="8">
        <f t="shared" ca="1" si="269"/>
        <v>0</v>
      </c>
      <c r="L578" s="8">
        <f t="shared" ca="1" si="274"/>
        <v>0</v>
      </c>
      <c r="M578" s="8">
        <f t="shared" ca="1" si="275"/>
        <v>0</v>
      </c>
      <c r="N578" s="8">
        <f t="shared" ca="1" si="276"/>
        <v>0</v>
      </c>
      <c r="O578" s="8">
        <f t="shared" ca="1" si="277"/>
        <v>0</v>
      </c>
      <c r="P578" s="8">
        <f t="shared" ca="1" si="278"/>
        <v>0</v>
      </c>
      <c r="Q578" s="8">
        <f t="shared" ca="1" si="279"/>
        <v>0</v>
      </c>
      <c r="R578" s="8">
        <f t="shared" ca="1" si="280"/>
        <v>0</v>
      </c>
      <c r="S578" s="8">
        <f t="shared" ca="1" si="281"/>
        <v>0</v>
      </c>
      <c r="T578" s="8">
        <f t="shared" ca="1" si="282"/>
        <v>0</v>
      </c>
      <c r="U578" s="8">
        <f t="shared" ca="1" si="283"/>
        <v>0</v>
      </c>
      <c r="V578" s="8">
        <f t="shared" ca="1" si="284"/>
        <v>0</v>
      </c>
      <c r="W578" s="11" t="str">
        <f t="shared" ca="1" si="285"/>
        <v/>
      </c>
      <c r="X578" s="11" t="str">
        <f t="shared" ca="1" si="286"/>
        <v/>
      </c>
      <c r="Y578" s="11" t="str">
        <f t="shared" ca="1" si="287"/>
        <v/>
      </c>
      <c r="Z578" s="11" t="str">
        <f t="shared" ca="1" si="288"/>
        <v/>
      </c>
      <c r="AA578" s="11" t="str">
        <f t="shared" ca="1" si="289"/>
        <v/>
      </c>
      <c r="AB578" s="47">
        <f ca="1">PlayerGameData[[#This Row],[3FGA]]+PlayerGameData[[#This Row],[2FGA]]</f>
        <v>0</v>
      </c>
      <c r="AC578" s="47">
        <f ca="1">PlayerGameData[[#This Row],[OFF REB]]+PlayerGameData[[#This Row],[DEF REB]]</f>
        <v>0</v>
      </c>
      <c r="AD578" s="8">
        <f t="shared" si="270"/>
        <v>24</v>
      </c>
      <c r="AE578" s="8" t="str">
        <f t="shared" ca="1" si="271"/>
        <v>,  - Farson Eden 3/2/2023</v>
      </c>
      <c r="AF578" s="8" t="str">
        <f t="shared" ca="1" si="290"/>
        <v/>
      </c>
      <c r="AG578" s="8" t="str">
        <f ca="1">IFERROR(IF(C578=0,"",IF(AND(VLOOKUP(PlayerGameData[[#This Row],[Opponent]],WYTeamInfo,2,FALSE)=Roster!$D$1,VLOOKUP(PlayerGameData[[#This Row],[Opponent]],WYTeamInfo,3,FALSE)=Roster!$D$2),"SR","")),"")</f>
        <v/>
      </c>
      <c r="AH578" s="8" t="str">
        <f>CONCATENATE(Roster!$D$1," ",Roster!$D$5)</f>
        <v>1A BB</v>
      </c>
      <c r="AI578" s="8" t="str">
        <f t="shared" ca="1" si="272"/>
        <v>Upton - Farson Eden 3/2/2023</v>
      </c>
      <c r="AJ578" s="8">
        <f ca="1">IFERROR(VLOOKUP(PlayerGameData[[#This Row],[School, Opponent,Game'#]],Table3[],2,FALSE),0)</f>
        <v>1</v>
      </c>
      <c r="AK578" s="8">
        <f ca="1">IF(PlayerGameData[[#This Row],[Visible]]=1,1,1000)</f>
        <v>1</v>
      </c>
      <c r="AL578" s="8">
        <f ca="1">RANK(PlayerGameData[[#This Row],[TL PTS]],PlayerGameData[TL PTS],0)+PlayerGameData[[#This Row],[VisibleOrder]]</f>
        <v>185</v>
      </c>
      <c r="AM578" s="8">
        <f ca="1">IF(COUNTIF(PlayerGameData[PointOrder],PlayerGameData[[#This Row],[PointOrder]])&gt;1,RANK(PlayerGameData[[#This Row],[FGA]],PlayerGameData[FGA],0)/100,0)+PlayerGameData[[#This Row],[PointOrder]]</f>
        <v>187.14</v>
      </c>
      <c r="AN578" s="8">
        <f ca="1">RANK(PlayerGameData[[#This Row],[PointTieBreak]],PlayerGameData[PointTieBreak],1)</f>
        <v>216</v>
      </c>
      <c r="AO578" s="8">
        <f ca="1">RANK(PlayerGameData[[#This Row],[REB]],PlayerGameData[REB],0)+PlayerGameData[[#This Row],[VisibleOrder]]</f>
        <v>192</v>
      </c>
      <c r="AP578" s="8">
        <f ca="1">IF(COUNTIF(PlayerGameData[REBOrder],PlayerGameData[[#This Row],[REBOrder]])&gt;1,PlayerGameData[[#This Row],[PointRank]]/100+PlayerGameData[[#This Row],[REBOrder]],PlayerGameData[[#This Row],[REBOrder]])</f>
        <v>194.16</v>
      </c>
      <c r="AQ578" s="8">
        <f ca="1">RANK(PlayerGameData[[#This Row],[REBTieBreak]],PlayerGameData[REBTieBreak],1)</f>
        <v>224</v>
      </c>
      <c r="AR578" s="8">
        <f ca="1">RANK(PlayerGameData[[#This Row],[AST]],PlayerGameData[AST],0)+PlayerGameData[[#This Row],[VisibleOrder]]</f>
        <v>158</v>
      </c>
      <c r="AS578" s="8">
        <f ca="1">IF(COUNTIF(PlayerGameData[ASTOrder],PlayerGameData[[#This Row],[ASTOrder]])&gt;1,PlayerGameData[[#This Row],[PointRank]]/100+PlayerGameData[[#This Row],[ASTOrder]],PlayerGameData[[#This Row],[ASTOrder]])</f>
        <v>160.16</v>
      </c>
      <c r="AT578" s="8">
        <f ca="1">RANK(PlayerGameData[[#This Row],[ASTTieBreak]],PlayerGameData[ASTTieBreak],1)</f>
        <v>221</v>
      </c>
      <c r="AU578" s="8">
        <f ca="1">RANK(PlayerGameData[[#This Row],[STL]],PlayerGameData[STL],0)+PlayerGameData[[#This Row],[VisibleOrder]]</f>
        <v>143</v>
      </c>
      <c r="AV578" s="8">
        <f ca="1">IF(COUNTIF(PlayerGameData[STLOrder],PlayerGameData[[#This Row],[STLOrder]])&gt;1,PlayerGameData[[#This Row],[PointRank]]/100+PlayerGameData[[#This Row],[STLOrder]],PlayerGameData[[#This Row],[STLOrder]])</f>
        <v>145.16</v>
      </c>
      <c r="AW578" s="8">
        <f ca="1">RANK(PlayerGameData[[#This Row],[STLTieBreak]],PlayerGameData[STLTieBreak],1)</f>
        <v>217</v>
      </c>
      <c r="AX578" s="8">
        <f ca="1">RANK(PlayerGameData[[#This Row],[BLK]],PlayerGameData[BLK],0)+PlayerGameData[[#This Row],[VisibleOrder]]</f>
        <v>32</v>
      </c>
      <c r="AY578" s="8">
        <f ca="1">IF(COUNTIF(PlayerGameData[BLKOrder],PlayerGameData[[#This Row],[BLKOrder]])&gt;1,PlayerGameData[[#This Row],[PointRank]]/100+PlayerGameData[[#This Row],[BLKOrder]],PlayerGameData[[#This Row],[BLKOrder]])</f>
        <v>34.159999999999997</v>
      </c>
      <c r="AZ578" s="8">
        <f ca="1">RANK(PlayerGameData[[#This Row],[BLKTieBreak]],PlayerGameData[BLKTieBreak],1)</f>
        <v>216</v>
      </c>
      <c r="BA578" s="11">
        <f ca="1">IFERROR(IF(PlayerGameData[[#This Row],[FGA]]&gt;$AA$5,PlayerGameData[[#This Row],[FG%*]],PlayerGameData[[#This Row],[FG%*]]*-1),-2)</f>
        <v>-2</v>
      </c>
      <c r="BB578" s="8">
        <f ca="1">RANK(PlayerGameData[[#This Row],[EligFG]],PlayerGameData[EligFG],0)+PlayerGameData[[#This Row],[VisibleOrder]]</f>
        <v>215</v>
      </c>
      <c r="BC578" s="8">
        <f ca="1">IF(COUNTIF(PlayerGameData[EligFGOrder],PlayerGameData[[#This Row],[EligFGOrder]])&gt;1,PlayerGameData[[#This Row],[PointRank]]/100+PlayerGameData[[#This Row],[EligFGOrder]],PlayerGameData[[#This Row],[EligFGOrder]])</f>
        <v>217.16</v>
      </c>
      <c r="BD578" s="8">
        <f ca="1">RANK(PlayerGameData[[#This Row],[EligFGTieBreak]],PlayerGameData[EligFGTieBreak],1)</f>
        <v>216</v>
      </c>
      <c r="BE578" s="8" t="str">
        <f>Roster!$D$3</f>
        <v>East</v>
      </c>
      <c r="BF578" s="8" t="str">
        <f>Roster!$D$2</f>
        <v>Northeast</v>
      </c>
      <c r="BG578" s="8" t="str">
        <f>Roster!$D$4</f>
        <v>North</v>
      </c>
      <c r="BH578" s="197">
        <f ca="1">IFERROR(VLOOKUP(CONCATENATE(PlayerGameData[[#This Row],[Opponent]]," ",MONTH(PlayerGameData[[#This Row],[Date]]),"/",DAY(PlayerGameData[[#This Row],[Date]]),"/",YEAR(PlayerGameData[[#This Row],[Date]])),Table35[],2,FALSE),0)</f>
        <v>1</v>
      </c>
      <c r="BI578" s="197">
        <f ca="1">IF(PlayerGameData[[#This Row],[Visible]]=1,1,1000)</f>
        <v>1</v>
      </c>
      <c r="BJ578" s="197" t="e">
        <f ca="1">_xlfn.MAXIFS(TeamGameData[Win],TeamGameData[School, Opponent,Game'#],PlayerGameData[[#This Row],[School, Opponent,Game'#]])</f>
        <v>#NAME?</v>
      </c>
      <c r="BK578" s="197" t="e">
        <f ca="1">_xlfn.MAXIFS(TeamGameData[Loss],TeamGameData[School, Opponent,Game'#],PlayerGameData[[#This Row],[School, Opponent,Game'#]])</f>
        <v>#NAME?</v>
      </c>
    </row>
    <row r="579" spans="1:63" x14ac:dyDescent="0.25">
      <c r="A579" s="8" t="str">
        <f t="shared" ca="1" si="273"/>
        <v xml:space="preserve">, </v>
      </c>
      <c r="B579" s="8" t="str">
        <f>Roster!$B$1</f>
        <v>Upton</v>
      </c>
      <c r="C579" s="8" t="str">
        <f t="shared" ca="1" si="261"/>
        <v>Farson Eden</v>
      </c>
      <c r="D579" s="10">
        <f t="shared" ca="1" si="262"/>
        <v>44987</v>
      </c>
      <c r="E579" s="8">
        <f t="shared" ca="1" si="263"/>
        <v>0</v>
      </c>
      <c r="F579" s="8">
        <f t="shared" ca="1" si="264"/>
        <v>0</v>
      </c>
      <c r="G579" s="8">
        <f t="shared" ca="1" si="265"/>
        <v>0</v>
      </c>
      <c r="H579" s="8">
        <f t="shared" ca="1" si="266"/>
        <v>0</v>
      </c>
      <c r="I579" s="8">
        <f t="shared" ca="1" si="267"/>
        <v>0</v>
      </c>
      <c r="J579" s="8">
        <f t="shared" ca="1" si="268"/>
        <v>0</v>
      </c>
      <c r="K579" s="8">
        <f t="shared" ca="1" si="269"/>
        <v>0</v>
      </c>
      <c r="L579" s="8">
        <f t="shared" ca="1" si="274"/>
        <v>0</v>
      </c>
      <c r="M579" s="8">
        <f t="shared" ca="1" si="275"/>
        <v>0</v>
      </c>
      <c r="N579" s="8">
        <f t="shared" ca="1" si="276"/>
        <v>0</v>
      </c>
      <c r="O579" s="8">
        <f t="shared" ca="1" si="277"/>
        <v>0</v>
      </c>
      <c r="P579" s="8">
        <f t="shared" ca="1" si="278"/>
        <v>0</v>
      </c>
      <c r="Q579" s="8">
        <f t="shared" ca="1" si="279"/>
        <v>0</v>
      </c>
      <c r="R579" s="8">
        <f t="shared" ca="1" si="280"/>
        <v>0</v>
      </c>
      <c r="S579" s="8">
        <f t="shared" ca="1" si="281"/>
        <v>0</v>
      </c>
      <c r="T579" s="8">
        <f t="shared" ca="1" si="282"/>
        <v>0</v>
      </c>
      <c r="U579" s="8">
        <f t="shared" ca="1" si="283"/>
        <v>0</v>
      </c>
      <c r="V579" s="8">
        <f t="shared" ca="1" si="284"/>
        <v>0</v>
      </c>
      <c r="W579" s="11" t="str">
        <f t="shared" ca="1" si="285"/>
        <v/>
      </c>
      <c r="X579" s="11" t="str">
        <f t="shared" ca="1" si="286"/>
        <v/>
      </c>
      <c r="Y579" s="11" t="str">
        <f t="shared" ca="1" si="287"/>
        <v/>
      </c>
      <c r="Z579" s="11" t="str">
        <f t="shared" ca="1" si="288"/>
        <v/>
      </c>
      <c r="AA579" s="11" t="str">
        <f t="shared" ca="1" si="289"/>
        <v/>
      </c>
      <c r="AB579" s="47">
        <f ca="1">PlayerGameData[[#This Row],[3FGA]]+PlayerGameData[[#This Row],[2FGA]]</f>
        <v>0</v>
      </c>
      <c r="AC579" s="47">
        <f ca="1">PlayerGameData[[#This Row],[OFF REB]]+PlayerGameData[[#This Row],[DEF REB]]</f>
        <v>0</v>
      </c>
      <c r="AD579" s="8">
        <f t="shared" si="270"/>
        <v>24</v>
      </c>
      <c r="AE579" s="8" t="str">
        <f t="shared" ca="1" si="271"/>
        <v>,  - Farson Eden 3/2/2023</v>
      </c>
      <c r="AF579" s="8" t="str">
        <f t="shared" ca="1" si="290"/>
        <v/>
      </c>
      <c r="AG579" s="8" t="str">
        <f ca="1">IFERROR(IF(C579=0,"",IF(AND(VLOOKUP(PlayerGameData[[#This Row],[Opponent]],WYTeamInfo,2,FALSE)=Roster!$D$1,VLOOKUP(PlayerGameData[[#This Row],[Opponent]],WYTeamInfo,3,FALSE)=Roster!$D$2),"SR","")),"")</f>
        <v/>
      </c>
      <c r="AH579" s="8" t="str">
        <f>CONCATENATE(Roster!$D$1," ",Roster!$D$5)</f>
        <v>1A BB</v>
      </c>
      <c r="AI579" s="8" t="str">
        <f t="shared" ca="1" si="272"/>
        <v>Upton - Farson Eden 3/2/2023</v>
      </c>
      <c r="AJ579" s="8">
        <f ca="1">IFERROR(VLOOKUP(PlayerGameData[[#This Row],[School, Opponent,Game'#]],Table3[],2,FALSE),0)</f>
        <v>1</v>
      </c>
      <c r="AK579" s="8">
        <f ca="1">IF(PlayerGameData[[#This Row],[Visible]]=1,1,1000)</f>
        <v>1</v>
      </c>
      <c r="AL579" s="8">
        <f ca="1">RANK(PlayerGameData[[#This Row],[TL PTS]],PlayerGameData[TL PTS],0)+PlayerGameData[[#This Row],[VisibleOrder]]</f>
        <v>185</v>
      </c>
      <c r="AM579" s="8">
        <f ca="1">IF(COUNTIF(PlayerGameData[PointOrder],PlayerGameData[[#This Row],[PointOrder]])&gt;1,RANK(PlayerGameData[[#This Row],[FGA]],PlayerGameData[FGA],0)/100,0)+PlayerGameData[[#This Row],[PointOrder]]</f>
        <v>187.14</v>
      </c>
      <c r="AN579" s="8">
        <f ca="1">RANK(PlayerGameData[[#This Row],[PointTieBreak]],PlayerGameData[PointTieBreak],1)</f>
        <v>216</v>
      </c>
      <c r="AO579" s="8">
        <f ca="1">RANK(PlayerGameData[[#This Row],[REB]],PlayerGameData[REB],0)+PlayerGameData[[#This Row],[VisibleOrder]]</f>
        <v>192</v>
      </c>
      <c r="AP579" s="8">
        <f ca="1">IF(COUNTIF(PlayerGameData[REBOrder],PlayerGameData[[#This Row],[REBOrder]])&gt;1,PlayerGameData[[#This Row],[PointRank]]/100+PlayerGameData[[#This Row],[REBOrder]],PlayerGameData[[#This Row],[REBOrder]])</f>
        <v>194.16</v>
      </c>
      <c r="AQ579" s="8">
        <f ca="1">RANK(PlayerGameData[[#This Row],[REBTieBreak]],PlayerGameData[REBTieBreak],1)</f>
        <v>224</v>
      </c>
      <c r="AR579" s="8">
        <f ca="1">RANK(PlayerGameData[[#This Row],[AST]],PlayerGameData[AST],0)+PlayerGameData[[#This Row],[VisibleOrder]]</f>
        <v>158</v>
      </c>
      <c r="AS579" s="8">
        <f ca="1">IF(COUNTIF(PlayerGameData[ASTOrder],PlayerGameData[[#This Row],[ASTOrder]])&gt;1,PlayerGameData[[#This Row],[PointRank]]/100+PlayerGameData[[#This Row],[ASTOrder]],PlayerGameData[[#This Row],[ASTOrder]])</f>
        <v>160.16</v>
      </c>
      <c r="AT579" s="8">
        <f ca="1">RANK(PlayerGameData[[#This Row],[ASTTieBreak]],PlayerGameData[ASTTieBreak],1)</f>
        <v>221</v>
      </c>
      <c r="AU579" s="8">
        <f ca="1">RANK(PlayerGameData[[#This Row],[STL]],PlayerGameData[STL],0)+PlayerGameData[[#This Row],[VisibleOrder]]</f>
        <v>143</v>
      </c>
      <c r="AV579" s="8">
        <f ca="1">IF(COUNTIF(PlayerGameData[STLOrder],PlayerGameData[[#This Row],[STLOrder]])&gt;1,PlayerGameData[[#This Row],[PointRank]]/100+PlayerGameData[[#This Row],[STLOrder]],PlayerGameData[[#This Row],[STLOrder]])</f>
        <v>145.16</v>
      </c>
      <c r="AW579" s="8">
        <f ca="1">RANK(PlayerGameData[[#This Row],[STLTieBreak]],PlayerGameData[STLTieBreak],1)</f>
        <v>217</v>
      </c>
      <c r="AX579" s="8">
        <f ca="1">RANK(PlayerGameData[[#This Row],[BLK]],PlayerGameData[BLK],0)+PlayerGameData[[#This Row],[VisibleOrder]]</f>
        <v>32</v>
      </c>
      <c r="AY579" s="8">
        <f ca="1">IF(COUNTIF(PlayerGameData[BLKOrder],PlayerGameData[[#This Row],[BLKOrder]])&gt;1,PlayerGameData[[#This Row],[PointRank]]/100+PlayerGameData[[#This Row],[BLKOrder]],PlayerGameData[[#This Row],[BLKOrder]])</f>
        <v>34.159999999999997</v>
      </c>
      <c r="AZ579" s="8">
        <f ca="1">RANK(PlayerGameData[[#This Row],[BLKTieBreak]],PlayerGameData[BLKTieBreak],1)</f>
        <v>216</v>
      </c>
      <c r="BA579" s="11">
        <f ca="1">IFERROR(IF(PlayerGameData[[#This Row],[FGA]]&gt;$AA$5,PlayerGameData[[#This Row],[FG%*]],PlayerGameData[[#This Row],[FG%*]]*-1),-2)</f>
        <v>-2</v>
      </c>
      <c r="BB579" s="8">
        <f ca="1">RANK(PlayerGameData[[#This Row],[EligFG]],PlayerGameData[EligFG],0)+PlayerGameData[[#This Row],[VisibleOrder]]</f>
        <v>215</v>
      </c>
      <c r="BC579" s="8">
        <f ca="1">IF(COUNTIF(PlayerGameData[EligFGOrder],PlayerGameData[[#This Row],[EligFGOrder]])&gt;1,PlayerGameData[[#This Row],[PointRank]]/100+PlayerGameData[[#This Row],[EligFGOrder]],PlayerGameData[[#This Row],[EligFGOrder]])</f>
        <v>217.16</v>
      </c>
      <c r="BD579" s="8">
        <f ca="1">RANK(PlayerGameData[[#This Row],[EligFGTieBreak]],PlayerGameData[EligFGTieBreak],1)</f>
        <v>216</v>
      </c>
      <c r="BE579" s="8" t="str">
        <f>Roster!$D$3</f>
        <v>East</v>
      </c>
      <c r="BF579" s="8" t="str">
        <f>Roster!$D$2</f>
        <v>Northeast</v>
      </c>
      <c r="BG579" s="8" t="str">
        <f>Roster!$D$4</f>
        <v>North</v>
      </c>
      <c r="BH579" s="197">
        <f ca="1">IFERROR(VLOOKUP(CONCATENATE(PlayerGameData[[#This Row],[Opponent]]," ",MONTH(PlayerGameData[[#This Row],[Date]]),"/",DAY(PlayerGameData[[#This Row],[Date]]),"/",YEAR(PlayerGameData[[#This Row],[Date]])),Table35[],2,FALSE),0)</f>
        <v>1</v>
      </c>
      <c r="BI579" s="197">
        <f ca="1">IF(PlayerGameData[[#This Row],[Visible]]=1,1,1000)</f>
        <v>1</v>
      </c>
      <c r="BJ579" s="197" t="e">
        <f ca="1">_xlfn.MAXIFS(TeamGameData[Win],TeamGameData[School, Opponent,Game'#],PlayerGameData[[#This Row],[School, Opponent,Game'#]])</f>
        <v>#NAME?</v>
      </c>
      <c r="BK579" s="197" t="e">
        <f ca="1">_xlfn.MAXIFS(TeamGameData[Loss],TeamGameData[School, Opponent,Game'#],PlayerGameData[[#This Row],[School, Opponent,Game'#]])</f>
        <v>#NAME?</v>
      </c>
    </row>
    <row r="580" spans="1:63" x14ac:dyDescent="0.25">
      <c r="A580" s="8" t="str">
        <f t="shared" ca="1" si="273"/>
        <v xml:space="preserve">, </v>
      </c>
      <c r="B580" s="8" t="str">
        <f>Roster!$B$1</f>
        <v>Upton</v>
      </c>
      <c r="C580" s="8" t="str">
        <f t="shared" ca="1" si="261"/>
        <v>Farson Eden</v>
      </c>
      <c r="D580" s="10">
        <f t="shared" ca="1" si="262"/>
        <v>44987</v>
      </c>
      <c r="E580" s="8">
        <f t="shared" ca="1" si="263"/>
        <v>0</v>
      </c>
      <c r="F580" s="8">
        <f t="shared" ca="1" si="264"/>
        <v>0</v>
      </c>
      <c r="G580" s="8">
        <f t="shared" ca="1" si="265"/>
        <v>0</v>
      </c>
      <c r="H580" s="8">
        <f t="shared" ca="1" si="266"/>
        <v>0</v>
      </c>
      <c r="I580" s="8">
        <f t="shared" ca="1" si="267"/>
        <v>0</v>
      </c>
      <c r="J580" s="8">
        <f t="shared" ca="1" si="268"/>
        <v>0</v>
      </c>
      <c r="K580" s="8">
        <f t="shared" ca="1" si="269"/>
        <v>0</v>
      </c>
      <c r="L580" s="8">
        <f t="shared" ca="1" si="274"/>
        <v>0</v>
      </c>
      <c r="M580" s="8">
        <f t="shared" ca="1" si="275"/>
        <v>0</v>
      </c>
      <c r="N580" s="8">
        <f t="shared" ca="1" si="276"/>
        <v>0</v>
      </c>
      <c r="O580" s="8">
        <f t="shared" ca="1" si="277"/>
        <v>0</v>
      </c>
      <c r="P580" s="8">
        <f t="shared" ca="1" si="278"/>
        <v>0</v>
      </c>
      <c r="Q580" s="8">
        <f t="shared" ca="1" si="279"/>
        <v>0</v>
      </c>
      <c r="R580" s="8">
        <f t="shared" ca="1" si="280"/>
        <v>0</v>
      </c>
      <c r="S580" s="8">
        <f t="shared" ca="1" si="281"/>
        <v>0</v>
      </c>
      <c r="T580" s="8">
        <f t="shared" ca="1" si="282"/>
        <v>0</v>
      </c>
      <c r="U580" s="8">
        <f t="shared" ca="1" si="283"/>
        <v>0</v>
      </c>
      <c r="V580" s="8">
        <f t="shared" ca="1" si="284"/>
        <v>0</v>
      </c>
      <c r="W580" s="11" t="str">
        <f t="shared" ca="1" si="285"/>
        <v/>
      </c>
      <c r="X580" s="11" t="str">
        <f t="shared" ca="1" si="286"/>
        <v/>
      </c>
      <c r="Y580" s="11" t="str">
        <f t="shared" ca="1" si="287"/>
        <v/>
      </c>
      <c r="Z580" s="11" t="str">
        <f t="shared" ca="1" si="288"/>
        <v/>
      </c>
      <c r="AA580" s="11" t="str">
        <f t="shared" ca="1" si="289"/>
        <v/>
      </c>
      <c r="AB580" s="47">
        <f ca="1">PlayerGameData[[#This Row],[3FGA]]+PlayerGameData[[#This Row],[2FGA]]</f>
        <v>0</v>
      </c>
      <c r="AC580" s="47">
        <f ca="1">PlayerGameData[[#This Row],[OFF REB]]+PlayerGameData[[#This Row],[DEF REB]]</f>
        <v>0</v>
      </c>
      <c r="AD580" s="8">
        <f t="shared" si="270"/>
        <v>24</v>
      </c>
      <c r="AE580" s="8" t="str">
        <f t="shared" ca="1" si="271"/>
        <v>,  - Farson Eden 3/2/2023</v>
      </c>
      <c r="AF580" s="8" t="str">
        <f t="shared" ca="1" si="290"/>
        <v/>
      </c>
      <c r="AG580" s="8" t="str">
        <f ca="1">IFERROR(IF(C580=0,"",IF(AND(VLOOKUP(PlayerGameData[[#This Row],[Opponent]],WYTeamInfo,2,FALSE)=Roster!$D$1,VLOOKUP(PlayerGameData[[#This Row],[Opponent]],WYTeamInfo,3,FALSE)=Roster!$D$2),"SR","")),"")</f>
        <v/>
      </c>
      <c r="AH580" s="8" t="str">
        <f>CONCATENATE(Roster!$D$1," ",Roster!$D$5)</f>
        <v>1A BB</v>
      </c>
      <c r="AI580" s="8" t="str">
        <f t="shared" ca="1" si="272"/>
        <v>Upton - Farson Eden 3/2/2023</v>
      </c>
      <c r="AJ580" s="8">
        <f ca="1">IFERROR(VLOOKUP(PlayerGameData[[#This Row],[School, Opponent,Game'#]],Table3[],2,FALSE),0)</f>
        <v>1</v>
      </c>
      <c r="AK580" s="8">
        <f ca="1">IF(PlayerGameData[[#This Row],[Visible]]=1,1,1000)</f>
        <v>1</v>
      </c>
      <c r="AL580" s="8">
        <f ca="1">RANK(PlayerGameData[[#This Row],[TL PTS]],PlayerGameData[TL PTS],0)+PlayerGameData[[#This Row],[VisibleOrder]]</f>
        <v>185</v>
      </c>
      <c r="AM580" s="8">
        <f ca="1">IF(COUNTIF(PlayerGameData[PointOrder],PlayerGameData[[#This Row],[PointOrder]])&gt;1,RANK(PlayerGameData[[#This Row],[FGA]],PlayerGameData[FGA],0)/100,0)+PlayerGameData[[#This Row],[PointOrder]]</f>
        <v>187.14</v>
      </c>
      <c r="AN580" s="8">
        <f ca="1">RANK(PlayerGameData[[#This Row],[PointTieBreak]],PlayerGameData[PointTieBreak],1)</f>
        <v>216</v>
      </c>
      <c r="AO580" s="8">
        <f ca="1">RANK(PlayerGameData[[#This Row],[REB]],PlayerGameData[REB],0)+PlayerGameData[[#This Row],[VisibleOrder]]</f>
        <v>192</v>
      </c>
      <c r="AP580" s="8">
        <f ca="1">IF(COUNTIF(PlayerGameData[REBOrder],PlayerGameData[[#This Row],[REBOrder]])&gt;1,PlayerGameData[[#This Row],[PointRank]]/100+PlayerGameData[[#This Row],[REBOrder]],PlayerGameData[[#This Row],[REBOrder]])</f>
        <v>194.16</v>
      </c>
      <c r="AQ580" s="8">
        <f ca="1">RANK(PlayerGameData[[#This Row],[REBTieBreak]],PlayerGameData[REBTieBreak],1)</f>
        <v>224</v>
      </c>
      <c r="AR580" s="8">
        <f ca="1">RANK(PlayerGameData[[#This Row],[AST]],PlayerGameData[AST],0)+PlayerGameData[[#This Row],[VisibleOrder]]</f>
        <v>158</v>
      </c>
      <c r="AS580" s="8">
        <f ca="1">IF(COUNTIF(PlayerGameData[ASTOrder],PlayerGameData[[#This Row],[ASTOrder]])&gt;1,PlayerGameData[[#This Row],[PointRank]]/100+PlayerGameData[[#This Row],[ASTOrder]],PlayerGameData[[#This Row],[ASTOrder]])</f>
        <v>160.16</v>
      </c>
      <c r="AT580" s="8">
        <f ca="1">RANK(PlayerGameData[[#This Row],[ASTTieBreak]],PlayerGameData[ASTTieBreak],1)</f>
        <v>221</v>
      </c>
      <c r="AU580" s="8">
        <f ca="1">RANK(PlayerGameData[[#This Row],[STL]],PlayerGameData[STL],0)+PlayerGameData[[#This Row],[VisibleOrder]]</f>
        <v>143</v>
      </c>
      <c r="AV580" s="8">
        <f ca="1">IF(COUNTIF(PlayerGameData[STLOrder],PlayerGameData[[#This Row],[STLOrder]])&gt;1,PlayerGameData[[#This Row],[PointRank]]/100+PlayerGameData[[#This Row],[STLOrder]],PlayerGameData[[#This Row],[STLOrder]])</f>
        <v>145.16</v>
      </c>
      <c r="AW580" s="8">
        <f ca="1">RANK(PlayerGameData[[#This Row],[STLTieBreak]],PlayerGameData[STLTieBreak],1)</f>
        <v>217</v>
      </c>
      <c r="AX580" s="8">
        <f ca="1">RANK(PlayerGameData[[#This Row],[BLK]],PlayerGameData[BLK],0)+PlayerGameData[[#This Row],[VisibleOrder]]</f>
        <v>32</v>
      </c>
      <c r="AY580" s="8">
        <f ca="1">IF(COUNTIF(PlayerGameData[BLKOrder],PlayerGameData[[#This Row],[BLKOrder]])&gt;1,PlayerGameData[[#This Row],[PointRank]]/100+PlayerGameData[[#This Row],[BLKOrder]],PlayerGameData[[#This Row],[BLKOrder]])</f>
        <v>34.159999999999997</v>
      </c>
      <c r="AZ580" s="8">
        <f ca="1">RANK(PlayerGameData[[#This Row],[BLKTieBreak]],PlayerGameData[BLKTieBreak],1)</f>
        <v>216</v>
      </c>
      <c r="BA580" s="11">
        <f ca="1">IFERROR(IF(PlayerGameData[[#This Row],[FGA]]&gt;$AA$5,PlayerGameData[[#This Row],[FG%*]],PlayerGameData[[#This Row],[FG%*]]*-1),-2)</f>
        <v>-2</v>
      </c>
      <c r="BB580" s="8">
        <f ca="1">RANK(PlayerGameData[[#This Row],[EligFG]],PlayerGameData[EligFG],0)+PlayerGameData[[#This Row],[VisibleOrder]]</f>
        <v>215</v>
      </c>
      <c r="BC580" s="8">
        <f ca="1">IF(COUNTIF(PlayerGameData[EligFGOrder],PlayerGameData[[#This Row],[EligFGOrder]])&gt;1,PlayerGameData[[#This Row],[PointRank]]/100+PlayerGameData[[#This Row],[EligFGOrder]],PlayerGameData[[#This Row],[EligFGOrder]])</f>
        <v>217.16</v>
      </c>
      <c r="BD580" s="8">
        <f ca="1">RANK(PlayerGameData[[#This Row],[EligFGTieBreak]],PlayerGameData[EligFGTieBreak],1)</f>
        <v>216</v>
      </c>
      <c r="BE580" s="8" t="str">
        <f>Roster!$D$3</f>
        <v>East</v>
      </c>
      <c r="BF580" s="8" t="str">
        <f>Roster!$D$2</f>
        <v>Northeast</v>
      </c>
      <c r="BG580" s="8" t="str">
        <f>Roster!$D$4</f>
        <v>North</v>
      </c>
      <c r="BH580" s="197">
        <f ca="1">IFERROR(VLOOKUP(CONCATENATE(PlayerGameData[[#This Row],[Opponent]]," ",MONTH(PlayerGameData[[#This Row],[Date]]),"/",DAY(PlayerGameData[[#This Row],[Date]]),"/",YEAR(PlayerGameData[[#This Row],[Date]])),Table35[],2,FALSE),0)</f>
        <v>1</v>
      </c>
      <c r="BI580" s="197">
        <f ca="1">IF(PlayerGameData[[#This Row],[Visible]]=1,1,1000)</f>
        <v>1</v>
      </c>
      <c r="BJ580" s="197" t="e">
        <f ca="1">_xlfn.MAXIFS(TeamGameData[Win],TeamGameData[School, Opponent,Game'#],PlayerGameData[[#This Row],[School, Opponent,Game'#]])</f>
        <v>#NAME?</v>
      </c>
      <c r="BK580" s="197" t="e">
        <f ca="1">_xlfn.MAXIFS(TeamGameData[Loss],TeamGameData[School, Opponent,Game'#],PlayerGameData[[#This Row],[School, Opponent,Game'#]])</f>
        <v>#NAME?</v>
      </c>
    </row>
    <row r="581" spans="1:63" x14ac:dyDescent="0.25">
      <c r="A581" s="8" t="str">
        <f t="shared" ca="1" si="273"/>
        <v xml:space="preserve">, </v>
      </c>
      <c r="B581" s="8" t="str">
        <f>Roster!$B$1</f>
        <v>Upton</v>
      </c>
      <c r="C581" s="8" t="str">
        <f t="shared" ca="1" si="261"/>
        <v>Farson Eden</v>
      </c>
      <c r="D581" s="10">
        <f t="shared" ca="1" si="262"/>
        <v>44987</v>
      </c>
      <c r="E581" s="8">
        <f t="shared" ca="1" si="263"/>
        <v>0</v>
      </c>
      <c r="F581" s="8">
        <f t="shared" ca="1" si="264"/>
        <v>0</v>
      </c>
      <c r="G581" s="8">
        <f t="shared" ca="1" si="265"/>
        <v>0</v>
      </c>
      <c r="H581" s="8">
        <f t="shared" ca="1" si="266"/>
        <v>0</v>
      </c>
      <c r="I581" s="8">
        <f t="shared" ca="1" si="267"/>
        <v>0</v>
      </c>
      <c r="J581" s="8">
        <f t="shared" ca="1" si="268"/>
        <v>0</v>
      </c>
      <c r="K581" s="8">
        <f t="shared" ca="1" si="269"/>
        <v>0</v>
      </c>
      <c r="L581" s="8">
        <f t="shared" ca="1" si="274"/>
        <v>0</v>
      </c>
      <c r="M581" s="8">
        <f t="shared" ca="1" si="275"/>
        <v>0</v>
      </c>
      <c r="N581" s="8">
        <f t="shared" ca="1" si="276"/>
        <v>0</v>
      </c>
      <c r="O581" s="8">
        <f t="shared" ca="1" si="277"/>
        <v>0</v>
      </c>
      <c r="P581" s="8">
        <f t="shared" ca="1" si="278"/>
        <v>0</v>
      </c>
      <c r="Q581" s="8">
        <f t="shared" ca="1" si="279"/>
        <v>0</v>
      </c>
      <c r="R581" s="8">
        <f t="shared" ca="1" si="280"/>
        <v>0</v>
      </c>
      <c r="S581" s="8">
        <f t="shared" ca="1" si="281"/>
        <v>0</v>
      </c>
      <c r="T581" s="8">
        <f t="shared" ca="1" si="282"/>
        <v>0</v>
      </c>
      <c r="U581" s="8">
        <f t="shared" ca="1" si="283"/>
        <v>0</v>
      </c>
      <c r="V581" s="8">
        <f t="shared" ca="1" si="284"/>
        <v>0</v>
      </c>
      <c r="W581" s="11" t="str">
        <f t="shared" ca="1" si="285"/>
        <v/>
      </c>
      <c r="X581" s="11" t="str">
        <f t="shared" ca="1" si="286"/>
        <v/>
      </c>
      <c r="Y581" s="11" t="str">
        <f t="shared" ca="1" si="287"/>
        <v/>
      </c>
      <c r="Z581" s="11" t="str">
        <f t="shared" ca="1" si="288"/>
        <v/>
      </c>
      <c r="AA581" s="11" t="str">
        <f t="shared" ca="1" si="289"/>
        <v/>
      </c>
      <c r="AB581" s="47">
        <f ca="1">PlayerGameData[[#This Row],[3FGA]]+PlayerGameData[[#This Row],[2FGA]]</f>
        <v>0</v>
      </c>
      <c r="AC581" s="47">
        <f ca="1">PlayerGameData[[#This Row],[OFF REB]]+PlayerGameData[[#This Row],[DEF REB]]</f>
        <v>0</v>
      </c>
      <c r="AD581" s="8">
        <f t="shared" si="270"/>
        <v>24</v>
      </c>
      <c r="AE581" s="8" t="str">
        <f t="shared" ca="1" si="271"/>
        <v>,  - Farson Eden 3/2/2023</v>
      </c>
      <c r="AF581" s="8" t="str">
        <f t="shared" ca="1" si="290"/>
        <v/>
      </c>
      <c r="AG581" s="8" t="str">
        <f ca="1">IFERROR(IF(C581=0,"",IF(AND(VLOOKUP(PlayerGameData[[#This Row],[Opponent]],WYTeamInfo,2,FALSE)=Roster!$D$1,VLOOKUP(PlayerGameData[[#This Row],[Opponent]],WYTeamInfo,3,FALSE)=Roster!$D$2),"SR","")),"")</f>
        <v/>
      </c>
      <c r="AH581" s="8" t="str">
        <f>CONCATENATE(Roster!$D$1," ",Roster!$D$5)</f>
        <v>1A BB</v>
      </c>
      <c r="AI581" s="8" t="str">
        <f t="shared" ca="1" si="272"/>
        <v>Upton - Farson Eden 3/2/2023</v>
      </c>
      <c r="AJ581" s="8">
        <f ca="1">IFERROR(VLOOKUP(PlayerGameData[[#This Row],[School, Opponent,Game'#]],Table3[],2,FALSE),0)</f>
        <v>1</v>
      </c>
      <c r="AK581" s="8">
        <f ca="1">IF(PlayerGameData[[#This Row],[Visible]]=1,1,1000)</f>
        <v>1</v>
      </c>
      <c r="AL581" s="8">
        <f ca="1">RANK(PlayerGameData[[#This Row],[TL PTS]],PlayerGameData[TL PTS],0)+PlayerGameData[[#This Row],[VisibleOrder]]</f>
        <v>185</v>
      </c>
      <c r="AM581" s="8">
        <f ca="1">IF(COUNTIF(PlayerGameData[PointOrder],PlayerGameData[[#This Row],[PointOrder]])&gt;1,RANK(PlayerGameData[[#This Row],[FGA]],PlayerGameData[FGA],0)/100,0)+PlayerGameData[[#This Row],[PointOrder]]</f>
        <v>187.14</v>
      </c>
      <c r="AN581" s="8">
        <f ca="1">RANK(PlayerGameData[[#This Row],[PointTieBreak]],PlayerGameData[PointTieBreak],1)</f>
        <v>216</v>
      </c>
      <c r="AO581" s="8">
        <f ca="1">RANK(PlayerGameData[[#This Row],[REB]],PlayerGameData[REB],0)+PlayerGameData[[#This Row],[VisibleOrder]]</f>
        <v>192</v>
      </c>
      <c r="AP581" s="8">
        <f ca="1">IF(COUNTIF(PlayerGameData[REBOrder],PlayerGameData[[#This Row],[REBOrder]])&gt;1,PlayerGameData[[#This Row],[PointRank]]/100+PlayerGameData[[#This Row],[REBOrder]],PlayerGameData[[#This Row],[REBOrder]])</f>
        <v>194.16</v>
      </c>
      <c r="AQ581" s="8">
        <f ca="1">RANK(PlayerGameData[[#This Row],[REBTieBreak]],PlayerGameData[REBTieBreak],1)</f>
        <v>224</v>
      </c>
      <c r="AR581" s="8">
        <f ca="1">RANK(PlayerGameData[[#This Row],[AST]],PlayerGameData[AST],0)+PlayerGameData[[#This Row],[VisibleOrder]]</f>
        <v>158</v>
      </c>
      <c r="AS581" s="8">
        <f ca="1">IF(COUNTIF(PlayerGameData[ASTOrder],PlayerGameData[[#This Row],[ASTOrder]])&gt;1,PlayerGameData[[#This Row],[PointRank]]/100+PlayerGameData[[#This Row],[ASTOrder]],PlayerGameData[[#This Row],[ASTOrder]])</f>
        <v>160.16</v>
      </c>
      <c r="AT581" s="8">
        <f ca="1">RANK(PlayerGameData[[#This Row],[ASTTieBreak]],PlayerGameData[ASTTieBreak],1)</f>
        <v>221</v>
      </c>
      <c r="AU581" s="8">
        <f ca="1">RANK(PlayerGameData[[#This Row],[STL]],PlayerGameData[STL],0)+PlayerGameData[[#This Row],[VisibleOrder]]</f>
        <v>143</v>
      </c>
      <c r="AV581" s="8">
        <f ca="1">IF(COUNTIF(PlayerGameData[STLOrder],PlayerGameData[[#This Row],[STLOrder]])&gt;1,PlayerGameData[[#This Row],[PointRank]]/100+PlayerGameData[[#This Row],[STLOrder]],PlayerGameData[[#This Row],[STLOrder]])</f>
        <v>145.16</v>
      </c>
      <c r="AW581" s="8">
        <f ca="1">RANK(PlayerGameData[[#This Row],[STLTieBreak]],PlayerGameData[STLTieBreak],1)</f>
        <v>217</v>
      </c>
      <c r="AX581" s="8">
        <f ca="1">RANK(PlayerGameData[[#This Row],[BLK]],PlayerGameData[BLK],0)+PlayerGameData[[#This Row],[VisibleOrder]]</f>
        <v>32</v>
      </c>
      <c r="AY581" s="8">
        <f ca="1">IF(COUNTIF(PlayerGameData[BLKOrder],PlayerGameData[[#This Row],[BLKOrder]])&gt;1,PlayerGameData[[#This Row],[PointRank]]/100+PlayerGameData[[#This Row],[BLKOrder]],PlayerGameData[[#This Row],[BLKOrder]])</f>
        <v>34.159999999999997</v>
      </c>
      <c r="AZ581" s="8">
        <f ca="1">RANK(PlayerGameData[[#This Row],[BLKTieBreak]],PlayerGameData[BLKTieBreak],1)</f>
        <v>216</v>
      </c>
      <c r="BA581" s="11">
        <f ca="1">IFERROR(IF(PlayerGameData[[#This Row],[FGA]]&gt;$AA$5,PlayerGameData[[#This Row],[FG%*]],PlayerGameData[[#This Row],[FG%*]]*-1),-2)</f>
        <v>-2</v>
      </c>
      <c r="BB581" s="8">
        <f ca="1">RANK(PlayerGameData[[#This Row],[EligFG]],PlayerGameData[EligFG],0)+PlayerGameData[[#This Row],[VisibleOrder]]</f>
        <v>215</v>
      </c>
      <c r="BC581" s="8">
        <f ca="1">IF(COUNTIF(PlayerGameData[EligFGOrder],PlayerGameData[[#This Row],[EligFGOrder]])&gt;1,PlayerGameData[[#This Row],[PointRank]]/100+PlayerGameData[[#This Row],[EligFGOrder]],PlayerGameData[[#This Row],[EligFGOrder]])</f>
        <v>217.16</v>
      </c>
      <c r="BD581" s="8">
        <f ca="1">RANK(PlayerGameData[[#This Row],[EligFGTieBreak]],PlayerGameData[EligFGTieBreak],1)</f>
        <v>216</v>
      </c>
      <c r="BE581" s="8" t="str">
        <f>Roster!$D$3</f>
        <v>East</v>
      </c>
      <c r="BF581" s="8" t="str">
        <f>Roster!$D$2</f>
        <v>Northeast</v>
      </c>
      <c r="BG581" s="8" t="str">
        <f>Roster!$D$4</f>
        <v>North</v>
      </c>
      <c r="BH581" s="197">
        <f ca="1">IFERROR(VLOOKUP(CONCATENATE(PlayerGameData[[#This Row],[Opponent]]," ",MONTH(PlayerGameData[[#This Row],[Date]]),"/",DAY(PlayerGameData[[#This Row],[Date]]),"/",YEAR(PlayerGameData[[#This Row],[Date]])),Table35[],2,FALSE),0)</f>
        <v>1</v>
      </c>
      <c r="BI581" s="197">
        <f ca="1">IF(PlayerGameData[[#This Row],[Visible]]=1,1,1000)</f>
        <v>1</v>
      </c>
      <c r="BJ581" s="197" t="e">
        <f ca="1">_xlfn.MAXIFS(TeamGameData[Win],TeamGameData[School, Opponent,Game'#],PlayerGameData[[#This Row],[School, Opponent,Game'#]])</f>
        <v>#NAME?</v>
      </c>
      <c r="BK581" s="197" t="e">
        <f ca="1">_xlfn.MAXIFS(TeamGameData[Loss],TeamGameData[School, Opponent,Game'#],PlayerGameData[[#This Row],[School, Opponent,Game'#]])</f>
        <v>#NAME?</v>
      </c>
    </row>
    <row r="582" spans="1:63" x14ac:dyDescent="0.25">
      <c r="A582" s="8" t="str">
        <f t="shared" ca="1" si="273"/>
        <v xml:space="preserve">Team, </v>
      </c>
      <c r="B582" s="8" t="str">
        <f>Roster!$B$1</f>
        <v>Upton</v>
      </c>
      <c r="C582" s="8" t="str">
        <f t="shared" ca="1" si="261"/>
        <v>Farson Eden</v>
      </c>
      <c r="D582" s="10">
        <f t="shared" ca="1" si="262"/>
        <v>44987</v>
      </c>
      <c r="E582" s="8">
        <f t="shared" ca="1" si="263"/>
        <v>0</v>
      </c>
      <c r="F582" s="8">
        <f t="shared" ca="1" si="264"/>
        <v>0</v>
      </c>
      <c r="G582" s="8">
        <f t="shared" ca="1" si="265"/>
        <v>0</v>
      </c>
      <c r="H582" s="8">
        <f t="shared" ca="1" si="266"/>
        <v>0</v>
      </c>
      <c r="I582" s="8">
        <f t="shared" ca="1" si="267"/>
        <v>0</v>
      </c>
      <c r="J582" s="8">
        <f t="shared" ca="1" si="268"/>
        <v>0</v>
      </c>
      <c r="K582" s="8">
        <f t="shared" ca="1" si="269"/>
        <v>0</v>
      </c>
      <c r="L582" s="8">
        <f t="shared" ca="1" si="274"/>
        <v>0</v>
      </c>
      <c r="M582" s="8">
        <f t="shared" ca="1" si="275"/>
        <v>0</v>
      </c>
      <c r="N582" s="8">
        <f t="shared" ca="1" si="276"/>
        <v>0</v>
      </c>
      <c r="O582" s="8">
        <f t="shared" ca="1" si="277"/>
        <v>0</v>
      </c>
      <c r="P582" s="8">
        <f t="shared" ca="1" si="278"/>
        <v>0</v>
      </c>
      <c r="Q582" s="8">
        <f t="shared" ca="1" si="279"/>
        <v>0</v>
      </c>
      <c r="R582" s="8">
        <f t="shared" ca="1" si="280"/>
        <v>0</v>
      </c>
      <c r="S582" s="8">
        <f t="shared" ca="1" si="281"/>
        <v>0</v>
      </c>
      <c r="T582" s="8">
        <f t="shared" ca="1" si="282"/>
        <v>0</v>
      </c>
      <c r="U582" s="8">
        <f t="shared" ca="1" si="283"/>
        <v>0</v>
      </c>
      <c r="V582" s="8">
        <f t="shared" ca="1" si="284"/>
        <v>0</v>
      </c>
      <c r="W582" s="11" t="str">
        <f t="shared" ca="1" si="285"/>
        <v/>
      </c>
      <c r="X582" s="11" t="str">
        <f t="shared" ca="1" si="286"/>
        <v/>
      </c>
      <c r="Y582" s="11" t="str">
        <f t="shared" ca="1" si="287"/>
        <v/>
      </c>
      <c r="Z582" s="11" t="str">
        <f t="shared" ca="1" si="288"/>
        <v/>
      </c>
      <c r="AA582" s="11" t="str">
        <f t="shared" ca="1" si="289"/>
        <v/>
      </c>
      <c r="AB582" s="47">
        <f ca="1">PlayerGameData[[#This Row],[3FGA]]+PlayerGameData[[#This Row],[2FGA]]</f>
        <v>0</v>
      </c>
      <c r="AC582" s="47">
        <f ca="1">PlayerGameData[[#This Row],[OFF REB]]+PlayerGameData[[#This Row],[DEF REB]]</f>
        <v>0</v>
      </c>
      <c r="AD582" s="8">
        <f t="shared" si="270"/>
        <v>24</v>
      </c>
      <c r="AE582" s="8" t="str">
        <f t="shared" ca="1" si="271"/>
        <v>Team,  - Farson Eden 3/2/2023</v>
      </c>
      <c r="AF582" s="8" t="str">
        <f t="shared" ca="1" si="290"/>
        <v/>
      </c>
      <c r="AG582" s="8" t="str">
        <f ca="1">IFERROR(IF(C582=0,"",IF(AND(VLOOKUP(PlayerGameData[[#This Row],[Opponent]],WYTeamInfo,2,FALSE)=Roster!$D$1,VLOOKUP(PlayerGameData[[#This Row],[Opponent]],WYTeamInfo,3,FALSE)=Roster!$D$2),"SR","")),"")</f>
        <v/>
      </c>
      <c r="AH582" s="8" t="str">
        <f>CONCATENATE(Roster!$D$1," ",Roster!$D$5)</f>
        <v>1A BB</v>
      </c>
      <c r="AI582" s="8" t="str">
        <f t="shared" ca="1" si="272"/>
        <v>Upton - Farson Eden 3/2/2023</v>
      </c>
      <c r="AJ582" s="8">
        <f ca="1">IFERROR(VLOOKUP(PlayerGameData[[#This Row],[School, Opponent,Game'#]],Table3[],2,FALSE),0)</f>
        <v>1</v>
      </c>
      <c r="AK582" s="8">
        <f ca="1">IF(PlayerGameData[[#This Row],[Visible]]=1,1,1000)</f>
        <v>1</v>
      </c>
      <c r="AL582" s="8">
        <f ca="1">RANK(PlayerGameData[[#This Row],[TL PTS]],PlayerGameData[TL PTS],0)+PlayerGameData[[#This Row],[VisibleOrder]]</f>
        <v>185</v>
      </c>
      <c r="AM582" s="8">
        <f ca="1">IF(COUNTIF(PlayerGameData[PointOrder],PlayerGameData[[#This Row],[PointOrder]])&gt;1,RANK(PlayerGameData[[#This Row],[FGA]],PlayerGameData[FGA],0)/100,0)+PlayerGameData[[#This Row],[PointOrder]]</f>
        <v>187.14</v>
      </c>
      <c r="AN582" s="8">
        <f ca="1">RANK(PlayerGameData[[#This Row],[PointTieBreak]],PlayerGameData[PointTieBreak],1)</f>
        <v>216</v>
      </c>
      <c r="AO582" s="8">
        <f ca="1">RANK(PlayerGameData[[#This Row],[REB]],PlayerGameData[REB],0)+PlayerGameData[[#This Row],[VisibleOrder]]</f>
        <v>192</v>
      </c>
      <c r="AP582" s="8">
        <f ca="1">IF(COUNTIF(PlayerGameData[REBOrder],PlayerGameData[[#This Row],[REBOrder]])&gt;1,PlayerGameData[[#This Row],[PointRank]]/100+PlayerGameData[[#This Row],[REBOrder]],PlayerGameData[[#This Row],[REBOrder]])</f>
        <v>194.16</v>
      </c>
      <c r="AQ582" s="8">
        <f ca="1">RANK(PlayerGameData[[#This Row],[REBTieBreak]],PlayerGameData[REBTieBreak],1)</f>
        <v>224</v>
      </c>
      <c r="AR582" s="8">
        <f ca="1">RANK(PlayerGameData[[#This Row],[AST]],PlayerGameData[AST],0)+PlayerGameData[[#This Row],[VisibleOrder]]</f>
        <v>158</v>
      </c>
      <c r="AS582" s="8">
        <f ca="1">IF(COUNTIF(PlayerGameData[ASTOrder],PlayerGameData[[#This Row],[ASTOrder]])&gt;1,PlayerGameData[[#This Row],[PointRank]]/100+PlayerGameData[[#This Row],[ASTOrder]],PlayerGameData[[#This Row],[ASTOrder]])</f>
        <v>160.16</v>
      </c>
      <c r="AT582" s="8">
        <f ca="1">RANK(PlayerGameData[[#This Row],[ASTTieBreak]],PlayerGameData[ASTTieBreak],1)</f>
        <v>221</v>
      </c>
      <c r="AU582" s="8">
        <f ca="1">RANK(PlayerGameData[[#This Row],[STL]],PlayerGameData[STL],0)+PlayerGameData[[#This Row],[VisibleOrder]]</f>
        <v>143</v>
      </c>
      <c r="AV582" s="8">
        <f ca="1">IF(COUNTIF(PlayerGameData[STLOrder],PlayerGameData[[#This Row],[STLOrder]])&gt;1,PlayerGameData[[#This Row],[PointRank]]/100+PlayerGameData[[#This Row],[STLOrder]],PlayerGameData[[#This Row],[STLOrder]])</f>
        <v>145.16</v>
      </c>
      <c r="AW582" s="8">
        <f ca="1">RANK(PlayerGameData[[#This Row],[STLTieBreak]],PlayerGameData[STLTieBreak],1)</f>
        <v>217</v>
      </c>
      <c r="AX582" s="8">
        <f ca="1">RANK(PlayerGameData[[#This Row],[BLK]],PlayerGameData[BLK],0)+PlayerGameData[[#This Row],[VisibleOrder]]</f>
        <v>32</v>
      </c>
      <c r="AY582" s="8">
        <f ca="1">IF(COUNTIF(PlayerGameData[BLKOrder],PlayerGameData[[#This Row],[BLKOrder]])&gt;1,PlayerGameData[[#This Row],[PointRank]]/100+PlayerGameData[[#This Row],[BLKOrder]],PlayerGameData[[#This Row],[BLKOrder]])</f>
        <v>34.159999999999997</v>
      </c>
      <c r="AZ582" s="8">
        <f ca="1">RANK(PlayerGameData[[#This Row],[BLKTieBreak]],PlayerGameData[BLKTieBreak],1)</f>
        <v>216</v>
      </c>
      <c r="BA582" s="11">
        <f ca="1">IFERROR(IF(PlayerGameData[[#This Row],[FGA]]&gt;$AA$5,PlayerGameData[[#This Row],[FG%*]],PlayerGameData[[#This Row],[FG%*]]*-1),-2)</f>
        <v>-2</v>
      </c>
      <c r="BB582" s="8">
        <f ca="1">RANK(PlayerGameData[[#This Row],[EligFG]],PlayerGameData[EligFG],0)+PlayerGameData[[#This Row],[VisibleOrder]]</f>
        <v>215</v>
      </c>
      <c r="BC582" s="8">
        <f ca="1">IF(COUNTIF(PlayerGameData[EligFGOrder],PlayerGameData[[#This Row],[EligFGOrder]])&gt;1,PlayerGameData[[#This Row],[PointRank]]/100+PlayerGameData[[#This Row],[EligFGOrder]],PlayerGameData[[#This Row],[EligFGOrder]])</f>
        <v>217.16</v>
      </c>
      <c r="BD582" s="8">
        <f ca="1">RANK(PlayerGameData[[#This Row],[EligFGTieBreak]],PlayerGameData[EligFGTieBreak],1)</f>
        <v>216</v>
      </c>
      <c r="BE582" s="8" t="str">
        <f>Roster!$D$3</f>
        <v>East</v>
      </c>
      <c r="BF582" s="8" t="str">
        <f>Roster!$D$2</f>
        <v>Northeast</v>
      </c>
      <c r="BG582" s="8" t="str">
        <f>Roster!$D$4</f>
        <v>North</v>
      </c>
      <c r="BH582" s="197">
        <f ca="1">IFERROR(VLOOKUP(CONCATENATE(PlayerGameData[[#This Row],[Opponent]]," ",MONTH(PlayerGameData[[#This Row],[Date]]),"/",DAY(PlayerGameData[[#This Row],[Date]]),"/",YEAR(PlayerGameData[[#This Row],[Date]])),Table35[],2,FALSE),0)</f>
        <v>1</v>
      </c>
      <c r="BI582" s="197">
        <f ca="1">IF(PlayerGameData[[#This Row],[Visible]]=1,1,1000)</f>
        <v>1</v>
      </c>
      <c r="BJ582" s="197" t="e">
        <f ca="1">_xlfn.MAXIFS(TeamGameData[Win],TeamGameData[School, Opponent,Game'#],PlayerGameData[[#This Row],[School, Opponent,Game'#]])</f>
        <v>#NAME?</v>
      </c>
      <c r="BK582" s="197" t="e">
        <f ca="1">_xlfn.MAXIFS(TeamGameData[Loss],TeamGameData[School, Opponent,Game'#],PlayerGameData[[#This Row],[School, Opponent,Game'#]])</f>
        <v>#NAME?</v>
      </c>
    </row>
    <row r="583" spans="1:63" x14ac:dyDescent="0.25">
      <c r="A583" s="8" t="str">
        <f t="shared" ca="1" si="273"/>
        <v>Landon Butler, 1</v>
      </c>
      <c r="B583" s="8" t="str">
        <f>Roster!$B$1</f>
        <v>Upton</v>
      </c>
      <c r="C583" s="8" t="str">
        <f t="shared" ref="C583:C646" ca="1" si="291">INDIRECT("'game1 ("&amp;$AD583&amp;")'!$b$3")</f>
        <v>Cokeville</v>
      </c>
      <c r="D583" s="10">
        <f t="shared" ref="D583:D646" ca="1" si="292">INDIRECT("'game1 ("&amp;$AD583&amp;")'!$m$4")</f>
        <v>44988</v>
      </c>
      <c r="E583" s="8">
        <f t="shared" ref="E583:E646" ca="1" si="293">INDIRECT("'game1 ("&amp;$AD583&amp;")'!"&amp;ADDRESS(ROW(A$7)+MOD(ROW(A583)-7,24),COLUMN(D583)))</f>
        <v>0</v>
      </c>
      <c r="F583" s="8">
        <f t="shared" ref="F583:F646" ca="1" si="294">IF(INDIRECT("'game1 ("&amp;$AD583&amp;")'!"&amp;ADDRESS(ROW(B$7)+MOD(ROW(B583)-7,24),COLUMN(C583)))="s",1,0)</f>
        <v>0</v>
      </c>
      <c r="G583" s="8">
        <f t="shared" ref="G583:G646" ca="1" si="295">INDIRECT("'game1 ("&amp;$AD583&amp;")'!"&amp;ADDRESS(ROW(B$7)+MOD(ROW(B583)-7,24),COLUMN(E583)))</f>
        <v>0</v>
      </c>
      <c r="H583" s="8">
        <f t="shared" ref="H583:H646" ca="1" si="296">INDIRECT("'game1 ("&amp;$AD583&amp;")'!"&amp;ADDRESS(ROW(B$7)+MOD(ROW(B583)-7,24),COLUMN(F583)))</f>
        <v>0</v>
      </c>
      <c r="I583" s="8">
        <f t="shared" ref="I583:I646" ca="1" si="297">INDIRECT("'game1 ("&amp;$AD583&amp;")'!"&amp;ADDRESS(ROW(C$7)+MOD(ROW(C583)-7,24),COLUMN(G583)))</f>
        <v>0</v>
      </c>
      <c r="J583" s="8">
        <f t="shared" ref="J583:J646" ca="1" si="298">INDIRECT("'game1 ("&amp;$AD583&amp;")'!"&amp;ADDRESS(ROW(D$7)+MOD(ROW(D583)-7,24),COLUMN(H583)))</f>
        <v>0</v>
      </c>
      <c r="K583" s="8">
        <f t="shared" ref="K583:K646" ca="1" si="299">INDIRECT("'game1 ("&amp;$AD583&amp;")'!"&amp;ADDRESS(ROW(E$7)+MOD(ROW(E583)-7,24),COLUMN(I583)))</f>
        <v>0</v>
      </c>
      <c r="L583" s="8">
        <f t="shared" ca="1" si="274"/>
        <v>0</v>
      </c>
      <c r="M583" s="8">
        <f t="shared" ca="1" si="275"/>
        <v>0</v>
      </c>
      <c r="N583" s="8">
        <f t="shared" ca="1" si="276"/>
        <v>0</v>
      </c>
      <c r="O583" s="8">
        <f t="shared" ca="1" si="277"/>
        <v>0</v>
      </c>
      <c r="P583" s="8">
        <f t="shared" ca="1" si="278"/>
        <v>0</v>
      </c>
      <c r="Q583" s="8">
        <f t="shared" ca="1" si="279"/>
        <v>0</v>
      </c>
      <c r="R583" s="8">
        <f t="shared" ca="1" si="280"/>
        <v>0</v>
      </c>
      <c r="S583" s="8">
        <f t="shared" ca="1" si="281"/>
        <v>0</v>
      </c>
      <c r="T583" s="8">
        <f t="shared" ca="1" si="282"/>
        <v>0</v>
      </c>
      <c r="U583" s="8">
        <f t="shared" ca="1" si="283"/>
        <v>0</v>
      </c>
      <c r="V583" s="8">
        <f t="shared" ca="1" si="284"/>
        <v>0</v>
      </c>
      <c r="W583" s="11" t="str">
        <f t="shared" ca="1" si="285"/>
        <v/>
      </c>
      <c r="X583" s="11" t="str">
        <f t="shared" ca="1" si="286"/>
        <v/>
      </c>
      <c r="Y583" s="11" t="str">
        <f t="shared" ca="1" si="287"/>
        <v/>
      </c>
      <c r="Z583" s="11" t="str">
        <f t="shared" ca="1" si="288"/>
        <v/>
      </c>
      <c r="AA583" s="11" t="str">
        <f t="shared" ca="1" si="289"/>
        <v/>
      </c>
      <c r="AB583" s="47">
        <f ca="1">PlayerGameData[[#This Row],[3FGA]]+PlayerGameData[[#This Row],[2FGA]]</f>
        <v>0</v>
      </c>
      <c r="AC583" s="47">
        <f ca="1">PlayerGameData[[#This Row],[OFF REB]]+PlayerGameData[[#This Row],[DEF REB]]</f>
        <v>0</v>
      </c>
      <c r="AD583" s="8">
        <f t="shared" ref="AD583:AD646" si="300">INT((ROW(A583)-7)/24)+1</f>
        <v>25</v>
      </c>
      <c r="AE583" s="8" t="str">
        <f t="shared" ref="AE583:AE646" ca="1" si="301">CONCATENATE(A583," - ",C583," ",MONTH(D583),"/",DAY(D583),"/",YEAR(D583))</f>
        <v>Landon Butler, 1 - Cokeville 3/3/2023</v>
      </c>
      <c r="AF583" s="8" t="str">
        <f t="shared" ca="1" si="290"/>
        <v/>
      </c>
      <c r="AG583" s="8" t="str">
        <f ca="1">IFERROR(IF(C583=0,"",IF(AND(VLOOKUP(PlayerGameData[[#This Row],[Opponent]],WYTeamInfo,2,FALSE)=Roster!$D$1,VLOOKUP(PlayerGameData[[#This Row],[Opponent]],WYTeamInfo,3,FALSE)=Roster!$D$2),"SR","")),"")</f>
        <v/>
      </c>
      <c r="AH583" s="8" t="str">
        <f>CONCATENATE(Roster!$D$1," ",Roster!$D$5)</f>
        <v>1A BB</v>
      </c>
      <c r="AI583" s="8" t="str">
        <f t="shared" ref="AI583:AI646" ca="1" si="302">IF($C583&lt;&gt;0,CONCATENATE($B583," - ",$C583," ",MONTH($D583),"/",DAY($D583),"/",YEAR($D583)),"Blank")</f>
        <v>Upton - Cokeville 3/3/2023</v>
      </c>
      <c r="AJ583" s="8">
        <f ca="1">IFERROR(VLOOKUP(PlayerGameData[[#This Row],[School, Opponent,Game'#]],Table3[],2,FALSE),0)</f>
        <v>1</v>
      </c>
      <c r="AK583" s="8">
        <f ca="1">IF(PlayerGameData[[#This Row],[Visible]]=1,1,1000)</f>
        <v>1</v>
      </c>
      <c r="AL583" s="8">
        <f ca="1">RANK(PlayerGameData[[#This Row],[TL PTS]],PlayerGameData[TL PTS],0)+PlayerGameData[[#This Row],[VisibleOrder]]</f>
        <v>185</v>
      </c>
      <c r="AM583" s="8">
        <f ca="1">IF(COUNTIF(PlayerGameData[PointOrder],PlayerGameData[[#This Row],[PointOrder]])&gt;1,RANK(PlayerGameData[[#This Row],[FGA]],PlayerGameData[FGA],0)/100,0)+PlayerGameData[[#This Row],[PointOrder]]</f>
        <v>187.14</v>
      </c>
      <c r="AN583" s="8">
        <f ca="1">RANK(PlayerGameData[[#This Row],[PointTieBreak]],PlayerGameData[PointTieBreak],1)</f>
        <v>216</v>
      </c>
      <c r="AO583" s="8">
        <f ca="1">RANK(PlayerGameData[[#This Row],[REB]],PlayerGameData[REB],0)+PlayerGameData[[#This Row],[VisibleOrder]]</f>
        <v>192</v>
      </c>
      <c r="AP583" s="8">
        <f ca="1">IF(COUNTIF(PlayerGameData[REBOrder],PlayerGameData[[#This Row],[REBOrder]])&gt;1,PlayerGameData[[#This Row],[PointRank]]/100+PlayerGameData[[#This Row],[REBOrder]],PlayerGameData[[#This Row],[REBOrder]])</f>
        <v>194.16</v>
      </c>
      <c r="AQ583" s="8">
        <f ca="1">RANK(PlayerGameData[[#This Row],[REBTieBreak]],PlayerGameData[REBTieBreak],1)</f>
        <v>224</v>
      </c>
      <c r="AR583" s="8">
        <f ca="1">RANK(PlayerGameData[[#This Row],[AST]],PlayerGameData[AST],0)+PlayerGameData[[#This Row],[VisibleOrder]]</f>
        <v>158</v>
      </c>
      <c r="AS583" s="8">
        <f ca="1">IF(COUNTIF(PlayerGameData[ASTOrder],PlayerGameData[[#This Row],[ASTOrder]])&gt;1,PlayerGameData[[#This Row],[PointRank]]/100+PlayerGameData[[#This Row],[ASTOrder]],PlayerGameData[[#This Row],[ASTOrder]])</f>
        <v>160.16</v>
      </c>
      <c r="AT583" s="8">
        <f ca="1">RANK(PlayerGameData[[#This Row],[ASTTieBreak]],PlayerGameData[ASTTieBreak],1)</f>
        <v>221</v>
      </c>
      <c r="AU583" s="8">
        <f ca="1">RANK(PlayerGameData[[#This Row],[STL]],PlayerGameData[STL],0)+PlayerGameData[[#This Row],[VisibleOrder]]</f>
        <v>143</v>
      </c>
      <c r="AV583" s="8">
        <f ca="1">IF(COUNTIF(PlayerGameData[STLOrder],PlayerGameData[[#This Row],[STLOrder]])&gt;1,PlayerGameData[[#This Row],[PointRank]]/100+PlayerGameData[[#This Row],[STLOrder]],PlayerGameData[[#This Row],[STLOrder]])</f>
        <v>145.16</v>
      </c>
      <c r="AW583" s="8">
        <f ca="1">RANK(PlayerGameData[[#This Row],[STLTieBreak]],PlayerGameData[STLTieBreak],1)</f>
        <v>217</v>
      </c>
      <c r="AX583" s="8">
        <f ca="1">RANK(PlayerGameData[[#This Row],[BLK]],PlayerGameData[BLK],0)+PlayerGameData[[#This Row],[VisibleOrder]]</f>
        <v>32</v>
      </c>
      <c r="AY583" s="8">
        <f ca="1">IF(COUNTIF(PlayerGameData[BLKOrder],PlayerGameData[[#This Row],[BLKOrder]])&gt;1,PlayerGameData[[#This Row],[PointRank]]/100+PlayerGameData[[#This Row],[BLKOrder]],PlayerGameData[[#This Row],[BLKOrder]])</f>
        <v>34.159999999999997</v>
      </c>
      <c r="AZ583" s="8">
        <f ca="1">RANK(PlayerGameData[[#This Row],[BLKTieBreak]],PlayerGameData[BLKTieBreak],1)</f>
        <v>216</v>
      </c>
      <c r="BA583" s="11">
        <f ca="1">IFERROR(IF(PlayerGameData[[#This Row],[FGA]]&gt;$AA$5,PlayerGameData[[#This Row],[FG%*]],PlayerGameData[[#This Row],[FG%*]]*-1),-2)</f>
        <v>-2</v>
      </c>
      <c r="BB583" s="8">
        <f ca="1">RANK(PlayerGameData[[#This Row],[EligFG]],PlayerGameData[EligFG],0)+PlayerGameData[[#This Row],[VisibleOrder]]</f>
        <v>215</v>
      </c>
      <c r="BC583" s="8">
        <f ca="1">IF(COUNTIF(PlayerGameData[EligFGOrder],PlayerGameData[[#This Row],[EligFGOrder]])&gt;1,PlayerGameData[[#This Row],[PointRank]]/100+PlayerGameData[[#This Row],[EligFGOrder]],PlayerGameData[[#This Row],[EligFGOrder]])</f>
        <v>217.16</v>
      </c>
      <c r="BD583" s="8">
        <f ca="1">RANK(PlayerGameData[[#This Row],[EligFGTieBreak]],PlayerGameData[EligFGTieBreak],1)</f>
        <v>216</v>
      </c>
      <c r="BE583" s="8" t="str">
        <f>Roster!$D$3</f>
        <v>East</v>
      </c>
      <c r="BF583" s="8" t="str">
        <f>Roster!$D$2</f>
        <v>Northeast</v>
      </c>
      <c r="BG583" s="8" t="str">
        <f>Roster!$D$4</f>
        <v>North</v>
      </c>
      <c r="BH583" s="197">
        <f ca="1">IFERROR(VLOOKUP(CONCATENATE(PlayerGameData[[#This Row],[Opponent]]," ",MONTH(PlayerGameData[[#This Row],[Date]]),"/",DAY(PlayerGameData[[#This Row],[Date]]),"/",YEAR(PlayerGameData[[#This Row],[Date]])),Table35[],2,FALSE),0)</f>
        <v>1</v>
      </c>
      <c r="BI583" s="197">
        <f ca="1">IF(PlayerGameData[[#This Row],[Visible]]=1,1,1000)</f>
        <v>1</v>
      </c>
      <c r="BJ583" s="197" t="e">
        <f ca="1">_xlfn.MAXIFS(TeamGameData[Win],TeamGameData[School, Opponent,Game'#],PlayerGameData[[#This Row],[School, Opponent,Game'#]])</f>
        <v>#NAME?</v>
      </c>
      <c r="BK583" s="197" t="e">
        <f ca="1">_xlfn.MAXIFS(TeamGameData[Loss],TeamGameData[School, Opponent,Game'#],PlayerGameData[[#This Row],[School, Opponent,Game'#]])</f>
        <v>#NAME?</v>
      </c>
    </row>
    <row r="584" spans="1:63" x14ac:dyDescent="0.25">
      <c r="A584" s="8" t="str">
        <f t="shared" ref="A584:A647" ca="1" si="303">CONCATENATE(INDIRECT("Roster!B"&amp;ROW(A$7)+MOD(ROW(A584)-7,24)),", ",INDIRECT("Roster!a"&amp;ROW(A$7)+MOD(ROW(A584)-7,24)))</f>
        <v>Logan Timberman, 3</v>
      </c>
      <c r="B584" s="8" t="str">
        <f>Roster!$B$1</f>
        <v>Upton</v>
      </c>
      <c r="C584" s="8" t="str">
        <f t="shared" ca="1" si="291"/>
        <v>Cokeville</v>
      </c>
      <c r="D584" s="10">
        <f t="shared" ca="1" si="292"/>
        <v>44988</v>
      </c>
      <c r="E584" s="8">
        <f t="shared" ca="1" si="293"/>
        <v>1</v>
      </c>
      <c r="F584" s="8">
        <f t="shared" ca="1" si="294"/>
        <v>1</v>
      </c>
      <c r="G584" s="8">
        <f t="shared" ca="1" si="295"/>
        <v>24</v>
      </c>
      <c r="H584" s="8">
        <f t="shared" ca="1" si="296"/>
        <v>0</v>
      </c>
      <c r="I584" s="8">
        <f t="shared" ca="1" si="297"/>
        <v>0</v>
      </c>
      <c r="J584" s="8">
        <f t="shared" ca="1" si="298"/>
        <v>1</v>
      </c>
      <c r="K584" s="8">
        <f t="shared" ca="1" si="299"/>
        <v>1</v>
      </c>
      <c r="L584" s="8">
        <f t="shared" ref="L584:L647" ca="1" si="304">INDIRECT("'game1 ("&amp;$AD584&amp;")'!"&amp;ADDRESS(ROW(G$7)+MOD(ROW(G584)-7,24),COLUMN(J584)))</f>
        <v>1</v>
      </c>
      <c r="M584" s="8">
        <f t="shared" ref="M584:M647" ca="1" si="305">INDIRECT("'game1 ("&amp;$AD584&amp;")'!"&amp;ADDRESS(ROW(H$7)+MOD(ROW(H584)-7,24),COLUMN(K584)))</f>
        <v>2</v>
      </c>
      <c r="N584" s="8">
        <f t="shared" ref="N584:N647" ca="1" si="306">INDIRECT("'game1 ("&amp;$AD584&amp;")'!"&amp;ADDRESS(ROW(I$7)+MOD(ROW(I584)-7,24),COLUMN(L584)))</f>
        <v>1</v>
      </c>
      <c r="O584" s="8">
        <f t="shared" ref="O584:O647" ca="1" si="307">INDIRECT("'game1 ("&amp;$AD584&amp;")'!"&amp;ADDRESS(ROW(J$7)+MOD(ROW(J584)-7,24),COLUMN(M584)))</f>
        <v>1</v>
      </c>
      <c r="P584" s="8">
        <f t="shared" ref="P584:P647" ca="1" si="308">INDIRECT("'game1 ("&amp;$AD584&amp;")'!"&amp;ADDRESS(ROW(K$7)+MOD(ROW(K584)-7,24),COLUMN(N584)))</f>
        <v>1</v>
      </c>
      <c r="Q584" s="8">
        <f t="shared" ref="Q584:Q647" ca="1" si="309">INDIRECT("'game1 ("&amp;$AD584&amp;")'!"&amp;ADDRESS(ROW(L$7)+MOD(ROW(L584)-7,24),COLUMN(O584)))</f>
        <v>1</v>
      </c>
      <c r="R584" s="8">
        <f t="shared" ref="R584:R647" ca="1" si="310">INDIRECT("'game1 ("&amp;$AD584&amp;")'!"&amp;ADDRESS(ROW(M$7)+MOD(ROW(M584)-7,24),COLUMN(P584)))</f>
        <v>0</v>
      </c>
      <c r="S584" s="8">
        <f t="shared" ref="S584:S647" ca="1" si="311">INDIRECT("'game1 ("&amp;$AD584&amp;")'!"&amp;ADDRESS(ROW(N$7)+MOD(ROW(N584)-7,24),COLUMN(Q584)))</f>
        <v>1</v>
      </c>
      <c r="T584" s="8">
        <f t="shared" ref="T584:T647" ca="1" si="312">INDIRECT("'game1 ("&amp;$AD584&amp;")'!"&amp;ADDRESS(ROW(O$7)+MOD(ROW(O584)-7,24),COLUMN(R584)))</f>
        <v>4</v>
      </c>
      <c r="U584" s="8">
        <f t="shared" ref="U584:U647" ca="1" si="313">INDIRECT("'game1 ("&amp;$AD584&amp;")'!"&amp;ADDRESS(ROW(P$7)+MOD(ROW(P584)-7,24),COLUMN(S584)))</f>
        <v>0</v>
      </c>
      <c r="V584" s="8">
        <f t="shared" ref="V584:V647" ca="1" si="314">INDIRECT("'game1 ("&amp;$AD584&amp;")'!"&amp;ADDRESS(ROW(Q$7)+MOD(ROW(Q584)-7,24),COLUMN(T584)))</f>
        <v>3</v>
      </c>
      <c r="W584" s="11" t="str">
        <f t="shared" ref="W584:W647" ca="1" si="315">INDIRECT("'game1 ("&amp;$AD584&amp;")'!"&amp;ADDRESS(ROW(R$7)+MOD(ROW(R584)-7,24),COLUMN(U584)))</f>
        <v/>
      </c>
      <c r="X584" s="11">
        <f t="shared" ref="X584:X647" ca="1" si="316">INDIRECT("'game1 ("&amp;$AD584&amp;")'!"&amp;ADDRESS(ROW(S$7)+MOD(ROW(S584)-7,24),COLUMN(V584)))</f>
        <v>1</v>
      </c>
      <c r="Y584" s="11">
        <f t="shared" ref="Y584:Y647" ca="1" si="317">INDIRECT("'game1 ("&amp;$AD584&amp;")'!"&amp;ADDRESS(ROW(T$7)+MOD(ROW(T584)-7,24),COLUMN(W584)))</f>
        <v>0.5</v>
      </c>
      <c r="Z584" s="11">
        <f t="shared" ref="Z584:Z647" ca="1" si="318">INDIRECT("'game1 ("&amp;$AD584&amp;")'!"&amp;ADDRESS(ROW(U$7)+MOD(ROW(U584)-7,24),COLUMN(X584)))</f>
        <v>1</v>
      </c>
      <c r="AA584" s="11">
        <f t="shared" ref="AA584:AA647" ca="1" si="319">INDIRECT("'game1 ("&amp;$AD584&amp;")'!"&amp;ADDRESS(ROW(V$7)+MOD(ROW(V584)-7,24),COLUMN(Y584)))</f>
        <v>1</v>
      </c>
      <c r="AB584" s="47">
        <f ca="1">PlayerGameData[[#This Row],[3FGA]]+PlayerGameData[[#This Row],[2FGA]]</f>
        <v>1</v>
      </c>
      <c r="AC584" s="47">
        <f ca="1">PlayerGameData[[#This Row],[OFF REB]]+PlayerGameData[[#This Row],[DEF REB]]</f>
        <v>2</v>
      </c>
      <c r="AD584" s="8">
        <f t="shared" si="300"/>
        <v>25</v>
      </c>
      <c r="AE584" s="8" t="str">
        <f t="shared" ca="1" si="301"/>
        <v>Logan Timberman, 3 - Cokeville 3/3/2023</v>
      </c>
      <c r="AF584" s="8" t="str">
        <f t="shared" ref="AF584:AF647" ca="1" si="320">IFERROR(INDIRECT("'game1 ("&amp;$AD584&amp;")'!$a$2"),"")</f>
        <v/>
      </c>
      <c r="AG584" s="8" t="str">
        <f ca="1">IFERROR(IF(C584=0,"",IF(AND(VLOOKUP(PlayerGameData[[#This Row],[Opponent]],WYTeamInfo,2,FALSE)=Roster!$D$1,VLOOKUP(PlayerGameData[[#This Row],[Opponent]],WYTeamInfo,3,FALSE)=Roster!$D$2),"SR","")),"")</f>
        <v/>
      </c>
      <c r="AH584" s="8" t="str">
        <f>CONCATENATE(Roster!$D$1," ",Roster!$D$5)</f>
        <v>1A BB</v>
      </c>
      <c r="AI584" s="8" t="str">
        <f t="shared" ca="1" si="302"/>
        <v>Upton - Cokeville 3/3/2023</v>
      </c>
      <c r="AJ584" s="8">
        <f ca="1">IFERROR(VLOOKUP(PlayerGameData[[#This Row],[School, Opponent,Game'#]],Table3[],2,FALSE),0)</f>
        <v>1</v>
      </c>
      <c r="AK584" s="8">
        <f ca="1">IF(PlayerGameData[[#This Row],[Visible]]=1,1,1000)</f>
        <v>1</v>
      </c>
      <c r="AL584" s="8">
        <f ca="1">RANK(PlayerGameData[[#This Row],[TL PTS]],PlayerGameData[TL PTS],0)+PlayerGameData[[#This Row],[VisibleOrder]]</f>
        <v>135</v>
      </c>
      <c r="AM584" s="8">
        <f ca="1">IF(COUNTIF(PlayerGameData[PointOrder],PlayerGameData[[#This Row],[PointOrder]])&gt;1,RANK(PlayerGameData[[#This Row],[FGA]],PlayerGameData[FGA],0)/100,0)+PlayerGameData[[#This Row],[PointOrder]]</f>
        <v>136.82</v>
      </c>
      <c r="AN584" s="8">
        <f ca="1">RANK(PlayerGameData[[#This Row],[PointTieBreak]],PlayerGameData[PointTieBreak],1)</f>
        <v>145</v>
      </c>
      <c r="AO584" s="8">
        <f ca="1">RANK(PlayerGameData[[#This Row],[REB]],PlayerGameData[REB],0)+PlayerGameData[[#This Row],[VisibleOrder]]</f>
        <v>137</v>
      </c>
      <c r="AP584" s="8">
        <f ca="1">IF(COUNTIF(PlayerGameData[REBOrder],PlayerGameData[[#This Row],[REBOrder]])&gt;1,PlayerGameData[[#This Row],[PointRank]]/100+PlayerGameData[[#This Row],[REBOrder]],PlayerGameData[[#This Row],[REBOrder]])</f>
        <v>138.44999999999999</v>
      </c>
      <c r="AQ584" s="8">
        <f ca="1">RANK(PlayerGameData[[#This Row],[REBTieBreak]],PlayerGameData[REBTieBreak],1)</f>
        <v>150</v>
      </c>
      <c r="AR584" s="8">
        <f ca="1">RANK(PlayerGameData[[#This Row],[AST]],PlayerGameData[AST],0)+PlayerGameData[[#This Row],[VisibleOrder]]</f>
        <v>115</v>
      </c>
      <c r="AS584" s="8">
        <f ca="1">IF(COUNTIF(PlayerGameData[ASTOrder],PlayerGameData[[#This Row],[ASTOrder]])&gt;1,PlayerGameData[[#This Row],[PointRank]]/100+PlayerGameData[[#This Row],[ASTOrder]],PlayerGameData[[#This Row],[ASTOrder]])</f>
        <v>116.45</v>
      </c>
      <c r="AT584" s="8">
        <f ca="1">RANK(PlayerGameData[[#This Row],[ASTTieBreak]],PlayerGameData[ASTTieBreak],1)</f>
        <v>140</v>
      </c>
      <c r="AU584" s="8">
        <f ca="1">RANK(PlayerGameData[[#This Row],[STL]],PlayerGameData[STL],0)+PlayerGameData[[#This Row],[VisibleOrder]]</f>
        <v>84</v>
      </c>
      <c r="AV584" s="8">
        <f ca="1">IF(COUNTIF(PlayerGameData[STLOrder],PlayerGameData[[#This Row],[STLOrder]])&gt;1,PlayerGameData[[#This Row],[PointRank]]/100+PlayerGameData[[#This Row],[STLOrder]],PlayerGameData[[#This Row],[STLOrder]])</f>
        <v>85.45</v>
      </c>
      <c r="AW584" s="8">
        <f ca="1">RANK(PlayerGameData[[#This Row],[STLTieBreak]],PlayerGameData[STLTieBreak],1)</f>
        <v>123</v>
      </c>
      <c r="AX584" s="8">
        <f ca="1">RANK(PlayerGameData[[#This Row],[BLK]],PlayerGameData[BLK],0)+PlayerGameData[[#This Row],[VisibleOrder]]</f>
        <v>32</v>
      </c>
      <c r="AY584" s="8">
        <f ca="1">IF(COUNTIF(PlayerGameData[BLKOrder],PlayerGameData[[#This Row],[BLKOrder]])&gt;1,PlayerGameData[[#This Row],[PointRank]]/100+PlayerGameData[[#This Row],[BLKOrder]],PlayerGameData[[#This Row],[BLKOrder]])</f>
        <v>33.450000000000003</v>
      </c>
      <c r="AZ584" s="8">
        <f ca="1">RANK(PlayerGameData[[#This Row],[BLKTieBreak]],PlayerGameData[BLKTieBreak],1)</f>
        <v>149</v>
      </c>
      <c r="BA584" s="11">
        <f ca="1">IFERROR(IF(PlayerGameData[[#This Row],[FGA]]&gt;$AA$5,PlayerGameData[[#This Row],[FG%*]],PlayerGameData[[#This Row],[FG%*]]*-1),-2)</f>
        <v>-1</v>
      </c>
      <c r="BB584" s="8">
        <f ca="1">RANK(PlayerGameData[[#This Row],[EligFG]],PlayerGameData[EligFG],0)+PlayerGameData[[#This Row],[VisibleOrder]]</f>
        <v>203</v>
      </c>
      <c r="BC584" s="8">
        <f ca="1">IF(COUNTIF(PlayerGameData[EligFGOrder],PlayerGameData[[#This Row],[EligFGOrder]])&gt;1,PlayerGameData[[#This Row],[PointRank]]/100+PlayerGameData[[#This Row],[EligFGOrder]],PlayerGameData[[#This Row],[EligFGOrder]])</f>
        <v>204.45</v>
      </c>
      <c r="BD584" s="8">
        <f ca="1">RANK(PlayerGameData[[#This Row],[EligFGTieBreak]],PlayerGameData[EligFGTieBreak],1)</f>
        <v>206</v>
      </c>
      <c r="BE584" s="8" t="str">
        <f>Roster!$D$3</f>
        <v>East</v>
      </c>
      <c r="BF584" s="8" t="str">
        <f>Roster!$D$2</f>
        <v>Northeast</v>
      </c>
      <c r="BG584" s="8" t="str">
        <f>Roster!$D$4</f>
        <v>North</v>
      </c>
      <c r="BH584" s="197">
        <f ca="1">IFERROR(VLOOKUP(CONCATENATE(PlayerGameData[[#This Row],[Opponent]]," ",MONTH(PlayerGameData[[#This Row],[Date]]),"/",DAY(PlayerGameData[[#This Row],[Date]]),"/",YEAR(PlayerGameData[[#This Row],[Date]])),Table35[],2,FALSE),0)</f>
        <v>1</v>
      </c>
      <c r="BI584" s="197">
        <f ca="1">IF(PlayerGameData[[#This Row],[Visible]]=1,1,1000)</f>
        <v>1</v>
      </c>
      <c r="BJ584" s="197" t="e">
        <f ca="1">_xlfn.MAXIFS(TeamGameData[Win],TeamGameData[School, Opponent,Game'#],PlayerGameData[[#This Row],[School, Opponent,Game'#]])</f>
        <v>#NAME?</v>
      </c>
      <c r="BK584" s="197" t="e">
        <f ca="1">_xlfn.MAXIFS(TeamGameData[Loss],TeamGameData[School, Opponent,Game'#],PlayerGameData[[#This Row],[School, Opponent,Game'#]])</f>
        <v>#NAME?</v>
      </c>
    </row>
    <row r="585" spans="1:63" x14ac:dyDescent="0.25">
      <c r="A585" s="8" t="str">
        <f t="shared" ca="1" si="303"/>
        <v>Chase Mills, 5</v>
      </c>
      <c r="B585" s="8" t="str">
        <f>Roster!$B$1</f>
        <v>Upton</v>
      </c>
      <c r="C585" s="8" t="str">
        <f t="shared" ca="1" si="291"/>
        <v>Cokeville</v>
      </c>
      <c r="D585" s="10">
        <f t="shared" ca="1" si="292"/>
        <v>44988</v>
      </c>
      <c r="E585" s="8">
        <f t="shared" ca="1" si="293"/>
        <v>1</v>
      </c>
      <c r="F585" s="8">
        <f t="shared" ca="1" si="294"/>
        <v>1</v>
      </c>
      <c r="G585" s="8">
        <f t="shared" ca="1" si="295"/>
        <v>32</v>
      </c>
      <c r="H585" s="8">
        <f t="shared" ca="1" si="296"/>
        <v>2</v>
      </c>
      <c r="I585" s="8">
        <f t="shared" ca="1" si="297"/>
        <v>3</v>
      </c>
      <c r="J585" s="8">
        <f t="shared" ca="1" si="298"/>
        <v>5</v>
      </c>
      <c r="K585" s="8">
        <f t="shared" ca="1" si="299"/>
        <v>6</v>
      </c>
      <c r="L585" s="8">
        <f t="shared" ca="1" si="304"/>
        <v>0</v>
      </c>
      <c r="M585" s="8">
        <f t="shared" ca="1" si="305"/>
        <v>0</v>
      </c>
      <c r="N585" s="8">
        <f t="shared" ca="1" si="306"/>
        <v>1</v>
      </c>
      <c r="O585" s="8">
        <f t="shared" ca="1" si="307"/>
        <v>3</v>
      </c>
      <c r="P585" s="8">
        <f t="shared" ca="1" si="308"/>
        <v>2</v>
      </c>
      <c r="Q585" s="8">
        <f t="shared" ca="1" si="309"/>
        <v>4</v>
      </c>
      <c r="R585" s="8">
        <f t="shared" ca="1" si="310"/>
        <v>1</v>
      </c>
      <c r="S585" s="8">
        <f t="shared" ca="1" si="311"/>
        <v>3</v>
      </c>
      <c r="T585" s="8">
        <f t="shared" ca="1" si="312"/>
        <v>2</v>
      </c>
      <c r="U585" s="8">
        <f t="shared" ca="1" si="313"/>
        <v>0</v>
      </c>
      <c r="V585" s="8">
        <f t="shared" ca="1" si="314"/>
        <v>16</v>
      </c>
      <c r="W585" s="11">
        <f t="shared" ca="1" si="315"/>
        <v>0.66666666666666663</v>
      </c>
      <c r="X585" s="11">
        <f t="shared" ca="1" si="316"/>
        <v>0.83333333333333337</v>
      </c>
      <c r="Y585" s="11" t="str">
        <f t="shared" ca="1" si="317"/>
        <v/>
      </c>
      <c r="Z585" s="11">
        <f t="shared" ca="1" si="318"/>
        <v>0.77777777777777779</v>
      </c>
      <c r="AA585" s="11">
        <f t="shared" ca="1" si="319"/>
        <v>0.88888888888888884</v>
      </c>
      <c r="AB585" s="47">
        <f ca="1">PlayerGameData[[#This Row],[3FGA]]+PlayerGameData[[#This Row],[2FGA]]</f>
        <v>9</v>
      </c>
      <c r="AC585" s="47">
        <f ca="1">PlayerGameData[[#This Row],[OFF REB]]+PlayerGameData[[#This Row],[DEF REB]]</f>
        <v>4</v>
      </c>
      <c r="AD585" s="8">
        <f t="shared" si="300"/>
        <v>25</v>
      </c>
      <c r="AE585" s="8" t="str">
        <f t="shared" ca="1" si="301"/>
        <v>Chase Mills, 5 - Cokeville 3/3/2023</v>
      </c>
      <c r="AF585" s="8" t="str">
        <f t="shared" ca="1" si="320"/>
        <v/>
      </c>
      <c r="AG585" s="8" t="str">
        <f ca="1">IFERROR(IF(C585=0,"",IF(AND(VLOOKUP(PlayerGameData[[#This Row],[Opponent]],WYTeamInfo,2,FALSE)=Roster!$D$1,VLOOKUP(PlayerGameData[[#This Row],[Opponent]],WYTeamInfo,3,FALSE)=Roster!$D$2),"SR","")),"")</f>
        <v/>
      </c>
      <c r="AH585" s="8" t="str">
        <f>CONCATENATE(Roster!$D$1," ",Roster!$D$5)</f>
        <v>1A BB</v>
      </c>
      <c r="AI585" s="8" t="str">
        <f t="shared" ca="1" si="302"/>
        <v>Upton - Cokeville 3/3/2023</v>
      </c>
      <c r="AJ585" s="8">
        <f ca="1">IFERROR(VLOOKUP(PlayerGameData[[#This Row],[School, Opponent,Game'#]],Table3[],2,FALSE),0)</f>
        <v>1</v>
      </c>
      <c r="AK585" s="8">
        <f ca="1">IF(PlayerGameData[[#This Row],[Visible]]=1,1,1000)</f>
        <v>1</v>
      </c>
      <c r="AL585" s="8">
        <f ca="1">RANK(PlayerGameData[[#This Row],[TL PTS]],PlayerGameData[TL PTS],0)+PlayerGameData[[#This Row],[VisibleOrder]]</f>
        <v>26</v>
      </c>
      <c r="AM585" s="8">
        <f ca="1">IF(COUNTIF(PlayerGameData[PointOrder],PlayerGameData[[#This Row],[PointOrder]])&gt;1,RANK(PlayerGameData[[#This Row],[FGA]],PlayerGameData[FGA],0)/100,0)+PlayerGameData[[#This Row],[PointOrder]]</f>
        <v>26.59</v>
      </c>
      <c r="AN585" s="8">
        <f ca="1">RANK(PlayerGameData[[#This Row],[PointTieBreak]],PlayerGameData[PointTieBreak],1)</f>
        <v>28</v>
      </c>
      <c r="AO585" s="8">
        <f ca="1">RANK(PlayerGameData[[#This Row],[REB]],PlayerGameData[REB],0)+PlayerGameData[[#This Row],[VisibleOrder]]</f>
        <v>79</v>
      </c>
      <c r="AP585" s="8">
        <f ca="1">IF(COUNTIF(PlayerGameData[REBOrder],PlayerGameData[[#This Row],[REBOrder]])&gt;1,PlayerGameData[[#This Row],[PointRank]]/100+PlayerGameData[[#This Row],[REBOrder]],PlayerGameData[[#This Row],[REBOrder]])</f>
        <v>79.28</v>
      </c>
      <c r="AQ585" s="8">
        <f ca="1">RANK(PlayerGameData[[#This Row],[REBTieBreak]],PlayerGameData[REBTieBreak],1)</f>
        <v>83</v>
      </c>
      <c r="AR585" s="8">
        <f ca="1">RANK(PlayerGameData[[#This Row],[AST]],PlayerGameData[AST],0)+PlayerGameData[[#This Row],[VisibleOrder]]</f>
        <v>69</v>
      </c>
      <c r="AS585" s="8">
        <f ca="1">IF(COUNTIF(PlayerGameData[ASTOrder],PlayerGameData[[#This Row],[ASTOrder]])&gt;1,PlayerGameData[[#This Row],[PointRank]]/100+PlayerGameData[[#This Row],[ASTOrder]],PlayerGameData[[#This Row],[ASTOrder]])</f>
        <v>69.28</v>
      </c>
      <c r="AT585" s="8">
        <f ca="1">RANK(PlayerGameData[[#This Row],[ASTTieBreak]],PlayerGameData[ASTTieBreak],1)</f>
        <v>75</v>
      </c>
      <c r="AU585" s="8">
        <f ca="1">RANK(PlayerGameData[[#This Row],[STL]],PlayerGameData[STL],0)+PlayerGameData[[#This Row],[VisibleOrder]]</f>
        <v>10</v>
      </c>
      <c r="AV585" s="8">
        <f ca="1">IF(COUNTIF(PlayerGameData[STLOrder],PlayerGameData[[#This Row],[STLOrder]])&gt;1,PlayerGameData[[#This Row],[PointRank]]/100+PlayerGameData[[#This Row],[STLOrder]],PlayerGameData[[#This Row],[STLOrder]])</f>
        <v>10.28</v>
      </c>
      <c r="AW585" s="8">
        <f ca="1">RANK(PlayerGameData[[#This Row],[STLTieBreak]],PlayerGameData[STLTieBreak],1)</f>
        <v>16</v>
      </c>
      <c r="AX585" s="8">
        <f ca="1">RANK(PlayerGameData[[#This Row],[BLK]],PlayerGameData[BLK],0)+PlayerGameData[[#This Row],[VisibleOrder]]</f>
        <v>11</v>
      </c>
      <c r="AY585" s="8">
        <f ca="1">IF(COUNTIF(PlayerGameData[BLKOrder],PlayerGameData[[#This Row],[BLKOrder]])&gt;1,PlayerGameData[[#This Row],[PointRank]]/100+PlayerGameData[[#This Row],[BLKOrder]],PlayerGameData[[#This Row],[BLKOrder]])</f>
        <v>11.28</v>
      </c>
      <c r="AZ585" s="8">
        <f ca="1">RANK(PlayerGameData[[#This Row],[BLKTieBreak]],PlayerGameData[BLKTieBreak],1)</f>
        <v>12</v>
      </c>
      <c r="BA585" s="11">
        <f ca="1">IFERROR(IF(PlayerGameData[[#This Row],[FGA]]&gt;$AA$5,PlayerGameData[[#This Row],[FG%*]],PlayerGameData[[#This Row],[FG%*]]*-1),-2)</f>
        <v>0.77777777777777779</v>
      </c>
      <c r="BB585" s="8">
        <f ca="1">RANK(PlayerGameData[[#This Row],[EligFG]],PlayerGameData[EligFG],0)+PlayerGameData[[#This Row],[VisibleOrder]]</f>
        <v>7</v>
      </c>
      <c r="BC585" s="8">
        <f ca="1">IF(COUNTIF(PlayerGameData[EligFGOrder],PlayerGameData[[#This Row],[EligFGOrder]])&gt;1,PlayerGameData[[#This Row],[PointRank]]/100+PlayerGameData[[#This Row],[EligFGOrder]],PlayerGameData[[#This Row],[EligFGOrder]])</f>
        <v>7.28</v>
      </c>
      <c r="BD585" s="8">
        <f ca="1">RANK(PlayerGameData[[#This Row],[EligFGTieBreak]],PlayerGameData[EligFGTieBreak],1)</f>
        <v>7</v>
      </c>
      <c r="BE585" s="8" t="str">
        <f>Roster!$D$3</f>
        <v>East</v>
      </c>
      <c r="BF585" s="8" t="str">
        <f>Roster!$D$2</f>
        <v>Northeast</v>
      </c>
      <c r="BG585" s="8" t="str">
        <f>Roster!$D$4</f>
        <v>North</v>
      </c>
      <c r="BH585" s="197">
        <f ca="1">IFERROR(VLOOKUP(CONCATENATE(PlayerGameData[[#This Row],[Opponent]]," ",MONTH(PlayerGameData[[#This Row],[Date]]),"/",DAY(PlayerGameData[[#This Row],[Date]]),"/",YEAR(PlayerGameData[[#This Row],[Date]])),Table35[],2,FALSE),0)</f>
        <v>1</v>
      </c>
      <c r="BI585" s="197">
        <f ca="1">IF(PlayerGameData[[#This Row],[Visible]]=1,1,1000)</f>
        <v>1</v>
      </c>
      <c r="BJ585" s="197" t="e">
        <f ca="1">_xlfn.MAXIFS(TeamGameData[Win],TeamGameData[School, Opponent,Game'#],PlayerGameData[[#This Row],[School, Opponent,Game'#]])</f>
        <v>#NAME?</v>
      </c>
      <c r="BK585" s="197" t="e">
        <f ca="1">_xlfn.MAXIFS(TeamGameData[Loss],TeamGameData[School, Opponent,Game'#],PlayerGameData[[#This Row],[School, Opponent,Game'#]])</f>
        <v>#NAME?</v>
      </c>
    </row>
    <row r="586" spans="1:63" x14ac:dyDescent="0.25">
      <c r="A586" s="8" t="str">
        <f t="shared" ca="1" si="303"/>
        <v>Rhett Watt, 10</v>
      </c>
      <c r="B586" s="8" t="str">
        <f>Roster!$B$1</f>
        <v>Upton</v>
      </c>
      <c r="C586" s="8" t="str">
        <f t="shared" ca="1" si="291"/>
        <v>Cokeville</v>
      </c>
      <c r="D586" s="10">
        <f t="shared" ca="1" si="292"/>
        <v>44988</v>
      </c>
      <c r="E586" s="8">
        <f t="shared" ca="1" si="293"/>
        <v>1</v>
      </c>
      <c r="F586" s="8">
        <f t="shared" ca="1" si="294"/>
        <v>1</v>
      </c>
      <c r="G586" s="8">
        <f t="shared" ca="1" si="295"/>
        <v>29</v>
      </c>
      <c r="H586" s="8">
        <f t="shared" ca="1" si="296"/>
        <v>0</v>
      </c>
      <c r="I586" s="8">
        <f t="shared" ca="1" si="297"/>
        <v>1</v>
      </c>
      <c r="J586" s="8">
        <f t="shared" ca="1" si="298"/>
        <v>2</v>
      </c>
      <c r="K586" s="8">
        <f t="shared" ca="1" si="299"/>
        <v>4</v>
      </c>
      <c r="L586" s="8">
        <f t="shared" ca="1" si="304"/>
        <v>2</v>
      </c>
      <c r="M586" s="8">
        <f t="shared" ca="1" si="305"/>
        <v>2</v>
      </c>
      <c r="N586" s="8">
        <f t="shared" ca="1" si="306"/>
        <v>1</v>
      </c>
      <c r="O586" s="8">
        <f t="shared" ca="1" si="307"/>
        <v>1</v>
      </c>
      <c r="P586" s="8">
        <f t="shared" ca="1" si="308"/>
        <v>4</v>
      </c>
      <c r="Q586" s="8">
        <f t="shared" ca="1" si="309"/>
        <v>0</v>
      </c>
      <c r="R586" s="8">
        <f t="shared" ca="1" si="310"/>
        <v>0</v>
      </c>
      <c r="S586" s="8">
        <f t="shared" ca="1" si="311"/>
        <v>1</v>
      </c>
      <c r="T586" s="8">
        <f t="shared" ca="1" si="312"/>
        <v>1</v>
      </c>
      <c r="U586" s="8">
        <f t="shared" ca="1" si="313"/>
        <v>0</v>
      </c>
      <c r="V586" s="8">
        <f t="shared" ca="1" si="314"/>
        <v>6</v>
      </c>
      <c r="W586" s="11">
        <f t="shared" ca="1" si="315"/>
        <v>0</v>
      </c>
      <c r="X586" s="11">
        <f t="shared" ca="1" si="316"/>
        <v>0.5</v>
      </c>
      <c r="Y586" s="11">
        <f t="shared" ca="1" si="317"/>
        <v>1</v>
      </c>
      <c r="Z586" s="11">
        <f t="shared" ca="1" si="318"/>
        <v>0.4</v>
      </c>
      <c r="AA586" s="11">
        <f t="shared" ca="1" si="319"/>
        <v>0.4</v>
      </c>
      <c r="AB586" s="47">
        <f ca="1">PlayerGameData[[#This Row],[3FGA]]+PlayerGameData[[#This Row],[2FGA]]</f>
        <v>5</v>
      </c>
      <c r="AC586" s="47">
        <f ca="1">PlayerGameData[[#This Row],[OFF REB]]+PlayerGameData[[#This Row],[DEF REB]]</f>
        <v>2</v>
      </c>
      <c r="AD586" s="8">
        <f t="shared" si="300"/>
        <v>25</v>
      </c>
      <c r="AE586" s="8" t="str">
        <f t="shared" ca="1" si="301"/>
        <v>Rhett Watt, 10 - Cokeville 3/3/2023</v>
      </c>
      <c r="AF586" s="8" t="str">
        <f t="shared" ca="1" si="320"/>
        <v/>
      </c>
      <c r="AG586" s="8" t="str">
        <f ca="1">IFERROR(IF(C586=0,"",IF(AND(VLOOKUP(PlayerGameData[[#This Row],[Opponent]],WYTeamInfo,2,FALSE)=Roster!$D$1,VLOOKUP(PlayerGameData[[#This Row],[Opponent]],WYTeamInfo,3,FALSE)=Roster!$D$2),"SR","")),"")</f>
        <v/>
      </c>
      <c r="AH586" s="8" t="str">
        <f>CONCATENATE(Roster!$D$1," ",Roster!$D$5)</f>
        <v>1A BB</v>
      </c>
      <c r="AI586" s="8" t="str">
        <f t="shared" ca="1" si="302"/>
        <v>Upton - Cokeville 3/3/2023</v>
      </c>
      <c r="AJ586" s="8">
        <f ca="1">IFERROR(VLOOKUP(PlayerGameData[[#This Row],[School, Opponent,Game'#]],Table3[],2,FALSE),0)</f>
        <v>1</v>
      </c>
      <c r="AK586" s="8">
        <f ca="1">IF(PlayerGameData[[#This Row],[Visible]]=1,1,1000)</f>
        <v>1</v>
      </c>
      <c r="AL586" s="8">
        <f ca="1">RANK(PlayerGameData[[#This Row],[TL PTS]],PlayerGameData[TL PTS],0)+PlayerGameData[[#This Row],[VisibleOrder]]</f>
        <v>102</v>
      </c>
      <c r="AM586" s="8">
        <f ca="1">IF(COUNTIF(PlayerGameData[PointOrder],PlayerGameData[[#This Row],[PointOrder]])&gt;1,RANK(PlayerGameData[[#This Row],[FGA]],PlayerGameData[FGA],0)/100,0)+PlayerGameData[[#This Row],[PointOrder]]</f>
        <v>103.19</v>
      </c>
      <c r="AN586" s="8">
        <f ca="1">RANK(PlayerGameData[[#This Row],[PointTieBreak]],PlayerGameData[PointTieBreak],1)</f>
        <v>103</v>
      </c>
      <c r="AO586" s="8">
        <f ca="1">RANK(PlayerGameData[[#This Row],[REB]],PlayerGameData[REB],0)+PlayerGameData[[#This Row],[VisibleOrder]]</f>
        <v>137</v>
      </c>
      <c r="AP586" s="8">
        <f ca="1">IF(COUNTIF(PlayerGameData[REBOrder],PlayerGameData[[#This Row],[REBOrder]])&gt;1,PlayerGameData[[#This Row],[PointRank]]/100+PlayerGameData[[#This Row],[REBOrder]],PlayerGameData[[#This Row],[REBOrder]])</f>
        <v>138.03</v>
      </c>
      <c r="AQ586" s="8">
        <f ca="1">RANK(PlayerGameData[[#This Row],[REBTieBreak]],PlayerGameData[REBTieBreak],1)</f>
        <v>146</v>
      </c>
      <c r="AR586" s="8">
        <f ca="1">RANK(PlayerGameData[[#This Row],[AST]],PlayerGameData[AST],0)+PlayerGameData[[#This Row],[VisibleOrder]]</f>
        <v>24</v>
      </c>
      <c r="AS586" s="8">
        <f ca="1">IF(COUNTIF(PlayerGameData[ASTOrder],PlayerGameData[[#This Row],[ASTOrder]])&gt;1,PlayerGameData[[#This Row],[PointRank]]/100+PlayerGameData[[#This Row],[ASTOrder]],PlayerGameData[[#This Row],[ASTOrder]])</f>
        <v>25.03</v>
      </c>
      <c r="AT586" s="8">
        <f ca="1">RANK(PlayerGameData[[#This Row],[ASTTieBreak]],PlayerGameData[ASTTieBreak],1)</f>
        <v>35</v>
      </c>
      <c r="AU586" s="8">
        <f ca="1">RANK(PlayerGameData[[#This Row],[STL]],PlayerGameData[STL],0)+PlayerGameData[[#This Row],[VisibleOrder]]</f>
        <v>143</v>
      </c>
      <c r="AV586" s="8">
        <f ca="1">IF(COUNTIF(PlayerGameData[STLOrder],PlayerGameData[[#This Row],[STLOrder]])&gt;1,PlayerGameData[[#This Row],[PointRank]]/100+PlayerGameData[[#This Row],[STLOrder]],PlayerGameData[[#This Row],[STLOrder]])</f>
        <v>144.03</v>
      </c>
      <c r="AW586" s="8">
        <f ca="1">RANK(PlayerGameData[[#This Row],[STLTieBreak]],PlayerGameData[STLTieBreak],1)</f>
        <v>157</v>
      </c>
      <c r="AX586" s="8">
        <f ca="1">RANK(PlayerGameData[[#This Row],[BLK]],PlayerGameData[BLK],0)+PlayerGameData[[#This Row],[VisibleOrder]]</f>
        <v>32</v>
      </c>
      <c r="AY586" s="8">
        <f ca="1">IF(COUNTIF(PlayerGameData[BLKOrder],PlayerGameData[[#This Row],[BLKOrder]])&gt;1,PlayerGameData[[#This Row],[PointRank]]/100+PlayerGameData[[#This Row],[BLKOrder]],PlayerGameData[[#This Row],[BLKOrder]])</f>
        <v>33.03</v>
      </c>
      <c r="AZ586" s="8">
        <f ca="1">RANK(PlayerGameData[[#This Row],[BLKTieBreak]],PlayerGameData[BLKTieBreak],1)</f>
        <v>110</v>
      </c>
      <c r="BA586" s="11">
        <f ca="1">IFERROR(IF(PlayerGameData[[#This Row],[FGA]]&gt;$AA$5,PlayerGameData[[#This Row],[FG%*]],PlayerGameData[[#This Row],[FG%*]]*-1),-2)</f>
        <v>-0.4</v>
      </c>
      <c r="BB586" s="8">
        <f ca="1">RANK(PlayerGameData[[#This Row],[EligFG]],PlayerGameData[EligFG],0)+PlayerGameData[[#This Row],[VisibleOrder]]</f>
        <v>176</v>
      </c>
      <c r="BC586" s="8">
        <f ca="1">IF(COUNTIF(PlayerGameData[EligFGOrder],PlayerGameData[[#This Row],[EligFGOrder]])&gt;1,PlayerGameData[[#This Row],[PointRank]]/100+PlayerGameData[[#This Row],[EligFGOrder]],PlayerGameData[[#This Row],[EligFGOrder]])</f>
        <v>177.03</v>
      </c>
      <c r="BD586" s="8">
        <f ca="1">RANK(PlayerGameData[[#This Row],[EligFGTieBreak]],PlayerGameData[EligFGTieBreak],1)</f>
        <v>176</v>
      </c>
      <c r="BE586" s="8" t="str">
        <f>Roster!$D$3</f>
        <v>East</v>
      </c>
      <c r="BF586" s="8" t="str">
        <f>Roster!$D$2</f>
        <v>Northeast</v>
      </c>
      <c r="BG586" s="8" t="str">
        <f>Roster!$D$4</f>
        <v>North</v>
      </c>
      <c r="BH586" s="197">
        <f ca="1">IFERROR(VLOOKUP(CONCATENATE(PlayerGameData[[#This Row],[Opponent]]," ",MONTH(PlayerGameData[[#This Row],[Date]]),"/",DAY(PlayerGameData[[#This Row],[Date]]),"/",YEAR(PlayerGameData[[#This Row],[Date]])),Table35[],2,FALSE),0)</f>
        <v>1</v>
      </c>
      <c r="BI586" s="197">
        <f ca="1">IF(PlayerGameData[[#This Row],[Visible]]=1,1,1000)</f>
        <v>1</v>
      </c>
      <c r="BJ586" s="197" t="e">
        <f ca="1">_xlfn.MAXIFS(TeamGameData[Win],TeamGameData[School, Opponent,Game'#],PlayerGameData[[#This Row],[School, Opponent,Game'#]])</f>
        <v>#NAME?</v>
      </c>
      <c r="BK586" s="197" t="e">
        <f ca="1">_xlfn.MAXIFS(TeamGameData[Loss],TeamGameData[School, Opponent,Game'#],PlayerGameData[[#This Row],[School, Opponent,Game'#]])</f>
        <v>#NAME?</v>
      </c>
    </row>
    <row r="587" spans="1:63" x14ac:dyDescent="0.25">
      <c r="A587" s="8" t="str">
        <f t="shared" ca="1" si="303"/>
        <v>Keith Coburn, 11</v>
      </c>
      <c r="B587" s="8" t="str">
        <f>Roster!$B$1</f>
        <v>Upton</v>
      </c>
      <c r="C587" s="8" t="str">
        <f t="shared" ca="1" si="291"/>
        <v>Cokeville</v>
      </c>
      <c r="D587" s="10">
        <f t="shared" ca="1" si="292"/>
        <v>44988</v>
      </c>
      <c r="E587" s="8">
        <f t="shared" ca="1" si="293"/>
        <v>0</v>
      </c>
      <c r="F587" s="8">
        <f t="shared" ca="1" si="294"/>
        <v>0</v>
      </c>
      <c r="G587" s="8">
        <f t="shared" ca="1" si="295"/>
        <v>0</v>
      </c>
      <c r="H587" s="8">
        <f t="shared" ca="1" si="296"/>
        <v>0</v>
      </c>
      <c r="I587" s="8">
        <f t="shared" ca="1" si="297"/>
        <v>0</v>
      </c>
      <c r="J587" s="8">
        <f t="shared" ca="1" si="298"/>
        <v>0</v>
      </c>
      <c r="K587" s="8">
        <f t="shared" ca="1" si="299"/>
        <v>0</v>
      </c>
      <c r="L587" s="8">
        <f t="shared" ca="1" si="304"/>
        <v>0</v>
      </c>
      <c r="M587" s="8">
        <f t="shared" ca="1" si="305"/>
        <v>0</v>
      </c>
      <c r="N587" s="8">
        <f t="shared" ca="1" si="306"/>
        <v>0</v>
      </c>
      <c r="O587" s="8">
        <f t="shared" ca="1" si="307"/>
        <v>0</v>
      </c>
      <c r="P587" s="8">
        <f t="shared" ca="1" si="308"/>
        <v>0</v>
      </c>
      <c r="Q587" s="8">
        <f t="shared" ca="1" si="309"/>
        <v>0</v>
      </c>
      <c r="R587" s="8">
        <f t="shared" ca="1" si="310"/>
        <v>0</v>
      </c>
      <c r="S587" s="8">
        <f t="shared" ca="1" si="311"/>
        <v>0</v>
      </c>
      <c r="T587" s="8">
        <f t="shared" ca="1" si="312"/>
        <v>0</v>
      </c>
      <c r="U587" s="8">
        <f t="shared" ca="1" si="313"/>
        <v>0</v>
      </c>
      <c r="V587" s="8">
        <f t="shared" ca="1" si="314"/>
        <v>0</v>
      </c>
      <c r="W587" s="11" t="str">
        <f t="shared" ca="1" si="315"/>
        <v/>
      </c>
      <c r="X587" s="11" t="str">
        <f t="shared" ca="1" si="316"/>
        <v/>
      </c>
      <c r="Y587" s="11" t="str">
        <f t="shared" ca="1" si="317"/>
        <v/>
      </c>
      <c r="Z587" s="11" t="str">
        <f t="shared" ca="1" si="318"/>
        <v/>
      </c>
      <c r="AA587" s="11" t="str">
        <f t="shared" ca="1" si="319"/>
        <v/>
      </c>
      <c r="AB587" s="47">
        <f ca="1">PlayerGameData[[#This Row],[3FGA]]+PlayerGameData[[#This Row],[2FGA]]</f>
        <v>0</v>
      </c>
      <c r="AC587" s="47">
        <f ca="1">PlayerGameData[[#This Row],[OFF REB]]+PlayerGameData[[#This Row],[DEF REB]]</f>
        <v>0</v>
      </c>
      <c r="AD587" s="8">
        <f t="shared" si="300"/>
        <v>25</v>
      </c>
      <c r="AE587" s="8" t="str">
        <f t="shared" ca="1" si="301"/>
        <v>Keith Coburn, 11 - Cokeville 3/3/2023</v>
      </c>
      <c r="AF587" s="8" t="str">
        <f t="shared" ca="1" si="320"/>
        <v/>
      </c>
      <c r="AG587" s="8" t="str">
        <f ca="1">IFERROR(IF(C587=0,"",IF(AND(VLOOKUP(PlayerGameData[[#This Row],[Opponent]],WYTeamInfo,2,FALSE)=Roster!$D$1,VLOOKUP(PlayerGameData[[#This Row],[Opponent]],WYTeamInfo,3,FALSE)=Roster!$D$2),"SR","")),"")</f>
        <v/>
      </c>
      <c r="AH587" s="8" t="str">
        <f>CONCATENATE(Roster!$D$1," ",Roster!$D$5)</f>
        <v>1A BB</v>
      </c>
      <c r="AI587" s="8" t="str">
        <f t="shared" ca="1" si="302"/>
        <v>Upton - Cokeville 3/3/2023</v>
      </c>
      <c r="AJ587" s="8">
        <f ca="1">IFERROR(VLOOKUP(PlayerGameData[[#This Row],[School, Opponent,Game'#]],Table3[],2,FALSE),0)</f>
        <v>1</v>
      </c>
      <c r="AK587" s="8">
        <f ca="1">IF(PlayerGameData[[#This Row],[Visible]]=1,1,1000)</f>
        <v>1</v>
      </c>
      <c r="AL587" s="8">
        <f ca="1">RANK(PlayerGameData[[#This Row],[TL PTS]],PlayerGameData[TL PTS],0)+PlayerGameData[[#This Row],[VisibleOrder]]</f>
        <v>185</v>
      </c>
      <c r="AM587" s="8">
        <f ca="1">IF(COUNTIF(PlayerGameData[PointOrder],PlayerGameData[[#This Row],[PointOrder]])&gt;1,RANK(PlayerGameData[[#This Row],[FGA]],PlayerGameData[FGA],0)/100,0)+PlayerGameData[[#This Row],[PointOrder]]</f>
        <v>187.14</v>
      </c>
      <c r="AN587" s="8">
        <f ca="1">RANK(PlayerGameData[[#This Row],[PointTieBreak]],PlayerGameData[PointTieBreak],1)</f>
        <v>216</v>
      </c>
      <c r="AO587" s="8">
        <f ca="1">RANK(PlayerGameData[[#This Row],[REB]],PlayerGameData[REB],0)+PlayerGameData[[#This Row],[VisibleOrder]]</f>
        <v>192</v>
      </c>
      <c r="AP587" s="8">
        <f ca="1">IF(COUNTIF(PlayerGameData[REBOrder],PlayerGameData[[#This Row],[REBOrder]])&gt;1,PlayerGameData[[#This Row],[PointRank]]/100+PlayerGameData[[#This Row],[REBOrder]],PlayerGameData[[#This Row],[REBOrder]])</f>
        <v>194.16</v>
      </c>
      <c r="AQ587" s="8">
        <f ca="1">RANK(PlayerGameData[[#This Row],[REBTieBreak]],PlayerGameData[REBTieBreak],1)</f>
        <v>224</v>
      </c>
      <c r="AR587" s="8">
        <f ca="1">RANK(PlayerGameData[[#This Row],[AST]],PlayerGameData[AST],0)+PlayerGameData[[#This Row],[VisibleOrder]]</f>
        <v>158</v>
      </c>
      <c r="AS587" s="8">
        <f ca="1">IF(COUNTIF(PlayerGameData[ASTOrder],PlayerGameData[[#This Row],[ASTOrder]])&gt;1,PlayerGameData[[#This Row],[PointRank]]/100+PlayerGameData[[#This Row],[ASTOrder]],PlayerGameData[[#This Row],[ASTOrder]])</f>
        <v>160.16</v>
      </c>
      <c r="AT587" s="8">
        <f ca="1">RANK(PlayerGameData[[#This Row],[ASTTieBreak]],PlayerGameData[ASTTieBreak],1)</f>
        <v>221</v>
      </c>
      <c r="AU587" s="8">
        <f ca="1">RANK(PlayerGameData[[#This Row],[STL]],PlayerGameData[STL],0)+PlayerGameData[[#This Row],[VisibleOrder]]</f>
        <v>143</v>
      </c>
      <c r="AV587" s="8">
        <f ca="1">IF(COUNTIF(PlayerGameData[STLOrder],PlayerGameData[[#This Row],[STLOrder]])&gt;1,PlayerGameData[[#This Row],[PointRank]]/100+PlayerGameData[[#This Row],[STLOrder]],PlayerGameData[[#This Row],[STLOrder]])</f>
        <v>145.16</v>
      </c>
      <c r="AW587" s="8">
        <f ca="1">RANK(PlayerGameData[[#This Row],[STLTieBreak]],PlayerGameData[STLTieBreak],1)</f>
        <v>217</v>
      </c>
      <c r="AX587" s="8">
        <f ca="1">RANK(PlayerGameData[[#This Row],[BLK]],PlayerGameData[BLK],0)+PlayerGameData[[#This Row],[VisibleOrder]]</f>
        <v>32</v>
      </c>
      <c r="AY587" s="8">
        <f ca="1">IF(COUNTIF(PlayerGameData[BLKOrder],PlayerGameData[[#This Row],[BLKOrder]])&gt;1,PlayerGameData[[#This Row],[PointRank]]/100+PlayerGameData[[#This Row],[BLKOrder]],PlayerGameData[[#This Row],[BLKOrder]])</f>
        <v>34.159999999999997</v>
      </c>
      <c r="AZ587" s="8">
        <f ca="1">RANK(PlayerGameData[[#This Row],[BLKTieBreak]],PlayerGameData[BLKTieBreak],1)</f>
        <v>216</v>
      </c>
      <c r="BA587" s="11">
        <f ca="1">IFERROR(IF(PlayerGameData[[#This Row],[FGA]]&gt;$AA$5,PlayerGameData[[#This Row],[FG%*]],PlayerGameData[[#This Row],[FG%*]]*-1),-2)</f>
        <v>-2</v>
      </c>
      <c r="BB587" s="8">
        <f ca="1">RANK(PlayerGameData[[#This Row],[EligFG]],PlayerGameData[EligFG],0)+PlayerGameData[[#This Row],[VisibleOrder]]</f>
        <v>215</v>
      </c>
      <c r="BC587" s="8">
        <f ca="1">IF(COUNTIF(PlayerGameData[EligFGOrder],PlayerGameData[[#This Row],[EligFGOrder]])&gt;1,PlayerGameData[[#This Row],[PointRank]]/100+PlayerGameData[[#This Row],[EligFGOrder]],PlayerGameData[[#This Row],[EligFGOrder]])</f>
        <v>217.16</v>
      </c>
      <c r="BD587" s="8">
        <f ca="1">RANK(PlayerGameData[[#This Row],[EligFGTieBreak]],PlayerGameData[EligFGTieBreak],1)</f>
        <v>216</v>
      </c>
      <c r="BE587" s="8" t="str">
        <f>Roster!$D$3</f>
        <v>East</v>
      </c>
      <c r="BF587" s="8" t="str">
        <f>Roster!$D$2</f>
        <v>Northeast</v>
      </c>
      <c r="BG587" s="8" t="str">
        <f>Roster!$D$4</f>
        <v>North</v>
      </c>
      <c r="BH587" s="197">
        <f ca="1">IFERROR(VLOOKUP(CONCATENATE(PlayerGameData[[#This Row],[Opponent]]," ",MONTH(PlayerGameData[[#This Row],[Date]]),"/",DAY(PlayerGameData[[#This Row],[Date]]),"/",YEAR(PlayerGameData[[#This Row],[Date]])),Table35[],2,FALSE),0)</f>
        <v>1</v>
      </c>
      <c r="BI587" s="197">
        <f ca="1">IF(PlayerGameData[[#This Row],[Visible]]=1,1,1000)</f>
        <v>1</v>
      </c>
      <c r="BJ587" s="197" t="e">
        <f ca="1">_xlfn.MAXIFS(TeamGameData[Win],TeamGameData[School, Opponent,Game'#],PlayerGameData[[#This Row],[School, Opponent,Game'#]])</f>
        <v>#NAME?</v>
      </c>
      <c r="BK587" s="197" t="e">
        <f ca="1">_xlfn.MAXIFS(TeamGameData[Loss],TeamGameData[School, Opponent,Game'#],PlayerGameData[[#This Row],[School, Opponent,Game'#]])</f>
        <v>#NAME?</v>
      </c>
    </row>
    <row r="588" spans="1:63" x14ac:dyDescent="0.25">
      <c r="A588" s="8" t="str">
        <f t="shared" ca="1" si="303"/>
        <v>Carson Barritt, 14</v>
      </c>
      <c r="B588" s="8" t="str">
        <f>Roster!$B$1</f>
        <v>Upton</v>
      </c>
      <c r="C588" s="8" t="str">
        <f t="shared" ca="1" si="291"/>
        <v>Cokeville</v>
      </c>
      <c r="D588" s="10">
        <f t="shared" ca="1" si="292"/>
        <v>44988</v>
      </c>
      <c r="E588" s="8">
        <f t="shared" ca="1" si="293"/>
        <v>0</v>
      </c>
      <c r="F588" s="8">
        <f t="shared" ca="1" si="294"/>
        <v>0</v>
      </c>
      <c r="G588" s="8">
        <f t="shared" ca="1" si="295"/>
        <v>0</v>
      </c>
      <c r="H588" s="8">
        <f t="shared" ca="1" si="296"/>
        <v>0</v>
      </c>
      <c r="I588" s="8">
        <f t="shared" ca="1" si="297"/>
        <v>0</v>
      </c>
      <c r="J588" s="8">
        <f t="shared" ca="1" si="298"/>
        <v>0</v>
      </c>
      <c r="K588" s="8">
        <f t="shared" ca="1" si="299"/>
        <v>0</v>
      </c>
      <c r="L588" s="8">
        <f t="shared" ca="1" si="304"/>
        <v>0</v>
      </c>
      <c r="M588" s="8">
        <f t="shared" ca="1" si="305"/>
        <v>0</v>
      </c>
      <c r="N588" s="8">
        <f t="shared" ca="1" si="306"/>
        <v>0</v>
      </c>
      <c r="O588" s="8">
        <f t="shared" ca="1" si="307"/>
        <v>0</v>
      </c>
      <c r="P588" s="8">
        <f t="shared" ca="1" si="308"/>
        <v>0</v>
      </c>
      <c r="Q588" s="8">
        <f t="shared" ca="1" si="309"/>
        <v>0</v>
      </c>
      <c r="R588" s="8">
        <f t="shared" ca="1" si="310"/>
        <v>0</v>
      </c>
      <c r="S588" s="8">
        <f t="shared" ca="1" si="311"/>
        <v>0</v>
      </c>
      <c r="T588" s="8">
        <f t="shared" ca="1" si="312"/>
        <v>0</v>
      </c>
      <c r="U588" s="8">
        <f t="shared" ca="1" si="313"/>
        <v>0</v>
      </c>
      <c r="V588" s="8">
        <f t="shared" ca="1" si="314"/>
        <v>0</v>
      </c>
      <c r="W588" s="11" t="str">
        <f t="shared" ca="1" si="315"/>
        <v/>
      </c>
      <c r="X588" s="11" t="str">
        <f t="shared" ca="1" si="316"/>
        <v/>
      </c>
      <c r="Y588" s="11" t="str">
        <f t="shared" ca="1" si="317"/>
        <v/>
      </c>
      <c r="Z588" s="11" t="str">
        <f t="shared" ca="1" si="318"/>
        <v/>
      </c>
      <c r="AA588" s="11" t="str">
        <f t="shared" ca="1" si="319"/>
        <v/>
      </c>
      <c r="AB588" s="47">
        <f ca="1">PlayerGameData[[#This Row],[3FGA]]+PlayerGameData[[#This Row],[2FGA]]</f>
        <v>0</v>
      </c>
      <c r="AC588" s="47">
        <f ca="1">PlayerGameData[[#This Row],[OFF REB]]+PlayerGameData[[#This Row],[DEF REB]]</f>
        <v>0</v>
      </c>
      <c r="AD588" s="8">
        <f t="shared" si="300"/>
        <v>25</v>
      </c>
      <c r="AE588" s="8" t="str">
        <f t="shared" ca="1" si="301"/>
        <v>Carson Barritt, 14 - Cokeville 3/3/2023</v>
      </c>
      <c r="AF588" s="8" t="str">
        <f t="shared" ca="1" si="320"/>
        <v/>
      </c>
      <c r="AG588" s="8" t="str">
        <f ca="1">IFERROR(IF(C588=0,"",IF(AND(VLOOKUP(PlayerGameData[[#This Row],[Opponent]],WYTeamInfo,2,FALSE)=Roster!$D$1,VLOOKUP(PlayerGameData[[#This Row],[Opponent]],WYTeamInfo,3,FALSE)=Roster!$D$2),"SR","")),"")</f>
        <v/>
      </c>
      <c r="AH588" s="8" t="str">
        <f>CONCATENATE(Roster!$D$1," ",Roster!$D$5)</f>
        <v>1A BB</v>
      </c>
      <c r="AI588" s="8" t="str">
        <f t="shared" ca="1" si="302"/>
        <v>Upton - Cokeville 3/3/2023</v>
      </c>
      <c r="AJ588" s="8">
        <f ca="1">IFERROR(VLOOKUP(PlayerGameData[[#This Row],[School, Opponent,Game'#]],Table3[],2,FALSE),0)</f>
        <v>1</v>
      </c>
      <c r="AK588" s="8">
        <f ca="1">IF(PlayerGameData[[#This Row],[Visible]]=1,1,1000)</f>
        <v>1</v>
      </c>
      <c r="AL588" s="8">
        <f ca="1">RANK(PlayerGameData[[#This Row],[TL PTS]],PlayerGameData[TL PTS],0)+PlayerGameData[[#This Row],[VisibleOrder]]</f>
        <v>185</v>
      </c>
      <c r="AM588" s="8">
        <f ca="1">IF(COUNTIF(PlayerGameData[PointOrder],PlayerGameData[[#This Row],[PointOrder]])&gt;1,RANK(PlayerGameData[[#This Row],[FGA]],PlayerGameData[FGA],0)/100,0)+PlayerGameData[[#This Row],[PointOrder]]</f>
        <v>187.14</v>
      </c>
      <c r="AN588" s="8">
        <f ca="1">RANK(PlayerGameData[[#This Row],[PointTieBreak]],PlayerGameData[PointTieBreak],1)</f>
        <v>216</v>
      </c>
      <c r="AO588" s="8">
        <f ca="1">RANK(PlayerGameData[[#This Row],[REB]],PlayerGameData[REB],0)+PlayerGameData[[#This Row],[VisibleOrder]]</f>
        <v>192</v>
      </c>
      <c r="AP588" s="8">
        <f ca="1">IF(COUNTIF(PlayerGameData[REBOrder],PlayerGameData[[#This Row],[REBOrder]])&gt;1,PlayerGameData[[#This Row],[PointRank]]/100+PlayerGameData[[#This Row],[REBOrder]],PlayerGameData[[#This Row],[REBOrder]])</f>
        <v>194.16</v>
      </c>
      <c r="AQ588" s="8">
        <f ca="1">RANK(PlayerGameData[[#This Row],[REBTieBreak]],PlayerGameData[REBTieBreak],1)</f>
        <v>224</v>
      </c>
      <c r="AR588" s="8">
        <f ca="1">RANK(PlayerGameData[[#This Row],[AST]],PlayerGameData[AST],0)+PlayerGameData[[#This Row],[VisibleOrder]]</f>
        <v>158</v>
      </c>
      <c r="AS588" s="8">
        <f ca="1">IF(COUNTIF(PlayerGameData[ASTOrder],PlayerGameData[[#This Row],[ASTOrder]])&gt;1,PlayerGameData[[#This Row],[PointRank]]/100+PlayerGameData[[#This Row],[ASTOrder]],PlayerGameData[[#This Row],[ASTOrder]])</f>
        <v>160.16</v>
      </c>
      <c r="AT588" s="8">
        <f ca="1">RANK(PlayerGameData[[#This Row],[ASTTieBreak]],PlayerGameData[ASTTieBreak],1)</f>
        <v>221</v>
      </c>
      <c r="AU588" s="8">
        <f ca="1">RANK(PlayerGameData[[#This Row],[STL]],PlayerGameData[STL],0)+PlayerGameData[[#This Row],[VisibleOrder]]</f>
        <v>143</v>
      </c>
      <c r="AV588" s="8">
        <f ca="1">IF(COUNTIF(PlayerGameData[STLOrder],PlayerGameData[[#This Row],[STLOrder]])&gt;1,PlayerGameData[[#This Row],[PointRank]]/100+PlayerGameData[[#This Row],[STLOrder]],PlayerGameData[[#This Row],[STLOrder]])</f>
        <v>145.16</v>
      </c>
      <c r="AW588" s="8">
        <f ca="1">RANK(PlayerGameData[[#This Row],[STLTieBreak]],PlayerGameData[STLTieBreak],1)</f>
        <v>217</v>
      </c>
      <c r="AX588" s="8">
        <f ca="1">RANK(PlayerGameData[[#This Row],[BLK]],PlayerGameData[BLK],0)+PlayerGameData[[#This Row],[VisibleOrder]]</f>
        <v>32</v>
      </c>
      <c r="AY588" s="8">
        <f ca="1">IF(COUNTIF(PlayerGameData[BLKOrder],PlayerGameData[[#This Row],[BLKOrder]])&gt;1,PlayerGameData[[#This Row],[PointRank]]/100+PlayerGameData[[#This Row],[BLKOrder]],PlayerGameData[[#This Row],[BLKOrder]])</f>
        <v>34.159999999999997</v>
      </c>
      <c r="AZ588" s="8">
        <f ca="1">RANK(PlayerGameData[[#This Row],[BLKTieBreak]],PlayerGameData[BLKTieBreak],1)</f>
        <v>216</v>
      </c>
      <c r="BA588" s="11">
        <f ca="1">IFERROR(IF(PlayerGameData[[#This Row],[FGA]]&gt;$AA$5,PlayerGameData[[#This Row],[FG%*]],PlayerGameData[[#This Row],[FG%*]]*-1),-2)</f>
        <v>-2</v>
      </c>
      <c r="BB588" s="8">
        <f ca="1">RANK(PlayerGameData[[#This Row],[EligFG]],PlayerGameData[EligFG],0)+PlayerGameData[[#This Row],[VisibleOrder]]</f>
        <v>215</v>
      </c>
      <c r="BC588" s="8">
        <f ca="1">IF(COUNTIF(PlayerGameData[EligFGOrder],PlayerGameData[[#This Row],[EligFGOrder]])&gt;1,PlayerGameData[[#This Row],[PointRank]]/100+PlayerGameData[[#This Row],[EligFGOrder]],PlayerGameData[[#This Row],[EligFGOrder]])</f>
        <v>217.16</v>
      </c>
      <c r="BD588" s="8">
        <f ca="1">RANK(PlayerGameData[[#This Row],[EligFGTieBreak]],PlayerGameData[EligFGTieBreak],1)</f>
        <v>216</v>
      </c>
      <c r="BE588" s="8" t="str">
        <f>Roster!$D$3</f>
        <v>East</v>
      </c>
      <c r="BF588" s="8" t="str">
        <f>Roster!$D$2</f>
        <v>Northeast</v>
      </c>
      <c r="BG588" s="8" t="str">
        <f>Roster!$D$4</f>
        <v>North</v>
      </c>
      <c r="BH588" s="197">
        <f ca="1">IFERROR(VLOOKUP(CONCATENATE(PlayerGameData[[#This Row],[Opponent]]," ",MONTH(PlayerGameData[[#This Row],[Date]]),"/",DAY(PlayerGameData[[#This Row],[Date]]),"/",YEAR(PlayerGameData[[#This Row],[Date]])),Table35[],2,FALSE),0)</f>
        <v>1</v>
      </c>
      <c r="BI588" s="197">
        <f ca="1">IF(PlayerGameData[[#This Row],[Visible]]=1,1,1000)</f>
        <v>1</v>
      </c>
      <c r="BJ588" s="197" t="e">
        <f ca="1">_xlfn.MAXIFS(TeamGameData[Win],TeamGameData[School, Opponent,Game'#],PlayerGameData[[#This Row],[School, Opponent,Game'#]])</f>
        <v>#NAME?</v>
      </c>
      <c r="BK588" s="197" t="e">
        <f ca="1">_xlfn.MAXIFS(TeamGameData[Loss],TeamGameData[School, Opponent,Game'#],PlayerGameData[[#This Row],[School, Opponent,Game'#]])</f>
        <v>#NAME?</v>
      </c>
    </row>
    <row r="589" spans="1:63" x14ac:dyDescent="0.25">
      <c r="A589" s="8" t="str">
        <f t="shared" ca="1" si="303"/>
        <v>Ben Carpenter, 21</v>
      </c>
      <c r="B589" s="8" t="str">
        <f>Roster!$B$1</f>
        <v>Upton</v>
      </c>
      <c r="C589" s="8" t="str">
        <f t="shared" ca="1" si="291"/>
        <v>Cokeville</v>
      </c>
      <c r="D589" s="10">
        <f t="shared" ca="1" si="292"/>
        <v>44988</v>
      </c>
      <c r="E589" s="8">
        <f t="shared" ca="1" si="293"/>
        <v>0</v>
      </c>
      <c r="F589" s="8">
        <f t="shared" ca="1" si="294"/>
        <v>0</v>
      </c>
      <c r="G589" s="8">
        <f t="shared" ca="1" si="295"/>
        <v>0</v>
      </c>
      <c r="H589" s="8">
        <f t="shared" ca="1" si="296"/>
        <v>0</v>
      </c>
      <c r="I589" s="8">
        <f t="shared" ca="1" si="297"/>
        <v>0</v>
      </c>
      <c r="J589" s="8">
        <f t="shared" ca="1" si="298"/>
        <v>0</v>
      </c>
      <c r="K589" s="8">
        <f t="shared" ca="1" si="299"/>
        <v>0</v>
      </c>
      <c r="L589" s="8">
        <f t="shared" ca="1" si="304"/>
        <v>0</v>
      </c>
      <c r="M589" s="8">
        <f t="shared" ca="1" si="305"/>
        <v>0</v>
      </c>
      <c r="N589" s="8">
        <f t="shared" ca="1" si="306"/>
        <v>0</v>
      </c>
      <c r="O589" s="8">
        <f t="shared" ca="1" si="307"/>
        <v>0</v>
      </c>
      <c r="P589" s="8">
        <f t="shared" ca="1" si="308"/>
        <v>0</v>
      </c>
      <c r="Q589" s="8">
        <f t="shared" ca="1" si="309"/>
        <v>0</v>
      </c>
      <c r="R589" s="8">
        <f t="shared" ca="1" si="310"/>
        <v>0</v>
      </c>
      <c r="S589" s="8">
        <f t="shared" ca="1" si="311"/>
        <v>0</v>
      </c>
      <c r="T589" s="8">
        <f t="shared" ca="1" si="312"/>
        <v>0</v>
      </c>
      <c r="U589" s="8">
        <f t="shared" ca="1" si="313"/>
        <v>0</v>
      </c>
      <c r="V589" s="8">
        <f t="shared" ca="1" si="314"/>
        <v>0</v>
      </c>
      <c r="W589" s="11" t="str">
        <f t="shared" ca="1" si="315"/>
        <v/>
      </c>
      <c r="X589" s="11" t="str">
        <f t="shared" ca="1" si="316"/>
        <v/>
      </c>
      <c r="Y589" s="11" t="str">
        <f t="shared" ca="1" si="317"/>
        <v/>
      </c>
      <c r="Z589" s="11" t="str">
        <f t="shared" ca="1" si="318"/>
        <v/>
      </c>
      <c r="AA589" s="11" t="str">
        <f t="shared" ca="1" si="319"/>
        <v/>
      </c>
      <c r="AB589" s="47">
        <f ca="1">PlayerGameData[[#This Row],[3FGA]]+PlayerGameData[[#This Row],[2FGA]]</f>
        <v>0</v>
      </c>
      <c r="AC589" s="47">
        <f ca="1">PlayerGameData[[#This Row],[OFF REB]]+PlayerGameData[[#This Row],[DEF REB]]</f>
        <v>0</v>
      </c>
      <c r="AD589" s="8">
        <f t="shared" si="300"/>
        <v>25</v>
      </c>
      <c r="AE589" s="8" t="str">
        <f t="shared" ca="1" si="301"/>
        <v>Ben Carpenter, 21 - Cokeville 3/3/2023</v>
      </c>
      <c r="AF589" s="8" t="str">
        <f t="shared" ca="1" si="320"/>
        <v/>
      </c>
      <c r="AG589" s="8" t="str">
        <f ca="1">IFERROR(IF(C589=0,"",IF(AND(VLOOKUP(PlayerGameData[[#This Row],[Opponent]],WYTeamInfo,2,FALSE)=Roster!$D$1,VLOOKUP(PlayerGameData[[#This Row],[Opponent]],WYTeamInfo,3,FALSE)=Roster!$D$2),"SR","")),"")</f>
        <v/>
      </c>
      <c r="AH589" s="8" t="str">
        <f>CONCATENATE(Roster!$D$1," ",Roster!$D$5)</f>
        <v>1A BB</v>
      </c>
      <c r="AI589" s="8" t="str">
        <f t="shared" ca="1" si="302"/>
        <v>Upton - Cokeville 3/3/2023</v>
      </c>
      <c r="AJ589" s="8">
        <f ca="1">IFERROR(VLOOKUP(PlayerGameData[[#This Row],[School, Opponent,Game'#]],Table3[],2,FALSE),0)</f>
        <v>1</v>
      </c>
      <c r="AK589" s="8">
        <f ca="1">IF(PlayerGameData[[#This Row],[Visible]]=1,1,1000)</f>
        <v>1</v>
      </c>
      <c r="AL589" s="8">
        <f ca="1">RANK(PlayerGameData[[#This Row],[TL PTS]],PlayerGameData[TL PTS],0)+PlayerGameData[[#This Row],[VisibleOrder]]</f>
        <v>185</v>
      </c>
      <c r="AM589" s="8">
        <f ca="1">IF(COUNTIF(PlayerGameData[PointOrder],PlayerGameData[[#This Row],[PointOrder]])&gt;1,RANK(PlayerGameData[[#This Row],[FGA]],PlayerGameData[FGA],0)/100,0)+PlayerGameData[[#This Row],[PointOrder]]</f>
        <v>187.14</v>
      </c>
      <c r="AN589" s="8">
        <f ca="1">RANK(PlayerGameData[[#This Row],[PointTieBreak]],PlayerGameData[PointTieBreak],1)</f>
        <v>216</v>
      </c>
      <c r="AO589" s="8">
        <f ca="1">RANK(PlayerGameData[[#This Row],[REB]],PlayerGameData[REB],0)+PlayerGameData[[#This Row],[VisibleOrder]]</f>
        <v>192</v>
      </c>
      <c r="AP589" s="8">
        <f ca="1">IF(COUNTIF(PlayerGameData[REBOrder],PlayerGameData[[#This Row],[REBOrder]])&gt;1,PlayerGameData[[#This Row],[PointRank]]/100+PlayerGameData[[#This Row],[REBOrder]],PlayerGameData[[#This Row],[REBOrder]])</f>
        <v>194.16</v>
      </c>
      <c r="AQ589" s="8">
        <f ca="1">RANK(PlayerGameData[[#This Row],[REBTieBreak]],PlayerGameData[REBTieBreak],1)</f>
        <v>224</v>
      </c>
      <c r="AR589" s="8">
        <f ca="1">RANK(PlayerGameData[[#This Row],[AST]],PlayerGameData[AST],0)+PlayerGameData[[#This Row],[VisibleOrder]]</f>
        <v>158</v>
      </c>
      <c r="AS589" s="8">
        <f ca="1">IF(COUNTIF(PlayerGameData[ASTOrder],PlayerGameData[[#This Row],[ASTOrder]])&gt;1,PlayerGameData[[#This Row],[PointRank]]/100+PlayerGameData[[#This Row],[ASTOrder]],PlayerGameData[[#This Row],[ASTOrder]])</f>
        <v>160.16</v>
      </c>
      <c r="AT589" s="8">
        <f ca="1">RANK(PlayerGameData[[#This Row],[ASTTieBreak]],PlayerGameData[ASTTieBreak],1)</f>
        <v>221</v>
      </c>
      <c r="AU589" s="8">
        <f ca="1">RANK(PlayerGameData[[#This Row],[STL]],PlayerGameData[STL],0)+PlayerGameData[[#This Row],[VisibleOrder]]</f>
        <v>143</v>
      </c>
      <c r="AV589" s="8">
        <f ca="1">IF(COUNTIF(PlayerGameData[STLOrder],PlayerGameData[[#This Row],[STLOrder]])&gt;1,PlayerGameData[[#This Row],[PointRank]]/100+PlayerGameData[[#This Row],[STLOrder]],PlayerGameData[[#This Row],[STLOrder]])</f>
        <v>145.16</v>
      </c>
      <c r="AW589" s="8">
        <f ca="1">RANK(PlayerGameData[[#This Row],[STLTieBreak]],PlayerGameData[STLTieBreak],1)</f>
        <v>217</v>
      </c>
      <c r="AX589" s="8">
        <f ca="1">RANK(PlayerGameData[[#This Row],[BLK]],PlayerGameData[BLK],0)+PlayerGameData[[#This Row],[VisibleOrder]]</f>
        <v>32</v>
      </c>
      <c r="AY589" s="8">
        <f ca="1">IF(COUNTIF(PlayerGameData[BLKOrder],PlayerGameData[[#This Row],[BLKOrder]])&gt;1,PlayerGameData[[#This Row],[PointRank]]/100+PlayerGameData[[#This Row],[BLKOrder]],PlayerGameData[[#This Row],[BLKOrder]])</f>
        <v>34.159999999999997</v>
      </c>
      <c r="AZ589" s="8">
        <f ca="1">RANK(PlayerGameData[[#This Row],[BLKTieBreak]],PlayerGameData[BLKTieBreak],1)</f>
        <v>216</v>
      </c>
      <c r="BA589" s="11">
        <f ca="1">IFERROR(IF(PlayerGameData[[#This Row],[FGA]]&gt;$AA$5,PlayerGameData[[#This Row],[FG%*]],PlayerGameData[[#This Row],[FG%*]]*-1),-2)</f>
        <v>-2</v>
      </c>
      <c r="BB589" s="8">
        <f ca="1">RANK(PlayerGameData[[#This Row],[EligFG]],PlayerGameData[EligFG],0)+PlayerGameData[[#This Row],[VisibleOrder]]</f>
        <v>215</v>
      </c>
      <c r="BC589" s="8">
        <f ca="1">IF(COUNTIF(PlayerGameData[EligFGOrder],PlayerGameData[[#This Row],[EligFGOrder]])&gt;1,PlayerGameData[[#This Row],[PointRank]]/100+PlayerGameData[[#This Row],[EligFGOrder]],PlayerGameData[[#This Row],[EligFGOrder]])</f>
        <v>217.16</v>
      </c>
      <c r="BD589" s="8">
        <f ca="1">RANK(PlayerGameData[[#This Row],[EligFGTieBreak]],PlayerGameData[EligFGTieBreak],1)</f>
        <v>216</v>
      </c>
      <c r="BE589" s="8" t="str">
        <f>Roster!$D$3</f>
        <v>East</v>
      </c>
      <c r="BF589" s="8" t="str">
        <f>Roster!$D$2</f>
        <v>Northeast</v>
      </c>
      <c r="BG589" s="8" t="str">
        <f>Roster!$D$4</f>
        <v>North</v>
      </c>
      <c r="BH589" s="197">
        <f ca="1">IFERROR(VLOOKUP(CONCATENATE(PlayerGameData[[#This Row],[Opponent]]," ",MONTH(PlayerGameData[[#This Row],[Date]]),"/",DAY(PlayerGameData[[#This Row],[Date]]),"/",YEAR(PlayerGameData[[#This Row],[Date]])),Table35[],2,FALSE),0)</f>
        <v>1</v>
      </c>
      <c r="BI589" s="197">
        <f ca="1">IF(PlayerGameData[[#This Row],[Visible]]=1,1,1000)</f>
        <v>1</v>
      </c>
      <c r="BJ589" s="197" t="e">
        <f ca="1">_xlfn.MAXIFS(TeamGameData[Win],TeamGameData[School, Opponent,Game'#],PlayerGameData[[#This Row],[School, Opponent,Game'#]])</f>
        <v>#NAME?</v>
      </c>
      <c r="BK589" s="197" t="e">
        <f ca="1">_xlfn.MAXIFS(TeamGameData[Loss],TeamGameData[School, Opponent,Game'#],PlayerGameData[[#This Row],[School, Opponent,Game'#]])</f>
        <v>#NAME?</v>
      </c>
    </row>
    <row r="590" spans="1:63" x14ac:dyDescent="0.25">
      <c r="A590" s="8" t="str">
        <f t="shared" ca="1" si="303"/>
        <v>Ethan Schiller, 23</v>
      </c>
      <c r="B590" s="8" t="str">
        <f>Roster!$B$1</f>
        <v>Upton</v>
      </c>
      <c r="C590" s="8" t="str">
        <f t="shared" ca="1" si="291"/>
        <v>Cokeville</v>
      </c>
      <c r="D590" s="10">
        <f t="shared" ca="1" si="292"/>
        <v>44988</v>
      </c>
      <c r="E590" s="8">
        <f t="shared" ca="1" si="293"/>
        <v>1</v>
      </c>
      <c r="F590" s="8">
        <f t="shared" ca="1" si="294"/>
        <v>1</v>
      </c>
      <c r="G590" s="8">
        <f t="shared" ca="1" si="295"/>
        <v>27</v>
      </c>
      <c r="H590" s="8">
        <f t="shared" ca="1" si="296"/>
        <v>0</v>
      </c>
      <c r="I590" s="8">
        <f t="shared" ca="1" si="297"/>
        <v>0</v>
      </c>
      <c r="J590" s="8">
        <f t="shared" ca="1" si="298"/>
        <v>5</v>
      </c>
      <c r="K590" s="8">
        <f t="shared" ca="1" si="299"/>
        <v>7</v>
      </c>
      <c r="L590" s="8">
        <f t="shared" ca="1" si="304"/>
        <v>1</v>
      </c>
      <c r="M590" s="8">
        <f t="shared" ca="1" si="305"/>
        <v>4</v>
      </c>
      <c r="N590" s="8">
        <f t="shared" ca="1" si="306"/>
        <v>3</v>
      </c>
      <c r="O590" s="8">
        <f t="shared" ca="1" si="307"/>
        <v>6</v>
      </c>
      <c r="P590" s="8">
        <f t="shared" ca="1" si="308"/>
        <v>3</v>
      </c>
      <c r="Q590" s="8">
        <f t="shared" ca="1" si="309"/>
        <v>1</v>
      </c>
      <c r="R590" s="8">
        <f t="shared" ca="1" si="310"/>
        <v>0</v>
      </c>
      <c r="S590" s="8">
        <f t="shared" ca="1" si="311"/>
        <v>7</v>
      </c>
      <c r="T590" s="8">
        <f t="shared" ca="1" si="312"/>
        <v>2</v>
      </c>
      <c r="U590" s="8">
        <f t="shared" ca="1" si="313"/>
        <v>0</v>
      </c>
      <c r="V590" s="8">
        <f t="shared" ca="1" si="314"/>
        <v>11</v>
      </c>
      <c r="W590" s="11" t="str">
        <f t="shared" ca="1" si="315"/>
        <v/>
      </c>
      <c r="X590" s="11">
        <f t="shared" ca="1" si="316"/>
        <v>0.7142857142857143</v>
      </c>
      <c r="Y590" s="11">
        <f t="shared" ca="1" si="317"/>
        <v>0.25</v>
      </c>
      <c r="Z590" s="11">
        <f t="shared" ca="1" si="318"/>
        <v>0.7142857142857143</v>
      </c>
      <c r="AA590" s="11">
        <f t="shared" ca="1" si="319"/>
        <v>0.7142857142857143</v>
      </c>
      <c r="AB590" s="47">
        <f ca="1">PlayerGameData[[#This Row],[3FGA]]+PlayerGameData[[#This Row],[2FGA]]</f>
        <v>7</v>
      </c>
      <c r="AC590" s="47">
        <f ca="1">PlayerGameData[[#This Row],[OFF REB]]+PlayerGameData[[#This Row],[DEF REB]]</f>
        <v>9</v>
      </c>
      <c r="AD590" s="8">
        <f t="shared" si="300"/>
        <v>25</v>
      </c>
      <c r="AE590" s="8" t="str">
        <f t="shared" ca="1" si="301"/>
        <v>Ethan Schiller, 23 - Cokeville 3/3/2023</v>
      </c>
      <c r="AF590" s="8" t="str">
        <f t="shared" ca="1" si="320"/>
        <v/>
      </c>
      <c r="AG590" s="8" t="str">
        <f ca="1">IFERROR(IF(C590=0,"",IF(AND(VLOOKUP(PlayerGameData[[#This Row],[Opponent]],WYTeamInfo,2,FALSE)=Roster!$D$1,VLOOKUP(PlayerGameData[[#This Row],[Opponent]],WYTeamInfo,3,FALSE)=Roster!$D$2),"SR","")),"")</f>
        <v/>
      </c>
      <c r="AH590" s="8" t="str">
        <f>CONCATENATE(Roster!$D$1," ",Roster!$D$5)</f>
        <v>1A BB</v>
      </c>
      <c r="AI590" s="8" t="str">
        <f t="shared" ca="1" si="302"/>
        <v>Upton - Cokeville 3/3/2023</v>
      </c>
      <c r="AJ590" s="8">
        <f ca="1">IFERROR(VLOOKUP(PlayerGameData[[#This Row],[School, Opponent,Game'#]],Table3[],2,FALSE),0)</f>
        <v>1</v>
      </c>
      <c r="AK590" s="8">
        <f ca="1">IF(PlayerGameData[[#This Row],[Visible]]=1,1,1000)</f>
        <v>1</v>
      </c>
      <c r="AL590" s="8">
        <f ca="1">RANK(PlayerGameData[[#This Row],[TL PTS]],PlayerGameData[TL PTS],0)+PlayerGameData[[#This Row],[VisibleOrder]]</f>
        <v>58</v>
      </c>
      <c r="AM590" s="8">
        <f ca="1">IF(COUNTIF(PlayerGameData[PointOrder],PlayerGameData[[#This Row],[PointOrder]])&gt;1,RANK(PlayerGameData[[#This Row],[FGA]],PlayerGameData[FGA],0)/100,0)+PlayerGameData[[#This Row],[PointOrder]]</f>
        <v>58.93</v>
      </c>
      <c r="AN590" s="8">
        <f ca="1">RANK(PlayerGameData[[#This Row],[PointTieBreak]],PlayerGameData[PointTieBreak],1)</f>
        <v>63</v>
      </c>
      <c r="AO590" s="8">
        <f ca="1">RANK(PlayerGameData[[#This Row],[REB]],PlayerGameData[REB],0)+PlayerGameData[[#This Row],[VisibleOrder]]</f>
        <v>13</v>
      </c>
      <c r="AP590" s="8">
        <f ca="1">IF(COUNTIF(PlayerGameData[REBOrder],PlayerGameData[[#This Row],[REBOrder]])&gt;1,PlayerGameData[[#This Row],[PointRank]]/100+PlayerGameData[[#This Row],[REBOrder]],PlayerGameData[[#This Row],[REBOrder]])</f>
        <v>13.63</v>
      </c>
      <c r="AQ590" s="8">
        <f ca="1">RANK(PlayerGameData[[#This Row],[REBTieBreak]],PlayerGameData[REBTieBreak],1)</f>
        <v>15</v>
      </c>
      <c r="AR590" s="8">
        <f ca="1">RANK(PlayerGameData[[#This Row],[AST]],PlayerGameData[AST],0)+PlayerGameData[[#This Row],[VisibleOrder]]</f>
        <v>39</v>
      </c>
      <c r="AS590" s="8">
        <f ca="1">IF(COUNTIF(PlayerGameData[ASTOrder],PlayerGameData[[#This Row],[ASTOrder]])&gt;1,PlayerGameData[[#This Row],[PointRank]]/100+PlayerGameData[[#This Row],[ASTOrder]],PlayerGameData[[#This Row],[ASTOrder]])</f>
        <v>39.630000000000003</v>
      </c>
      <c r="AT590" s="8">
        <f ca="1">RANK(PlayerGameData[[#This Row],[ASTTieBreak]],PlayerGameData[ASTTieBreak],1)</f>
        <v>47</v>
      </c>
      <c r="AU590" s="8">
        <f ca="1">RANK(PlayerGameData[[#This Row],[STL]],PlayerGameData[STL],0)+PlayerGameData[[#This Row],[VisibleOrder]]</f>
        <v>84</v>
      </c>
      <c r="AV590" s="8">
        <f ca="1">IF(COUNTIF(PlayerGameData[STLOrder],PlayerGameData[[#This Row],[STLOrder]])&gt;1,PlayerGameData[[#This Row],[PointRank]]/100+PlayerGameData[[#This Row],[STLOrder]],PlayerGameData[[#This Row],[STLOrder]])</f>
        <v>84.63</v>
      </c>
      <c r="AW590" s="8">
        <f ca="1">RANK(PlayerGameData[[#This Row],[STLTieBreak]],PlayerGameData[STLTieBreak],1)</f>
        <v>95</v>
      </c>
      <c r="AX590" s="8">
        <f ca="1">RANK(PlayerGameData[[#This Row],[BLK]],PlayerGameData[BLK],0)+PlayerGameData[[#This Row],[VisibleOrder]]</f>
        <v>32</v>
      </c>
      <c r="AY590" s="8">
        <f ca="1">IF(COUNTIF(PlayerGameData[BLKOrder],PlayerGameData[[#This Row],[BLKOrder]])&gt;1,PlayerGameData[[#This Row],[PointRank]]/100+PlayerGameData[[#This Row],[BLKOrder]],PlayerGameData[[#This Row],[BLKOrder]])</f>
        <v>32.630000000000003</v>
      </c>
      <c r="AZ590" s="8">
        <f ca="1">RANK(PlayerGameData[[#This Row],[BLKTieBreak]],PlayerGameData[BLKTieBreak],1)</f>
        <v>80</v>
      </c>
      <c r="BA590" s="11">
        <f ca="1">IFERROR(IF(PlayerGameData[[#This Row],[FGA]]&gt;$AA$5,PlayerGameData[[#This Row],[FG%*]],PlayerGameData[[#This Row],[FG%*]]*-1),-2)</f>
        <v>0.7142857142857143</v>
      </c>
      <c r="BB590" s="8">
        <f ca="1">RANK(PlayerGameData[[#This Row],[EligFG]],PlayerGameData[EligFG],0)+PlayerGameData[[#This Row],[VisibleOrder]]</f>
        <v>9</v>
      </c>
      <c r="BC590" s="8">
        <f ca="1">IF(COUNTIF(PlayerGameData[EligFGOrder],PlayerGameData[[#This Row],[EligFGOrder]])&gt;1,PlayerGameData[[#This Row],[PointRank]]/100+PlayerGameData[[#This Row],[EligFGOrder]],PlayerGameData[[#This Row],[EligFGOrder]])</f>
        <v>9.6300000000000008</v>
      </c>
      <c r="BD590" s="8">
        <f ca="1">RANK(PlayerGameData[[#This Row],[EligFGTieBreak]],PlayerGameData[EligFGTieBreak],1)</f>
        <v>8</v>
      </c>
      <c r="BE590" s="8" t="str">
        <f>Roster!$D$3</f>
        <v>East</v>
      </c>
      <c r="BF590" s="8" t="str">
        <f>Roster!$D$2</f>
        <v>Northeast</v>
      </c>
      <c r="BG590" s="8" t="str">
        <f>Roster!$D$4</f>
        <v>North</v>
      </c>
      <c r="BH590" s="197">
        <f ca="1">IFERROR(VLOOKUP(CONCATENATE(PlayerGameData[[#This Row],[Opponent]]," ",MONTH(PlayerGameData[[#This Row],[Date]]),"/",DAY(PlayerGameData[[#This Row],[Date]]),"/",YEAR(PlayerGameData[[#This Row],[Date]])),Table35[],2,FALSE),0)</f>
        <v>1</v>
      </c>
      <c r="BI590" s="197">
        <f ca="1">IF(PlayerGameData[[#This Row],[Visible]]=1,1,1000)</f>
        <v>1</v>
      </c>
      <c r="BJ590" s="197" t="e">
        <f ca="1">_xlfn.MAXIFS(TeamGameData[Win],TeamGameData[School, Opponent,Game'#],PlayerGameData[[#This Row],[School, Opponent,Game'#]])</f>
        <v>#NAME?</v>
      </c>
      <c r="BK590" s="197" t="e">
        <f ca="1">_xlfn.MAXIFS(TeamGameData[Loss],TeamGameData[School, Opponent,Game'#],PlayerGameData[[#This Row],[School, Opponent,Game'#]])</f>
        <v>#NAME?</v>
      </c>
    </row>
    <row r="591" spans="1:63" x14ac:dyDescent="0.25">
      <c r="A591" s="8" t="str">
        <f t="shared" ca="1" si="303"/>
        <v>Bridger Bruce, 25</v>
      </c>
      <c r="B591" s="8" t="str">
        <f>Roster!$B$1</f>
        <v>Upton</v>
      </c>
      <c r="C591" s="8" t="str">
        <f t="shared" ca="1" si="291"/>
        <v>Cokeville</v>
      </c>
      <c r="D591" s="10">
        <f t="shared" ca="1" si="292"/>
        <v>44988</v>
      </c>
      <c r="E591" s="8">
        <f t="shared" ca="1" si="293"/>
        <v>1</v>
      </c>
      <c r="F591" s="8">
        <f t="shared" ca="1" si="294"/>
        <v>0</v>
      </c>
      <c r="G591" s="8">
        <f t="shared" ca="1" si="295"/>
        <v>10</v>
      </c>
      <c r="H591" s="8">
        <f t="shared" ca="1" si="296"/>
        <v>0</v>
      </c>
      <c r="I591" s="8">
        <f t="shared" ca="1" si="297"/>
        <v>0</v>
      </c>
      <c r="J591" s="8">
        <f t="shared" ca="1" si="298"/>
        <v>1</v>
      </c>
      <c r="K591" s="8">
        <f t="shared" ca="1" si="299"/>
        <v>2</v>
      </c>
      <c r="L591" s="8">
        <f t="shared" ca="1" si="304"/>
        <v>0</v>
      </c>
      <c r="M591" s="8">
        <f t="shared" ca="1" si="305"/>
        <v>0</v>
      </c>
      <c r="N591" s="8">
        <f t="shared" ca="1" si="306"/>
        <v>1</v>
      </c>
      <c r="O591" s="8">
        <f t="shared" ca="1" si="307"/>
        <v>1</v>
      </c>
      <c r="P591" s="8">
        <f t="shared" ca="1" si="308"/>
        <v>0</v>
      </c>
      <c r="Q591" s="8">
        <f t="shared" ca="1" si="309"/>
        <v>0</v>
      </c>
      <c r="R591" s="8">
        <f t="shared" ca="1" si="310"/>
        <v>0</v>
      </c>
      <c r="S591" s="8">
        <f t="shared" ca="1" si="311"/>
        <v>0</v>
      </c>
      <c r="T591" s="8">
        <f t="shared" ca="1" si="312"/>
        <v>2</v>
      </c>
      <c r="U591" s="8">
        <f t="shared" ca="1" si="313"/>
        <v>0</v>
      </c>
      <c r="V591" s="8">
        <f t="shared" ca="1" si="314"/>
        <v>2</v>
      </c>
      <c r="W591" s="11" t="str">
        <f t="shared" ca="1" si="315"/>
        <v/>
      </c>
      <c r="X591" s="11">
        <f t="shared" ca="1" si="316"/>
        <v>0.5</v>
      </c>
      <c r="Y591" s="11" t="str">
        <f t="shared" ca="1" si="317"/>
        <v/>
      </c>
      <c r="Z591" s="11">
        <f t="shared" ca="1" si="318"/>
        <v>0.5</v>
      </c>
      <c r="AA591" s="11">
        <f t="shared" ca="1" si="319"/>
        <v>0.5</v>
      </c>
      <c r="AB591" s="47">
        <f ca="1">PlayerGameData[[#This Row],[3FGA]]+PlayerGameData[[#This Row],[2FGA]]</f>
        <v>2</v>
      </c>
      <c r="AC591" s="47">
        <f ca="1">PlayerGameData[[#This Row],[OFF REB]]+PlayerGameData[[#This Row],[DEF REB]]</f>
        <v>2</v>
      </c>
      <c r="AD591" s="8">
        <f t="shared" si="300"/>
        <v>25</v>
      </c>
      <c r="AE591" s="8" t="str">
        <f t="shared" ca="1" si="301"/>
        <v>Bridger Bruce, 25 - Cokeville 3/3/2023</v>
      </c>
      <c r="AF591" s="8" t="str">
        <f t="shared" ca="1" si="320"/>
        <v/>
      </c>
      <c r="AG591" s="8" t="str">
        <f ca="1">IFERROR(IF(C591=0,"",IF(AND(VLOOKUP(PlayerGameData[[#This Row],[Opponent]],WYTeamInfo,2,FALSE)=Roster!$D$1,VLOOKUP(PlayerGameData[[#This Row],[Opponent]],WYTeamInfo,3,FALSE)=Roster!$D$2),"SR","")),"")</f>
        <v/>
      </c>
      <c r="AH591" s="8" t="str">
        <f>CONCATENATE(Roster!$D$1," ",Roster!$D$5)</f>
        <v>1A BB</v>
      </c>
      <c r="AI591" s="8" t="str">
        <f t="shared" ca="1" si="302"/>
        <v>Upton - Cokeville 3/3/2023</v>
      </c>
      <c r="AJ591" s="8">
        <f ca="1">IFERROR(VLOOKUP(PlayerGameData[[#This Row],[School, Opponent,Game'#]],Table3[],2,FALSE),0)</f>
        <v>1</v>
      </c>
      <c r="AK591" s="8">
        <f ca="1">IF(PlayerGameData[[#This Row],[Visible]]=1,1,1000)</f>
        <v>1</v>
      </c>
      <c r="AL591" s="8">
        <f ca="1">RANK(PlayerGameData[[#This Row],[TL PTS]],PlayerGameData[TL PTS],0)+PlayerGameData[[#This Row],[VisibleOrder]]</f>
        <v>152</v>
      </c>
      <c r="AM591" s="8">
        <f ca="1">IF(COUNTIF(PlayerGameData[PointOrder],PlayerGameData[[#This Row],[PointOrder]])&gt;1,RANK(PlayerGameData[[#This Row],[FGA]],PlayerGameData[FGA],0)/100,0)+PlayerGameData[[#This Row],[PointOrder]]</f>
        <v>153.61000000000001</v>
      </c>
      <c r="AN591" s="8">
        <f ca="1">RANK(PlayerGameData[[#This Row],[PointTieBreak]],PlayerGameData[PointTieBreak],1)</f>
        <v>163</v>
      </c>
      <c r="AO591" s="8">
        <f ca="1">RANK(PlayerGameData[[#This Row],[REB]],PlayerGameData[REB],0)+PlayerGameData[[#This Row],[VisibleOrder]]</f>
        <v>137</v>
      </c>
      <c r="AP591" s="8">
        <f ca="1">IF(COUNTIF(PlayerGameData[REBOrder],PlayerGameData[[#This Row],[REBOrder]])&gt;1,PlayerGameData[[#This Row],[PointRank]]/100+PlayerGameData[[#This Row],[REBOrder]],PlayerGameData[[#This Row],[REBOrder]])</f>
        <v>138.63</v>
      </c>
      <c r="AQ591" s="8">
        <f ca="1">RANK(PlayerGameData[[#This Row],[REBTieBreak]],PlayerGameData[REBTieBreak],1)</f>
        <v>152</v>
      </c>
      <c r="AR591" s="8">
        <f ca="1">RANK(PlayerGameData[[#This Row],[AST]],PlayerGameData[AST],0)+PlayerGameData[[#This Row],[VisibleOrder]]</f>
        <v>158</v>
      </c>
      <c r="AS591" s="8">
        <f ca="1">IF(COUNTIF(PlayerGameData[ASTOrder],PlayerGameData[[#This Row],[ASTOrder]])&gt;1,PlayerGameData[[#This Row],[PointRank]]/100+PlayerGameData[[#This Row],[ASTOrder]],PlayerGameData[[#This Row],[ASTOrder]])</f>
        <v>159.63</v>
      </c>
      <c r="AT591" s="8">
        <f ca="1">RANK(PlayerGameData[[#This Row],[ASTTieBreak]],PlayerGameData[ASTTieBreak],1)</f>
        <v>186</v>
      </c>
      <c r="AU591" s="8">
        <f ca="1">RANK(PlayerGameData[[#This Row],[STL]],PlayerGameData[STL],0)+PlayerGameData[[#This Row],[VisibleOrder]]</f>
        <v>143</v>
      </c>
      <c r="AV591" s="8">
        <f ca="1">IF(COUNTIF(PlayerGameData[STLOrder],PlayerGameData[[#This Row],[STLOrder]])&gt;1,PlayerGameData[[#This Row],[PointRank]]/100+PlayerGameData[[#This Row],[STLOrder]],PlayerGameData[[#This Row],[STLOrder]])</f>
        <v>144.63</v>
      </c>
      <c r="AW591" s="8">
        <f ca="1">RANK(PlayerGameData[[#This Row],[STLTieBreak]],PlayerGameData[STLTieBreak],1)</f>
        <v>181</v>
      </c>
      <c r="AX591" s="8">
        <f ca="1">RANK(PlayerGameData[[#This Row],[BLK]],PlayerGameData[BLK],0)+PlayerGameData[[#This Row],[VisibleOrder]]</f>
        <v>32</v>
      </c>
      <c r="AY591" s="8">
        <f ca="1">IF(COUNTIF(PlayerGameData[BLKOrder],PlayerGameData[[#This Row],[BLKOrder]])&gt;1,PlayerGameData[[#This Row],[PointRank]]/100+PlayerGameData[[#This Row],[BLKOrder]],PlayerGameData[[#This Row],[BLKOrder]])</f>
        <v>33.630000000000003</v>
      </c>
      <c r="AZ591" s="8">
        <f ca="1">RANK(PlayerGameData[[#This Row],[BLKTieBreak]],PlayerGameData[BLKTieBreak],1)</f>
        <v>164</v>
      </c>
      <c r="BA591" s="11">
        <f ca="1">IFERROR(IF(PlayerGameData[[#This Row],[FGA]]&gt;$AA$5,PlayerGameData[[#This Row],[FG%*]],PlayerGameData[[#This Row],[FG%*]]*-1),-2)</f>
        <v>-0.5</v>
      </c>
      <c r="BB591" s="8">
        <f ca="1">RANK(PlayerGameData[[#This Row],[EligFG]],PlayerGameData[EligFG],0)+PlayerGameData[[#This Row],[VisibleOrder]]</f>
        <v>182</v>
      </c>
      <c r="BC591" s="8">
        <f ca="1">IF(COUNTIF(PlayerGameData[EligFGOrder],PlayerGameData[[#This Row],[EligFGOrder]])&gt;1,PlayerGameData[[#This Row],[PointRank]]/100+PlayerGameData[[#This Row],[EligFGOrder]],PlayerGameData[[#This Row],[EligFGOrder]])</f>
        <v>183.63</v>
      </c>
      <c r="BD591" s="8">
        <f ca="1">RANK(PlayerGameData[[#This Row],[EligFGTieBreak]],PlayerGameData[EligFGTieBreak],1)</f>
        <v>188</v>
      </c>
      <c r="BE591" s="8" t="str">
        <f>Roster!$D$3</f>
        <v>East</v>
      </c>
      <c r="BF591" s="8" t="str">
        <f>Roster!$D$2</f>
        <v>Northeast</v>
      </c>
      <c r="BG591" s="8" t="str">
        <f>Roster!$D$4</f>
        <v>North</v>
      </c>
      <c r="BH591" s="197">
        <f ca="1">IFERROR(VLOOKUP(CONCATENATE(PlayerGameData[[#This Row],[Opponent]]," ",MONTH(PlayerGameData[[#This Row],[Date]]),"/",DAY(PlayerGameData[[#This Row],[Date]]),"/",YEAR(PlayerGameData[[#This Row],[Date]])),Table35[],2,FALSE),0)</f>
        <v>1</v>
      </c>
      <c r="BI591" s="197">
        <f ca="1">IF(PlayerGameData[[#This Row],[Visible]]=1,1,1000)</f>
        <v>1</v>
      </c>
      <c r="BJ591" s="197" t="e">
        <f ca="1">_xlfn.MAXIFS(TeamGameData[Win],TeamGameData[School, Opponent,Game'#],PlayerGameData[[#This Row],[School, Opponent,Game'#]])</f>
        <v>#NAME?</v>
      </c>
      <c r="BK591" s="197" t="e">
        <f ca="1">_xlfn.MAXIFS(TeamGameData[Loss],TeamGameData[School, Opponent,Game'#],PlayerGameData[[#This Row],[School, Opponent,Game'#]])</f>
        <v>#NAME?</v>
      </c>
    </row>
    <row r="592" spans="1:63" x14ac:dyDescent="0.25">
      <c r="A592" s="8" t="str">
        <f t="shared" ca="1" si="303"/>
        <v>Kailer Duarte, 31</v>
      </c>
      <c r="B592" s="8" t="str">
        <f>Roster!$B$1</f>
        <v>Upton</v>
      </c>
      <c r="C592" s="8" t="str">
        <f t="shared" ca="1" si="291"/>
        <v>Cokeville</v>
      </c>
      <c r="D592" s="10">
        <f t="shared" ca="1" si="292"/>
        <v>44988</v>
      </c>
      <c r="E592" s="8">
        <f t="shared" ca="1" si="293"/>
        <v>1</v>
      </c>
      <c r="F592" s="8">
        <f t="shared" ca="1" si="294"/>
        <v>1</v>
      </c>
      <c r="G592" s="8">
        <f t="shared" ca="1" si="295"/>
        <v>31</v>
      </c>
      <c r="H592" s="8">
        <f t="shared" ca="1" si="296"/>
        <v>0</v>
      </c>
      <c r="I592" s="8">
        <f t="shared" ca="1" si="297"/>
        <v>1</v>
      </c>
      <c r="J592" s="8">
        <f t="shared" ca="1" si="298"/>
        <v>1</v>
      </c>
      <c r="K592" s="8">
        <f t="shared" ca="1" si="299"/>
        <v>7</v>
      </c>
      <c r="L592" s="8">
        <f t="shared" ca="1" si="304"/>
        <v>2</v>
      </c>
      <c r="M592" s="8">
        <f t="shared" ca="1" si="305"/>
        <v>7</v>
      </c>
      <c r="N592" s="8">
        <f t="shared" ca="1" si="306"/>
        <v>0</v>
      </c>
      <c r="O592" s="8">
        <f t="shared" ca="1" si="307"/>
        <v>4</v>
      </c>
      <c r="P592" s="8">
        <f t="shared" ca="1" si="308"/>
        <v>3</v>
      </c>
      <c r="Q592" s="8">
        <f t="shared" ca="1" si="309"/>
        <v>0</v>
      </c>
      <c r="R592" s="8">
        <f t="shared" ca="1" si="310"/>
        <v>0</v>
      </c>
      <c r="S592" s="8">
        <f t="shared" ca="1" si="311"/>
        <v>2</v>
      </c>
      <c r="T592" s="8">
        <f t="shared" ca="1" si="312"/>
        <v>2</v>
      </c>
      <c r="U592" s="8">
        <f t="shared" ca="1" si="313"/>
        <v>0</v>
      </c>
      <c r="V592" s="8">
        <f t="shared" ca="1" si="314"/>
        <v>4</v>
      </c>
      <c r="W592" s="11">
        <f t="shared" ca="1" si="315"/>
        <v>0</v>
      </c>
      <c r="X592" s="11">
        <f t="shared" ca="1" si="316"/>
        <v>0.14285714285714285</v>
      </c>
      <c r="Y592" s="11">
        <f t="shared" ca="1" si="317"/>
        <v>0.2857142857142857</v>
      </c>
      <c r="Z592" s="11">
        <f t="shared" ca="1" si="318"/>
        <v>0.125</v>
      </c>
      <c r="AA592" s="11">
        <f t="shared" ca="1" si="319"/>
        <v>0.125</v>
      </c>
      <c r="AB592" s="47">
        <f ca="1">PlayerGameData[[#This Row],[3FGA]]+PlayerGameData[[#This Row],[2FGA]]</f>
        <v>8</v>
      </c>
      <c r="AC592" s="47">
        <f ca="1">PlayerGameData[[#This Row],[OFF REB]]+PlayerGameData[[#This Row],[DEF REB]]</f>
        <v>4</v>
      </c>
      <c r="AD592" s="8">
        <f t="shared" si="300"/>
        <v>25</v>
      </c>
      <c r="AE592" s="8" t="str">
        <f t="shared" ca="1" si="301"/>
        <v>Kailer Duarte, 31 - Cokeville 3/3/2023</v>
      </c>
      <c r="AF592" s="8" t="str">
        <f t="shared" ca="1" si="320"/>
        <v/>
      </c>
      <c r="AG592" s="8" t="str">
        <f ca="1">IFERROR(IF(C592=0,"",IF(AND(VLOOKUP(PlayerGameData[[#This Row],[Opponent]],WYTeamInfo,2,FALSE)=Roster!$D$1,VLOOKUP(PlayerGameData[[#This Row],[Opponent]],WYTeamInfo,3,FALSE)=Roster!$D$2),"SR","")),"")</f>
        <v/>
      </c>
      <c r="AH592" s="8" t="str">
        <f>CONCATENATE(Roster!$D$1," ",Roster!$D$5)</f>
        <v>1A BB</v>
      </c>
      <c r="AI592" s="8" t="str">
        <f t="shared" ca="1" si="302"/>
        <v>Upton - Cokeville 3/3/2023</v>
      </c>
      <c r="AJ592" s="8">
        <f ca="1">IFERROR(VLOOKUP(PlayerGameData[[#This Row],[School, Opponent,Game'#]],Table3[],2,FALSE),0)</f>
        <v>1</v>
      </c>
      <c r="AK592" s="8">
        <f ca="1">IF(PlayerGameData[[#This Row],[Visible]]=1,1,1000)</f>
        <v>1</v>
      </c>
      <c r="AL592" s="8">
        <f ca="1">RANK(PlayerGameData[[#This Row],[TL PTS]],PlayerGameData[TL PTS],0)+PlayerGameData[[#This Row],[VisibleOrder]]</f>
        <v>118</v>
      </c>
      <c r="AM592" s="8">
        <f ca="1">IF(COUNTIF(PlayerGameData[PointOrder],PlayerGameData[[#This Row],[PointOrder]])&gt;1,RANK(PlayerGameData[[#This Row],[FGA]],PlayerGameData[FGA],0)/100,0)+PlayerGameData[[#This Row],[PointOrder]]</f>
        <v>118.76</v>
      </c>
      <c r="AN592" s="8">
        <f ca="1">RANK(PlayerGameData[[#This Row],[PointTieBreak]],PlayerGameData[PointTieBreak],1)</f>
        <v>118</v>
      </c>
      <c r="AO592" s="8">
        <f ca="1">RANK(PlayerGameData[[#This Row],[REB]],PlayerGameData[REB],0)+PlayerGameData[[#This Row],[VisibleOrder]]</f>
        <v>79</v>
      </c>
      <c r="AP592" s="8">
        <f ca="1">IF(COUNTIF(PlayerGameData[REBOrder],PlayerGameData[[#This Row],[REBOrder]])&gt;1,PlayerGameData[[#This Row],[PointRank]]/100+PlayerGameData[[#This Row],[REBOrder]],PlayerGameData[[#This Row],[REBOrder]])</f>
        <v>80.180000000000007</v>
      </c>
      <c r="AQ592" s="8">
        <f ca="1">RANK(PlayerGameData[[#This Row],[REBTieBreak]],PlayerGameData[REBTieBreak],1)</f>
        <v>101</v>
      </c>
      <c r="AR592" s="8">
        <f ca="1">RANK(PlayerGameData[[#This Row],[AST]],PlayerGameData[AST],0)+PlayerGameData[[#This Row],[VisibleOrder]]</f>
        <v>39</v>
      </c>
      <c r="AS592" s="8">
        <f ca="1">IF(COUNTIF(PlayerGameData[ASTOrder],PlayerGameData[[#This Row],[ASTOrder]])&gt;1,PlayerGameData[[#This Row],[PointRank]]/100+PlayerGameData[[#This Row],[ASTOrder]],PlayerGameData[[#This Row],[ASTOrder]])</f>
        <v>40.18</v>
      </c>
      <c r="AT592" s="8">
        <f ca="1">RANK(PlayerGameData[[#This Row],[ASTTieBreak]],PlayerGameData[ASTTieBreak],1)</f>
        <v>59</v>
      </c>
      <c r="AU592" s="8">
        <f ca="1">RANK(PlayerGameData[[#This Row],[STL]],PlayerGameData[STL],0)+PlayerGameData[[#This Row],[VisibleOrder]]</f>
        <v>143</v>
      </c>
      <c r="AV592" s="8">
        <f ca="1">IF(COUNTIF(PlayerGameData[STLOrder],PlayerGameData[[#This Row],[STLOrder]])&gt;1,PlayerGameData[[#This Row],[PointRank]]/100+PlayerGameData[[#This Row],[STLOrder]],PlayerGameData[[#This Row],[STLOrder]])</f>
        <v>144.18</v>
      </c>
      <c r="AW592" s="8">
        <f ca="1">RANK(PlayerGameData[[#This Row],[STLTieBreak]],PlayerGameData[STLTieBreak],1)</f>
        <v>160</v>
      </c>
      <c r="AX592" s="8">
        <f ca="1">RANK(PlayerGameData[[#This Row],[BLK]],PlayerGameData[BLK],0)+PlayerGameData[[#This Row],[VisibleOrder]]</f>
        <v>32</v>
      </c>
      <c r="AY592" s="8">
        <f ca="1">IF(COUNTIF(PlayerGameData[BLKOrder],PlayerGameData[[#This Row],[BLKOrder]])&gt;1,PlayerGameData[[#This Row],[PointRank]]/100+PlayerGameData[[#This Row],[BLKOrder]],PlayerGameData[[#This Row],[BLKOrder]])</f>
        <v>33.18</v>
      </c>
      <c r="AZ592" s="8">
        <f ca="1">RANK(PlayerGameData[[#This Row],[BLKTieBreak]],PlayerGameData[BLKTieBreak],1)</f>
        <v>123</v>
      </c>
      <c r="BA592" s="11">
        <f ca="1">IFERROR(IF(PlayerGameData[[#This Row],[FGA]]&gt;$AA$5,PlayerGameData[[#This Row],[FG%*]],PlayerGameData[[#This Row],[FG%*]]*-1),-2)</f>
        <v>0.125</v>
      </c>
      <c r="BB592" s="8">
        <f ca="1">RANK(PlayerGameData[[#This Row],[EligFG]],PlayerGameData[EligFG],0)+PlayerGameData[[#This Row],[VisibleOrder]]</f>
        <v>110</v>
      </c>
      <c r="BC592" s="8">
        <f ca="1">IF(COUNTIF(PlayerGameData[EligFGOrder],PlayerGameData[[#This Row],[EligFGOrder]])&gt;1,PlayerGameData[[#This Row],[PointRank]]/100+PlayerGameData[[#This Row],[EligFGOrder]],PlayerGameData[[#This Row],[EligFGOrder]])</f>
        <v>111.18</v>
      </c>
      <c r="BD592" s="8">
        <f ca="1">RANK(PlayerGameData[[#This Row],[EligFGTieBreak]],PlayerGameData[EligFGTieBreak],1)</f>
        <v>110</v>
      </c>
      <c r="BE592" s="8" t="str">
        <f>Roster!$D$3</f>
        <v>East</v>
      </c>
      <c r="BF592" s="8" t="str">
        <f>Roster!$D$2</f>
        <v>Northeast</v>
      </c>
      <c r="BG592" s="8" t="str">
        <f>Roster!$D$4</f>
        <v>North</v>
      </c>
      <c r="BH592" s="197">
        <f ca="1">IFERROR(VLOOKUP(CONCATENATE(PlayerGameData[[#This Row],[Opponent]]," ",MONTH(PlayerGameData[[#This Row],[Date]]),"/",DAY(PlayerGameData[[#This Row],[Date]]),"/",YEAR(PlayerGameData[[#This Row],[Date]])),Table35[],2,FALSE),0)</f>
        <v>1</v>
      </c>
      <c r="BI592" s="197">
        <f ca="1">IF(PlayerGameData[[#This Row],[Visible]]=1,1,1000)</f>
        <v>1</v>
      </c>
      <c r="BJ592" s="197" t="e">
        <f ca="1">_xlfn.MAXIFS(TeamGameData[Win],TeamGameData[School, Opponent,Game'#],PlayerGameData[[#This Row],[School, Opponent,Game'#]])</f>
        <v>#NAME?</v>
      </c>
      <c r="BK592" s="197" t="e">
        <f ca="1">_xlfn.MAXIFS(TeamGameData[Loss],TeamGameData[School, Opponent,Game'#],PlayerGameData[[#This Row],[School, Opponent,Game'#]])</f>
        <v>#NAME?</v>
      </c>
    </row>
    <row r="593" spans="1:63" x14ac:dyDescent="0.25">
      <c r="A593" s="8" t="str">
        <f t="shared" ca="1" si="303"/>
        <v>Matt Stirmel, 33</v>
      </c>
      <c r="B593" s="8" t="str">
        <f>Roster!$B$1</f>
        <v>Upton</v>
      </c>
      <c r="C593" s="8" t="str">
        <f t="shared" ca="1" si="291"/>
        <v>Cokeville</v>
      </c>
      <c r="D593" s="10">
        <f t="shared" ca="1" si="292"/>
        <v>44988</v>
      </c>
      <c r="E593" s="8">
        <f t="shared" ca="1" si="293"/>
        <v>0</v>
      </c>
      <c r="F593" s="8">
        <f t="shared" ca="1" si="294"/>
        <v>0</v>
      </c>
      <c r="G593" s="8">
        <f t="shared" ca="1" si="295"/>
        <v>0</v>
      </c>
      <c r="H593" s="8">
        <f t="shared" ca="1" si="296"/>
        <v>0</v>
      </c>
      <c r="I593" s="8">
        <f t="shared" ca="1" si="297"/>
        <v>0</v>
      </c>
      <c r="J593" s="8">
        <f t="shared" ca="1" si="298"/>
        <v>0</v>
      </c>
      <c r="K593" s="8">
        <f t="shared" ca="1" si="299"/>
        <v>0</v>
      </c>
      <c r="L593" s="8">
        <f t="shared" ca="1" si="304"/>
        <v>0</v>
      </c>
      <c r="M593" s="8">
        <f t="shared" ca="1" si="305"/>
        <v>0</v>
      </c>
      <c r="N593" s="8">
        <f t="shared" ca="1" si="306"/>
        <v>0</v>
      </c>
      <c r="O593" s="8">
        <f t="shared" ca="1" si="307"/>
        <v>0</v>
      </c>
      <c r="P593" s="8">
        <f t="shared" ca="1" si="308"/>
        <v>0</v>
      </c>
      <c r="Q593" s="8">
        <f t="shared" ca="1" si="309"/>
        <v>0</v>
      </c>
      <c r="R593" s="8">
        <f t="shared" ca="1" si="310"/>
        <v>0</v>
      </c>
      <c r="S593" s="8">
        <f t="shared" ca="1" si="311"/>
        <v>0</v>
      </c>
      <c r="T593" s="8">
        <f t="shared" ca="1" si="312"/>
        <v>0</v>
      </c>
      <c r="U593" s="8">
        <f t="shared" ca="1" si="313"/>
        <v>0</v>
      </c>
      <c r="V593" s="8">
        <f t="shared" ca="1" si="314"/>
        <v>0</v>
      </c>
      <c r="W593" s="11" t="str">
        <f t="shared" ca="1" si="315"/>
        <v/>
      </c>
      <c r="X593" s="11" t="str">
        <f t="shared" ca="1" si="316"/>
        <v/>
      </c>
      <c r="Y593" s="11" t="str">
        <f t="shared" ca="1" si="317"/>
        <v/>
      </c>
      <c r="Z593" s="11" t="str">
        <f t="shared" ca="1" si="318"/>
        <v/>
      </c>
      <c r="AA593" s="11" t="str">
        <f t="shared" ca="1" si="319"/>
        <v/>
      </c>
      <c r="AB593" s="47">
        <f ca="1">PlayerGameData[[#This Row],[3FGA]]+PlayerGameData[[#This Row],[2FGA]]</f>
        <v>0</v>
      </c>
      <c r="AC593" s="47">
        <f ca="1">PlayerGameData[[#This Row],[OFF REB]]+PlayerGameData[[#This Row],[DEF REB]]</f>
        <v>0</v>
      </c>
      <c r="AD593" s="8">
        <f t="shared" si="300"/>
        <v>25</v>
      </c>
      <c r="AE593" s="8" t="str">
        <f t="shared" ca="1" si="301"/>
        <v>Matt Stirmel, 33 - Cokeville 3/3/2023</v>
      </c>
      <c r="AF593" s="8" t="str">
        <f t="shared" ca="1" si="320"/>
        <v/>
      </c>
      <c r="AG593" s="8" t="str">
        <f ca="1">IFERROR(IF(C593=0,"",IF(AND(VLOOKUP(PlayerGameData[[#This Row],[Opponent]],WYTeamInfo,2,FALSE)=Roster!$D$1,VLOOKUP(PlayerGameData[[#This Row],[Opponent]],WYTeamInfo,3,FALSE)=Roster!$D$2),"SR","")),"")</f>
        <v/>
      </c>
      <c r="AH593" s="8" t="str">
        <f>CONCATENATE(Roster!$D$1," ",Roster!$D$5)</f>
        <v>1A BB</v>
      </c>
      <c r="AI593" s="8" t="str">
        <f t="shared" ca="1" si="302"/>
        <v>Upton - Cokeville 3/3/2023</v>
      </c>
      <c r="AJ593" s="8">
        <f ca="1">IFERROR(VLOOKUP(PlayerGameData[[#This Row],[School, Opponent,Game'#]],Table3[],2,FALSE),0)</f>
        <v>1</v>
      </c>
      <c r="AK593" s="8">
        <f ca="1">IF(PlayerGameData[[#This Row],[Visible]]=1,1,1000)</f>
        <v>1</v>
      </c>
      <c r="AL593" s="8">
        <f ca="1">RANK(PlayerGameData[[#This Row],[TL PTS]],PlayerGameData[TL PTS],0)+PlayerGameData[[#This Row],[VisibleOrder]]</f>
        <v>185</v>
      </c>
      <c r="AM593" s="8">
        <f ca="1">IF(COUNTIF(PlayerGameData[PointOrder],PlayerGameData[[#This Row],[PointOrder]])&gt;1,RANK(PlayerGameData[[#This Row],[FGA]],PlayerGameData[FGA],0)/100,0)+PlayerGameData[[#This Row],[PointOrder]]</f>
        <v>187.14</v>
      </c>
      <c r="AN593" s="8">
        <f ca="1">RANK(PlayerGameData[[#This Row],[PointTieBreak]],PlayerGameData[PointTieBreak],1)</f>
        <v>216</v>
      </c>
      <c r="AO593" s="8">
        <f ca="1">RANK(PlayerGameData[[#This Row],[REB]],PlayerGameData[REB],0)+PlayerGameData[[#This Row],[VisibleOrder]]</f>
        <v>192</v>
      </c>
      <c r="AP593" s="8">
        <f ca="1">IF(COUNTIF(PlayerGameData[REBOrder],PlayerGameData[[#This Row],[REBOrder]])&gt;1,PlayerGameData[[#This Row],[PointRank]]/100+PlayerGameData[[#This Row],[REBOrder]],PlayerGameData[[#This Row],[REBOrder]])</f>
        <v>194.16</v>
      </c>
      <c r="AQ593" s="8">
        <f ca="1">RANK(PlayerGameData[[#This Row],[REBTieBreak]],PlayerGameData[REBTieBreak],1)</f>
        <v>224</v>
      </c>
      <c r="AR593" s="8">
        <f ca="1">RANK(PlayerGameData[[#This Row],[AST]],PlayerGameData[AST],0)+PlayerGameData[[#This Row],[VisibleOrder]]</f>
        <v>158</v>
      </c>
      <c r="AS593" s="8">
        <f ca="1">IF(COUNTIF(PlayerGameData[ASTOrder],PlayerGameData[[#This Row],[ASTOrder]])&gt;1,PlayerGameData[[#This Row],[PointRank]]/100+PlayerGameData[[#This Row],[ASTOrder]],PlayerGameData[[#This Row],[ASTOrder]])</f>
        <v>160.16</v>
      </c>
      <c r="AT593" s="8">
        <f ca="1">RANK(PlayerGameData[[#This Row],[ASTTieBreak]],PlayerGameData[ASTTieBreak],1)</f>
        <v>221</v>
      </c>
      <c r="AU593" s="8">
        <f ca="1">RANK(PlayerGameData[[#This Row],[STL]],PlayerGameData[STL],0)+PlayerGameData[[#This Row],[VisibleOrder]]</f>
        <v>143</v>
      </c>
      <c r="AV593" s="8">
        <f ca="1">IF(COUNTIF(PlayerGameData[STLOrder],PlayerGameData[[#This Row],[STLOrder]])&gt;1,PlayerGameData[[#This Row],[PointRank]]/100+PlayerGameData[[#This Row],[STLOrder]],PlayerGameData[[#This Row],[STLOrder]])</f>
        <v>145.16</v>
      </c>
      <c r="AW593" s="8">
        <f ca="1">RANK(PlayerGameData[[#This Row],[STLTieBreak]],PlayerGameData[STLTieBreak],1)</f>
        <v>217</v>
      </c>
      <c r="AX593" s="8">
        <f ca="1">RANK(PlayerGameData[[#This Row],[BLK]],PlayerGameData[BLK],0)+PlayerGameData[[#This Row],[VisibleOrder]]</f>
        <v>32</v>
      </c>
      <c r="AY593" s="8">
        <f ca="1">IF(COUNTIF(PlayerGameData[BLKOrder],PlayerGameData[[#This Row],[BLKOrder]])&gt;1,PlayerGameData[[#This Row],[PointRank]]/100+PlayerGameData[[#This Row],[BLKOrder]],PlayerGameData[[#This Row],[BLKOrder]])</f>
        <v>34.159999999999997</v>
      </c>
      <c r="AZ593" s="8">
        <f ca="1">RANK(PlayerGameData[[#This Row],[BLKTieBreak]],PlayerGameData[BLKTieBreak],1)</f>
        <v>216</v>
      </c>
      <c r="BA593" s="11">
        <f ca="1">IFERROR(IF(PlayerGameData[[#This Row],[FGA]]&gt;$AA$5,PlayerGameData[[#This Row],[FG%*]],PlayerGameData[[#This Row],[FG%*]]*-1),-2)</f>
        <v>-2</v>
      </c>
      <c r="BB593" s="8">
        <f ca="1">RANK(PlayerGameData[[#This Row],[EligFG]],PlayerGameData[EligFG],0)+PlayerGameData[[#This Row],[VisibleOrder]]</f>
        <v>215</v>
      </c>
      <c r="BC593" s="8">
        <f ca="1">IF(COUNTIF(PlayerGameData[EligFGOrder],PlayerGameData[[#This Row],[EligFGOrder]])&gt;1,PlayerGameData[[#This Row],[PointRank]]/100+PlayerGameData[[#This Row],[EligFGOrder]],PlayerGameData[[#This Row],[EligFGOrder]])</f>
        <v>217.16</v>
      </c>
      <c r="BD593" s="8">
        <f ca="1">RANK(PlayerGameData[[#This Row],[EligFGTieBreak]],PlayerGameData[EligFGTieBreak],1)</f>
        <v>216</v>
      </c>
      <c r="BE593" s="8" t="str">
        <f>Roster!$D$3</f>
        <v>East</v>
      </c>
      <c r="BF593" s="8" t="str">
        <f>Roster!$D$2</f>
        <v>Northeast</v>
      </c>
      <c r="BG593" s="8" t="str">
        <f>Roster!$D$4</f>
        <v>North</v>
      </c>
      <c r="BH593" s="197">
        <f ca="1">IFERROR(VLOOKUP(CONCATENATE(PlayerGameData[[#This Row],[Opponent]]," ",MONTH(PlayerGameData[[#This Row],[Date]]),"/",DAY(PlayerGameData[[#This Row],[Date]]),"/",YEAR(PlayerGameData[[#This Row],[Date]])),Table35[],2,FALSE),0)</f>
        <v>1</v>
      </c>
      <c r="BI593" s="197">
        <f ca="1">IF(PlayerGameData[[#This Row],[Visible]]=1,1,1000)</f>
        <v>1</v>
      </c>
      <c r="BJ593" s="197" t="e">
        <f ca="1">_xlfn.MAXIFS(TeamGameData[Win],TeamGameData[School, Opponent,Game'#],PlayerGameData[[#This Row],[School, Opponent,Game'#]])</f>
        <v>#NAME?</v>
      </c>
      <c r="BK593" s="197" t="e">
        <f ca="1">_xlfn.MAXIFS(TeamGameData[Loss],TeamGameData[School, Opponent,Game'#],PlayerGameData[[#This Row],[School, Opponent,Game'#]])</f>
        <v>#NAME?</v>
      </c>
    </row>
    <row r="594" spans="1:63" x14ac:dyDescent="0.25">
      <c r="A594" s="8" t="str">
        <f t="shared" ca="1" si="303"/>
        <v>Jacob McNutt, 34</v>
      </c>
      <c r="B594" s="8" t="str">
        <f>Roster!$B$1</f>
        <v>Upton</v>
      </c>
      <c r="C594" s="8" t="str">
        <f t="shared" ca="1" si="291"/>
        <v>Cokeville</v>
      </c>
      <c r="D594" s="10">
        <f t="shared" ca="1" si="292"/>
        <v>44988</v>
      </c>
      <c r="E594" s="8">
        <f t="shared" ca="1" si="293"/>
        <v>0</v>
      </c>
      <c r="F594" s="8">
        <f t="shared" ca="1" si="294"/>
        <v>0</v>
      </c>
      <c r="G594" s="8">
        <f t="shared" ca="1" si="295"/>
        <v>0</v>
      </c>
      <c r="H594" s="8">
        <f t="shared" ca="1" si="296"/>
        <v>0</v>
      </c>
      <c r="I594" s="8">
        <f t="shared" ca="1" si="297"/>
        <v>0</v>
      </c>
      <c r="J594" s="8">
        <f t="shared" ca="1" si="298"/>
        <v>0</v>
      </c>
      <c r="K594" s="8">
        <f t="shared" ca="1" si="299"/>
        <v>0</v>
      </c>
      <c r="L594" s="8">
        <f t="shared" ca="1" si="304"/>
        <v>0</v>
      </c>
      <c r="M594" s="8">
        <f t="shared" ca="1" si="305"/>
        <v>0</v>
      </c>
      <c r="N594" s="8">
        <f t="shared" ca="1" si="306"/>
        <v>0</v>
      </c>
      <c r="O594" s="8">
        <f t="shared" ca="1" si="307"/>
        <v>0</v>
      </c>
      <c r="P594" s="8">
        <f t="shared" ca="1" si="308"/>
        <v>0</v>
      </c>
      <c r="Q594" s="8">
        <f t="shared" ca="1" si="309"/>
        <v>0</v>
      </c>
      <c r="R594" s="8">
        <f t="shared" ca="1" si="310"/>
        <v>0</v>
      </c>
      <c r="S594" s="8">
        <f t="shared" ca="1" si="311"/>
        <v>0</v>
      </c>
      <c r="T594" s="8">
        <f t="shared" ca="1" si="312"/>
        <v>0</v>
      </c>
      <c r="U594" s="8">
        <f t="shared" ca="1" si="313"/>
        <v>0</v>
      </c>
      <c r="V594" s="8">
        <f t="shared" ca="1" si="314"/>
        <v>0</v>
      </c>
      <c r="W594" s="11" t="str">
        <f t="shared" ca="1" si="315"/>
        <v/>
      </c>
      <c r="X594" s="11" t="str">
        <f t="shared" ca="1" si="316"/>
        <v/>
      </c>
      <c r="Y594" s="11" t="str">
        <f t="shared" ca="1" si="317"/>
        <v/>
      </c>
      <c r="Z594" s="11" t="str">
        <f t="shared" ca="1" si="318"/>
        <v/>
      </c>
      <c r="AA594" s="11" t="str">
        <f t="shared" ca="1" si="319"/>
        <v/>
      </c>
      <c r="AB594" s="47">
        <f ca="1">PlayerGameData[[#This Row],[3FGA]]+PlayerGameData[[#This Row],[2FGA]]</f>
        <v>0</v>
      </c>
      <c r="AC594" s="47">
        <f ca="1">PlayerGameData[[#This Row],[OFF REB]]+PlayerGameData[[#This Row],[DEF REB]]</f>
        <v>0</v>
      </c>
      <c r="AD594" s="8">
        <f t="shared" si="300"/>
        <v>25</v>
      </c>
      <c r="AE594" s="8" t="str">
        <f t="shared" ca="1" si="301"/>
        <v>Jacob McNutt, 34 - Cokeville 3/3/2023</v>
      </c>
      <c r="AF594" s="8" t="str">
        <f t="shared" ca="1" si="320"/>
        <v/>
      </c>
      <c r="AG594" s="8" t="str">
        <f ca="1">IFERROR(IF(C594=0,"",IF(AND(VLOOKUP(PlayerGameData[[#This Row],[Opponent]],WYTeamInfo,2,FALSE)=Roster!$D$1,VLOOKUP(PlayerGameData[[#This Row],[Opponent]],WYTeamInfo,3,FALSE)=Roster!$D$2),"SR","")),"")</f>
        <v/>
      </c>
      <c r="AH594" s="8" t="str">
        <f>CONCATENATE(Roster!$D$1," ",Roster!$D$5)</f>
        <v>1A BB</v>
      </c>
      <c r="AI594" s="8" t="str">
        <f t="shared" ca="1" si="302"/>
        <v>Upton - Cokeville 3/3/2023</v>
      </c>
      <c r="AJ594" s="8">
        <f ca="1">IFERROR(VLOOKUP(PlayerGameData[[#This Row],[School, Opponent,Game'#]],Table3[],2,FALSE),0)</f>
        <v>1</v>
      </c>
      <c r="AK594" s="8">
        <f ca="1">IF(PlayerGameData[[#This Row],[Visible]]=1,1,1000)</f>
        <v>1</v>
      </c>
      <c r="AL594" s="8">
        <f ca="1">RANK(PlayerGameData[[#This Row],[TL PTS]],PlayerGameData[TL PTS],0)+PlayerGameData[[#This Row],[VisibleOrder]]</f>
        <v>185</v>
      </c>
      <c r="AM594" s="8">
        <f ca="1">IF(COUNTIF(PlayerGameData[PointOrder],PlayerGameData[[#This Row],[PointOrder]])&gt;1,RANK(PlayerGameData[[#This Row],[FGA]],PlayerGameData[FGA],0)/100,0)+PlayerGameData[[#This Row],[PointOrder]]</f>
        <v>187.14</v>
      </c>
      <c r="AN594" s="8">
        <f ca="1">RANK(PlayerGameData[[#This Row],[PointTieBreak]],PlayerGameData[PointTieBreak],1)</f>
        <v>216</v>
      </c>
      <c r="AO594" s="8">
        <f ca="1">RANK(PlayerGameData[[#This Row],[REB]],PlayerGameData[REB],0)+PlayerGameData[[#This Row],[VisibleOrder]]</f>
        <v>192</v>
      </c>
      <c r="AP594" s="8">
        <f ca="1">IF(COUNTIF(PlayerGameData[REBOrder],PlayerGameData[[#This Row],[REBOrder]])&gt;1,PlayerGameData[[#This Row],[PointRank]]/100+PlayerGameData[[#This Row],[REBOrder]],PlayerGameData[[#This Row],[REBOrder]])</f>
        <v>194.16</v>
      </c>
      <c r="AQ594" s="8">
        <f ca="1">RANK(PlayerGameData[[#This Row],[REBTieBreak]],PlayerGameData[REBTieBreak],1)</f>
        <v>224</v>
      </c>
      <c r="AR594" s="8">
        <f ca="1">RANK(PlayerGameData[[#This Row],[AST]],PlayerGameData[AST],0)+PlayerGameData[[#This Row],[VisibleOrder]]</f>
        <v>158</v>
      </c>
      <c r="AS594" s="8">
        <f ca="1">IF(COUNTIF(PlayerGameData[ASTOrder],PlayerGameData[[#This Row],[ASTOrder]])&gt;1,PlayerGameData[[#This Row],[PointRank]]/100+PlayerGameData[[#This Row],[ASTOrder]],PlayerGameData[[#This Row],[ASTOrder]])</f>
        <v>160.16</v>
      </c>
      <c r="AT594" s="8">
        <f ca="1">RANK(PlayerGameData[[#This Row],[ASTTieBreak]],PlayerGameData[ASTTieBreak],1)</f>
        <v>221</v>
      </c>
      <c r="AU594" s="8">
        <f ca="1">RANK(PlayerGameData[[#This Row],[STL]],PlayerGameData[STL],0)+PlayerGameData[[#This Row],[VisibleOrder]]</f>
        <v>143</v>
      </c>
      <c r="AV594" s="8">
        <f ca="1">IF(COUNTIF(PlayerGameData[STLOrder],PlayerGameData[[#This Row],[STLOrder]])&gt;1,PlayerGameData[[#This Row],[PointRank]]/100+PlayerGameData[[#This Row],[STLOrder]],PlayerGameData[[#This Row],[STLOrder]])</f>
        <v>145.16</v>
      </c>
      <c r="AW594" s="8">
        <f ca="1">RANK(PlayerGameData[[#This Row],[STLTieBreak]],PlayerGameData[STLTieBreak],1)</f>
        <v>217</v>
      </c>
      <c r="AX594" s="8">
        <f ca="1">RANK(PlayerGameData[[#This Row],[BLK]],PlayerGameData[BLK],0)+PlayerGameData[[#This Row],[VisibleOrder]]</f>
        <v>32</v>
      </c>
      <c r="AY594" s="8">
        <f ca="1">IF(COUNTIF(PlayerGameData[BLKOrder],PlayerGameData[[#This Row],[BLKOrder]])&gt;1,PlayerGameData[[#This Row],[PointRank]]/100+PlayerGameData[[#This Row],[BLKOrder]],PlayerGameData[[#This Row],[BLKOrder]])</f>
        <v>34.159999999999997</v>
      </c>
      <c r="AZ594" s="8">
        <f ca="1">RANK(PlayerGameData[[#This Row],[BLKTieBreak]],PlayerGameData[BLKTieBreak],1)</f>
        <v>216</v>
      </c>
      <c r="BA594" s="11">
        <f ca="1">IFERROR(IF(PlayerGameData[[#This Row],[FGA]]&gt;$AA$5,PlayerGameData[[#This Row],[FG%*]],PlayerGameData[[#This Row],[FG%*]]*-1),-2)</f>
        <v>-2</v>
      </c>
      <c r="BB594" s="8">
        <f ca="1">RANK(PlayerGameData[[#This Row],[EligFG]],PlayerGameData[EligFG],0)+PlayerGameData[[#This Row],[VisibleOrder]]</f>
        <v>215</v>
      </c>
      <c r="BC594" s="8">
        <f ca="1">IF(COUNTIF(PlayerGameData[EligFGOrder],PlayerGameData[[#This Row],[EligFGOrder]])&gt;1,PlayerGameData[[#This Row],[PointRank]]/100+PlayerGameData[[#This Row],[EligFGOrder]],PlayerGameData[[#This Row],[EligFGOrder]])</f>
        <v>217.16</v>
      </c>
      <c r="BD594" s="8">
        <f ca="1">RANK(PlayerGameData[[#This Row],[EligFGTieBreak]],PlayerGameData[EligFGTieBreak],1)</f>
        <v>216</v>
      </c>
      <c r="BE594" s="8" t="str">
        <f>Roster!$D$3</f>
        <v>East</v>
      </c>
      <c r="BF594" s="8" t="str">
        <f>Roster!$D$2</f>
        <v>Northeast</v>
      </c>
      <c r="BG594" s="8" t="str">
        <f>Roster!$D$4</f>
        <v>North</v>
      </c>
      <c r="BH594" s="197">
        <f ca="1">IFERROR(VLOOKUP(CONCATENATE(PlayerGameData[[#This Row],[Opponent]]," ",MONTH(PlayerGameData[[#This Row],[Date]]),"/",DAY(PlayerGameData[[#This Row],[Date]]),"/",YEAR(PlayerGameData[[#This Row],[Date]])),Table35[],2,FALSE),0)</f>
        <v>1</v>
      </c>
      <c r="BI594" s="197">
        <f ca="1">IF(PlayerGameData[[#This Row],[Visible]]=1,1,1000)</f>
        <v>1</v>
      </c>
      <c r="BJ594" s="197" t="e">
        <f ca="1">_xlfn.MAXIFS(TeamGameData[Win],TeamGameData[School, Opponent,Game'#],PlayerGameData[[#This Row],[School, Opponent,Game'#]])</f>
        <v>#NAME?</v>
      </c>
      <c r="BK594" s="197" t="e">
        <f ca="1">_xlfn.MAXIFS(TeamGameData[Loss],TeamGameData[School, Opponent,Game'#],PlayerGameData[[#This Row],[School, Opponent,Game'#]])</f>
        <v>#NAME?</v>
      </c>
    </row>
    <row r="595" spans="1:63" x14ac:dyDescent="0.25">
      <c r="A595" s="8" t="str">
        <f t="shared" ca="1" si="303"/>
        <v>Ryan Baker, 35</v>
      </c>
      <c r="B595" s="8" t="str">
        <f>Roster!$B$1</f>
        <v>Upton</v>
      </c>
      <c r="C595" s="8" t="str">
        <f t="shared" ca="1" si="291"/>
        <v>Cokeville</v>
      </c>
      <c r="D595" s="10">
        <f t="shared" ca="1" si="292"/>
        <v>44988</v>
      </c>
      <c r="E595" s="8">
        <f t="shared" ca="1" si="293"/>
        <v>1</v>
      </c>
      <c r="F595" s="8">
        <f t="shared" ca="1" si="294"/>
        <v>0</v>
      </c>
      <c r="G595" s="8">
        <f t="shared" ca="1" si="295"/>
        <v>0</v>
      </c>
      <c r="H595" s="8">
        <f t="shared" ca="1" si="296"/>
        <v>0</v>
      </c>
      <c r="I595" s="8">
        <f t="shared" ca="1" si="297"/>
        <v>1</v>
      </c>
      <c r="J595" s="8">
        <f t="shared" ca="1" si="298"/>
        <v>0</v>
      </c>
      <c r="K595" s="8">
        <f t="shared" ca="1" si="299"/>
        <v>3</v>
      </c>
      <c r="L595" s="8">
        <f t="shared" ca="1" si="304"/>
        <v>0</v>
      </c>
      <c r="M595" s="8">
        <f t="shared" ca="1" si="305"/>
        <v>2</v>
      </c>
      <c r="N595" s="8">
        <f t="shared" ca="1" si="306"/>
        <v>1</v>
      </c>
      <c r="O595" s="8">
        <f t="shared" ca="1" si="307"/>
        <v>1</v>
      </c>
      <c r="P595" s="8">
        <f t="shared" ca="1" si="308"/>
        <v>0</v>
      </c>
      <c r="Q595" s="8">
        <f t="shared" ca="1" si="309"/>
        <v>0</v>
      </c>
      <c r="R595" s="8">
        <f t="shared" ca="1" si="310"/>
        <v>0</v>
      </c>
      <c r="S595" s="8">
        <f t="shared" ca="1" si="311"/>
        <v>0</v>
      </c>
      <c r="T595" s="8">
        <f t="shared" ca="1" si="312"/>
        <v>0</v>
      </c>
      <c r="U595" s="8">
        <f t="shared" ca="1" si="313"/>
        <v>0</v>
      </c>
      <c r="V595" s="8">
        <f t="shared" ca="1" si="314"/>
        <v>0</v>
      </c>
      <c r="W595" s="11">
        <f t="shared" ca="1" si="315"/>
        <v>0</v>
      </c>
      <c r="X595" s="11">
        <f t="shared" ca="1" si="316"/>
        <v>0</v>
      </c>
      <c r="Y595" s="11">
        <f t="shared" ca="1" si="317"/>
        <v>0</v>
      </c>
      <c r="Z595" s="11">
        <f t="shared" ca="1" si="318"/>
        <v>0</v>
      </c>
      <c r="AA595" s="11">
        <f t="shared" ca="1" si="319"/>
        <v>0</v>
      </c>
      <c r="AB595" s="47">
        <f ca="1">PlayerGameData[[#This Row],[3FGA]]+PlayerGameData[[#This Row],[2FGA]]</f>
        <v>4</v>
      </c>
      <c r="AC595" s="47">
        <f ca="1">PlayerGameData[[#This Row],[OFF REB]]+PlayerGameData[[#This Row],[DEF REB]]</f>
        <v>2</v>
      </c>
      <c r="AD595" s="8">
        <f t="shared" si="300"/>
        <v>25</v>
      </c>
      <c r="AE595" s="8" t="str">
        <f t="shared" ca="1" si="301"/>
        <v>Ryan Baker, 35 - Cokeville 3/3/2023</v>
      </c>
      <c r="AF595" s="8" t="str">
        <f t="shared" ca="1" si="320"/>
        <v/>
      </c>
      <c r="AG595" s="8" t="str">
        <f ca="1">IFERROR(IF(C595=0,"",IF(AND(VLOOKUP(PlayerGameData[[#This Row],[Opponent]],WYTeamInfo,2,FALSE)=Roster!$D$1,VLOOKUP(PlayerGameData[[#This Row],[Opponent]],WYTeamInfo,3,FALSE)=Roster!$D$2),"SR","")),"")</f>
        <v/>
      </c>
      <c r="AH595" s="8" t="str">
        <f>CONCATENATE(Roster!$D$1," ",Roster!$D$5)</f>
        <v>1A BB</v>
      </c>
      <c r="AI595" s="8" t="str">
        <f t="shared" ca="1" si="302"/>
        <v>Upton - Cokeville 3/3/2023</v>
      </c>
      <c r="AJ595" s="8">
        <f ca="1">IFERROR(VLOOKUP(PlayerGameData[[#This Row],[School, Opponent,Game'#]],Table3[],2,FALSE),0)</f>
        <v>1</v>
      </c>
      <c r="AK595" s="8">
        <f ca="1">IF(PlayerGameData[[#This Row],[Visible]]=1,1,1000)</f>
        <v>1</v>
      </c>
      <c r="AL595" s="8">
        <f ca="1">RANK(PlayerGameData[[#This Row],[TL PTS]],PlayerGameData[TL PTS],0)+PlayerGameData[[#This Row],[VisibleOrder]]</f>
        <v>185</v>
      </c>
      <c r="AM595" s="8">
        <f ca="1">IF(COUNTIF(PlayerGameData[PointOrder],PlayerGameData[[#This Row],[PointOrder]])&gt;1,RANK(PlayerGameData[[#This Row],[FGA]],PlayerGameData[FGA],0)/100,0)+PlayerGameData[[#This Row],[PointOrder]]</f>
        <v>186.27</v>
      </c>
      <c r="AN595" s="8">
        <f ca="1">RANK(PlayerGameData[[#This Row],[PointTieBreak]],PlayerGameData[PointTieBreak],1)</f>
        <v>185</v>
      </c>
      <c r="AO595" s="8">
        <f ca="1">RANK(PlayerGameData[[#This Row],[REB]],PlayerGameData[REB],0)+PlayerGameData[[#This Row],[VisibleOrder]]</f>
        <v>137</v>
      </c>
      <c r="AP595" s="8">
        <f ca="1">IF(COUNTIF(PlayerGameData[REBOrder],PlayerGameData[[#This Row],[REBOrder]])&gt;1,PlayerGameData[[#This Row],[PointRank]]/100+PlayerGameData[[#This Row],[REBOrder]],PlayerGameData[[#This Row],[REBOrder]])</f>
        <v>138.85</v>
      </c>
      <c r="AQ595" s="8">
        <f ca="1">RANK(PlayerGameData[[#This Row],[REBTieBreak]],PlayerGameData[REBTieBreak],1)</f>
        <v>156</v>
      </c>
      <c r="AR595" s="8">
        <f ca="1">RANK(PlayerGameData[[#This Row],[AST]],PlayerGameData[AST],0)+PlayerGameData[[#This Row],[VisibleOrder]]</f>
        <v>158</v>
      </c>
      <c r="AS595" s="8">
        <f ca="1">IF(COUNTIF(PlayerGameData[ASTOrder],PlayerGameData[[#This Row],[ASTOrder]])&gt;1,PlayerGameData[[#This Row],[PointRank]]/100+PlayerGameData[[#This Row],[ASTOrder]],PlayerGameData[[#This Row],[ASTOrder]])</f>
        <v>159.85</v>
      </c>
      <c r="AT595" s="8">
        <f ca="1">RANK(PlayerGameData[[#This Row],[ASTTieBreak]],PlayerGameData[ASTTieBreak],1)</f>
        <v>201</v>
      </c>
      <c r="AU595" s="8">
        <f ca="1">RANK(PlayerGameData[[#This Row],[STL]],PlayerGameData[STL],0)+PlayerGameData[[#This Row],[VisibleOrder]]</f>
        <v>143</v>
      </c>
      <c r="AV595" s="8">
        <f ca="1">IF(COUNTIF(PlayerGameData[STLOrder],PlayerGameData[[#This Row],[STLOrder]])&gt;1,PlayerGameData[[#This Row],[PointRank]]/100+PlayerGameData[[#This Row],[STLOrder]],PlayerGameData[[#This Row],[STLOrder]])</f>
        <v>144.85</v>
      </c>
      <c r="AW595" s="8">
        <f ca="1">RANK(PlayerGameData[[#This Row],[STLTieBreak]],PlayerGameData[STLTieBreak],1)</f>
        <v>194</v>
      </c>
      <c r="AX595" s="8">
        <f ca="1">RANK(PlayerGameData[[#This Row],[BLK]],PlayerGameData[BLK],0)+PlayerGameData[[#This Row],[VisibleOrder]]</f>
        <v>32</v>
      </c>
      <c r="AY595" s="8">
        <f ca="1">IF(COUNTIF(PlayerGameData[BLKOrder],PlayerGameData[[#This Row],[BLKOrder]])&gt;1,PlayerGameData[[#This Row],[PointRank]]/100+PlayerGameData[[#This Row],[BLKOrder]],PlayerGameData[[#This Row],[BLKOrder]])</f>
        <v>33.85</v>
      </c>
      <c r="AZ595" s="8">
        <f ca="1">RANK(PlayerGameData[[#This Row],[BLKTieBreak]],PlayerGameData[BLKTieBreak],1)</f>
        <v>186</v>
      </c>
      <c r="BA595" s="11">
        <f ca="1">IFERROR(IF(PlayerGameData[[#This Row],[FGA]]&gt;$AA$5,PlayerGameData[[#This Row],[FG%*]],PlayerGameData[[#This Row],[FG%*]]*-1),-2)</f>
        <v>0</v>
      </c>
      <c r="BB595" s="8">
        <f ca="1">RANK(PlayerGameData[[#This Row],[EligFG]],PlayerGameData[EligFG],0)+PlayerGameData[[#This Row],[VisibleOrder]]</f>
        <v>117</v>
      </c>
      <c r="BC595" s="8">
        <f ca="1">IF(COUNTIF(PlayerGameData[EligFGOrder],PlayerGameData[[#This Row],[EligFGOrder]])&gt;1,PlayerGameData[[#This Row],[PointRank]]/100+PlayerGameData[[#This Row],[EligFGOrder]],PlayerGameData[[#This Row],[EligFGOrder]])</f>
        <v>118.85</v>
      </c>
      <c r="BD595" s="8">
        <f ca="1">RANK(PlayerGameData[[#This Row],[EligFGTieBreak]],PlayerGameData[EligFGTieBreak],1)</f>
        <v>127</v>
      </c>
      <c r="BE595" s="8" t="str">
        <f>Roster!$D$3</f>
        <v>East</v>
      </c>
      <c r="BF595" s="8" t="str">
        <f>Roster!$D$2</f>
        <v>Northeast</v>
      </c>
      <c r="BG595" s="8" t="str">
        <f>Roster!$D$4</f>
        <v>North</v>
      </c>
      <c r="BH595" s="197">
        <f ca="1">IFERROR(VLOOKUP(CONCATENATE(PlayerGameData[[#This Row],[Opponent]]," ",MONTH(PlayerGameData[[#This Row],[Date]]),"/",DAY(PlayerGameData[[#This Row],[Date]]),"/",YEAR(PlayerGameData[[#This Row],[Date]])),Table35[],2,FALSE),0)</f>
        <v>1</v>
      </c>
      <c r="BI595" s="197">
        <f ca="1">IF(PlayerGameData[[#This Row],[Visible]]=1,1,1000)</f>
        <v>1</v>
      </c>
      <c r="BJ595" s="197" t="e">
        <f ca="1">_xlfn.MAXIFS(TeamGameData[Win],TeamGameData[School, Opponent,Game'#],PlayerGameData[[#This Row],[School, Opponent,Game'#]])</f>
        <v>#NAME?</v>
      </c>
      <c r="BK595" s="197" t="e">
        <f ca="1">_xlfn.MAXIFS(TeamGameData[Loss],TeamGameData[School, Opponent,Game'#],PlayerGameData[[#This Row],[School, Opponent,Game'#]])</f>
        <v>#NAME?</v>
      </c>
    </row>
    <row r="596" spans="1:63" x14ac:dyDescent="0.25">
      <c r="A596" s="8" t="str">
        <f t="shared" ca="1" si="303"/>
        <v xml:space="preserve">, </v>
      </c>
      <c r="B596" s="8" t="str">
        <f>Roster!$B$1</f>
        <v>Upton</v>
      </c>
      <c r="C596" s="8" t="str">
        <f t="shared" ca="1" si="291"/>
        <v>Cokeville</v>
      </c>
      <c r="D596" s="10">
        <f t="shared" ca="1" si="292"/>
        <v>44988</v>
      </c>
      <c r="E596" s="8">
        <f t="shared" ca="1" si="293"/>
        <v>0</v>
      </c>
      <c r="F596" s="8">
        <f t="shared" ca="1" si="294"/>
        <v>0</v>
      </c>
      <c r="G596" s="8">
        <f t="shared" ca="1" si="295"/>
        <v>0</v>
      </c>
      <c r="H596" s="8">
        <f t="shared" ca="1" si="296"/>
        <v>0</v>
      </c>
      <c r="I596" s="8">
        <f t="shared" ca="1" si="297"/>
        <v>0</v>
      </c>
      <c r="J596" s="8">
        <f t="shared" ca="1" si="298"/>
        <v>0</v>
      </c>
      <c r="K596" s="8">
        <f t="shared" ca="1" si="299"/>
        <v>0</v>
      </c>
      <c r="L596" s="8">
        <f t="shared" ca="1" si="304"/>
        <v>0</v>
      </c>
      <c r="M596" s="8">
        <f t="shared" ca="1" si="305"/>
        <v>0</v>
      </c>
      <c r="N596" s="8">
        <f t="shared" ca="1" si="306"/>
        <v>0</v>
      </c>
      <c r="O596" s="8">
        <f t="shared" ca="1" si="307"/>
        <v>0</v>
      </c>
      <c r="P596" s="8">
        <f t="shared" ca="1" si="308"/>
        <v>0</v>
      </c>
      <c r="Q596" s="8">
        <f t="shared" ca="1" si="309"/>
        <v>0</v>
      </c>
      <c r="R596" s="8">
        <f t="shared" ca="1" si="310"/>
        <v>0</v>
      </c>
      <c r="S596" s="8">
        <f t="shared" ca="1" si="311"/>
        <v>0</v>
      </c>
      <c r="T596" s="8">
        <f t="shared" ca="1" si="312"/>
        <v>0</v>
      </c>
      <c r="U596" s="8">
        <f t="shared" ca="1" si="313"/>
        <v>0</v>
      </c>
      <c r="V596" s="8">
        <f t="shared" ca="1" si="314"/>
        <v>0</v>
      </c>
      <c r="W596" s="11" t="str">
        <f t="shared" ca="1" si="315"/>
        <v/>
      </c>
      <c r="X596" s="11" t="str">
        <f t="shared" ca="1" si="316"/>
        <v/>
      </c>
      <c r="Y596" s="11" t="str">
        <f t="shared" ca="1" si="317"/>
        <v/>
      </c>
      <c r="Z596" s="11" t="str">
        <f t="shared" ca="1" si="318"/>
        <v/>
      </c>
      <c r="AA596" s="11" t="str">
        <f t="shared" ca="1" si="319"/>
        <v/>
      </c>
      <c r="AB596" s="47">
        <f ca="1">PlayerGameData[[#This Row],[3FGA]]+PlayerGameData[[#This Row],[2FGA]]</f>
        <v>0</v>
      </c>
      <c r="AC596" s="47">
        <f ca="1">PlayerGameData[[#This Row],[OFF REB]]+PlayerGameData[[#This Row],[DEF REB]]</f>
        <v>0</v>
      </c>
      <c r="AD596" s="8">
        <f t="shared" si="300"/>
        <v>25</v>
      </c>
      <c r="AE596" s="8" t="str">
        <f t="shared" ca="1" si="301"/>
        <v>,  - Cokeville 3/3/2023</v>
      </c>
      <c r="AF596" s="8" t="str">
        <f t="shared" ca="1" si="320"/>
        <v/>
      </c>
      <c r="AG596" s="8" t="str">
        <f ca="1">IFERROR(IF(C596=0,"",IF(AND(VLOOKUP(PlayerGameData[[#This Row],[Opponent]],WYTeamInfo,2,FALSE)=Roster!$D$1,VLOOKUP(PlayerGameData[[#This Row],[Opponent]],WYTeamInfo,3,FALSE)=Roster!$D$2),"SR","")),"")</f>
        <v/>
      </c>
      <c r="AH596" s="8" t="str">
        <f>CONCATENATE(Roster!$D$1," ",Roster!$D$5)</f>
        <v>1A BB</v>
      </c>
      <c r="AI596" s="8" t="str">
        <f t="shared" ca="1" si="302"/>
        <v>Upton - Cokeville 3/3/2023</v>
      </c>
      <c r="AJ596" s="8">
        <f ca="1">IFERROR(VLOOKUP(PlayerGameData[[#This Row],[School, Opponent,Game'#]],Table3[],2,FALSE),0)</f>
        <v>1</v>
      </c>
      <c r="AK596" s="8">
        <f ca="1">IF(PlayerGameData[[#This Row],[Visible]]=1,1,1000)</f>
        <v>1</v>
      </c>
      <c r="AL596" s="8">
        <f ca="1">RANK(PlayerGameData[[#This Row],[TL PTS]],PlayerGameData[TL PTS],0)+PlayerGameData[[#This Row],[VisibleOrder]]</f>
        <v>185</v>
      </c>
      <c r="AM596" s="8">
        <f ca="1">IF(COUNTIF(PlayerGameData[PointOrder],PlayerGameData[[#This Row],[PointOrder]])&gt;1,RANK(PlayerGameData[[#This Row],[FGA]],PlayerGameData[FGA],0)/100,0)+PlayerGameData[[#This Row],[PointOrder]]</f>
        <v>187.14</v>
      </c>
      <c r="AN596" s="8">
        <f ca="1">RANK(PlayerGameData[[#This Row],[PointTieBreak]],PlayerGameData[PointTieBreak],1)</f>
        <v>216</v>
      </c>
      <c r="AO596" s="8">
        <f ca="1">RANK(PlayerGameData[[#This Row],[REB]],PlayerGameData[REB],0)+PlayerGameData[[#This Row],[VisibleOrder]]</f>
        <v>192</v>
      </c>
      <c r="AP596" s="8">
        <f ca="1">IF(COUNTIF(PlayerGameData[REBOrder],PlayerGameData[[#This Row],[REBOrder]])&gt;1,PlayerGameData[[#This Row],[PointRank]]/100+PlayerGameData[[#This Row],[REBOrder]],PlayerGameData[[#This Row],[REBOrder]])</f>
        <v>194.16</v>
      </c>
      <c r="AQ596" s="8">
        <f ca="1">RANK(PlayerGameData[[#This Row],[REBTieBreak]],PlayerGameData[REBTieBreak],1)</f>
        <v>224</v>
      </c>
      <c r="AR596" s="8">
        <f ca="1">RANK(PlayerGameData[[#This Row],[AST]],PlayerGameData[AST],0)+PlayerGameData[[#This Row],[VisibleOrder]]</f>
        <v>158</v>
      </c>
      <c r="AS596" s="8">
        <f ca="1">IF(COUNTIF(PlayerGameData[ASTOrder],PlayerGameData[[#This Row],[ASTOrder]])&gt;1,PlayerGameData[[#This Row],[PointRank]]/100+PlayerGameData[[#This Row],[ASTOrder]],PlayerGameData[[#This Row],[ASTOrder]])</f>
        <v>160.16</v>
      </c>
      <c r="AT596" s="8">
        <f ca="1">RANK(PlayerGameData[[#This Row],[ASTTieBreak]],PlayerGameData[ASTTieBreak],1)</f>
        <v>221</v>
      </c>
      <c r="AU596" s="8">
        <f ca="1">RANK(PlayerGameData[[#This Row],[STL]],PlayerGameData[STL],0)+PlayerGameData[[#This Row],[VisibleOrder]]</f>
        <v>143</v>
      </c>
      <c r="AV596" s="8">
        <f ca="1">IF(COUNTIF(PlayerGameData[STLOrder],PlayerGameData[[#This Row],[STLOrder]])&gt;1,PlayerGameData[[#This Row],[PointRank]]/100+PlayerGameData[[#This Row],[STLOrder]],PlayerGameData[[#This Row],[STLOrder]])</f>
        <v>145.16</v>
      </c>
      <c r="AW596" s="8">
        <f ca="1">RANK(PlayerGameData[[#This Row],[STLTieBreak]],PlayerGameData[STLTieBreak],1)</f>
        <v>217</v>
      </c>
      <c r="AX596" s="8">
        <f ca="1">RANK(PlayerGameData[[#This Row],[BLK]],PlayerGameData[BLK],0)+PlayerGameData[[#This Row],[VisibleOrder]]</f>
        <v>32</v>
      </c>
      <c r="AY596" s="8">
        <f ca="1">IF(COUNTIF(PlayerGameData[BLKOrder],PlayerGameData[[#This Row],[BLKOrder]])&gt;1,PlayerGameData[[#This Row],[PointRank]]/100+PlayerGameData[[#This Row],[BLKOrder]],PlayerGameData[[#This Row],[BLKOrder]])</f>
        <v>34.159999999999997</v>
      </c>
      <c r="AZ596" s="8">
        <f ca="1">RANK(PlayerGameData[[#This Row],[BLKTieBreak]],PlayerGameData[BLKTieBreak],1)</f>
        <v>216</v>
      </c>
      <c r="BA596" s="11">
        <f ca="1">IFERROR(IF(PlayerGameData[[#This Row],[FGA]]&gt;$AA$5,PlayerGameData[[#This Row],[FG%*]],PlayerGameData[[#This Row],[FG%*]]*-1),-2)</f>
        <v>-2</v>
      </c>
      <c r="BB596" s="8">
        <f ca="1">RANK(PlayerGameData[[#This Row],[EligFG]],PlayerGameData[EligFG],0)+PlayerGameData[[#This Row],[VisibleOrder]]</f>
        <v>215</v>
      </c>
      <c r="BC596" s="8">
        <f ca="1">IF(COUNTIF(PlayerGameData[EligFGOrder],PlayerGameData[[#This Row],[EligFGOrder]])&gt;1,PlayerGameData[[#This Row],[PointRank]]/100+PlayerGameData[[#This Row],[EligFGOrder]],PlayerGameData[[#This Row],[EligFGOrder]])</f>
        <v>217.16</v>
      </c>
      <c r="BD596" s="8">
        <f ca="1">RANK(PlayerGameData[[#This Row],[EligFGTieBreak]],PlayerGameData[EligFGTieBreak],1)</f>
        <v>216</v>
      </c>
      <c r="BE596" s="8" t="str">
        <f>Roster!$D$3</f>
        <v>East</v>
      </c>
      <c r="BF596" s="8" t="str">
        <f>Roster!$D$2</f>
        <v>Northeast</v>
      </c>
      <c r="BG596" s="8" t="str">
        <f>Roster!$D$4</f>
        <v>North</v>
      </c>
      <c r="BH596" s="197">
        <f ca="1">IFERROR(VLOOKUP(CONCATENATE(PlayerGameData[[#This Row],[Opponent]]," ",MONTH(PlayerGameData[[#This Row],[Date]]),"/",DAY(PlayerGameData[[#This Row],[Date]]),"/",YEAR(PlayerGameData[[#This Row],[Date]])),Table35[],2,FALSE),0)</f>
        <v>1</v>
      </c>
      <c r="BI596" s="197">
        <f ca="1">IF(PlayerGameData[[#This Row],[Visible]]=1,1,1000)</f>
        <v>1</v>
      </c>
      <c r="BJ596" s="197" t="e">
        <f ca="1">_xlfn.MAXIFS(TeamGameData[Win],TeamGameData[School, Opponent,Game'#],PlayerGameData[[#This Row],[School, Opponent,Game'#]])</f>
        <v>#NAME?</v>
      </c>
      <c r="BK596" s="197" t="e">
        <f ca="1">_xlfn.MAXIFS(TeamGameData[Loss],TeamGameData[School, Opponent,Game'#],PlayerGameData[[#This Row],[School, Opponent,Game'#]])</f>
        <v>#NAME?</v>
      </c>
    </row>
    <row r="597" spans="1:63" x14ac:dyDescent="0.25">
      <c r="A597" s="8" t="str">
        <f t="shared" ca="1" si="303"/>
        <v xml:space="preserve">, </v>
      </c>
      <c r="B597" s="8" t="str">
        <f>Roster!$B$1</f>
        <v>Upton</v>
      </c>
      <c r="C597" s="8" t="str">
        <f t="shared" ca="1" si="291"/>
        <v>Cokeville</v>
      </c>
      <c r="D597" s="10">
        <f t="shared" ca="1" si="292"/>
        <v>44988</v>
      </c>
      <c r="E597" s="8">
        <f t="shared" ca="1" si="293"/>
        <v>0</v>
      </c>
      <c r="F597" s="8">
        <f t="shared" ca="1" si="294"/>
        <v>0</v>
      </c>
      <c r="G597" s="8">
        <f t="shared" ca="1" si="295"/>
        <v>0</v>
      </c>
      <c r="H597" s="8">
        <f t="shared" ca="1" si="296"/>
        <v>0</v>
      </c>
      <c r="I597" s="8">
        <f t="shared" ca="1" si="297"/>
        <v>0</v>
      </c>
      <c r="J597" s="8">
        <f t="shared" ca="1" si="298"/>
        <v>0</v>
      </c>
      <c r="K597" s="8">
        <f t="shared" ca="1" si="299"/>
        <v>0</v>
      </c>
      <c r="L597" s="8">
        <f t="shared" ca="1" si="304"/>
        <v>0</v>
      </c>
      <c r="M597" s="8">
        <f t="shared" ca="1" si="305"/>
        <v>0</v>
      </c>
      <c r="N597" s="8">
        <f t="shared" ca="1" si="306"/>
        <v>0</v>
      </c>
      <c r="O597" s="8">
        <f t="shared" ca="1" si="307"/>
        <v>0</v>
      </c>
      <c r="P597" s="8">
        <f t="shared" ca="1" si="308"/>
        <v>0</v>
      </c>
      <c r="Q597" s="8">
        <f t="shared" ca="1" si="309"/>
        <v>0</v>
      </c>
      <c r="R597" s="8">
        <f t="shared" ca="1" si="310"/>
        <v>0</v>
      </c>
      <c r="S597" s="8">
        <f t="shared" ca="1" si="311"/>
        <v>0</v>
      </c>
      <c r="T597" s="8">
        <f t="shared" ca="1" si="312"/>
        <v>0</v>
      </c>
      <c r="U597" s="8">
        <f t="shared" ca="1" si="313"/>
        <v>0</v>
      </c>
      <c r="V597" s="8">
        <f t="shared" ca="1" si="314"/>
        <v>0</v>
      </c>
      <c r="W597" s="11" t="str">
        <f t="shared" ca="1" si="315"/>
        <v/>
      </c>
      <c r="X597" s="11" t="str">
        <f t="shared" ca="1" si="316"/>
        <v/>
      </c>
      <c r="Y597" s="11" t="str">
        <f t="shared" ca="1" si="317"/>
        <v/>
      </c>
      <c r="Z597" s="11" t="str">
        <f t="shared" ca="1" si="318"/>
        <v/>
      </c>
      <c r="AA597" s="11" t="str">
        <f t="shared" ca="1" si="319"/>
        <v/>
      </c>
      <c r="AB597" s="47">
        <f ca="1">PlayerGameData[[#This Row],[3FGA]]+PlayerGameData[[#This Row],[2FGA]]</f>
        <v>0</v>
      </c>
      <c r="AC597" s="47">
        <f ca="1">PlayerGameData[[#This Row],[OFF REB]]+PlayerGameData[[#This Row],[DEF REB]]</f>
        <v>0</v>
      </c>
      <c r="AD597" s="8">
        <f t="shared" si="300"/>
        <v>25</v>
      </c>
      <c r="AE597" s="8" t="str">
        <f t="shared" ca="1" si="301"/>
        <v>,  - Cokeville 3/3/2023</v>
      </c>
      <c r="AF597" s="8" t="str">
        <f t="shared" ca="1" si="320"/>
        <v/>
      </c>
      <c r="AG597" s="8" t="str">
        <f ca="1">IFERROR(IF(C597=0,"",IF(AND(VLOOKUP(PlayerGameData[[#This Row],[Opponent]],WYTeamInfo,2,FALSE)=Roster!$D$1,VLOOKUP(PlayerGameData[[#This Row],[Opponent]],WYTeamInfo,3,FALSE)=Roster!$D$2),"SR","")),"")</f>
        <v/>
      </c>
      <c r="AH597" s="8" t="str">
        <f>CONCATENATE(Roster!$D$1," ",Roster!$D$5)</f>
        <v>1A BB</v>
      </c>
      <c r="AI597" s="8" t="str">
        <f t="shared" ca="1" si="302"/>
        <v>Upton - Cokeville 3/3/2023</v>
      </c>
      <c r="AJ597" s="8">
        <f ca="1">IFERROR(VLOOKUP(PlayerGameData[[#This Row],[School, Opponent,Game'#]],Table3[],2,FALSE),0)</f>
        <v>1</v>
      </c>
      <c r="AK597" s="8">
        <f ca="1">IF(PlayerGameData[[#This Row],[Visible]]=1,1,1000)</f>
        <v>1</v>
      </c>
      <c r="AL597" s="8">
        <f ca="1">RANK(PlayerGameData[[#This Row],[TL PTS]],PlayerGameData[TL PTS],0)+PlayerGameData[[#This Row],[VisibleOrder]]</f>
        <v>185</v>
      </c>
      <c r="AM597" s="8">
        <f ca="1">IF(COUNTIF(PlayerGameData[PointOrder],PlayerGameData[[#This Row],[PointOrder]])&gt;1,RANK(PlayerGameData[[#This Row],[FGA]],PlayerGameData[FGA],0)/100,0)+PlayerGameData[[#This Row],[PointOrder]]</f>
        <v>187.14</v>
      </c>
      <c r="AN597" s="8">
        <f ca="1">RANK(PlayerGameData[[#This Row],[PointTieBreak]],PlayerGameData[PointTieBreak],1)</f>
        <v>216</v>
      </c>
      <c r="AO597" s="8">
        <f ca="1">RANK(PlayerGameData[[#This Row],[REB]],PlayerGameData[REB],0)+PlayerGameData[[#This Row],[VisibleOrder]]</f>
        <v>192</v>
      </c>
      <c r="AP597" s="8">
        <f ca="1">IF(COUNTIF(PlayerGameData[REBOrder],PlayerGameData[[#This Row],[REBOrder]])&gt;1,PlayerGameData[[#This Row],[PointRank]]/100+PlayerGameData[[#This Row],[REBOrder]],PlayerGameData[[#This Row],[REBOrder]])</f>
        <v>194.16</v>
      </c>
      <c r="AQ597" s="8">
        <f ca="1">RANK(PlayerGameData[[#This Row],[REBTieBreak]],PlayerGameData[REBTieBreak],1)</f>
        <v>224</v>
      </c>
      <c r="AR597" s="8">
        <f ca="1">RANK(PlayerGameData[[#This Row],[AST]],PlayerGameData[AST],0)+PlayerGameData[[#This Row],[VisibleOrder]]</f>
        <v>158</v>
      </c>
      <c r="AS597" s="8">
        <f ca="1">IF(COUNTIF(PlayerGameData[ASTOrder],PlayerGameData[[#This Row],[ASTOrder]])&gt;1,PlayerGameData[[#This Row],[PointRank]]/100+PlayerGameData[[#This Row],[ASTOrder]],PlayerGameData[[#This Row],[ASTOrder]])</f>
        <v>160.16</v>
      </c>
      <c r="AT597" s="8">
        <f ca="1">RANK(PlayerGameData[[#This Row],[ASTTieBreak]],PlayerGameData[ASTTieBreak],1)</f>
        <v>221</v>
      </c>
      <c r="AU597" s="8">
        <f ca="1">RANK(PlayerGameData[[#This Row],[STL]],PlayerGameData[STL],0)+PlayerGameData[[#This Row],[VisibleOrder]]</f>
        <v>143</v>
      </c>
      <c r="AV597" s="8">
        <f ca="1">IF(COUNTIF(PlayerGameData[STLOrder],PlayerGameData[[#This Row],[STLOrder]])&gt;1,PlayerGameData[[#This Row],[PointRank]]/100+PlayerGameData[[#This Row],[STLOrder]],PlayerGameData[[#This Row],[STLOrder]])</f>
        <v>145.16</v>
      </c>
      <c r="AW597" s="8">
        <f ca="1">RANK(PlayerGameData[[#This Row],[STLTieBreak]],PlayerGameData[STLTieBreak],1)</f>
        <v>217</v>
      </c>
      <c r="AX597" s="8">
        <f ca="1">RANK(PlayerGameData[[#This Row],[BLK]],PlayerGameData[BLK],0)+PlayerGameData[[#This Row],[VisibleOrder]]</f>
        <v>32</v>
      </c>
      <c r="AY597" s="8">
        <f ca="1">IF(COUNTIF(PlayerGameData[BLKOrder],PlayerGameData[[#This Row],[BLKOrder]])&gt;1,PlayerGameData[[#This Row],[PointRank]]/100+PlayerGameData[[#This Row],[BLKOrder]],PlayerGameData[[#This Row],[BLKOrder]])</f>
        <v>34.159999999999997</v>
      </c>
      <c r="AZ597" s="8">
        <f ca="1">RANK(PlayerGameData[[#This Row],[BLKTieBreak]],PlayerGameData[BLKTieBreak],1)</f>
        <v>216</v>
      </c>
      <c r="BA597" s="11">
        <f ca="1">IFERROR(IF(PlayerGameData[[#This Row],[FGA]]&gt;$AA$5,PlayerGameData[[#This Row],[FG%*]],PlayerGameData[[#This Row],[FG%*]]*-1),-2)</f>
        <v>-2</v>
      </c>
      <c r="BB597" s="8">
        <f ca="1">RANK(PlayerGameData[[#This Row],[EligFG]],PlayerGameData[EligFG],0)+PlayerGameData[[#This Row],[VisibleOrder]]</f>
        <v>215</v>
      </c>
      <c r="BC597" s="8">
        <f ca="1">IF(COUNTIF(PlayerGameData[EligFGOrder],PlayerGameData[[#This Row],[EligFGOrder]])&gt;1,PlayerGameData[[#This Row],[PointRank]]/100+PlayerGameData[[#This Row],[EligFGOrder]],PlayerGameData[[#This Row],[EligFGOrder]])</f>
        <v>217.16</v>
      </c>
      <c r="BD597" s="8">
        <f ca="1">RANK(PlayerGameData[[#This Row],[EligFGTieBreak]],PlayerGameData[EligFGTieBreak],1)</f>
        <v>216</v>
      </c>
      <c r="BE597" s="8" t="str">
        <f>Roster!$D$3</f>
        <v>East</v>
      </c>
      <c r="BF597" s="8" t="str">
        <f>Roster!$D$2</f>
        <v>Northeast</v>
      </c>
      <c r="BG597" s="8" t="str">
        <f>Roster!$D$4</f>
        <v>North</v>
      </c>
      <c r="BH597" s="197">
        <f ca="1">IFERROR(VLOOKUP(CONCATENATE(PlayerGameData[[#This Row],[Opponent]]," ",MONTH(PlayerGameData[[#This Row],[Date]]),"/",DAY(PlayerGameData[[#This Row],[Date]]),"/",YEAR(PlayerGameData[[#This Row],[Date]])),Table35[],2,FALSE),0)</f>
        <v>1</v>
      </c>
      <c r="BI597" s="197">
        <f ca="1">IF(PlayerGameData[[#This Row],[Visible]]=1,1,1000)</f>
        <v>1</v>
      </c>
      <c r="BJ597" s="197" t="e">
        <f ca="1">_xlfn.MAXIFS(TeamGameData[Win],TeamGameData[School, Opponent,Game'#],PlayerGameData[[#This Row],[School, Opponent,Game'#]])</f>
        <v>#NAME?</v>
      </c>
      <c r="BK597" s="197" t="e">
        <f ca="1">_xlfn.MAXIFS(TeamGameData[Loss],TeamGameData[School, Opponent,Game'#],PlayerGameData[[#This Row],[School, Opponent,Game'#]])</f>
        <v>#NAME?</v>
      </c>
    </row>
    <row r="598" spans="1:63" x14ac:dyDescent="0.25">
      <c r="A598" s="8" t="str">
        <f t="shared" ca="1" si="303"/>
        <v xml:space="preserve">, </v>
      </c>
      <c r="B598" s="8" t="str">
        <f>Roster!$B$1</f>
        <v>Upton</v>
      </c>
      <c r="C598" s="8" t="str">
        <f t="shared" ca="1" si="291"/>
        <v>Cokeville</v>
      </c>
      <c r="D598" s="10">
        <f t="shared" ca="1" si="292"/>
        <v>44988</v>
      </c>
      <c r="E598" s="8">
        <f t="shared" ca="1" si="293"/>
        <v>0</v>
      </c>
      <c r="F598" s="8">
        <f t="shared" ca="1" si="294"/>
        <v>0</v>
      </c>
      <c r="G598" s="8">
        <f t="shared" ca="1" si="295"/>
        <v>0</v>
      </c>
      <c r="H598" s="8">
        <f t="shared" ca="1" si="296"/>
        <v>0</v>
      </c>
      <c r="I598" s="8">
        <f t="shared" ca="1" si="297"/>
        <v>0</v>
      </c>
      <c r="J598" s="8">
        <f t="shared" ca="1" si="298"/>
        <v>0</v>
      </c>
      <c r="K598" s="8">
        <f t="shared" ca="1" si="299"/>
        <v>0</v>
      </c>
      <c r="L598" s="8">
        <f t="shared" ca="1" si="304"/>
        <v>0</v>
      </c>
      <c r="M598" s="8">
        <f t="shared" ca="1" si="305"/>
        <v>0</v>
      </c>
      <c r="N598" s="8">
        <f t="shared" ca="1" si="306"/>
        <v>0</v>
      </c>
      <c r="O598" s="8">
        <f t="shared" ca="1" si="307"/>
        <v>0</v>
      </c>
      <c r="P598" s="8">
        <f t="shared" ca="1" si="308"/>
        <v>0</v>
      </c>
      <c r="Q598" s="8">
        <f t="shared" ca="1" si="309"/>
        <v>0</v>
      </c>
      <c r="R598" s="8">
        <f t="shared" ca="1" si="310"/>
        <v>0</v>
      </c>
      <c r="S598" s="8">
        <f t="shared" ca="1" si="311"/>
        <v>0</v>
      </c>
      <c r="T598" s="8">
        <f t="shared" ca="1" si="312"/>
        <v>0</v>
      </c>
      <c r="U598" s="8">
        <f t="shared" ca="1" si="313"/>
        <v>0</v>
      </c>
      <c r="V598" s="8">
        <f t="shared" ca="1" si="314"/>
        <v>0</v>
      </c>
      <c r="W598" s="11" t="str">
        <f t="shared" ca="1" si="315"/>
        <v/>
      </c>
      <c r="X598" s="11" t="str">
        <f t="shared" ca="1" si="316"/>
        <v/>
      </c>
      <c r="Y598" s="11" t="str">
        <f t="shared" ca="1" si="317"/>
        <v/>
      </c>
      <c r="Z598" s="11" t="str">
        <f t="shared" ca="1" si="318"/>
        <v/>
      </c>
      <c r="AA598" s="11" t="str">
        <f t="shared" ca="1" si="319"/>
        <v/>
      </c>
      <c r="AB598" s="47">
        <f ca="1">PlayerGameData[[#This Row],[3FGA]]+PlayerGameData[[#This Row],[2FGA]]</f>
        <v>0</v>
      </c>
      <c r="AC598" s="47">
        <f ca="1">PlayerGameData[[#This Row],[OFF REB]]+PlayerGameData[[#This Row],[DEF REB]]</f>
        <v>0</v>
      </c>
      <c r="AD598" s="8">
        <f t="shared" si="300"/>
        <v>25</v>
      </c>
      <c r="AE598" s="8" t="str">
        <f t="shared" ca="1" si="301"/>
        <v>,  - Cokeville 3/3/2023</v>
      </c>
      <c r="AF598" s="8" t="str">
        <f t="shared" ca="1" si="320"/>
        <v/>
      </c>
      <c r="AG598" s="8" t="str">
        <f ca="1">IFERROR(IF(C598=0,"",IF(AND(VLOOKUP(PlayerGameData[[#This Row],[Opponent]],WYTeamInfo,2,FALSE)=Roster!$D$1,VLOOKUP(PlayerGameData[[#This Row],[Opponent]],WYTeamInfo,3,FALSE)=Roster!$D$2),"SR","")),"")</f>
        <v/>
      </c>
      <c r="AH598" s="8" t="str">
        <f>CONCATENATE(Roster!$D$1," ",Roster!$D$5)</f>
        <v>1A BB</v>
      </c>
      <c r="AI598" s="8" t="str">
        <f t="shared" ca="1" si="302"/>
        <v>Upton - Cokeville 3/3/2023</v>
      </c>
      <c r="AJ598" s="8">
        <f ca="1">IFERROR(VLOOKUP(PlayerGameData[[#This Row],[School, Opponent,Game'#]],Table3[],2,FALSE),0)</f>
        <v>1</v>
      </c>
      <c r="AK598" s="8">
        <f ca="1">IF(PlayerGameData[[#This Row],[Visible]]=1,1,1000)</f>
        <v>1</v>
      </c>
      <c r="AL598" s="8">
        <f ca="1">RANK(PlayerGameData[[#This Row],[TL PTS]],PlayerGameData[TL PTS],0)+PlayerGameData[[#This Row],[VisibleOrder]]</f>
        <v>185</v>
      </c>
      <c r="AM598" s="8">
        <f ca="1">IF(COUNTIF(PlayerGameData[PointOrder],PlayerGameData[[#This Row],[PointOrder]])&gt;1,RANK(PlayerGameData[[#This Row],[FGA]],PlayerGameData[FGA],0)/100,0)+PlayerGameData[[#This Row],[PointOrder]]</f>
        <v>187.14</v>
      </c>
      <c r="AN598" s="8">
        <f ca="1">RANK(PlayerGameData[[#This Row],[PointTieBreak]],PlayerGameData[PointTieBreak],1)</f>
        <v>216</v>
      </c>
      <c r="AO598" s="8">
        <f ca="1">RANK(PlayerGameData[[#This Row],[REB]],PlayerGameData[REB],0)+PlayerGameData[[#This Row],[VisibleOrder]]</f>
        <v>192</v>
      </c>
      <c r="AP598" s="8">
        <f ca="1">IF(COUNTIF(PlayerGameData[REBOrder],PlayerGameData[[#This Row],[REBOrder]])&gt;1,PlayerGameData[[#This Row],[PointRank]]/100+PlayerGameData[[#This Row],[REBOrder]],PlayerGameData[[#This Row],[REBOrder]])</f>
        <v>194.16</v>
      </c>
      <c r="AQ598" s="8">
        <f ca="1">RANK(PlayerGameData[[#This Row],[REBTieBreak]],PlayerGameData[REBTieBreak],1)</f>
        <v>224</v>
      </c>
      <c r="AR598" s="8">
        <f ca="1">RANK(PlayerGameData[[#This Row],[AST]],PlayerGameData[AST],0)+PlayerGameData[[#This Row],[VisibleOrder]]</f>
        <v>158</v>
      </c>
      <c r="AS598" s="8">
        <f ca="1">IF(COUNTIF(PlayerGameData[ASTOrder],PlayerGameData[[#This Row],[ASTOrder]])&gt;1,PlayerGameData[[#This Row],[PointRank]]/100+PlayerGameData[[#This Row],[ASTOrder]],PlayerGameData[[#This Row],[ASTOrder]])</f>
        <v>160.16</v>
      </c>
      <c r="AT598" s="8">
        <f ca="1">RANK(PlayerGameData[[#This Row],[ASTTieBreak]],PlayerGameData[ASTTieBreak],1)</f>
        <v>221</v>
      </c>
      <c r="AU598" s="8">
        <f ca="1">RANK(PlayerGameData[[#This Row],[STL]],PlayerGameData[STL],0)+PlayerGameData[[#This Row],[VisibleOrder]]</f>
        <v>143</v>
      </c>
      <c r="AV598" s="8">
        <f ca="1">IF(COUNTIF(PlayerGameData[STLOrder],PlayerGameData[[#This Row],[STLOrder]])&gt;1,PlayerGameData[[#This Row],[PointRank]]/100+PlayerGameData[[#This Row],[STLOrder]],PlayerGameData[[#This Row],[STLOrder]])</f>
        <v>145.16</v>
      </c>
      <c r="AW598" s="8">
        <f ca="1">RANK(PlayerGameData[[#This Row],[STLTieBreak]],PlayerGameData[STLTieBreak],1)</f>
        <v>217</v>
      </c>
      <c r="AX598" s="8">
        <f ca="1">RANK(PlayerGameData[[#This Row],[BLK]],PlayerGameData[BLK],0)+PlayerGameData[[#This Row],[VisibleOrder]]</f>
        <v>32</v>
      </c>
      <c r="AY598" s="8">
        <f ca="1">IF(COUNTIF(PlayerGameData[BLKOrder],PlayerGameData[[#This Row],[BLKOrder]])&gt;1,PlayerGameData[[#This Row],[PointRank]]/100+PlayerGameData[[#This Row],[BLKOrder]],PlayerGameData[[#This Row],[BLKOrder]])</f>
        <v>34.159999999999997</v>
      </c>
      <c r="AZ598" s="8">
        <f ca="1">RANK(PlayerGameData[[#This Row],[BLKTieBreak]],PlayerGameData[BLKTieBreak],1)</f>
        <v>216</v>
      </c>
      <c r="BA598" s="11">
        <f ca="1">IFERROR(IF(PlayerGameData[[#This Row],[FGA]]&gt;$AA$5,PlayerGameData[[#This Row],[FG%*]],PlayerGameData[[#This Row],[FG%*]]*-1),-2)</f>
        <v>-2</v>
      </c>
      <c r="BB598" s="8">
        <f ca="1">RANK(PlayerGameData[[#This Row],[EligFG]],PlayerGameData[EligFG],0)+PlayerGameData[[#This Row],[VisibleOrder]]</f>
        <v>215</v>
      </c>
      <c r="BC598" s="8">
        <f ca="1">IF(COUNTIF(PlayerGameData[EligFGOrder],PlayerGameData[[#This Row],[EligFGOrder]])&gt;1,PlayerGameData[[#This Row],[PointRank]]/100+PlayerGameData[[#This Row],[EligFGOrder]],PlayerGameData[[#This Row],[EligFGOrder]])</f>
        <v>217.16</v>
      </c>
      <c r="BD598" s="8">
        <f ca="1">RANK(PlayerGameData[[#This Row],[EligFGTieBreak]],PlayerGameData[EligFGTieBreak],1)</f>
        <v>216</v>
      </c>
      <c r="BE598" s="8" t="str">
        <f>Roster!$D$3</f>
        <v>East</v>
      </c>
      <c r="BF598" s="8" t="str">
        <f>Roster!$D$2</f>
        <v>Northeast</v>
      </c>
      <c r="BG598" s="8" t="str">
        <f>Roster!$D$4</f>
        <v>North</v>
      </c>
      <c r="BH598" s="197">
        <f ca="1">IFERROR(VLOOKUP(CONCATENATE(PlayerGameData[[#This Row],[Opponent]]," ",MONTH(PlayerGameData[[#This Row],[Date]]),"/",DAY(PlayerGameData[[#This Row],[Date]]),"/",YEAR(PlayerGameData[[#This Row],[Date]])),Table35[],2,FALSE),0)</f>
        <v>1</v>
      </c>
      <c r="BI598" s="197">
        <f ca="1">IF(PlayerGameData[[#This Row],[Visible]]=1,1,1000)</f>
        <v>1</v>
      </c>
      <c r="BJ598" s="197" t="e">
        <f ca="1">_xlfn.MAXIFS(TeamGameData[Win],TeamGameData[School, Opponent,Game'#],PlayerGameData[[#This Row],[School, Opponent,Game'#]])</f>
        <v>#NAME?</v>
      </c>
      <c r="BK598" s="197" t="e">
        <f ca="1">_xlfn.MAXIFS(TeamGameData[Loss],TeamGameData[School, Opponent,Game'#],PlayerGameData[[#This Row],[School, Opponent,Game'#]])</f>
        <v>#NAME?</v>
      </c>
    </row>
    <row r="599" spans="1:63" x14ac:dyDescent="0.25">
      <c r="A599" s="8" t="str">
        <f t="shared" ca="1" si="303"/>
        <v xml:space="preserve">, </v>
      </c>
      <c r="B599" s="8" t="str">
        <f>Roster!$B$1</f>
        <v>Upton</v>
      </c>
      <c r="C599" s="8" t="str">
        <f t="shared" ca="1" si="291"/>
        <v>Cokeville</v>
      </c>
      <c r="D599" s="10">
        <f t="shared" ca="1" si="292"/>
        <v>44988</v>
      </c>
      <c r="E599" s="8">
        <f t="shared" ca="1" si="293"/>
        <v>0</v>
      </c>
      <c r="F599" s="8">
        <f t="shared" ca="1" si="294"/>
        <v>0</v>
      </c>
      <c r="G599" s="8">
        <f t="shared" ca="1" si="295"/>
        <v>0</v>
      </c>
      <c r="H599" s="8">
        <f t="shared" ca="1" si="296"/>
        <v>0</v>
      </c>
      <c r="I599" s="8">
        <f t="shared" ca="1" si="297"/>
        <v>0</v>
      </c>
      <c r="J599" s="8">
        <f t="shared" ca="1" si="298"/>
        <v>0</v>
      </c>
      <c r="K599" s="8">
        <f t="shared" ca="1" si="299"/>
        <v>0</v>
      </c>
      <c r="L599" s="8">
        <f t="shared" ca="1" si="304"/>
        <v>0</v>
      </c>
      <c r="M599" s="8">
        <f t="shared" ca="1" si="305"/>
        <v>0</v>
      </c>
      <c r="N599" s="8">
        <f t="shared" ca="1" si="306"/>
        <v>0</v>
      </c>
      <c r="O599" s="8">
        <f t="shared" ca="1" si="307"/>
        <v>0</v>
      </c>
      <c r="P599" s="8">
        <f t="shared" ca="1" si="308"/>
        <v>0</v>
      </c>
      <c r="Q599" s="8">
        <f t="shared" ca="1" si="309"/>
        <v>0</v>
      </c>
      <c r="R599" s="8">
        <f t="shared" ca="1" si="310"/>
        <v>0</v>
      </c>
      <c r="S599" s="8">
        <f t="shared" ca="1" si="311"/>
        <v>0</v>
      </c>
      <c r="T599" s="8">
        <f t="shared" ca="1" si="312"/>
        <v>0</v>
      </c>
      <c r="U599" s="8">
        <f t="shared" ca="1" si="313"/>
        <v>0</v>
      </c>
      <c r="V599" s="8">
        <f t="shared" ca="1" si="314"/>
        <v>0</v>
      </c>
      <c r="W599" s="11" t="str">
        <f t="shared" ca="1" si="315"/>
        <v/>
      </c>
      <c r="X599" s="11" t="str">
        <f t="shared" ca="1" si="316"/>
        <v/>
      </c>
      <c r="Y599" s="11" t="str">
        <f t="shared" ca="1" si="317"/>
        <v/>
      </c>
      <c r="Z599" s="11" t="str">
        <f t="shared" ca="1" si="318"/>
        <v/>
      </c>
      <c r="AA599" s="11" t="str">
        <f t="shared" ca="1" si="319"/>
        <v/>
      </c>
      <c r="AB599" s="47">
        <f ca="1">PlayerGameData[[#This Row],[3FGA]]+PlayerGameData[[#This Row],[2FGA]]</f>
        <v>0</v>
      </c>
      <c r="AC599" s="47">
        <f ca="1">PlayerGameData[[#This Row],[OFF REB]]+PlayerGameData[[#This Row],[DEF REB]]</f>
        <v>0</v>
      </c>
      <c r="AD599" s="8">
        <f t="shared" si="300"/>
        <v>25</v>
      </c>
      <c r="AE599" s="8" t="str">
        <f t="shared" ca="1" si="301"/>
        <v>,  - Cokeville 3/3/2023</v>
      </c>
      <c r="AF599" s="8" t="str">
        <f t="shared" ca="1" si="320"/>
        <v/>
      </c>
      <c r="AG599" s="8" t="str">
        <f ca="1">IFERROR(IF(C599=0,"",IF(AND(VLOOKUP(PlayerGameData[[#This Row],[Opponent]],WYTeamInfo,2,FALSE)=Roster!$D$1,VLOOKUP(PlayerGameData[[#This Row],[Opponent]],WYTeamInfo,3,FALSE)=Roster!$D$2),"SR","")),"")</f>
        <v/>
      </c>
      <c r="AH599" s="8" t="str">
        <f>CONCATENATE(Roster!$D$1," ",Roster!$D$5)</f>
        <v>1A BB</v>
      </c>
      <c r="AI599" s="8" t="str">
        <f t="shared" ca="1" si="302"/>
        <v>Upton - Cokeville 3/3/2023</v>
      </c>
      <c r="AJ599" s="8">
        <f ca="1">IFERROR(VLOOKUP(PlayerGameData[[#This Row],[School, Opponent,Game'#]],Table3[],2,FALSE),0)</f>
        <v>1</v>
      </c>
      <c r="AK599" s="8">
        <f ca="1">IF(PlayerGameData[[#This Row],[Visible]]=1,1,1000)</f>
        <v>1</v>
      </c>
      <c r="AL599" s="8">
        <f ca="1">RANK(PlayerGameData[[#This Row],[TL PTS]],PlayerGameData[TL PTS],0)+PlayerGameData[[#This Row],[VisibleOrder]]</f>
        <v>185</v>
      </c>
      <c r="AM599" s="8">
        <f ca="1">IF(COUNTIF(PlayerGameData[PointOrder],PlayerGameData[[#This Row],[PointOrder]])&gt;1,RANK(PlayerGameData[[#This Row],[FGA]],PlayerGameData[FGA],0)/100,0)+PlayerGameData[[#This Row],[PointOrder]]</f>
        <v>187.14</v>
      </c>
      <c r="AN599" s="8">
        <f ca="1">RANK(PlayerGameData[[#This Row],[PointTieBreak]],PlayerGameData[PointTieBreak],1)</f>
        <v>216</v>
      </c>
      <c r="AO599" s="8">
        <f ca="1">RANK(PlayerGameData[[#This Row],[REB]],PlayerGameData[REB],0)+PlayerGameData[[#This Row],[VisibleOrder]]</f>
        <v>192</v>
      </c>
      <c r="AP599" s="8">
        <f ca="1">IF(COUNTIF(PlayerGameData[REBOrder],PlayerGameData[[#This Row],[REBOrder]])&gt;1,PlayerGameData[[#This Row],[PointRank]]/100+PlayerGameData[[#This Row],[REBOrder]],PlayerGameData[[#This Row],[REBOrder]])</f>
        <v>194.16</v>
      </c>
      <c r="AQ599" s="8">
        <f ca="1">RANK(PlayerGameData[[#This Row],[REBTieBreak]],PlayerGameData[REBTieBreak],1)</f>
        <v>224</v>
      </c>
      <c r="AR599" s="8">
        <f ca="1">RANK(PlayerGameData[[#This Row],[AST]],PlayerGameData[AST],0)+PlayerGameData[[#This Row],[VisibleOrder]]</f>
        <v>158</v>
      </c>
      <c r="AS599" s="8">
        <f ca="1">IF(COUNTIF(PlayerGameData[ASTOrder],PlayerGameData[[#This Row],[ASTOrder]])&gt;1,PlayerGameData[[#This Row],[PointRank]]/100+PlayerGameData[[#This Row],[ASTOrder]],PlayerGameData[[#This Row],[ASTOrder]])</f>
        <v>160.16</v>
      </c>
      <c r="AT599" s="8">
        <f ca="1">RANK(PlayerGameData[[#This Row],[ASTTieBreak]],PlayerGameData[ASTTieBreak],1)</f>
        <v>221</v>
      </c>
      <c r="AU599" s="8">
        <f ca="1">RANK(PlayerGameData[[#This Row],[STL]],PlayerGameData[STL],0)+PlayerGameData[[#This Row],[VisibleOrder]]</f>
        <v>143</v>
      </c>
      <c r="AV599" s="8">
        <f ca="1">IF(COUNTIF(PlayerGameData[STLOrder],PlayerGameData[[#This Row],[STLOrder]])&gt;1,PlayerGameData[[#This Row],[PointRank]]/100+PlayerGameData[[#This Row],[STLOrder]],PlayerGameData[[#This Row],[STLOrder]])</f>
        <v>145.16</v>
      </c>
      <c r="AW599" s="8">
        <f ca="1">RANK(PlayerGameData[[#This Row],[STLTieBreak]],PlayerGameData[STLTieBreak],1)</f>
        <v>217</v>
      </c>
      <c r="AX599" s="8">
        <f ca="1">RANK(PlayerGameData[[#This Row],[BLK]],PlayerGameData[BLK],0)+PlayerGameData[[#This Row],[VisibleOrder]]</f>
        <v>32</v>
      </c>
      <c r="AY599" s="8">
        <f ca="1">IF(COUNTIF(PlayerGameData[BLKOrder],PlayerGameData[[#This Row],[BLKOrder]])&gt;1,PlayerGameData[[#This Row],[PointRank]]/100+PlayerGameData[[#This Row],[BLKOrder]],PlayerGameData[[#This Row],[BLKOrder]])</f>
        <v>34.159999999999997</v>
      </c>
      <c r="AZ599" s="8">
        <f ca="1">RANK(PlayerGameData[[#This Row],[BLKTieBreak]],PlayerGameData[BLKTieBreak],1)</f>
        <v>216</v>
      </c>
      <c r="BA599" s="11">
        <f ca="1">IFERROR(IF(PlayerGameData[[#This Row],[FGA]]&gt;$AA$5,PlayerGameData[[#This Row],[FG%*]],PlayerGameData[[#This Row],[FG%*]]*-1),-2)</f>
        <v>-2</v>
      </c>
      <c r="BB599" s="8">
        <f ca="1">RANK(PlayerGameData[[#This Row],[EligFG]],PlayerGameData[EligFG],0)+PlayerGameData[[#This Row],[VisibleOrder]]</f>
        <v>215</v>
      </c>
      <c r="BC599" s="8">
        <f ca="1">IF(COUNTIF(PlayerGameData[EligFGOrder],PlayerGameData[[#This Row],[EligFGOrder]])&gt;1,PlayerGameData[[#This Row],[PointRank]]/100+PlayerGameData[[#This Row],[EligFGOrder]],PlayerGameData[[#This Row],[EligFGOrder]])</f>
        <v>217.16</v>
      </c>
      <c r="BD599" s="8">
        <f ca="1">RANK(PlayerGameData[[#This Row],[EligFGTieBreak]],PlayerGameData[EligFGTieBreak],1)</f>
        <v>216</v>
      </c>
      <c r="BE599" s="8" t="str">
        <f>Roster!$D$3</f>
        <v>East</v>
      </c>
      <c r="BF599" s="8" t="str">
        <f>Roster!$D$2</f>
        <v>Northeast</v>
      </c>
      <c r="BG599" s="8" t="str">
        <f>Roster!$D$4</f>
        <v>North</v>
      </c>
      <c r="BH599" s="197">
        <f ca="1">IFERROR(VLOOKUP(CONCATENATE(PlayerGameData[[#This Row],[Opponent]]," ",MONTH(PlayerGameData[[#This Row],[Date]]),"/",DAY(PlayerGameData[[#This Row],[Date]]),"/",YEAR(PlayerGameData[[#This Row],[Date]])),Table35[],2,FALSE),0)</f>
        <v>1</v>
      </c>
      <c r="BI599" s="197">
        <f ca="1">IF(PlayerGameData[[#This Row],[Visible]]=1,1,1000)</f>
        <v>1</v>
      </c>
      <c r="BJ599" s="197" t="e">
        <f ca="1">_xlfn.MAXIFS(TeamGameData[Win],TeamGameData[School, Opponent,Game'#],PlayerGameData[[#This Row],[School, Opponent,Game'#]])</f>
        <v>#NAME?</v>
      </c>
      <c r="BK599" s="197" t="e">
        <f ca="1">_xlfn.MAXIFS(TeamGameData[Loss],TeamGameData[School, Opponent,Game'#],PlayerGameData[[#This Row],[School, Opponent,Game'#]])</f>
        <v>#NAME?</v>
      </c>
    </row>
    <row r="600" spans="1:63" x14ac:dyDescent="0.25">
      <c r="A600" s="8" t="str">
        <f t="shared" ca="1" si="303"/>
        <v xml:space="preserve">, </v>
      </c>
      <c r="B600" s="8" t="str">
        <f>Roster!$B$1</f>
        <v>Upton</v>
      </c>
      <c r="C600" s="8" t="str">
        <f t="shared" ca="1" si="291"/>
        <v>Cokeville</v>
      </c>
      <c r="D600" s="10">
        <f t="shared" ca="1" si="292"/>
        <v>44988</v>
      </c>
      <c r="E600" s="8">
        <f t="shared" ca="1" si="293"/>
        <v>0</v>
      </c>
      <c r="F600" s="8">
        <f t="shared" ca="1" si="294"/>
        <v>0</v>
      </c>
      <c r="G600" s="8">
        <f t="shared" ca="1" si="295"/>
        <v>0</v>
      </c>
      <c r="H600" s="8">
        <f t="shared" ca="1" si="296"/>
        <v>0</v>
      </c>
      <c r="I600" s="8">
        <f t="shared" ca="1" si="297"/>
        <v>0</v>
      </c>
      <c r="J600" s="8">
        <f t="shared" ca="1" si="298"/>
        <v>0</v>
      </c>
      <c r="K600" s="8">
        <f t="shared" ca="1" si="299"/>
        <v>0</v>
      </c>
      <c r="L600" s="8">
        <f t="shared" ca="1" si="304"/>
        <v>0</v>
      </c>
      <c r="M600" s="8">
        <f t="shared" ca="1" si="305"/>
        <v>0</v>
      </c>
      <c r="N600" s="8">
        <f t="shared" ca="1" si="306"/>
        <v>0</v>
      </c>
      <c r="O600" s="8">
        <f t="shared" ca="1" si="307"/>
        <v>0</v>
      </c>
      <c r="P600" s="8">
        <f t="shared" ca="1" si="308"/>
        <v>0</v>
      </c>
      <c r="Q600" s="8">
        <f t="shared" ca="1" si="309"/>
        <v>0</v>
      </c>
      <c r="R600" s="8">
        <f t="shared" ca="1" si="310"/>
        <v>0</v>
      </c>
      <c r="S600" s="8">
        <f t="shared" ca="1" si="311"/>
        <v>0</v>
      </c>
      <c r="T600" s="8">
        <f t="shared" ca="1" si="312"/>
        <v>0</v>
      </c>
      <c r="U600" s="8">
        <f t="shared" ca="1" si="313"/>
        <v>0</v>
      </c>
      <c r="V600" s="8">
        <f t="shared" ca="1" si="314"/>
        <v>0</v>
      </c>
      <c r="W600" s="11" t="str">
        <f t="shared" ca="1" si="315"/>
        <v/>
      </c>
      <c r="X600" s="11" t="str">
        <f t="shared" ca="1" si="316"/>
        <v/>
      </c>
      <c r="Y600" s="11" t="str">
        <f t="shared" ca="1" si="317"/>
        <v/>
      </c>
      <c r="Z600" s="11" t="str">
        <f t="shared" ca="1" si="318"/>
        <v/>
      </c>
      <c r="AA600" s="11" t="str">
        <f t="shared" ca="1" si="319"/>
        <v/>
      </c>
      <c r="AB600" s="47">
        <f ca="1">PlayerGameData[[#This Row],[3FGA]]+PlayerGameData[[#This Row],[2FGA]]</f>
        <v>0</v>
      </c>
      <c r="AC600" s="47">
        <f ca="1">PlayerGameData[[#This Row],[OFF REB]]+PlayerGameData[[#This Row],[DEF REB]]</f>
        <v>0</v>
      </c>
      <c r="AD600" s="8">
        <f t="shared" si="300"/>
        <v>25</v>
      </c>
      <c r="AE600" s="8" t="str">
        <f t="shared" ca="1" si="301"/>
        <v>,  - Cokeville 3/3/2023</v>
      </c>
      <c r="AF600" s="8" t="str">
        <f t="shared" ca="1" si="320"/>
        <v/>
      </c>
      <c r="AG600" s="8" t="str">
        <f ca="1">IFERROR(IF(C600=0,"",IF(AND(VLOOKUP(PlayerGameData[[#This Row],[Opponent]],WYTeamInfo,2,FALSE)=Roster!$D$1,VLOOKUP(PlayerGameData[[#This Row],[Opponent]],WYTeamInfo,3,FALSE)=Roster!$D$2),"SR","")),"")</f>
        <v/>
      </c>
      <c r="AH600" s="8" t="str">
        <f>CONCATENATE(Roster!$D$1," ",Roster!$D$5)</f>
        <v>1A BB</v>
      </c>
      <c r="AI600" s="8" t="str">
        <f t="shared" ca="1" si="302"/>
        <v>Upton - Cokeville 3/3/2023</v>
      </c>
      <c r="AJ600" s="8">
        <f ca="1">IFERROR(VLOOKUP(PlayerGameData[[#This Row],[School, Opponent,Game'#]],Table3[],2,FALSE),0)</f>
        <v>1</v>
      </c>
      <c r="AK600" s="8">
        <f ca="1">IF(PlayerGameData[[#This Row],[Visible]]=1,1,1000)</f>
        <v>1</v>
      </c>
      <c r="AL600" s="8">
        <f ca="1">RANK(PlayerGameData[[#This Row],[TL PTS]],PlayerGameData[TL PTS],0)+PlayerGameData[[#This Row],[VisibleOrder]]</f>
        <v>185</v>
      </c>
      <c r="AM600" s="8">
        <f ca="1">IF(COUNTIF(PlayerGameData[PointOrder],PlayerGameData[[#This Row],[PointOrder]])&gt;1,RANK(PlayerGameData[[#This Row],[FGA]],PlayerGameData[FGA],0)/100,0)+PlayerGameData[[#This Row],[PointOrder]]</f>
        <v>187.14</v>
      </c>
      <c r="AN600" s="8">
        <f ca="1">RANK(PlayerGameData[[#This Row],[PointTieBreak]],PlayerGameData[PointTieBreak],1)</f>
        <v>216</v>
      </c>
      <c r="AO600" s="8">
        <f ca="1">RANK(PlayerGameData[[#This Row],[REB]],PlayerGameData[REB],0)+PlayerGameData[[#This Row],[VisibleOrder]]</f>
        <v>192</v>
      </c>
      <c r="AP600" s="8">
        <f ca="1">IF(COUNTIF(PlayerGameData[REBOrder],PlayerGameData[[#This Row],[REBOrder]])&gt;1,PlayerGameData[[#This Row],[PointRank]]/100+PlayerGameData[[#This Row],[REBOrder]],PlayerGameData[[#This Row],[REBOrder]])</f>
        <v>194.16</v>
      </c>
      <c r="AQ600" s="8">
        <f ca="1">RANK(PlayerGameData[[#This Row],[REBTieBreak]],PlayerGameData[REBTieBreak],1)</f>
        <v>224</v>
      </c>
      <c r="AR600" s="8">
        <f ca="1">RANK(PlayerGameData[[#This Row],[AST]],PlayerGameData[AST],0)+PlayerGameData[[#This Row],[VisibleOrder]]</f>
        <v>158</v>
      </c>
      <c r="AS600" s="8">
        <f ca="1">IF(COUNTIF(PlayerGameData[ASTOrder],PlayerGameData[[#This Row],[ASTOrder]])&gt;1,PlayerGameData[[#This Row],[PointRank]]/100+PlayerGameData[[#This Row],[ASTOrder]],PlayerGameData[[#This Row],[ASTOrder]])</f>
        <v>160.16</v>
      </c>
      <c r="AT600" s="8">
        <f ca="1">RANK(PlayerGameData[[#This Row],[ASTTieBreak]],PlayerGameData[ASTTieBreak],1)</f>
        <v>221</v>
      </c>
      <c r="AU600" s="8">
        <f ca="1">RANK(PlayerGameData[[#This Row],[STL]],PlayerGameData[STL],0)+PlayerGameData[[#This Row],[VisibleOrder]]</f>
        <v>143</v>
      </c>
      <c r="AV600" s="8">
        <f ca="1">IF(COUNTIF(PlayerGameData[STLOrder],PlayerGameData[[#This Row],[STLOrder]])&gt;1,PlayerGameData[[#This Row],[PointRank]]/100+PlayerGameData[[#This Row],[STLOrder]],PlayerGameData[[#This Row],[STLOrder]])</f>
        <v>145.16</v>
      </c>
      <c r="AW600" s="8">
        <f ca="1">RANK(PlayerGameData[[#This Row],[STLTieBreak]],PlayerGameData[STLTieBreak],1)</f>
        <v>217</v>
      </c>
      <c r="AX600" s="8">
        <f ca="1">RANK(PlayerGameData[[#This Row],[BLK]],PlayerGameData[BLK],0)+PlayerGameData[[#This Row],[VisibleOrder]]</f>
        <v>32</v>
      </c>
      <c r="AY600" s="8">
        <f ca="1">IF(COUNTIF(PlayerGameData[BLKOrder],PlayerGameData[[#This Row],[BLKOrder]])&gt;1,PlayerGameData[[#This Row],[PointRank]]/100+PlayerGameData[[#This Row],[BLKOrder]],PlayerGameData[[#This Row],[BLKOrder]])</f>
        <v>34.159999999999997</v>
      </c>
      <c r="AZ600" s="8">
        <f ca="1">RANK(PlayerGameData[[#This Row],[BLKTieBreak]],PlayerGameData[BLKTieBreak],1)</f>
        <v>216</v>
      </c>
      <c r="BA600" s="11">
        <f ca="1">IFERROR(IF(PlayerGameData[[#This Row],[FGA]]&gt;$AA$5,PlayerGameData[[#This Row],[FG%*]],PlayerGameData[[#This Row],[FG%*]]*-1),-2)</f>
        <v>-2</v>
      </c>
      <c r="BB600" s="8">
        <f ca="1">RANK(PlayerGameData[[#This Row],[EligFG]],PlayerGameData[EligFG],0)+PlayerGameData[[#This Row],[VisibleOrder]]</f>
        <v>215</v>
      </c>
      <c r="BC600" s="8">
        <f ca="1">IF(COUNTIF(PlayerGameData[EligFGOrder],PlayerGameData[[#This Row],[EligFGOrder]])&gt;1,PlayerGameData[[#This Row],[PointRank]]/100+PlayerGameData[[#This Row],[EligFGOrder]],PlayerGameData[[#This Row],[EligFGOrder]])</f>
        <v>217.16</v>
      </c>
      <c r="BD600" s="8">
        <f ca="1">RANK(PlayerGameData[[#This Row],[EligFGTieBreak]],PlayerGameData[EligFGTieBreak],1)</f>
        <v>216</v>
      </c>
      <c r="BE600" s="8" t="str">
        <f>Roster!$D$3</f>
        <v>East</v>
      </c>
      <c r="BF600" s="8" t="str">
        <f>Roster!$D$2</f>
        <v>Northeast</v>
      </c>
      <c r="BG600" s="8" t="str">
        <f>Roster!$D$4</f>
        <v>North</v>
      </c>
      <c r="BH600" s="197">
        <f ca="1">IFERROR(VLOOKUP(CONCATENATE(PlayerGameData[[#This Row],[Opponent]]," ",MONTH(PlayerGameData[[#This Row],[Date]]),"/",DAY(PlayerGameData[[#This Row],[Date]]),"/",YEAR(PlayerGameData[[#This Row],[Date]])),Table35[],2,FALSE),0)</f>
        <v>1</v>
      </c>
      <c r="BI600" s="197">
        <f ca="1">IF(PlayerGameData[[#This Row],[Visible]]=1,1,1000)</f>
        <v>1</v>
      </c>
      <c r="BJ600" s="197" t="e">
        <f ca="1">_xlfn.MAXIFS(TeamGameData[Win],TeamGameData[School, Opponent,Game'#],PlayerGameData[[#This Row],[School, Opponent,Game'#]])</f>
        <v>#NAME?</v>
      </c>
      <c r="BK600" s="197" t="e">
        <f ca="1">_xlfn.MAXIFS(TeamGameData[Loss],TeamGameData[School, Opponent,Game'#],PlayerGameData[[#This Row],[School, Opponent,Game'#]])</f>
        <v>#NAME?</v>
      </c>
    </row>
    <row r="601" spans="1:63" x14ac:dyDescent="0.25">
      <c r="A601" s="8" t="str">
        <f t="shared" ca="1" si="303"/>
        <v xml:space="preserve">, </v>
      </c>
      <c r="B601" s="8" t="str">
        <f>Roster!$B$1</f>
        <v>Upton</v>
      </c>
      <c r="C601" s="8" t="str">
        <f t="shared" ca="1" si="291"/>
        <v>Cokeville</v>
      </c>
      <c r="D601" s="10">
        <f t="shared" ca="1" si="292"/>
        <v>44988</v>
      </c>
      <c r="E601" s="8">
        <f t="shared" ca="1" si="293"/>
        <v>0</v>
      </c>
      <c r="F601" s="8">
        <f t="shared" ca="1" si="294"/>
        <v>0</v>
      </c>
      <c r="G601" s="8">
        <f t="shared" ca="1" si="295"/>
        <v>0</v>
      </c>
      <c r="H601" s="8">
        <f t="shared" ca="1" si="296"/>
        <v>0</v>
      </c>
      <c r="I601" s="8">
        <f t="shared" ca="1" si="297"/>
        <v>0</v>
      </c>
      <c r="J601" s="8">
        <f t="shared" ca="1" si="298"/>
        <v>0</v>
      </c>
      <c r="K601" s="8">
        <f t="shared" ca="1" si="299"/>
        <v>0</v>
      </c>
      <c r="L601" s="8">
        <f t="shared" ca="1" si="304"/>
        <v>0</v>
      </c>
      <c r="M601" s="8">
        <f t="shared" ca="1" si="305"/>
        <v>0</v>
      </c>
      <c r="N601" s="8">
        <f t="shared" ca="1" si="306"/>
        <v>0</v>
      </c>
      <c r="O601" s="8">
        <f t="shared" ca="1" si="307"/>
        <v>0</v>
      </c>
      <c r="P601" s="8">
        <f t="shared" ca="1" si="308"/>
        <v>0</v>
      </c>
      <c r="Q601" s="8">
        <f t="shared" ca="1" si="309"/>
        <v>0</v>
      </c>
      <c r="R601" s="8">
        <f t="shared" ca="1" si="310"/>
        <v>0</v>
      </c>
      <c r="S601" s="8">
        <f t="shared" ca="1" si="311"/>
        <v>0</v>
      </c>
      <c r="T601" s="8">
        <f t="shared" ca="1" si="312"/>
        <v>0</v>
      </c>
      <c r="U601" s="8">
        <f t="shared" ca="1" si="313"/>
        <v>0</v>
      </c>
      <c r="V601" s="8">
        <f t="shared" ca="1" si="314"/>
        <v>0</v>
      </c>
      <c r="W601" s="11" t="str">
        <f t="shared" ca="1" si="315"/>
        <v/>
      </c>
      <c r="X601" s="11" t="str">
        <f t="shared" ca="1" si="316"/>
        <v/>
      </c>
      <c r="Y601" s="11" t="str">
        <f t="shared" ca="1" si="317"/>
        <v/>
      </c>
      <c r="Z601" s="11" t="str">
        <f t="shared" ca="1" si="318"/>
        <v/>
      </c>
      <c r="AA601" s="11" t="str">
        <f t="shared" ca="1" si="319"/>
        <v/>
      </c>
      <c r="AB601" s="47">
        <f ca="1">PlayerGameData[[#This Row],[3FGA]]+PlayerGameData[[#This Row],[2FGA]]</f>
        <v>0</v>
      </c>
      <c r="AC601" s="47">
        <f ca="1">PlayerGameData[[#This Row],[OFF REB]]+PlayerGameData[[#This Row],[DEF REB]]</f>
        <v>0</v>
      </c>
      <c r="AD601" s="8">
        <f t="shared" si="300"/>
        <v>25</v>
      </c>
      <c r="AE601" s="8" t="str">
        <f t="shared" ca="1" si="301"/>
        <v>,  - Cokeville 3/3/2023</v>
      </c>
      <c r="AF601" s="8" t="str">
        <f t="shared" ca="1" si="320"/>
        <v/>
      </c>
      <c r="AG601" s="8" t="str">
        <f ca="1">IFERROR(IF(C601=0,"",IF(AND(VLOOKUP(PlayerGameData[[#This Row],[Opponent]],WYTeamInfo,2,FALSE)=Roster!$D$1,VLOOKUP(PlayerGameData[[#This Row],[Opponent]],WYTeamInfo,3,FALSE)=Roster!$D$2),"SR","")),"")</f>
        <v/>
      </c>
      <c r="AH601" s="8" t="str">
        <f>CONCATENATE(Roster!$D$1," ",Roster!$D$5)</f>
        <v>1A BB</v>
      </c>
      <c r="AI601" s="8" t="str">
        <f t="shared" ca="1" si="302"/>
        <v>Upton - Cokeville 3/3/2023</v>
      </c>
      <c r="AJ601" s="8">
        <f ca="1">IFERROR(VLOOKUP(PlayerGameData[[#This Row],[School, Opponent,Game'#]],Table3[],2,FALSE),0)</f>
        <v>1</v>
      </c>
      <c r="AK601" s="8">
        <f ca="1">IF(PlayerGameData[[#This Row],[Visible]]=1,1,1000)</f>
        <v>1</v>
      </c>
      <c r="AL601" s="8">
        <f ca="1">RANK(PlayerGameData[[#This Row],[TL PTS]],PlayerGameData[TL PTS],0)+PlayerGameData[[#This Row],[VisibleOrder]]</f>
        <v>185</v>
      </c>
      <c r="AM601" s="8">
        <f ca="1">IF(COUNTIF(PlayerGameData[PointOrder],PlayerGameData[[#This Row],[PointOrder]])&gt;1,RANK(PlayerGameData[[#This Row],[FGA]],PlayerGameData[FGA],0)/100,0)+PlayerGameData[[#This Row],[PointOrder]]</f>
        <v>187.14</v>
      </c>
      <c r="AN601" s="8">
        <f ca="1">RANK(PlayerGameData[[#This Row],[PointTieBreak]],PlayerGameData[PointTieBreak],1)</f>
        <v>216</v>
      </c>
      <c r="AO601" s="8">
        <f ca="1">RANK(PlayerGameData[[#This Row],[REB]],PlayerGameData[REB],0)+PlayerGameData[[#This Row],[VisibleOrder]]</f>
        <v>192</v>
      </c>
      <c r="AP601" s="8">
        <f ca="1">IF(COUNTIF(PlayerGameData[REBOrder],PlayerGameData[[#This Row],[REBOrder]])&gt;1,PlayerGameData[[#This Row],[PointRank]]/100+PlayerGameData[[#This Row],[REBOrder]],PlayerGameData[[#This Row],[REBOrder]])</f>
        <v>194.16</v>
      </c>
      <c r="AQ601" s="8">
        <f ca="1">RANK(PlayerGameData[[#This Row],[REBTieBreak]],PlayerGameData[REBTieBreak],1)</f>
        <v>224</v>
      </c>
      <c r="AR601" s="8">
        <f ca="1">RANK(PlayerGameData[[#This Row],[AST]],PlayerGameData[AST],0)+PlayerGameData[[#This Row],[VisibleOrder]]</f>
        <v>158</v>
      </c>
      <c r="AS601" s="8">
        <f ca="1">IF(COUNTIF(PlayerGameData[ASTOrder],PlayerGameData[[#This Row],[ASTOrder]])&gt;1,PlayerGameData[[#This Row],[PointRank]]/100+PlayerGameData[[#This Row],[ASTOrder]],PlayerGameData[[#This Row],[ASTOrder]])</f>
        <v>160.16</v>
      </c>
      <c r="AT601" s="8">
        <f ca="1">RANK(PlayerGameData[[#This Row],[ASTTieBreak]],PlayerGameData[ASTTieBreak],1)</f>
        <v>221</v>
      </c>
      <c r="AU601" s="8">
        <f ca="1">RANK(PlayerGameData[[#This Row],[STL]],PlayerGameData[STL],0)+PlayerGameData[[#This Row],[VisibleOrder]]</f>
        <v>143</v>
      </c>
      <c r="AV601" s="8">
        <f ca="1">IF(COUNTIF(PlayerGameData[STLOrder],PlayerGameData[[#This Row],[STLOrder]])&gt;1,PlayerGameData[[#This Row],[PointRank]]/100+PlayerGameData[[#This Row],[STLOrder]],PlayerGameData[[#This Row],[STLOrder]])</f>
        <v>145.16</v>
      </c>
      <c r="AW601" s="8">
        <f ca="1">RANK(PlayerGameData[[#This Row],[STLTieBreak]],PlayerGameData[STLTieBreak],1)</f>
        <v>217</v>
      </c>
      <c r="AX601" s="8">
        <f ca="1">RANK(PlayerGameData[[#This Row],[BLK]],PlayerGameData[BLK],0)+PlayerGameData[[#This Row],[VisibleOrder]]</f>
        <v>32</v>
      </c>
      <c r="AY601" s="8">
        <f ca="1">IF(COUNTIF(PlayerGameData[BLKOrder],PlayerGameData[[#This Row],[BLKOrder]])&gt;1,PlayerGameData[[#This Row],[PointRank]]/100+PlayerGameData[[#This Row],[BLKOrder]],PlayerGameData[[#This Row],[BLKOrder]])</f>
        <v>34.159999999999997</v>
      </c>
      <c r="AZ601" s="8">
        <f ca="1">RANK(PlayerGameData[[#This Row],[BLKTieBreak]],PlayerGameData[BLKTieBreak],1)</f>
        <v>216</v>
      </c>
      <c r="BA601" s="11">
        <f ca="1">IFERROR(IF(PlayerGameData[[#This Row],[FGA]]&gt;$AA$5,PlayerGameData[[#This Row],[FG%*]],PlayerGameData[[#This Row],[FG%*]]*-1),-2)</f>
        <v>-2</v>
      </c>
      <c r="BB601" s="8">
        <f ca="1">RANK(PlayerGameData[[#This Row],[EligFG]],PlayerGameData[EligFG],0)+PlayerGameData[[#This Row],[VisibleOrder]]</f>
        <v>215</v>
      </c>
      <c r="BC601" s="8">
        <f ca="1">IF(COUNTIF(PlayerGameData[EligFGOrder],PlayerGameData[[#This Row],[EligFGOrder]])&gt;1,PlayerGameData[[#This Row],[PointRank]]/100+PlayerGameData[[#This Row],[EligFGOrder]],PlayerGameData[[#This Row],[EligFGOrder]])</f>
        <v>217.16</v>
      </c>
      <c r="BD601" s="8">
        <f ca="1">RANK(PlayerGameData[[#This Row],[EligFGTieBreak]],PlayerGameData[EligFGTieBreak],1)</f>
        <v>216</v>
      </c>
      <c r="BE601" s="8" t="str">
        <f>Roster!$D$3</f>
        <v>East</v>
      </c>
      <c r="BF601" s="8" t="str">
        <f>Roster!$D$2</f>
        <v>Northeast</v>
      </c>
      <c r="BG601" s="8" t="str">
        <f>Roster!$D$4</f>
        <v>North</v>
      </c>
      <c r="BH601" s="197">
        <f ca="1">IFERROR(VLOOKUP(CONCATENATE(PlayerGameData[[#This Row],[Opponent]]," ",MONTH(PlayerGameData[[#This Row],[Date]]),"/",DAY(PlayerGameData[[#This Row],[Date]]),"/",YEAR(PlayerGameData[[#This Row],[Date]])),Table35[],2,FALSE),0)</f>
        <v>1</v>
      </c>
      <c r="BI601" s="197">
        <f ca="1">IF(PlayerGameData[[#This Row],[Visible]]=1,1,1000)</f>
        <v>1</v>
      </c>
      <c r="BJ601" s="197" t="e">
        <f ca="1">_xlfn.MAXIFS(TeamGameData[Win],TeamGameData[School, Opponent,Game'#],PlayerGameData[[#This Row],[School, Opponent,Game'#]])</f>
        <v>#NAME?</v>
      </c>
      <c r="BK601" s="197" t="e">
        <f ca="1">_xlfn.MAXIFS(TeamGameData[Loss],TeamGameData[School, Opponent,Game'#],PlayerGameData[[#This Row],[School, Opponent,Game'#]])</f>
        <v>#NAME?</v>
      </c>
    </row>
    <row r="602" spans="1:63" x14ac:dyDescent="0.25">
      <c r="A602" s="8" t="str">
        <f t="shared" ca="1" si="303"/>
        <v xml:space="preserve">, </v>
      </c>
      <c r="B602" s="8" t="str">
        <f>Roster!$B$1</f>
        <v>Upton</v>
      </c>
      <c r="C602" s="8" t="str">
        <f t="shared" ca="1" si="291"/>
        <v>Cokeville</v>
      </c>
      <c r="D602" s="10">
        <f t="shared" ca="1" si="292"/>
        <v>44988</v>
      </c>
      <c r="E602" s="8">
        <f t="shared" ca="1" si="293"/>
        <v>0</v>
      </c>
      <c r="F602" s="8">
        <f t="shared" ca="1" si="294"/>
        <v>0</v>
      </c>
      <c r="G602" s="8">
        <f t="shared" ca="1" si="295"/>
        <v>0</v>
      </c>
      <c r="H602" s="8">
        <f t="shared" ca="1" si="296"/>
        <v>0</v>
      </c>
      <c r="I602" s="8">
        <f t="shared" ca="1" si="297"/>
        <v>0</v>
      </c>
      <c r="J602" s="8">
        <f t="shared" ca="1" si="298"/>
        <v>0</v>
      </c>
      <c r="K602" s="8">
        <f t="shared" ca="1" si="299"/>
        <v>0</v>
      </c>
      <c r="L602" s="8">
        <f t="shared" ca="1" si="304"/>
        <v>0</v>
      </c>
      <c r="M602" s="8">
        <f t="shared" ca="1" si="305"/>
        <v>0</v>
      </c>
      <c r="N602" s="8">
        <f t="shared" ca="1" si="306"/>
        <v>0</v>
      </c>
      <c r="O602" s="8">
        <f t="shared" ca="1" si="307"/>
        <v>0</v>
      </c>
      <c r="P602" s="8">
        <f t="shared" ca="1" si="308"/>
        <v>0</v>
      </c>
      <c r="Q602" s="8">
        <f t="shared" ca="1" si="309"/>
        <v>0</v>
      </c>
      <c r="R602" s="8">
        <f t="shared" ca="1" si="310"/>
        <v>0</v>
      </c>
      <c r="S602" s="8">
        <f t="shared" ca="1" si="311"/>
        <v>0</v>
      </c>
      <c r="T602" s="8">
        <f t="shared" ca="1" si="312"/>
        <v>0</v>
      </c>
      <c r="U602" s="8">
        <f t="shared" ca="1" si="313"/>
        <v>0</v>
      </c>
      <c r="V602" s="8">
        <f t="shared" ca="1" si="314"/>
        <v>0</v>
      </c>
      <c r="W602" s="11" t="str">
        <f t="shared" ca="1" si="315"/>
        <v/>
      </c>
      <c r="X602" s="11" t="str">
        <f t="shared" ca="1" si="316"/>
        <v/>
      </c>
      <c r="Y602" s="11" t="str">
        <f t="shared" ca="1" si="317"/>
        <v/>
      </c>
      <c r="Z602" s="11" t="str">
        <f t="shared" ca="1" si="318"/>
        <v/>
      </c>
      <c r="AA602" s="11" t="str">
        <f t="shared" ca="1" si="319"/>
        <v/>
      </c>
      <c r="AB602" s="47">
        <f ca="1">PlayerGameData[[#This Row],[3FGA]]+PlayerGameData[[#This Row],[2FGA]]</f>
        <v>0</v>
      </c>
      <c r="AC602" s="47">
        <f ca="1">PlayerGameData[[#This Row],[OFF REB]]+PlayerGameData[[#This Row],[DEF REB]]</f>
        <v>0</v>
      </c>
      <c r="AD602" s="8">
        <f t="shared" si="300"/>
        <v>25</v>
      </c>
      <c r="AE602" s="8" t="str">
        <f t="shared" ca="1" si="301"/>
        <v>,  - Cokeville 3/3/2023</v>
      </c>
      <c r="AF602" s="8" t="str">
        <f t="shared" ca="1" si="320"/>
        <v/>
      </c>
      <c r="AG602" s="8" t="str">
        <f ca="1">IFERROR(IF(C602=0,"",IF(AND(VLOOKUP(PlayerGameData[[#This Row],[Opponent]],WYTeamInfo,2,FALSE)=Roster!$D$1,VLOOKUP(PlayerGameData[[#This Row],[Opponent]],WYTeamInfo,3,FALSE)=Roster!$D$2),"SR","")),"")</f>
        <v/>
      </c>
      <c r="AH602" s="8" t="str">
        <f>CONCATENATE(Roster!$D$1," ",Roster!$D$5)</f>
        <v>1A BB</v>
      </c>
      <c r="AI602" s="8" t="str">
        <f t="shared" ca="1" si="302"/>
        <v>Upton - Cokeville 3/3/2023</v>
      </c>
      <c r="AJ602" s="8">
        <f ca="1">IFERROR(VLOOKUP(PlayerGameData[[#This Row],[School, Opponent,Game'#]],Table3[],2,FALSE),0)</f>
        <v>1</v>
      </c>
      <c r="AK602" s="8">
        <f ca="1">IF(PlayerGameData[[#This Row],[Visible]]=1,1,1000)</f>
        <v>1</v>
      </c>
      <c r="AL602" s="8">
        <f ca="1">RANK(PlayerGameData[[#This Row],[TL PTS]],PlayerGameData[TL PTS],0)+PlayerGameData[[#This Row],[VisibleOrder]]</f>
        <v>185</v>
      </c>
      <c r="AM602" s="8">
        <f ca="1">IF(COUNTIF(PlayerGameData[PointOrder],PlayerGameData[[#This Row],[PointOrder]])&gt;1,RANK(PlayerGameData[[#This Row],[FGA]],PlayerGameData[FGA],0)/100,0)+PlayerGameData[[#This Row],[PointOrder]]</f>
        <v>187.14</v>
      </c>
      <c r="AN602" s="8">
        <f ca="1">RANK(PlayerGameData[[#This Row],[PointTieBreak]],PlayerGameData[PointTieBreak],1)</f>
        <v>216</v>
      </c>
      <c r="AO602" s="8">
        <f ca="1">RANK(PlayerGameData[[#This Row],[REB]],PlayerGameData[REB],0)+PlayerGameData[[#This Row],[VisibleOrder]]</f>
        <v>192</v>
      </c>
      <c r="AP602" s="8">
        <f ca="1">IF(COUNTIF(PlayerGameData[REBOrder],PlayerGameData[[#This Row],[REBOrder]])&gt;1,PlayerGameData[[#This Row],[PointRank]]/100+PlayerGameData[[#This Row],[REBOrder]],PlayerGameData[[#This Row],[REBOrder]])</f>
        <v>194.16</v>
      </c>
      <c r="AQ602" s="8">
        <f ca="1">RANK(PlayerGameData[[#This Row],[REBTieBreak]],PlayerGameData[REBTieBreak],1)</f>
        <v>224</v>
      </c>
      <c r="AR602" s="8">
        <f ca="1">RANK(PlayerGameData[[#This Row],[AST]],PlayerGameData[AST],0)+PlayerGameData[[#This Row],[VisibleOrder]]</f>
        <v>158</v>
      </c>
      <c r="AS602" s="8">
        <f ca="1">IF(COUNTIF(PlayerGameData[ASTOrder],PlayerGameData[[#This Row],[ASTOrder]])&gt;1,PlayerGameData[[#This Row],[PointRank]]/100+PlayerGameData[[#This Row],[ASTOrder]],PlayerGameData[[#This Row],[ASTOrder]])</f>
        <v>160.16</v>
      </c>
      <c r="AT602" s="8">
        <f ca="1">RANK(PlayerGameData[[#This Row],[ASTTieBreak]],PlayerGameData[ASTTieBreak],1)</f>
        <v>221</v>
      </c>
      <c r="AU602" s="8">
        <f ca="1">RANK(PlayerGameData[[#This Row],[STL]],PlayerGameData[STL],0)+PlayerGameData[[#This Row],[VisibleOrder]]</f>
        <v>143</v>
      </c>
      <c r="AV602" s="8">
        <f ca="1">IF(COUNTIF(PlayerGameData[STLOrder],PlayerGameData[[#This Row],[STLOrder]])&gt;1,PlayerGameData[[#This Row],[PointRank]]/100+PlayerGameData[[#This Row],[STLOrder]],PlayerGameData[[#This Row],[STLOrder]])</f>
        <v>145.16</v>
      </c>
      <c r="AW602" s="8">
        <f ca="1">RANK(PlayerGameData[[#This Row],[STLTieBreak]],PlayerGameData[STLTieBreak],1)</f>
        <v>217</v>
      </c>
      <c r="AX602" s="8">
        <f ca="1">RANK(PlayerGameData[[#This Row],[BLK]],PlayerGameData[BLK],0)+PlayerGameData[[#This Row],[VisibleOrder]]</f>
        <v>32</v>
      </c>
      <c r="AY602" s="8">
        <f ca="1">IF(COUNTIF(PlayerGameData[BLKOrder],PlayerGameData[[#This Row],[BLKOrder]])&gt;1,PlayerGameData[[#This Row],[PointRank]]/100+PlayerGameData[[#This Row],[BLKOrder]],PlayerGameData[[#This Row],[BLKOrder]])</f>
        <v>34.159999999999997</v>
      </c>
      <c r="AZ602" s="8">
        <f ca="1">RANK(PlayerGameData[[#This Row],[BLKTieBreak]],PlayerGameData[BLKTieBreak],1)</f>
        <v>216</v>
      </c>
      <c r="BA602" s="11">
        <f ca="1">IFERROR(IF(PlayerGameData[[#This Row],[FGA]]&gt;$AA$5,PlayerGameData[[#This Row],[FG%*]],PlayerGameData[[#This Row],[FG%*]]*-1),-2)</f>
        <v>-2</v>
      </c>
      <c r="BB602" s="8">
        <f ca="1">RANK(PlayerGameData[[#This Row],[EligFG]],PlayerGameData[EligFG],0)+PlayerGameData[[#This Row],[VisibleOrder]]</f>
        <v>215</v>
      </c>
      <c r="BC602" s="8">
        <f ca="1">IF(COUNTIF(PlayerGameData[EligFGOrder],PlayerGameData[[#This Row],[EligFGOrder]])&gt;1,PlayerGameData[[#This Row],[PointRank]]/100+PlayerGameData[[#This Row],[EligFGOrder]],PlayerGameData[[#This Row],[EligFGOrder]])</f>
        <v>217.16</v>
      </c>
      <c r="BD602" s="8">
        <f ca="1">RANK(PlayerGameData[[#This Row],[EligFGTieBreak]],PlayerGameData[EligFGTieBreak],1)</f>
        <v>216</v>
      </c>
      <c r="BE602" s="8" t="str">
        <f>Roster!$D$3</f>
        <v>East</v>
      </c>
      <c r="BF602" s="8" t="str">
        <f>Roster!$D$2</f>
        <v>Northeast</v>
      </c>
      <c r="BG602" s="8" t="str">
        <f>Roster!$D$4</f>
        <v>North</v>
      </c>
      <c r="BH602" s="197">
        <f ca="1">IFERROR(VLOOKUP(CONCATENATE(PlayerGameData[[#This Row],[Opponent]]," ",MONTH(PlayerGameData[[#This Row],[Date]]),"/",DAY(PlayerGameData[[#This Row],[Date]]),"/",YEAR(PlayerGameData[[#This Row],[Date]])),Table35[],2,FALSE),0)</f>
        <v>1</v>
      </c>
      <c r="BI602" s="197">
        <f ca="1">IF(PlayerGameData[[#This Row],[Visible]]=1,1,1000)</f>
        <v>1</v>
      </c>
      <c r="BJ602" s="197" t="e">
        <f ca="1">_xlfn.MAXIFS(TeamGameData[Win],TeamGameData[School, Opponent,Game'#],PlayerGameData[[#This Row],[School, Opponent,Game'#]])</f>
        <v>#NAME?</v>
      </c>
      <c r="BK602" s="197" t="e">
        <f ca="1">_xlfn.MAXIFS(TeamGameData[Loss],TeamGameData[School, Opponent,Game'#],PlayerGameData[[#This Row],[School, Opponent,Game'#]])</f>
        <v>#NAME?</v>
      </c>
    </row>
    <row r="603" spans="1:63" x14ac:dyDescent="0.25">
      <c r="A603" s="8" t="str">
        <f t="shared" ca="1" si="303"/>
        <v xml:space="preserve">, </v>
      </c>
      <c r="B603" s="8" t="str">
        <f>Roster!$B$1</f>
        <v>Upton</v>
      </c>
      <c r="C603" s="8" t="str">
        <f t="shared" ca="1" si="291"/>
        <v>Cokeville</v>
      </c>
      <c r="D603" s="10">
        <f t="shared" ca="1" si="292"/>
        <v>44988</v>
      </c>
      <c r="E603" s="8">
        <f t="shared" ca="1" si="293"/>
        <v>0</v>
      </c>
      <c r="F603" s="8">
        <f t="shared" ca="1" si="294"/>
        <v>0</v>
      </c>
      <c r="G603" s="8">
        <f t="shared" ca="1" si="295"/>
        <v>0</v>
      </c>
      <c r="H603" s="8">
        <f t="shared" ca="1" si="296"/>
        <v>0</v>
      </c>
      <c r="I603" s="8">
        <f t="shared" ca="1" si="297"/>
        <v>0</v>
      </c>
      <c r="J603" s="8">
        <f t="shared" ca="1" si="298"/>
        <v>0</v>
      </c>
      <c r="K603" s="8">
        <f t="shared" ca="1" si="299"/>
        <v>0</v>
      </c>
      <c r="L603" s="8">
        <f t="shared" ca="1" si="304"/>
        <v>0</v>
      </c>
      <c r="M603" s="8">
        <f t="shared" ca="1" si="305"/>
        <v>0</v>
      </c>
      <c r="N603" s="8">
        <f t="shared" ca="1" si="306"/>
        <v>0</v>
      </c>
      <c r="O603" s="8">
        <f t="shared" ca="1" si="307"/>
        <v>0</v>
      </c>
      <c r="P603" s="8">
        <f t="shared" ca="1" si="308"/>
        <v>0</v>
      </c>
      <c r="Q603" s="8">
        <f t="shared" ca="1" si="309"/>
        <v>0</v>
      </c>
      <c r="R603" s="8">
        <f t="shared" ca="1" si="310"/>
        <v>0</v>
      </c>
      <c r="S603" s="8">
        <f t="shared" ca="1" si="311"/>
        <v>0</v>
      </c>
      <c r="T603" s="8">
        <f t="shared" ca="1" si="312"/>
        <v>0</v>
      </c>
      <c r="U603" s="8">
        <f t="shared" ca="1" si="313"/>
        <v>0</v>
      </c>
      <c r="V603" s="8">
        <f t="shared" ca="1" si="314"/>
        <v>0</v>
      </c>
      <c r="W603" s="11" t="str">
        <f t="shared" ca="1" si="315"/>
        <v/>
      </c>
      <c r="X603" s="11" t="str">
        <f t="shared" ca="1" si="316"/>
        <v/>
      </c>
      <c r="Y603" s="11" t="str">
        <f t="shared" ca="1" si="317"/>
        <v/>
      </c>
      <c r="Z603" s="11" t="str">
        <f t="shared" ca="1" si="318"/>
        <v/>
      </c>
      <c r="AA603" s="11" t="str">
        <f t="shared" ca="1" si="319"/>
        <v/>
      </c>
      <c r="AB603" s="47">
        <f ca="1">PlayerGameData[[#This Row],[3FGA]]+PlayerGameData[[#This Row],[2FGA]]</f>
        <v>0</v>
      </c>
      <c r="AC603" s="47">
        <f ca="1">PlayerGameData[[#This Row],[OFF REB]]+PlayerGameData[[#This Row],[DEF REB]]</f>
        <v>0</v>
      </c>
      <c r="AD603" s="8">
        <f t="shared" si="300"/>
        <v>25</v>
      </c>
      <c r="AE603" s="8" t="str">
        <f t="shared" ca="1" si="301"/>
        <v>,  - Cokeville 3/3/2023</v>
      </c>
      <c r="AF603" s="8" t="str">
        <f t="shared" ca="1" si="320"/>
        <v/>
      </c>
      <c r="AG603" s="8" t="str">
        <f ca="1">IFERROR(IF(C603=0,"",IF(AND(VLOOKUP(PlayerGameData[[#This Row],[Opponent]],WYTeamInfo,2,FALSE)=Roster!$D$1,VLOOKUP(PlayerGameData[[#This Row],[Opponent]],WYTeamInfo,3,FALSE)=Roster!$D$2),"SR","")),"")</f>
        <v/>
      </c>
      <c r="AH603" s="8" t="str">
        <f>CONCATENATE(Roster!$D$1," ",Roster!$D$5)</f>
        <v>1A BB</v>
      </c>
      <c r="AI603" s="8" t="str">
        <f t="shared" ca="1" si="302"/>
        <v>Upton - Cokeville 3/3/2023</v>
      </c>
      <c r="AJ603" s="8">
        <f ca="1">IFERROR(VLOOKUP(PlayerGameData[[#This Row],[School, Opponent,Game'#]],Table3[],2,FALSE),0)</f>
        <v>1</v>
      </c>
      <c r="AK603" s="8">
        <f ca="1">IF(PlayerGameData[[#This Row],[Visible]]=1,1,1000)</f>
        <v>1</v>
      </c>
      <c r="AL603" s="8">
        <f ca="1">RANK(PlayerGameData[[#This Row],[TL PTS]],PlayerGameData[TL PTS],0)+PlayerGameData[[#This Row],[VisibleOrder]]</f>
        <v>185</v>
      </c>
      <c r="AM603" s="8">
        <f ca="1">IF(COUNTIF(PlayerGameData[PointOrder],PlayerGameData[[#This Row],[PointOrder]])&gt;1,RANK(PlayerGameData[[#This Row],[FGA]],PlayerGameData[FGA],0)/100,0)+PlayerGameData[[#This Row],[PointOrder]]</f>
        <v>187.14</v>
      </c>
      <c r="AN603" s="8">
        <f ca="1">RANK(PlayerGameData[[#This Row],[PointTieBreak]],PlayerGameData[PointTieBreak],1)</f>
        <v>216</v>
      </c>
      <c r="AO603" s="8">
        <f ca="1">RANK(PlayerGameData[[#This Row],[REB]],PlayerGameData[REB],0)+PlayerGameData[[#This Row],[VisibleOrder]]</f>
        <v>192</v>
      </c>
      <c r="AP603" s="8">
        <f ca="1">IF(COUNTIF(PlayerGameData[REBOrder],PlayerGameData[[#This Row],[REBOrder]])&gt;1,PlayerGameData[[#This Row],[PointRank]]/100+PlayerGameData[[#This Row],[REBOrder]],PlayerGameData[[#This Row],[REBOrder]])</f>
        <v>194.16</v>
      </c>
      <c r="AQ603" s="8">
        <f ca="1">RANK(PlayerGameData[[#This Row],[REBTieBreak]],PlayerGameData[REBTieBreak],1)</f>
        <v>224</v>
      </c>
      <c r="AR603" s="8">
        <f ca="1">RANK(PlayerGameData[[#This Row],[AST]],PlayerGameData[AST],0)+PlayerGameData[[#This Row],[VisibleOrder]]</f>
        <v>158</v>
      </c>
      <c r="AS603" s="8">
        <f ca="1">IF(COUNTIF(PlayerGameData[ASTOrder],PlayerGameData[[#This Row],[ASTOrder]])&gt;1,PlayerGameData[[#This Row],[PointRank]]/100+PlayerGameData[[#This Row],[ASTOrder]],PlayerGameData[[#This Row],[ASTOrder]])</f>
        <v>160.16</v>
      </c>
      <c r="AT603" s="8">
        <f ca="1">RANK(PlayerGameData[[#This Row],[ASTTieBreak]],PlayerGameData[ASTTieBreak],1)</f>
        <v>221</v>
      </c>
      <c r="AU603" s="8">
        <f ca="1">RANK(PlayerGameData[[#This Row],[STL]],PlayerGameData[STL],0)+PlayerGameData[[#This Row],[VisibleOrder]]</f>
        <v>143</v>
      </c>
      <c r="AV603" s="8">
        <f ca="1">IF(COUNTIF(PlayerGameData[STLOrder],PlayerGameData[[#This Row],[STLOrder]])&gt;1,PlayerGameData[[#This Row],[PointRank]]/100+PlayerGameData[[#This Row],[STLOrder]],PlayerGameData[[#This Row],[STLOrder]])</f>
        <v>145.16</v>
      </c>
      <c r="AW603" s="8">
        <f ca="1">RANK(PlayerGameData[[#This Row],[STLTieBreak]],PlayerGameData[STLTieBreak],1)</f>
        <v>217</v>
      </c>
      <c r="AX603" s="8">
        <f ca="1">RANK(PlayerGameData[[#This Row],[BLK]],PlayerGameData[BLK],0)+PlayerGameData[[#This Row],[VisibleOrder]]</f>
        <v>32</v>
      </c>
      <c r="AY603" s="8">
        <f ca="1">IF(COUNTIF(PlayerGameData[BLKOrder],PlayerGameData[[#This Row],[BLKOrder]])&gt;1,PlayerGameData[[#This Row],[PointRank]]/100+PlayerGameData[[#This Row],[BLKOrder]],PlayerGameData[[#This Row],[BLKOrder]])</f>
        <v>34.159999999999997</v>
      </c>
      <c r="AZ603" s="8">
        <f ca="1">RANK(PlayerGameData[[#This Row],[BLKTieBreak]],PlayerGameData[BLKTieBreak],1)</f>
        <v>216</v>
      </c>
      <c r="BA603" s="11">
        <f ca="1">IFERROR(IF(PlayerGameData[[#This Row],[FGA]]&gt;$AA$5,PlayerGameData[[#This Row],[FG%*]],PlayerGameData[[#This Row],[FG%*]]*-1),-2)</f>
        <v>-2</v>
      </c>
      <c r="BB603" s="8">
        <f ca="1">RANK(PlayerGameData[[#This Row],[EligFG]],PlayerGameData[EligFG],0)+PlayerGameData[[#This Row],[VisibleOrder]]</f>
        <v>215</v>
      </c>
      <c r="BC603" s="8">
        <f ca="1">IF(COUNTIF(PlayerGameData[EligFGOrder],PlayerGameData[[#This Row],[EligFGOrder]])&gt;1,PlayerGameData[[#This Row],[PointRank]]/100+PlayerGameData[[#This Row],[EligFGOrder]],PlayerGameData[[#This Row],[EligFGOrder]])</f>
        <v>217.16</v>
      </c>
      <c r="BD603" s="8">
        <f ca="1">RANK(PlayerGameData[[#This Row],[EligFGTieBreak]],PlayerGameData[EligFGTieBreak],1)</f>
        <v>216</v>
      </c>
      <c r="BE603" s="8" t="str">
        <f>Roster!$D$3</f>
        <v>East</v>
      </c>
      <c r="BF603" s="8" t="str">
        <f>Roster!$D$2</f>
        <v>Northeast</v>
      </c>
      <c r="BG603" s="8" t="str">
        <f>Roster!$D$4</f>
        <v>North</v>
      </c>
      <c r="BH603" s="197">
        <f ca="1">IFERROR(VLOOKUP(CONCATENATE(PlayerGameData[[#This Row],[Opponent]]," ",MONTH(PlayerGameData[[#This Row],[Date]]),"/",DAY(PlayerGameData[[#This Row],[Date]]),"/",YEAR(PlayerGameData[[#This Row],[Date]])),Table35[],2,FALSE),0)</f>
        <v>1</v>
      </c>
      <c r="BI603" s="197">
        <f ca="1">IF(PlayerGameData[[#This Row],[Visible]]=1,1,1000)</f>
        <v>1</v>
      </c>
      <c r="BJ603" s="197" t="e">
        <f ca="1">_xlfn.MAXIFS(TeamGameData[Win],TeamGameData[School, Opponent,Game'#],PlayerGameData[[#This Row],[School, Opponent,Game'#]])</f>
        <v>#NAME?</v>
      </c>
      <c r="BK603" s="197" t="e">
        <f ca="1">_xlfn.MAXIFS(TeamGameData[Loss],TeamGameData[School, Opponent,Game'#],PlayerGameData[[#This Row],[School, Opponent,Game'#]])</f>
        <v>#NAME?</v>
      </c>
    </row>
    <row r="604" spans="1:63" x14ac:dyDescent="0.25">
      <c r="A604" s="8" t="str">
        <f t="shared" ca="1" si="303"/>
        <v xml:space="preserve">, </v>
      </c>
      <c r="B604" s="8" t="str">
        <f>Roster!$B$1</f>
        <v>Upton</v>
      </c>
      <c r="C604" s="8" t="str">
        <f t="shared" ca="1" si="291"/>
        <v>Cokeville</v>
      </c>
      <c r="D604" s="10">
        <f t="shared" ca="1" si="292"/>
        <v>44988</v>
      </c>
      <c r="E604" s="8">
        <f t="shared" ca="1" si="293"/>
        <v>0</v>
      </c>
      <c r="F604" s="8">
        <f t="shared" ca="1" si="294"/>
        <v>0</v>
      </c>
      <c r="G604" s="8">
        <f t="shared" ca="1" si="295"/>
        <v>0</v>
      </c>
      <c r="H604" s="8">
        <f t="shared" ca="1" si="296"/>
        <v>0</v>
      </c>
      <c r="I604" s="8">
        <f t="shared" ca="1" si="297"/>
        <v>0</v>
      </c>
      <c r="J604" s="8">
        <f t="shared" ca="1" si="298"/>
        <v>0</v>
      </c>
      <c r="K604" s="8">
        <f t="shared" ca="1" si="299"/>
        <v>0</v>
      </c>
      <c r="L604" s="8">
        <f t="shared" ca="1" si="304"/>
        <v>0</v>
      </c>
      <c r="M604" s="8">
        <f t="shared" ca="1" si="305"/>
        <v>0</v>
      </c>
      <c r="N604" s="8">
        <f t="shared" ca="1" si="306"/>
        <v>0</v>
      </c>
      <c r="O604" s="8">
        <f t="shared" ca="1" si="307"/>
        <v>0</v>
      </c>
      <c r="P604" s="8">
        <f t="shared" ca="1" si="308"/>
        <v>0</v>
      </c>
      <c r="Q604" s="8">
        <f t="shared" ca="1" si="309"/>
        <v>0</v>
      </c>
      <c r="R604" s="8">
        <f t="shared" ca="1" si="310"/>
        <v>0</v>
      </c>
      <c r="S604" s="8">
        <f t="shared" ca="1" si="311"/>
        <v>0</v>
      </c>
      <c r="T604" s="8">
        <f t="shared" ca="1" si="312"/>
        <v>0</v>
      </c>
      <c r="U604" s="8">
        <f t="shared" ca="1" si="313"/>
        <v>0</v>
      </c>
      <c r="V604" s="8">
        <f t="shared" ca="1" si="314"/>
        <v>0</v>
      </c>
      <c r="W604" s="11" t="str">
        <f t="shared" ca="1" si="315"/>
        <v/>
      </c>
      <c r="X604" s="11" t="str">
        <f t="shared" ca="1" si="316"/>
        <v/>
      </c>
      <c r="Y604" s="11" t="str">
        <f t="shared" ca="1" si="317"/>
        <v/>
      </c>
      <c r="Z604" s="11" t="str">
        <f t="shared" ca="1" si="318"/>
        <v/>
      </c>
      <c r="AA604" s="11" t="str">
        <f t="shared" ca="1" si="319"/>
        <v/>
      </c>
      <c r="AB604" s="47">
        <f ca="1">PlayerGameData[[#This Row],[3FGA]]+PlayerGameData[[#This Row],[2FGA]]</f>
        <v>0</v>
      </c>
      <c r="AC604" s="47">
        <f ca="1">PlayerGameData[[#This Row],[OFF REB]]+PlayerGameData[[#This Row],[DEF REB]]</f>
        <v>0</v>
      </c>
      <c r="AD604" s="8">
        <f t="shared" si="300"/>
        <v>25</v>
      </c>
      <c r="AE604" s="8" t="str">
        <f t="shared" ca="1" si="301"/>
        <v>,  - Cokeville 3/3/2023</v>
      </c>
      <c r="AF604" s="8" t="str">
        <f t="shared" ca="1" si="320"/>
        <v/>
      </c>
      <c r="AG604" s="8" t="str">
        <f ca="1">IFERROR(IF(C604=0,"",IF(AND(VLOOKUP(PlayerGameData[[#This Row],[Opponent]],WYTeamInfo,2,FALSE)=Roster!$D$1,VLOOKUP(PlayerGameData[[#This Row],[Opponent]],WYTeamInfo,3,FALSE)=Roster!$D$2),"SR","")),"")</f>
        <v/>
      </c>
      <c r="AH604" s="8" t="str">
        <f>CONCATENATE(Roster!$D$1," ",Roster!$D$5)</f>
        <v>1A BB</v>
      </c>
      <c r="AI604" s="8" t="str">
        <f t="shared" ca="1" si="302"/>
        <v>Upton - Cokeville 3/3/2023</v>
      </c>
      <c r="AJ604" s="8">
        <f ca="1">IFERROR(VLOOKUP(PlayerGameData[[#This Row],[School, Opponent,Game'#]],Table3[],2,FALSE),0)</f>
        <v>1</v>
      </c>
      <c r="AK604" s="8">
        <f ca="1">IF(PlayerGameData[[#This Row],[Visible]]=1,1,1000)</f>
        <v>1</v>
      </c>
      <c r="AL604" s="8">
        <f ca="1">RANK(PlayerGameData[[#This Row],[TL PTS]],PlayerGameData[TL PTS],0)+PlayerGameData[[#This Row],[VisibleOrder]]</f>
        <v>185</v>
      </c>
      <c r="AM604" s="8">
        <f ca="1">IF(COUNTIF(PlayerGameData[PointOrder],PlayerGameData[[#This Row],[PointOrder]])&gt;1,RANK(PlayerGameData[[#This Row],[FGA]],PlayerGameData[FGA],0)/100,0)+PlayerGameData[[#This Row],[PointOrder]]</f>
        <v>187.14</v>
      </c>
      <c r="AN604" s="8">
        <f ca="1">RANK(PlayerGameData[[#This Row],[PointTieBreak]],PlayerGameData[PointTieBreak],1)</f>
        <v>216</v>
      </c>
      <c r="AO604" s="8">
        <f ca="1">RANK(PlayerGameData[[#This Row],[REB]],PlayerGameData[REB],0)+PlayerGameData[[#This Row],[VisibleOrder]]</f>
        <v>192</v>
      </c>
      <c r="AP604" s="8">
        <f ca="1">IF(COUNTIF(PlayerGameData[REBOrder],PlayerGameData[[#This Row],[REBOrder]])&gt;1,PlayerGameData[[#This Row],[PointRank]]/100+PlayerGameData[[#This Row],[REBOrder]],PlayerGameData[[#This Row],[REBOrder]])</f>
        <v>194.16</v>
      </c>
      <c r="AQ604" s="8">
        <f ca="1">RANK(PlayerGameData[[#This Row],[REBTieBreak]],PlayerGameData[REBTieBreak],1)</f>
        <v>224</v>
      </c>
      <c r="AR604" s="8">
        <f ca="1">RANK(PlayerGameData[[#This Row],[AST]],PlayerGameData[AST],0)+PlayerGameData[[#This Row],[VisibleOrder]]</f>
        <v>158</v>
      </c>
      <c r="AS604" s="8">
        <f ca="1">IF(COUNTIF(PlayerGameData[ASTOrder],PlayerGameData[[#This Row],[ASTOrder]])&gt;1,PlayerGameData[[#This Row],[PointRank]]/100+PlayerGameData[[#This Row],[ASTOrder]],PlayerGameData[[#This Row],[ASTOrder]])</f>
        <v>160.16</v>
      </c>
      <c r="AT604" s="8">
        <f ca="1">RANK(PlayerGameData[[#This Row],[ASTTieBreak]],PlayerGameData[ASTTieBreak],1)</f>
        <v>221</v>
      </c>
      <c r="AU604" s="8">
        <f ca="1">RANK(PlayerGameData[[#This Row],[STL]],PlayerGameData[STL],0)+PlayerGameData[[#This Row],[VisibleOrder]]</f>
        <v>143</v>
      </c>
      <c r="AV604" s="8">
        <f ca="1">IF(COUNTIF(PlayerGameData[STLOrder],PlayerGameData[[#This Row],[STLOrder]])&gt;1,PlayerGameData[[#This Row],[PointRank]]/100+PlayerGameData[[#This Row],[STLOrder]],PlayerGameData[[#This Row],[STLOrder]])</f>
        <v>145.16</v>
      </c>
      <c r="AW604" s="8">
        <f ca="1">RANK(PlayerGameData[[#This Row],[STLTieBreak]],PlayerGameData[STLTieBreak],1)</f>
        <v>217</v>
      </c>
      <c r="AX604" s="8">
        <f ca="1">RANK(PlayerGameData[[#This Row],[BLK]],PlayerGameData[BLK],0)+PlayerGameData[[#This Row],[VisibleOrder]]</f>
        <v>32</v>
      </c>
      <c r="AY604" s="8">
        <f ca="1">IF(COUNTIF(PlayerGameData[BLKOrder],PlayerGameData[[#This Row],[BLKOrder]])&gt;1,PlayerGameData[[#This Row],[PointRank]]/100+PlayerGameData[[#This Row],[BLKOrder]],PlayerGameData[[#This Row],[BLKOrder]])</f>
        <v>34.159999999999997</v>
      </c>
      <c r="AZ604" s="8">
        <f ca="1">RANK(PlayerGameData[[#This Row],[BLKTieBreak]],PlayerGameData[BLKTieBreak],1)</f>
        <v>216</v>
      </c>
      <c r="BA604" s="11">
        <f ca="1">IFERROR(IF(PlayerGameData[[#This Row],[FGA]]&gt;$AA$5,PlayerGameData[[#This Row],[FG%*]],PlayerGameData[[#This Row],[FG%*]]*-1),-2)</f>
        <v>-2</v>
      </c>
      <c r="BB604" s="8">
        <f ca="1">RANK(PlayerGameData[[#This Row],[EligFG]],PlayerGameData[EligFG],0)+PlayerGameData[[#This Row],[VisibleOrder]]</f>
        <v>215</v>
      </c>
      <c r="BC604" s="8">
        <f ca="1">IF(COUNTIF(PlayerGameData[EligFGOrder],PlayerGameData[[#This Row],[EligFGOrder]])&gt;1,PlayerGameData[[#This Row],[PointRank]]/100+PlayerGameData[[#This Row],[EligFGOrder]],PlayerGameData[[#This Row],[EligFGOrder]])</f>
        <v>217.16</v>
      </c>
      <c r="BD604" s="8">
        <f ca="1">RANK(PlayerGameData[[#This Row],[EligFGTieBreak]],PlayerGameData[EligFGTieBreak],1)</f>
        <v>216</v>
      </c>
      <c r="BE604" s="8" t="str">
        <f>Roster!$D$3</f>
        <v>East</v>
      </c>
      <c r="BF604" s="8" t="str">
        <f>Roster!$D$2</f>
        <v>Northeast</v>
      </c>
      <c r="BG604" s="8" t="str">
        <f>Roster!$D$4</f>
        <v>North</v>
      </c>
      <c r="BH604" s="197">
        <f ca="1">IFERROR(VLOOKUP(CONCATENATE(PlayerGameData[[#This Row],[Opponent]]," ",MONTH(PlayerGameData[[#This Row],[Date]]),"/",DAY(PlayerGameData[[#This Row],[Date]]),"/",YEAR(PlayerGameData[[#This Row],[Date]])),Table35[],2,FALSE),0)</f>
        <v>1</v>
      </c>
      <c r="BI604" s="197">
        <f ca="1">IF(PlayerGameData[[#This Row],[Visible]]=1,1,1000)</f>
        <v>1</v>
      </c>
      <c r="BJ604" s="197" t="e">
        <f ca="1">_xlfn.MAXIFS(TeamGameData[Win],TeamGameData[School, Opponent,Game'#],PlayerGameData[[#This Row],[School, Opponent,Game'#]])</f>
        <v>#NAME?</v>
      </c>
      <c r="BK604" s="197" t="e">
        <f ca="1">_xlfn.MAXIFS(TeamGameData[Loss],TeamGameData[School, Opponent,Game'#],PlayerGameData[[#This Row],[School, Opponent,Game'#]])</f>
        <v>#NAME?</v>
      </c>
    </row>
    <row r="605" spans="1:63" x14ac:dyDescent="0.25">
      <c r="A605" s="8" t="str">
        <f t="shared" ca="1" si="303"/>
        <v xml:space="preserve">, </v>
      </c>
      <c r="B605" s="8" t="str">
        <f>Roster!$B$1</f>
        <v>Upton</v>
      </c>
      <c r="C605" s="8" t="str">
        <f t="shared" ca="1" si="291"/>
        <v>Cokeville</v>
      </c>
      <c r="D605" s="10">
        <f t="shared" ca="1" si="292"/>
        <v>44988</v>
      </c>
      <c r="E605" s="8">
        <f t="shared" ca="1" si="293"/>
        <v>0</v>
      </c>
      <c r="F605" s="8">
        <f t="shared" ca="1" si="294"/>
        <v>0</v>
      </c>
      <c r="G605" s="8">
        <f t="shared" ca="1" si="295"/>
        <v>0</v>
      </c>
      <c r="H605" s="8">
        <f t="shared" ca="1" si="296"/>
        <v>0</v>
      </c>
      <c r="I605" s="8">
        <f t="shared" ca="1" si="297"/>
        <v>0</v>
      </c>
      <c r="J605" s="8">
        <f t="shared" ca="1" si="298"/>
        <v>0</v>
      </c>
      <c r="K605" s="8">
        <f t="shared" ca="1" si="299"/>
        <v>0</v>
      </c>
      <c r="L605" s="8">
        <f t="shared" ca="1" si="304"/>
        <v>0</v>
      </c>
      <c r="M605" s="8">
        <f t="shared" ca="1" si="305"/>
        <v>0</v>
      </c>
      <c r="N605" s="8">
        <f t="shared" ca="1" si="306"/>
        <v>0</v>
      </c>
      <c r="O605" s="8">
        <f t="shared" ca="1" si="307"/>
        <v>0</v>
      </c>
      <c r="P605" s="8">
        <f t="shared" ca="1" si="308"/>
        <v>0</v>
      </c>
      <c r="Q605" s="8">
        <f t="shared" ca="1" si="309"/>
        <v>0</v>
      </c>
      <c r="R605" s="8">
        <f t="shared" ca="1" si="310"/>
        <v>0</v>
      </c>
      <c r="S605" s="8">
        <f t="shared" ca="1" si="311"/>
        <v>0</v>
      </c>
      <c r="T605" s="8">
        <f t="shared" ca="1" si="312"/>
        <v>0</v>
      </c>
      <c r="U605" s="8">
        <f t="shared" ca="1" si="313"/>
        <v>0</v>
      </c>
      <c r="V605" s="8">
        <f t="shared" ca="1" si="314"/>
        <v>0</v>
      </c>
      <c r="W605" s="11" t="str">
        <f t="shared" ca="1" si="315"/>
        <v/>
      </c>
      <c r="X605" s="11" t="str">
        <f t="shared" ca="1" si="316"/>
        <v/>
      </c>
      <c r="Y605" s="11" t="str">
        <f t="shared" ca="1" si="317"/>
        <v/>
      </c>
      <c r="Z605" s="11" t="str">
        <f t="shared" ca="1" si="318"/>
        <v/>
      </c>
      <c r="AA605" s="11" t="str">
        <f t="shared" ca="1" si="319"/>
        <v/>
      </c>
      <c r="AB605" s="47">
        <f ca="1">PlayerGameData[[#This Row],[3FGA]]+PlayerGameData[[#This Row],[2FGA]]</f>
        <v>0</v>
      </c>
      <c r="AC605" s="47">
        <f ca="1">PlayerGameData[[#This Row],[OFF REB]]+PlayerGameData[[#This Row],[DEF REB]]</f>
        <v>0</v>
      </c>
      <c r="AD605" s="8">
        <f t="shared" si="300"/>
        <v>25</v>
      </c>
      <c r="AE605" s="8" t="str">
        <f t="shared" ca="1" si="301"/>
        <v>,  - Cokeville 3/3/2023</v>
      </c>
      <c r="AF605" s="8" t="str">
        <f t="shared" ca="1" si="320"/>
        <v/>
      </c>
      <c r="AG605" s="8" t="str">
        <f ca="1">IFERROR(IF(C605=0,"",IF(AND(VLOOKUP(PlayerGameData[[#This Row],[Opponent]],WYTeamInfo,2,FALSE)=Roster!$D$1,VLOOKUP(PlayerGameData[[#This Row],[Opponent]],WYTeamInfo,3,FALSE)=Roster!$D$2),"SR","")),"")</f>
        <v/>
      </c>
      <c r="AH605" s="8" t="str">
        <f>CONCATENATE(Roster!$D$1," ",Roster!$D$5)</f>
        <v>1A BB</v>
      </c>
      <c r="AI605" s="8" t="str">
        <f t="shared" ca="1" si="302"/>
        <v>Upton - Cokeville 3/3/2023</v>
      </c>
      <c r="AJ605" s="8">
        <f ca="1">IFERROR(VLOOKUP(PlayerGameData[[#This Row],[School, Opponent,Game'#]],Table3[],2,FALSE),0)</f>
        <v>1</v>
      </c>
      <c r="AK605" s="8">
        <f ca="1">IF(PlayerGameData[[#This Row],[Visible]]=1,1,1000)</f>
        <v>1</v>
      </c>
      <c r="AL605" s="8">
        <f ca="1">RANK(PlayerGameData[[#This Row],[TL PTS]],PlayerGameData[TL PTS],0)+PlayerGameData[[#This Row],[VisibleOrder]]</f>
        <v>185</v>
      </c>
      <c r="AM605" s="8">
        <f ca="1">IF(COUNTIF(PlayerGameData[PointOrder],PlayerGameData[[#This Row],[PointOrder]])&gt;1,RANK(PlayerGameData[[#This Row],[FGA]],PlayerGameData[FGA],0)/100,0)+PlayerGameData[[#This Row],[PointOrder]]</f>
        <v>187.14</v>
      </c>
      <c r="AN605" s="8">
        <f ca="1">RANK(PlayerGameData[[#This Row],[PointTieBreak]],PlayerGameData[PointTieBreak],1)</f>
        <v>216</v>
      </c>
      <c r="AO605" s="8">
        <f ca="1">RANK(PlayerGameData[[#This Row],[REB]],PlayerGameData[REB],0)+PlayerGameData[[#This Row],[VisibleOrder]]</f>
        <v>192</v>
      </c>
      <c r="AP605" s="8">
        <f ca="1">IF(COUNTIF(PlayerGameData[REBOrder],PlayerGameData[[#This Row],[REBOrder]])&gt;1,PlayerGameData[[#This Row],[PointRank]]/100+PlayerGameData[[#This Row],[REBOrder]],PlayerGameData[[#This Row],[REBOrder]])</f>
        <v>194.16</v>
      </c>
      <c r="AQ605" s="8">
        <f ca="1">RANK(PlayerGameData[[#This Row],[REBTieBreak]],PlayerGameData[REBTieBreak],1)</f>
        <v>224</v>
      </c>
      <c r="AR605" s="8">
        <f ca="1">RANK(PlayerGameData[[#This Row],[AST]],PlayerGameData[AST],0)+PlayerGameData[[#This Row],[VisibleOrder]]</f>
        <v>158</v>
      </c>
      <c r="AS605" s="8">
        <f ca="1">IF(COUNTIF(PlayerGameData[ASTOrder],PlayerGameData[[#This Row],[ASTOrder]])&gt;1,PlayerGameData[[#This Row],[PointRank]]/100+PlayerGameData[[#This Row],[ASTOrder]],PlayerGameData[[#This Row],[ASTOrder]])</f>
        <v>160.16</v>
      </c>
      <c r="AT605" s="8">
        <f ca="1">RANK(PlayerGameData[[#This Row],[ASTTieBreak]],PlayerGameData[ASTTieBreak],1)</f>
        <v>221</v>
      </c>
      <c r="AU605" s="8">
        <f ca="1">RANK(PlayerGameData[[#This Row],[STL]],PlayerGameData[STL],0)+PlayerGameData[[#This Row],[VisibleOrder]]</f>
        <v>143</v>
      </c>
      <c r="AV605" s="8">
        <f ca="1">IF(COUNTIF(PlayerGameData[STLOrder],PlayerGameData[[#This Row],[STLOrder]])&gt;1,PlayerGameData[[#This Row],[PointRank]]/100+PlayerGameData[[#This Row],[STLOrder]],PlayerGameData[[#This Row],[STLOrder]])</f>
        <v>145.16</v>
      </c>
      <c r="AW605" s="8">
        <f ca="1">RANK(PlayerGameData[[#This Row],[STLTieBreak]],PlayerGameData[STLTieBreak],1)</f>
        <v>217</v>
      </c>
      <c r="AX605" s="8">
        <f ca="1">RANK(PlayerGameData[[#This Row],[BLK]],PlayerGameData[BLK],0)+PlayerGameData[[#This Row],[VisibleOrder]]</f>
        <v>32</v>
      </c>
      <c r="AY605" s="8">
        <f ca="1">IF(COUNTIF(PlayerGameData[BLKOrder],PlayerGameData[[#This Row],[BLKOrder]])&gt;1,PlayerGameData[[#This Row],[PointRank]]/100+PlayerGameData[[#This Row],[BLKOrder]],PlayerGameData[[#This Row],[BLKOrder]])</f>
        <v>34.159999999999997</v>
      </c>
      <c r="AZ605" s="8">
        <f ca="1">RANK(PlayerGameData[[#This Row],[BLKTieBreak]],PlayerGameData[BLKTieBreak],1)</f>
        <v>216</v>
      </c>
      <c r="BA605" s="11">
        <f ca="1">IFERROR(IF(PlayerGameData[[#This Row],[FGA]]&gt;$AA$5,PlayerGameData[[#This Row],[FG%*]],PlayerGameData[[#This Row],[FG%*]]*-1),-2)</f>
        <v>-2</v>
      </c>
      <c r="BB605" s="8">
        <f ca="1">RANK(PlayerGameData[[#This Row],[EligFG]],PlayerGameData[EligFG],0)+PlayerGameData[[#This Row],[VisibleOrder]]</f>
        <v>215</v>
      </c>
      <c r="BC605" s="8">
        <f ca="1">IF(COUNTIF(PlayerGameData[EligFGOrder],PlayerGameData[[#This Row],[EligFGOrder]])&gt;1,PlayerGameData[[#This Row],[PointRank]]/100+PlayerGameData[[#This Row],[EligFGOrder]],PlayerGameData[[#This Row],[EligFGOrder]])</f>
        <v>217.16</v>
      </c>
      <c r="BD605" s="8">
        <f ca="1">RANK(PlayerGameData[[#This Row],[EligFGTieBreak]],PlayerGameData[EligFGTieBreak],1)</f>
        <v>216</v>
      </c>
      <c r="BE605" s="8" t="str">
        <f>Roster!$D$3</f>
        <v>East</v>
      </c>
      <c r="BF605" s="8" t="str">
        <f>Roster!$D$2</f>
        <v>Northeast</v>
      </c>
      <c r="BG605" s="8" t="str">
        <f>Roster!$D$4</f>
        <v>North</v>
      </c>
      <c r="BH605" s="197">
        <f ca="1">IFERROR(VLOOKUP(CONCATENATE(PlayerGameData[[#This Row],[Opponent]]," ",MONTH(PlayerGameData[[#This Row],[Date]]),"/",DAY(PlayerGameData[[#This Row],[Date]]),"/",YEAR(PlayerGameData[[#This Row],[Date]])),Table35[],2,FALSE),0)</f>
        <v>1</v>
      </c>
      <c r="BI605" s="197">
        <f ca="1">IF(PlayerGameData[[#This Row],[Visible]]=1,1,1000)</f>
        <v>1</v>
      </c>
      <c r="BJ605" s="197" t="e">
        <f ca="1">_xlfn.MAXIFS(TeamGameData[Win],TeamGameData[School, Opponent,Game'#],PlayerGameData[[#This Row],[School, Opponent,Game'#]])</f>
        <v>#NAME?</v>
      </c>
      <c r="BK605" s="197" t="e">
        <f ca="1">_xlfn.MAXIFS(TeamGameData[Loss],TeamGameData[School, Opponent,Game'#],PlayerGameData[[#This Row],[School, Opponent,Game'#]])</f>
        <v>#NAME?</v>
      </c>
    </row>
    <row r="606" spans="1:63" x14ac:dyDescent="0.25">
      <c r="A606" s="8" t="str">
        <f t="shared" ca="1" si="303"/>
        <v xml:space="preserve">Team, </v>
      </c>
      <c r="B606" s="8" t="str">
        <f>Roster!$B$1</f>
        <v>Upton</v>
      </c>
      <c r="C606" s="8" t="str">
        <f t="shared" ca="1" si="291"/>
        <v>Cokeville</v>
      </c>
      <c r="D606" s="10">
        <f t="shared" ca="1" si="292"/>
        <v>44988</v>
      </c>
      <c r="E606" s="8">
        <f t="shared" ca="1" si="293"/>
        <v>0</v>
      </c>
      <c r="F606" s="8">
        <f t="shared" ca="1" si="294"/>
        <v>0</v>
      </c>
      <c r="G606" s="8">
        <f t="shared" ca="1" si="295"/>
        <v>0</v>
      </c>
      <c r="H606" s="8">
        <f t="shared" ca="1" si="296"/>
        <v>0</v>
      </c>
      <c r="I606" s="8">
        <f t="shared" ca="1" si="297"/>
        <v>0</v>
      </c>
      <c r="J606" s="8">
        <f t="shared" ca="1" si="298"/>
        <v>0</v>
      </c>
      <c r="K606" s="8">
        <f t="shared" ca="1" si="299"/>
        <v>0</v>
      </c>
      <c r="L606" s="8">
        <f t="shared" ca="1" si="304"/>
        <v>0</v>
      </c>
      <c r="M606" s="8">
        <f t="shared" ca="1" si="305"/>
        <v>0</v>
      </c>
      <c r="N606" s="8">
        <f t="shared" ca="1" si="306"/>
        <v>2</v>
      </c>
      <c r="O606" s="8">
        <f t="shared" ca="1" si="307"/>
        <v>3</v>
      </c>
      <c r="P606" s="8">
        <f t="shared" ca="1" si="308"/>
        <v>0</v>
      </c>
      <c r="Q606" s="8">
        <f t="shared" ca="1" si="309"/>
        <v>0</v>
      </c>
      <c r="R606" s="8">
        <f t="shared" ca="1" si="310"/>
        <v>0</v>
      </c>
      <c r="S606" s="8">
        <f t="shared" ca="1" si="311"/>
        <v>0</v>
      </c>
      <c r="T606" s="8">
        <f t="shared" ca="1" si="312"/>
        <v>0</v>
      </c>
      <c r="U606" s="8">
        <f t="shared" ca="1" si="313"/>
        <v>0</v>
      </c>
      <c r="V606" s="8">
        <f t="shared" ca="1" si="314"/>
        <v>0</v>
      </c>
      <c r="W606" s="11" t="str">
        <f t="shared" ca="1" si="315"/>
        <v/>
      </c>
      <c r="X606" s="11" t="str">
        <f t="shared" ca="1" si="316"/>
        <v/>
      </c>
      <c r="Y606" s="11" t="str">
        <f t="shared" ca="1" si="317"/>
        <v/>
      </c>
      <c r="Z606" s="11" t="str">
        <f t="shared" ca="1" si="318"/>
        <v/>
      </c>
      <c r="AA606" s="11" t="str">
        <f t="shared" ca="1" si="319"/>
        <v/>
      </c>
      <c r="AB606" s="47">
        <f ca="1">PlayerGameData[[#This Row],[3FGA]]+PlayerGameData[[#This Row],[2FGA]]</f>
        <v>0</v>
      </c>
      <c r="AC606" s="47">
        <f ca="1">PlayerGameData[[#This Row],[OFF REB]]+PlayerGameData[[#This Row],[DEF REB]]</f>
        <v>5</v>
      </c>
      <c r="AD606" s="8">
        <f t="shared" si="300"/>
        <v>25</v>
      </c>
      <c r="AE606" s="8" t="str">
        <f t="shared" ca="1" si="301"/>
        <v>Team,  - Cokeville 3/3/2023</v>
      </c>
      <c r="AF606" s="8" t="str">
        <f t="shared" ca="1" si="320"/>
        <v/>
      </c>
      <c r="AG606" s="8" t="str">
        <f ca="1">IFERROR(IF(C606=0,"",IF(AND(VLOOKUP(PlayerGameData[[#This Row],[Opponent]],WYTeamInfo,2,FALSE)=Roster!$D$1,VLOOKUP(PlayerGameData[[#This Row],[Opponent]],WYTeamInfo,3,FALSE)=Roster!$D$2),"SR","")),"")</f>
        <v/>
      </c>
      <c r="AH606" s="8" t="str">
        <f>CONCATENATE(Roster!$D$1," ",Roster!$D$5)</f>
        <v>1A BB</v>
      </c>
      <c r="AI606" s="8" t="str">
        <f t="shared" ca="1" si="302"/>
        <v>Upton - Cokeville 3/3/2023</v>
      </c>
      <c r="AJ606" s="8">
        <f ca="1">IFERROR(VLOOKUP(PlayerGameData[[#This Row],[School, Opponent,Game'#]],Table3[],2,FALSE),0)</f>
        <v>1</v>
      </c>
      <c r="AK606" s="8">
        <f ca="1">IF(PlayerGameData[[#This Row],[Visible]]=1,1,1000)</f>
        <v>1</v>
      </c>
      <c r="AL606" s="8">
        <f ca="1">RANK(PlayerGameData[[#This Row],[TL PTS]],PlayerGameData[TL PTS],0)+PlayerGameData[[#This Row],[VisibleOrder]]</f>
        <v>185</v>
      </c>
      <c r="AM606" s="8">
        <f ca="1">IF(COUNTIF(PlayerGameData[PointOrder],PlayerGameData[[#This Row],[PointOrder]])&gt;1,RANK(PlayerGameData[[#This Row],[FGA]],PlayerGameData[FGA],0)/100,0)+PlayerGameData[[#This Row],[PointOrder]]</f>
        <v>187.14</v>
      </c>
      <c r="AN606" s="8">
        <f ca="1">RANK(PlayerGameData[[#This Row],[PointTieBreak]],PlayerGameData[PointTieBreak],1)</f>
        <v>216</v>
      </c>
      <c r="AO606" s="8">
        <f ca="1">RANK(PlayerGameData[[#This Row],[REB]],PlayerGameData[REB],0)+PlayerGameData[[#This Row],[VisibleOrder]]</f>
        <v>52</v>
      </c>
      <c r="AP606" s="8">
        <f ca="1">IF(COUNTIF(PlayerGameData[REBOrder],PlayerGameData[[#This Row],[REBOrder]])&gt;1,PlayerGameData[[#This Row],[PointRank]]/100+PlayerGameData[[#This Row],[REBOrder]],PlayerGameData[[#This Row],[REBOrder]])</f>
        <v>54.16</v>
      </c>
      <c r="AQ606" s="8">
        <f ca="1">RANK(PlayerGameData[[#This Row],[REBTieBreak]],PlayerGameData[REBTieBreak],1)</f>
        <v>77</v>
      </c>
      <c r="AR606" s="8">
        <f ca="1">RANK(PlayerGameData[[#This Row],[AST]],PlayerGameData[AST],0)+PlayerGameData[[#This Row],[VisibleOrder]]</f>
        <v>158</v>
      </c>
      <c r="AS606" s="8">
        <f ca="1">IF(COUNTIF(PlayerGameData[ASTOrder],PlayerGameData[[#This Row],[ASTOrder]])&gt;1,PlayerGameData[[#This Row],[PointRank]]/100+PlayerGameData[[#This Row],[ASTOrder]],PlayerGameData[[#This Row],[ASTOrder]])</f>
        <v>160.16</v>
      </c>
      <c r="AT606" s="8">
        <f ca="1">RANK(PlayerGameData[[#This Row],[ASTTieBreak]],PlayerGameData[ASTTieBreak],1)</f>
        <v>221</v>
      </c>
      <c r="AU606" s="8">
        <f ca="1">RANK(PlayerGameData[[#This Row],[STL]],PlayerGameData[STL],0)+PlayerGameData[[#This Row],[VisibleOrder]]</f>
        <v>143</v>
      </c>
      <c r="AV606" s="8">
        <f ca="1">IF(COUNTIF(PlayerGameData[STLOrder],PlayerGameData[[#This Row],[STLOrder]])&gt;1,PlayerGameData[[#This Row],[PointRank]]/100+PlayerGameData[[#This Row],[STLOrder]],PlayerGameData[[#This Row],[STLOrder]])</f>
        <v>145.16</v>
      </c>
      <c r="AW606" s="8">
        <f ca="1">RANK(PlayerGameData[[#This Row],[STLTieBreak]],PlayerGameData[STLTieBreak],1)</f>
        <v>217</v>
      </c>
      <c r="AX606" s="8">
        <f ca="1">RANK(PlayerGameData[[#This Row],[BLK]],PlayerGameData[BLK],0)+PlayerGameData[[#This Row],[VisibleOrder]]</f>
        <v>32</v>
      </c>
      <c r="AY606" s="8">
        <f ca="1">IF(COUNTIF(PlayerGameData[BLKOrder],PlayerGameData[[#This Row],[BLKOrder]])&gt;1,PlayerGameData[[#This Row],[PointRank]]/100+PlayerGameData[[#This Row],[BLKOrder]],PlayerGameData[[#This Row],[BLKOrder]])</f>
        <v>34.159999999999997</v>
      </c>
      <c r="AZ606" s="8">
        <f ca="1">RANK(PlayerGameData[[#This Row],[BLKTieBreak]],PlayerGameData[BLKTieBreak],1)</f>
        <v>216</v>
      </c>
      <c r="BA606" s="11">
        <f ca="1">IFERROR(IF(PlayerGameData[[#This Row],[FGA]]&gt;$AA$5,PlayerGameData[[#This Row],[FG%*]],PlayerGameData[[#This Row],[FG%*]]*-1),-2)</f>
        <v>-2</v>
      </c>
      <c r="BB606" s="8">
        <f ca="1">RANK(PlayerGameData[[#This Row],[EligFG]],PlayerGameData[EligFG],0)+PlayerGameData[[#This Row],[VisibleOrder]]</f>
        <v>215</v>
      </c>
      <c r="BC606" s="8">
        <f ca="1">IF(COUNTIF(PlayerGameData[EligFGOrder],PlayerGameData[[#This Row],[EligFGOrder]])&gt;1,PlayerGameData[[#This Row],[PointRank]]/100+PlayerGameData[[#This Row],[EligFGOrder]],PlayerGameData[[#This Row],[EligFGOrder]])</f>
        <v>217.16</v>
      </c>
      <c r="BD606" s="8">
        <f ca="1">RANK(PlayerGameData[[#This Row],[EligFGTieBreak]],PlayerGameData[EligFGTieBreak],1)</f>
        <v>216</v>
      </c>
      <c r="BE606" s="8" t="str">
        <f>Roster!$D$3</f>
        <v>East</v>
      </c>
      <c r="BF606" s="8" t="str">
        <f>Roster!$D$2</f>
        <v>Northeast</v>
      </c>
      <c r="BG606" s="8" t="str">
        <f>Roster!$D$4</f>
        <v>North</v>
      </c>
      <c r="BH606" s="197">
        <f ca="1">IFERROR(VLOOKUP(CONCATENATE(PlayerGameData[[#This Row],[Opponent]]," ",MONTH(PlayerGameData[[#This Row],[Date]]),"/",DAY(PlayerGameData[[#This Row],[Date]]),"/",YEAR(PlayerGameData[[#This Row],[Date]])),Table35[],2,FALSE),0)</f>
        <v>1</v>
      </c>
      <c r="BI606" s="197">
        <f ca="1">IF(PlayerGameData[[#This Row],[Visible]]=1,1,1000)</f>
        <v>1</v>
      </c>
      <c r="BJ606" s="197" t="e">
        <f ca="1">_xlfn.MAXIFS(TeamGameData[Win],TeamGameData[School, Opponent,Game'#],PlayerGameData[[#This Row],[School, Opponent,Game'#]])</f>
        <v>#NAME?</v>
      </c>
      <c r="BK606" s="197" t="e">
        <f ca="1">_xlfn.MAXIFS(TeamGameData[Loss],TeamGameData[School, Opponent,Game'#],PlayerGameData[[#This Row],[School, Opponent,Game'#]])</f>
        <v>#NAME?</v>
      </c>
    </row>
    <row r="607" spans="1:63" x14ac:dyDescent="0.25">
      <c r="A607" s="8" t="str">
        <f t="shared" ca="1" si="303"/>
        <v>Landon Butler, 1</v>
      </c>
      <c r="B607" s="8" t="str">
        <f>Roster!$B$1</f>
        <v>Upton</v>
      </c>
      <c r="C607" s="8" t="str">
        <f t="shared" ca="1" si="291"/>
        <v>Burlington</v>
      </c>
      <c r="D607" s="10">
        <f t="shared" ca="1" si="292"/>
        <v>44989</v>
      </c>
      <c r="E607" s="8">
        <f t="shared" ca="1" si="293"/>
        <v>1</v>
      </c>
      <c r="F607" s="8">
        <f t="shared" ca="1" si="294"/>
        <v>0</v>
      </c>
      <c r="G607" s="8">
        <f t="shared" ca="1" si="295"/>
        <v>1</v>
      </c>
      <c r="H607" s="8">
        <f t="shared" ca="1" si="296"/>
        <v>0</v>
      </c>
      <c r="I607" s="8">
        <f t="shared" ca="1" si="297"/>
        <v>0</v>
      </c>
      <c r="J607" s="8">
        <f t="shared" ca="1" si="298"/>
        <v>0</v>
      </c>
      <c r="K607" s="8">
        <f t="shared" ca="1" si="299"/>
        <v>1</v>
      </c>
      <c r="L607" s="8">
        <f t="shared" ca="1" si="304"/>
        <v>0</v>
      </c>
      <c r="M607" s="8">
        <f t="shared" ca="1" si="305"/>
        <v>0</v>
      </c>
      <c r="N607" s="8">
        <f t="shared" ca="1" si="306"/>
        <v>0</v>
      </c>
      <c r="O607" s="8">
        <f t="shared" ca="1" si="307"/>
        <v>0</v>
      </c>
      <c r="P607" s="8">
        <f t="shared" ca="1" si="308"/>
        <v>0</v>
      </c>
      <c r="Q607" s="8">
        <f t="shared" ca="1" si="309"/>
        <v>0</v>
      </c>
      <c r="R607" s="8">
        <f t="shared" ca="1" si="310"/>
        <v>0</v>
      </c>
      <c r="S607" s="8">
        <f t="shared" ca="1" si="311"/>
        <v>0</v>
      </c>
      <c r="T607" s="8">
        <f t="shared" ca="1" si="312"/>
        <v>0</v>
      </c>
      <c r="U607" s="8">
        <f t="shared" ca="1" si="313"/>
        <v>0</v>
      </c>
      <c r="V607" s="8">
        <f t="shared" ca="1" si="314"/>
        <v>0</v>
      </c>
      <c r="W607" s="11" t="str">
        <f t="shared" ca="1" si="315"/>
        <v/>
      </c>
      <c r="X607" s="11">
        <f t="shared" ca="1" si="316"/>
        <v>0</v>
      </c>
      <c r="Y607" s="11" t="str">
        <f t="shared" ca="1" si="317"/>
        <v/>
      </c>
      <c r="Z607" s="11">
        <f t="shared" ca="1" si="318"/>
        <v>0</v>
      </c>
      <c r="AA607" s="11">
        <f t="shared" ca="1" si="319"/>
        <v>0</v>
      </c>
      <c r="AB607" s="47">
        <f ca="1">PlayerGameData[[#This Row],[3FGA]]+PlayerGameData[[#This Row],[2FGA]]</f>
        <v>1</v>
      </c>
      <c r="AC607" s="47">
        <f ca="1">PlayerGameData[[#This Row],[OFF REB]]+PlayerGameData[[#This Row],[DEF REB]]</f>
        <v>0</v>
      </c>
      <c r="AD607" s="8">
        <f t="shared" si="300"/>
        <v>26</v>
      </c>
      <c r="AE607" s="8" t="str">
        <f t="shared" ca="1" si="301"/>
        <v>Landon Butler, 1 - Burlington 3/4/2023</v>
      </c>
      <c r="AF607" s="8" t="str">
        <f t="shared" ca="1" si="320"/>
        <v/>
      </c>
      <c r="AG607" s="8" t="str">
        <f ca="1">IFERROR(IF(C607=0,"",IF(AND(VLOOKUP(PlayerGameData[[#This Row],[Opponent]],WYTeamInfo,2,FALSE)=Roster!$D$1,VLOOKUP(PlayerGameData[[#This Row],[Opponent]],WYTeamInfo,3,FALSE)=Roster!$D$2),"SR","")),"")</f>
        <v/>
      </c>
      <c r="AH607" s="8" t="str">
        <f>CONCATENATE(Roster!$D$1," ",Roster!$D$5)</f>
        <v>1A BB</v>
      </c>
      <c r="AI607" s="8" t="str">
        <f t="shared" ca="1" si="302"/>
        <v>Upton - Burlington 3/4/2023</v>
      </c>
      <c r="AJ607" s="8">
        <f ca="1">IFERROR(VLOOKUP(PlayerGameData[[#This Row],[School, Opponent,Game'#]],Table3[],2,FALSE),0)</f>
        <v>1</v>
      </c>
      <c r="AK607" s="8">
        <f ca="1">IF(PlayerGameData[[#This Row],[Visible]]=1,1,1000)</f>
        <v>1</v>
      </c>
      <c r="AL607" s="8">
        <f ca="1">RANK(PlayerGameData[[#This Row],[TL PTS]],PlayerGameData[TL PTS],0)+PlayerGameData[[#This Row],[VisibleOrder]]</f>
        <v>185</v>
      </c>
      <c r="AM607" s="8">
        <f ca="1">IF(COUNTIF(PlayerGameData[PointOrder],PlayerGameData[[#This Row],[PointOrder]])&gt;1,RANK(PlayerGameData[[#This Row],[FGA]],PlayerGameData[FGA],0)/100,0)+PlayerGameData[[#This Row],[PointOrder]]</f>
        <v>186.82</v>
      </c>
      <c r="AN607" s="8">
        <f ca="1">RANK(PlayerGameData[[#This Row],[PointTieBreak]],PlayerGameData[PointTieBreak],1)</f>
        <v>196</v>
      </c>
      <c r="AO607" s="8">
        <f ca="1">RANK(PlayerGameData[[#This Row],[REB]],PlayerGameData[REB],0)+PlayerGameData[[#This Row],[VisibleOrder]]</f>
        <v>192</v>
      </c>
      <c r="AP607" s="8">
        <f ca="1">IF(COUNTIF(PlayerGameData[REBOrder],PlayerGameData[[#This Row],[REBOrder]])&gt;1,PlayerGameData[[#This Row],[PointRank]]/100+PlayerGameData[[#This Row],[REBOrder]],PlayerGameData[[#This Row],[REBOrder]])</f>
        <v>193.96</v>
      </c>
      <c r="AQ607" s="8">
        <f ca="1">RANK(PlayerGameData[[#This Row],[REBTieBreak]],PlayerGameData[REBTieBreak],1)</f>
        <v>213</v>
      </c>
      <c r="AR607" s="8">
        <f ca="1">RANK(PlayerGameData[[#This Row],[AST]],PlayerGameData[AST],0)+PlayerGameData[[#This Row],[VisibleOrder]]</f>
        <v>158</v>
      </c>
      <c r="AS607" s="8">
        <f ca="1">IF(COUNTIF(PlayerGameData[ASTOrder],PlayerGameData[[#This Row],[ASTOrder]])&gt;1,PlayerGameData[[#This Row],[PointRank]]/100+PlayerGameData[[#This Row],[ASTOrder]],PlayerGameData[[#This Row],[ASTOrder]])</f>
        <v>159.96</v>
      </c>
      <c r="AT607" s="8">
        <f ca="1">RANK(PlayerGameData[[#This Row],[ASTTieBreak]],PlayerGameData[ASTTieBreak],1)</f>
        <v>208</v>
      </c>
      <c r="AU607" s="8">
        <f ca="1">RANK(PlayerGameData[[#This Row],[STL]],PlayerGameData[STL],0)+PlayerGameData[[#This Row],[VisibleOrder]]</f>
        <v>143</v>
      </c>
      <c r="AV607" s="8">
        <f ca="1">IF(COUNTIF(PlayerGameData[STLOrder],PlayerGameData[[#This Row],[STLOrder]])&gt;1,PlayerGameData[[#This Row],[PointRank]]/100+PlayerGameData[[#This Row],[STLOrder]],PlayerGameData[[#This Row],[STLOrder]])</f>
        <v>144.96</v>
      </c>
      <c r="AW607" s="8">
        <f ca="1">RANK(PlayerGameData[[#This Row],[STLTieBreak]],PlayerGameData[STLTieBreak],1)</f>
        <v>200</v>
      </c>
      <c r="AX607" s="8">
        <f ca="1">RANK(PlayerGameData[[#This Row],[BLK]],PlayerGameData[BLK],0)+PlayerGameData[[#This Row],[VisibleOrder]]</f>
        <v>32</v>
      </c>
      <c r="AY607" s="8">
        <f ca="1">IF(COUNTIF(PlayerGameData[BLKOrder],PlayerGameData[[#This Row],[BLKOrder]])&gt;1,PlayerGameData[[#This Row],[PointRank]]/100+PlayerGameData[[#This Row],[BLKOrder]],PlayerGameData[[#This Row],[BLKOrder]])</f>
        <v>33.96</v>
      </c>
      <c r="AZ607" s="8">
        <f ca="1">RANK(PlayerGameData[[#This Row],[BLKTieBreak]],PlayerGameData[BLKTieBreak],1)</f>
        <v>196</v>
      </c>
      <c r="BA607" s="11">
        <f ca="1">IFERROR(IF(PlayerGameData[[#This Row],[FGA]]&gt;$AA$5,PlayerGameData[[#This Row],[FG%*]],PlayerGameData[[#This Row],[FG%*]]*-1),-2)</f>
        <v>0</v>
      </c>
      <c r="BB607" s="8">
        <f ca="1">RANK(PlayerGameData[[#This Row],[EligFG]],PlayerGameData[EligFG],0)+PlayerGameData[[#This Row],[VisibleOrder]]</f>
        <v>117</v>
      </c>
      <c r="BC607" s="8">
        <f ca="1">IF(COUNTIF(PlayerGameData[EligFGOrder],PlayerGameData[[#This Row],[EligFGOrder]])&gt;1,PlayerGameData[[#This Row],[PointRank]]/100+PlayerGameData[[#This Row],[EligFGOrder]],PlayerGameData[[#This Row],[EligFGOrder]])</f>
        <v>118.96</v>
      </c>
      <c r="BD607" s="8">
        <f ca="1">RANK(PlayerGameData[[#This Row],[EligFGTieBreak]],PlayerGameData[EligFGTieBreak],1)</f>
        <v>138</v>
      </c>
      <c r="BE607" s="8" t="str">
        <f>Roster!$D$3</f>
        <v>East</v>
      </c>
      <c r="BF607" s="8" t="str">
        <f>Roster!$D$2</f>
        <v>Northeast</v>
      </c>
      <c r="BG607" s="8" t="str">
        <f>Roster!$D$4</f>
        <v>North</v>
      </c>
      <c r="BH607" s="197">
        <f ca="1">IFERROR(VLOOKUP(CONCATENATE(PlayerGameData[[#This Row],[Opponent]]," ",MONTH(PlayerGameData[[#This Row],[Date]]),"/",DAY(PlayerGameData[[#This Row],[Date]]),"/",YEAR(PlayerGameData[[#This Row],[Date]])),Table35[],2,FALSE),0)</f>
        <v>1</v>
      </c>
      <c r="BI607" s="197">
        <f ca="1">IF(PlayerGameData[[#This Row],[Visible]]=1,1,1000)</f>
        <v>1</v>
      </c>
      <c r="BJ607" s="197" t="e">
        <f ca="1">_xlfn.MAXIFS(TeamGameData[Win],TeamGameData[School, Opponent,Game'#],PlayerGameData[[#This Row],[School, Opponent,Game'#]])</f>
        <v>#NAME?</v>
      </c>
      <c r="BK607" s="197" t="e">
        <f ca="1">_xlfn.MAXIFS(TeamGameData[Loss],TeamGameData[School, Opponent,Game'#],PlayerGameData[[#This Row],[School, Opponent,Game'#]])</f>
        <v>#NAME?</v>
      </c>
    </row>
    <row r="608" spans="1:63" x14ac:dyDescent="0.25">
      <c r="A608" s="8" t="str">
        <f t="shared" ca="1" si="303"/>
        <v>Logan Timberman, 3</v>
      </c>
      <c r="B608" s="8" t="str">
        <f>Roster!$B$1</f>
        <v>Upton</v>
      </c>
      <c r="C608" s="8" t="str">
        <f t="shared" ca="1" si="291"/>
        <v>Burlington</v>
      </c>
      <c r="D608" s="10">
        <f t="shared" ca="1" si="292"/>
        <v>44989</v>
      </c>
      <c r="E608" s="8">
        <f t="shared" ca="1" si="293"/>
        <v>1</v>
      </c>
      <c r="F608" s="8">
        <f t="shared" ca="1" si="294"/>
        <v>1</v>
      </c>
      <c r="G608" s="8">
        <f t="shared" ca="1" si="295"/>
        <v>20</v>
      </c>
      <c r="H608" s="8">
        <f t="shared" ca="1" si="296"/>
        <v>0</v>
      </c>
      <c r="I608" s="8">
        <f t="shared" ca="1" si="297"/>
        <v>4</v>
      </c>
      <c r="J608" s="8">
        <f t="shared" ca="1" si="298"/>
        <v>1</v>
      </c>
      <c r="K608" s="8">
        <f t="shared" ca="1" si="299"/>
        <v>2</v>
      </c>
      <c r="L608" s="8">
        <f t="shared" ca="1" si="304"/>
        <v>0</v>
      </c>
      <c r="M608" s="8">
        <f t="shared" ca="1" si="305"/>
        <v>0</v>
      </c>
      <c r="N608" s="8">
        <f t="shared" ca="1" si="306"/>
        <v>0</v>
      </c>
      <c r="O608" s="8">
        <f t="shared" ca="1" si="307"/>
        <v>0</v>
      </c>
      <c r="P608" s="8">
        <f t="shared" ca="1" si="308"/>
        <v>1</v>
      </c>
      <c r="Q608" s="8">
        <f t="shared" ca="1" si="309"/>
        <v>1</v>
      </c>
      <c r="R608" s="8">
        <f t="shared" ca="1" si="310"/>
        <v>1</v>
      </c>
      <c r="S608" s="8">
        <f t="shared" ca="1" si="311"/>
        <v>3</v>
      </c>
      <c r="T608" s="8">
        <f t="shared" ca="1" si="312"/>
        <v>3</v>
      </c>
      <c r="U608" s="8">
        <f t="shared" ca="1" si="313"/>
        <v>0</v>
      </c>
      <c r="V608" s="8">
        <f t="shared" ca="1" si="314"/>
        <v>2</v>
      </c>
      <c r="W608" s="11">
        <f t="shared" ca="1" si="315"/>
        <v>0</v>
      </c>
      <c r="X608" s="11">
        <f t="shared" ca="1" si="316"/>
        <v>0.5</v>
      </c>
      <c r="Y608" s="11" t="str">
        <f t="shared" ca="1" si="317"/>
        <v/>
      </c>
      <c r="Z608" s="11">
        <f t="shared" ca="1" si="318"/>
        <v>0.16666666666666666</v>
      </c>
      <c r="AA608" s="11">
        <f t="shared" ca="1" si="319"/>
        <v>0.16666666666666666</v>
      </c>
      <c r="AB608" s="47">
        <f ca="1">PlayerGameData[[#This Row],[3FGA]]+PlayerGameData[[#This Row],[2FGA]]</f>
        <v>6</v>
      </c>
      <c r="AC608" s="47">
        <f ca="1">PlayerGameData[[#This Row],[OFF REB]]+PlayerGameData[[#This Row],[DEF REB]]</f>
        <v>0</v>
      </c>
      <c r="AD608" s="8">
        <f t="shared" si="300"/>
        <v>26</v>
      </c>
      <c r="AE608" s="8" t="str">
        <f t="shared" ca="1" si="301"/>
        <v>Logan Timberman, 3 - Burlington 3/4/2023</v>
      </c>
      <c r="AF608" s="8" t="str">
        <f t="shared" ca="1" si="320"/>
        <v/>
      </c>
      <c r="AG608" s="8" t="str">
        <f ca="1">IFERROR(IF(C608=0,"",IF(AND(VLOOKUP(PlayerGameData[[#This Row],[Opponent]],WYTeamInfo,2,FALSE)=Roster!$D$1,VLOOKUP(PlayerGameData[[#This Row],[Opponent]],WYTeamInfo,3,FALSE)=Roster!$D$2),"SR","")),"")</f>
        <v/>
      </c>
      <c r="AH608" s="8" t="str">
        <f>CONCATENATE(Roster!$D$1," ",Roster!$D$5)</f>
        <v>1A BB</v>
      </c>
      <c r="AI608" s="8" t="str">
        <f t="shared" ca="1" si="302"/>
        <v>Upton - Burlington 3/4/2023</v>
      </c>
      <c r="AJ608" s="8">
        <f ca="1">IFERROR(VLOOKUP(PlayerGameData[[#This Row],[School, Opponent,Game'#]],Table3[],2,FALSE),0)</f>
        <v>1</v>
      </c>
      <c r="AK608" s="8">
        <f ca="1">IF(PlayerGameData[[#This Row],[Visible]]=1,1,1000)</f>
        <v>1</v>
      </c>
      <c r="AL608" s="8">
        <f ca="1">RANK(PlayerGameData[[#This Row],[TL PTS]],PlayerGameData[TL PTS],0)+PlayerGameData[[#This Row],[VisibleOrder]]</f>
        <v>152</v>
      </c>
      <c r="AM608" s="8">
        <f ca="1">IF(COUNTIF(PlayerGameData[PointOrder],PlayerGameData[[#This Row],[PointOrder]])&gt;1,RANK(PlayerGameData[[#This Row],[FGA]],PlayerGameData[FGA],0)/100,0)+PlayerGameData[[#This Row],[PointOrder]]</f>
        <v>153.08000000000001</v>
      </c>
      <c r="AN608" s="8">
        <f ca="1">RANK(PlayerGameData[[#This Row],[PointTieBreak]],PlayerGameData[PointTieBreak],1)</f>
        <v>155</v>
      </c>
      <c r="AO608" s="8">
        <f ca="1">RANK(PlayerGameData[[#This Row],[REB]],PlayerGameData[REB],0)+PlayerGameData[[#This Row],[VisibleOrder]]</f>
        <v>192</v>
      </c>
      <c r="AP608" s="8">
        <f ca="1">IF(COUNTIF(PlayerGameData[REBOrder],PlayerGameData[[#This Row],[REBOrder]])&gt;1,PlayerGameData[[#This Row],[PointRank]]/100+PlayerGameData[[#This Row],[REBOrder]],PlayerGameData[[#This Row],[REBOrder]])</f>
        <v>193.55</v>
      </c>
      <c r="AQ608" s="8">
        <f ca="1">RANK(PlayerGameData[[#This Row],[REBTieBreak]],PlayerGameData[REBTieBreak],1)</f>
        <v>202</v>
      </c>
      <c r="AR608" s="8">
        <f ca="1">RANK(PlayerGameData[[#This Row],[AST]],PlayerGameData[AST],0)+PlayerGameData[[#This Row],[VisibleOrder]]</f>
        <v>115</v>
      </c>
      <c r="AS608" s="8">
        <f ca="1">IF(COUNTIF(PlayerGameData[ASTOrder],PlayerGameData[[#This Row],[ASTOrder]])&gt;1,PlayerGameData[[#This Row],[PointRank]]/100+PlayerGameData[[#This Row],[ASTOrder]],PlayerGameData[[#This Row],[ASTOrder]])</f>
        <v>116.55</v>
      </c>
      <c r="AT608" s="8">
        <f ca="1">RANK(PlayerGameData[[#This Row],[ASTTieBreak]],PlayerGameData[ASTTieBreak],1)</f>
        <v>143</v>
      </c>
      <c r="AU608" s="8">
        <f ca="1">RANK(PlayerGameData[[#This Row],[STL]],PlayerGameData[STL],0)+PlayerGameData[[#This Row],[VisibleOrder]]</f>
        <v>84</v>
      </c>
      <c r="AV608" s="8">
        <f ca="1">IF(COUNTIF(PlayerGameData[STLOrder],PlayerGameData[[#This Row],[STLOrder]])&gt;1,PlayerGameData[[#This Row],[PointRank]]/100+PlayerGameData[[#This Row],[STLOrder]],PlayerGameData[[#This Row],[STLOrder]])</f>
        <v>85.55</v>
      </c>
      <c r="AW608" s="8">
        <f ca="1">RANK(PlayerGameData[[#This Row],[STLTieBreak]],PlayerGameData[STLTieBreak],1)</f>
        <v>125</v>
      </c>
      <c r="AX608" s="8">
        <f ca="1">RANK(PlayerGameData[[#This Row],[BLK]],PlayerGameData[BLK],0)+PlayerGameData[[#This Row],[VisibleOrder]]</f>
        <v>11</v>
      </c>
      <c r="AY608" s="8">
        <f ca="1">IF(COUNTIF(PlayerGameData[BLKOrder],PlayerGameData[[#This Row],[BLKOrder]])&gt;1,PlayerGameData[[#This Row],[PointRank]]/100+PlayerGameData[[#This Row],[BLKOrder]],PlayerGameData[[#This Row],[BLKOrder]])</f>
        <v>12.55</v>
      </c>
      <c r="AZ608" s="8">
        <f ca="1">RANK(PlayerGameData[[#This Row],[BLKTieBreak]],PlayerGameData[BLKTieBreak],1)</f>
        <v>28</v>
      </c>
      <c r="BA608" s="11">
        <f ca="1">IFERROR(IF(PlayerGameData[[#This Row],[FGA]]&gt;$AA$5,PlayerGameData[[#This Row],[FG%*]],PlayerGameData[[#This Row],[FG%*]]*-1),-2)</f>
        <v>0.16666666666666666</v>
      </c>
      <c r="BB608" s="8">
        <f ca="1">RANK(PlayerGameData[[#This Row],[EligFG]],PlayerGameData[EligFG],0)+PlayerGameData[[#This Row],[VisibleOrder]]</f>
        <v>108</v>
      </c>
      <c r="BC608" s="8">
        <f ca="1">IF(COUNTIF(PlayerGameData[EligFGOrder],PlayerGameData[[#This Row],[EligFGOrder]])&gt;1,PlayerGameData[[#This Row],[PointRank]]/100+PlayerGameData[[#This Row],[EligFGOrder]],PlayerGameData[[#This Row],[EligFGOrder]])</f>
        <v>108</v>
      </c>
      <c r="BD608" s="8">
        <f ca="1">RANK(PlayerGameData[[#This Row],[EligFGTieBreak]],PlayerGameData[EligFGTieBreak],1)</f>
        <v>107</v>
      </c>
      <c r="BE608" s="8" t="str">
        <f>Roster!$D$3</f>
        <v>East</v>
      </c>
      <c r="BF608" s="8" t="str">
        <f>Roster!$D$2</f>
        <v>Northeast</v>
      </c>
      <c r="BG608" s="8" t="str">
        <f>Roster!$D$4</f>
        <v>North</v>
      </c>
      <c r="BH608" s="197">
        <f ca="1">IFERROR(VLOOKUP(CONCATENATE(PlayerGameData[[#This Row],[Opponent]]," ",MONTH(PlayerGameData[[#This Row],[Date]]),"/",DAY(PlayerGameData[[#This Row],[Date]]),"/",YEAR(PlayerGameData[[#This Row],[Date]])),Table35[],2,FALSE),0)</f>
        <v>1</v>
      </c>
      <c r="BI608" s="197">
        <f ca="1">IF(PlayerGameData[[#This Row],[Visible]]=1,1,1000)</f>
        <v>1</v>
      </c>
      <c r="BJ608" s="197" t="e">
        <f ca="1">_xlfn.MAXIFS(TeamGameData[Win],TeamGameData[School, Opponent,Game'#],PlayerGameData[[#This Row],[School, Opponent,Game'#]])</f>
        <v>#NAME?</v>
      </c>
      <c r="BK608" s="197" t="e">
        <f ca="1">_xlfn.MAXIFS(TeamGameData[Loss],TeamGameData[School, Opponent,Game'#],PlayerGameData[[#This Row],[School, Opponent,Game'#]])</f>
        <v>#NAME?</v>
      </c>
    </row>
    <row r="609" spans="1:63" x14ac:dyDescent="0.25">
      <c r="A609" s="8" t="str">
        <f t="shared" ca="1" si="303"/>
        <v>Chase Mills, 5</v>
      </c>
      <c r="B609" s="8" t="str">
        <f>Roster!$B$1</f>
        <v>Upton</v>
      </c>
      <c r="C609" s="8" t="str">
        <f t="shared" ca="1" si="291"/>
        <v>Burlington</v>
      </c>
      <c r="D609" s="10">
        <f t="shared" ca="1" si="292"/>
        <v>44989</v>
      </c>
      <c r="E609" s="8">
        <f t="shared" ca="1" si="293"/>
        <v>1</v>
      </c>
      <c r="F609" s="8">
        <f t="shared" ca="1" si="294"/>
        <v>1</v>
      </c>
      <c r="G609" s="8">
        <f t="shared" ca="1" si="295"/>
        <v>30</v>
      </c>
      <c r="H609" s="8">
        <f t="shared" ca="1" si="296"/>
        <v>0</v>
      </c>
      <c r="I609" s="8">
        <f t="shared" ca="1" si="297"/>
        <v>4</v>
      </c>
      <c r="J609" s="8">
        <f t="shared" ca="1" si="298"/>
        <v>1</v>
      </c>
      <c r="K609" s="8">
        <f t="shared" ca="1" si="299"/>
        <v>5</v>
      </c>
      <c r="L609" s="8">
        <f t="shared" ca="1" si="304"/>
        <v>0</v>
      </c>
      <c r="M609" s="8">
        <f t="shared" ca="1" si="305"/>
        <v>0</v>
      </c>
      <c r="N609" s="8">
        <f t="shared" ca="1" si="306"/>
        <v>0</v>
      </c>
      <c r="O609" s="8">
        <f t="shared" ca="1" si="307"/>
        <v>1</v>
      </c>
      <c r="P609" s="8">
        <f t="shared" ca="1" si="308"/>
        <v>1</v>
      </c>
      <c r="Q609" s="8">
        <f t="shared" ca="1" si="309"/>
        <v>2</v>
      </c>
      <c r="R609" s="8">
        <f t="shared" ca="1" si="310"/>
        <v>0</v>
      </c>
      <c r="S609" s="8">
        <f t="shared" ca="1" si="311"/>
        <v>3</v>
      </c>
      <c r="T609" s="8">
        <f t="shared" ca="1" si="312"/>
        <v>1</v>
      </c>
      <c r="U609" s="8">
        <f t="shared" ca="1" si="313"/>
        <v>0</v>
      </c>
      <c r="V609" s="8">
        <f t="shared" ca="1" si="314"/>
        <v>2</v>
      </c>
      <c r="W609" s="11">
        <f t="shared" ca="1" si="315"/>
        <v>0</v>
      </c>
      <c r="X609" s="11">
        <f t="shared" ca="1" si="316"/>
        <v>0.2</v>
      </c>
      <c r="Y609" s="11" t="str">
        <f t="shared" ca="1" si="317"/>
        <v/>
      </c>
      <c r="Z609" s="11">
        <f t="shared" ca="1" si="318"/>
        <v>0.1111111111111111</v>
      </c>
      <c r="AA609" s="11">
        <f t="shared" ca="1" si="319"/>
        <v>0.1111111111111111</v>
      </c>
      <c r="AB609" s="47">
        <f ca="1">PlayerGameData[[#This Row],[3FGA]]+PlayerGameData[[#This Row],[2FGA]]</f>
        <v>9</v>
      </c>
      <c r="AC609" s="47">
        <f ca="1">PlayerGameData[[#This Row],[OFF REB]]+PlayerGameData[[#This Row],[DEF REB]]</f>
        <v>1</v>
      </c>
      <c r="AD609" s="8">
        <f t="shared" si="300"/>
        <v>26</v>
      </c>
      <c r="AE609" s="8" t="str">
        <f t="shared" ca="1" si="301"/>
        <v>Chase Mills, 5 - Burlington 3/4/2023</v>
      </c>
      <c r="AF609" s="8" t="str">
        <f t="shared" ca="1" si="320"/>
        <v/>
      </c>
      <c r="AG609" s="8" t="str">
        <f ca="1">IFERROR(IF(C609=0,"",IF(AND(VLOOKUP(PlayerGameData[[#This Row],[Opponent]],WYTeamInfo,2,FALSE)=Roster!$D$1,VLOOKUP(PlayerGameData[[#This Row],[Opponent]],WYTeamInfo,3,FALSE)=Roster!$D$2),"SR","")),"")</f>
        <v/>
      </c>
      <c r="AH609" s="8" t="str">
        <f>CONCATENATE(Roster!$D$1," ",Roster!$D$5)</f>
        <v>1A BB</v>
      </c>
      <c r="AI609" s="8" t="str">
        <f t="shared" ca="1" si="302"/>
        <v>Upton - Burlington 3/4/2023</v>
      </c>
      <c r="AJ609" s="8">
        <f ca="1">IFERROR(VLOOKUP(PlayerGameData[[#This Row],[School, Opponent,Game'#]],Table3[],2,FALSE),0)</f>
        <v>1</v>
      </c>
      <c r="AK609" s="8">
        <f ca="1">IF(PlayerGameData[[#This Row],[Visible]]=1,1,1000)</f>
        <v>1</v>
      </c>
      <c r="AL609" s="8">
        <f ca="1">RANK(PlayerGameData[[#This Row],[TL PTS]],PlayerGameData[TL PTS],0)+PlayerGameData[[#This Row],[VisibleOrder]]</f>
        <v>152</v>
      </c>
      <c r="AM609" s="8">
        <f ca="1">IF(COUNTIF(PlayerGameData[PointOrder],PlayerGameData[[#This Row],[PointOrder]])&gt;1,RANK(PlayerGameData[[#This Row],[FGA]],PlayerGameData[FGA],0)/100,0)+PlayerGameData[[#This Row],[PointOrder]]</f>
        <v>152.59</v>
      </c>
      <c r="AN609" s="8">
        <f ca="1">RANK(PlayerGameData[[#This Row],[PointTieBreak]],PlayerGameData[PointTieBreak],1)</f>
        <v>151</v>
      </c>
      <c r="AO609" s="8">
        <f ca="1">RANK(PlayerGameData[[#This Row],[REB]],PlayerGameData[REB],0)+PlayerGameData[[#This Row],[VisibleOrder]]</f>
        <v>163</v>
      </c>
      <c r="AP609" s="8">
        <f ca="1">IF(COUNTIF(PlayerGameData[REBOrder],PlayerGameData[[#This Row],[REBOrder]])&gt;1,PlayerGameData[[#This Row],[PointRank]]/100+PlayerGameData[[#This Row],[REBOrder]],PlayerGameData[[#This Row],[REBOrder]])</f>
        <v>164.51</v>
      </c>
      <c r="AQ609" s="8">
        <f ca="1">RANK(PlayerGameData[[#This Row],[REBTieBreak]],PlayerGameData[REBTieBreak],1)</f>
        <v>172</v>
      </c>
      <c r="AR609" s="8">
        <f ca="1">RANK(PlayerGameData[[#This Row],[AST]],PlayerGameData[AST],0)+PlayerGameData[[#This Row],[VisibleOrder]]</f>
        <v>115</v>
      </c>
      <c r="AS609" s="8">
        <f ca="1">IF(COUNTIF(PlayerGameData[ASTOrder],PlayerGameData[[#This Row],[ASTOrder]])&gt;1,PlayerGameData[[#This Row],[PointRank]]/100+PlayerGameData[[#This Row],[ASTOrder]],PlayerGameData[[#This Row],[ASTOrder]])</f>
        <v>116.51</v>
      </c>
      <c r="AT609" s="8">
        <f ca="1">RANK(PlayerGameData[[#This Row],[ASTTieBreak]],PlayerGameData[ASTTieBreak],1)</f>
        <v>142</v>
      </c>
      <c r="AU609" s="8">
        <f ca="1">RANK(PlayerGameData[[#This Row],[STL]],PlayerGameData[STL],0)+PlayerGameData[[#This Row],[VisibleOrder]]</f>
        <v>48</v>
      </c>
      <c r="AV609" s="8">
        <f ca="1">IF(COUNTIF(PlayerGameData[STLOrder],PlayerGameData[[#This Row],[STLOrder]])&gt;1,PlayerGameData[[#This Row],[PointRank]]/100+PlayerGameData[[#This Row],[STLOrder]],PlayerGameData[[#This Row],[STLOrder]])</f>
        <v>49.51</v>
      </c>
      <c r="AW609" s="8">
        <f ca="1">RANK(PlayerGameData[[#This Row],[STLTieBreak]],PlayerGameData[STLTieBreak],1)</f>
        <v>78</v>
      </c>
      <c r="AX609" s="8">
        <f ca="1">RANK(PlayerGameData[[#This Row],[BLK]],PlayerGameData[BLK],0)+PlayerGameData[[#This Row],[VisibleOrder]]</f>
        <v>32</v>
      </c>
      <c r="AY609" s="8">
        <f ca="1">IF(COUNTIF(PlayerGameData[BLKOrder],PlayerGameData[[#This Row],[BLKOrder]])&gt;1,PlayerGameData[[#This Row],[PointRank]]/100+PlayerGameData[[#This Row],[BLKOrder]],PlayerGameData[[#This Row],[BLKOrder]])</f>
        <v>33.51</v>
      </c>
      <c r="AZ609" s="8">
        <f ca="1">RANK(PlayerGameData[[#This Row],[BLKTieBreak]],PlayerGameData[BLKTieBreak],1)</f>
        <v>154</v>
      </c>
      <c r="BA609" s="11">
        <f ca="1">IFERROR(IF(PlayerGameData[[#This Row],[FGA]]&gt;$AA$5,PlayerGameData[[#This Row],[FG%*]],PlayerGameData[[#This Row],[FG%*]]*-1),-2)</f>
        <v>0.1111111111111111</v>
      </c>
      <c r="BB609" s="8">
        <f ca="1">RANK(PlayerGameData[[#This Row],[EligFG]],PlayerGameData[EligFG],0)+PlayerGameData[[#This Row],[VisibleOrder]]</f>
        <v>114</v>
      </c>
      <c r="BC609" s="8">
        <f ca="1">IF(COUNTIF(PlayerGameData[EligFGOrder],PlayerGameData[[#This Row],[EligFGOrder]])&gt;1,PlayerGameData[[#This Row],[PointRank]]/100+PlayerGameData[[#This Row],[EligFGOrder]],PlayerGameData[[#This Row],[EligFGOrder]])</f>
        <v>115.51</v>
      </c>
      <c r="BD609" s="8">
        <f ca="1">RANK(PlayerGameData[[#This Row],[EligFGTieBreak]],PlayerGameData[EligFGTieBreak],1)</f>
        <v>115</v>
      </c>
      <c r="BE609" s="8" t="str">
        <f>Roster!$D$3</f>
        <v>East</v>
      </c>
      <c r="BF609" s="8" t="str">
        <f>Roster!$D$2</f>
        <v>Northeast</v>
      </c>
      <c r="BG609" s="8" t="str">
        <f>Roster!$D$4</f>
        <v>North</v>
      </c>
      <c r="BH609" s="197">
        <f ca="1">IFERROR(VLOOKUP(CONCATENATE(PlayerGameData[[#This Row],[Opponent]]," ",MONTH(PlayerGameData[[#This Row],[Date]]),"/",DAY(PlayerGameData[[#This Row],[Date]]),"/",YEAR(PlayerGameData[[#This Row],[Date]])),Table35[],2,FALSE),0)</f>
        <v>1</v>
      </c>
      <c r="BI609" s="197">
        <f ca="1">IF(PlayerGameData[[#This Row],[Visible]]=1,1,1000)</f>
        <v>1</v>
      </c>
      <c r="BJ609" s="197" t="e">
        <f ca="1">_xlfn.MAXIFS(TeamGameData[Win],TeamGameData[School, Opponent,Game'#],PlayerGameData[[#This Row],[School, Opponent,Game'#]])</f>
        <v>#NAME?</v>
      </c>
      <c r="BK609" s="197" t="e">
        <f ca="1">_xlfn.MAXIFS(TeamGameData[Loss],TeamGameData[School, Opponent,Game'#],PlayerGameData[[#This Row],[School, Opponent,Game'#]])</f>
        <v>#NAME?</v>
      </c>
    </row>
    <row r="610" spans="1:63" x14ac:dyDescent="0.25">
      <c r="A610" s="8" t="str">
        <f t="shared" ca="1" si="303"/>
        <v>Rhett Watt, 10</v>
      </c>
      <c r="B610" s="8" t="str">
        <f>Roster!$B$1</f>
        <v>Upton</v>
      </c>
      <c r="C610" s="8" t="str">
        <f t="shared" ca="1" si="291"/>
        <v>Burlington</v>
      </c>
      <c r="D610" s="10">
        <f t="shared" ca="1" si="292"/>
        <v>44989</v>
      </c>
      <c r="E610" s="8">
        <f t="shared" ca="1" si="293"/>
        <v>1</v>
      </c>
      <c r="F610" s="8">
        <f t="shared" ca="1" si="294"/>
        <v>1</v>
      </c>
      <c r="G610" s="8">
        <f t="shared" ca="1" si="295"/>
        <v>25</v>
      </c>
      <c r="H610" s="8">
        <f t="shared" ca="1" si="296"/>
        <v>0</v>
      </c>
      <c r="I610" s="8">
        <f t="shared" ca="1" si="297"/>
        <v>4</v>
      </c>
      <c r="J610" s="8">
        <f t="shared" ca="1" si="298"/>
        <v>0</v>
      </c>
      <c r="K610" s="8">
        <f t="shared" ca="1" si="299"/>
        <v>1</v>
      </c>
      <c r="L610" s="8">
        <f t="shared" ca="1" si="304"/>
        <v>3</v>
      </c>
      <c r="M610" s="8">
        <f t="shared" ca="1" si="305"/>
        <v>4</v>
      </c>
      <c r="N610" s="8">
        <f t="shared" ca="1" si="306"/>
        <v>0</v>
      </c>
      <c r="O610" s="8">
        <f t="shared" ca="1" si="307"/>
        <v>2</v>
      </c>
      <c r="P610" s="8">
        <f t="shared" ca="1" si="308"/>
        <v>1</v>
      </c>
      <c r="Q610" s="8">
        <f t="shared" ca="1" si="309"/>
        <v>0</v>
      </c>
      <c r="R610" s="8">
        <f t="shared" ca="1" si="310"/>
        <v>0</v>
      </c>
      <c r="S610" s="8">
        <f t="shared" ca="1" si="311"/>
        <v>1</v>
      </c>
      <c r="T610" s="8">
        <f t="shared" ca="1" si="312"/>
        <v>0</v>
      </c>
      <c r="U610" s="8">
        <f t="shared" ca="1" si="313"/>
        <v>0</v>
      </c>
      <c r="V610" s="8">
        <f t="shared" ca="1" si="314"/>
        <v>3</v>
      </c>
      <c r="W610" s="11">
        <f t="shared" ca="1" si="315"/>
        <v>0</v>
      </c>
      <c r="X610" s="11">
        <f t="shared" ca="1" si="316"/>
        <v>0</v>
      </c>
      <c r="Y610" s="11">
        <f t="shared" ca="1" si="317"/>
        <v>0.75</v>
      </c>
      <c r="Z610" s="11">
        <f t="shared" ca="1" si="318"/>
        <v>0</v>
      </c>
      <c r="AA610" s="11">
        <f t="shared" ca="1" si="319"/>
        <v>0</v>
      </c>
      <c r="AB610" s="47">
        <f ca="1">PlayerGameData[[#This Row],[3FGA]]+PlayerGameData[[#This Row],[2FGA]]</f>
        <v>5</v>
      </c>
      <c r="AC610" s="47">
        <f ca="1">PlayerGameData[[#This Row],[OFF REB]]+PlayerGameData[[#This Row],[DEF REB]]</f>
        <v>2</v>
      </c>
      <c r="AD610" s="8">
        <f t="shared" si="300"/>
        <v>26</v>
      </c>
      <c r="AE610" s="8" t="str">
        <f t="shared" ca="1" si="301"/>
        <v>Rhett Watt, 10 - Burlington 3/4/2023</v>
      </c>
      <c r="AF610" s="8" t="str">
        <f t="shared" ca="1" si="320"/>
        <v/>
      </c>
      <c r="AG610" s="8" t="str">
        <f ca="1">IFERROR(IF(C610=0,"",IF(AND(VLOOKUP(PlayerGameData[[#This Row],[Opponent]],WYTeamInfo,2,FALSE)=Roster!$D$1,VLOOKUP(PlayerGameData[[#This Row],[Opponent]],WYTeamInfo,3,FALSE)=Roster!$D$2),"SR","")),"")</f>
        <v/>
      </c>
      <c r="AH610" s="8" t="str">
        <f>CONCATENATE(Roster!$D$1," ",Roster!$D$5)</f>
        <v>1A BB</v>
      </c>
      <c r="AI610" s="8" t="str">
        <f t="shared" ca="1" si="302"/>
        <v>Upton - Burlington 3/4/2023</v>
      </c>
      <c r="AJ610" s="8">
        <f ca="1">IFERROR(VLOOKUP(PlayerGameData[[#This Row],[School, Opponent,Game'#]],Table3[],2,FALSE),0)</f>
        <v>1</v>
      </c>
      <c r="AK610" s="8">
        <f ca="1">IF(PlayerGameData[[#This Row],[Visible]]=1,1,1000)</f>
        <v>1</v>
      </c>
      <c r="AL610" s="8">
        <f ca="1">RANK(PlayerGameData[[#This Row],[TL PTS]],PlayerGameData[TL PTS],0)+PlayerGameData[[#This Row],[VisibleOrder]]</f>
        <v>135</v>
      </c>
      <c r="AM610" s="8">
        <f ca="1">IF(COUNTIF(PlayerGameData[PointOrder],PlayerGameData[[#This Row],[PointOrder]])&gt;1,RANK(PlayerGameData[[#This Row],[FGA]],PlayerGameData[FGA],0)/100,0)+PlayerGameData[[#This Row],[PointOrder]]</f>
        <v>136.19</v>
      </c>
      <c r="AN610" s="8">
        <f ca="1">RANK(PlayerGameData[[#This Row],[PointTieBreak]],PlayerGameData[PointTieBreak],1)</f>
        <v>135</v>
      </c>
      <c r="AO610" s="8">
        <f ca="1">RANK(PlayerGameData[[#This Row],[REB]],PlayerGameData[REB],0)+PlayerGameData[[#This Row],[VisibleOrder]]</f>
        <v>137</v>
      </c>
      <c r="AP610" s="8">
        <f ca="1">IF(COUNTIF(PlayerGameData[REBOrder],PlayerGameData[[#This Row],[REBOrder]])&gt;1,PlayerGameData[[#This Row],[PointRank]]/100+PlayerGameData[[#This Row],[REBOrder]],PlayerGameData[[#This Row],[REBOrder]])</f>
        <v>138.35</v>
      </c>
      <c r="AQ610" s="8">
        <f ca="1">RANK(PlayerGameData[[#This Row],[REBTieBreak]],PlayerGameData[REBTieBreak],1)</f>
        <v>148</v>
      </c>
      <c r="AR610" s="8">
        <f ca="1">RANK(PlayerGameData[[#This Row],[AST]],PlayerGameData[AST],0)+PlayerGameData[[#This Row],[VisibleOrder]]</f>
        <v>115</v>
      </c>
      <c r="AS610" s="8">
        <f ca="1">IF(COUNTIF(PlayerGameData[ASTOrder],PlayerGameData[[#This Row],[ASTOrder]])&gt;1,PlayerGameData[[#This Row],[PointRank]]/100+PlayerGameData[[#This Row],[ASTOrder]],PlayerGameData[[#This Row],[ASTOrder]])</f>
        <v>116.35</v>
      </c>
      <c r="AT610" s="8">
        <f ca="1">RANK(PlayerGameData[[#This Row],[ASTTieBreak]],PlayerGameData[ASTTieBreak],1)</f>
        <v>139</v>
      </c>
      <c r="AU610" s="8">
        <f ca="1">RANK(PlayerGameData[[#This Row],[STL]],PlayerGameData[STL],0)+PlayerGameData[[#This Row],[VisibleOrder]]</f>
        <v>143</v>
      </c>
      <c r="AV610" s="8">
        <f ca="1">IF(COUNTIF(PlayerGameData[STLOrder],PlayerGameData[[#This Row],[STLOrder]])&gt;1,PlayerGameData[[#This Row],[PointRank]]/100+PlayerGameData[[#This Row],[STLOrder]],PlayerGameData[[#This Row],[STLOrder]])</f>
        <v>144.35</v>
      </c>
      <c r="AW610" s="8">
        <f ca="1">RANK(PlayerGameData[[#This Row],[STLTieBreak]],PlayerGameData[STLTieBreak],1)</f>
        <v>164</v>
      </c>
      <c r="AX610" s="8">
        <f ca="1">RANK(PlayerGameData[[#This Row],[BLK]],PlayerGameData[BLK],0)+PlayerGameData[[#This Row],[VisibleOrder]]</f>
        <v>32</v>
      </c>
      <c r="AY610" s="8">
        <f ca="1">IF(COUNTIF(PlayerGameData[BLKOrder],PlayerGameData[[#This Row],[BLKOrder]])&gt;1,PlayerGameData[[#This Row],[PointRank]]/100+PlayerGameData[[#This Row],[BLKOrder]],PlayerGameData[[#This Row],[BLKOrder]])</f>
        <v>33.35</v>
      </c>
      <c r="AZ610" s="8">
        <f ca="1">RANK(PlayerGameData[[#This Row],[BLKTieBreak]],PlayerGameData[BLKTieBreak],1)</f>
        <v>139</v>
      </c>
      <c r="BA610" s="11">
        <f ca="1">IFERROR(IF(PlayerGameData[[#This Row],[FGA]]&gt;$AA$5,PlayerGameData[[#This Row],[FG%*]],PlayerGameData[[#This Row],[FG%*]]*-1),-2)</f>
        <v>0</v>
      </c>
      <c r="BB610" s="8">
        <f ca="1">RANK(PlayerGameData[[#This Row],[EligFG]],PlayerGameData[EligFG],0)+PlayerGameData[[#This Row],[VisibleOrder]]</f>
        <v>117</v>
      </c>
      <c r="BC610" s="8">
        <f ca="1">IF(COUNTIF(PlayerGameData[EligFGOrder],PlayerGameData[[#This Row],[EligFGOrder]])&gt;1,PlayerGameData[[#This Row],[PointRank]]/100+PlayerGameData[[#This Row],[EligFGOrder]],PlayerGameData[[#This Row],[EligFGOrder]])</f>
        <v>118.35</v>
      </c>
      <c r="BD610" s="8">
        <f ca="1">RANK(PlayerGameData[[#This Row],[EligFGTieBreak]],PlayerGameData[EligFGTieBreak],1)</f>
        <v>116</v>
      </c>
      <c r="BE610" s="8" t="str">
        <f>Roster!$D$3</f>
        <v>East</v>
      </c>
      <c r="BF610" s="8" t="str">
        <f>Roster!$D$2</f>
        <v>Northeast</v>
      </c>
      <c r="BG610" s="8" t="str">
        <f>Roster!$D$4</f>
        <v>North</v>
      </c>
      <c r="BH610" s="197">
        <f ca="1">IFERROR(VLOOKUP(CONCATENATE(PlayerGameData[[#This Row],[Opponent]]," ",MONTH(PlayerGameData[[#This Row],[Date]]),"/",DAY(PlayerGameData[[#This Row],[Date]]),"/",YEAR(PlayerGameData[[#This Row],[Date]])),Table35[],2,FALSE),0)</f>
        <v>1</v>
      </c>
      <c r="BI610" s="197">
        <f ca="1">IF(PlayerGameData[[#This Row],[Visible]]=1,1,1000)</f>
        <v>1</v>
      </c>
      <c r="BJ610" s="197" t="e">
        <f ca="1">_xlfn.MAXIFS(TeamGameData[Win],TeamGameData[School, Opponent,Game'#],PlayerGameData[[#This Row],[School, Opponent,Game'#]])</f>
        <v>#NAME?</v>
      </c>
      <c r="BK610" s="197" t="e">
        <f ca="1">_xlfn.MAXIFS(TeamGameData[Loss],TeamGameData[School, Opponent,Game'#],PlayerGameData[[#This Row],[School, Opponent,Game'#]])</f>
        <v>#NAME?</v>
      </c>
    </row>
    <row r="611" spans="1:63" x14ac:dyDescent="0.25">
      <c r="A611" s="8" t="str">
        <f t="shared" ca="1" si="303"/>
        <v>Keith Coburn, 11</v>
      </c>
      <c r="B611" s="8" t="str">
        <f>Roster!$B$1</f>
        <v>Upton</v>
      </c>
      <c r="C611" s="8" t="str">
        <f t="shared" ca="1" si="291"/>
        <v>Burlington</v>
      </c>
      <c r="D611" s="10">
        <f t="shared" ca="1" si="292"/>
        <v>44989</v>
      </c>
      <c r="E611" s="8">
        <f t="shared" ca="1" si="293"/>
        <v>1</v>
      </c>
      <c r="F611" s="8">
        <f t="shared" ca="1" si="294"/>
        <v>0</v>
      </c>
      <c r="G611" s="8">
        <f t="shared" ca="1" si="295"/>
        <v>1</v>
      </c>
      <c r="H611" s="8">
        <f t="shared" ca="1" si="296"/>
        <v>0</v>
      </c>
      <c r="I611" s="8">
        <f t="shared" ca="1" si="297"/>
        <v>0</v>
      </c>
      <c r="J611" s="8">
        <f t="shared" ca="1" si="298"/>
        <v>0</v>
      </c>
      <c r="K611" s="8">
        <f t="shared" ca="1" si="299"/>
        <v>0</v>
      </c>
      <c r="L611" s="8">
        <f t="shared" ca="1" si="304"/>
        <v>0</v>
      </c>
      <c r="M611" s="8">
        <f t="shared" ca="1" si="305"/>
        <v>0</v>
      </c>
      <c r="N611" s="8">
        <f t="shared" ca="1" si="306"/>
        <v>0</v>
      </c>
      <c r="O611" s="8">
        <f t="shared" ca="1" si="307"/>
        <v>0</v>
      </c>
      <c r="P611" s="8">
        <f t="shared" ca="1" si="308"/>
        <v>1</v>
      </c>
      <c r="Q611" s="8">
        <f t="shared" ca="1" si="309"/>
        <v>0</v>
      </c>
      <c r="R611" s="8">
        <f t="shared" ca="1" si="310"/>
        <v>0</v>
      </c>
      <c r="S611" s="8">
        <f t="shared" ca="1" si="311"/>
        <v>0</v>
      </c>
      <c r="T611" s="8">
        <f t="shared" ca="1" si="312"/>
        <v>0</v>
      </c>
      <c r="U611" s="8">
        <f t="shared" ca="1" si="313"/>
        <v>0</v>
      </c>
      <c r="V611" s="8">
        <f t="shared" ca="1" si="314"/>
        <v>0</v>
      </c>
      <c r="W611" s="11" t="str">
        <f t="shared" ca="1" si="315"/>
        <v/>
      </c>
      <c r="X611" s="11" t="str">
        <f t="shared" ca="1" si="316"/>
        <v/>
      </c>
      <c r="Y611" s="11" t="str">
        <f t="shared" ca="1" si="317"/>
        <v/>
      </c>
      <c r="Z611" s="11" t="str">
        <f t="shared" ca="1" si="318"/>
        <v/>
      </c>
      <c r="AA611" s="11" t="str">
        <f t="shared" ca="1" si="319"/>
        <v/>
      </c>
      <c r="AB611" s="47">
        <f ca="1">PlayerGameData[[#This Row],[3FGA]]+PlayerGameData[[#This Row],[2FGA]]</f>
        <v>0</v>
      </c>
      <c r="AC611" s="47">
        <f ca="1">PlayerGameData[[#This Row],[OFF REB]]+PlayerGameData[[#This Row],[DEF REB]]</f>
        <v>0</v>
      </c>
      <c r="AD611" s="8">
        <f t="shared" si="300"/>
        <v>26</v>
      </c>
      <c r="AE611" s="8" t="str">
        <f t="shared" ca="1" si="301"/>
        <v>Keith Coburn, 11 - Burlington 3/4/2023</v>
      </c>
      <c r="AF611" s="8" t="str">
        <f t="shared" ca="1" si="320"/>
        <v/>
      </c>
      <c r="AG611" s="8" t="str">
        <f ca="1">IFERROR(IF(C611=0,"",IF(AND(VLOOKUP(PlayerGameData[[#This Row],[Opponent]],WYTeamInfo,2,FALSE)=Roster!$D$1,VLOOKUP(PlayerGameData[[#This Row],[Opponent]],WYTeamInfo,3,FALSE)=Roster!$D$2),"SR","")),"")</f>
        <v/>
      </c>
      <c r="AH611" s="8" t="str">
        <f>CONCATENATE(Roster!$D$1," ",Roster!$D$5)</f>
        <v>1A BB</v>
      </c>
      <c r="AI611" s="8" t="str">
        <f t="shared" ca="1" si="302"/>
        <v>Upton - Burlington 3/4/2023</v>
      </c>
      <c r="AJ611" s="8">
        <f ca="1">IFERROR(VLOOKUP(PlayerGameData[[#This Row],[School, Opponent,Game'#]],Table3[],2,FALSE),0)</f>
        <v>1</v>
      </c>
      <c r="AK611" s="8">
        <f ca="1">IF(PlayerGameData[[#This Row],[Visible]]=1,1,1000)</f>
        <v>1</v>
      </c>
      <c r="AL611" s="8">
        <f ca="1">RANK(PlayerGameData[[#This Row],[TL PTS]],PlayerGameData[TL PTS],0)+PlayerGameData[[#This Row],[VisibleOrder]]</f>
        <v>185</v>
      </c>
      <c r="AM611" s="8">
        <f ca="1">IF(COUNTIF(PlayerGameData[PointOrder],PlayerGameData[[#This Row],[PointOrder]])&gt;1,RANK(PlayerGameData[[#This Row],[FGA]],PlayerGameData[FGA],0)/100,0)+PlayerGameData[[#This Row],[PointOrder]]</f>
        <v>187.14</v>
      </c>
      <c r="AN611" s="8">
        <f ca="1">RANK(PlayerGameData[[#This Row],[PointTieBreak]],PlayerGameData[PointTieBreak],1)</f>
        <v>216</v>
      </c>
      <c r="AO611" s="8">
        <f ca="1">RANK(PlayerGameData[[#This Row],[REB]],PlayerGameData[REB],0)+PlayerGameData[[#This Row],[VisibleOrder]]</f>
        <v>192</v>
      </c>
      <c r="AP611" s="8">
        <f ca="1">IF(COUNTIF(PlayerGameData[REBOrder],PlayerGameData[[#This Row],[REBOrder]])&gt;1,PlayerGameData[[#This Row],[PointRank]]/100+PlayerGameData[[#This Row],[REBOrder]],PlayerGameData[[#This Row],[REBOrder]])</f>
        <v>194.16</v>
      </c>
      <c r="AQ611" s="8">
        <f ca="1">RANK(PlayerGameData[[#This Row],[REBTieBreak]],PlayerGameData[REBTieBreak],1)</f>
        <v>224</v>
      </c>
      <c r="AR611" s="8">
        <f ca="1">RANK(PlayerGameData[[#This Row],[AST]],PlayerGameData[AST],0)+PlayerGameData[[#This Row],[VisibleOrder]]</f>
        <v>115</v>
      </c>
      <c r="AS611" s="8">
        <f ca="1">IF(COUNTIF(PlayerGameData[ASTOrder],PlayerGameData[[#This Row],[ASTOrder]])&gt;1,PlayerGameData[[#This Row],[PointRank]]/100+PlayerGameData[[#This Row],[ASTOrder]],PlayerGameData[[#This Row],[ASTOrder]])</f>
        <v>117.16</v>
      </c>
      <c r="AT611" s="8">
        <f ca="1">RANK(PlayerGameData[[#This Row],[ASTTieBreak]],PlayerGameData[ASTTieBreak],1)</f>
        <v>152</v>
      </c>
      <c r="AU611" s="8">
        <f ca="1">RANK(PlayerGameData[[#This Row],[STL]],PlayerGameData[STL],0)+PlayerGameData[[#This Row],[VisibleOrder]]</f>
        <v>143</v>
      </c>
      <c r="AV611" s="8">
        <f ca="1">IF(COUNTIF(PlayerGameData[STLOrder],PlayerGameData[[#This Row],[STLOrder]])&gt;1,PlayerGameData[[#This Row],[PointRank]]/100+PlayerGameData[[#This Row],[STLOrder]],PlayerGameData[[#This Row],[STLOrder]])</f>
        <v>145.16</v>
      </c>
      <c r="AW611" s="8">
        <f ca="1">RANK(PlayerGameData[[#This Row],[STLTieBreak]],PlayerGameData[STLTieBreak],1)</f>
        <v>217</v>
      </c>
      <c r="AX611" s="8">
        <f ca="1">RANK(PlayerGameData[[#This Row],[BLK]],PlayerGameData[BLK],0)+PlayerGameData[[#This Row],[VisibleOrder]]</f>
        <v>32</v>
      </c>
      <c r="AY611" s="8">
        <f ca="1">IF(COUNTIF(PlayerGameData[BLKOrder],PlayerGameData[[#This Row],[BLKOrder]])&gt;1,PlayerGameData[[#This Row],[PointRank]]/100+PlayerGameData[[#This Row],[BLKOrder]],PlayerGameData[[#This Row],[BLKOrder]])</f>
        <v>34.159999999999997</v>
      </c>
      <c r="AZ611" s="8">
        <f ca="1">RANK(PlayerGameData[[#This Row],[BLKTieBreak]],PlayerGameData[BLKTieBreak],1)</f>
        <v>216</v>
      </c>
      <c r="BA611" s="11">
        <f ca="1">IFERROR(IF(PlayerGameData[[#This Row],[FGA]]&gt;$AA$5,PlayerGameData[[#This Row],[FG%*]],PlayerGameData[[#This Row],[FG%*]]*-1),-2)</f>
        <v>-2</v>
      </c>
      <c r="BB611" s="8">
        <f ca="1">RANK(PlayerGameData[[#This Row],[EligFG]],PlayerGameData[EligFG],0)+PlayerGameData[[#This Row],[VisibleOrder]]</f>
        <v>215</v>
      </c>
      <c r="BC611" s="8">
        <f ca="1">IF(COUNTIF(PlayerGameData[EligFGOrder],PlayerGameData[[#This Row],[EligFGOrder]])&gt;1,PlayerGameData[[#This Row],[PointRank]]/100+PlayerGameData[[#This Row],[EligFGOrder]],PlayerGameData[[#This Row],[EligFGOrder]])</f>
        <v>217.16</v>
      </c>
      <c r="BD611" s="8">
        <f ca="1">RANK(PlayerGameData[[#This Row],[EligFGTieBreak]],PlayerGameData[EligFGTieBreak],1)</f>
        <v>216</v>
      </c>
      <c r="BE611" s="8" t="str">
        <f>Roster!$D$3</f>
        <v>East</v>
      </c>
      <c r="BF611" s="8" t="str">
        <f>Roster!$D$2</f>
        <v>Northeast</v>
      </c>
      <c r="BG611" s="8" t="str">
        <f>Roster!$D$4</f>
        <v>North</v>
      </c>
      <c r="BH611" s="197">
        <f ca="1">IFERROR(VLOOKUP(CONCATENATE(PlayerGameData[[#This Row],[Opponent]]," ",MONTH(PlayerGameData[[#This Row],[Date]]),"/",DAY(PlayerGameData[[#This Row],[Date]]),"/",YEAR(PlayerGameData[[#This Row],[Date]])),Table35[],2,FALSE),0)</f>
        <v>1</v>
      </c>
      <c r="BI611" s="197">
        <f ca="1">IF(PlayerGameData[[#This Row],[Visible]]=1,1,1000)</f>
        <v>1</v>
      </c>
      <c r="BJ611" s="197" t="e">
        <f ca="1">_xlfn.MAXIFS(TeamGameData[Win],TeamGameData[School, Opponent,Game'#],PlayerGameData[[#This Row],[School, Opponent,Game'#]])</f>
        <v>#NAME?</v>
      </c>
      <c r="BK611" s="197" t="e">
        <f ca="1">_xlfn.MAXIFS(TeamGameData[Loss],TeamGameData[School, Opponent,Game'#],PlayerGameData[[#This Row],[School, Opponent,Game'#]])</f>
        <v>#NAME?</v>
      </c>
    </row>
    <row r="612" spans="1:63" x14ac:dyDescent="0.25">
      <c r="A612" s="8" t="str">
        <f t="shared" ca="1" si="303"/>
        <v>Carson Barritt, 14</v>
      </c>
      <c r="B612" s="8" t="str">
        <f>Roster!$B$1</f>
        <v>Upton</v>
      </c>
      <c r="C612" s="8" t="str">
        <f t="shared" ca="1" si="291"/>
        <v>Burlington</v>
      </c>
      <c r="D612" s="10">
        <f t="shared" ca="1" si="292"/>
        <v>44989</v>
      </c>
      <c r="E612" s="8">
        <f t="shared" ca="1" si="293"/>
        <v>0</v>
      </c>
      <c r="F612" s="8">
        <f t="shared" ca="1" si="294"/>
        <v>0</v>
      </c>
      <c r="G612" s="8">
        <f t="shared" ca="1" si="295"/>
        <v>0</v>
      </c>
      <c r="H612" s="8">
        <f t="shared" ca="1" si="296"/>
        <v>0</v>
      </c>
      <c r="I612" s="8">
        <f t="shared" ca="1" si="297"/>
        <v>0</v>
      </c>
      <c r="J612" s="8">
        <f t="shared" ca="1" si="298"/>
        <v>0</v>
      </c>
      <c r="K612" s="8">
        <f t="shared" ca="1" si="299"/>
        <v>0</v>
      </c>
      <c r="L612" s="8">
        <f t="shared" ca="1" si="304"/>
        <v>0</v>
      </c>
      <c r="M612" s="8">
        <f t="shared" ca="1" si="305"/>
        <v>0</v>
      </c>
      <c r="N612" s="8">
        <f t="shared" ca="1" si="306"/>
        <v>0</v>
      </c>
      <c r="O612" s="8">
        <f t="shared" ca="1" si="307"/>
        <v>0</v>
      </c>
      <c r="P612" s="8">
        <f t="shared" ca="1" si="308"/>
        <v>0</v>
      </c>
      <c r="Q612" s="8">
        <f t="shared" ca="1" si="309"/>
        <v>0</v>
      </c>
      <c r="R612" s="8">
        <f t="shared" ca="1" si="310"/>
        <v>0</v>
      </c>
      <c r="S612" s="8">
        <f t="shared" ca="1" si="311"/>
        <v>0</v>
      </c>
      <c r="T612" s="8">
        <f t="shared" ca="1" si="312"/>
        <v>0</v>
      </c>
      <c r="U612" s="8">
        <f t="shared" ca="1" si="313"/>
        <v>0</v>
      </c>
      <c r="V612" s="8">
        <f t="shared" ca="1" si="314"/>
        <v>0</v>
      </c>
      <c r="W612" s="11" t="str">
        <f t="shared" ca="1" si="315"/>
        <v/>
      </c>
      <c r="X612" s="11" t="str">
        <f t="shared" ca="1" si="316"/>
        <v/>
      </c>
      <c r="Y612" s="11" t="str">
        <f t="shared" ca="1" si="317"/>
        <v/>
      </c>
      <c r="Z612" s="11" t="str">
        <f t="shared" ca="1" si="318"/>
        <v/>
      </c>
      <c r="AA612" s="11" t="str">
        <f t="shared" ca="1" si="319"/>
        <v/>
      </c>
      <c r="AB612" s="47">
        <f ca="1">PlayerGameData[[#This Row],[3FGA]]+PlayerGameData[[#This Row],[2FGA]]</f>
        <v>0</v>
      </c>
      <c r="AC612" s="47">
        <f ca="1">PlayerGameData[[#This Row],[OFF REB]]+PlayerGameData[[#This Row],[DEF REB]]</f>
        <v>0</v>
      </c>
      <c r="AD612" s="8">
        <f t="shared" si="300"/>
        <v>26</v>
      </c>
      <c r="AE612" s="8" t="str">
        <f t="shared" ca="1" si="301"/>
        <v>Carson Barritt, 14 - Burlington 3/4/2023</v>
      </c>
      <c r="AF612" s="8" t="str">
        <f t="shared" ca="1" si="320"/>
        <v/>
      </c>
      <c r="AG612" s="8" t="str">
        <f ca="1">IFERROR(IF(C612=0,"",IF(AND(VLOOKUP(PlayerGameData[[#This Row],[Opponent]],WYTeamInfo,2,FALSE)=Roster!$D$1,VLOOKUP(PlayerGameData[[#This Row],[Opponent]],WYTeamInfo,3,FALSE)=Roster!$D$2),"SR","")),"")</f>
        <v/>
      </c>
      <c r="AH612" s="8" t="str">
        <f>CONCATENATE(Roster!$D$1," ",Roster!$D$5)</f>
        <v>1A BB</v>
      </c>
      <c r="AI612" s="8" t="str">
        <f t="shared" ca="1" si="302"/>
        <v>Upton - Burlington 3/4/2023</v>
      </c>
      <c r="AJ612" s="8">
        <f ca="1">IFERROR(VLOOKUP(PlayerGameData[[#This Row],[School, Opponent,Game'#]],Table3[],2,FALSE),0)</f>
        <v>1</v>
      </c>
      <c r="AK612" s="8">
        <f ca="1">IF(PlayerGameData[[#This Row],[Visible]]=1,1,1000)</f>
        <v>1</v>
      </c>
      <c r="AL612" s="8">
        <f ca="1">RANK(PlayerGameData[[#This Row],[TL PTS]],PlayerGameData[TL PTS],0)+PlayerGameData[[#This Row],[VisibleOrder]]</f>
        <v>185</v>
      </c>
      <c r="AM612" s="8">
        <f ca="1">IF(COUNTIF(PlayerGameData[PointOrder],PlayerGameData[[#This Row],[PointOrder]])&gt;1,RANK(PlayerGameData[[#This Row],[FGA]],PlayerGameData[FGA],0)/100,0)+PlayerGameData[[#This Row],[PointOrder]]</f>
        <v>187.14</v>
      </c>
      <c r="AN612" s="8">
        <f ca="1">RANK(PlayerGameData[[#This Row],[PointTieBreak]],PlayerGameData[PointTieBreak],1)</f>
        <v>216</v>
      </c>
      <c r="AO612" s="8">
        <f ca="1">RANK(PlayerGameData[[#This Row],[REB]],PlayerGameData[REB],0)+PlayerGameData[[#This Row],[VisibleOrder]]</f>
        <v>192</v>
      </c>
      <c r="AP612" s="8">
        <f ca="1">IF(COUNTIF(PlayerGameData[REBOrder],PlayerGameData[[#This Row],[REBOrder]])&gt;1,PlayerGameData[[#This Row],[PointRank]]/100+PlayerGameData[[#This Row],[REBOrder]],PlayerGameData[[#This Row],[REBOrder]])</f>
        <v>194.16</v>
      </c>
      <c r="AQ612" s="8">
        <f ca="1">RANK(PlayerGameData[[#This Row],[REBTieBreak]],PlayerGameData[REBTieBreak],1)</f>
        <v>224</v>
      </c>
      <c r="AR612" s="8">
        <f ca="1">RANK(PlayerGameData[[#This Row],[AST]],PlayerGameData[AST],0)+PlayerGameData[[#This Row],[VisibleOrder]]</f>
        <v>158</v>
      </c>
      <c r="AS612" s="8">
        <f ca="1">IF(COUNTIF(PlayerGameData[ASTOrder],PlayerGameData[[#This Row],[ASTOrder]])&gt;1,PlayerGameData[[#This Row],[PointRank]]/100+PlayerGameData[[#This Row],[ASTOrder]],PlayerGameData[[#This Row],[ASTOrder]])</f>
        <v>160.16</v>
      </c>
      <c r="AT612" s="8">
        <f ca="1">RANK(PlayerGameData[[#This Row],[ASTTieBreak]],PlayerGameData[ASTTieBreak],1)</f>
        <v>221</v>
      </c>
      <c r="AU612" s="8">
        <f ca="1">RANK(PlayerGameData[[#This Row],[STL]],PlayerGameData[STL],0)+PlayerGameData[[#This Row],[VisibleOrder]]</f>
        <v>143</v>
      </c>
      <c r="AV612" s="8">
        <f ca="1">IF(COUNTIF(PlayerGameData[STLOrder],PlayerGameData[[#This Row],[STLOrder]])&gt;1,PlayerGameData[[#This Row],[PointRank]]/100+PlayerGameData[[#This Row],[STLOrder]],PlayerGameData[[#This Row],[STLOrder]])</f>
        <v>145.16</v>
      </c>
      <c r="AW612" s="8">
        <f ca="1">RANK(PlayerGameData[[#This Row],[STLTieBreak]],PlayerGameData[STLTieBreak],1)</f>
        <v>217</v>
      </c>
      <c r="AX612" s="8">
        <f ca="1">RANK(PlayerGameData[[#This Row],[BLK]],PlayerGameData[BLK],0)+PlayerGameData[[#This Row],[VisibleOrder]]</f>
        <v>32</v>
      </c>
      <c r="AY612" s="8">
        <f ca="1">IF(COUNTIF(PlayerGameData[BLKOrder],PlayerGameData[[#This Row],[BLKOrder]])&gt;1,PlayerGameData[[#This Row],[PointRank]]/100+PlayerGameData[[#This Row],[BLKOrder]],PlayerGameData[[#This Row],[BLKOrder]])</f>
        <v>34.159999999999997</v>
      </c>
      <c r="AZ612" s="8">
        <f ca="1">RANK(PlayerGameData[[#This Row],[BLKTieBreak]],PlayerGameData[BLKTieBreak],1)</f>
        <v>216</v>
      </c>
      <c r="BA612" s="11">
        <f ca="1">IFERROR(IF(PlayerGameData[[#This Row],[FGA]]&gt;$AA$5,PlayerGameData[[#This Row],[FG%*]],PlayerGameData[[#This Row],[FG%*]]*-1),-2)</f>
        <v>-2</v>
      </c>
      <c r="BB612" s="8">
        <f ca="1">RANK(PlayerGameData[[#This Row],[EligFG]],PlayerGameData[EligFG],0)+PlayerGameData[[#This Row],[VisibleOrder]]</f>
        <v>215</v>
      </c>
      <c r="BC612" s="8">
        <f ca="1">IF(COUNTIF(PlayerGameData[EligFGOrder],PlayerGameData[[#This Row],[EligFGOrder]])&gt;1,PlayerGameData[[#This Row],[PointRank]]/100+PlayerGameData[[#This Row],[EligFGOrder]],PlayerGameData[[#This Row],[EligFGOrder]])</f>
        <v>217.16</v>
      </c>
      <c r="BD612" s="8">
        <f ca="1">RANK(PlayerGameData[[#This Row],[EligFGTieBreak]],PlayerGameData[EligFGTieBreak],1)</f>
        <v>216</v>
      </c>
      <c r="BE612" s="8" t="str">
        <f>Roster!$D$3</f>
        <v>East</v>
      </c>
      <c r="BF612" s="8" t="str">
        <f>Roster!$D$2</f>
        <v>Northeast</v>
      </c>
      <c r="BG612" s="8" t="str">
        <f>Roster!$D$4</f>
        <v>North</v>
      </c>
      <c r="BH612" s="197">
        <f ca="1">IFERROR(VLOOKUP(CONCATENATE(PlayerGameData[[#This Row],[Opponent]]," ",MONTH(PlayerGameData[[#This Row],[Date]]),"/",DAY(PlayerGameData[[#This Row],[Date]]),"/",YEAR(PlayerGameData[[#This Row],[Date]])),Table35[],2,FALSE),0)</f>
        <v>1</v>
      </c>
      <c r="BI612" s="197">
        <f ca="1">IF(PlayerGameData[[#This Row],[Visible]]=1,1,1000)</f>
        <v>1</v>
      </c>
      <c r="BJ612" s="197" t="e">
        <f ca="1">_xlfn.MAXIFS(TeamGameData[Win],TeamGameData[School, Opponent,Game'#],PlayerGameData[[#This Row],[School, Opponent,Game'#]])</f>
        <v>#NAME?</v>
      </c>
      <c r="BK612" s="197" t="e">
        <f ca="1">_xlfn.MAXIFS(TeamGameData[Loss],TeamGameData[School, Opponent,Game'#],PlayerGameData[[#This Row],[School, Opponent,Game'#]])</f>
        <v>#NAME?</v>
      </c>
    </row>
    <row r="613" spans="1:63" x14ac:dyDescent="0.25">
      <c r="A613" s="8" t="str">
        <f t="shared" ca="1" si="303"/>
        <v>Ben Carpenter, 21</v>
      </c>
      <c r="B613" s="8" t="str">
        <f>Roster!$B$1</f>
        <v>Upton</v>
      </c>
      <c r="C613" s="8" t="str">
        <f t="shared" ca="1" si="291"/>
        <v>Burlington</v>
      </c>
      <c r="D613" s="10">
        <f t="shared" ca="1" si="292"/>
        <v>44989</v>
      </c>
      <c r="E613" s="8">
        <f t="shared" ca="1" si="293"/>
        <v>1</v>
      </c>
      <c r="F613" s="8">
        <f t="shared" ca="1" si="294"/>
        <v>0</v>
      </c>
      <c r="G613" s="8">
        <f t="shared" ca="1" si="295"/>
        <v>1</v>
      </c>
      <c r="H613" s="8">
        <f t="shared" ca="1" si="296"/>
        <v>0</v>
      </c>
      <c r="I613" s="8">
        <f t="shared" ca="1" si="297"/>
        <v>0</v>
      </c>
      <c r="J613" s="8">
        <f t="shared" ca="1" si="298"/>
        <v>0</v>
      </c>
      <c r="K613" s="8">
        <f t="shared" ca="1" si="299"/>
        <v>0</v>
      </c>
      <c r="L613" s="8">
        <f t="shared" ca="1" si="304"/>
        <v>0</v>
      </c>
      <c r="M613" s="8">
        <f t="shared" ca="1" si="305"/>
        <v>0</v>
      </c>
      <c r="N613" s="8">
        <f t="shared" ca="1" si="306"/>
        <v>0</v>
      </c>
      <c r="O613" s="8">
        <f t="shared" ca="1" si="307"/>
        <v>0</v>
      </c>
      <c r="P613" s="8">
        <f t="shared" ca="1" si="308"/>
        <v>0</v>
      </c>
      <c r="Q613" s="8">
        <f t="shared" ca="1" si="309"/>
        <v>0</v>
      </c>
      <c r="R613" s="8">
        <f t="shared" ca="1" si="310"/>
        <v>0</v>
      </c>
      <c r="S613" s="8">
        <f t="shared" ca="1" si="311"/>
        <v>0</v>
      </c>
      <c r="T613" s="8">
        <f t="shared" ca="1" si="312"/>
        <v>0</v>
      </c>
      <c r="U613" s="8">
        <f t="shared" ca="1" si="313"/>
        <v>0</v>
      </c>
      <c r="V613" s="8">
        <f t="shared" ca="1" si="314"/>
        <v>0</v>
      </c>
      <c r="W613" s="11" t="str">
        <f t="shared" ca="1" si="315"/>
        <v/>
      </c>
      <c r="X613" s="11" t="str">
        <f t="shared" ca="1" si="316"/>
        <v/>
      </c>
      <c r="Y613" s="11" t="str">
        <f t="shared" ca="1" si="317"/>
        <v/>
      </c>
      <c r="Z613" s="11" t="str">
        <f t="shared" ca="1" si="318"/>
        <v/>
      </c>
      <c r="AA613" s="11" t="str">
        <f t="shared" ca="1" si="319"/>
        <v/>
      </c>
      <c r="AB613" s="47">
        <f ca="1">PlayerGameData[[#This Row],[3FGA]]+PlayerGameData[[#This Row],[2FGA]]</f>
        <v>0</v>
      </c>
      <c r="AC613" s="47">
        <f ca="1">PlayerGameData[[#This Row],[OFF REB]]+PlayerGameData[[#This Row],[DEF REB]]</f>
        <v>0</v>
      </c>
      <c r="AD613" s="8">
        <f t="shared" si="300"/>
        <v>26</v>
      </c>
      <c r="AE613" s="8" t="str">
        <f t="shared" ca="1" si="301"/>
        <v>Ben Carpenter, 21 - Burlington 3/4/2023</v>
      </c>
      <c r="AF613" s="8" t="str">
        <f t="shared" ca="1" si="320"/>
        <v/>
      </c>
      <c r="AG613" s="8" t="str">
        <f ca="1">IFERROR(IF(C613=0,"",IF(AND(VLOOKUP(PlayerGameData[[#This Row],[Opponent]],WYTeamInfo,2,FALSE)=Roster!$D$1,VLOOKUP(PlayerGameData[[#This Row],[Opponent]],WYTeamInfo,3,FALSE)=Roster!$D$2),"SR","")),"")</f>
        <v/>
      </c>
      <c r="AH613" s="8" t="str">
        <f>CONCATENATE(Roster!$D$1," ",Roster!$D$5)</f>
        <v>1A BB</v>
      </c>
      <c r="AI613" s="8" t="str">
        <f t="shared" ca="1" si="302"/>
        <v>Upton - Burlington 3/4/2023</v>
      </c>
      <c r="AJ613" s="8">
        <f ca="1">IFERROR(VLOOKUP(PlayerGameData[[#This Row],[School, Opponent,Game'#]],Table3[],2,FALSE),0)</f>
        <v>1</v>
      </c>
      <c r="AK613" s="8">
        <f ca="1">IF(PlayerGameData[[#This Row],[Visible]]=1,1,1000)</f>
        <v>1</v>
      </c>
      <c r="AL613" s="8">
        <f ca="1">RANK(PlayerGameData[[#This Row],[TL PTS]],PlayerGameData[TL PTS],0)+PlayerGameData[[#This Row],[VisibleOrder]]</f>
        <v>185</v>
      </c>
      <c r="AM613" s="8">
        <f ca="1">IF(COUNTIF(PlayerGameData[PointOrder],PlayerGameData[[#This Row],[PointOrder]])&gt;1,RANK(PlayerGameData[[#This Row],[FGA]],PlayerGameData[FGA],0)/100,0)+PlayerGameData[[#This Row],[PointOrder]]</f>
        <v>187.14</v>
      </c>
      <c r="AN613" s="8">
        <f ca="1">RANK(PlayerGameData[[#This Row],[PointTieBreak]],PlayerGameData[PointTieBreak],1)</f>
        <v>216</v>
      </c>
      <c r="AO613" s="8">
        <f ca="1">RANK(PlayerGameData[[#This Row],[REB]],PlayerGameData[REB],0)+PlayerGameData[[#This Row],[VisibleOrder]]</f>
        <v>192</v>
      </c>
      <c r="AP613" s="8">
        <f ca="1">IF(COUNTIF(PlayerGameData[REBOrder],PlayerGameData[[#This Row],[REBOrder]])&gt;1,PlayerGameData[[#This Row],[PointRank]]/100+PlayerGameData[[#This Row],[REBOrder]],PlayerGameData[[#This Row],[REBOrder]])</f>
        <v>194.16</v>
      </c>
      <c r="AQ613" s="8">
        <f ca="1">RANK(PlayerGameData[[#This Row],[REBTieBreak]],PlayerGameData[REBTieBreak],1)</f>
        <v>224</v>
      </c>
      <c r="AR613" s="8">
        <f ca="1">RANK(PlayerGameData[[#This Row],[AST]],PlayerGameData[AST],0)+PlayerGameData[[#This Row],[VisibleOrder]]</f>
        <v>158</v>
      </c>
      <c r="AS613" s="8">
        <f ca="1">IF(COUNTIF(PlayerGameData[ASTOrder],PlayerGameData[[#This Row],[ASTOrder]])&gt;1,PlayerGameData[[#This Row],[PointRank]]/100+PlayerGameData[[#This Row],[ASTOrder]],PlayerGameData[[#This Row],[ASTOrder]])</f>
        <v>160.16</v>
      </c>
      <c r="AT613" s="8">
        <f ca="1">RANK(PlayerGameData[[#This Row],[ASTTieBreak]],PlayerGameData[ASTTieBreak],1)</f>
        <v>221</v>
      </c>
      <c r="AU613" s="8">
        <f ca="1">RANK(PlayerGameData[[#This Row],[STL]],PlayerGameData[STL],0)+PlayerGameData[[#This Row],[VisibleOrder]]</f>
        <v>143</v>
      </c>
      <c r="AV613" s="8">
        <f ca="1">IF(COUNTIF(PlayerGameData[STLOrder],PlayerGameData[[#This Row],[STLOrder]])&gt;1,PlayerGameData[[#This Row],[PointRank]]/100+PlayerGameData[[#This Row],[STLOrder]],PlayerGameData[[#This Row],[STLOrder]])</f>
        <v>145.16</v>
      </c>
      <c r="AW613" s="8">
        <f ca="1">RANK(PlayerGameData[[#This Row],[STLTieBreak]],PlayerGameData[STLTieBreak],1)</f>
        <v>217</v>
      </c>
      <c r="AX613" s="8">
        <f ca="1">RANK(PlayerGameData[[#This Row],[BLK]],PlayerGameData[BLK],0)+PlayerGameData[[#This Row],[VisibleOrder]]</f>
        <v>32</v>
      </c>
      <c r="AY613" s="8">
        <f ca="1">IF(COUNTIF(PlayerGameData[BLKOrder],PlayerGameData[[#This Row],[BLKOrder]])&gt;1,PlayerGameData[[#This Row],[PointRank]]/100+PlayerGameData[[#This Row],[BLKOrder]],PlayerGameData[[#This Row],[BLKOrder]])</f>
        <v>34.159999999999997</v>
      </c>
      <c r="AZ613" s="8">
        <f ca="1">RANK(PlayerGameData[[#This Row],[BLKTieBreak]],PlayerGameData[BLKTieBreak],1)</f>
        <v>216</v>
      </c>
      <c r="BA613" s="11">
        <f ca="1">IFERROR(IF(PlayerGameData[[#This Row],[FGA]]&gt;$AA$5,PlayerGameData[[#This Row],[FG%*]],PlayerGameData[[#This Row],[FG%*]]*-1),-2)</f>
        <v>-2</v>
      </c>
      <c r="BB613" s="8">
        <f ca="1">RANK(PlayerGameData[[#This Row],[EligFG]],PlayerGameData[EligFG],0)+PlayerGameData[[#This Row],[VisibleOrder]]</f>
        <v>215</v>
      </c>
      <c r="BC613" s="8">
        <f ca="1">IF(COUNTIF(PlayerGameData[EligFGOrder],PlayerGameData[[#This Row],[EligFGOrder]])&gt;1,PlayerGameData[[#This Row],[PointRank]]/100+PlayerGameData[[#This Row],[EligFGOrder]],PlayerGameData[[#This Row],[EligFGOrder]])</f>
        <v>217.16</v>
      </c>
      <c r="BD613" s="8">
        <f ca="1">RANK(PlayerGameData[[#This Row],[EligFGTieBreak]],PlayerGameData[EligFGTieBreak],1)</f>
        <v>216</v>
      </c>
      <c r="BE613" s="8" t="str">
        <f>Roster!$D$3</f>
        <v>East</v>
      </c>
      <c r="BF613" s="8" t="str">
        <f>Roster!$D$2</f>
        <v>Northeast</v>
      </c>
      <c r="BG613" s="8" t="str">
        <f>Roster!$D$4</f>
        <v>North</v>
      </c>
      <c r="BH613" s="197">
        <f ca="1">IFERROR(VLOOKUP(CONCATENATE(PlayerGameData[[#This Row],[Opponent]]," ",MONTH(PlayerGameData[[#This Row],[Date]]),"/",DAY(PlayerGameData[[#This Row],[Date]]),"/",YEAR(PlayerGameData[[#This Row],[Date]])),Table35[],2,FALSE),0)</f>
        <v>1</v>
      </c>
      <c r="BI613" s="197">
        <f ca="1">IF(PlayerGameData[[#This Row],[Visible]]=1,1,1000)</f>
        <v>1</v>
      </c>
      <c r="BJ613" s="197" t="e">
        <f ca="1">_xlfn.MAXIFS(TeamGameData[Win],TeamGameData[School, Opponent,Game'#],PlayerGameData[[#This Row],[School, Opponent,Game'#]])</f>
        <v>#NAME?</v>
      </c>
      <c r="BK613" s="197" t="e">
        <f ca="1">_xlfn.MAXIFS(TeamGameData[Loss],TeamGameData[School, Opponent,Game'#],PlayerGameData[[#This Row],[School, Opponent,Game'#]])</f>
        <v>#NAME?</v>
      </c>
    </row>
    <row r="614" spans="1:63" x14ac:dyDescent="0.25">
      <c r="A614" s="8" t="str">
        <f t="shared" ca="1" si="303"/>
        <v>Ethan Schiller, 23</v>
      </c>
      <c r="B614" s="8" t="str">
        <f>Roster!$B$1</f>
        <v>Upton</v>
      </c>
      <c r="C614" s="8" t="str">
        <f t="shared" ca="1" si="291"/>
        <v>Burlington</v>
      </c>
      <c r="D614" s="10">
        <f t="shared" ca="1" si="292"/>
        <v>44989</v>
      </c>
      <c r="E614" s="8">
        <f t="shared" ca="1" si="293"/>
        <v>1</v>
      </c>
      <c r="F614" s="8">
        <f t="shared" ca="1" si="294"/>
        <v>1</v>
      </c>
      <c r="G614" s="8">
        <f t="shared" ca="1" si="295"/>
        <v>20</v>
      </c>
      <c r="H614" s="8">
        <f t="shared" ca="1" si="296"/>
        <v>1</v>
      </c>
      <c r="I614" s="8">
        <f t="shared" ca="1" si="297"/>
        <v>2</v>
      </c>
      <c r="J614" s="8">
        <f t="shared" ca="1" si="298"/>
        <v>3</v>
      </c>
      <c r="K614" s="8">
        <f t="shared" ca="1" si="299"/>
        <v>4</v>
      </c>
      <c r="L614" s="8">
        <f t="shared" ca="1" si="304"/>
        <v>4</v>
      </c>
      <c r="M614" s="8">
        <f t="shared" ca="1" si="305"/>
        <v>5</v>
      </c>
      <c r="N614" s="8">
        <f t="shared" ca="1" si="306"/>
        <v>3</v>
      </c>
      <c r="O614" s="8">
        <f t="shared" ca="1" si="307"/>
        <v>3</v>
      </c>
      <c r="P614" s="8">
        <f t="shared" ca="1" si="308"/>
        <v>1</v>
      </c>
      <c r="Q614" s="8">
        <f t="shared" ca="1" si="309"/>
        <v>0</v>
      </c>
      <c r="R614" s="8">
        <f t="shared" ca="1" si="310"/>
        <v>0</v>
      </c>
      <c r="S614" s="8">
        <f t="shared" ca="1" si="311"/>
        <v>6</v>
      </c>
      <c r="T614" s="8">
        <f t="shared" ca="1" si="312"/>
        <v>3</v>
      </c>
      <c r="U614" s="8">
        <f t="shared" ca="1" si="313"/>
        <v>0</v>
      </c>
      <c r="V614" s="8">
        <f t="shared" ca="1" si="314"/>
        <v>13</v>
      </c>
      <c r="W614" s="11">
        <f t="shared" ca="1" si="315"/>
        <v>0.5</v>
      </c>
      <c r="X614" s="11">
        <f t="shared" ca="1" si="316"/>
        <v>0.75</v>
      </c>
      <c r="Y614" s="11">
        <f t="shared" ca="1" si="317"/>
        <v>0.8</v>
      </c>
      <c r="Z614" s="11">
        <f t="shared" ca="1" si="318"/>
        <v>0.66666666666666663</v>
      </c>
      <c r="AA614" s="11">
        <f t="shared" ca="1" si="319"/>
        <v>0.75</v>
      </c>
      <c r="AB614" s="47">
        <f ca="1">PlayerGameData[[#This Row],[3FGA]]+PlayerGameData[[#This Row],[2FGA]]</f>
        <v>6</v>
      </c>
      <c r="AC614" s="47">
        <f ca="1">PlayerGameData[[#This Row],[OFF REB]]+PlayerGameData[[#This Row],[DEF REB]]</f>
        <v>6</v>
      </c>
      <c r="AD614" s="8">
        <f t="shared" si="300"/>
        <v>26</v>
      </c>
      <c r="AE614" s="8" t="str">
        <f t="shared" ca="1" si="301"/>
        <v>Ethan Schiller, 23 - Burlington 3/4/2023</v>
      </c>
      <c r="AF614" s="8" t="str">
        <f t="shared" ca="1" si="320"/>
        <v/>
      </c>
      <c r="AG614" s="8" t="str">
        <f ca="1">IFERROR(IF(C614=0,"",IF(AND(VLOOKUP(PlayerGameData[[#This Row],[Opponent]],WYTeamInfo,2,FALSE)=Roster!$D$1,VLOOKUP(PlayerGameData[[#This Row],[Opponent]],WYTeamInfo,3,FALSE)=Roster!$D$2),"SR","")),"")</f>
        <v/>
      </c>
      <c r="AH614" s="8" t="str">
        <f>CONCATENATE(Roster!$D$1," ",Roster!$D$5)</f>
        <v>1A BB</v>
      </c>
      <c r="AI614" s="8" t="str">
        <f t="shared" ca="1" si="302"/>
        <v>Upton - Burlington 3/4/2023</v>
      </c>
      <c r="AJ614" s="8">
        <f ca="1">IFERROR(VLOOKUP(PlayerGameData[[#This Row],[School, Opponent,Game'#]],Table3[],2,FALSE),0)</f>
        <v>1</v>
      </c>
      <c r="AK614" s="8">
        <f ca="1">IF(PlayerGameData[[#This Row],[Visible]]=1,1,1000)</f>
        <v>1</v>
      </c>
      <c r="AL614" s="8">
        <f ca="1">RANK(PlayerGameData[[#This Row],[TL PTS]],PlayerGameData[TL PTS],0)+PlayerGameData[[#This Row],[VisibleOrder]]</f>
        <v>45</v>
      </c>
      <c r="AM614" s="8">
        <f ca="1">IF(COUNTIF(PlayerGameData[PointOrder],PlayerGameData[[#This Row],[PointOrder]])&gt;1,RANK(PlayerGameData[[#This Row],[FGA]],PlayerGameData[FGA],0)/100,0)+PlayerGameData[[#This Row],[PointOrder]]</f>
        <v>46.08</v>
      </c>
      <c r="AN614" s="8">
        <f ca="1">RANK(PlayerGameData[[#This Row],[PointTieBreak]],PlayerGameData[PointTieBreak],1)</f>
        <v>49</v>
      </c>
      <c r="AO614" s="8">
        <f ca="1">RANK(PlayerGameData[[#This Row],[REB]],PlayerGameData[REB],0)+PlayerGameData[[#This Row],[VisibleOrder]]</f>
        <v>38</v>
      </c>
      <c r="AP614" s="8">
        <f ca="1">IF(COUNTIF(PlayerGameData[REBOrder],PlayerGameData[[#This Row],[REBOrder]])&gt;1,PlayerGameData[[#This Row],[PointRank]]/100+PlayerGameData[[#This Row],[REBOrder]],PlayerGameData[[#This Row],[REBOrder]])</f>
        <v>38.49</v>
      </c>
      <c r="AQ614" s="8">
        <f ca="1">RANK(PlayerGameData[[#This Row],[REBTieBreak]],PlayerGameData[REBTieBreak],1)</f>
        <v>41</v>
      </c>
      <c r="AR614" s="8">
        <f ca="1">RANK(PlayerGameData[[#This Row],[AST]],PlayerGameData[AST],0)+PlayerGameData[[#This Row],[VisibleOrder]]</f>
        <v>115</v>
      </c>
      <c r="AS614" s="8">
        <f ca="1">IF(COUNTIF(PlayerGameData[ASTOrder],PlayerGameData[[#This Row],[ASTOrder]])&gt;1,PlayerGameData[[#This Row],[PointRank]]/100+PlayerGameData[[#This Row],[ASTOrder]],PlayerGameData[[#This Row],[ASTOrder]])</f>
        <v>115.49</v>
      </c>
      <c r="AT614" s="8">
        <f ca="1">RANK(PlayerGameData[[#This Row],[ASTTieBreak]],PlayerGameData[ASTTieBreak],1)</f>
        <v>120</v>
      </c>
      <c r="AU614" s="8">
        <f ca="1">RANK(PlayerGameData[[#This Row],[STL]],PlayerGameData[STL],0)+PlayerGameData[[#This Row],[VisibleOrder]]</f>
        <v>143</v>
      </c>
      <c r="AV614" s="8">
        <f ca="1">IF(COUNTIF(PlayerGameData[STLOrder],PlayerGameData[[#This Row],[STLOrder]])&gt;1,PlayerGameData[[#This Row],[PointRank]]/100+PlayerGameData[[#This Row],[STLOrder]],PlayerGameData[[#This Row],[STLOrder]])</f>
        <v>143.49</v>
      </c>
      <c r="AW614" s="8">
        <f ca="1">RANK(PlayerGameData[[#This Row],[STLTieBreak]],PlayerGameData[STLTieBreak],1)</f>
        <v>151</v>
      </c>
      <c r="AX614" s="8">
        <f ca="1">RANK(PlayerGameData[[#This Row],[BLK]],PlayerGameData[BLK],0)+PlayerGameData[[#This Row],[VisibleOrder]]</f>
        <v>32</v>
      </c>
      <c r="AY614" s="8">
        <f ca="1">IF(COUNTIF(PlayerGameData[BLKOrder],PlayerGameData[[#This Row],[BLKOrder]])&gt;1,PlayerGameData[[#This Row],[PointRank]]/100+PlayerGameData[[#This Row],[BLKOrder]],PlayerGameData[[#This Row],[BLKOrder]])</f>
        <v>32.49</v>
      </c>
      <c r="AZ614" s="8">
        <f ca="1">RANK(PlayerGameData[[#This Row],[BLKTieBreak]],PlayerGameData[BLKTieBreak],1)</f>
        <v>70</v>
      </c>
      <c r="BA614" s="11">
        <f ca="1">IFERROR(IF(PlayerGameData[[#This Row],[FGA]]&gt;$AA$5,PlayerGameData[[#This Row],[FG%*]],PlayerGameData[[#This Row],[FG%*]]*-1),-2)</f>
        <v>0.66666666666666663</v>
      </c>
      <c r="BB614" s="8">
        <f ca="1">RANK(PlayerGameData[[#This Row],[EligFG]],PlayerGameData[EligFG],0)+PlayerGameData[[#This Row],[VisibleOrder]]</f>
        <v>13</v>
      </c>
      <c r="BC614" s="8">
        <f ca="1">IF(COUNTIF(PlayerGameData[EligFGOrder],PlayerGameData[[#This Row],[EligFGOrder]])&gt;1,PlayerGameData[[#This Row],[PointRank]]/100+PlayerGameData[[#This Row],[EligFGOrder]],PlayerGameData[[#This Row],[EligFGOrder]])</f>
        <v>13.49</v>
      </c>
      <c r="BD614" s="8">
        <f ca="1">RANK(PlayerGameData[[#This Row],[EligFGTieBreak]],PlayerGameData[EligFGTieBreak],1)</f>
        <v>13</v>
      </c>
      <c r="BE614" s="8" t="str">
        <f>Roster!$D$3</f>
        <v>East</v>
      </c>
      <c r="BF614" s="8" t="str">
        <f>Roster!$D$2</f>
        <v>Northeast</v>
      </c>
      <c r="BG614" s="8" t="str">
        <f>Roster!$D$4</f>
        <v>North</v>
      </c>
      <c r="BH614" s="197">
        <f ca="1">IFERROR(VLOOKUP(CONCATENATE(PlayerGameData[[#This Row],[Opponent]]," ",MONTH(PlayerGameData[[#This Row],[Date]]),"/",DAY(PlayerGameData[[#This Row],[Date]]),"/",YEAR(PlayerGameData[[#This Row],[Date]])),Table35[],2,FALSE),0)</f>
        <v>1</v>
      </c>
      <c r="BI614" s="197">
        <f ca="1">IF(PlayerGameData[[#This Row],[Visible]]=1,1,1000)</f>
        <v>1</v>
      </c>
      <c r="BJ614" s="197" t="e">
        <f ca="1">_xlfn.MAXIFS(TeamGameData[Win],TeamGameData[School, Opponent,Game'#],PlayerGameData[[#This Row],[School, Opponent,Game'#]])</f>
        <v>#NAME?</v>
      </c>
      <c r="BK614" s="197" t="e">
        <f ca="1">_xlfn.MAXIFS(TeamGameData[Loss],TeamGameData[School, Opponent,Game'#],PlayerGameData[[#This Row],[School, Opponent,Game'#]])</f>
        <v>#NAME?</v>
      </c>
    </row>
    <row r="615" spans="1:63" x14ac:dyDescent="0.25">
      <c r="A615" s="8" t="str">
        <f t="shared" ca="1" si="303"/>
        <v>Bridger Bruce, 25</v>
      </c>
      <c r="B615" s="8" t="str">
        <f>Roster!$B$1</f>
        <v>Upton</v>
      </c>
      <c r="C615" s="8" t="str">
        <f t="shared" ca="1" si="291"/>
        <v>Burlington</v>
      </c>
      <c r="D615" s="10">
        <f t="shared" ca="1" si="292"/>
        <v>44989</v>
      </c>
      <c r="E615" s="8">
        <f t="shared" ca="1" si="293"/>
        <v>1</v>
      </c>
      <c r="F615" s="8">
        <f t="shared" ca="1" si="294"/>
        <v>0</v>
      </c>
      <c r="G615" s="8">
        <f t="shared" ca="1" si="295"/>
        <v>16</v>
      </c>
      <c r="H615" s="8">
        <f t="shared" ca="1" si="296"/>
        <v>1</v>
      </c>
      <c r="I615" s="8">
        <f t="shared" ca="1" si="297"/>
        <v>2</v>
      </c>
      <c r="J615" s="8">
        <f t="shared" ca="1" si="298"/>
        <v>0</v>
      </c>
      <c r="K615" s="8">
        <f t="shared" ca="1" si="299"/>
        <v>0</v>
      </c>
      <c r="L615" s="8">
        <f t="shared" ca="1" si="304"/>
        <v>0</v>
      </c>
      <c r="M615" s="8">
        <f t="shared" ca="1" si="305"/>
        <v>0</v>
      </c>
      <c r="N615" s="8">
        <f t="shared" ca="1" si="306"/>
        <v>0</v>
      </c>
      <c r="O615" s="8">
        <f t="shared" ca="1" si="307"/>
        <v>2</v>
      </c>
      <c r="P615" s="8">
        <f t="shared" ca="1" si="308"/>
        <v>0</v>
      </c>
      <c r="Q615" s="8">
        <f t="shared" ca="1" si="309"/>
        <v>0</v>
      </c>
      <c r="R615" s="8">
        <f t="shared" ca="1" si="310"/>
        <v>0</v>
      </c>
      <c r="S615" s="8">
        <f t="shared" ca="1" si="311"/>
        <v>1</v>
      </c>
      <c r="T615" s="8">
        <f t="shared" ca="1" si="312"/>
        <v>1</v>
      </c>
      <c r="U615" s="8">
        <f t="shared" ca="1" si="313"/>
        <v>0</v>
      </c>
      <c r="V615" s="8">
        <f t="shared" ca="1" si="314"/>
        <v>3</v>
      </c>
      <c r="W615" s="11">
        <f t="shared" ca="1" si="315"/>
        <v>0.5</v>
      </c>
      <c r="X615" s="11" t="str">
        <f t="shared" ca="1" si="316"/>
        <v/>
      </c>
      <c r="Y615" s="11" t="str">
        <f t="shared" ca="1" si="317"/>
        <v/>
      </c>
      <c r="Z615" s="11">
        <f t="shared" ca="1" si="318"/>
        <v>0.5</v>
      </c>
      <c r="AA615" s="11">
        <f t="shared" ca="1" si="319"/>
        <v>0.75</v>
      </c>
      <c r="AB615" s="47">
        <f ca="1">PlayerGameData[[#This Row],[3FGA]]+PlayerGameData[[#This Row],[2FGA]]</f>
        <v>2</v>
      </c>
      <c r="AC615" s="47">
        <f ca="1">PlayerGameData[[#This Row],[OFF REB]]+PlayerGameData[[#This Row],[DEF REB]]</f>
        <v>2</v>
      </c>
      <c r="AD615" s="8">
        <f t="shared" si="300"/>
        <v>26</v>
      </c>
      <c r="AE615" s="8" t="str">
        <f t="shared" ca="1" si="301"/>
        <v>Bridger Bruce, 25 - Burlington 3/4/2023</v>
      </c>
      <c r="AF615" s="8" t="str">
        <f t="shared" ca="1" si="320"/>
        <v/>
      </c>
      <c r="AG615" s="8" t="str">
        <f ca="1">IFERROR(IF(C615=0,"",IF(AND(VLOOKUP(PlayerGameData[[#This Row],[Opponent]],WYTeamInfo,2,FALSE)=Roster!$D$1,VLOOKUP(PlayerGameData[[#This Row],[Opponent]],WYTeamInfo,3,FALSE)=Roster!$D$2),"SR","")),"")</f>
        <v/>
      </c>
      <c r="AH615" s="8" t="str">
        <f>CONCATENATE(Roster!$D$1," ",Roster!$D$5)</f>
        <v>1A BB</v>
      </c>
      <c r="AI615" s="8" t="str">
        <f t="shared" ca="1" si="302"/>
        <v>Upton - Burlington 3/4/2023</v>
      </c>
      <c r="AJ615" s="8">
        <f ca="1">IFERROR(VLOOKUP(PlayerGameData[[#This Row],[School, Opponent,Game'#]],Table3[],2,FALSE),0)</f>
        <v>1</v>
      </c>
      <c r="AK615" s="8">
        <f ca="1">IF(PlayerGameData[[#This Row],[Visible]]=1,1,1000)</f>
        <v>1</v>
      </c>
      <c r="AL615" s="8">
        <f ca="1">RANK(PlayerGameData[[#This Row],[TL PTS]],PlayerGameData[TL PTS],0)+PlayerGameData[[#This Row],[VisibleOrder]]</f>
        <v>135</v>
      </c>
      <c r="AM615" s="8">
        <f ca="1">IF(COUNTIF(PlayerGameData[PointOrder],PlayerGameData[[#This Row],[PointOrder]])&gt;1,RANK(PlayerGameData[[#This Row],[FGA]],PlayerGameData[FGA],0)/100,0)+PlayerGameData[[#This Row],[PointOrder]]</f>
        <v>136.61000000000001</v>
      </c>
      <c r="AN615" s="8">
        <f ca="1">RANK(PlayerGameData[[#This Row],[PointTieBreak]],PlayerGameData[PointTieBreak],1)</f>
        <v>144</v>
      </c>
      <c r="AO615" s="8">
        <f ca="1">RANK(PlayerGameData[[#This Row],[REB]],PlayerGameData[REB],0)+PlayerGameData[[#This Row],[VisibleOrder]]</f>
        <v>137</v>
      </c>
      <c r="AP615" s="8">
        <f ca="1">IF(COUNTIF(PlayerGameData[REBOrder],PlayerGameData[[#This Row],[REBOrder]])&gt;1,PlayerGameData[[#This Row],[PointRank]]/100+PlayerGameData[[#This Row],[REBOrder]],PlayerGameData[[#This Row],[REBOrder]])</f>
        <v>138.44</v>
      </c>
      <c r="AQ615" s="8">
        <f ca="1">RANK(PlayerGameData[[#This Row],[REBTieBreak]],PlayerGameData[REBTieBreak],1)</f>
        <v>149</v>
      </c>
      <c r="AR615" s="8">
        <f ca="1">RANK(PlayerGameData[[#This Row],[AST]],PlayerGameData[AST],0)+PlayerGameData[[#This Row],[VisibleOrder]]</f>
        <v>158</v>
      </c>
      <c r="AS615" s="8">
        <f ca="1">IF(COUNTIF(PlayerGameData[ASTOrder],PlayerGameData[[#This Row],[ASTOrder]])&gt;1,PlayerGameData[[#This Row],[PointRank]]/100+PlayerGameData[[#This Row],[ASTOrder]],PlayerGameData[[#This Row],[ASTOrder]])</f>
        <v>159.44</v>
      </c>
      <c r="AT615" s="8">
        <f ca="1">RANK(PlayerGameData[[#This Row],[ASTTieBreak]],PlayerGameData[ASTTieBreak],1)</f>
        <v>179</v>
      </c>
      <c r="AU615" s="8">
        <f ca="1">RANK(PlayerGameData[[#This Row],[STL]],PlayerGameData[STL],0)+PlayerGameData[[#This Row],[VisibleOrder]]</f>
        <v>143</v>
      </c>
      <c r="AV615" s="8">
        <f ca="1">IF(COUNTIF(PlayerGameData[STLOrder],PlayerGameData[[#This Row],[STLOrder]])&gt;1,PlayerGameData[[#This Row],[PointRank]]/100+PlayerGameData[[#This Row],[STLOrder]],PlayerGameData[[#This Row],[STLOrder]])</f>
        <v>144.44</v>
      </c>
      <c r="AW615" s="8">
        <f ca="1">RANK(PlayerGameData[[#This Row],[STLTieBreak]],PlayerGameData[STLTieBreak],1)</f>
        <v>171</v>
      </c>
      <c r="AX615" s="8">
        <f ca="1">RANK(PlayerGameData[[#This Row],[BLK]],PlayerGameData[BLK],0)+PlayerGameData[[#This Row],[VisibleOrder]]</f>
        <v>32</v>
      </c>
      <c r="AY615" s="8">
        <f ca="1">IF(COUNTIF(PlayerGameData[BLKOrder],PlayerGameData[[#This Row],[BLKOrder]])&gt;1,PlayerGameData[[#This Row],[PointRank]]/100+PlayerGameData[[#This Row],[BLKOrder]],PlayerGameData[[#This Row],[BLKOrder]])</f>
        <v>33.44</v>
      </c>
      <c r="AZ615" s="8">
        <f ca="1">RANK(PlayerGameData[[#This Row],[BLKTieBreak]],PlayerGameData[BLKTieBreak],1)</f>
        <v>148</v>
      </c>
      <c r="BA615" s="11">
        <f ca="1">IFERROR(IF(PlayerGameData[[#This Row],[FGA]]&gt;$AA$5,PlayerGameData[[#This Row],[FG%*]],PlayerGameData[[#This Row],[FG%*]]*-1),-2)</f>
        <v>-0.5</v>
      </c>
      <c r="BB615" s="8">
        <f ca="1">RANK(PlayerGameData[[#This Row],[EligFG]],PlayerGameData[EligFG],0)+PlayerGameData[[#This Row],[VisibleOrder]]</f>
        <v>182</v>
      </c>
      <c r="BC615" s="8">
        <f ca="1">IF(COUNTIF(PlayerGameData[EligFGOrder],PlayerGameData[[#This Row],[EligFGOrder]])&gt;1,PlayerGameData[[#This Row],[PointRank]]/100+PlayerGameData[[#This Row],[EligFGOrder]],PlayerGameData[[#This Row],[EligFGOrder]])</f>
        <v>183.44</v>
      </c>
      <c r="BD615" s="8">
        <f ca="1">RANK(PlayerGameData[[#This Row],[EligFGTieBreak]],PlayerGameData[EligFGTieBreak],1)</f>
        <v>187</v>
      </c>
      <c r="BE615" s="8" t="str">
        <f>Roster!$D$3</f>
        <v>East</v>
      </c>
      <c r="BF615" s="8" t="str">
        <f>Roster!$D$2</f>
        <v>Northeast</v>
      </c>
      <c r="BG615" s="8" t="str">
        <f>Roster!$D$4</f>
        <v>North</v>
      </c>
      <c r="BH615" s="197">
        <f ca="1">IFERROR(VLOOKUP(CONCATENATE(PlayerGameData[[#This Row],[Opponent]]," ",MONTH(PlayerGameData[[#This Row],[Date]]),"/",DAY(PlayerGameData[[#This Row],[Date]]),"/",YEAR(PlayerGameData[[#This Row],[Date]])),Table35[],2,FALSE),0)</f>
        <v>1</v>
      </c>
      <c r="BI615" s="197">
        <f ca="1">IF(PlayerGameData[[#This Row],[Visible]]=1,1,1000)</f>
        <v>1</v>
      </c>
      <c r="BJ615" s="197" t="e">
        <f ca="1">_xlfn.MAXIFS(TeamGameData[Win],TeamGameData[School, Opponent,Game'#],PlayerGameData[[#This Row],[School, Opponent,Game'#]])</f>
        <v>#NAME?</v>
      </c>
      <c r="BK615" s="197" t="e">
        <f ca="1">_xlfn.MAXIFS(TeamGameData[Loss],TeamGameData[School, Opponent,Game'#],PlayerGameData[[#This Row],[School, Opponent,Game'#]])</f>
        <v>#NAME?</v>
      </c>
    </row>
    <row r="616" spans="1:63" x14ac:dyDescent="0.25">
      <c r="A616" s="8" t="str">
        <f t="shared" ca="1" si="303"/>
        <v>Kailer Duarte, 31</v>
      </c>
      <c r="B616" s="8" t="str">
        <f>Roster!$B$1</f>
        <v>Upton</v>
      </c>
      <c r="C616" s="8" t="str">
        <f t="shared" ca="1" si="291"/>
        <v>Burlington</v>
      </c>
      <c r="D616" s="10">
        <f t="shared" ca="1" si="292"/>
        <v>44989</v>
      </c>
      <c r="E616" s="8">
        <f t="shared" ca="1" si="293"/>
        <v>1</v>
      </c>
      <c r="F616" s="8">
        <f t="shared" ca="1" si="294"/>
        <v>1</v>
      </c>
      <c r="G616" s="8">
        <f t="shared" ca="1" si="295"/>
        <v>25</v>
      </c>
      <c r="H616" s="8">
        <f t="shared" ca="1" si="296"/>
        <v>1</v>
      </c>
      <c r="I616" s="8">
        <f t="shared" ca="1" si="297"/>
        <v>2</v>
      </c>
      <c r="J616" s="8">
        <f t="shared" ca="1" si="298"/>
        <v>1</v>
      </c>
      <c r="K616" s="8">
        <f t="shared" ca="1" si="299"/>
        <v>3</v>
      </c>
      <c r="L616" s="8">
        <f t="shared" ca="1" si="304"/>
        <v>1</v>
      </c>
      <c r="M616" s="8">
        <f t="shared" ca="1" si="305"/>
        <v>2</v>
      </c>
      <c r="N616" s="8">
        <f t="shared" ca="1" si="306"/>
        <v>1</v>
      </c>
      <c r="O616" s="8">
        <f t="shared" ca="1" si="307"/>
        <v>3</v>
      </c>
      <c r="P616" s="8">
        <f t="shared" ca="1" si="308"/>
        <v>2</v>
      </c>
      <c r="Q616" s="8">
        <f t="shared" ca="1" si="309"/>
        <v>1</v>
      </c>
      <c r="R616" s="8">
        <f t="shared" ca="1" si="310"/>
        <v>0</v>
      </c>
      <c r="S616" s="8">
        <f t="shared" ca="1" si="311"/>
        <v>2</v>
      </c>
      <c r="T616" s="8">
        <f t="shared" ca="1" si="312"/>
        <v>2</v>
      </c>
      <c r="U616" s="8">
        <f t="shared" ca="1" si="313"/>
        <v>0</v>
      </c>
      <c r="V616" s="8">
        <f t="shared" ca="1" si="314"/>
        <v>6</v>
      </c>
      <c r="W616" s="11">
        <f t="shared" ca="1" si="315"/>
        <v>0.5</v>
      </c>
      <c r="X616" s="11">
        <f t="shared" ca="1" si="316"/>
        <v>0.33333333333333331</v>
      </c>
      <c r="Y616" s="11">
        <f t="shared" ca="1" si="317"/>
        <v>0.5</v>
      </c>
      <c r="Z616" s="11">
        <f t="shared" ca="1" si="318"/>
        <v>0.4</v>
      </c>
      <c r="AA616" s="11">
        <f t="shared" ca="1" si="319"/>
        <v>0.5</v>
      </c>
      <c r="AB616" s="47">
        <f ca="1">PlayerGameData[[#This Row],[3FGA]]+PlayerGameData[[#This Row],[2FGA]]</f>
        <v>5</v>
      </c>
      <c r="AC616" s="47">
        <f ca="1">PlayerGameData[[#This Row],[OFF REB]]+PlayerGameData[[#This Row],[DEF REB]]</f>
        <v>4</v>
      </c>
      <c r="AD616" s="8">
        <f t="shared" si="300"/>
        <v>26</v>
      </c>
      <c r="AE616" s="8" t="str">
        <f t="shared" ca="1" si="301"/>
        <v>Kailer Duarte, 31 - Burlington 3/4/2023</v>
      </c>
      <c r="AF616" s="8" t="str">
        <f t="shared" ca="1" si="320"/>
        <v/>
      </c>
      <c r="AG616" s="8" t="str">
        <f ca="1">IFERROR(IF(C616=0,"",IF(AND(VLOOKUP(PlayerGameData[[#This Row],[Opponent]],WYTeamInfo,2,FALSE)=Roster!$D$1,VLOOKUP(PlayerGameData[[#This Row],[Opponent]],WYTeamInfo,3,FALSE)=Roster!$D$2),"SR","")),"")</f>
        <v/>
      </c>
      <c r="AH616" s="8" t="str">
        <f>CONCATENATE(Roster!$D$1," ",Roster!$D$5)</f>
        <v>1A BB</v>
      </c>
      <c r="AI616" s="8" t="str">
        <f t="shared" ca="1" si="302"/>
        <v>Upton - Burlington 3/4/2023</v>
      </c>
      <c r="AJ616" s="8">
        <f ca="1">IFERROR(VLOOKUP(PlayerGameData[[#This Row],[School, Opponent,Game'#]],Table3[],2,FALSE),0)</f>
        <v>1</v>
      </c>
      <c r="AK616" s="8">
        <f ca="1">IF(PlayerGameData[[#This Row],[Visible]]=1,1,1000)</f>
        <v>1</v>
      </c>
      <c r="AL616" s="8">
        <f ca="1">RANK(PlayerGameData[[#This Row],[TL PTS]],PlayerGameData[TL PTS],0)+PlayerGameData[[#This Row],[VisibleOrder]]</f>
        <v>102</v>
      </c>
      <c r="AM616" s="8">
        <f ca="1">IF(COUNTIF(PlayerGameData[PointOrder],PlayerGameData[[#This Row],[PointOrder]])&gt;1,RANK(PlayerGameData[[#This Row],[FGA]],PlayerGameData[FGA],0)/100,0)+PlayerGameData[[#This Row],[PointOrder]]</f>
        <v>103.19</v>
      </c>
      <c r="AN616" s="8">
        <f ca="1">RANK(PlayerGameData[[#This Row],[PointTieBreak]],PlayerGameData[PointTieBreak],1)</f>
        <v>103</v>
      </c>
      <c r="AO616" s="8">
        <f ca="1">RANK(PlayerGameData[[#This Row],[REB]],PlayerGameData[REB],0)+PlayerGameData[[#This Row],[VisibleOrder]]</f>
        <v>79</v>
      </c>
      <c r="AP616" s="8">
        <f ca="1">IF(COUNTIF(PlayerGameData[REBOrder],PlayerGameData[[#This Row],[REBOrder]])&gt;1,PlayerGameData[[#This Row],[PointRank]]/100+PlayerGameData[[#This Row],[REBOrder]],PlayerGameData[[#This Row],[REBOrder]])</f>
        <v>80.03</v>
      </c>
      <c r="AQ616" s="8">
        <f ca="1">RANK(PlayerGameData[[#This Row],[REBTieBreak]],PlayerGameData[REBTieBreak],1)</f>
        <v>93</v>
      </c>
      <c r="AR616" s="8">
        <f ca="1">RANK(PlayerGameData[[#This Row],[AST]],PlayerGameData[AST],0)+PlayerGameData[[#This Row],[VisibleOrder]]</f>
        <v>69</v>
      </c>
      <c r="AS616" s="8">
        <f ca="1">IF(COUNTIF(PlayerGameData[ASTOrder],PlayerGameData[[#This Row],[ASTOrder]])&gt;1,PlayerGameData[[#This Row],[PointRank]]/100+PlayerGameData[[#This Row],[ASTOrder]],PlayerGameData[[#This Row],[ASTOrder]])</f>
        <v>70.03</v>
      </c>
      <c r="AT616" s="8">
        <f ca="1">RANK(PlayerGameData[[#This Row],[ASTTieBreak]],PlayerGameData[ASTTieBreak],1)</f>
        <v>95</v>
      </c>
      <c r="AU616" s="8">
        <f ca="1">RANK(PlayerGameData[[#This Row],[STL]],PlayerGameData[STL],0)+PlayerGameData[[#This Row],[VisibleOrder]]</f>
        <v>84</v>
      </c>
      <c r="AV616" s="8">
        <f ca="1">IF(COUNTIF(PlayerGameData[STLOrder],PlayerGameData[[#This Row],[STLOrder]])&gt;1,PlayerGameData[[#This Row],[PointRank]]/100+PlayerGameData[[#This Row],[STLOrder]],PlayerGameData[[#This Row],[STLOrder]])</f>
        <v>85.03</v>
      </c>
      <c r="AW616" s="8">
        <f ca="1">RANK(PlayerGameData[[#This Row],[STLTieBreak]],PlayerGameData[STLTieBreak],1)</f>
        <v>107</v>
      </c>
      <c r="AX616" s="8">
        <f ca="1">RANK(PlayerGameData[[#This Row],[BLK]],PlayerGameData[BLK],0)+PlayerGameData[[#This Row],[VisibleOrder]]</f>
        <v>32</v>
      </c>
      <c r="AY616" s="8">
        <f ca="1">IF(COUNTIF(PlayerGameData[BLKOrder],PlayerGameData[[#This Row],[BLKOrder]])&gt;1,PlayerGameData[[#This Row],[PointRank]]/100+PlayerGameData[[#This Row],[BLKOrder]],PlayerGameData[[#This Row],[BLKOrder]])</f>
        <v>33.03</v>
      </c>
      <c r="AZ616" s="8">
        <f ca="1">RANK(PlayerGameData[[#This Row],[BLKTieBreak]],PlayerGameData[BLKTieBreak],1)</f>
        <v>110</v>
      </c>
      <c r="BA616" s="11">
        <f ca="1">IFERROR(IF(PlayerGameData[[#This Row],[FGA]]&gt;$AA$5,PlayerGameData[[#This Row],[FG%*]],PlayerGameData[[#This Row],[FG%*]]*-1),-2)</f>
        <v>-0.4</v>
      </c>
      <c r="BB616" s="8">
        <f ca="1">RANK(PlayerGameData[[#This Row],[EligFG]],PlayerGameData[EligFG],0)+PlayerGameData[[#This Row],[VisibleOrder]]</f>
        <v>176</v>
      </c>
      <c r="BC616" s="8">
        <f ca="1">IF(COUNTIF(PlayerGameData[EligFGOrder],PlayerGameData[[#This Row],[EligFGOrder]])&gt;1,PlayerGameData[[#This Row],[PointRank]]/100+PlayerGameData[[#This Row],[EligFGOrder]],PlayerGameData[[#This Row],[EligFGOrder]])</f>
        <v>177.03</v>
      </c>
      <c r="BD616" s="8">
        <f ca="1">RANK(PlayerGameData[[#This Row],[EligFGTieBreak]],PlayerGameData[EligFGTieBreak],1)</f>
        <v>176</v>
      </c>
      <c r="BE616" s="8" t="str">
        <f>Roster!$D$3</f>
        <v>East</v>
      </c>
      <c r="BF616" s="8" t="str">
        <f>Roster!$D$2</f>
        <v>Northeast</v>
      </c>
      <c r="BG616" s="8" t="str">
        <f>Roster!$D$4</f>
        <v>North</v>
      </c>
      <c r="BH616" s="197">
        <f ca="1">IFERROR(VLOOKUP(CONCATENATE(PlayerGameData[[#This Row],[Opponent]]," ",MONTH(PlayerGameData[[#This Row],[Date]]),"/",DAY(PlayerGameData[[#This Row],[Date]]),"/",YEAR(PlayerGameData[[#This Row],[Date]])),Table35[],2,FALSE),0)</f>
        <v>1</v>
      </c>
      <c r="BI616" s="197">
        <f ca="1">IF(PlayerGameData[[#This Row],[Visible]]=1,1,1000)</f>
        <v>1</v>
      </c>
      <c r="BJ616" s="197" t="e">
        <f ca="1">_xlfn.MAXIFS(TeamGameData[Win],TeamGameData[School, Opponent,Game'#],PlayerGameData[[#This Row],[School, Opponent,Game'#]])</f>
        <v>#NAME?</v>
      </c>
      <c r="BK616" s="197" t="e">
        <f ca="1">_xlfn.MAXIFS(TeamGameData[Loss],TeamGameData[School, Opponent,Game'#],PlayerGameData[[#This Row],[School, Opponent,Game'#]])</f>
        <v>#NAME?</v>
      </c>
    </row>
    <row r="617" spans="1:63" x14ac:dyDescent="0.25">
      <c r="A617" s="8" t="str">
        <f t="shared" ca="1" si="303"/>
        <v>Matt Stirmel, 33</v>
      </c>
      <c r="B617" s="8" t="str">
        <f>Roster!$B$1</f>
        <v>Upton</v>
      </c>
      <c r="C617" s="8" t="str">
        <f t="shared" ca="1" si="291"/>
        <v>Burlington</v>
      </c>
      <c r="D617" s="10">
        <f t="shared" ca="1" si="292"/>
        <v>44989</v>
      </c>
      <c r="E617" s="8">
        <f t="shared" ca="1" si="293"/>
        <v>1</v>
      </c>
      <c r="F617" s="8">
        <f t="shared" ca="1" si="294"/>
        <v>0</v>
      </c>
      <c r="G617" s="8">
        <f t="shared" ca="1" si="295"/>
        <v>1</v>
      </c>
      <c r="H617" s="8">
        <f t="shared" ca="1" si="296"/>
        <v>0</v>
      </c>
      <c r="I617" s="8">
        <f t="shared" ca="1" si="297"/>
        <v>0</v>
      </c>
      <c r="J617" s="8">
        <f t="shared" ca="1" si="298"/>
        <v>0</v>
      </c>
      <c r="K617" s="8">
        <f t="shared" ca="1" si="299"/>
        <v>0</v>
      </c>
      <c r="L617" s="8">
        <f t="shared" ca="1" si="304"/>
        <v>0</v>
      </c>
      <c r="M617" s="8">
        <f t="shared" ca="1" si="305"/>
        <v>0</v>
      </c>
      <c r="N617" s="8">
        <f t="shared" ca="1" si="306"/>
        <v>0</v>
      </c>
      <c r="O617" s="8">
        <f t="shared" ca="1" si="307"/>
        <v>0</v>
      </c>
      <c r="P617" s="8">
        <f t="shared" ca="1" si="308"/>
        <v>0</v>
      </c>
      <c r="Q617" s="8">
        <f t="shared" ca="1" si="309"/>
        <v>0</v>
      </c>
      <c r="R617" s="8">
        <f t="shared" ca="1" si="310"/>
        <v>0</v>
      </c>
      <c r="S617" s="8">
        <f t="shared" ca="1" si="311"/>
        <v>0</v>
      </c>
      <c r="T617" s="8">
        <f t="shared" ca="1" si="312"/>
        <v>0</v>
      </c>
      <c r="U617" s="8">
        <f t="shared" ca="1" si="313"/>
        <v>0</v>
      </c>
      <c r="V617" s="8">
        <f t="shared" ca="1" si="314"/>
        <v>0</v>
      </c>
      <c r="W617" s="11" t="str">
        <f t="shared" ca="1" si="315"/>
        <v/>
      </c>
      <c r="X617" s="11" t="str">
        <f t="shared" ca="1" si="316"/>
        <v/>
      </c>
      <c r="Y617" s="11" t="str">
        <f t="shared" ca="1" si="317"/>
        <v/>
      </c>
      <c r="Z617" s="11" t="str">
        <f t="shared" ca="1" si="318"/>
        <v/>
      </c>
      <c r="AA617" s="11" t="str">
        <f t="shared" ca="1" si="319"/>
        <v/>
      </c>
      <c r="AB617" s="47">
        <f ca="1">PlayerGameData[[#This Row],[3FGA]]+PlayerGameData[[#This Row],[2FGA]]</f>
        <v>0</v>
      </c>
      <c r="AC617" s="47">
        <f ca="1">PlayerGameData[[#This Row],[OFF REB]]+PlayerGameData[[#This Row],[DEF REB]]</f>
        <v>0</v>
      </c>
      <c r="AD617" s="8">
        <f t="shared" si="300"/>
        <v>26</v>
      </c>
      <c r="AE617" s="8" t="str">
        <f t="shared" ca="1" si="301"/>
        <v>Matt Stirmel, 33 - Burlington 3/4/2023</v>
      </c>
      <c r="AF617" s="8" t="str">
        <f t="shared" ca="1" si="320"/>
        <v/>
      </c>
      <c r="AG617" s="8" t="str">
        <f ca="1">IFERROR(IF(C617=0,"",IF(AND(VLOOKUP(PlayerGameData[[#This Row],[Opponent]],WYTeamInfo,2,FALSE)=Roster!$D$1,VLOOKUP(PlayerGameData[[#This Row],[Opponent]],WYTeamInfo,3,FALSE)=Roster!$D$2),"SR","")),"")</f>
        <v/>
      </c>
      <c r="AH617" s="8" t="str">
        <f>CONCATENATE(Roster!$D$1," ",Roster!$D$5)</f>
        <v>1A BB</v>
      </c>
      <c r="AI617" s="8" t="str">
        <f t="shared" ca="1" si="302"/>
        <v>Upton - Burlington 3/4/2023</v>
      </c>
      <c r="AJ617" s="8">
        <f ca="1">IFERROR(VLOOKUP(PlayerGameData[[#This Row],[School, Opponent,Game'#]],Table3[],2,FALSE),0)</f>
        <v>1</v>
      </c>
      <c r="AK617" s="8">
        <f ca="1">IF(PlayerGameData[[#This Row],[Visible]]=1,1,1000)</f>
        <v>1</v>
      </c>
      <c r="AL617" s="8">
        <f ca="1">RANK(PlayerGameData[[#This Row],[TL PTS]],PlayerGameData[TL PTS],0)+PlayerGameData[[#This Row],[VisibleOrder]]</f>
        <v>185</v>
      </c>
      <c r="AM617" s="8">
        <f ca="1">IF(COUNTIF(PlayerGameData[PointOrder],PlayerGameData[[#This Row],[PointOrder]])&gt;1,RANK(PlayerGameData[[#This Row],[FGA]],PlayerGameData[FGA],0)/100,0)+PlayerGameData[[#This Row],[PointOrder]]</f>
        <v>187.14</v>
      </c>
      <c r="AN617" s="8">
        <f ca="1">RANK(PlayerGameData[[#This Row],[PointTieBreak]],PlayerGameData[PointTieBreak],1)</f>
        <v>216</v>
      </c>
      <c r="AO617" s="8">
        <f ca="1">RANK(PlayerGameData[[#This Row],[REB]],PlayerGameData[REB],0)+PlayerGameData[[#This Row],[VisibleOrder]]</f>
        <v>192</v>
      </c>
      <c r="AP617" s="8">
        <f ca="1">IF(COUNTIF(PlayerGameData[REBOrder],PlayerGameData[[#This Row],[REBOrder]])&gt;1,PlayerGameData[[#This Row],[PointRank]]/100+PlayerGameData[[#This Row],[REBOrder]],PlayerGameData[[#This Row],[REBOrder]])</f>
        <v>194.16</v>
      </c>
      <c r="AQ617" s="8">
        <f ca="1">RANK(PlayerGameData[[#This Row],[REBTieBreak]],PlayerGameData[REBTieBreak],1)</f>
        <v>224</v>
      </c>
      <c r="AR617" s="8">
        <f ca="1">RANK(PlayerGameData[[#This Row],[AST]],PlayerGameData[AST],0)+PlayerGameData[[#This Row],[VisibleOrder]]</f>
        <v>158</v>
      </c>
      <c r="AS617" s="8">
        <f ca="1">IF(COUNTIF(PlayerGameData[ASTOrder],PlayerGameData[[#This Row],[ASTOrder]])&gt;1,PlayerGameData[[#This Row],[PointRank]]/100+PlayerGameData[[#This Row],[ASTOrder]],PlayerGameData[[#This Row],[ASTOrder]])</f>
        <v>160.16</v>
      </c>
      <c r="AT617" s="8">
        <f ca="1">RANK(PlayerGameData[[#This Row],[ASTTieBreak]],PlayerGameData[ASTTieBreak],1)</f>
        <v>221</v>
      </c>
      <c r="AU617" s="8">
        <f ca="1">RANK(PlayerGameData[[#This Row],[STL]],PlayerGameData[STL],0)+PlayerGameData[[#This Row],[VisibleOrder]]</f>
        <v>143</v>
      </c>
      <c r="AV617" s="8">
        <f ca="1">IF(COUNTIF(PlayerGameData[STLOrder],PlayerGameData[[#This Row],[STLOrder]])&gt;1,PlayerGameData[[#This Row],[PointRank]]/100+PlayerGameData[[#This Row],[STLOrder]],PlayerGameData[[#This Row],[STLOrder]])</f>
        <v>145.16</v>
      </c>
      <c r="AW617" s="8">
        <f ca="1">RANK(PlayerGameData[[#This Row],[STLTieBreak]],PlayerGameData[STLTieBreak],1)</f>
        <v>217</v>
      </c>
      <c r="AX617" s="8">
        <f ca="1">RANK(PlayerGameData[[#This Row],[BLK]],PlayerGameData[BLK],0)+PlayerGameData[[#This Row],[VisibleOrder]]</f>
        <v>32</v>
      </c>
      <c r="AY617" s="8">
        <f ca="1">IF(COUNTIF(PlayerGameData[BLKOrder],PlayerGameData[[#This Row],[BLKOrder]])&gt;1,PlayerGameData[[#This Row],[PointRank]]/100+PlayerGameData[[#This Row],[BLKOrder]],PlayerGameData[[#This Row],[BLKOrder]])</f>
        <v>34.159999999999997</v>
      </c>
      <c r="AZ617" s="8">
        <f ca="1">RANK(PlayerGameData[[#This Row],[BLKTieBreak]],PlayerGameData[BLKTieBreak],1)</f>
        <v>216</v>
      </c>
      <c r="BA617" s="11">
        <f ca="1">IFERROR(IF(PlayerGameData[[#This Row],[FGA]]&gt;$AA$5,PlayerGameData[[#This Row],[FG%*]],PlayerGameData[[#This Row],[FG%*]]*-1),-2)</f>
        <v>-2</v>
      </c>
      <c r="BB617" s="8">
        <f ca="1">RANK(PlayerGameData[[#This Row],[EligFG]],PlayerGameData[EligFG],0)+PlayerGameData[[#This Row],[VisibleOrder]]</f>
        <v>215</v>
      </c>
      <c r="BC617" s="8">
        <f ca="1">IF(COUNTIF(PlayerGameData[EligFGOrder],PlayerGameData[[#This Row],[EligFGOrder]])&gt;1,PlayerGameData[[#This Row],[PointRank]]/100+PlayerGameData[[#This Row],[EligFGOrder]],PlayerGameData[[#This Row],[EligFGOrder]])</f>
        <v>217.16</v>
      </c>
      <c r="BD617" s="8">
        <f ca="1">RANK(PlayerGameData[[#This Row],[EligFGTieBreak]],PlayerGameData[EligFGTieBreak],1)</f>
        <v>216</v>
      </c>
      <c r="BE617" s="8" t="str">
        <f>Roster!$D$3</f>
        <v>East</v>
      </c>
      <c r="BF617" s="8" t="str">
        <f>Roster!$D$2</f>
        <v>Northeast</v>
      </c>
      <c r="BG617" s="8" t="str">
        <f>Roster!$D$4</f>
        <v>North</v>
      </c>
      <c r="BH617" s="197">
        <f ca="1">IFERROR(VLOOKUP(CONCATENATE(PlayerGameData[[#This Row],[Opponent]]," ",MONTH(PlayerGameData[[#This Row],[Date]]),"/",DAY(PlayerGameData[[#This Row],[Date]]),"/",YEAR(PlayerGameData[[#This Row],[Date]])),Table35[],2,FALSE),0)</f>
        <v>1</v>
      </c>
      <c r="BI617" s="197">
        <f ca="1">IF(PlayerGameData[[#This Row],[Visible]]=1,1,1000)</f>
        <v>1</v>
      </c>
      <c r="BJ617" s="197" t="e">
        <f ca="1">_xlfn.MAXIFS(TeamGameData[Win],TeamGameData[School, Opponent,Game'#],PlayerGameData[[#This Row],[School, Opponent,Game'#]])</f>
        <v>#NAME?</v>
      </c>
      <c r="BK617" s="197" t="e">
        <f ca="1">_xlfn.MAXIFS(TeamGameData[Loss],TeamGameData[School, Opponent,Game'#],PlayerGameData[[#This Row],[School, Opponent,Game'#]])</f>
        <v>#NAME?</v>
      </c>
    </row>
    <row r="618" spans="1:63" x14ac:dyDescent="0.25">
      <c r="A618" s="8" t="str">
        <f t="shared" ca="1" si="303"/>
        <v>Jacob McNutt, 34</v>
      </c>
      <c r="B618" s="8" t="str">
        <f>Roster!$B$1</f>
        <v>Upton</v>
      </c>
      <c r="C618" s="8" t="str">
        <f t="shared" ca="1" si="291"/>
        <v>Burlington</v>
      </c>
      <c r="D618" s="10">
        <f t="shared" ca="1" si="292"/>
        <v>44989</v>
      </c>
      <c r="E618" s="8">
        <f t="shared" ca="1" si="293"/>
        <v>1</v>
      </c>
      <c r="F618" s="8">
        <f t="shared" ca="1" si="294"/>
        <v>0</v>
      </c>
      <c r="G618" s="8">
        <f t="shared" ca="1" si="295"/>
        <v>1</v>
      </c>
      <c r="H618" s="8">
        <f t="shared" ca="1" si="296"/>
        <v>1</v>
      </c>
      <c r="I618" s="8">
        <f t="shared" ca="1" si="297"/>
        <v>1</v>
      </c>
      <c r="J618" s="8">
        <f t="shared" ca="1" si="298"/>
        <v>0</v>
      </c>
      <c r="K618" s="8">
        <f t="shared" ca="1" si="299"/>
        <v>0</v>
      </c>
      <c r="L618" s="8">
        <f t="shared" ca="1" si="304"/>
        <v>0</v>
      </c>
      <c r="M618" s="8">
        <f t="shared" ca="1" si="305"/>
        <v>0</v>
      </c>
      <c r="N618" s="8">
        <f t="shared" ca="1" si="306"/>
        <v>0</v>
      </c>
      <c r="O618" s="8">
        <f t="shared" ca="1" si="307"/>
        <v>1</v>
      </c>
      <c r="P618" s="8">
        <f t="shared" ca="1" si="308"/>
        <v>0</v>
      </c>
      <c r="Q618" s="8">
        <f t="shared" ca="1" si="309"/>
        <v>0</v>
      </c>
      <c r="R618" s="8">
        <f t="shared" ca="1" si="310"/>
        <v>0</v>
      </c>
      <c r="S618" s="8">
        <f t="shared" ca="1" si="311"/>
        <v>0</v>
      </c>
      <c r="T618" s="8">
        <f t="shared" ca="1" si="312"/>
        <v>0</v>
      </c>
      <c r="U618" s="8">
        <f t="shared" ca="1" si="313"/>
        <v>0</v>
      </c>
      <c r="V618" s="8">
        <f t="shared" ca="1" si="314"/>
        <v>3</v>
      </c>
      <c r="W618" s="11">
        <f t="shared" ca="1" si="315"/>
        <v>1</v>
      </c>
      <c r="X618" s="11" t="str">
        <f t="shared" ca="1" si="316"/>
        <v/>
      </c>
      <c r="Y618" s="11" t="str">
        <f t="shared" ca="1" si="317"/>
        <v/>
      </c>
      <c r="Z618" s="11">
        <f t="shared" ca="1" si="318"/>
        <v>1</v>
      </c>
      <c r="AA618" s="11">
        <f t="shared" ca="1" si="319"/>
        <v>1.5</v>
      </c>
      <c r="AB618" s="47">
        <f ca="1">PlayerGameData[[#This Row],[3FGA]]+PlayerGameData[[#This Row],[2FGA]]</f>
        <v>1</v>
      </c>
      <c r="AC618" s="47">
        <f ca="1">PlayerGameData[[#This Row],[OFF REB]]+PlayerGameData[[#This Row],[DEF REB]]</f>
        <v>1</v>
      </c>
      <c r="AD618" s="8">
        <f t="shared" si="300"/>
        <v>26</v>
      </c>
      <c r="AE618" s="8" t="str">
        <f t="shared" ca="1" si="301"/>
        <v>Jacob McNutt, 34 - Burlington 3/4/2023</v>
      </c>
      <c r="AF618" s="8" t="str">
        <f t="shared" ca="1" si="320"/>
        <v/>
      </c>
      <c r="AG618" s="8" t="str">
        <f ca="1">IFERROR(IF(C618=0,"",IF(AND(VLOOKUP(PlayerGameData[[#This Row],[Opponent]],WYTeamInfo,2,FALSE)=Roster!$D$1,VLOOKUP(PlayerGameData[[#This Row],[Opponent]],WYTeamInfo,3,FALSE)=Roster!$D$2),"SR","")),"")</f>
        <v/>
      </c>
      <c r="AH618" s="8" t="str">
        <f>CONCATENATE(Roster!$D$1," ",Roster!$D$5)</f>
        <v>1A BB</v>
      </c>
      <c r="AI618" s="8" t="str">
        <f t="shared" ca="1" si="302"/>
        <v>Upton - Burlington 3/4/2023</v>
      </c>
      <c r="AJ618" s="8">
        <f ca="1">IFERROR(VLOOKUP(PlayerGameData[[#This Row],[School, Opponent,Game'#]],Table3[],2,FALSE),0)</f>
        <v>1</v>
      </c>
      <c r="AK618" s="8">
        <f ca="1">IF(PlayerGameData[[#This Row],[Visible]]=1,1,1000)</f>
        <v>1</v>
      </c>
      <c r="AL618" s="8">
        <f ca="1">RANK(PlayerGameData[[#This Row],[TL PTS]],PlayerGameData[TL PTS],0)+PlayerGameData[[#This Row],[VisibleOrder]]</f>
        <v>135</v>
      </c>
      <c r="AM618" s="8">
        <f ca="1">IF(COUNTIF(PlayerGameData[PointOrder],PlayerGameData[[#This Row],[PointOrder]])&gt;1,RANK(PlayerGameData[[#This Row],[FGA]],PlayerGameData[FGA],0)/100,0)+PlayerGameData[[#This Row],[PointOrder]]</f>
        <v>136.82</v>
      </c>
      <c r="AN618" s="8">
        <f ca="1">RANK(PlayerGameData[[#This Row],[PointTieBreak]],PlayerGameData[PointTieBreak],1)</f>
        <v>145</v>
      </c>
      <c r="AO618" s="8">
        <f ca="1">RANK(PlayerGameData[[#This Row],[REB]],PlayerGameData[REB],0)+PlayerGameData[[#This Row],[VisibleOrder]]</f>
        <v>163</v>
      </c>
      <c r="AP618" s="8">
        <f ca="1">IF(COUNTIF(PlayerGameData[REBOrder],PlayerGameData[[#This Row],[REBOrder]])&gt;1,PlayerGameData[[#This Row],[PointRank]]/100+PlayerGameData[[#This Row],[REBOrder]],PlayerGameData[[#This Row],[REBOrder]])</f>
        <v>164.45</v>
      </c>
      <c r="AQ618" s="8">
        <f ca="1">RANK(PlayerGameData[[#This Row],[REBTieBreak]],PlayerGameData[REBTieBreak],1)</f>
        <v>171</v>
      </c>
      <c r="AR618" s="8">
        <f ca="1">RANK(PlayerGameData[[#This Row],[AST]],PlayerGameData[AST],0)+PlayerGameData[[#This Row],[VisibleOrder]]</f>
        <v>158</v>
      </c>
      <c r="AS618" s="8">
        <f ca="1">IF(COUNTIF(PlayerGameData[ASTOrder],PlayerGameData[[#This Row],[ASTOrder]])&gt;1,PlayerGameData[[#This Row],[PointRank]]/100+PlayerGameData[[#This Row],[ASTOrder]],PlayerGameData[[#This Row],[ASTOrder]])</f>
        <v>159.44999999999999</v>
      </c>
      <c r="AT618" s="8">
        <f ca="1">RANK(PlayerGameData[[#This Row],[ASTTieBreak]],PlayerGameData[ASTTieBreak],1)</f>
        <v>180</v>
      </c>
      <c r="AU618" s="8">
        <f ca="1">RANK(PlayerGameData[[#This Row],[STL]],PlayerGameData[STL],0)+PlayerGameData[[#This Row],[VisibleOrder]]</f>
        <v>143</v>
      </c>
      <c r="AV618" s="8">
        <f ca="1">IF(COUNTIF(PlayerGameData[STLOrder],PlayerGameData[[#This Row],[STLOrder]])&gt;1,PlayerGameData[[#This Row],[PointRank]]/100+PlayerGameData[[#This Row],[STLOrder]],PlayerGameData[[#This Row],[STLOrder]])</f>
        <v>144.44999999999999</v>
      </c>
      <c r="AW618" s="8">
        <f ca="1">RANK(PlayerGameData[[#This Row],[STLTieBreak]],PlayerGameData[STLTieBreak],1)</f>
        <v>172</v>
      </c>
      <c r="AX618" s="8">
        <f ca="1">RANK(PlayerGameData[[#This Row],[BLK]],PlayerGameData[BLK],0)+PlayerGameData[[#This Row],[VisibleOrder]]</f>
        <v>32</v>
      </c>
      <c r="AY618" s="8">
        <f ca="1">IF(COUNTIF(PlayerGameData[BLKOrder],PlayerGameData[[#This Row],[BLKOrder]])&gt;1,PlayerGameData[[#This Row],[PointRank]]/100+PlayerGameData[[#This Row],[BLKOrder]],PlayerGameData[[#This Row],[BLKOrder]])</f>
        <v>33.450000000000003</v>
      </c>
      <c r="AZ618" s="8">
        <f ca="1">RANK(PlayerGameData[[#This Row],[BLKTieBreak]],PlayerGameData[BLKTieBreak],1)</f>
        <v>149</v>
      </c>
      <c r="BA618" s="11">
        <f ca="1">IFERROR(IF(PlayerGameData[[#This Row],[FGA]]&gt;$AA$5,PlayerGameData[[#This Row],[FG%*]],PlayerGameData[[#This Row],[FG%*]]*-1),-2)</f>
        <v>-1</v>
      </c>
      <c r="BB618" s="8">
        <f ca="1">RANK(PlayerGameData[[#This Row],[EligFG]],PlayerGameData[EligFG],0)+PlayerGameData[[#This Row],[VisibleOrder]]</f>
        <v>203</v>
      </c>
      <c r="BC618" s="8">
        <f ca="1">IF(COUNTIF(PlayerGameData[EligFGOrder],PlayerGameData[[#This Row],[EligFGOrder]])&gt;1,PlayerGameData[[#This Row],[PointRank]]/100+PlayerGameData[[#This Row],[EligFGOrder]],PlayerGameData[[#This Row],[EligFGOrder]])</f>
        <v>204.45</v>
      </c>
      <c r="BD618" s="8">
        <f ca="1">RANK(PlayerGameData[[#This Row],[EligFGTieBreak]],PlayerGameData[EligFGTieBreak],1)</f>
        <v>206</v>
      </c>
      <c r="BE618" s="8" t="str">
        <f>Roster!$D$3</f>
        <v>East</v>
      </c>
      <c r="BF618" s="8" t="str">
        <f>Roster!$D$2</f>
        <v>Northeast</v>
      </c>
      <c r="BG618" s="8" t="str">
        <f>Roster!$D$4</f>
        <v>North</v>
      </c>
      <c r="BH618" s="197">
        <f ca="1">IFERROR(VLOOKUP(CONCATENATE(PlayerGameData[[#This Row],[Opponent]]," ",MONTH(PlayerGameData[[#This Row],[Date]]),"/",DAY(PlayerGameData[[#This Row],[Date]]),"/",YEAR(PlayerGameData[[#This Row],[Date]])),Table35[],2,FALSE),0)</f>
        <v>1</v>
      </c>
      <c r="BI618" s="197">
        <f ca="1">IF(PlayerGameData[[#This Row],[Visible]]=1,1,1000)</f>
        <v>1</v>
      </c>
      <c r="BJ618" s="197" t="e">
        <f ca="1">_xlfn.MAXIFS(TeamGameData[Win],TeamGameData[School, Opponent,Game'#],PlayerGameData[[#This Row],[School, Opponent,Game'#]])</f>
        <v>#NAME?</v>
      </c>
      <c r="BK618" s="197" t="e">
        <f ca="1">_xlfn.MAXIFS(TeamGameData[Loss],TeamGameData[School, Opponent,Game'#],PlayerGameData[[#This Row],[School, Opponent,Game'#]])</f>
        <v>#NAME?</v>
      </c>
    </row>
    <row r="619" spans="1:63" x14ac:dyDescent="0.25">
      <c r="A619" s="8" t="str">
        <f t="shared" ca="1" si="303"/>
        <v>Ryan Baker, 35</v>
      </c>
      <c r="B619" s="8" t="str">
        <f>Roster!$B$1</f>
        <v>Upton</v>
      </c>
      <c r="C619" s="8" t="str">
        <f t="shared" ca="1" si="291"/>
        <v>Burlington</v>
      </c>
      <c r="D619" s="10">
        <f t="shared" ca="1" si="292"/>
        <v>44989</v>
      </c>
      <c r="E619" s="8">
        <f t="shared" ca="1" si="293"/>
        <v>1</v>
      </c>
      <c r="F619" s="8">
        <f t="shared" ca="1" si="294"/>
        <v>0</v>
      </c>
      <c r="G619" s="8">
        <f t="shared" ca="1" si="295"/>
        <v>13</v>
      </c>
      <c r="H619" s="8">
        <f t="shared" ca="1" si="296"/>
        <v>0</v>
      </c>
      <c r="I619" s="8">
        <f t="shared" ca="1" si="297"/>
        <v>0</v>
      </c>
      <c r="J619" s="8">
        <f t="shared" ca="1" si="298"/>
        <v>1</v>
      </c>
      <c r="K619" s="8">
        <f t="shared" ca="1" si="299"/>
        <v>3</v>
      </c>
      <c r="L619" s="8">
        <f t="shared" ca="1" si="304"/>
        <v>1</v>
      </c>
      <c r="M619" s="8">
        <f t="shared" ca="1" si="305"/>
        <v>2</v>
      </c>
      <c r="N619" s="8">
        <f t="shared" ca="1" si="306"/>
        <v>3</v>
      </c>
      <c r="O619" s="8">
        <f t="shared" ca="1" si="307"/>
        <v>2</v>
      </c>
      <c r="P619" s="8">
        <f t="shared" ca="1" si="308"/>
        <v>2</v>
      </c>
      <c r="Q619" s="8">
        <f t="shared" ca="1" si="309"/>
        <v>0</v>
      </c>
      <c r="R619" s="8">
        <f t="shared" ca="1" si="310"/>
        <v>0</v>
      </c>
      <c r="S619" s="8">
        <f t="shared" ca="1" si="311"/>
        <v>1</v>
      </c>
      <c r="T619" s="8">
        <f t="shared" ca="1" si="312"/>
        <v>2</v>
      </c>
      <c r="U619" s="8">
        <f t="shared" ca="1" si="313"/>
        <v>0</v>
      </c>
      <c r="V619" s="8">
        <f t="shared" ca="1" si="314"/>
        <v>3</v>
      </c>
      <c r="W619" s="11" t="str">
        <f t="shared" ca="1" si="315"/>
        <v/>
      </c>
      <c r="X619" s="11">
        <f t="shared" ca="1" si="316"/>
        <v>0.33333333333333331</v>
      </c>
      <c r="Y619" s="11">
        <f t="shared" ca="1" si="317"/>
        <v>0.5</v>
      </c>
      <c r="Z619" s="11">
        <f t="shared" ca="1" si="318"/>
        <v>0.33333333333333331</v>
      </c>
      <c r="AA619" s="11">
        <f t="shared" ca="1" si="319"/>
        <v>0.33333333333333331</v>
      </c>
      <c r="AB619" s="47">
        <f ca="1">PlayerGameData[[#This Row],[3FGA]]+PlayerGameData[[#This Row],[2FGA]]</f>
        <v>3</v>
      </c>
      <c r="AC619" s="47">
        <f ca="1">PlayerGameData[[#This Row],[OFF REB]]+PlayerGameData[[#This Row],[DEF REB]]</f>
        <v>5</v>
      </c>
      <c r="AD619" s="8">
        <f t="shared" si="300"/>
        <v>26</v>
      </c>
      <c r="AE619" s="8" t="str">
        <f t="shared" ca="1" si="301"/>
        <v>Ryan Baker, 35 - Burlington 3/4/2023</v>
      </c>
      <c r="AF619" s="8" t="str">
        <f t="shared" ca="1" si="320"/>
        <v/>
      </c>
      <c r="AG619" s="8" t="str">
        <f ca="1">IFERROR(IF(C619=0,"",IF(AND(VLOOKUP(PlayerGameData[[#This Row],[Opponent]],WYTeamInfo,2,FALSE)=Roster!$D$1,VLOOKUP(PlayerGameData[[#This Row],[Opponent]],WYTeamInfo,3,FALSE)=Roster!$D$2),"SR","")),"")</f>
        <v/>
      </c>
      <c r="AH619" s="8" t="str">
        <f>CONCATENATE(Roster!$D$1," ",Roster!$D$5)</f>
        <v>1A BB</v>
      </c>
      <c r="AI619" s="8" t="str">
        <f t="shared" ca="1" si="302"/>
        <v>Upton - Burlington 3/4/2023</v>
      </c>
      <c r="AJ619" s="8">
        <f ca="1">IFERROR(VLOOKUP(PlayerGameData[[#This Row],[School, Opponent,Game'#]],Table3[],2,FALSE),0)</f>
        <v>1</v>
      </c>
      <c r="AK619" s="8">
        <f ca="1">IF(PlayerGameData[[#This Row],[Visible]]=1,1,1000)</f>
        <v>1</v>
      </c>
      <c r="AL619" s="8">
        <f ca="1">RANK(PlayerGameData[[#This Row],[TL PTS]],PlayerGameData[TL PTS],0)+PlayerGameData[[#This Row],[VisibleOrder]]</f>
        <v>135</v>
      </c>
      <c r="AM619" s="8">
        <f ca="1">IF(COUNTIF(PlayerGameData[PointOrder],PlayerGameData[[#This Row],[PointOrder]])&gt;1,RANK(PlayerGameData[[#This Row],[FGA]],PlayerGameData[FGA],0)/100,0)+PlayerGameData[[#This Row],[PointOrder]]</f>
        <v>136.4</v>
      </c>
      <c r="AN619" s="8">
        <f ca="1">RANK(PlayerGameData[[#This Row],[PointTieBreak]],PlayerGameData[PointTieBreak],1)</f>
        <v>137</v>
      </c>
      <c r="AO619" s="8">
        <f ca="1">RANK(PlayerGameData[[#This Row],[REB]],PlayerGameData[REB],0)+PlayerGameData[[#This Row],[VisibleOrder]]</f>
        <v>52</v>
      </c>
      <c r="AP619" s="8">
        <f ca="1">IF(COUNTIF(PlayerGameData[REBOrder],PlayerGameData[[#This Row],[REBOrder]])&gt;1,PlayerGameData[[#This Row],[PointRank]]/100+PlayerGameData[[#This Row],[REBOrder]],PlayerGameData[[#This Row],[REBOrder]])</f>
        <v>53.37</v>
      </c>
      <c r="AQ619" s="8">
        <f ca="1">RANK(PlayerGameData[[#This Row],[REBTieBreak]],PlayerGameData[REBTieBreak],1)</f>
        <v>72</v>
      </c>
      <c r="AR619" s="8">
        <f ca="1">RANK(PlayerGameData[[#This Row],[AST]],PlayerGameData[AST],0)+PlayerGameData[[#This Row],[VisibleOrder]]</f>
        <v>69</v>
      </c>
      <c r="AS619" s="8">
        <f ca="1">IF(COUNTIF(PlayerGameData[ASTOrder],PlayerGameData[[#This Row],[ASTOrder]])&gt;1,PlayerGameData[[#This Row],[PointRank]]/100+PlayerGameData[[#This Row],[ASTOrder]],PlayerGameData[[#This Row],[ASTOrder]])</f>
        <v>70.37</v>
      </c>
      <c r="AT619" s="8">
        <f ca="1">RANK(PlayerGameData[[#This Row],[ASTTieBreak]],PlayerGameData[ASTTieBreak],1)</f>
        <v>103</v>
      </c>
      <c r="AU619" s="8">
        <f ca="1">RANK(PlayerGameData[[#This Row],[STL]],PlayerGameData[STL],0)+PlayerGameData[[#This Row],[VisibleOrder]]</f>
        <v>143</v>
      </c>
      <c r="AV619" s="8">
        <f ca="1">IF(COUNTIF(PlayerGameData[STLOrder],PlayerGameData[[#This Row],[STLOrder]])&gt;1,PlayerGameData[[#This Row],[PointRank]]/100+PlayerGameData[[#This Row],[STLOrder]],PlayerGameData[[#This Row],[STLOrder]])</f>
        <v>144.37</v>
      </c>
      <c r="AW619" s="8">
        <f ca="1">RANK(PlayerGameData[[#This Row],[STLTieBreak]],PlayerGameData[STLTieBreak],1)</f>
        <v>166</v>
      </c>
      <c r="AX619" s="8">
        <f ca="1">RANK(PlayerGameData[[#This Row],[BLK]],PlayerGameData[BLK],0)+PlayerGameData[[#This Row],[VisibleOrder]]</f>
        <v>32</v>
      </c>
      <c r="AY619" s="8">
        <f ca="1">IF(COUNTIF(PlayerGameData[BLKOrder],PlayerGameData[[#This Row],[BLKOrder]])&gt;1,PlayerGameData[[#This Row],[PointRank]]/100+PlayerGameData[[#This Row],[BLKOrder]],PlayerGameData[[#This Row],[BLKOrder]])</f>
        <v>33.369999999999997</v>
      </c>
      <c r="AZ619" s="8">
        <f ca="1">RANK(PlayerGameData[[#This Row],[BLKTieBreak]],PlayerGameData[BLKTieBreak],1)</f>
        <v>141</v>
      </c>
      <c r="BA619" s="11">
        <f ca="1">IFERROR(IF(PlayerGameData[[#This Row],[FGA]]&gt;$AA$5,PlayerGameData[[#This Row],[FG%*]],PlayerGameData[[#This Row],[FG%*]]*-1),-2)</f>
        <v>-0.33333333333333331</v>
      </c>
      <c r="BB619" s="8">
        <f ca="1">RANK(PlayerGameData[[#This Row],[EligFG]],PlayerGameData[EligFG],0)+PlayerGameData[[#This Row],[VisibleOrder]]</f>
        <v>164</v>
      </c>
      <c r="BC619" s="8">
        <f ca="1">IF(COUNTIF(PlayerGameData[EligFGOrder],PlayerGameData[[#This Row],[EligFGOrder]])&gt;1,PlayerGameData[[#This Row],[PointRank]]/100+PlayerGameData[[#This Row],[EligFGOrder]],PlayerGameData[[#This Row],[EligFGOrder]])</f>
        <v>165.37</v>
      </c>
      <c r="BD619" s="8">
        <f ca="1">RANK(PlayerGameData[[#This Row],[EligFGTieBreak]],PlayerGameData[EligFGTieBreak],1)</f>
        <v>164</v>
      </c>
      <c r="BE619" s="8" t="str">
        <f>Roster!$D$3</f>
        <v>East</v>
      </c>
      <c r="BF619" s="8" t="str">
        <f>Roster!$D$2</f>
        <v>Northeast</v>
      </c>
      <c r="BG619" s="8" t="str">
        <f>Roster!$D$4</f>
        <v>North</v>
      </c>
      <c r="BH619" s="197">
        <f ca="1">IFERROR(VLOOKUP(CONCATENATE(PlayerGameData[[#This Row],[Opponent]]," ",MONTH(PlayerGameData[[#This Row],[Date]]),"/",DAY(PlayerGameData[[#This Row],[Date]]),"/",YEAR(PlayerGameData[[#This Row],[Date]])),Table35[],2,FALSE),0)</f>
        <v>1</v>
      </c>
      <c r="BI619" s="197">
        <f ca="1">IF(PlayerGameData[[#This Row],[Visible]]=1,1,1000)</f>
        <v>1</v>
      </c>
      <c r="BJ619" s="197" t="e">
        <f ca="1">_xlfn.MAXIFS(TeamGameData[Win],TeamGameData[School, Opponent,Game'#],PlayerGameData[[#This Row],[School, Opponent,Game'#]])</f>
        <v>#NAME?</v>
      </c>
      <c r="BK619" s="197" t="e">
        <f ca="1">_xlfn.MAXIFS(TeamGameData[Loss],TeamGameData[School, Opponent,Game'#],PlayerGameData[[#This Row],[School, Opponent,Game'#]])</f>
        <v>#NAME?</v>
      </c>
    </row>
    <row r="620" spans="1:63" x14ac:dyDescent="0.25">
      <c r="A620" s="8" t="str">
        <f t="shared" ca="1" si="303"/>
        <v xml:space="preserve">, </v>
      </c>
      <c r="B620" s="8" t="str">
        <f>Roster!$B$1</f>
        <v>Upton</v>
      </c>
      <c r="C620" s="8" t="str">
        <f t="shared" ca="1" si="291"/>
        <v>Burlington</v>
      </c>
      <c r="D620" s="10">
        <f t="shared" ca="1" si="292"/>
        <v>44989</v>
      </c>
      <c r="E620" s="8">
        <f t="shared" ca="1" si="293"/>
        <v>0</v>
      </c>
      <c r="F620" s="8">
        <f t="shared" ca="1" si="294"/>
        <v>0</v>
      </c>
      <c r="G620" s="8">
        <f t="shared" ca="1" si="295"/>
        <v>0</v>
      </c>
      <c r="H620" s="8">
        <f t="shared" ca="1" si="296"/>
        <v>0</v>
      </c>
      <c r="I620" s="8">
        <f t="shared" ca="1" si="297"/>
        <v>0</v>
      </c>
      <c r="J620" s="8">
        <f t="shared" ca="1" si="298"/>
        <v>0</v>
      </c>
      <c r="K620" s="8">
        <f t="shared" ca="1" si="299"/>
        <v>0</v>
      </c>
      <c r="L620" s="8">
        <f t="shared" ca="1" si="304"/>
        <v>0</v>
      </c>
      <c r="M620" s="8">
        <f t="shared" ca="1" si="305"/>
        <v>0</v>
      </c>
      <c r="N620" s="8">
        <f t="shared" ca="1" si="306"/>
        <v>0</v>
      </c>
      <c r="O620" s="8">
        <f t="shared" ca="1" si="307"/>
        <v>0</v>
      </c>
      <c r="P620" s="8">
        <f t="shared" ca="1" si="308"/>
        <v>0</v>
      </c>
      <c r="Q620" s="8">
        <f t="shared" ca="1" si="309"/>
        <v>0</v>
      </c>
      <c r="R620" s="8">
        <f t="shared" ca="1" si="310"/>
        <v>0</v>
      </c>
      <c r="S620" s="8">
        <f t="shared" ca="1" si="311"/>
        <v>0</v>
      </c>
      <c r="T620" s="8">
        <f t="shared" ca="1" si="312"/>
        <v>0</v>
      </c>
      <c r="U620" s="8">
        <f t="shared" ca="1" si="313"/>
        <v>0</v>
      </c>
      <c r="V620" s="8">
        <f t="shared" ca="1" si="314"/>
        <v>0</v>
      </c>
      <c r="W620" s="11" t="str">
        <f t="shared" ca="1" si="315"/>
        <v/>
      </c>
      <c r="X620" s="11" t="str">
        <f t="shared" ca="1" si="316"/>
        <v/>
      </c>
      <c r="Y620" s="11" t="str">
        <f t="shared" ca="1" si="317"/>
        <v/>
      </c>
      <c r="Z620" s="11" t="str">
        <f t="shared" ca="1" si="318"/>
        <v/>
      </c>
      <c r="AA620" s="11" t="str">
        <f t="shared" ca="1" si="319"/>
        <v/>
      </c>
      <c r="AB620" s="47">
        <f ca="1">PlayerGameData[[#This Row],[3FGA]]+PlayerGameData[[#This Row],[2FGA]]</f>
        <v>0</v>
      </c>
      <c r="AC620" s="47">
        <f ca="1">PlayerGameData[[#This Row],[OFF REB]]+PlayerGameData[[#This Row],[DEF REB]]</f>
        <v>0</v>
      </c>
      <c r="AD620" s="8">
        <f t="shared" si="300"/>
        <v>26</v>
      </c>
      <c r="AE620" s="8" t="str">
        <f t="shared" ca="1" si="301"/>
        <v>,  - Burlington 3/4/2023</v>
      </c>
      <c r="AF620" s="8" t="str">
        <f t="shared" ca="1" si="320"/>
        <v/>
      </c>
      <c r="AG620" s="8" t="str">
        <f ca="1">IFERROR(IF(C620=0,"",IF(AND(VLOOKUP(PlayerGameData[[#This Row],[Opponent]],WYTeamInfo,2,FALSE)=Roster!$D$1,VLOOKUP(PlayerGameData[[#This Row],[Opponent]],WYTeamInfo,3,FALSE)=Roster!$D$2),"SR","")),"")</f>
        <v/>
      </c>
      <c r="AH620" s="8" t="str">
        <f>CONCATENATE(Roster!$D$1," ",Roster!$D$5)</f>
        <v>1A BB</v>
      </c>
      <c r="AI620" s="8" t="str">
        <f t="shared" ca="1" si="302"/>
        <v>Upton - Burlington 3/4/2023</v>
      </c>
      <c r="AJ620" s="8">
        <f ca="1">IFERROR(VLOOKUP(PlayerGameData[[#This Row],[School, Opponent,Game'#]],Table3[],2,FALSE),0)</f>
        <v>1</v>
      </c>
      <c r="AK620" s="8">
        <f ca="1">IF(PlayerGameData[[#This Row],[Visible]]=1,1,1000)</f>
        <v>1</v>
      </c>
      <c r="AL620" s="8">
        <f ca="1">RANK(PlayerGameData[[#This Row],[TL PTS]],PlayerGameData[TL PTS],0)+PlayerGameData[[#This Row],[VisibleOrder]]</f>
        <v>185</v>
      </c>
      <c r="AM620" s="8">
        <f ca="1">IF(COUNTIF(PlayerGameData[PointOrder],PlayerGameData[[#This Row],[PointOrder]])&gt;1,RANK(PlayerGameData[[#This Row],[FGA]],PlayerGameData[FGA],0)/100,0)+PlayerGameData[[#This Row],[PointOrder]]</f>
        <v>187.14</v>
      </c>
      <c r="AN620" s="8">
        <f ca="1">RANK(PlayerGameData[[#This Row],[PointTieBreak]],PlayerGameData[PointTieBreak],1)</f>
        <v>216</v>
      </c>
      <c r="AO620" s="8">
        <f ca="1">RANK(PlayerGameData[[#This Row],[REB]],PlayerGameData[REB],0)+PlayerGameData[[#This Row],[VisibleOrder]]</f>
        <v>192</v>
      </c>
      <c r="AP620" s="8">
        <f ca="1">IF(COUNTIF(PlayerGameData[REBOrder],PlayerGameData[[#This Row],[REBOrder]])&gt;1,PlayerGameData[[#This Row],[PointRank]]/100+PlayerGameData[[#This Row],[REBOrder]],PlayerGameData[[#This Row],[REBOrder]])</f>
        <v>194.16</v>
      </c>
      <c r="AQ620" s="8">
        <f ca="1">RANK(PlayerGameData[[#This Row],[REBTieBreak]],PlayerGameData[REBTieBreak],1)</f>
        <v>224</v>
      </c>
      <c r="AR620" s="8">
        <f ca="1">RANK(PlayerGameData[[#This Row],[AST]],PlayerGameData[AST],0)+PlayerGameData[[#This Row],[VisibleOrder]]</f>
        <v>158</v>
      </c>
      <c r="AS620" s="8">
        <f ca="1">IF(COUNTIF(PlayerGameData[ASTOrder],PlayerGameData[[#This Row],[ASTOrder]])&gt;1,PlayerGameData[[#This Row],[PointRank]]/100+PlayerGameData[[#This Row],[ASTOrder]],PlayerGameData[[#This Row],[ASTOrder]])</f>
        <v>160.16</v>
      </c>
      <c r="AT620" s="8">
        <f ca="1">RANK(PlayerGameData[[#This Row],[ASTTieBreak]],PlayerGameData[ASTTieBreak],1)</f>
        <v>221</v>
      </c>
      <c r="AU620" s="8">
        <f ca="1">RANK(PlayerGameData[[#This Row],[STL]],PlayerGameData[STL],0)+PlayerGameData[[#This Row],[VisibleOrder]]</f>
        <v>143</v>
      </c>
      <c r="AV620" s="8">
        <f ca="1">IF(COUNTIF(PlayerGameData[STLOrder],PlayerGameData[[#This Row],[STLOrder]])&gt;1,PlayerGameData[[#This Row],[PointRank]]/100+PlayerGameData[[#This Row],[STLOrder]],PlayerGameData[[#This Row],[STLOrder]])</f>
        <v>145.16</v>
      </c>
      <c r="AW620" s="8">
        <f ca="1">RANK(PlayerGameData[[#This Row],[STLTieBreak]],PlayerGameData[STLTieBreak],1)</f>
        <v>217</v>
      </c>
      <c r="AX620" s="8">
        <f ca="1">RANK(PlayerGameData[[#This Row],[BLK]],PlayerGameData[BLK],0)+PlayerGameData[[#This Row],[VisibleOrder]]</f>
        <v>32</v>
      </c>
      <c r="AY620" s="8">
        <f ca="1">IF(COUNTIF(PlayerGameData[BLKOrder],PlayerGameData[[#This Row],[BLKOrder]])&gt;1,PlayerGameData[[#This Row],[PointRank]]/100+PlayerGameData[[#This Row],[BLKOrder]],PlayerGameData[[#This Row],[BLKOrder]])</f>
        <v>34.159999999999997</v>
      </c>
      <c r="AZ620" s="8">
        <f ca="1">RANK(PlayerGameData[[#This Row],[BLKTieBreak]],PlayerGameData[BLKTieBreak],1)</f>
        <v>216</v>
      </c>
      <c r="BA620" s="11">
        <f ca="1">IFERROR(IF(PlayerGameData[[#This Row],[FGA]]&gt;$AA$5,PlayerGameData[[#This Row],[FG%*]],PlayerGameData[[#This Row],[FG%*]]*-1),-2)</f>
        <v>-2</v>
      </c>
      <c r="BB620" s="8">
        <f ca="1">RANK(PlayerGameData[[#This Row],[EligFG]],PlayerGameData[EligFG],0)+PlayerGameData[[#This Row],[VisibleOrder]]</f>
        <v>215</v>
      </c>
      <c r="BC620" s="8">
        <f ca="1">IF(COUNTIF(PlayerGameData[EligFGOrder],PlayerGameData[[#This Row],[EligFGOrder]])&gt;1,PlayerGameData[[#This Row],[PointRank]]/100+PlayerGameData[[#This Row],[EligFGOrder]],PlayerGameData[[#This Row],[EligFGOrder]])</f>
        <v>217.16</v>
      </c>
      <c r="BD620" s="8">
        <f ca="1">RANK(PlayerGameData[[#This Row],[EligFGTieBreak]],PlayerGameData[EligFGTieBreak],1)</f>
        <v>216</v>
      </c>
      <c r="BE620" s="8" t="str">
        <f>Roster!$D$3</f>
        <v>East</v>
      </c>
      <c r="BF620" s="8" t="str">
        <f>Roster!$D$2</f>
        <v>Northeast</v>
      </c>
      <c r="BG620" s="8" t="str">
        <f>Roster!$D$4</f>
        <v>North</v>
      </c>
      <c r="BH620" s="197">
        <f ca="1">IFERROR(VLOOKUP(CONCATENATE(PlayerGameData[[#This Row],[Opponent]]," ",MONTH(PlayerGameData[[#This Row],[Date]]),"/",DAY(PlayerGameData[[#This Row],[Date]]),"/",YEAR(PlayerGameData[[#This Row],[Date]])),Table35[],2,FALSE),0)</f>
        <v>1</v>
      </c>
      <c r="BI620" s="197">
        <f ca="1">IF(PlayerGameData[[#This Row],[Visible]]=1,1,1000)</f>
        <v>1</v>
      </c>
      <c r="BJ620" s="197" t="e">
        <f ca="1">_xlfn.MAXIFS(TeamGameData[Win],TeamGameData[School, Opponent,Game'#],PlayerGameData[[#This Row],[School, Opponent,Game'#]])</f>
        <v>#NAME?</v>
      </c>
      <c r="BK620" s="197" t="e">
        <f ca="1">_xlfn.MAXIFS(TeamGameData[Loss],TeamGameData[School, Opponent,Game'#],PlayerGameData[[#This Row],[School, Opponent,Game'#]])</f>
        <v>#NAME?</v>
      </c>
    </row>
    <row r="621" spans="1:63" x14ac:dyDescent="0.25">
      <c r="A621" s="8" t="str">
        <f t="shared" ca="1" si="303"/>
        <v xml:space="preserve">, </v>
      </c>
      <c r="B621" s="8" t="str">
        <f>Roster!$B$1</f>
        <v>Upton</v>
      </c>
      <c r="C621" s="8" t="str">
        <f t="shared" ca="1" si="291"/>
        <v>Burlington</v>
      </c>
      <c r="D621" s="10">
        <f t="shared" ca="1" si="292"/>
        <v>44989</v>
      </c>
      <c r="E621" s="8">
        <f t="shared" ca="1" si="293"/>
        <v>0</v>
      </c>
      <c r="F621" s="8">
        <f t="shared" ca="1" si="294"/>
        <v>0</v>
      </c>
      <c r="G621" s="8">
        <f t="shared" ca="1" si="295"/>
        <v>0</v>
      </c>
      <c r="H621" s="8">
        <f t="shared" ca="1" si="296"/>
        <v>0</v>
      </c>
      <c r="I621" s="8">
        <f t="shared" ca="1" si="297"/>
        <v>0</v>
      </c>
      <c r="J621" s="8">
        <f t="shared" ca="1" si="298"/>
        <v>0</v>
      </c>
      <c r="K621" s="8">
        <f t="shared" ca="1" si="299"/>
        <v>0</v>
      </c>
      <c r="L621" s="8">
        <f t="shared" ca="1" si="304"/>
        <v>0</v>
      </c>
      <c r="M621" s="8">
        <f t="shared" ca="1" si="305"/>
        <v>0</v>
      </c>
      <c r="N621" s="8">
        <f t="shared" ca="1" si="306"/>
        <v>0</v>
      </c>
      <c r="O621" s="8">
        <f t="shared" ca="1" si="307"/>
        <v>0</v>
      </c>
      <c r="P621" s="8">
        <f t="shared" ca="1" si="308"/>
        <v>0</v>
      </c>
      <c r="Q621" s="8">
        <f t="shared" ca="1" si="309"/>
        <v>0</v>
      </c>
      <c r="R621" s="8">
        <f t="shared" ca="1" si="310"/>
        <v>0</v>
      </c>
      <c r="S621" s="8">
        <f t="shared" ca="1" si="311"/>
        <v>0</v>
      </c>
      <c r="T621" s="8">
        <f t="shared" ca="1" si="312"/>
        <v>0</v>
      </c>
      <c r="U621" s="8">
        <f t="shared" ca="1" si="313"/>
        <v>0</v>
      </c>
      <c r="V621" s="8">
        <f t="shared" ca="1" si="314"/>
        <v>0</v>
      </c>
      <c r="W621" s="11" t="str">
        <f t="shared" ca="1" si="315"/>
        <v/>
      </c>
      <c r="X621" s="11" t="str">
        <f t="shared" ca="1" si="316"/>
        <v/>
      </c>
      <c r="Y621" s="11" t="str">
        <f t="shared" ca="1" si="317"/>
        <v/>
      </c>
      <c r="Z621" s="11" t="str">
        <f t="shared" ca="1" si="318"/>
        <v/>
      </c>
      <c r="AA621" s="11" t="str">
        <f t="shared" ca="1" si="319"/>
        <v/>
      </c>
      <c r="AB621" s="47">
        <f ca="1">PlayerGameData[[#This Row],[3FGA]]+PlayerGameData[[#This Row],[2FGA]]</f>
        <v>0</v>
      </c>
      <c r="AC621" s="47">
        <f ca="1">PlayerGameData[[#This Row],[OFF REB]]+PlayerGameData[[#This Row],[DEF REB]]</f>
        <v>0</v>
      </c>
      <c r="AD621" s="8">
        <f t="shared" si="300"/>
        <v>26</v>
      </c>
      <c r="AE621" s="8" t="str">
        <f t="shared" ca="1" si="301"/>
        <v>,  - Burlington 3/4/2023</v>
      </c>
      <c r="AF621" s="8" t="str">
        <f t="shared" ca="1" si="320"/>
        <v/>
      </c>
      <c r="AG621" s="8" t="str">
        <f ca="1">IFERROR(IF(C621=0,"",IF(AND(VLOOKUP(PlayerGameData[[#This Row],[Opponent]],WYTeamInfo,2,FALSE)=Roster!$D$1,VLOOKUP(PlayerGameData[[#This Row],[Opponent]],WYTeamInfo,3,FALSE)=Roster!$D$2),"SR","")),"")</f>
        <v/>
      </c>
      <c r="AH621" s="8" t="str">
        <f>CONCATENATE(Roster!$D$1," ",Roster!$D$5)</f>
        <v>1A BB</v>
      </c>
      <c r="AI621" s="8" t="str">
        <f t="shared" ca="1" si="302"/>
        <v>Upton - Burlington 3/4/2023</v>
      </c>
      <c r="AJ621" s="8">
        <f ca="1">IFERROR(VLOOKUP(PlayerGameData[[#This Row],[School, Opponent,Game'#]],Table3[],2,FALSE),0)</f>
        <v>1</v>
      </c>
      <c r="AK621" s="8">
        <f ca="1">IF(PlayerGameData[[#This Row],[Visible]]=1,1,1000)</f>
        <v>1</v>
      </c>
      <c r="AL621" s="8">
        <f ca="1">RANK(PlayerGameData[[#This Row],[TL PTS]],PlayerGameData[TL PTS],0)+PlayerGameData[[#This Row],[VisibleOrder]]</f>
        <v>185</v>
      </c>
      <c r="AM621" s="8">
        <f ca="1">IF(COUNTIF(PlayerGameData[PointOrder],PlayerGameData[[#This Row],[PointOrder]])&gt;1,RANK(PlayerGameData[[#This Row],[FGA]],PlayerGameData[FGA],0)/100,0)+PlayerGameData[[#This Row],[PointOrder]]</f>
        <v>187.14</v>
      </c>
      <c r="AN621" s="8">
        <f ca="1">RANK(PlayerGameData[[#This Row],[PointTieBreak]],PlayerGameData[PointTieBreak],1)</f>
        <v>216</v>
      </c>
      <c r="AO621" s="8">
        <f ca="1">RANK(PlayerGameData[[#This Row],[REB]],PlayerGameData[REB],0)+PlayerGameData[[#This Row],[VisibleOrder]]</f>
        <v>192</v>
      </c>
      <c r="AP621" s="8">
        <f ca="1">IF(COUNTIF(PlayerGameData[REBOrder],PlayerGameData[[#This Row],[REBOrder]])&gt;1,PlayerGameData[[#This Row],[PointRank]]/100+PlayerGameData[[#This Row],[REBOrder]],PlayerGameData[[#This Row],[REBOrder]])</f>
        <v>194.16</v>
      </c>
      <c r="AQ621" s="8">
        <f ca="1">RANK(PlayerGameData[[#This Row],[REBTieBreak]],PlayerGameData[REBTieBreak],1)</f>
        <v>224</v>
      </c>
      <c r="AR621" s="8">
        <f ca="1">RANK(PlayerGameData[[#This Row],[AST]],PlayerGameData[AST],0)+PlayerGameData[[#This Row],[VisibleOrder]]</f>
        <v>158</v>
      </c>
      <c r="AS621" s="8">
        <f ca="1">IF(COUNTIF(PlayerGameData[ASTOrder],PlayerGameData[[#This Row],[ASTOrder]])&gt;1,PlayerGameData[[#This Row],[PointRank]]/100+PlayerGameData[[#This Row],[ASTOrder]],PlayerGameData[[#This Row],[ASTOrder]])</f>
        <v>160.16</v>
      </c>
      <c r="AT621" s="8">
        <f ca="1">RANK(PlayerGameData[[#This Row],[ASTTieBreak]],PlayerGameData[ASTTieBreak],1)</f>
        <v>221</v>
      </c>
      <c r="AU621" s="8">
        <f ca="1">RANK(PlayerGameData[[#This Row],[STL]],PlayerGameData[STL],0)+PlayerGameData[[#This Row],[VisibleOrder]]</f>
        <v>143</v>
      </c>
      <c r="AV621" s="8">
        <f ca="1">IF(COUNTIF(PlayerGameData[STLOrder],PlayerGameData[[#This Row],[STLOrder]])&gt;1,PlayerGameData[[#This Row],[PointRank]]/100+PlayerGameData[[#This Row],[STLOrder]],PlayerGameData[[#This Row],[STLOrder]])</f>
        <v>145.16</v>
      </c>
      <c r="AW621" s="8">
        <f ca="1">RANK(PlayerGameData[[#This Row],[STLTieBreak]],PlayerGameData[STLTieBreak],1)</f>
        <v>217</v>
      </c>
      <c r="AX621" s="8">
        <f ca="1">RANK(PlayerGameData[[#This Row],[BLK]],PlayerGameData[BLK],0)+PlayerGameData[[#This Row],[VisibleOrder]]</f>
        <v>32</v>
      </c>
      <c r="AY621" s="8">
        <f ca="1">IF(COUNTIF(PlayerGameData[BLKOrder],PlayerGameData[[#This Row],[BLKOrder]])&gt;1,PlayerGameData[[#This Row],[PointRank]]/100+PlayerGameData[[#This Row],[BLKOrder]],PlayerGameData[[#This Row],[BLKOrder]])</f>
        <v>34.159999999999997</v>
      </c>
      <c r="AZ621" s="8">
        <f ca="1">RANK(PlayerGameData[[#This Row],[BLKTieBreak]],PlayerGameData[BLKTieBreak],1)</f>
        <v>216</v>
      </c>
      <c r="BA621" s="11">
        <f ca="1">IFERROR(IF(PlayerGameData[[#This Row],[FGA]]&gt;$AA$5,PlayerGameData[[#This Row],[FG%*]],PlayerGameData[[#This Row],[FG%*]]*-1),-2)</f>
        <v>-2</v>
      </c>
      <c r="BB621" s="8">
        <f ca="1">RANK(PlayerGameData[[#This Row],[EligFG]],PlayerGameData[EligFG],0)+PlayerGameData[[#This Row],[VisibleOrder]]</f>
        <v>215</v>
      </c>
      <c r="BC621" s="8">
        <f ca="1">IF(COUNTIF(PlayerGameData[EligFGOrder],PlayerGameData[[#This Row],[EligFGOrder]])&gt;1,PlayerGameData[[#This Row],[PointRank]]/100+PlayerGameData[[#This Row],[EligFGOrder]],PlayerGameData[[#This Row],[EligFGOrder]])</f>
        <v>217.16</v>
      </c>
      <c r="BD621" s="8">
        <f ca="1">RANK(PlayerGameData[[#This Row],[EligFGTieBreak]],PlayerGameData[EligFGTieBreak],1)</f>
        <v>216</v>
      </c>
      <c r="BE621" s="8" t="str">
        <f>Roster!$D$3</f>
        <v>East</v>
      </c>
      <c r="BF621" s="8" t="str">
        <f>Roster!$D$2</f>
        <v>Northeast</v>
      </c>
      <c r="BG621" s="8" t="str">
        <f>Roster!$D$4</f>
        <v>North</v>
      </c>
      <c r="BH621" s="197">
        <f ca="1">IFERROR(VLOOKUP(CONCATENATE(PlayerGameData[[#This Row],[Opponent]]," ",MONTH(PlayerGameData[[#This Row],[Date]]),"/",DAY(PlayerGameData[[#This Row],[Date]]),"/",YEAR(PlayerGameData[[#This Row],[Date]])),Table35[],2,FALSE),0)</f>
        <v>1</v>
      </c>
      <c r="BI621" s="197">
        <f ca="1">IF(PlayerGameData[[#This Row],[Visible]]=1,1,1000)</f>
        <v>1</v>
      </c>
      <c r="BJ621" s="197" t="e">
        <f ca="1">_xlfn.MAXIFS(TeamGameData[Win],TeamGameData[School, Opponent,Game'#],PlayerGameData[[#This Row],[School, Opponent,Game'#]])</f>
        <v>#NAME?</v>
      </c>
      <c r="BK621" s="197" t="e">
        <f ca="1">_xlfn.MAXIFS(TeamGameData[Loss],TeamGameData[School, Opponent,Game'#],PlayerGameData[[#This Row],[School, Opponent,Game'#]])</f>
        <v>#NAME?</v>
      </c>
    </row>
    <row r="622" spans="1:63" x14ac:dyDescent="0.25">
      <c r="A622" s="8" t="str">
        <f t="shared" ca="1" si="303"/>
        <v xml:space="preserve">, </v>
      </c>
      <c r="B622" s="8" t="str">
        <f>Roster!$B$1</f>
        <v>Upton</v>
      </c>
      <c r="C622" s="8" t="str">
        <f t="shared" ca="1" si="291"/>
        <v>Burlington</v>
      </c>
      <c r="D622" s="10">
        <f t="shared" ca="1" si="292"/>
        <v>44989</v>
      </c>
      <c r="E622" s="8">
        <f t="shared" ca="1" si="293"/>
        <v>0</v>
      </c>
      <c r="F622" s="8">
        <f t="shared" ca="1" si="294"/>
        <v>0</v>
      </c>
      <c r="G622" s="8">
        <f t="shared" ca="1" si="295"/>
        <v>0</v>
      </c>
      <c r="H622" s="8">
        <f t="shared" ca="1" si="296"/>
        <v>0</v>
      </c>
      <c r="I622" s="8">
        <f t="shared" ca="1" si="297"/>
        <v>0</v>
      </c>
      <c r="J622" s="8">
        <f t="shared" ca="1" si="298"/>
        <v>0</v>
      </c>
      <c r="K622" s="8">
        <f t="shared" ca="1" si="299"/>
        <v>0</v>
      </c>
      <c r="L622" s="8">
        <f t="shared" ca="1" si="304"/>
        <v>0</v>
      </c>
      <c r="M622" s="8">
        <f t="shared" ca="1" si="305"/>
        <v>0</v>
      </c>
      <c r="N622" s="8">
        <f t="shared" ca="1" si="306"/>
        <v>0</v>
      </c>
      <c r="O622" s="8">
        <f t="shared" ca="1" si="307"/>
        <v>0</v>
      </c>
      <c r="P622" s="8">
        <f t="shared" ca="1" si="308"/>
        <v>0</v>
      </c>
      <c r="Q622" s="8">
        <f t="shared" ca="1" si="309"/>
        <v>0</v>
      </c>
      <c r="R622" s="8">
        <f t="shared" ca="1" si="310"/>
        <v>0</v>
      </c>
      <c r="S622" s="8">
        <f t="shared" ca="1" si="311"/>
        <v>0</v>
      </c>
      <c r="T622" s="8">
        <f t="shared" ca="1" si="312"/>
        <v>0</v>
      </c>
      <c r="U622" s="8">
        <f t="shared" ca="1" si="313"/>
        <v>0</v>
      </c>
      <c r="V622" s="8">
        <f t="shared" ca="1" si="314"/>
        <v>0</v>
      </c>
      <c r="W622" s="11" t="str">
        <f t="shared" ca="1" si="315"/>
        <v/>
      </c>
      <c r="X622" s="11" t="str">
        <f t="shared" ca="1" si="316"/>
        <v/>
      </c>
      <c r="Y622" s="11" t="str">
        <f t="shared" ca="1" si="317"/>
        <v/>
      </c>
      <c r="Z622" s="11" t="str">
        <f t="shared" ca="1" si="318"/>
        <v/>
      </c>
      <c r="AA622" s="11" t="str">
        <f t="shared" ca="1" si="319"/>
        <v/>
      </c>
      <c r="AB622" s="47">
        <f ca="1">PlayerGameData[[#This Row],[3FGA]]+PlayerGameData[[#This Row],[2FGA]]</f>
        <v>0</v>
      </c>
      <c r="AC622" s="47">
        <f ca="1">PlayerGameData[[#This Row],[OFF REB]]+PlayerGameData[[#This Row],[DEF REB]]</f>
        <v>0</v>
      </c>
      <c r="AD622" s="8">
        <f t="shared" si="300"/>
        <v>26</v>
      </c>
      <c r="AE622" s="8" t="str">
        <f t="shared" ca="1" si="301"/>
        <v>,  - Burlington 3/4/2023</v>
      </c>
      <c r="AF622" s="8" t="str">
        <f t="shared" ca="1" si="320"/>
        <v/>
      </c>
      <c r="AG622" s="8" t="str">
        <f ca="1">IFERROR(IF(C622=0,"",IF(AND(VLOOKUP(PlayerGameData[[#This Row],[Opponent]],WYTeamInfo,2,FALSE)=Roster!$D$1,VLOOKUP(PlayerGameData[[#This Row],[Opponent]],WYTeamInfo,3,FALSE)=Roster!$D$2),"SR","")),"")</f>
        <v/>
      </c>
      <c r="AH622" s="8" t="str">
        <f>CONCATENATE(Roster!$D$1," ",Roster!$D$5)</f>
        <v>1A BB</v>
      </c>
      <c r="AI622" s="8" t="str">
        <f t="shared" ca="1" si="302"/>
        <v>Upton - Burlington 3/4/2023</v>
      </c>
      <c r="AJ622" s="8">
        <f ca="1">IFERROR(VLOOKUP(PlayerGameData[[#This Row],[School, Opponent,Game'#]],Table3[],2,FALSE),0)</f>
        <v>1</v>
      </c>
      <c r="AK622" s="8">
        <f ca="1">IF(PlayerGameData[[#This Row],[Visible]]=1,1,1000)</f>
        <v>1</v>
      </c>
      <c r="AL622" s="8">
        <f ca="1">RANK(PlayerGameData[[#This Row],[TL PTS]],PlayerGameData[TL PTS],0)+PlayerGameData[[#This Row],[VisibleOrder]]</f>
        <v>185</v>
      </c>
      <c r="AM622" s="8">
        <f ca="1">IF(COUNTIF(PlayerGameData[PointOrder],PlayerGameData[[#This Row],[PointOrder]])&gt;1,RANK(PlayerGameData[[#This Row],[FGA]],PlayerGameData[FGA],0)/100,0)+PlayerGameData[[#This Row],[PointOrder]]</f>
        <v>187.14</v>
      </c>
      <c r="AN622" s="8">
        <f ca="1">RANK(PlayerGameData[[#This Row],[PointTieBreak]],PlayerGameData[PointTieBreak],1)</f>
        <v>216</v>
      </c>
      <c r="AO622" s="8">
        <f ca="1">RANK(PlayerGameData[[#This Row],[REB]],PlayerGameData[REB],0)+PlayerGameData[[#This Row],[VisibleOrder]]</f>
        <v>192</v>
      </c>
      <c r="AP622" s="8">
        <f ca="1">IF(COUNTIF(PlayerGameData[REBOrder],PlayerGameData[[#This Row],[REBOrder]])&gt;1,PlayerGameData[[#This Row],[PointRank]]/100+PlayerGameData[[#This Row],[REBOrder]],PlayerGameData[[#This Row],[REBOrder]])</f>
        <v>194.16</v>
      </c>
      <c r="AQ622" s="8">
        <f ca="1">RANK(PlayerGameData[[#This Row],[REBTieBreak]],PlayerGameData[REBTieBreak],1)</f>
        <v>224</v>
      </c>
      <c r="AR622" s="8">
        <f ca="1">RANK(PlayerGameData[[#This Row],[AST]],PlayerGameData[AST],0)+PlayerGameData[[#This Row],[VisibleOrder]]</f>
        <v>158</v>
      </c>
      <c r="AS622" s="8">
        <f ca="1">IF(COUNTIF(PlayerGameData[ASTOrder],PlayerGameData[[#This Row],[ASTOrder]])&gt;1,PlayerGameData[[#This Row],[PointRank]]/100+PlayerGameData[[#This Row],[ASTOrder]],PlayerGameData[[#This Row],[ASTOrder]])</f>
        <v>160.16</v>
      </c>
      <c r="AT622" s="8">
        <f ca="1">RANK(PlayerGameData[[#This Row],[ASTTieBreak]],PlayerGameData[ASTTieBreak],1)</f>
        <v>221</v>
      </c>
      <c r="AU622" s="8">
        <f ca="1">RANK(PlayerGameData[[#This Row],[STL]],PlayerGameData[STL],0)+PlayerGameData[[#This Row],[VisibleOrder]]</f>
        <v>143</v>
      </c>
      <c r="AV622" s="8">
        <f ca="1">IF(COUNTIF(PlayerGameData[STLOrder],PlayerGameData[[#This Row],[STLOrder]])&gt;1,PlayerGameData[[#This Row],[PointRank]]/100+PlayerGameData[[#This Row],[STLOrder]],PlayerGameData[[#This Row],[STLOrder]])</f>
        <v>145.16</v>
      </c>
      <c r="AW622" s="8">
        <f ca="1">RANK(PlayerGameData[[#This Row],[STLTieBreak]],PlayerGameData[STLTieBreak],1)</f>
        <v>217</v>
      </c>
      <c r="AX622" s="8">
        <f ca="1">RANK(PlayerGameData[[#This Row],[BLK]],PlayerGameData[BLK],0)+PlayerGameData[[#This Row],[VisibleOrder]]</f>
        <v>32</v>
      </c>
      <c r="AY622" s="8">
        <f ca="1">IF(COUNTIF(PlayerGameData[BLKOrder],PlayerGameData[[#This Row],[BLKOrder]])&gt;1,PlayerGameData[[#This Row],[PointRank]]/100+PlayerGameData[[#This Row],[BLKOrder]],PlayerGameData[[#This Row],[BLKOrder]])</f>
        <v>34.159999999999997</v>
      </c>
      <c r="AZ622" s="8">
        <f ca="1">RANK(PlayerGameData[[#This Row],[BLKTieBreak]],PlayerGameData[BLKTieBreak],1)</f>
        <v>216</v>
      </c>
      <c r="BA622" s="11">
        <f ca="1">IFERROR(IF(PlayerGameData[[#This Row],[FGA]]&gt;$AA$5,PlayerGameData[[#This Row],[FG%*]],PlayerGameData[[#This Row],[FG%*]]*-1),-2)</f>
        <v>-2</v>
      </c>
      <c r="BB622" s="8">
        <f ca="1">RANK(PlayerGameData[[#This Row],[EligFG]],PlayerGameData[EligFG],0)+PlayerGameData[[#This Row],[VisibleOrder]]</f>
        <v>215</v>
      </c>
      <c r="BC622" s="8">
        <f ca="1">IF(COUNTIF(PlayerGameData[EligFGOrder],PlayerGameData[[#This Row],[EligFGOrder]])&gt;1,PlayerGameData[[#This Row],[PointRank]]/100+PlayerGameData[[#This Row],[EligFGOrder]],PlayerGameData[[#This Row],[EligFGOrder]])</f>
        <v>217.16</v>
      </c>
      <c r="BD622" s="8">
        <f ca="1">RANK(PlayerGameData[[#This Row],[EligFGTieBreak]],PlayerGameData[EligFGTieBreak],1)</f>
        <v>216</v>
      </c>
      <c r="BE622" s="8" t="str">
        <f>Roster!$D$3</f>
        <v>East</v>
      </c>
      <c r="BF622" s="8" t="str">
        <f>Roster!$D$2</f>
        <v>Northeast</v>
      </c>
      <c r="BG622" s="8" t="str">
        <f>Roster!$D$4</f>
        <v>North</v>
      </c>
      <c r="BH622" s="197">
        <f ca="1">IFERROR(VLOOKUP(CONCATENATE(PlayerGameData[[#This Row],[Opponent]]," ",MONTH(PlayerGameData[[#This Row],[Date]]),"/",DAY(PlayerGameData[[#This Row],[Date]]),"/",YEAR(PlayerGameData[[#This Row],[Date]])),Table35[],2,FALSE),0)</f>
        <v>1</v>
      </c>
      <c r="BI622" s="197">
        <f ca="1">IF(PlayerGameData[[#This Row],[Visible]]=1,1,1000)</f>
        <v>1</v>
      </c>
      <c r="BJ622" s="197" t="e">
        <f ca="1">_xlfn.MAXIFS(TeamGameData[Win],TeamGameData[School, Opponent,Game'#],PlayerGameData[[#This Row],[School, Opponent,Game'#]])</f>
        <v>#NAME?</v>
      </c>
      <c r="BK622" s="197" t="e">
        <f ca="1">_xlfn.MAXIFS(TeamGameData[Loss],TeamGameData[School, Opponent,Game'#],PlayerGameData[[#This Row],[School, Opponent,Game'#]])</f>
        <v>#NAME?</v>
      </c>
    </row>
    <row r="623" spans="1:63" x14ac:dyDescent="0.25">
      <c r="A623" s="8" t="str">
        <f t="shared" ca="1" si="303"/>
        <v xml:space="preserve">, </v>
      </c>
      <c r="B623" s="8" t="str">
        <f>Roster!$B$1</f>
        <v>Upton</v>
      </c>
      <c r="C623" s="8" t="str">
        <f t="shared" ca="1" si="291"/>
        <v>Burlington</v>
      </c>
      <c r="D623" s="10">
        <f t="shared" ca="1" si="292"/>
        <v>44989</v>
      </c>
      <c r="E623" s="8">
        <f t="shared" ca="1" si="293"/>
        <v>0</v>
      </c>
      <c r="F623" s="8">
        <f t="shared" ca="1" si="294"/>
        <v>0</v>
      </c>
      <c r="G623" s="8">
        <f t="shared" ca="1" si="295"/>
        <v>0</v>
      </c>
      <c r="H623" s="8">
        <f t="shared" ca="1" si="296"/>
        <v>0</v>
      </c>
      <c r="I623" s="8">
        <f t="shared" ca="1" si="297"/>
        <v>0</v>
      </c>
      <c r="J623" s="8">
        <f t="shared" ca="1" si="298"/>
        <v>0</v>
      </c>
      <c r="K623" s="8">
        <f t="shared" ca="1" si="299"/>
        <v>0</v>
      </c>
      <c r="L623" s="8">
        <f t="shared" ca="1" si="304"/>
        <v>0</v>
      </c>
      <c r="M623" s="8">
        <f t="shared" ca="1" si="305"/>
        <v>0</v>
      </c>
      <c r="N623" s="8">
        <f t="shared" ca="1" si="306"/>
        <v>0</v>
      </c>
      <c r="O623" s="8">
        <f t="shared" ca="1" si="307"/>
        <v>0</v>
      </c>
      <c r="P623" s="8">
        <f t="shared" ca="1" si="308"/>
        <v>0</v>
      </c>
      <c r="Q623" s="8">
        <f t="shared" ca="1" si="309"/>
        <v>0</v>
      </c>
      <c r="R623" s="8">
        <f t="shared" ca="1" si="310"/>
        <v>0</v>
      </c>
      <c r="S623" s="8">
        <f t="shared" ca="1" si="311"/>
        <v>0</v>
      </c>
      <c r="T623" s="8">
        <f t="shared" ca="1" si="312"/>
        <v>0</v>
      </c>
      <c r="U623" s="8">
        <f t="shared" ca="1" si="313"/>
        <v>0</v>
      </c>
      <c r="V623" s="8">
        <f t="shared" ca="1" si="314"/>
        <v>0</v>
      </c>
      <c r="W623" s="11" t="str">
        <f t="shared" ca="1" si="315"/>
        <v/>
      </c>
      <c r="X623" s="11" t="str">
        <f t="shared" ca="1" si="316"/>
        <v/>
      </c>
      <c r="Y623" s="11" t="str">
        <f t="shared" ca="1" si="317"/>
        <v/>
      </c>
      <c r="Z623" s="11" t="str">
        <f t="shared" ca="1" si="318"/>
        <v/>
      </c>
      <c r="AA623" s="11" t="str">
        <f t="shared" ca="1" si="319"/>
        <v/>
      </c>
      <c r="AB623" s="47">
        <f ca="1">PlayerGameData[[#This Row],[3FGA]]+PlayerGameData[[#This Row],[2FGA]]</f>
        <v>0</v>
      </c>
      <c r="AC623" s="47">
        <f ca="1">PlayerGameData[[#This Row],[OFF REB]]+PlayerGameData[[#This Row],[DEF REB]]</f>
        <v>0</v>
      </c>
      <c r="AD623" s="8">
        <f t="shared" si="300"/>
        <v>26</v>
      </c>
      <c r="AE623" s="8" t="str">
        <f t="shared" ca="1" si="301"/>
        <v>,  - Burlington 3/4/2023</v>
      </c>
      <c r="AF623" s="8" t="str">
        <f t="shared" ca="1" si="320"/>
        <v/>
      </c>
      <c r="AG623" s="8" t="str">
        <f ca="1">IFERROR(IF(C623=0,"",IF(AND(VLOOKUP(PlayerGameData[[#This Row],[Opponent]],WYTeamInfo,2,FALSE)=Roster!$D$1,VLOOKUP(PlayerGameData[[#This Row],[Opponent]],WYTeamInfo,3,FALSE)=Roster!$D$2),"SR","")),"")</f>
        <v/>
      </c>
      <c r="AH623" s="8" t="str">
        <f>CONCATENATE(Roster!$D$1," ",Roster!$D$5)</f>
        <v>1A BB</v>
      </c>
      <c r="AI623" s="8" t="str">
        <f t="shared" ca="1" si="302"/>
        <v>Upton - Burlington 3/4/2023</v>
      </c>
      <c r="AJ623" s="8">
        <f ca="1">IFERROR(VLOOKUP(PlayerGameData[[#This Row],[School, Opponent,Game'#]],Table3[],2,FALSE),0)</f>
        <v>1</v>
      </c>
      <c r="AK623" s="8">
        <f ca="1">IF(PlayerGameData[[#This Row],[Visible]]=1,1,1000)</f>
        <v>1</v>
      </c>
      <c r="AL623" s="8">
        <f ca="1">RANK(PlayerGameData[[#This Row],[TL PTS]],PlayerGameData[TL PTS],0)+PlayerGameData[[#This Row],[VisibleOrder]]</f>
        <v>185</v>
      </c>
      <c r="AM623" s="8">
        <f ca="1">IF(COUNTIF(PlayerGameData[PointOrder],PlayerGameData[[#This Row],[PointOrder]])&gt;1,RANK(PlayerGameData[[#This Row],[FGA]],PlayerGameData[FGA],0)/100,0)+PlayerGameData[[#This Row],[PointOrder]]</f>
        <v>187.14</v>
      </c>
      <c r="AN623" s="8">
        <f ca="1">RANK(PlayerGameData[[#This Row],[PointTieBreak]],PlayerGameData[PointTieBreak],1)</f>
        <v>216</v>
      </c>
      <c r="AO623" s="8">
        <f ca="1">RANK(PlayerGameData[[#This Row],[REB]],PlayerGameData[REB],0)+PlayerGameData[[#This Row],[VisibleOrder]]</f>
        <v>192</v>
      </c>
      <c r="AP623" s="8">
        <f ca="1">IF(COUNTIF(PlayerGameData[REBOrder],PlayerGameData[[#This Row],[REBOrder]])&gt;1,PlayerGameData[[#This Row],[PointRank]]/100+PlayerGameData[[#This Row],[REBOrder]],PlayerGameData[[#This Row],[REBOrder]])</f>
        <v>194.16</v>
      </c>
      <c r="AQ623" s="8">
        <f ca="1">RANK(PlayerGameData[[#This Row],[REBTieBreak]],PlayerGameData[REBTieBreak],1)</f>
        <v>224</v>
      </c>
      <c r="AR623" s="8">
        <f ca="1">RANK(PlayerGameData[[#This Row],[AST]],PlayerGameData[AST],0)+PlayerGameData[[#This Row],[VisibleOrder]]</f>
        <v>158</v>
      </c>
      <c r="AS623" s="8">
        <f ca="1">IF(COUNTIF(PlayerGameData[ASTOrder],PlayerGameData[[#This Row],[ASTOrder]])&gt;1,PlayerGameData[[#This Row],[PointRank]]/100+PlayerGameData[[#This Row],[ASTOrder]],PlayerGameData[[#This Row],[ASTOrder]])</f>
        <v>160.16</v>
      </c>
      <c r="AT623" s="8">
        <f ca="1">RANK(PlayerGameData[[#This Row],[ASTTieBreak]],PlayerGameData[ASTTieBreak],1)</f>
        <v>221</v>
      </c>
      <c r="AU623" s="8">
        <f ca="1">RANK(PlayerGameData[[#This Row],[STL]],PlayerGameData[STL],0)+PlayerGameData[[#This Row],[VisibleOrder]]</f>
        <v>143</v>
      </c>
      <c r="AV623" s="8">
        <f ca="1">IF(COUNTIF(PlayerGameData[STLOrder],PlayerGameData[[#This Row],[STLOrder]])&gt;1,PlayerGameData[[#This Row],[PointRank]]/100+PlayerGameData[[#This Row],[STLOrder]],PlayerGameData[[#This Row],[STLOrder]])</f>
        <v>145.16</v>
      </c>
      <c r="AW623" s="8">
        <f ca="1">RANK(PlayerGameData[[#This Row],[STLTieBreak]],PlayerGameData[STLTieBreak],1)</f>
        <v>217</v>
      </c>
      <c r="AX623" s="8">
        <f ca="1">RANK(PlayerGameData[[#This Row],[BLK]],PlayerGameData[BLK],0)+PlayerGameData[[#This Row],[VisibleOrder]]</f>
        <v>32</v>
      </c>
      <c r="AY623" s="8">
        <f ca="1">IF(COUNTIF(PlayerGameData[BLKOrder],PlayerGameData[[#This Row],[BLKOrder]])&gt;1,PlayerGameData[[#This Row],[PointRank]]/100+PlayerGameData[[#This Row],[BLKOrder]],PlayerGameData[[#This Row],[BLKOrder]])</f>
        <v>34.159999999999997</v>
      </c>
      <c r="AZ623" s="8">
        <f ca="1">RANK(PlayerGameData[[#This Row],[BLKTieBreak]],PlayerGameData[BLKTieBreak],1)</f>
        <v>216</v>
      </c>
      <c r="BA623" s="11">
        <f ca="1">IFERROR(IF(PlayerGameData[[#This Row],[FGA]]&gt;$AA$5,PlayerGameData[[#This Row],[FG%*]],PlayerGameData[[#This Row],[FG%*]]*-1),-2)</f>
        <v>-2</v>
      </c>
      <c r="BB623" s="8">
        <f ca="1">RANK(PlayerGameData[[#This Row],[EligFG]],PlayerGameData[EligFG],0)+PlayerGameData[[#This Row],[VisibleOrder]]</f>
        <v>215</v>
      </c>
      <c r="BC623" s="8">
        <f ca="1">IF(COUNTIF(PlayerGameData[EligFGOrder],PlayerGameData[[#This Row],[EligFGOrder]])&gt;1,PlayerGameData[[#This Row],[PointRank]]/100+PlayerGameData[[#This Row],[EligFGOrder]],PlayerGameData[[#This Row],[EligFGOrder]])</f>
        <v>217.16</v>
      </c>
      <c r="BD623" s="8">
        <f ca="1">RANK(PlayerGameData[[#This Row],[EligFGTieBreak]],PlayerGameData[EligFGTieBreak],1)</f>
        <v>216</v>
      </c>
      <c r="BE623" s="8" t="str">
        <f>Roster!$D$3</f>
        <v>East</v>
      </c>
      <c r="BF623" s="8" t="str">
        <f>Roster!$D$2</f>
        <v>Northeast</v>
      </c>
      <c r="BG623" s="8" t="str">
        <f>Roster!$D$4</f>
        <v>North</v>
      </c>
      <c r="BH623" s="197">
        <f ca="1">IFERROR(VLOOKUP(CONCATENATE(PlayerGameData[[#This Row],[Opponent]]," ",MONTH(PlayerGameData[[#This Row],[Date]]),"/",DAY(PlayerGameData[[#This Row],[Date]]),"/",YEAR(PlayerGameData[[#This Row],[Date]])),Table35[],2,FALSE),0)</f>
        <v>1</v>
      </c>
      <c r="BI623" s="197">
        <f ca="1">IF(PlayerGameData[[#This Row],[Visible]]=1,1,1000)</f>
        <v>1</v>
      </c>
      <c r="BJ623" s="197" t="e">
        <f ca="1">_xlfn.MAXIFS(TeamGameData[Win],TeamGameData[School, Opponent,Game'#],PlayerGameData[[#This Row],[School, Opponent,Game'#]])</f>
        <v>#NAME?</v>
      </c>
      <c r="BK623" s="197" t="e">
        <f ca="1">_xlfn.MAXIFS(TeamGameData[Loss],TeamGameData[School, Opponent,Game'#],PlayerGameData[[#This Row],[School, Opponent,Game'#]])</f>
        <v>#NAME?</v>
      </c>
    </row>
    <row r="624" spans="1:63" x14ac:dyDescent="0.25">
      <c r="A624" s="8" t="str">
        <f t="shared" ca="1" si="303"/>
        <v xml:space="preserve">, </v>
      </c>
      <c r="B624" s="8" t="str">
        <f>Roster!$B$1</f>
        <v>Upton</v>
      </c>
      <c r="C624" s="8" t="str">
        <f t="shared" ca="1" si="291"/>
        <v>Burlington</v>
      </c>
      <c r="D624" s="10">
        <f t="shared" ca="1" si="292"/>
        <v>44989</v>
      </c>
      <c r="E624" s="8">
        <f t="shared" ca="1" si="293"/>
        <v>0</v>
      </c>
      <c r="F624" s="8">
        <f t="shared" ca="1" si="294"/>
        <v>0</v>
      </c>
      <c r="G624" s="8">
        <f t="shared" ca="1" si="295"/>
        <v>0</v>
      </c>
      <c r="H624" s="8">
        <f t="shared" ca="1" si="296"/>
        <v>0</v>
      </c>
      <c r="I624" s="8">
        <f t="shared" ca="1" si="297"/>
        <v>0</v>
      </c>
      <c r="J624" s="8">
        <f t="shared" ca="1" si="298"/>
        <v>0</v>
      </c>
      <c r="K624" s="8">
        <f t="shared" ca="1" si="299"/>
        <v>0</v>
      </c>
      <c r="L624" s="8">
        <f t="shared" ca="1" si="304"/>
        <v>0</v>
      </c>
      <c r="M624" s="8">
        <f t="shared" ca="1" si="305"/>
        <v>0</v>
      </c>
      <c r="N624" s="8">
        <f t="shared" ca="1" si="306"/>
        <v>0</v>
      </c>
      <c r="O624" s="8">
        <f t="shared" ca="1" si="307"/>
        <v>0</v>
      </c>
      <c r="P624" s="8">
        <f t="shared" ca="1" si="308"/>
        <v>0</v>
      </c>
      <c r="Q624" s="8">
        <f t="shared" ca="1" si="309"/>
        <v>0</v>
      </c>
      <c r="R624" s="8">
        <f t="shared" ca="1" si="310"/>
        <v>0</v>
      </c>
      <c r="S624" s="8">
        <f t="shared" ca="1" si="311"/>
        <v>0</v>
      </c>
      <c r="T624" s="8">
        <f t="shared" ca="1" si="312"/>
        <v>0</v>
      </c>
      <c r="U624" s="8">
        <f t="shared" ca="1" si="313"/>
        <v>0</v>
      </c>
      <c r="V624" s="8">
        <f t="shared" ca="1" si="314"/>
        <v>0</v>
      </c>
      <c r="W624" s="11" t="str">
        <f t="shared" ca="1" si="315"/>
        <v/>
      </c>
      <c r="X624" s="11" t="str">
        <f t="shared" ca="1" si="316"/>
        <v/>
      </c>
      <c r="Y624" s="11" t="str">
        <f t="shared" ca="1" si="317"/>
        <v/>
      </c>
      <c r="Z624" s="11" t="str">
        <f t="shared" ca="1" si="318"/>
        <v/>
      </c>
      <c r="AA624" s="11" t="str">
        <f t="shared" ca="1" si="319"/>
        <v/>
      </c>
      <c r="AB624" s="47">
        <f ca="1">PlayerGameData[[#This Row],[3FGA]]+PlayerGameData[[#This Row],[2FGA]]</f>
        <v>0</v>
      </c>
      <c r="AC624" s="47">
        <f ca="1">PlayerGameData[[#This Row],[OFF REB]]+PlayerGameData[[#This Row],[DEF REB]]</f>
        <v>0</v>
      </c>
      <c r="AD624" s="8">
        <f t="shared" si="300"/>
        <v>26</v>
      </c>
      <c r="AE624" s="8" t="str">
        <f t="shared" ca="1" si="301"/>
        <v>,  - Burlington 3/4/2023</v>
      </c>
      <c r="AF624" s="8" t="str">
        <f t="shared" ca="1" si="320"/>
        <v/>
      </c>
      <c r="AG624" s="8" t="str">
        <f ca="1">IFERROR(IF(C624=0,"",IF(AND(VLOOKUP(PlayerGameData[[#This Row],[Opponent]],WYTeamInfo,2,FALSE)=Roster!$D$1,VLOOKUP(PlayerGameData[[#This Row],[Opponent]],WYTeamInfo,3,FALSE)=Roster!$D$2),"SR","")),"")</f>
        <v/>
      </c>
      <c r="AH624" s="8" t="str">
        <f>CONCATENATE(Roster!$D$1," ",Roster!$D$5)</f>
        <v>1A BB</v>
      </c>
      <c r="AI624" s="8" t="str">
        <f t="shared" ca="1" si="302"/>
        <v>Upton - Burlington 3/4/2023</v>
      </c>
      <c r="AJ624" s="8">
        <f ca="1">IFERROR(VLOOKUP(PlayerGameData[[#This Row],[School, Opponent,Game'#]],Table3[],2,FALSE),0)</f>
        <v>1</v>
      </c>
      <c r="AK624" s="8">
        <f ca="1">IF(PlayerGameData[[#This Row],[Visible]]=1,1,1000)</f>
        <v>1</v>
      </c>
      <c r="AL624" s="8">
        <f ca="1">RANK(PlayerGameData[[#This Row],[TL PTS]],PlayerGameData[TL PTS],0)+PlayerGameData[[#This Row],[VisibleOrder]]</f>
        <v>185</v>
      </c>
      <c r="AM624" s="8">
        <f ca="1">IF(COUNTIF(PlayerGameData[PointOrder],PlayerGameData[[#This Row],[PointOrder]])&gt;1,RANK(PlayerGameData[[#This Row],[FGA]],PlayerGameData[FGA],0)/100,0)+PlayerGameData[[#This Row],[PointOrder]]</f>
        <v>187.14</v>
      </c>
      <c r="AN624" s="8">
        <f ca="1">RANK(PlayerGameData[[#This Row],[PointTieBreak]],PlayerGameData[PointTieBreak],1)</f>
        <v>216</v>
      </c>
      <c r="AO624" s="8">
        <f ca="1">RANK(PlayerGameData[[#This Row],[REB]],PlayerGameData[REB],0)+PlayerGameData[[#This Row],[VisibleOrder]]</f>
        <v>192</v>
      </c>
      <c r="AP624" s="8">
        <f ca="1">IF(COUNTIF(PlayerGameData[REBOrder],PlayerGameData[[#This Row],[REBOrder]])&gt;1,PlayerGameData[[#This Row],[PointRank]]/100+PlayerGameData[[#This Row],[REBOrder]],PlayerGameData[[#This Row],[REBOrder]])</f>
        <v>194.16</v>
      </c>
      <c r="AQ624" s="8">
        <f ca="1">RANK(PlayerGameData[[#This Row],[REBTieBreak]],PlayerGameData[REBTieBreak],1)</f>
        <v>224</v>
      </c>
      <c r="AR624" s="8">
        <f ca="1">RANK(PlayerGameData[[#This Row],[AST]],PlayerGameData[AST],0)+PlayerGameData[[#This Row],[VisibleOrder]]</f>
        <v>158</v>
      </c>
      <c r="AS624" s="8">
        <f ca="1">IF(COUNTIF(PlayerGameData[ASTOrder],PlayerGameData[[#This Row],[ASTOrder]])&gt;1,PlayerGameData[[#This Row],[PointRank]]/100+PlayerGameData[[#This Row],[ASTOrder]],PlayerGameData[[#This Row],[ASTOrder]])</f>
        <v>160.16</v>
      </c>
      <c r="AT624" s="8">
        <f ca="1">RANK(PlayerGameData[[#This Row],[ASTTieBreak]],PlayerGameData[ASTTieBreak],1)</f>
        <v>221</v>
      </c>
      <c r="AU624" s="8">
        <f ca="1">RANK(PlayerGameData[[#This Row],[STL]],PlayerGameData[STL],0)+PlayerGameData[[#This Row],[VisibleOrder]]</f>
        <v>143</v>
      </c>
      <c r="AV624" s="8">
        <f ca="1">IF(COUNTIF(PlayerGameData[STLOrder],PlayerGameData[[#This Row],[STLOrder]])&gt;1,PlayerGameData[[#This Row],[PointRank]]/100+PlayerGameData[[#This Row],[STLOrder]],PlayerGameData[[#This Row],[STLOrder]])</f>
        <v>145.16</v>
      </c>
      <c r="AW624" s="8">
        <f ca="1">RANK(PlayerGameData[[#This Row],[STLTieBreak]],PlayerGameData[STLTieBreak],1)</f>
        <v>217</v>
      </c>
      <c r="AX624" s="8">
        <f ca="1">RANK(PlayerGameData[[#This Row],[BLK]],PlayerGameData[BLK],0)+PlayerGameData[[#This Row],[VisibleOrder]]</f>
        <v>32</v>
      </c>
      <c r="AY624" s="8">
        <f ca="1">IF(COUNTIF(PlayerGameData[BLKOrder],PlayerGameData[[#This Row],[BLKOrder]])&gt;1,PlayerGameData[[#This Row],[PointRank]]/100+PlayerGameData[[#This Row],[BLKOrder]],PlayerGameData[[#This Row],[BLKOrder]])</f>
        <v>34.159999999999997</v>
      </c>
      <c r="AZ624" s="8">
        <f ca="1">RANK(PlayerGameData[[#This Row],[BLKTieBreak]],PlayerGameData[BLKTieBreak],1)</f>
        <v>216</v>
      </c>
      <c r="BA624" s="11">
        <f ca="1">IFERROR(IF(PlayerGameData[[#This Row],[FGA]]&gt;$AA$5,PlayerGameData[[#This Row],[FG%*]],PlayerGameData[[#This Row],[FG%*]]*-1),-2)</f>
        <v>-2</v>
      </c>
      <c r="BB624" s="8">
        <f ca="1">RANK(PlayerGameData[[#This Row],[EligFG]],PlayerGameData[EligFG],0)+PlayerGameData[[#This Row],[VisibleOrder]]</f>
        <v>215</v>
      </c>
      <c r="BC624" s="8">
        <f ca="1">IF(COUNTIF(PlayerGameData[EligFGOrder],PlayerGameData[[#This Row],[EligFGOrder]])&gt;1,PlayerGameData[[#This Row],[PointRank]]/100+PlayerGameData[[#This Row],[EligFGOrder]],PlayerGameData[[#This Row],[EligFGOrder]])</f>
        <v>217.16</v>
      </c>
      <c r="BD624" s="8">
        <f ca="1">RANK(PlayerGameData[[#This Row],[EligFGTieBreak]],PlayerGameData[EligFGTieBreak],1)</f>
        <v>216</v>
      </c>
      <c r="BE624" s="8" t="str">
        <f>Roster!$D$3</f>
        <v>East</v>
      </c>
      <c r="BF624" s="8" t="str">
        <f>Roster!$D$2</f>
        <v>Northeast</v>
      </c>
      <c r="BG624" s="8" t="str">
        <f>Roster!$D$4</f>
        <v>North</v>
      </c>
      <c r="BH624" s="197">
        <f ca="1">IFERROR(VLOOKUP(CONCATENATE(PlayerGameData[[#This Row],[Opponent]]," ",MONTH(PlayerGameData[[#This Row],[Date]]),"/",DAY(PlayerGameData[[#This Row],[Date]]),"/",YEAR(PlayerGameData[[#This Row],[Date]])),Table35[],2,FALSE),0)</f>
        <v>1</v>
      </c>
      <c r="BI624" s="197">
        <f ca="1">IF(PlayerGameData[[#This Row],[Visible]]=1,1,1000)</f>
        <v>1</v>
      </c>
      <c r="BJ624" s="197" t="e">
        <f ca="1">_xlfn.MAXIFS(TeamGameData[Win],TeamGameData[School, Opponent,Game'#],PlayerGameData[[#This Row],[School, Opponent,Game'#]])</f>
        <v>#NAME?</v>
      </c>
      <c r="BK624" s="197" t="e">
        <f ca="1">_xlfn.MAXIFS(TeamGameData[Loss],TeamGameData[School, Opponent,Game'#],PlayerGameData[[#This Row],[School, Opponent,Game'#]])</f>
        <v>#NAME?</v>
      </c>
    </row>
    <row r="625" spans="1:63" x14ac:dyDescent="0.25">
      <c r="A625" s="8" t="str">
        <f t="shared" ca="1" si="303"/>
        <v xml:space="preserve">, </v>
      </c>
      <c r="B625" s="8" t="str">
        <f>Roster!$B$1</f>
        <v>Upton</v>
      </c>
      <c r="C625" s="8" t="str">
        <f t="shared" ca="1" si="291"/>
        <v>Burlington</v>
      </c>
      <c r="D625" s="10">
        <f t="shared" ca="1" si="292"/>
        <v>44989</v>
      </c>
      <c r="E625" s="8">
        <f t="shared" ca="1" si="293"/>
        <v>0</v>
      </c>
      <c r="F625" s="8">
        <f t="shared" ca="1" si="294"/>
        <v>0</v>
      </c>
      <c r="G625" s="8">
        <f t="shared" ca="1" si="295"/>
        <v>0</v>
      </c>
      <c r="H625" s="8">
        <f t="shared" ca="1" si="296"/>
        <v>0</v>
      </c>
      <c r="I625" s="8">
        <f t="shared" ca="1" si="297"/>
        <v>0</v>
      </c>
      <c r="J625" s="8">
        <f t="shared" ca="1" si="298"/>
        <v>0</v>
      </c>
      <c r="K625" s="8">
        <f t="shared" ca="1" si="299"/>
        <v>0</v>
      </c>
      <c r="L625" s="8">
        <f t="shared" ca="1" si="304"/>
        <v>0</v>
      </c>
      <c r="M625" s="8">
        <f t="shared" ca="1" si="305"/>
        <v>0</v>
      </c>
      <c r="N625" s="8">
        <f t="shared" ca="1" si="306"/>
        <v>0</v>
      </c>
      <c r="O625" s="8">
        <f t="shared" ca="1" si="307"/>
        <v>0</v>
      </c>
      <c r="P625" s="8">
        <f t="shared" ca="1" si="308"/>
        <v>0</v>
      </c>
      <c r="Q625" s="8">
        <f t="shared" ca="1" si="309"/>
        <v>0</v>
      </c>
      <c r="R625" s="8">
        <f t="shared" ca="1" si="310"/>
        <v>0</v>
      </c>
      <c r="S625" s="8">
        <f t="shared" ca="1" si="311"/>
        <v>0</v>
      </c>
      <c r="T625" s="8">
        <f t="shared" ca="1" si="312"/>
        <v>0</v>
      </c>
      <c r="U625" s="8">
        <f t="shared" ca="1" si="313"/>
        <v>0</v>
      </c>
      <c r="V625" s="8">
        <f t="shared" ca="1" si="314"/>
        <v>0</v>
      </c>
      <c r="W625" s="11" t="str">
        <f t="shared" ca="1" si="315"/>
        <v/>
      </c>
      <c r="X625" s="11" t="str">
        <f t="shared" ca="1" si="316"/>
        <v/>
      </c>
      <c r="Y625" s="11" t="str">
        <f t="shared" ca="1" si="317"/>
        <v/>
      </c>
      <c r="Z625" s="11" t="str">
        <f t="shared" ca="1" si="318"/>
        <v/>
      </c>
      <c r="AA625" s="11" t="str">
        <f t="shared" ca="1" si="319"/>
        <v/>
      </c>
      <c r="AB625" s="47">
        <f ca="1">PlayerGameData[[#This Row],[3FGA]]+PlayerGameData[[#This Row],[2FGA]]</f>
        <v>0</v>
      </c>
      <c r="AC625" s="47">
        <f ca="1">PlayerGameData[[#This Row],[OFF REB]]+PlayerGameData[[#This Row],[DEF REB]]</f>
        <v>0</v>
      </c>
      <c r="AD625" s="8">
        <f t="shared" si="300"/>
        <v>26</v>
      </c>
      <c r="AE625" s="8" t="str">
        <f t="shared" ca="1" si="301"/>
        <v>,  - Burlington 3/4/2023</v>
      </c>
      <c r="AF625" s="8" t="str">
        <f t="shared" ca="1" si="320"/>
        <v/>
      </c>
      <c r="AG625" s="8" t="str">
        <f ca="1">IFERROR(IF(C625=0,"",IF(AND(VLOOKUP(PlayerGameData[[#This Row],[Opponent]],WYTeamInfo,2,FALSE)=Roster!$D$1,VLOOKUP(PlayerGameData[[#This Row],[Opponent]],WYTeamInfo,3,FALSE)=Roster!$D$2),"SR","")),"")</f>
        <v/>
      </c>
      <c r="AH625" s="8" t="str">
        <f>CONCATENATE(Roster!$D$1," ",Roster!$D$5)</f>
        <v>1A BB</v>
      </c>
      <c r="AI625" s="8" t="str">
        <f t="shared" ca="1" si="302"/>
        <v>Upton - Burlington 3/4/2023</v>
      </c>
      <c r="AJ625" s="8">
        <f ca="1">IFERROR(VLOOKUP(PlayerGameData[[#This Row],[School, Opponent,Game'#]],Table3[],2,FALSE),0)</f>
        <v>1</v>
      </c>
      <c r="AK625" s="8">
        <f ca="1">IF(PlayerGameData[[#This Row],[Visible]]=1,1,1000)</f>
        <v>1</v>
      </c>
      <c r="AL625" s="8">
        <f ca="1">RANK(PlayerGameData[[#This Row],[TL PTS]],PlayerGameData[TL PTS],0)+PlayerGameData[[#This Row],[VisibleOrder]]</f>
        <v>185</v>
      </c>
      <c r="AM625" s="8">
        <f ca="1">IF(COUNTIF(PlayerGameData[PointOrder],PlayerGameData[[#This Row],[PointOrder]])&gt;1,RANK(PlayerGameData[[#This Row],[FGA]],PlayerGameData[FGA],0)/100,0)+PlayerGameData[[#This Row],[PointOrder]]</f>
        <v>187.14</v>
      </c>
      <c r="AN625" s="8">
        <f ca="1">RANK(PlayerGameData[[#This Row],[PointTieBreak]],PlayerGameData[PointTieBreak],1)</f>
        <v>216</v>
      </c>
      <c r="AO625" s="8">
        <f ca="1">RANK(PlayerGameData[[#This Row],[REB]],PlayerGameData[REB],0)+PlayerGameData[[#This Row],[VisibleOrder]]</f>
        <v>192</v>
      </c>
      <c r="AP625" s="8">
        <f ca="1">IF(COUNTIF(PlayerGameData[REBOrder],PlayerGameData[[#This Row],[REBOrder]])&gt;1,PlayerGameData[[#This Row],[PointRank]]/100+PlayerGameData[[#This Row],[REBOrder]],PlayerGameData[[#This Row],[REBOrder]])</f>
        <v>194.16</v>
      </c>
      <c r="AQ625" s="8">
        <f ca="1">RANK(PlayerGameData[[#This Row],[REBTieBreak]],PlayerGameData[REBTieBreak],1)</f>
        <v>224</v>
      </c>
      <c r="AR625" s="8">
        <f ca="1">RANK(PlayerGameData[[#This Row],[AST]],PlayerGameData[AST],0)+PlayerGameData[[#This Row],[VisibleOrder]]</f>
        <v>158</v>
      </c>
      <c r="AS625" s="8">
        <f ca="1">IF(COUNTIF(PlayerGameData[ASTOrder],PlayerGameData[[#This Row],[ASTOrder]])&gt;1,PlayerGameData[[#This Row],[PointRank]]/100+PlayerGameData[[#This Row],[ASTOrder]],PlayerGameData[[#This Row],[ASTOrder]])</f>
        <v>160.16</v>
      </c>
      <c r="AT625" s="8">
        <f ca="1">RANK(PlayerGameData[[#This Row],[ASTTieBreak]],PlayerGameData[ASTTieBreak],1)</f>
        <v>221</v>
      </c>
      <c r="AU625" s="8">
        <f ca="1">RANK(PlayerGameData[[#This Row],[STL]],PlayerGameData[STL],0)+PlayerGameData[[#This Row],[VisibleOrder]]</f>
        <v>143</v>
      </c>
      <c r="AV625" s="8">
        <f ca="1">IF(COUNTIF(PlayerGameData[STLOrder],PlayerGameData[[#This Row],[STLOrder]])&gt;1,PlayerGameData[[#This Row],[PointRank]]/100+PlayerGameData[[#This Row],[STLOrder]],PlayerGameData[[#This Row],[STLOrder]])</f>
        <v>145.16</v>
      </c>
      <c r="AW625" s="8">
        <f ca="1">RANK(PlayerGameData[[#This Row],[STLTieBreak]],PlayerGameData[STLTieBreak],1)</f>
        <v>217</v>
      </c>
      <c r="AX625" s="8">
        <f ca="1">RANK(PlayerGameData[[#This Row],[BLK]],PlayerGameData[BLK],0)+PlayerGameData[[#This Row],[VisibleOrder]]</f>
        <v>32</v>
      </c>
      <c r="AY625" s="8">
        <f ca="1">IF(COUNTIF(PlayerGameData[BLKOrder],PlayerGameData[[#This Row],[BLKOrder]])&gt;1,PlayerGameData[[#This Row],[PointRank]]/100+PlayerGameData[[#This Row],[BLKOrder]],PlayerGameData[[#This Row],[BLKOrder]])</f>
        <v>34.159999999999997</v>
      </c>
      <c r="AZ625" s="8">
        <f ca="1">RANK(PlayerGameData[[#This Row],[BLKTieBreak]],PlayerGameData[BLKTieBreak],1)</f>
        <v>216</v>
      </c>
      <c r="BA625" s="11">
        <f ca="1">IFERROR(IF(PlayerGameData[[#This Row],[FGA]]&gt;$AA$5,PlayerGameData[[#This Row],[FG%*]],PlayerGameData[[#This Row],[FG%*]]*-1),-2)</f>
        <v>-2</v>
      </c>
      <c r="BB625" s="8">
        <f ca="1">RANK(PlayerGameData[[#This Row],[EligFG]],PlayerGameData[EligFG],0)+PlayerGameData[[#This Row],[VisibleOrder]]</f>
        <v>215</v>
      </c>
      <c r="BC625" s="8">
        <f ca="1">IF(COUNTIF(PlayerGameData[EligFGOrder],PlayerGameData[[#This Row],[EligFGOrder]])&gt;1,PlayerGameData[[#This Row],[PointRank]]/100+PlayerGameData[[#This Row],[EligFGOrder]],PlayerGameData[[#This Row],[EligFGOrder]])</f>
        <v>217.16</v>
      </c>
      <c r="BD625" s="8">
        <f ca="1">RANK(PlayerGameData[[#This Row],[EligFGTieBreak]],PlayerGameData[EligFGTieBreak],1)</f>
        <v>216</v>
      </c>
      <c r="BE625" s="8" t="str">
        <f>Roster!$D$3</f>
        <v>East</v>
      </c>
      <c r="BF625" s="8" t="str">
        <f>Roster!$D$2</f>
        <v>Northeast</v>
      </c>
      <c r="BG625" s="8" t="str">
        <f>Roster!$D$4</f>
        <v>North</v>
      </c>
      <c r="BH625" s="197">
        <f ca="1">IFERROR(VLOOKUP(CONCATENATE(PlayerGameData[[#This Row],[Opponent]]," ",MONTH(PlayerGameData[[#This Row],[Date]]),"/",DAY(PlayerGameData[[#This Row],[Date]]),"/",YEAR(PlayerGameData[[#This Row],[Date]])),Table35[],2,FALSE),0)</f>
        <v>1</v>
      </c>
      <c r="BI625" s="197">
        <f ca="1">IF(PlayerGameData[[#This Row],[Visible]]=1,1,1000)</f>
        <v>1</v>
      </c>
      <c r="BJ625" s="197" t="e">
        <f ca="1">_xlfn.MAXIFS(TeamGameData[Win],TeamGameData[School, Opponent,Game'#],PlayerGameData[[#This Row],[School, Opponent,Game'#]])</f>
        <v>#NAME?</v>
      </c>
      <c r="BK625" s="197" t="e">
        <f ca="1">_xlfn.MAXIFS(TeamGameData[Loss],TeamGameData[School, Opponent,Game'#],PlayerGameData[[#This Row],[School, Opponent,Game'#]])</f>
        <v>#NAME?</v>
      </c>
    </row>
    <row r="626" spans="1:63" x14ac:dyDescent="0.25">
      <c r="A626" s="8" t="str">
        <f t="shared" ca="1" si="303"/>
        <v xml:space="preserve">, </v>
      </c>
      <c r="B626" s="8" t="str">
        <f>Roster!$B$1</f>
        <v>Upton</v>
      </c>
      <c r="C626" s="8" t="str">
        <f t="shared" ca="1" si="291"/>
        <v>Burlington</v>
      </c>
      <c r="D626" s="10">
        <f t="shared" ca="1" si="292"/>
        <v>44989</v>
      </c>
      <c r="E626" s="8">
        <f t="shared" ca="1" si="293"/>
        <v>0</v>
      </c>
      <c r="F626" s="8">
        <f t="shared" ca="1" si="294"/>
        <v>0</v>
      </c>
      <c r="G626" s="8">
        <f t="shared" ca="1" si="295"/>
        <v>0</v>
      </c>
      <c r="H626" s="8">
        <f t="shared" ca="1" si="296"/>
        <v>0</v>
      </c>
      <c r="I626" s="8">
        <f t="shared" ca="1" si="297"/>
        <v>0</v>
      </c>
      <c r="J626" s="8">
        <f t="shared" ca="1" si="298"/>
        <v>0</v>
      </c>
      <c r="K626" s="8">
        <f t="shared" ca="1" si="299"/>
        <v>0</v>
      </c>
      <c r="L626" s="8">
        <f t="shared" ca="1" si="304"/>
        <v>0</v>
      </c>
      <c r="M626" s="8">
        <f t="shared" ca="1" si="305"/>
        <v>0</v>
      </c>
      <c r="N626" s="8">
        <f t="shared" ca="1" si="306"/>
        <v>0</v>
      </c>
      <c r="O626" s="8">
        <f t="shared" ca="1" si="307"/>
        <v>0</v>
      </c>
      <c r="P626" s="8">
        <f t="shared" ca="1" si="308"/>
        <v>0</v>
      </c>
      <c r="Q626" s="8">
        <f t="shared" ca="1" si="309"/>
        <v>0</v>
      </c>
      <c r="R626" s="8">
        <f t="shared" ca="1" si="310"/>
        <v>0</v>
      </c>
      <c r="S626" s="8">
        <f t="shared" ca="1" si="311"/>
        <v>0</v>
      </c>
      <c r="T626" s="8">
        <f t="shared" ca="1" si="312"/>
        <v>0</v>
      </c>
      <c r="U626" s="8">
        <f t="shared" ca="1" si="313"/>
        <v>0</v>
      </c>
      <c r="V626" s="8">
        <f t="shared" ca="1" si="314"/>
        <v>0</v>
      </c>
      <c r="W626" s="11" t="str">
        <f t="shared" ca="1" si="315"/>
        <v/>
      </c>
      <c r="X626" s="11" t="str">
        <f t="shared" ca="1" si="316"/>
        <v/>
      </c>
      <c r="Y626" s="11" t="str">
        <f t="shared" ca="1" si="317"/>
        <v/>
      </c>
      <c r="Z626" s="11" t="str">
        <f t="shared" ca="1" si="318"/>
        <v/>
      </c>
      <c r="AA626" s="11" t="str">
        <f t="shared" ca="1" si="319"/>
        <v/>
      </c>
      <c r="AB626" s="47">
        <f ca="1">PlayerGameData[[#This Row],[3FGA]]+PlayerGameData[[#This Row],[2FGA]]</f>
        <v>0</v>
      </c>
      <c r="AC626" s="47">
        <f ca="1">PlayerGameData[[#This Row],[OFF REB]]+PlayerGameData[[#This Row],[DEF REB]]</f>
        <v>0</v>
      </c>
      <c r="AD626" s="8">
        <f t="shared" si="300"/>
        <v>26</v>
      </c>
      <c r="AE626" s="8" t="str">
        <f t="shared" ca="1" si="301"/>
        <v>,  - Burlington 3/4/2023</v>
      </c>
      <c r="AF626" s="8" t="str">
        <f t="shared" ca="1" si="320"/>
        <v/>
      </c>
      <c r="AG626" s="8" t="str">
        <f ca="1">IFERROR(IF(C626=0,"",IF(AND(VLOOKUP(PlayerGameData[[#This Row],[Opponent]],WYTeamInfo,2,FALSE)=Roster!$D$1,VLOOKUP(PlayerGameData[[#This Row],[Opponent]],WYTeamInfo,3,FALSE)=Roster!$D$2),"SR","")),"")</f>
        <v/>
      </c>
      <c r="AH626" s="8" t="str">
        <f>CONCATENATE(Roster!$D$1," ",Roster!$D$5)</f>
        <v>1A BB</v>
      </c>
      <c r="AI626" s="8" t="str">
        <f t="shared" ca="1" si="302"/>
        <v>Upton - Burlington 3/4/2023</v>
      </c>
      <c r="AJ626" s="8">
        <f ca="1">IFERROR(VLOOKUP(PlayerGameData[[#This Row],[School, Opponent,Game'#]],Table3[],2,FALSE),0)</f>
        <v>1</v>
      </c>
      <c r="AK626" s="8">
        <f ca="1">IF(PlayerGameData[[#This Row],[Visible]]=1,1,1000)</f>
        <v>1</v>
      </c>
      <c r="AL626" s="8">
        <f ca="1">RANK(PlayerGameData[[#This Row],[TL PTS]],PlayerGameData[TL PTS],0)+PlayerGameData[[#This Row],[VisibleOrder]]</f>
        <v>185</v>
      </c>
      <c r="AM626" s="8">
        <f ca="1">IF(COUNTIF(PlayerGameData[PointOrder],PlayerGameData[[#This Row],[PointOrder]])&gt;1,RANK(PlayerGameData[[#This Row],[FGA]],PlayerGameData[FGA],0)/100,0)+PlayerGameData[[#This Row],[PointOrder]]</f>
        <v>187.14</v>
      </c>
      <c r="AN626" s="8">
        <f ca="1">RANK(PlayerGameData[[#This Row],[PointTieBreak]],PlayerGameData[PointTieBreak],1)</f>
        <v>216</v>
      </c>
      <c r="AO626" s="8">
        <f ca="1">RANK(PlayerGameData[[#This Row],[REB]],PlayerGameData[REB],0)+PlayerGameData[[#This Row],[VisibleOrder]]</f>
        <v>192</v>
      </c>
      <c r="AP626" s="8">
        <f ca="1">IF(COUNTIF(PlayerGameData[REBOrder],PlayerGameData[[#This Row],[REBOrder]])&gt;1,PlayerGameData[[#This Row],[PointRank]]/100+PlayerGameData[[#This Row],[REBOrder]],PlayerGameData[[#This Row],[REBOrder]])</f>
        <v>194.16</v>
      </c>
      <c r="AQ626" s="8">
        <f ca="1">RANK(PlayerGameData[[#This Row],[REBTieBreak]],PlayerGameData[REBTieBreak],1)</f>
        <v>224</v>
      </c>
      <c r="AR626" s="8">
        <f ca="1">RANK(PlayerGameData[[#This Row],[AST]],PlayerGameData[AST],0)+PlayerGameData[[#This Row],[VisibleOrder]]</f>
        <v>158</v>
      </c>
      <c r="AS626" s="8">
        <f ca="1">IF(COUNTIF(PlayerGameData[ASTOrder],PlayerGameData[[#This Row],[ASTOrder]])&gt;1,PlayerGameData[[#This Row],[PointRank]]/100+PlayerGameData[[#This Row],[ASTOrder]],PlayerGameData[[#This Row],[ASTOrder]])</f>
        <v>160.16</v>
      </c>
      <c r="AT626" s="8">
        <f ca="1">RANK(PlayerGameData[[#This Row],[ASTTieBreak]],PlayerGameData[ASTTieBreak],1)</f>
        <v>221</v>
      </c>
      <c r="AU626" s="8">
        <f ca="1">RANK(PlayerGameData[[#This Row],[STL]],PlayerGameData[STL],0)+PlayerGameData[[#This Row],[VisibleOrder]]</f>
        <v>143</v>
      </c>
      <c r="AV626" s="8">
        <f ca="1">IF(COUNTIF(PlayerGameData[STLOrder],PlayerGameData[[#This Row],[STLOrder]])&gt;1,PlayerGameData[[#This Row],[PointRank]]/100+PlayerGameData[[#This Row],[STLOrder]],PlayerGameData[[#This Row],[STLOrder]])</f>
        <v>145.16</v>
      </c>
      <c r="AW626" s="8">
        <f ca="1">RANK(PlayerGameData[[#This Row],[STLTieBreak]],PlayerGameData[STLTieBreak],1)</f>
        <v>217</v>
      </c>
      <c r="AX626" s="8">
        <f ca="1">RANK(PlayerGameData[[#This Row],[BLK]],PlayerGameData[BLK],0)+PlayerGameData[[#This Row],[VisibleOrder]]</f>
        <v>32</v>
      </c>
      <c r="AY626" s="8">
        <f ca="1">IF(COUNTIF(PlayerGameData[BLKOrder],PlayerGameData[[#This Row],[BLKOrder]])&gt;1,PlayerGameData[[#This Row],[PointRank]]/100+PlayerGameData[[#This Row],[BLKOrder]],PlayerGameData[[#This Row],[BLKOrder]])</f>
        <v>34.159999999999997</v>
      </c>
      <c r="AZ626" s="8">
        <f ca="1">RANK(PlayerGameData[[#This Row],[BLKTieBreak]],PlayerGameData[BLKTieBreak],1)</f>
        <v>216</v>
      </c>
      <c r="BA626" s="11">
        <f ca="1">IFERROR(IF(PlayerGameData[[#This Row],[FGA]]&gt;$AA$5,PlayerGameData[[#This Row],[FG%*]],PlayerGameData[[#This Row],[FG%*]]*-1),-2)</f>
        <v>-2</v>
      </c>
      <c r="BB626" s="8">
        <f ca="1">RANK(PlayerGameData[[#This Row],[EligFG]],PlayerGameData[EligFG],0)+PlayerGameData[[#This Row],[VisibleOrder]]</f>
        <v>215</v>
      </c>
      <c r="BC626" s="8">
        <f ca="1">IF(COUNTIF(PlayerGameData[EligFGOrder],PlayerGameData[[#This Row],[EligFGOrder]])&gt;1,PlayerGameData[[#This Row],[PointRank]]/100+PlayerGameData[[#This Row],[EligFGOrder]],PlayerGameData[[#This Row],[EligFGOrder]])</f>
        <v>217.16</v>
      </c>
      <c r="BD626" s="8">
        <f ca="1">RANK(PlayerGameData[[#This Row],[EligFGTieBreak]],PlayerGameData[EligFGTieBreak],1)</f>
        <v>216</v>
      </c>
      <c r="BE626" s="8" t="str">
        <f>Roster!$D$3</f>
        <v>East</v>
      </c>
      <c r="BF626" s="8" t="str">
        <f>Roster!$D$2</f>
        <v>Northeast</v>
      </c>
      <c r="BG626" s="8" t="str">
        <f>Roster!$D$4</f>
        <v>North</v>
      </c>
      <c r="BH626" s="197">
        <f ca="1">IFERROR(VLOOKUP(CONCATENATE(PlayerGameData[[#This Row],[Opponent]]," ",MONTH(PlayerGameData[[#This Row],[Date]]),"/",DAY(PlayerGameData[[#This Row],[Date]]),"/",YEAR(PlayerGameData[[#This Row],[Date]])),Table35[],2,FALSE),0)</f>
        <v>1</v>
      </c>
      <c r="BI626" s="197">
        <f ca="1">IF(PlayerGameData[[#This Row],[Visible]]=1,1,1000)</f>
        <v>1</v>
      </c>
      <c r="BJ626" s="197" t="e">
        <f ca="1">_xlfn.MAXIFS(TeamGameData[Win],TeamGameData[School, Opponent,Game'#],PlayerGameData[[#This Row],[School, Opponent,Game'#]])</f>
        <v>#NAME?</v>
      </c>
      <c r="BK626" s="197" t="e">
        <f ca="1">_xlfn.MAXIFS(TeamGameData[Loss],TeamGameData[School, Opponent,Game'#],PlayerGameData[[#This Row],[School, Opponent,Game'#]])</f>
        <v>#NAME?</v>
      </c>
    </row>
    <row r="627" spans="1:63" x14ac:dyDescent="0.25">
      <c r="A627" s="8" t="str">
        <f t="shared" ca="1" si="303"/>
        <v xml:space="preserve">, </v>
      </c>
      <c r="B627" s="8" t="str">
        <f>Roster!$B$1</f>
        <v>Upton</v>
      </c>
      <c r="C627" s="8" t="str">
        <f t="shared" ca="1" si="291"/>
        <v>Burlington</v>
      </c>
      <c r="D627" s="10">
        <f t="shared" ca="1" si="292"/>
        <v>44989</v>
      </c>
      <c r="E627" s="8">
        <f t="shared" ca="1" si="293"/>
        <v>0</v>
      </c>
      <c r="F627" s="8">
        <f t="shared" ca="1" si="294"/>
        <v>0</v>
      </c>
      <c r="G627" s="8">
        <f t="shared" ca="1" si="295"/>
        <v>0</v>
      </c>
      <c r="H627" s="8">
        <f t="shared" ca="1" si="296"/>
        <v>0</v>
      </c>
      <c r="I627" s="8">
        <f t="shared" ca="1" si="297"/>
        <v>0</v>
      </c>
      <c r="J627" s="8">
        <f t="shared" ca="1" si="298"/>
        <v>0</v>
      </c>
      <c r="K627" s="8">
        <f t="shared" ca="1" si="299"/>
        <v>0</v>
      </c>
      <c r="L627" s="8">
        <f t="shared" ca="1" si="304"/>
        <v>0</v>
      </c>
      <c r="M627" s="8">
        <f t="shared" ca="1" si="305"/>
        <v>0</v>
      </c>
      <c r="N627" s="8">
        <f t="shared" ca="1" si="306"/>
        <v>0</v>
      </c>
      <c r="O627" s="8">
        <f t="shared" ca="1" si="307"/>
        <v>0</v>
      </c>
      <c r="P627" s="8">
        <f t="shared" ca="1" si="308"/>
        <v>0</v>
      </c>
      <c r="Q627" s="8">
        <f t="shared" ca="1" si="309"/>
        <v>0</v>
      </c>
      <c r="R627" s="8">
        <f t="shared" ca="1" si="310"/>
        <v>0</v>
      </c>
      <c r="S627" s="8">
        <f t="shared" ca="1" si="311"/>
        <v>0</v>
      </c>
      <c r="T627" s="8">
        <f t="shared" ca="1" si="312"/>
        <v>0</v>
      </c>
      <c r="U627" s="8">
        <f t="shared" ca="1" si="313"/>
        <v>0</v>
      </c>
      <c r="V627" s="8">
        <f t="shared" ca="1" si="314"/>
        <v>0</v>
      </c>
      <c r="W627" s="11" t="str">
        <f t="shared" ca="1" si="315"/>
        <v/>
      </c>
      <c r="X627" s="11" t="str">
        <f t="shared" ca="1" si="316"/>
        <v/>
      </c>
      <c r="Y627" s="11" t="str">
        <f t="shared" ca="1" si="317"/>
        <v/>
      </c>
      <c r="Z627" s="11" t="str">
        <f t="shared" ca="1" si="318"/>
        <v/>
      </c>
      <c r="AA627" s="11" t="str">
        <f t="shared" ca="1" si="319"/>
        <v/>
      </c>
      <c r="AB627" s="47">
        <f ca="1">PlayerGameData[[#This Row],[3FGA]]+PlayerGameData[[#This Row],[2FGA]]</f>
        <v>0</v>
      </c>
      <c r="AC627" s="47">
        <f ca="1">PlayerGameData[[#This Row],[OFF REB]]+PlayerGameData[[#This Row],[DEF REB]]</f>
        <v>0</v>
      </c>
      <c r="AD627" s="8">
        <f t="shared" si="300"/>
        <v>26</v>
      </c>
      <c r="AE627" s="8" t="str">
        <f t="shared" ca="1" si="301"/>
        <v>,  - Burlington 3/4/2023</v>
      </c>
      <c r="AF627" s="8" t="str">
        <f t="shared" ca="1" si="320"/>
        <v/>
      </c>
      <c r="AG627" s="8" t="str">
        <f ca="1">IFERROR(IF(C627=0,"",IF(AND(VLOOKUP(PlayerGameData[[#This Row],[Opponent]],WYTeamInfo,2,FALSE)=Roster!$D$1,VLOOKUP(PlayerGameData[[#This Row],[Opponent]],WYTeamInfo,3,FALSE)=Roster!$D$2),"SR","")),"")</f>
        <v/>
      </c>
      <c r="AH627" s="8" t="str">
        <f>CONCATENATE(Roster!$D$1," ",Roster!$D$5)</f>
        <v>1A BB</v>
      </c>
      <c r="AI627" s="8" t="str">
        <f t="shared" ca="1" si="302"/>
        <v>Upton - Burlington 3/4/2023</v>
      </c>
      <c r="AJ627" s="8">
        <f ca="1">IFERROR(VLOOKUP(PlayerGameData[[#This Row],[School, Opponent,Game'#]],Table3[],2,FALSE),0)</f>
        <v>1</v>
      </c>
      <c r="AK627" s="8">
        <f ca="1">IF(PlayerGameData[[#This Row],[Visible]]=1,1,1000)</f>
        <v>1</v>
      </c>
      <c r="AL627" s="8">
        <f ca="1">RANK(PlayerGameData[[#This Row],[TL PTS]],PlayerGameData[TL PTS],0)+PlayerGameData[[#This Row],[VisibleOrder]]</f>
        <v>185</v>
      </c>
      <c r="AM627" s="8">
        <f ca="1">IF(COUNTIF(PlayerGameData[PointOrder],PlayerGameData[[#This Row],[PointOrder]])&gt;1,RANK(PlayerGameData[[#This Row],[FGA]],PlayerGameData[FGA],0)/100,0)+PlayerGameData[[#This Row],[PointOrder]]</f>
        <v>187.14</v>
      </c>
      <c r="AN627" s="8">
        <f ca="1">RANK(PlayerGameData[[#This Row],[PointTieBreak]],PlayerGameData[PointTieBreak],1)</f>
        <v>216</v>
      </c>
      <c r="AO627" s="8">
        <f ca="1">RANK(PlayerGameData[[#This Row],[REB]],PlayerGameData[REB],0)+PlayerGameData[[#This Row],[VisibleOrder]]</f>
        <v>192</v>
      </c>
      <c r="AP627" s="8">
        <f ca="1">IF(COUNTIF(PlayerGameData[REBOrder],PlayerGameData[[#This Row],[REBOrder]])&gt;1,PlayerGameData[[#This Row],[PointRank]]/100+PlayerGameData[[#This Row],[REBOrder]],PlayerGameData[[#This Row],[REBOrder]])</f>
        <v>194.16</v>
      </c>
      <c r="AQ627" s="8">
        <f ca="1">RANK(PlayerGameData[[#This Row],[REBTieBreak]],PlayerGameData[REBTieBreak],1)</f>
        <v>224</v>
      </c>
      <c r="AR627" s="8">
        <f ca="1">RANK(PlayerGameData[[#This Row],[AST]],PlayerGameData[AST],0)+PlayerGameData[[#This Row],[VisibleOrder]]</f>
        <v>158</v>
      </c>
      <c r="AS627" s="8">
        <f ca="1">IF(COUNTIF(PlayerGameData[ASTOrder],PlayerGameData[[#This Row],[ASTOrder]])&gt;1,PlayerGameData[[#This Row],[PointRank]]/100+PlayerGameData[[#This Row],[ASTOrder]],PlayerGameData[[#This Row],[ASTOrder]])</f>
        <v>160.16</v>
      </c>
      <c r="AT627" s="8">
        <f ca="1">RANK(PlayerGameData[[#This Row],[ASTTieBreak]],PlayerGameData[ASTTieBreak],1)</f>
        <v>221</v>
      </c>
      <c r="AU627" s="8">
        <f ca="1">RANK(PlayerGameData[[#This Row],[STL]],PlayerGameData[STL],0)+PlayerGameData[[#This Row],[VisibleOrder]]</f>
        <v>143</v>
      </c>
      <c r="AV627" s="8">
        <f ca="1">IF(COUNTIF(PlayerGameData[STLOrder],PlayerGameData[[#This Row],[STLOrder]])&gt;1,PlayerGameData[[#This Row],[PointRank]]/100+PlayerGameData[[#This Row],[STLOrder]],PlayerGameData[[#This Row],[STLOrder]])</f>
        <v>145.16</v>
      </c>
      <c r="AW627" s="8">
        <f ca="1">RANK(PlayerGameData[[#This Row],[STLTieBreak]],PlayerGameData[STLTieBreak],1)</f>
        <v>217</v>
      </c>
      <c r="AX627" s="8">
        <f ca="1">RANK(PlayerGameData[[#This Row],[BLK]],PlayerGameData[BLK],0)+PlayerGameData[[#This Row],[VisibleOrder]]</f>
        <v>32</v>
      </c>
      <c r="AY627" s="8">
        <f ca="1">IF(COUNTIF(PlayerGameData[BLKOrder],PlayerGameData[[#This Row],[BLKOrder]])&gt;1,PlayerGameData[[#This Row],[PointRank]]/100+PlayerGameData[[#This Row],[BLKOrder]],PlayerGameData[[#This Row],[BLKOrder]])</f>
        <v>34.159999999999997</v>
      </c>
      <c r="AZ627" s="8">
        <f ca="1">RANK(PlayerGameData[[#This Row],[BLKTieBreak]],PlayerGameData[BLKTieBreak],1)</f>
        <v>216</v>
      </c>
      <c r="BA627" s="11">
        <f ca="1">IFERROR(IF(PlayerGameData[[#This Row],[FGA]]&gt;$AA$5,PlayerGameData[[#This Row],[FG%*]],PlayerGameData[[#This Row],[FG%*]]*-1),-2)</f>
        <v>-2</v>
      </c>
      <c r="BB627" s="8">
        <f ca="1">RANK(PlayerGameData[[#This Row],[EligFG]],PlayerGameData[EligFG],0)+PlayerGameData[[#This Row],[VisibleOrder]]</f>
        <v>215</v>
      </c>
      <c r="BC627" s="8">
        <f ca="1">IF(COUNTIF(PlayerGameData[EligFGOrder],PlayerGameData[[#This Row],[EligFGOrder]])&gt;1,PlayerGameData[[#This Row],[PointRank]]/100+PlayerGameData[[#This Row],[EligFGOrder]],PlayerGameData[[#This Row],[EligFGOrder]])</f>
        <v>217.16</v>
      </c>
      <c r="BD627" s="8">
        <f ca="1">RANK(PlayerGameData[[#This Row],[EligFGTieBreak]],PlayerGameData[EligFGTieBreak],1)</f>
        <v>216</v>
      </c>
      <c r="BE627" s="8" t="str">
        <f>Roster!$D$3</f>
        <v>East</v>
      </c>
      <c r="BF627" s="8" t="str">
        <f>Roster!$D$2</f>
        <v>Northeast</v>
      </c>
      <c r="BG627" s="8" t="str">
        <f>Roster!$D$4</f>
        <v>North</v>
      </c>
      <c r="BH627" s="197">
        <f ca="1">IFERROR(VLOOKUP(CONCATENATE(PlayerGameData[[#This Row],[Opponent]]," ",MONTH(PlayerGameData[[#This Row],[Date]]),"/",DAY(PlayerGameData[[#This Row],[Date]]),"/",YEAR(PlayerGameData[[#This Row],[Date]])),Table35[],2,FALSE),0)</f>
        <v>1</v>
      </c>
      <c r="BI627" s="197">
        <f ca="1">IF(PlayerGameData[[#This Row],[Visible]]=1,1,1000)</f>
        <v>1</v>
      </c>
      <c r="BJ627" s="197" t="e">
        <f ca="1">_xlfn.MAXIFS(TeamGameData[Win],TeamGameData[School, Opponent,Game'#],PlayerGameData[[#This Row],[School, Opponent,Game'#]])</f>
        <v>#NAME?</v>
      </c>
      <c r="BK627" s="197" t="e">
        <f ca="1">_xlfn.MAXIFS(TeamGameData[Loss],TeamGameData[School, Opponent,Game'#],PlayerGameData[[#This Row],[School, Opponent,Game'#]])</f>
        <v>#NAME?</v>
      </c>
    </row>
    <row r="628" spans="1:63" x14ac:dyDescent="0.25">
      <c r="A628" s="8" t="str">
        <f t="shared" ca="1" si="303"/>
        <v xml:space="preserve">, </v>
      </c>
      <c r="B628" s="8" t="str">
        <f>Roster!$B$1</f>
        <v>Upton</v>
      </c>
      <c r="C628" s="8" t="str">
        <f t="shared" ca="1" si="291"/>
        <v>Burlington</v>
      </c>
      <c r="D628" s="10">
        <f t="shared" ca="1" si="292"/>
        <v>44989</v>
      </c>
      <c r="E628" s="8">
        <f t="shared" ca="1" si="293"/>
        <v>0</v>
      </c>
      <c r="F628" s="8">
        <f t="shared" ca="1" si="294"/>
        <v>0</v>
      </c>
      <c r="G628" s="8">
        <f t="shared" ca="1" si="295"/>
        <v>0</v>
      </c>
      <c r="H628" s="8">
        <f t="shared" ca="1" si="296"/>
        <v>0</v>
      </c>
      <c r="I628" s="8">
        <f t="shared" ca="1" si="297"/>
        <v>0</v>
      </c>
      <c r="J628" s="8">
        <f t="shared" ca="1" si="298"/>
        <v>0</v>
      </c>
      <c r="K628" s="8">
        <f t="shared" ca="1" si="299"/>
        <v>0</v>
      </c>
      <c r="L628" s="8">
        <f t="shared" ca="1" si="304"/>
        <v>0</v>
      </c>
      <c r="M628" s="8">
        <f t="shared" ca="1" si="305"/>
        <v>0</v>
      </c>
      <c r="N628" s="8">
        <f t="shared" ca="1" si="306"/>
        <v>0</v>
      </c>
      <c r="O628" s="8">
        <f t="shared" ca="1" si="307"/>
        <v>0</v>
      </c>
      <c r="P628" s="8">
        <f t="shared" ca="1" si="308"/>
        <v>0</v>
      </c>
      <c r="Q628" s="8">
        <f t="shared" ca="1" si="309"/>
        <v>0</v>
      </c>
      <c r="R628" s="8">
        <f t="shared" ca="1" si="310"/>
        <v>0</v>
      </c>
      <c r="S628" s="8">
        <f t="shared" ca="1" si="311"/>
        <v>0</v>
      </c>
      <c r="T628" s="8">
        <f t="shared" ca="1" si="312"/>
        <v>0</v>
      </c>
      <c r="U628" s="8">
        <f t="shared" ca="1" si="313"/>
        <v>0</v>
      </c>
      <c r="V628" s="8">
        <f t="shared" ca="1" si="314"/>
        <v>0</v>
      </c>
      <c r="W628" s="11" t="str">
        <f t="shared" ca="1" si="315"/>
        <v/>
      </c>
      <c r="X628" s="11" t="str">
        <f t="shared" ca="1" si="316"/>
        <v/>
      </c>
      <c r="Y628" s="11" t="str">
        <f t="shared" ca="1" si="317"/>
        <v/>
      </c>
      <c r="Z628" s="11" t="str">
        <f t="shared" ca="1" si="318"/>
        <v/>
      </c>
      <c r="AA628" s="11" t="str">
        <f t="shared" ca="1" si="319"/>
        <v/>
      </c>
      <c r="AB628" s="47">
        <f ca="1">PlayerGameData[[#This Row],[3FGA]]+PlayerGameData[[#This Row],[2FGA]]</f>
        <v>0</v>
      </c>
      <c r="AC628" s="47">
        <f ca="1">PlayerGameData[[#This Row],[OFF REB]]+PlayerGameData[[#This Row],[DEF REB]]</f>
        <v>0</v>
      </c>
      <c r="AD628" s="8">
        <f t="shared" si="300"/>
        <v>26</v>
      </c>
      <c r="AE628" s="8" t="str">
        <f t="shared" ca="1" si="301"/>
        <v>,  - Burlington 3/4/2023</v>
      </c>
      <c r="AF628" s="8" t="str">
        <f t="shared" ca="1" si="320"/>
        <v/>
      </c>
      <c r="AG628" s="8" t="str">
        <f ca="1">IFERROR(IF(C628=0,"",IF(AND(VLOOKUP(PlayerGameData[[#This Row],[Opponent]],WYTeamInfo,2,FALSE)=Roster!$D$1,VLOOKUP(PlayerGameData[[#This Row],[Opponent]],WYTeamInfo,3,FALSE)=Roster!$D$2),"SR","")),"")</f>
        <v/>
      </c>
      <c r="AH628" s="8" t="str">
        <f>CONCATENATE(Roster!$D$1," ",Roster!$D$5)</f>
        <v>1A BB</v>
      </c>
      <c r="AI628" s="8" t="str">
        <f t="shared" ca="1" si="302"/>
        <v>Upton - Burlington 3/4/2023</v>
      </c>
      <c r="AJ628" s="8">
        <f ca="1">IFERROR(VLOOKUP(PlayerGameData[[#This Row],[School, Opponent,Game'#]],Table3[],2,FALSE),0)</f>
        <v>1</v>
      </c>
      <c r="AK628" s="8">
        <f ca="1">IF(PlayerGameData[[#This Row],[Visible]]=1,1,1000)</f>
        <v>1</v>
      </c>
      <c r="AL628" s="8">
        <f ca="1">RANK(PlayerGameData[[#This Row],[TL PTS]],PlayerGameData[TL PTS],0)+PlayerGameData[[#This Row],[VisibleOrder]]</f>
        <v>185</v>
      </c>
      <c r="AM628" s="8">
        <f ca="1">IF(COUNTIF(PlayerGameData[PointOrder],PlayerGameData[[#This Row],[PointOrder]])&gt;1,RANK(PlayerGameData[[#This Row],[FGA]],PlayerGameData[FGA],0)/100,0)+PlayerGameData[[#This Row],[PointOrder]]</f>
        <v>187.14</v>
      </c>
      <c r="AN628" s="8">
        <f ca="1">RANK(PlayerGameData[[#This Row],[PointTieBreak]],PlayerGameData[PointTieBreak],1)</f>
        <v>216</v>
      </c>
      <c r="AO628" s="8">
        <f ca="1">RANK(PlayerGameData[[#This Row],[REB]],PlayerGameData[REB],0)+PlayerGameData[[#This Row],[VisibleOrder]]</f>
        <v>192</v>
      </c>
      <c r="AP628" s="8">
        <f ca="1">IF(COUNTIF(PlayerGameData[REBOrder],PlayerGameData[[#This Row],[REBOrder]])&gt;1,PlayerGameData[[#This Row],[PointRank]]/100+PlayerGameData[[#This Row],[REBOrder]],PlayerGameData[[#This Row],[REBOrder]])</f>
        <v>194.16</v>
      </c>
      <c r="AQ628" s="8">
        <f ca="1">RANK(PlayerGameData[[#This Row],[REBTieBreak]],PlayerGameData[REBTieBreak],1)</f>
        <v>224</v>
      </c>
      <c r="AR628" s="8">
        <f ca="1">RANK(PlayerGameData[[#This Row],[AST]],PlayerGameData[AST],0)+PlayerGameData[[#This Row],[VisibleOrder]]</f>
        <v>158</v>
      </c>
      <c r="AS628" s="8">
        <f ca="1">IF(COUNTIF(PlayerGameData[ASTOrder],PlayerGameData[[#This Row],[ASTOrder]])&gt;1,PlayerGameData[[#This Row],[PointRank]]/100+PlayerGameData[[#This Row],[ASTOrder]],PlayerGameData[[#This Row],[ASTOrder]])</f>
        <v>160.16</v>
      </c>
      <c r="AT628" s="8">
        <f ca="1">RANK(PlayerGameData[[#This Row],[ASTTieBreak]],PlayerGameData[ASTTieBreak],1)</f>
        <v>221</v>
      </c>
      <c r="AU628" s="8">
        <f ca="1">RANK(PlayerGameData[[#This Row],[STL]],PlayerGameData[STL],0)+PlayerGameData[[#This Row],[VisibleOrder]]</f>
        <v>143</v>
      </c>
      <c r="AV628" s="8">
        <f ca="1">IF(COUNTIF(PlayerGameData[STLOrder],PlayerGameData[[#This Row],[STLOrder]])&gt;1,PlayerGameData[[#This Row],[PointRank]]/100+PlayerGameData[[#This Row],[STLOrder]],PlayerGameData[[#This Row],[STLOrder]])</f>
        <v>145.16</v>
      </c>
      <c r="AW628" s="8">
        <f ca="1">RANK(PlayerGameData[[#This Row],[STLTieBreak]],PlayerGameData[STLTieBreak],1)</f>
        <v>217</v>
      </c>
      <c r="AX628" s="8">
        <f ca="1">RANK(PlayerGameData[[#This Row],[BLK]],PlayerGameData[BLK],0)+PlayerGameData[[#This Row],[VisibleOrder]]</f>
        <v>32</v>
      </c>
      <c r="AY628" s="8">
        <f ca="1">IF(COUNTIF(PlayerGameData[BLKOrder],PlayerGameData[[#This Row],[BLKOrder]])&gt;1,PlayerGameData[[#This Row],[PointRank]]/100+PlayerGameData[[#This Row],[BLKOrder]],PlayerGameData[[#This Row],[BLKOrder]])</f>
        <v>34.159999999999997</v>
      </c>
      <c r="AZ628" s="8">
        <f ca="1">RANK(PlayerGameData[[#This Row],[BLKTieBreak]],PlayerGameData[BLKTieBreak],1)</f>
        <v>216</v>
      </c>
      <c r="BA628" s="11">
        <f ca="1">IFERROR(IF(PlayerGameData[[#This Row],[FGA]]&gt;$AA$5,PlayerGameData[[#This Row],[FG%*]],PlayerGameData[[#This Row],[FG%*]]*-1),-2)</f>
        <v>-2</v>
      </c>
      <c r="BB628" s="8">
        <f ca="1">RANK(PlayerGameData[[#This Row],[EligFG]],PlayerGameData[EligFG],0)+PlayerGameData[[#This Row],[VisibleOrder]]</f>
        <v>215</v>
      </c>
      <c r="BC628" s="8">
        <f ca="1">IF(COUNTIF(PlayerGameData[EligFGOrder],PlayerGameData[[#This Row],[EligFGOrder]])&gt;1,PlayerGameData[[#This Row],[PointRank]]/100+PlayerGameData[[#This Row],[EligFGOrder]],PlayerGameData[[#This Row],[EligFGOrder]])</f>
        <v>217.16</v>
      </c>
      <c r="BD628" s="8">
        <f ca="1">RANK(PlayerGameData[[#This Row],[EligFGTieBreak]],PlayerGameData[EligFGTieBreak],1)</f>
        <v>216</v>
      </c>
      <c r="BE628" s="8" t="str">
        <f>Roster!$D$3</f>
        <v>East</v>
      </c>
      <c r="BF628" s="8" t="str">
        <f>Roster!$D$2</f>
        <v>Northeast</v>
      </c>
      <c r="BG628" s="8" t="str">
        <f>Roster!$D$4</f>
        <v>North</v>
      </c>
      <c r="BH628" s="197">
        <f ca="1">IFERROR(VLOOKUP(CONCATENATE(PlayerGameData[[#This Row],[Opponent]]," ",MONTH(PlayerGameData[[#This Row],[Date]]),"/",DAY(PlayerGameData[[#This Row],[Date]]),"/",YEAR(PlayerGameData[[#This Row],[Date]])),Table35[],2,FALSE),0)</f>
        <v>1</v>
      </c>
      <c r="BI628" s="197">
        <f ca="1">IF(PlayerGameData[[#This Row],[Visible]]=1,1,1000)</f>
        <v>1</v>
      </c>
      <c r="BJ628" s="197" t="e">
        <f ca="1">_xlfn.MAXIFS(TeamGameData[Win],TeamGameData[School, Opponent,Game'#],PlayerGameData[[#This Row],[School, Opponent,Game'#]])</f>
        <v>#NAME?</v>
      </c>
      <c r="BK628" s="197" t="e">
        <f ca="1">_xlfn.MAXIFS(TeamGameData[Loss],TeamGameData[School, Opponent,Game'#],PlayerGameData[[#This Row],[School, Opponent,Game'#]])</f>
        <v>#NAME?</v>
      </c>
    </row>
    <row r="629" spans="1:63" x14ac:dyDescent="0.25">
      <c r="A629" s="8" t="str">
        <f t="shared" ca="1" si="303"/>
        <v xml:space="preserve">, </v>
      </c>
      <c r="B629" s="8" t="str">
        <f>Roster!$B$1</f>
        <v>Upton</v>
      </c>
      <c r="C629" s="8" t="str">
        <f t="shared" ca="1" si="291"/>
        <v>Burlington</v>
      </c>
      <c r="D629" s="10">
        <f t="shared" ca="1" si="292"/>
        <v>44989</v>
      </c>
      <c r="E629" s="8">
        <f t="shared" ca="1" si="293"/>
        <v>0</v>
      </c>
      <c r="F629" s="8">
        <f t="shared" ca="1" si="294"/>
        <v>0</v>
      </c>
      <c r="G629" s="8">
        <f t="shared" ca="1" si="295"/>
        <v>0</v>
      </c>
      <c r="H629" s="8">
        <f t="shared" ca="1" si="296"/>
        <v>0</v>
      </c>
      <c r="I629" s="8">
        <f t="shared" ca="1" si="297"/>
        <v>0</v>
      </c>
      <c r="J629" s="8">
        <f t="shared" ca="1" si="298"/>
        <v>0</v>
      </c>
      <c r="K629" s="8">
        <f t="shared" ca="1" si="299"/>
        <v>0</v>
      </c>
      <c r="L629" s="8">
        <f t="shared" ca="1" si="304"/>
        <v>0</v>
      </c>
      <c r="M629" s="8">
        <f t="shared" ca="1" si="305"/>
        <v>0</v>
      </c>
      <c r="N629" s="8">
        <f t="shared" ca="1" si="306"/>
        <v>0</v>
      </c>
      <c r="O629" s="8">
        <f t="shared" ca="1" si="307"/>
        <v>0</v>
      </c>
      <c r="P629" s="8">
        <f t="shared" ca="1" si="308"/>
        <v>0</v>
      </c>
      <c r="Q629" s="8">
        <f t="shared" ca="1" si="309"/>
        <v>0</v>
      </c>
      <c r="R629" s="8">
        <f t="shared" ca="1" si="310"/>
        <v>0</v>
      </c>
      <c r="S629" s="8">
        <f t="shared" ca="1" si="311"/>
        <v>0</v>
      </c>
      <c r="T629" s="8">
        <f t="shared" ca="1" si="312"/>
        <v>0</v>
      </c>
      <c r="U629" s="8">
        <f t="shared" ca="1" si="313"/>
        <v>0</v>
      </c>
      <c r="V629" s="8">
        <f t="shared" ca="1" si="314"/>
        <v>0</v>
      </c>
      <c r="W629" s="11" t="str">
        <f t="shared" ca="1" si="315"/>
        <v/>
      </c>
      <c r="X629" s="11" t="str">
        <f t="shared" ca="1" si="316"/>
        <v/>
      </c>
      <c r="Y629" s="11" t="str">
        <f t="shared" ca="1" si="317"/>
        <v/>
      </c>
      <c r="Z629" s="11" t="str">
        <f t="shared" ca="1" si="318"/>
        <v/>
      </c>
      <c r="AA629" s="11" t="str">
        <f t="shared" ca="1" si="319"/>
        <v/>
      </c>
      <c r="AB629" s="47">
        <f ca="1">PlayerGameData[[#This Row],[3FGA]]+PlayerGameData[[#This Row],[2FGA]]</f>
        <v>0</v>
      </c>
      <c r="AC629" s="47">
        <f ca="1">PlayerGameData[[#This Row],[OFF REB]]+PlayerGameData[[#This Row],[DEF REB]]</f>
        <v>0</v>
      </c>
      <c r="AD629" s="8">
        <f t="shared" si="300"/>
        <v>26</v>
      </c>
      <c r="AE629" s="8" t="str">
        <f t="shared" ca="1" si="301"/>
        <v>,  - Burlington 3/4/2023</v>
      </c>
      <c r="AF629" s="8" t="str">
        <f t="shared" ca="1" si="320"/>
        <v/>
      </c>
      <c r="AG629" s="8" t="str">
        <f ca="1">IFERROR(IF(C629=0,"",IF(AND(VLOOKUP(PlayerGameData[[#This Row],[Opponent]],WYTeamInfo,2,FALSE)=Roster!$D$1,VLOOKUP(PlayerGameData[[#This Row],[Opponent]],WYTeamInfo,3,FALSE)=Roster!$D$2),"SR","")),"")</f>
        <v/>
      </c>
      <c r="AH629" s="8" t="str">
        <f>CONCATENATE(Roster!$D$1," ",Roster!$D$5)</f>
        <v>1A BB</v>
      </c>
      <c r="AI629" s="8" t="str">
        <f t="shared" ca="1" si="302"/>
        <v>Upton - Burlington 3/4/2023</v>
      </c>
      <c r="AJ629" s="8">
        <f ca="1">IFERROR(VLOOKUP(PlayerGameData[[#This Row],[School, Opponent,Game'#]],Table3[],2,FALSE),0)</f>
        <v>1</v>
      </c>
      <c r="AK629" s="8">
        <f ca="1">IF(PlayerGameData[[#This Row],[Visible]]=1,1,1000)</f>
        <v>1</v>
      </c>
      <c r="AL629" s="8">
        <f ca="1">RANK(PlayerGameData[[#This Row],[TL PTS]],PlayerGameData[TL PTS],0)+PlayerGameData[[#This Row],[VisibleOrder]]</f>
        <v>185</v>
      </c>
      <c r="AM629" s="8">
        <f ca="1">IF(COUNTIF(PlayerGameData[PointOrder],PlayerGameData[[#This Row],[PointOrder]])&gt;1,RANK(PlayerGameData[[#This Row],[FGA]],PlayerGameData[FGA],0)/100,0)+PlayerGameData[[#This Row],[PointOrder]]</f>
        <v>187.14</v>
      </c>
      <c r="AN629" s="8">
        <f ca="1">RANK(PlayerGameData[[#This Row],[PointTieBreak]],PlayerGameData[PointTieBreak],1)</f>
        <v>216</v>
      </c>
      <c r="AO629" s="8">
        <f ca="1">RANK(PlayerGameData[[#This Row],[REB]],PlayerGameData[REB],0)+PlayerGameData[[#This Row],[VisibleOrder]]</f>
        <v>192</v>
      </c>
      <c r="AP629" s="8">
        <f ca="1">IF(COUNTIF(PlayerGameData[REBOrder],PlayerGameData[[#This Row],[REBOrder]])&gt;1,PlayerGameData[[#This Row],[PointRank]]/100+PlayerGameData[[#This Row],[REBOrder]],PlayerGameData[[#This Row],[REBOrder]])</f>
        <v>194.16</v>
      </c>
      <c r="AQ629" s="8">
        <f ca="1">RANK(PlayerGameData[[#This Row],[REBTieBreak]],PlayerGameData[REBTieBreak],1)</f>
        <v>224</v>
      </c>
      <c r="AR629" s="8">
        <f ca="1">RANK(PlayerGameData[[#This Row],[AST]],PlayerGameData[AST],0)+PlayerGameData[[#This Row],[VisibleOrder]]</f>
        <v>158</v>
      </c>
      <c r="AS629" s="8">
        <f ca="1">IF(COUNTIF(PlayerGameData[ASTOrder],PlayerGameData[[#This Row],[ASTOrder]])&gt;1,PlayerGameData[[#This Row],[PointRank]]/100+PlayerGameData[[#This Row],[ASTOrder]],PlayerGameData[[#This Row],[ASTOrder]])</f>
        <v>160.16</v>
      </c>
      <c r="AT629" s="8">
        <f ca="1">RANK(PlayerGameData[[#This Row],[ASTTieBreak]],PlayerGameData[ASTTieBreak],1)</f>
        <v>221</v>
      </c>
      <c r="AU629" s="8">
        <f ca="1">RANK(PlayerGameData[[#This Row],[STL]],PlayerGameData[STL],0)+PlayerGameData[[#This Row],[VisibleOrder]]</f>
        <v>143</v>
      </c>
      <c r="AV629" s="8">
        <f ca="1">IF(COUNTIF(PlayerGameData[STLOrder],PlayerGameData[[#This Row],[STLOrder]])&gt;1,PlayerGameData[[#This Row],[PointRank]]/100+PlayerGameData[[#This Row],[STLOrder]],PlayerGameData[[#This Row],[STLOrder]])</f>
        <v>145.16</v>
      </c>
      <c r="AW629" s="8">
        <f ca="1">RANK(PlayerGameData[[#This Row],[STLTieBreak]],PlayerGameData[STLTieBreak],1)</f>
        <v>217</v>
      </c>
      <c r="AX629" s="8">
        <f ca="1">RANK(PlayerGameData[[#This Row],[BLK]],PlayerGameData[BLK],0)+PlayerGameData[[#This Row],[VisibleOrder]]</f>
        <v>32</v>
      </c>
      <c r="AY629" s="8">
        <f ca="1">IF(COUNTIF(PlayerGameData[BLKOrder],PlayerGameData[[#This Row],[BLKOrder]])&gt;1,PlayerGameData[[#This Row],[PointRank]]/100+PlayerGameData[[#This Row],[BLKOrder]],PlayerGameData[[#This Row],[BLKOrder]])</f>
        <v>34.159999999999997</v>
      </c>
      <c r="AZ629" s="8">
        <f ca="1">RANK(PlayerGameData[[#This Row],[BLKTieBreak]],PlayerGameData[BLKTieBreak],1)</f>
        <v>216</v>
      </c>
      <c r="BA629" s="11">
        <f ca="1">IFERROR(IF(PlayerGameData[[#This Row],[FGA]]&gt;$AA$5,PlayerGameData[[#This Row],[FG%*]],PlayerGameData[[#This Row],[FG%*]]*-1),-2)</f>
        <v>-2</v>
      </c>
      <c r="BB629" s="8">
        <f ca="1">RANK(PlayerGameData[[#This Row],[EligFG]],PlayerGameData[EligFG],0)+PlayerGameData[[#This Row],[VisibleOrder]]</f>
        <v>215</v>
      </c>
      <c r="BC629" s="8">
        <f ca="1">IF(COUNTIF(PlayerGameData[EligFGOrder],PlayerGameData[[#This Row],[EligFGOrder]])&gt;1,PlayerGameData[[#This Row],[PointRank]]/100+PlayerGameData[[#This Row],[EligFGOrder]],PlayerGameData[[#This Row],[EligFGOrder]])</f>
        <v>217.16</v>
      </c>
      <c r="BD629" s="8">
        <f ca="1">RANK(PlayerGameData[[#This Row],[EligFGTieBreak]],PlayerGameData[EligFGTieBreak],1)</f>
        <v>216</v>
      </c>
      <c r="BE629" s="8" t="str">
        <f>Roster!$D$3</f>
        <v>East</v>
      </c>
      <c r="BF629" s="8" t="str">
        <f>Roster!$D$2</f>
        <v>Northeast</v>
      </c>
      <c r="BG629" s="8" t="str">
        <f>Roster!$D$4</f>
        <v>North</v>
      </c>
      <c r="BH629" s="197">
        <f ca="1">IFERROR(VLOOKUP(CONCATENATE(PlayerGameData[[#This Row],[Opponent]]," ",MONTH(PlayerGameData[[#This Row],[Date]]),"/",DAY(PlayerGameData[[#This Row],[Date]]),"/",YEAR(PlayerGameData[[#This Row],[Date]])),Table35[],2,FALSE),0)</f>
        <v>1</v>
      </c>
      <c r="BI629" s="197">
        <f ca="1">IF(PlayerGameData[[#This Row],[Visible]]=1,1,1000)</f>
        <v>1</v>
      </c>
      <c r="BJ629" s="197" t="e">
        <f ca="1">_xlfn.MAXIFS(TeamGameData[Win],TeamGameData[School, Opponent,Game'#],PlayerGameData[[#This Row],[School, Opponent,Game'#]])</f>
        <v>#NAME?</v>
      </c>
      <c r="BK629" s="197" t="e">
        <f ca="1">_xlfn.MAXIFS(TeamGameData[Loss],TeamGameData[School, Opponent,Game'#],PlayerGameData[[#This Row],[School, Opponent,Game'#]])</f>
        <v>#NAME?</v>
      </c>
    </row>
    <row r="630" spans="1:63" x14ac:dyDescent="0.25">
      <c r="A630" s="8" t="str">
        <f t="shared" ca="1" si="303"/>
        <v xml:space="preserve">Team, </v>
      </c>
      <c r="B630" s="8" t="str">
        <f>Roster!$B$1</f>
        <v>Upton</v>
      </c>
      <c r="C630" s="8" t="str">
        <f t="shared" ca="1" si="291"/>
        <v>Burlington</v>
      </c>
      <c r="D630" s="10">
        <f t="shared" ca="1" si="292"/>
        <v>44989</v>
      </c>
      <c r="E630" s="8">
        <f t="shared" ca="1" si="293"/>
        <v>0</v>
      </c>
      <c r="F630" s="8">
        <f t="shared" ca="1" si="294"/>
        <v>0</v>
      </c>
      <c r="G630" s="8">
        <f t="shared" ca="1" si="295"/>
        <v>0</v>
      </c>
      <c r="H630" s="8">
        <f t="shared" ca="1" si="296"/>
        <v>0</v>
      </c>
      <c r="I630" s="8">
        <f t="shared" ca="1" si="297"/>
        <v>0</v>
      </c>
      <c r="J630" s="8">
        <f t="shared" ca="1" si="298"/>
        <v>0</v>
      </c>
      <c r="K630" s="8">
        <f t="shared" ca="1" si="299"/>
        <v>0</v>
      </c>
      <c r="L630" s="8">
        <f t="shared" ca="1" si="304"/>
        <v>0</v>
      </c>
      <c r="M630" s="8">
        <f t="shared" ca="1" si="305"/>
        <v>0</v>
      </c>
      <c r="N630" s="8">
        <f t="shared" ca="1" si="306"/>
        <v>0</v>
      </c>
      <c r="O630" s="8">
        <f t="shared" ca="1" si="307"/>
        <v>2</v>
      </c>
      <c r="P630" s="8">
        <f t="shared" ca="1" si="308"/>
        <v>0</v>
      </c>
      <c r="Q630" s="8">
        <f t="shared" ca="1" si="309"/>
        <v>0</v>
      </c>
      <c r="R630" s="8">
        <f t="shared" ca="1" si="310"/>
        <v>0</v>
      </c>
      <c r="S630" s="8">
        <f t="shared" ca="1" si="311"/>
        <v>0</v>
      </c>
      <c r="T630" s="8">
        <f t="shared" ca="1" si="312"/>
        <v>0</v>
      </c>
      <c r="U630" s="8">
        <f t="shared" ca="1" si="313"/>
        <v>0</v>
      </c>
      <c r="V630" s="8">
        <f t="shared" ca="1" si="314"/>
        <v>0</v>
      </c>
      <c r="W630" s="11" t="str">
        <f t="shared" ca="1" si="315"/>
        <v/>
      </c>
      <c r="X630" s="11" t="str">
        <f t="shared" ca="1" si="316"/>
        <v/>
      </c>
      <c r="Y630" s="11" t="str">
        <f t="shared" ca="1" si="317"/>
        <v/>
      </c>
      <c r="Z630" s="11" t="str">
        <f t="shared" ca="1" si="318"/>
        <v/>
      </c>
      <c r="AA630" s="11" t="str">
        <f t="shared" ca="1" si="319"/>
        <v/>
      </c>
      <c r="AB630" s="47">
        <f ca="1">PlayerGameData[[#This Row],[3FGA]]+PlayerGameData[[#This Row],[2FGA]]</f>
        <v>0</v>
      </c>
      <c r="AC630" s="47">
        <f ca="1">PlayerGameData[[#This Row],[OFF REB]]+PlayerGameData[[#This Row],[DEF REB]]</f>
        <v>2</v>
      </c>
      <c r="AD630" s="8">
        <f t="shared" si="300"/>
        <v>26</v>
      </c>
      <c r="AE630" s="8" t="str">
        <f t="shared" ca="1" si="301"/>
        <v>Team,  - Burlington 3/4/2023</v>
      </c>
      <c r="AF630" s="8" t="str">
        <f t="shared" ca="1" si="320"/>
        <v/>
      </c>
      <c r="AG630" s="8" t="str">
        <f ca="1">IFERROR(IF(C630=0,"",IF(AND(VLOOKUP(PlayerGameData[[#This Row],[Opponent]],WYTeamInfo,2,FALSE)=Roster!$D$1,VLOOKUP(PlayerGameData[[#This Row],[Opponent]],WYTeamInfo,3,FALSE)=Roster!$D$2),"SR","")),"")</f>
        <v/>
      </c>
      <c r="AH630" s="8" t="str">
        <f>CONCATENATE(Roster!$D$1," ",Roster!$D$5)</f>
        <v>1A BB</v>
      </c>
      <c r="AI630" s="8" t="str">
        <f t="shared" ca="1" si="302"/>
        <v>Upton - Burlington 3/4/2023</v>
      </c>
      <c r="AJ630" s="8">
        <f ca="1">IFERROR(VLOOKUP(PlayerGameData[[#This Row],[School, Opponent,Game'#]],Table3[],2,FALSE),0)</f>
        <v>1</v>
      </c>
      <c r="AK630" s="8">
        <f ca="1">IF(PlayerGameData[[#This Row],[Visible]]=1,1,1000)</f>
        <v>1</v>
      </c>
      <c r="AL630" s="8">
        <f ca="1">RANK(PlayerGameData[[#This Row],[TL PTS]],PlayerGameData[TL PTS],0)+PlayerGameData[[#This Row],[VisibleOrder]]</f>
        <v>185</v>
      </c>
      <c r="AM630" s="8">
        <f ca="1">IF(COUNTIF(PlayerGameData[PointOrder],PlayerGameData[[#This Row],[PointOrder]])&gt;1,RANK(PlayerGameData[[#This Row],[FGA]],PlayerGameData[FGA],0)/100,0)+PlayerGameData[[#This Row],[PointOrder]]</f>
        <v>187.14</v>
      </c>
      <c r="AN630" s="8">
        <f ca="1">RANK(PlayerGameData[[#This Row],[PointTieBreak]],PlayerGameData[PointTieBreak],1)</f>
        <v>216</v>
      </c>
      <c r="AO630" s="8">
        <f ca="1">RANK(PlayerGameData[[#This Row],[REB]],PlayerGameData[REB],0)+PlayerGameData[[#This Row],[VisibleOrder]]</f>
        <v>137</v>
      </c>
      <c r="AP630" s="8">
        <f ca="1">IF(COUNTIF(PlayerGameData[REBOrder],PlayerGameData[[#This Row],[REBOrder]])&gt;1,PlayerGameData[[#This Row],[PointRank]]/100+PlayerGameData[[#This Row],[REBOrder]],PlayerGameData[[#This Row],[REBOrder]])</f>
        <v>139.16</v>
      </c>
      <c r="AQ630" s="8">
        <f ca="1">RANK(PlayerGameData[[#This Row],[REBTieBreak]],PlayerGameData[REBTieBreak],1)</f>
        <v>161</v>
      </c>
      <c r="AR630" s="8">
        <f ca="1">RANK(PlayerGameData[[#This Row],[AST]],PlayerGameData[AST],0)+PlayerGameData[[#This Row],[VisibleOrder]]</f>
        <v>158</v>
      </c>
      <c r="AS630" s="8">
        <f ca="1">IF(COUNTIF(PlayerGameData[ASTOrder],PlayerGameData[[#This Row],[ASTOrder]])&gt;1,PlayerGameData[[#This Row],[PointRank]]/100+PlayerGameData[[#This Row],[ASTOrder]],PlayerGameData[[#This Row],[ASTOrder]])</f>
        <v>160.16</v>
      </c>
      <c r="AT630" s="8">
        <f ca="1">RANK(PlayerGameData[[#This Row],[ASTTieBreak]],PlayerGameData[ASTTieBreak],1)</f>
        <v>221</v>
      </c>
      <c r="AU630" s="8">
        <f ca="1">RANK(PlayerGameData[[#This Row],[STL]],PlayerGameData[STL],0)+PlayerGameData[[#This Row],[VisibleOrder]]</f>
        <v>143</v>
      </c>
      <c r="AV630" s="8">
        <f ca="1">IF(COUNTIF(PlayerGameData[STLOrder],PlayerGameData[[#This Row],[STLOrder]])&gt;1,PlayerGameData[[#This Row],[PointRank]]/100+PlayerGameData[[#This Row],[STLOrder]],PlayerGameData[[#This Row],[STLOrder]])</f>
        <v>145.16</v>
      </c>
      <c r="AW630" s="8">
        <f ca="1">RANK(PlayerGameData[[#This Row],[STLTieBreak]],PlayerGameData[STLTieBreak],1)</f>
        <v>217</v>
      </c>
      <c r="AX630" s="8">
        <f ca="1">RANK(PlayerGameData[[#This Row],[BLK]],PlayerGameData[BLK],0)+PlayerGameData[[#This Row],[VisibleOrder]]</f>
        <v>32</v>
      </c>
      <c r="AY630" s="8">
        <f ca="1">IF(COUNTIF(PlayerGameData[BLKOrder],PlayerGameData[[#This Row],[BLKOrder]])&gt;1,PlayerGameData[[#This Row],[PointRank]]/100+PlayerGameData[[#This Row],[BLKOrder]],PlayerGameData[[#This Row],[BLKOrder]])</f>
        <v>34.159999999999997</v>
      </c>
      <c r="AZ630" s="8">
        <f ca="1">RANK(PlayerGameData[[#This Row],[BLKTieBreak]],PlayerGameData[BLKTieBreak],1)</f>
        <v>216</v>
      </c>
      <c r="BA630" s="11">
        <f ca="1">IFERROR(IF(PlayerGameData[[#This Row],[FGA]]&gt;$AA$5,PlayerGameData[[#This Row],[FG%*]],PlayerGameData[[#This Row],[FG%*]]*-1),-2)</f>
        <v>-2</v>
      </c>
      <c r="BB630" s="8">
        <f ca="1">RANK(PlayerGameData[[#This Row],[EligFG]],PlayerGameData[EligFG],0)+PlayerGameData[[#This Row],[VisibleOrder]]</f>
        <v>215</v>
      </c>
      <c r="BC630" s="8">
        <f ca="1">IF(COUNTIF(PlayerGameData[EligFGOrder],PlayerGameData[[#This Row],[EligFGOrder]])&gt;1,PlayerGameData[[#This Row],[PointRank]]/100+PlayerGameData[[#This Row],[EligFGOrder]],PlayerGameData[[#This Row],[EligFGOrder]])</f>
        <v>217.16</v>
      </c>
      <c r="BD630" s="8">
        <f ca="1">RANK(PlayerGameData[[#This Row],[EligFGTieBreak]],PlayerGameData[EligFGTieBreak],1)</f>
        <v>216</v>
      </c>
      <c r="BE630" s="8" t="str">
        <f>Roster!$D$3</f>
        <v>East</v>
      </c>
      <c r="BF630" s="8" t="str">
        <f>Roster!$D$2</f>
        <v>Northeast</v>
      </c>
      <c r="BG630" s="8" t="str">
        <f>Roster!$D$4</f>
        <v>North</v>
      </c>
      <c r="BH630" s="197">
        <f ca="1">IFERROR(VLOOKUP(CONCATENATE(PlayerGameData[[#This Row],[Opponent]]," ",MONTH(PlayerGameData[[#This Row],[Date]]),"/",DAY(PlayerGameData[[#This Row],[Date]]),"/",YEAR(PlayerGameData[[#This Row],[Date]])),Table35[],2,FALSE),0)</f>
        <v>1</v>
      </c>
      <c r="BI630" s="197">
        <f ca="1">IF(PlayerGameData[[#This Row],[Visible]]=1,1,1000)</f>
        <v>1</v>
      </c>
      <c r="BJ630" s="197" t="e">
        <f ca="1">_xlfn.MAXIFS(TeamGameData[Win],TeamGameData[School, Opponent,Game'#],PlayerGameData[[#This Row],[School, Opponent,Game'#]])</f>
        <v>#NAME?</v>
      </c>
      <c r="BK630" s="197" t="e">
        <f ca="1">_xlfn.MAXIFS(TeamGameData[Loss],TeamGameData[School, Opponent,Game'#],PlayerGameData[[#This Row],[School, Opponent,Game'#]])</f>
        <v>#NAME?</v>
      </c>
    </row>
    <row r="631" spans="1:63" x14ac:dyDescent="0.25">
      <c r="A631" s="8" t="str">
        <f t="shared" ca="1" si="303"/>
        <v>Landon Butler, 1</v>
      </c>
      <c r="B631" s="8" t="str">
        <f>Roster!$B$1</f>
        <v>Upton</v>
      </c>
      <c r="C631" s="8">
        <f t="shared" ca="1" si="291"/>
        <v>0</v>
      </c>
      <c r="D631" s="10">
        <f t="shared" ca="1" si="292"/>
        <v>0</v>
      </c>
      <c r="E631" s="8">
        <f t="shared" ca="1" si="293"/>
        <v>0</v>
      </c>
      <c r="F631" s="8">
        <f t="shared" ca="1" si="294"/>
        <v>0</v>
      </c>
      <c r="G631" s="8">
        <f t="shared" ca="1" si="295"/>
        <v>0</v>
      </c>
      <c r="H631" s="8">
        <f t="shared" ca="1" si="296"/>
        <v>0</v>
      </c>
      <c r="I631" s="8">
        <f t="shared" ca="1" si="297"/>
        <v>0</v>
      </c>
      <c r="J631" s="8">
        <f t="shared" ca="1" si="298"/>
        <v>0</v>
      </c>
      <c r="K631" s="8">
        <f t="shared" ca="1" si="299"/>
        <v>0</v>
      </c>
      <c r="L631" s="8">
        <f t="shared" ca="1" si="304"/>
        <v>0</v>
      </c>
      <c r="M631" s="8">
        <f t="shared" ca="1" si="305"/>
        <v>0</v>
      </c>
      <c r="N631" s="8">
        <f t="shared" ca="1" si="306"/>
        <v>0</v>
      </c>
      <c r="O631" s="8">
        <f t="shared" ca="1" si="307"/>
        <v>0</v>
      </c>
      <c r="P631" s="8">
        <f t="shared" ca="1" si="308"/>
        <v>0</v>
      </c>
      <c r="Q631" s="8">
        <f t="shared" ca="1" si="309"/>
        <v>0</v>
      </c>
      <c r="R631" s="8">
        <f t="shared" ca="1" si="310"/>
        <v>0</v>
      </c>
      <c r="S631" s="8">
        <f t="shared" ca="1" si="311"/>
        <v>0</v>
      </c>
      <c r="T631" s="8">
        <f t="shared" ca="1" si="312"/>
        <v>0</v>
      </c>
      <c r="U631" s="8">
        <f t="shared" ca="1" si="313"/>
        <v>0</v>
      </c>
      <c r="V631" s="8">
        <f t="shared" ca="1" si="314"/>
        <v>0</v>
      </c>
      <c r="W631" s="11" t="str">
        <f t="shared" ca="1" si="315"/>
        <v/>
      </c>
      <c r="X631" s="11" t="str">
        <f t="shared" ca="1" si="316"/>
        <v/>
      </c>
      <c r="Y631" s="11" t="str">
        <f t="shared" ca="1" si="317"/>
        <v/>
      </c>
      <c r="Z631" s="11" t="str">
        <f t="shared" ca="1" si="318"/>
        <v/>
      </c>
      <c r="AA631" s="11" t="str">
        <f t="shared" ca="1" si="319"/>
        <v/>
      </c>
      <c r="AB631" s="47">
        <f ca="1">PlayerGameData[[#This Row],[3FGA]]+PlayerGameData[[#This Row],[2FGA]]</f>
        <v>0</v>
      </c>
      <c r="AC631" s="47">
        <f ca="1">PlayerGameData[[#This Row],[OFF REB]]+PlayerGameData[[#This Row],[DEF REB]]</f>
        <v>0</v>
      </c>
      <c r="AD631" s="8">
        <f t="shared" si="300"/>
        <v>27</v>
      </c>
      <c r="AE631" s="8" t="str">
        <f t="shared" ca="1" si="301"/>
        <v>Landon Butler, 1 - 0 1/0/1900</v>
      </c>
      <c r="AF631" s="8" t="str">
        <f t="shared" ca="1" si="320"/>
        <v/>
      </c>
      <c r="AG631" s="8" t="str">
        <f ca="1">IFERROR(IF(C631=0,"",IF(AND(VLOOKUP(PlayerGameData[[#This Row],[Opponent]],WYTeamInfo,2,FALSE)=Roster!$D$1,VLOOKUP(PlayerGameData[[#This Row],[Opponent]],WYTeamInfo,3,FALSE)=Roster!$D$2),"SR","")),"")</f>
        <v/>
      </c>
      <c r="AH631" s="8" t="str">
        <f>CONCATENATE(Roster!$D$1," ",Roster!$D$5)</f>
        <v>1A BB</v>
      </c>
      <c r="AI631" s="8" t="str">
        <f t="shared" ca="1" si="302"/>
        <v>Blank</v>
      </c>
      <c r="AJ631" s="8">
        <f ca="1">IFERROR(VLOOKUP(PlayerGameData[[#This Row],[School, Opponent,Game'#]],Table3[],2,FALSE),0)</f>
        <v>0</v>
      </c>
      <c r="AK631" s="8">
        <f ca="1">IF(PlayerGameData[[#This Row],[Visible]]=1,1,1000)</f>
        <v>1000</v>
      </c>
      <c r="AL631" s="8">
        <f ca="1">RANK(PlayerGameData[[#This Row],[TL PTS]],PlayerGameData[TL PTS],0)+PlayerGameData[[#This Row],[VisibleOrder]]</f>
        <v>1184</v>
      </c>
      <c r="AM631" s="8">
        <f ca="1">IF(COUNTIF(PlayerGameData[PointOrder],PlayerGameData[[#This Row],[PointOrder]])&gt;1,RANK(PlayerGameData[[#This Row],[FGA]],PlayerGameData[FGA],0)/100,0)+PlayerGameData[[#This Row],[PointOrder]]</f>
        <v>1186.1400000000001</v>
      </c>
      <c r="AN631" s="8">
        <f ca="1">RANK(PlayerGameData[[#This Row],[PointTieBreak]],PlayerGameData[PointTieBreak],1)</f>
        <v>625</v>
      </c>
      <c r="AO631" s="8">
        <f ca="1">RANK(PlayerGameData[[#This Row],[REB]],PlayerGameData[REB],0)+PlayerGameData[[#This Row],[VisibleOrder]]</f>
        <v>1191</v>
      </c>
      <c r="AP631" s="8">
        <f ca="1">IF(COUNTIF(PlayerGameData[REBOrder],PlayerGameData[[#This Row],[REBOrder]])&gt;1,PlayerGameData[[#This Row],[PointRank]]/100+PlayerGameData[[#This Row],[REBOrder]],PlayerGameData[[#This Row],[REBOrder]])</f>
        <v>1197.25</v>
      </c>
      <c r="AQ631" s="8">
        <f ca="1">RANK(PlayerGameData[[#This Row],[REBTieBreak]],PlayerGameData[REBTieBreak],1)</f>
        <v>625</v>
      </c>
      <c r="AR631" s="8">
        <f ca="1">RANK(PlayerGameData[[#This Row],[AST]],PlayerGameData[AST],0)+PlayerGameData[[#This Row],[VisibleOrder]]</f>
        <v>1157</v>
      </c>
      <c r="AS631" s="8">
        <f ca="1">IF(COUNTIF(PlayerGameData[ASTOrder],PlayerGameData[[#This Row],[ASTOrder]])&gt;1,PlayerGameData[[#This Row],[PointRank]]/100+PlayerGameData[[#This Row],[ASTOrder]],PlayerGameData[[#This Row],[ASTOrder]])</f>
        <v>1163.25</v>
      </c>
      <c r="AT631" s="8">
        <f ca="1">RANK(PlayerGameData[[#This Row],[ASTTieBreak]],PlayerGameData[ASTTieBreak],1)</f>
        <v>625</v>
      </c>
      <c r="AU631" s="8">
        <f ca="1">RANK(PlayerGameData[[#This Row],[STL]],PlayerGameData[STL],0)+PlayerGameData[[#This Row],[VisibleOrder]]</f>
        <v>1142</v>
      </c>
      <c r="AV631" s="8">
        <f ca="1">IF(COUNTIF(PlayerGameData[STLOrder],PlayerGameData[[#This Row],[STLOrder]])&gt;1,PlayerGameData[[#This Row],[PointRank]]/100+PlayerGameData[[#This Row],[STLOrder]],PlayerGameData[[#This Row],[STLOrder]])</f>
        <v>1148.25</v>
      </c>
      <c r="AW631" s="8">
        <f ca="1">RANK(PlayerGameData[[#This Row],[STLTieBreak]],PlayerGameData[STLTieBreak],1)</f>
        <v>625</v>
      </c>
      <c r="AX631" s="8">
        <f ca="1">RANK(PlayerGameData[[#This Row],[BLK]],PlayerGameData[BLK],0)+PlayerGameData[[#This Row],[VisibleOrder]]</f>
        <v>1031</v>
      </c>
      <c r="AY631" s="8">
        <f ca="1">IF(COUNTIF(PlayerGameData[BLKOrder],PlayerGameData[[#This Row],[BLKOrder]])&gt;1,PlayerGameData[[#This Row],[PointRank]]/100+PlayerGameData[[#This Row],[BLKOrder]],PlayerGameData[[#This Row],[BLKOrder]])</f>
        <v>1037.25</v>
      </c>
      <c r="AZ631" s="8">
        <f ca="1">RANK(PlayerGameData[[#This Row],[BLKTieBreak]],PlayerGameData[BLKTieBreak],1)</f>
        <v>625</v>
      </c>
      <c r="BA631" s="11">
        <f ca="1">IFERROR(IF(PlayerGameData[[#This Row],[FGA]]&gt;$AA$5,PlayerGameData[[#This Row],[FG%*]],PlayerGameData[[#This Row],[FG%*]]*-1),-2)</f>
        <v>-2</v>
      </c>
      <c r="BB631" s="8">
        <f ca="1">RANK(PlayerGameData[[#This Row],[EligFG]],PlayerGameData[EligFG],0)+PlayerGameData[[#This Row],[VisibleOrder]]</f>
        <v>1214</v>
      </c>
      <c r="BC631" s="8">
        <f ca="1">IF(COUNTIF(PlayerGameData[EligFGOrder],PlayerGameData[[#This Row],[EligFGOrder]])&gt;1,PlayerGameData[[#This Row],[PointRank]]/100+PlayerGameData[[#This Row],[EligFGOrder]],PlayerGameData[[#This Row],[EligFGOrder]])</f>
        <v>1220.25</v>
      </c>
      <c r="BD631" s="8">
        <f ca="1">RANK(PlayerGameData[[#This Row],[EligFGTieBreak]],PlayerGameData[EligFGTieBreak],1)</f>
        <v>625</v>
      </c>
      <c r="BE631" s="8" t="str">
        <f>Roster!$D$3</f>
        <v>East</v>
      </c>
      <c r="BF631" s="8" t="str">
        <f>Roster!$D$2</f>
        <v>Northeast</v>
      </c>
      <c r="BG631" s="8" t="str">
        <f>Roster!$D$4</f>
        <v>North</v>
      </c>
      <c r="BH631" s="197">
        <f ca="1">IFERROR(VLOOKUP(CONCATENATE(PlayerGameData[[#This Row],[Opponent]]," ",MONTH(PlayerGameData[[#This Row],[Date]]),"/",DAY(PlayerGameData[[#This Row],[Date]]),"/",YEAR(PlayerGameData[[#This Row],[Date]])),Table35[],2,FALSE),0)</f>
        <v>0</v>
      </c>
      <c r="BI631" s="197">
        <f ca="1">IF(PlayerGameData[[#This Row],[Visible]]=1,1,1000)</f>
        <v>1000</v>
      </c>
      <c r="BJ631" s="197" t="e">
        <f ca="1">_xlfn.MAXIFS(TeamGameData[Win],TeamGameData[School, Opponent,Game'#],PlayerGameData[[#This Row],[School, Opponent,Game'#]])</f>
        <v>#NAME?</v>
      </c>
      <c r="BK631" s="197" t="e">
        <f ca="1">_xlfn.MAXIFS(TeamGameData[Loss],TeamGameData[School, Opponent,Game'#],PlayerGameData[[#This Row],[School, Opponent,Game'#]])</f>
        <v>#NAME?</v>
      </c>
    </row>
    <row r="632" spans="1:63" x14ac:dyDescent="0.25">
      <c r="A632" s="8" t="str">
        <f t="shared" ca="1" si="303"/>
        <v>Logan Timberman, 3</v>
      </c>
      <c r="B632" s="8" t="str">
        <f>Roster!$B$1</f>
        <v>Upton</v>
      </c>
      <c r="C632" s="8">
        <f t="shared" ca="1" si="291"/>
        <v>0</v>
      </c>
      <c r="D632" s="10">
        <f t="shared" ca="1" si="292"/>
        <v>0</v>
      </c>
      <c r="E632" s="8">
        <f t="shared" ca="1" si="293"/>
        <v>0</v>
      </c>
      <c r="F632" s="8">
        <f t="shared" ca="1" si="294"/>
        <v>0</v>
      </c>
      <c r="G632" s="8">
        <f t="shared" ca="1" si="295"/>
        <v>0</v>
      </c>
      <c r="H632" s="8">
        <f t="shared" ca="1" si="296"/>
        <v>0</v>
      </c>
      <c r="I632" s="8">
        <f t="shared" ca="1" si="297"/>
        <v>0</v>
      </c>
      <c r="J632" s="8">
        <f t="shared" ca="1" si="298"/>
        <v>0</v>
      </c>
      <c r="K632" s="8">
        <f t="shared" ca="1" si="299"/>
        <v>0</v>
      </c>
      <c r="L632" s="8">
        <f t="shared" ca="1" si="304"/>
        <v>0</v>
      </c>
      <c r="M632" s="8">
        <f t="shared" ca="1" si="305"/>
        <v>0</v>
      </c>
      <c r="N632" s="8">
        <f t="shared" ca="1" si="306"/>
        <v>0</v>
      </c>
      <c r="O632" s="8">
        <f t="shared" ca="1" si="307"/>
        <v>0</v>
      </c>
      <c r="P632" s="8">
        <f t="shared" ca="1" si="308"/>
        <v>0</v>
      </c>
      <c r="Q632" s="8">
        <f t="shared" ca="1" si="309"/>
        <v>0</v>
      </c>
      <c r="R632" s="8">
        <f t="shared" ca="1" si="310"/>
        <v>0</v>
      </c>
      <c r="S632" s="8">
        <f t="shared" ca="1" si="311"/>
        <v>0</v>
      </c>
      <c r="T632" s="8">
        <f t="shared" ca="1" si="312"/>
        <v>0</v>
      </c>
      <c r="U632" s="8">
        <f t="shared" ca="1" si="313"/>
        <v>0</v>
      </c>
      <c r="V632" s="8">
        <f t="shared" ca="1" si="314"/>
        <v>0</v>
      </c>
      <c r="W632" s="11" t="str">
        <f t="shared" ca="1" si="315"/>
        <v/>
      </c>
      <c r="X632" s="11" t="str">
        <f t="shared" ca="1" si="316"/>
        <v/>
      </c>
      <c r="Y632" s="11" t="str">
        <f t="shared" ca="1" si="317"/>
        <v/>
      </c>
      <c r="Z632" s="11" t="str">
        <f t="shared" ca="1" si="318"/>
        <v/>
      </c>
      <c r="AA632" s="11" t="str">
        <f t="shared" ca="1" si="319"/>
        <v/>
      </c>
      <c r="AB632" s="47">
        <f ca="1">PlayerGameData[[#This Row],[3FGA]]+PlayerGameData[[#This Row],[2FGA]]</f>
        <v>0</v>
      </c>
      <c r="AC632" s="47">
        <f ca="1">PlayerGameData[[#This Row],[OFF REB]]+PlayerGameData[[#This Row],[DEF REB]]</f>
        <v>0</v>
      </c>
      <c r="AD632" s="8">
        <f t="shared" si="300"/>
        <v>27</v>
      </c>
      <c r="AE632" s="8" t="str">
        <f t="shared" ca="1" si="301"/>
        <v>Logan Timberman, 3 - 0 1/0/1900</v>
      </c>
      <c r="AF632" s="8" t="str">
        <f t="shared" ca="1" si="320"/>
        <v/>
      </c>
      <c r="AG632" s="8" t="str">
        <f ca="1">IFERROR(IF(C632=0,"",IF(AND(VLOOKUP(PlayerGameData[[#This Row],[Opponent]],WYTeamInfo,2,FALSE)=Roster!$D$1,VLOOKUP(PlayerGameData[[#This Row],[Opponent]],WYTeamInfo,3,FALSE)=Roster!$D$2),"SR","")),"")</f>
        <v/>
      </c>
      <c r="AH632" s="8" t="str">
        <f>CONCATENATE(Roster!$D$1," ",Roster!$D$5)</f>
        <v>1A BB</v>
      </c>
      <c r="AI632" s="8" t="str">
        <f t="shared" ca="1" si="302"/>
        <v>Blank</v>
      </c>
      <c r="AJ632" s="8">
        <f ca="1">IFERROR(VLOOKUP(PlayerGameData[[#This Row],[School, Opponent,Game'#]],Table3[],2,FALSE),0)</f>
        <v>0</v>
      </c>
      <c r="AK632" s="8">
        <f ca="1">IF(PlayerGameData[[#This Row],[Visible]]=1,1,1000)</f>
        <v>1000</v>
      </c>
      <c r="AL632" s="8">
        <f ca="1">RANK(PlayerGameData[[#This Row],[TL PTS]],PlayerGameData[TL PTS],0)+PlayerGameData[[#This Row],[VisibleOrder]]</f>
        <v>1184</v>
      </c>
      <c r="AM632" s="8">
        <f ca="1">IF(COUNTIF(PlayerGameData[PointOrder],PlayerGameData[[#This Row],[PointOrder]])&gt;1,RANK(PlayerGameData[[#This Row],[FGA]],PlayerGameData[FGA],0)/100,0)+PlayerGameData[[#This Row],[PointOrder]]</f>
        <v>1186.1400000000001</v>
      </c>
      <c r="AN632" s="8">
        <f ca="1">RANK(PlayerGameData[[#This Row],[PointTieBreak]],PlayerGameData[PointTieBreak],1)</f>
        <v>625</v>
      </c>
      <c r="AO632" s="8">
        <f ca="1">RANK(PlayerGameData[[#This Row],[REB]],PlayerGameData[REB],0)+PlayerGameData[[#This Row],[VisibleOrder]]</f>
        <v>1191</v>
      </c>
      <c r="AP632" s="8">
        <f ca="1">IF(COUNTIF(PlayerGameData[REBOrder],PlayerGameData[[#This Row],[REBOrder]])&gt;1,PlayerGameData[[#This Row],[PointRank]]/100+PlayerGameData[[#This Row],[REBOrder]],PlayerGameData[[#This Row],[REBOrder]])</f>
        <v>1197.25</v>
      </c>
      <c r="AQ632" s="8">
        <f ca="1">RANK(PlayerGameData[[#This Row],[REBTieBreak]],PlayerGameData[REBTieBreak],1)</f>
        <v>625</v>
      </c>
      <c r="AR632" s="8">
        <f ca="1">RANK(PlayerGameData[[#This Row],[AST]],PlayerGameData[AST],0)+PlayerGameData[[#This Row],[VisibleOrder]]</f>
        <v>1157</v>
      </c>
      <c r="AS632" s="8">
        <f ca="1">IF(COUNTIF(PlayerGameData[ASTOrder],PlayerGameData[[#This Row],[ASTOrder]])&gt;1,PlayerGameData[[#This Row],[PointRank]]/100+PlayerGameData[[#This Row],[ASTOrder]],PlayerGameData[[#This Row],[ASTOrder]])</f>
        <v>1163.25</v>
      </c>
      <c r="AT632" s="8">
        <f ca="1">RANK(PlayerGameData[[#This Row],[ASTTieBreak]],PlayerGameData[ASTTieBreak],1)</f>
        <v>625</v>
      </c>
      <c r="AU632" s="8">
        <f ca="1">RANK(PlayerGameData[[#This Row],[STL]],PlayerGameData[STL],0)+PlayerGameData[[#This Row],[VisibleOrder]]</f>
        <v>1142</v>
      </c>
      <c r="AV632" s="8">
        <f ca="1">IF(COUNTIF(PlayerGameData[STLOrder],PlayerGameData[[#This Row],[STLOrder]])&gt;1,PlayerGameData[[#This Row],[PointRank]]/100+PlayerGameData[[#This Row],[STLOrder]],PlayerGameData[[#This Row],[STLOrder]])</f>
        <v>1148.25</v>
      </c>
      <c r="AW632" s="8">
        <f ca="1">RANK(PlayerGameData[[#This Row],[STLTieBreak]],PlayerGameData[STLTieBreak],1)</f>
        <v>625</v>
      </c>
      <c r="AX632" s="8">
        <f ca="1">RANK(PlayerGameData[[#This Row],[BLK]],PlayerGameData[BLK],0)+PlayerGameData[[#This Row],[VisibleOrder]]</f>
        <v>1031</v>
      </c>
      <c r="AY632" s="8">
        <f ca="1">IF(COUNTIF(PlayerGameData[BLKOrder],PlayerGameData[[#This Row],[BLKOrder]])&gt;1,PlayerGameData[[#This Row],[PointRank]]/100+PlayerGameData[[#This Row],[BLKOrder]],PlayerGameData[[#This Row],[BLKOrder]])</f>
        <v>1037.25</v>
      </c>
      <c r="AZ632" s="8">
        <f ca="1">RANK(PlayerGameData[[#This Row],[BLKTieBreak]],PlayerGameData[BLKTieBreak],1)</f>
        <v>625</v>
      </c>
      <c r="BA632" s="11">
        <f ca="1">IFERROR(IF(PlayerGameData[[#This Row],[FGA]]&gt;$AA$5,PlayerGameData[[#This Row],[FG%*]],PlayerGameData[[#This Row],[FG%*]]*-1),-2)</f>
        <v>-2</v>
      </c>
      <c r="BB632" s="8">
        <f ca="1">RANK(PlayerGameData[[#This Row],[EligFG]],PlayerGameData[EligFG],0)+PlayerGameData[[#This Row],[VisibleOrder]]</f>
        <v>1214</v>
      </c>
      <c r="BC632" s="8">
        <f ca="1">IF(COUNTIF(PlayerGameData[EligFGOrder],PlayerGameData[[#This Row],[EligFGOrder]])&gt;1,PlayerGameData[[#This Row],[PointRank]]/100+PlayerGameData[[#This Row],[EligFGOrder]],PlayerGameData[[#This Row],[EligFGOrder]])</f>
        <v>1220.25</v>
      </c>
      <c r="BD632" s="8">
        <f ca="1">RANK(PlayerGameData[[#This Row],[EligFGTieBreak]],PlayerGameData[EligFGTieBreak],1)</f>
        <v>625</v>
      </c>
      <c r="BE632" s="8" t="str">
        <f>Roster!$D$3</f>
        <v>East</v>
      </c>
      <c r="BF632" s="8" t="str">
        <f>Roster!$D$2</f>
        <v>Northeast</v>
      </c>
      <c r="BG632" s="8" t="str">
        <f>Roster!$D$4</f>
        <v>North</v>
      </c>
      <c r="BH632" s="197">
        <f ca="1">IFERROR(VLOOKUP(CONCATENATE(PlayerGameData[[#This Row],[Opponent]]," ",MONTH(PlayerGameData[[#This Row],[Date]]),"/",DAY(PlayerGameData[[#This Row],[Date]]),"/",YEAR(PlayerGameData[[#This Row],[Date]])),Table35[],2,FALSE),0)</f>
        <v>0</v>
      </c>
      <c r="BI632" s="197">
        <f ca="1">IF(PlayerGameData[[#This Row],[Visible]]=1,1,1000)</f>
        <v>1000</v>
      </c>
      <c r="BJ632" s="197" t="e">
        <f ca="1">_xlfn.MAXIFS(TeamGameData[Win],TeamGameData[School, Opponent,Game'#],PlayerGameData[[#This Row],[School, Opponent,Game'#]])</f>
        <v>#NAME?</v>
      </c>
      <c r="BK632" s="197" t="e">
        <f ca="1">_xlfn.MAXIFS(TeamGameData[Loss],TeamGameData[School, Opponent,Game'#],PlayerGameData[[#This Row],[School, Opponent,Game'#]])</f>
        <v>#NAME?</v>
      </c>
    </row>
    <row r="633" spans="1:63" x14ac:dyDescent="0.25">
      <c r="A633" s="8" t="str">
        <f t="shared" ca="1" si="303"/>
        <v>Chase Mills, 5</v>
      </c>
      <c r="B633" s="8" t="str">
        <f>Roster!$B$1</f>
        <v>Upton</v>
      </c>
      <c r="C633" s="8">
        <f t="shared" ca="1" si="291"/>
        <v>0</v>
      </c>
      <c r="D633" s="10">
        <f t="shared" ca="1" si="292"/>
        <v>0</v>
      </c>
      <c r="E633" s="8">
        <f t="shared" ca="1" si="293"/>
        <v>0</v>
      </c>
      <c r="F633" s="8">
        <f t="shared" ca="1" si="294"/>
        <v>0</v>
      </c>
      <c r="G633" s="8">
        <f t="shared" ca="1" si="295"/>
        <v>0</v>
      </c>
      <c r="H633" s="8">
        <f t="shared" ca="1" si="296"/>
        <v>0</v>
      </c>
      <c r="I633" s="8">
        <f t="shared" ca="1" si="297"/>
        <v>0</v>
      </c>
      <c r="J633" s="8">
        <f t="shared" ca="1" si="298"/>
        <v>0</v>
      </c>
      <c r="K633" s="8">
        <f t="shared" ca="1" si="299"/>
        <v>0</v>
      </c>
      <c r="L633" s="8">
        <f t="shared" ca="1" si="304"/>
        <v>0</v>
      </c>
      <c r="M633" s="8">
        <f t="shared" ca="1" si="305"/>
        <v>0</v>
      </c>
      <c r="N633" s="8">
        <f t="shared" ca="1" si="306"/>
        <v>0</v>
      </c>
      <c r="O633" s="8">
        <f t="shared" ca="1" si="307"/>
        <v>0</v>
      </c>
      <c r="P633" s="8">
        <f t="shared" ca="1" si="308"/>
        <v>0</v>
      </c>
      <c r="Q633" s="8">
        <f t="shared" ca="1" si="309"/>
        <v>0</v>
      </c>
      <c r="R633" s="8">
        <f t="shared" ca="1" si="310"/>
        <v>0</v>
      </c>
      <c r="S633" s="8">
        <f t="shared" ca="1" si="311"/>
        <v>0</v>
      </c>
      <c r="T633" s="8">
        <f t="shared" ca="1" si="312"/>
        <v>0</v>
      </c>
      <c r="U633" s="8">
        <f t="shared" ca="1" si="313"/>
        <v>0</v>
      </c>
      <c r="V633" s="8">
        <f t="shared" ca="1" si="314"/>
        <v>0</v>
      </c>
      <c r="W633" s="11" t="str">
        <f t="shared" ca="1" si="315"/>
        <v/>
      </c>
      <c r="X633" s="11" t="str">
        <f t="shared" ca="1" si="316"/>
        <v/>
      </c>
      <c r="Y633" s="11" t="str">
        <f t="shared" ca="1" si="317"/>
        <v/>
      </c>
      <c r="Z633" s="11" t="str">
        <f t="shared" ca="1" si="318"/>
        <v/>
      </c>
      <c r="AA633" s="11" t="str">
        <f t="shared" ca="1" si="319"/>
        <v/>
      </c>
      <c r="AB633" s="47">
        <f ca="1">PlayerGameData[[#This Row],[3FGA]]+PlayerGameData[[#This Row],[2FGA]]</f>
        <v>0</v>
      </c>
      <c r="AC633" s="47">
        <f ca="1">PlayerGameData[[#This Row],[OFF REB]]+PlayerGameData[[#This Row],[DEF REB]]</f>
        <v>0</v>
      </c>
      <c r="AD633" s="8">
        <f t="shared" si="300"/>
        <v>27</v>
      </c>
      <c r="AE633" s="8" t="str">
        <f t="shared" ca="1" si="301"/>
        <v>Chase Mills, 5 - 0 1/0/1900</v>
      </c>
      <c r="AF633" s="8" t="str">
        <f t="shared" ca="1" si="320"/>
        <v/>
      </c>
      <c r="AG633" s="8" t="str">
        <f ca="1">IFERROR(IF(C633=0,"",IF(AND(VLOOKUP(PlayerGameData[[#This Row],[Opponent]],WYTeamInfo,2,FALSE)=Roster!$D$1,VLOOKUP(PlayerGameData[[#This Row],[Opponent]],WYTeamInfo,3,FALSE)=Roster!$D$2),"SR","")),"")</f>
        <v/>
      </c>
      <c r="AH633" s="8" t="str">
        <f>CONCATENATE(Roster!$D$1," ",Roster!$D$5)</f>
        <v>1A BB</v>
      </c>
      <c r="AI633" s="8" t="str">
        <f t="shared" ca="1" si="302"/>
        <v>Blank</v>
      </c>
      <c r="AJ633" s="8">
        <f ca="1">IFERROR(VLOOKUP(PlayerGameData[[#This Row],[School, Opponent,Game'#]],Table3[],2,FALSE),0)</f>
        <v>0</v>
      </c>
      <c r="AK633" s="8">
        <f ca="1">IF(PlayerGameData[[#This Row],[Visible]]=1,1,1000)</f>
        <v>1000</v>
      </c>
      <c r="AL633" s="8">
        <f ca="1">RANK(PlayerGameData[[#This Row],[TL PTS]],PlayerGameData[TL PTS],0)+PlayerGameData[[#This Row],[VisibleOrder]]</f>
        <v>1184</v>
      </c>
      <c r="AM633" s="8">
        <f ca="1">IF(COUNTIF(PlayerGameData[PointOrder],PlayerGameData[[#This Row],[PointOrder]])&gt;1,RANK(PlayerGameData[[#This Row],[FGA]],PlayerGameData[FGA],0)/100,0)+PlayerGameData[[#This Row],[PointOrder]]</f>
        <v>1186.1400000000001</v>
      </c>
      <c r="AN633" s="8">
        <f ca="1">RANK(PlayerGameData[[#This Row],[PointTieBreak]],PlayerGameData[PointTieBreak],1)</f>
        <v>625</v>
      </c>
      <c r="AO633" s="8">
        <f ca="1">RANK(PlayerGameData[[#This Row],[REB]],PlayerGameData[REB],0)+PlayerGameData[[#This Row],[VisibleOrder]]</f>
        <v>1191</v>
      </c>
      <c r="AP633" s="8">
        <f ca="1">IF(COUNTIF(PlayerGameData[REBOrder],PlayerGameData[[#This Row],[REBOrder]])&gt;1,PlayerGameData[[#This Row],[PointRank]]/100+PlayerGameData[[#This Row],[REBOrder]],PlayerGameData[[#This Row],[REBOrder]])</f>
        <v>1197.25</v>
      </c>
      <c r="AQ633" s="8">
        <f ca="1">RANK(PlayerGameData[[#This Row],[REBTieBreak]],PlayerGameData[REBTieBreak],1)</f>
        <v>625</v>
      </c>
      <c r="AR633" s="8">
        <f ca="1">RANK(PlayerGameData[[#This Row],[AST]],PlayerGameData[AST],0)+PlayerGameData[[#This Row],[VisibleOrder]]</f>
        <v>1157</v>
      </c>
      <c r="AS633" s="8">
        <f ca="1">IF(COUNTIF(PlayerGameData[ASTOrder],PlayerGameData[[#This Row],[ASTOrder]])&gt;1,PlayerGameData[[#This Row],[PointRank]]/100+PlayerGameData[[#This Row],[ASTOrder]],PlayerGameData[[#This Row],[ASTOrder]])</f>
        <v>1163.25</v>
      </c>
      <c r="AT633" s="8">
        <f ca="1">RANK(PlayerGameData[[#This Row],[ASTTieBreak]],PlayerGameData[ASTTieBreak],1)</f>
        <v>625</v>
      </c>
      <c r="AU633" s="8">
        <f ca="1">RANK(PlayerGameData[[#This Row],[STL]],PlayerGameData[STL],0)+PlayerGameData[[#This Row],[VisibleOrder]]</f>
        <v>1142</v>
      </c>
      <c r="AV633" s="8">
        <f ca="1">IF(COUNTIF(PlayerGameData[STLOrder],PlayerGameData[[#This Row],[STLOrder]])&gt;1,PlayerGameData[[#This Row],[PointRank]]/100+PlayerGameData[[#This Row],[STLOrder]],PlayerGameData[[#This Row],[STLOrder]])</f>
        <v>1148.25</v>
      </c>
      <c r="AW633" s="8">
        <f ca="1">RANK(PlayerGameData[[#This Row],[STLTieBreak]],PlayerGameData[STLTieBreak],1)</f>
        <v>625</v>
      </c>
      <c r="AX633" s="8">
        <f ca="1">RANK(PlayerGameData[[#This Row],[BLK]],PlayerGameData[BLK],0)+PlayerGameData[[#This Row],[VisibleOrder]]</f>
        <v>1031</v>
      </c>
      <c r="AY633" s="8">
        <f ca="1">IF(COUNTIF(PlayerGameData[BLKOrder],PlayerGameData[[#This Row],[BLKOrder]])&gt;1,PlayerGameData[[#This Row],[PointRank]]/100+PlayerGameData[[#This Row],[BLKOrder]],PlayerGameData[[#This Row],[BLKOrder]])</f>
        <v>1037.25</v>
      </c>
      <c r="AZ633" s="8">
        <f ca="1">RANK(PlayerGameData[[#This Row],[BLKTieBreak]],PlayerGameData[BLKTieBreak],1)</f>
        <v>625</v>
      </c>
      <c r="BA633" s="11">
        <f ca="1">IFERROR(IF(PlayerGameData[[#This Row],[FGA]]&gt;$AA$5,PlayerGameData[[#This Row],[FG%*]],PlayerGameData[[#This Row],[FG%*]]*-1),-2)</f>
        <v>-2</v>
      </c>
      <c r="BB633" s="8">
        <f ca="1">RANK(PlayerGameData[[#This Row],[EligFG]],PlayerGameData[EligFG],0)+PlayerGameData[[#This Row],[VisibleOrder]]</f>
        <v>1214</v>
      </c>
      <c r="BC633" s="8">
        <f ca="1">IF(COUNTIF(PlayerGameData[EligFGOrder],PlayerGameData[[#This Row],[EligFGOrder]])&gt;1,PlayerGameData[[#This Row],[PointRank]]/100+PlayerGameData[[#This Row],[EligFGOrder]],PlayerGameData[[#This Row],[EligFGOrder]])</f>
        <v>1220.25</v>
      </c>
      <c r="BD633" s="8">
        <f ca="1">RANK(PlayerGameData[[#This Row],[EligFGTieBreak]],PlayerGameData[EligFGTieBreak],1)</f>
        <v>625</v>
      </c>
      <c r="BE633" s="8" t="str">
        <f>Roster!$D$3</f>
        <v>East</v>
      </c>
      <c r="BF633" s="8" t="str">
        <f>Roster!$D$2</f>
        <v>Northeast</v>
      </c>
      <c r="BG633" s="8" t="str">
        <f>Roster!$D$4</f>
        <v>North</v>
      </c>
      <c r="BH633" s="197">
        <f ca="1">IFERROR(VLOOKUP(CONCATENATE(PlayerGameData[[#This Row],[Opponent]]," ",MONTH(PlayerGameData[[#This Row],[Date]]),"/",DAY(PlayerGameData[[#This Row],[Date]]),"/",YEAR(PlayerGameData[[#This Row],[Date]])),Table35[],2,FALSE),0)</f>
        <v>0</v>
      </c>
      <c r="BI633" s="197">
        <f ca="1">IF(PlayerGameData[[#This Row],[Visible]]=1,1,1000)</f>
        <v>1000</v>
      </c>
      <c r="BJ633" s="197" t="e">
        <f ca="1">_xlfn.MAXIFS(TeamGameData[Win],TeamGameData[School, Opponent,Game'#],PlayerGameData[[#This Row],[School, Opponent,Game'#]])</f>
        <v>#NAME?</v>
      </c>
      <c r="BK633" s="197" t="e">
        <f ca="1">_xlfn.MAXIFS(TeamGameData[Loss],TeamGameData[School, Opponent,Game'#],PlayerGameData[[#This Row],[School, Opponent,Game'#]])</f>
        <v>#NAME?</v>
      </c>
    </row>
    <row r="634" spans="1:63" x14ac:dyDescent="0.25">
      <c r="A634" s="8" t="str">
        <f t="shared" ca="1" si="303"/>
        <v>Rhett Watt, 10</v>
      </c>
      <c r="B634" s="8" t="str">
        <f>Roster!$B$1</f>
        <v>Upton</v>
      </c>
      <c r="C634" s="8">
        <f t="shared" ca="1" si="291"/>
        <v>0</v>
      </c>
      <c r="D634" s="10">
        <f t="shared" ca="1" si="292"/>
        <v>0</v>
      </c>
      <c r="E634" s="8">
        <f t="shared" ca="1" si="293"/>
        <v>0</v>
      </c>
      <c r="F634" s="8">
        <f t="shared" ca="1" si="294"/>
        <v>0</v>
      </c>
      <c r="G634" s="8">
        <f t="shared" ca="1" si="295"/>
        <v>0</v>
      </c>
      <c r="H634" s="8">
        <f t="shared" ca="1" si="296"/>
        <v>0</v>
      </c>
      <c r="I634" s="8">
        <f t="shared" ca="1" si="297"/>
        <v>0</v>
      </c>
      <c r="J634" s="8">
        <f t="shared" ca="1" si="298"/>
        <v>0</v>
      </c>
      <c r="K634" s="8">
        <f t="shared" ca="1" si="299"/>
        <v>0</v>
      </c>
      <c r="L634" s="8">
        <f t="shared" ca="1" si="304"/>
        <v>0</v>
      </c>
      <c r="M634" s="8">
        <f t="shared" ca="1" si="305"/>
        <v>0</v>
      </c>
      <c r="N634" s="8">
        <f t="shared" ca="1" si="306"/>
        <v>0</v>
      </c>
      <c r="O634" s="8">
        <f t="shared" ca="1" si="307"/>
        <v>0</v>
      </c>
      <c r="P634" s="8">
        <f t="shared" ca="1" si="308"/>
        <v>0</v>
      </c>
      <c r="Q634" s="8">
        <f t="shared" ca="1" si="309"/>
        <v>0</v>
      </c>
      <c r="R634" s="8">
        <f t="shared" ca="1" si="310"/>
        <v>0</v>
      </c>
      <c r="S634" s="8">
        <f t="shared" ca="1" si="311"/>
        <v>0</v>
      </c>
      <c r="T634" s="8">
        <f t="shared" ca="1" si="312"/>
        <v>0</v>
      </c>
      <c r="U634" s="8">
        <f t="shared" ca="1" si="313"/>
        <v>0</v>
      </c>
      <c r="V634" s="8">
        <f t="shared" ca="1" si="314"/>
        <v>0</v>
      </c>
      <c r="W634" s="11" t="str">
        <f t="shared" ca="1" si="315"/>
        <v/>
      </c>
      <c r="X634" s="11" t="str">
        <f t="shared" ca="1" si="316"/>
        <v/>
      </c>
      <c r="Y634" s="11" t="str">
        <f t="shared" ca="1" si="317"/>
        <v/>
      </c>
      <c r="Z634" s="11" t="str">
        <f t="shared" ca="1" si="318"/>
        <v/>
      </c>
      <c r="AA634" s="11" t="str">
        <f t="shared" ca="1" si="319"/>
        <v/>
      </c>
      <c r="AB634" s="47">
        <f ca="1">PlayerGameData[[#This Row],[3FGA]]+PlayerGameData[[#This Row],[2FGA]]</f>
        <v>0</v>
      </c>
      <c r="AC634" s="47">
        <f ca="1">PlayerGameData[[#This Row],[OFF REB]]+PlayerGameData[[#This Row],[DEF REB]]</f>
        <v>0</v>
      </c>
      <c r="AD634" s="8">
        <f t="shared" si="300"/>
        <v>27</v>
      </c>
      <c r="AE634" s="8" t="str">
        <f t="shared" ca="1" si="301"/>
        <v>Rhett Watt, 10 - 0 1/0/1900</v>
      </c>
      <c r="AF634" s="8" t="str">
        <f t="shared" ca="1" si="320"/>
        <v/>
      </c>
      <c r="AG634" s="8" t="str">
        <f ca="1">IFERROR(IF(C634=0,"",IF(AND(VLOOKUP(PlayerGameData[[#This Row],[Opponent]],WYTeamInfo,2,FALSE)=Roster!$D$1,VLOOKUP(PlayerGameData[[#This Row],[Opponent]],WYTeamInfo,3,FALSE)=Roster!$D$2),"SR","")),"")</f>
        <v/>
      </c>
      <c r="AH634" s="8" t="str">
        <f>CONCATENATE(Roster!$D$1," ",Roster!$D$5)</f>
        <v>1A BB</v>
      </c>
      <c r="AI634" s="8" t="str">
        <f t="shared" ca="1" si="302"/>
        <v>Blank</v>
      </c>
      <c r="AJ634" s="8">
        <f ca="1">IFERROR(VLOOKUP(PlayerGameData[[#This Row],[School, Opponent,Game'#]],Table3[],2,FALSE),0)</f>
        <v>0</v>
      </c>
      <c r="AK634" s="8">
        <f ca="1">IF(PlayerGameData[[#This Row],[Visible]]=1,1,1000)</f>
        <v>1000</v>
      </c>
      <c r="AL634" s="8">
        <f ca="1">RANK(PlayerGameData[[#This Row],[TL PTS]],PlayerGameData[TL PTS],0)+PlayerGameData[[#This Row],[VisibleOrder]]</f>
        <v>1184</v>
      </c>
      <c r="AM634" s="8">
        <f ca="1">IF(COUNTIF(PlayerGameData[PointOrder],PlayerGameData[[#This Row],[PointOrder]])&gt;1,RANK(PlayerGameData[[#This Row],[FGA]],PlayerGameData[FGA],0)/100,0)+PlayerGameData[[#This Row],[PointOrder]]</f>
        <v>1186.1400000000001</v>
      </c>
      <c r="AN634" s="8">
        <f ca="1">RANK(PlayerGameData[[#This Row],[PointTieBreak]],PlayerGameData[PointTieBreak],1)</f>
        <v>625</v>
      </c>
      <c r="AO634" s="8">
        <f ca="1">RANK(PlayerGameData[[#This Row],[REB]],PlayerGameData[REB],0)+PlayerGameData[[#This Row],[VisibleOrder]]</f>
        <v>1191</v>
      </c>
      <c r="AP634" s="8">
        <f ca="1">IF(COUNTIF(PlayerGameData[REBOrder],PlayerGameData[[#This Row],[REBOrder]])&gt;1,PlayerGameData[[#This Row],[PointRank]]/100+PlayerGameData[[#This Row],[REBOrder]],PlayerGameData[[#This Row],[REBOrder]])</f>
        <v>1197.25</v>
      </c>
      <c r="AQ634" s="8">
        <f ca="1">RANK(PlayerGameData[[#This Row],[REBTieBreak]],PlayerGameData[REBTieBreak],1)</f>
        <v>625</v>
      </c>
      <c r="AR634" s="8">
        <f ca="1">RANK(PlayerGameData[[#This Row],[AST]],PlayerGameData[AST],0)+PlayerGameData[[#This Row],[VisibleOrder]]</f>
        <v>1157</v>
      </c>
      <c r="AS634" s="8">
        <f ca="1">IF(COUNTIF(PlayerGameData[ASTOrder],PlayerGameData[[#This Row],[ASTOrder]])&gt;1,PlayerGameData[[#This Row],[PointRank]]/100+PlayerGameData[[#This Row],[ASTOrder]],PlayerGameData[[#This Row],[ASTOrder]])</f>
        <v>1163.25</v>
      </c>
      <c r="AT634" s="8">
        <f ca="1">RANK(PlayerGameData[[#This Row],[ASTTieBreak]],PlayerGameData[ASTTieBreak],1)</f>
        <v>625</v>
      </c>
      <c r="AU634" s="8">
        <f ca="1">RANK(PlayerGameData[[#This Row],[STL]],PlayerGameData[STL],0)+PlayerGameData[[#This Row],[VisibleOrder]]</f>
        <v>1142</v>
      </c>
      <c r="AV634" s="8">
        <f ca="1">IF(COUNTIF(PlayerGameData[STLOrder],PlayerGameData[[#This Row],[STLOrder]])&gt;1,PlayerGameData[[#This Row],[PointRank]]/100+PlayerGameData[[#This Row],[STLOrder]],PlayerGameData[[#This Row],[STLOrder]])</f>
        <v>1148.25</v>
      </c>
      <c r="AW634" s="8">
        <f ca="1">RANK(PlayerGameData[[#This Row],[STLTieBreak]],PlayerGameData[STLTieBreak],1)</f>
        <v>625</v>
      </c>
      <c r="AX634" s="8">
        <f ca="1">RANK(PlayerGameData[[#This Row],[BLK]],PlayerGameData[BLK],0)+PlayerGameData[[#This Row],[VisibleOrder]]</f>
        <v>1031</v>
      </c>
      <c r="AY634" s="8">
        <f ca="1">IF(COUNTIF(PlayerGameData[BLKOrder],PlayerGameData[[#This Row],[BLKOrder]])&gt;1,PlayerGameData[[#This Row],[PointRank]]/100+PlayerGameData[[#This Row],[BLKOrder]],PlayerGameData[[#This Row],[BLKOrder]])</f>
        <v>1037.25</v>
      </c>
      <c r="AZ634" s="8">
        <f ca="1">RANK(PlayerGameData[[#This Row],[BLKTieBreak]],PlayerGameData[BLKTieBreak],1)</f>
        <v>625</v>
      </c>
      <c r="BA634" s="11">
        <f ca="1">IFERROR(IF(PlayerGameData[[#This Row],[FGA]]&gt;$AA$5,PlayerGameData[[#This Row],[FG%*]],PlayerGameData[[#This Row],[FG%*]]*-1),-2)</f>
        <v>-2</v>
      </c>
      <c r="BB634" s="8">
        <f ca="1">RANK(PlayerGameData[[#This Row],[EligFG]],PlayerGameData[EligFG],0)+PlayerGameData[[#This Row],[VisibleOrder]]</f>
        <v>1214</v>
      </c>
      <c r="BC634" s="8">
        <f ca="1">IF(COUNTIF(PlayerGameData[EligFGOrder],PlayerGameData[[#This Row],[EligFGOrder]])&gt;1,PlayerGameData[[#This Row],[PointRank]]/100+PlayerGameData[[#This Row],[EligFGOrder]],PlayerGameData[[#This Row],[EligFGOrder]])</f>
        <v>1220.25</v>
      </c>
      <c r="BD634" s="8">
        <f ca="1">RANK(PlayerGameData[[#This Row],[EligFGTieBreak]],PlayerGameData[EligFGTieBreak],1)</f>
        <v>625</v>
      </c>
      <c r="BE634" s="8" t="str">
        <f>Roster!$D$3</f>
        <v>East</v>
      </c>
      <c r="BF634" s="8" t="str">
        <f>Roster!$D$2</f>
        <v>Northeast</v>
      </c>
      <c r="BG634" s="8" t="str">
        <f>Roster!$D$4</f>
        <v>North</v>
      </c>
      <c r="BH634" s="197">
        <f ca="1">IFERROR(VLOOKUP(CONCATENATE(PlayerGameData[[#This Row],[Opponent]]," ",MONTH(PlayerGameData[[#This Row],[Date]]),"/",DAY(PlayerGameData[[#This Row],[Date]]),"/",YEAR(PlayerGameData[[#This Row],[Date]])),Table35[],2,FALSE),0)</f>
        <v>0</v>
      </c>
      <c r="BI634" s="197">
        <f ca="1">IF(PlayerGameData[[#This Row],[Visible]]=1,1,1000)</f>
        <v>1000</v>
      </c>
      <c r="BJ634" s="197" t="e">
        <f ca="1">_xlfn.MAXIFS(TeamGameData[Win],TeamGameData[School, Opponent,Game'#],PlayerGameData[[#This Row],[School, Opponent,Game'#]])</f>
        <v>#NAME?</v>
      </c>
      <c r="BK634" s="197" t="e">
        <f ca="1">_xlfn.MAXIFS(TeamGameData[Loss],TeamGameData[School, Opponent,Game'#],PlayerGameData[[#This Row],[School, Opponent,Game'#]])</f>
        <v>#NAME?</v>
      </c>
    </row>
    <row r="635" spans="1:63" x14ac:dyDescent="0.25">
      <c r="A635" s="8" t="str">
        <f t="shared" ca="1" si="303"/>
        <v>Keith Coburn, 11</v>
      </c>
      <c r="B635" s="8" t="str">
        <f>Roster!$B$1</f>
        <v>Upton</v>
      </c>
      <c r="C635" s="8">
        <f t="shared" ca="1" si="291"/>
        <v>0</v>
      </c>
      <c r="D635" s="10">
        <f t="shared" ca="1" si="292"/>
        <v>0</v>
      </c>
      <c r="E635" s="8">
        <f t="shared" ca="1" si="293"/>
        <v>0</v>
      </c>
      <c r="F635" s="8">
        <f t="shared" ca="1" si="294"/>
        <v>0</v>
      </c>
      <c r="G635" s="8">
        <f t="shared" ca="1" si="295"/>
        <v>0</v>
      </c>
      <c r="H635" s="8">
        <f t="shared" ca="1" si="296"/>
        <v>0</v>
      </c>
      <c r="I635" s="8">
        <f t="shared" ca="1" si="297"/>
        <v>0</v>
      </c>
      <c r="J635" s="8">
        <f t="shared" ca="1" si="298"/>
        <v>0</v>
      </c>
      <c r="K635" s="8">
        <f t="shared" ca="1" si="299"/>
        <v>0</v>
      </c>
      <c r="L635" s="8">
        <f t="shared" ca="1" si="304"/>
        <v>0</v>
      </c>
      <c r="M635" s="8">
        <f t="shared" ca="1" si="305"/>
        <v>0</v>
      </c>
      <c r="N635" s="8">
        <f t="shared" ca="1" si="306"/>
        <v>0</v>
      </c>
      <c r="O635" s="8">
        <f t="shared" ca="1" si="307"/>
        <v>0</v>
      </c>
      <c r="P635" s="8">
        <f t="shared" ca="1" si="308"/>
        <v>0</v>
      </c>
      <c r="Q635" s="8">
        <f t="shared" ca="1" si="309"/>
        <v>0</v>
      </c>
      <c r="R635" s="8">
        <f t="shared" ca="1" si="310"/>
        <v>0</v>
      </c>
      <c r="S635" s="8">
        <f t="shared" ca="1" si="311"/>
        <v>0</v>
      </c>
      <c r="T635" s="8">
        <f t="shared" ca="1" si="312"/>
        <v>0</v>
      </c>
      <c r="U635" s="8">
        <f t="shared" ca="1" si="313"/>
        <v>0</v>
      </c>
      <c r="V635" s="8">
        <f t="shared" ca="1" si="314"/>
        <v>0</v>
      </c>
      <c r="W635" s="11" t="str">
        <f t="shared" ca="1" si="315"/>
        <v/>
      </c>
      <c r="X635" s="11" t="str">
        <f t="shared" ca="1" si="316"/>
        <v/>
      </c>
      <c r="Y635" s="11" t="str">
        <f t="shared" ca="1" si="317"/>
        <v/>
      </c>
      <c r="Z635" s="11" t="str">
        <f t="shared" ca="1" si="318"/>
        <v/>
      </c>
      <c r="AA635" s="11" t="str">
        <f t="shared" ca="1" si="319"/>
        <v/>
      </c>
      <c r="AB635" s="47">
        <f ca="1">PlayerGameData[[#This Row],[3FGA]]+PlayerGameData[[#This Row],[2FGA]]</f>
        <v>0</v>
      </c>
      <c r="AC635" s="47">
        <f ca="1">PlayerGameData[[#This Row],[OFF REB]]+PlayerGameData[[#This Row],[DEF REB]]</f>
        <v>0</v>
      </c>
      <c r="AD635" s="8">
        <f t="shared" si="300"/>
        <v>27</v>
      </c>
      <c r="AE635" s="8" t="str">
        <f t="shared" ca="1" si="301"/>
        <v>Keith Coburn, 11 - 0 1/0/1900</v>
      </c>
      <c r="AF635" s="8" t="str">
        <f t="shared" ca="1" si="320"/>
        <v/>
      </c>
      <c r="AG635" s="8" t="str">
        <f ca="1">IFERROR(IF(C635=0,"",IF(AND(VLOOKUP(PlayerGameData[[#This Row],[Opponent]],WYTeamInfo,2,FALSE)=Roster!$D$1,VLOOKUP(PlayerGameData[[#This Row],[Opponent]],WYTeamInfo,3,FALSE)=Roster!$D$2),"SR","")),"")</f>
        <v/>
      </c>
      <c r="AH635" s="8" t="str">
        <f>CONCATENATE(Roster!$D$1," ",Roster!$D$5)</f>
        <v>1A BB</v>
      </c>
      <c r="AI635" s="8" t="str">
        <f t="shared" ca="1" si="302"/>
        <v>Blank</v>
      </c>
      <c r="AJ635" s="8">
        <f ca="1">IFERROR(VLOOKUP(PlayerGameData[[#This Row],[School, Opponent,Game'#]],Table3[],2,FALSE),0)</f>
        <v>0</v>
      </c>
      <c r="AK635" s="8">
        <f ca="1">IF(PlayerGameData[[#This Row],[Visible]]=1,1,1000)</f>
        <v>1000</v>
      </c>
      <c r="AL635" s="8">
        <f ca="1">RANK(PlayerGameData[[#This Row],[TL PTS]],PlayerGameData[TL PTS],0)+PlayerGameData[[#This Row],[VisibleOrder]]</f>
        <v>1184</v>
      </c>
      <c r="AM635" s="8">
        <f ca="1">IF(COUNTIF(PlayerGameData[PointOrder],PlayerGameData[[#This Row],[PointOrder]])&gt;1,RANK(PlayerGameData[[#This Row],[FGA]],PlayerGameData[FGA],0)/100,0)+PlayerGameData[[#This Row],[PointOrder]]</f>
        <v>1186.1400000000001</v>
      </c>
      <c r="AN635" s="8">
        <f ca="1">RANK(PlayerGameData[[#This Row],[PointTieBreak]],PlayerGameData[PointTieBreak],1)</f>
        <v>625</v>
      </c>
      <c r="AO635" s="8">
        <f ca="1">RANK(PlayerGameData[[#This Row],[REB]],PlayerGameData[REB],0)+PlayerGameData[[#This Row],[VisibleOrder]]</f>
        <v>1191</v>
      </c>
      <c r="AP635" s="8">
        <f ca="1">IF(COUNTIF(PlayerGameData[REBOrder],PlayerGameData[[#This Row],[REBOrder]])&gt;1,PlayerGameData[[#This Row],[PointRank]]/100+PlayerGameData[[#This Row],[REBOrder]],PlayerGameData[[#This Row],[REBOrder]])</f>
        <v>1197.25</v>
      </c>
      <c r="AQ635" s="8">
        <f ca="1">RANK(PlayerGameData[[#This Row],[REBTieBreak]],PlayerGameData[REBTieBreak],1)</f>
        <v>625</v>
      </c>
      <c r="AR635" s="8">
        <f ca="1">RANK(PlayerGameData[[#This Row],[AST]],PlayerGameData[AST],0)+PlayerGameData[[#This Row],[VisibleOrder]]</f>
        <v>1157</v>
      </c>
      <c r="AS635" s="8">
        <f ca="1">IF(COUNTIF(PlayerGameData[ASTOrder],PlayerGameData[[#This Row],[ASTOrder]])&gt;1,PlayerGameData[[#This Row],[PointRank]]/100+PlayerGameData[[#This Row],[ASTOrder]],PlayerGameData[[#This Row],[ASTOrder]])</f>
        <v>1163.25</v>
      </c>
      <c r="AT635" s="8">
        <f ca="1">RANK(PlayerGameData[[#This Row],[ASTTieBreak]],PlayerGameData[ASTTieBreak],1)</f>
        <v>625</v>
      </c>
      <c r="AU635" s="8">
        <f ca="1">RANK(PlayerGameData[[#This Row],[STL]],PlayerGameData[STL],0)+PlayerGameData[[#This Row],[VisibleOrder]]</f>
        <v>1142</v>
      </c>
      <c r="AV635" s="8">
        <f ca="1">IF(COUNTIF(PlayerGameData[STLOrder],PlayerGameData[[#This Row],[STLOrder]])&gt;1,PlayerGameData[[#This Row],[PointRank]]/100+PlayerGameData[[#This Row],[STLOrder]],PlayerGameData[[#This Row],[STLOrder]])</f>
        <v>1148.25</v>
      </c>
      <c r="AW635" s="8">
        <f ca="1">RANK(PlayerGameData[[#This Row],[STLTieBreak]],PlayerGameData[STLTieBreak],1)</f>
        <v>625</v>
      </c>
      <c r="AX635" s="8">
        <f ca="1">RANK(PlayerGameData[[#This Row],[BLK]],PlayerGameData[BLK],0)+PlayerGameData[[#This Row],[VisibleOrder]]</f>
        <v>1031</v>
      </c>
      <c r="AY635" s="8">
        <f ca="1">IF(COUNTIF(PlayerGameData[BLKOrder],PlayerGameData[[#This Row],[BLKOrder]])&gt;1,PlayerGameData[[#This Row],[PointRank]]/100+PlayerGameData[[#This Row],[BLKOrder]],PlayerGameData[[#This Row],[BLKOrder]])</f>
        <v>1037.25</v>
      </c>
      <c r="AZ635" s="8">
        <f ca="1">RANK(PlayerGameData[[#This Row],[BLKTieBreak]],PlayerGameData[BLKTieBreak],1)</f>
        <v>625</v>
      </c>
      <c r="BA635" s="11">
        <f ca="1">IFERROR(IF(PlayerGameData[[#This Row],[FGA]]&gt;$AA$5,PlayerGameData[[#This Row],[FG%*]],PlayerGameData[[#This Row],[FG%*]]*-1),-2)</f>
        <v>-2</v>
      </c>
      <c r="BB635" s="8">
        <f ca="1">RANK(PlayerGameData[[#This Row],[EligFG]],PlayerGameData[EligFG],0)+PlayerGameData[[#This Row],[VisibleOrder]]</f>
        <v>1214</v>
      </c>
      <c r="BC635" s="8">
        <f ca="1">IF(COUNTIF(PlayerGameData[EligFGOrder],PlayerGameData[[#This Row],[EligFGOrder]])&gt;1,PlayerGameData[[#This Row],[PointRank]]/100+PlayerGameData[[#This Row],[EligFGOrder]],PlayerGameData[[#This Row],[EligFGOrder]])</f>
        <v>1220.25</v>
      </c>
      <c r="BD635" s="8">
        <f ca="1">RANK(PlayerGameData[[#This Row],[EligFGTieBreak]],PlayerGameData[EligFGTieBreak],1)</f>
        <v>625</v>
      </c>
      <c r="BE635" s="8" t="str">
        <f>Roster!$D$3</f>
        <v>East</v>
      </c>
      <c r="BF635" s="8" t="str">
        <f>Roster!$D$2</f>
        <v>Northeast</v>
      </c>
      <c r="BG635" s="8" t="str">
        <f>Roster!$D$4</f>
        <v>North</v>
      </c>
      <c r="BH635" s="197">
        <f ca="1">IFERROR(VLOOKUP(CONCATENATE(PlayerGameData[[#This Row],[Opponent]]," ",MONTH(PlayerGameData[[#This Row],[Date]]),"/",DAY(PlayerGameData[[#This Row],[Date]]),"/",YEAR(PlayerGameData[[#This Row],[Date]])),Table35[],2,FALSE),0)</f>
        <v>0</v>
      </c>
      <c r="BI635" s="197">
        <f ca="1">IF(PlayerGameData[[#This Row],[Visible]]=1,1,1000)</f>
        <v>1000</v>
      </c>
      <c r="BJ635" s="197" t="e">
        <f ca="1">_xlfn.MAXIFS(TeamGameData[Win],TeamGameData[School, Opponent,Game'#],PlayerGameData[[#This Row],[School, Opponent,Game'#]])</f>
        <v>#NAME?</v>
      </c>
      <c r="BK635" s="197" t="e">
        <f ca="1">_xlfn.MAXIFS(TeamGameData[Loss],TeamGameData[School, Opponent,Game'#],PlayerGameData[[#This Row],[School, Opponent,Game'#]])</f>
        <v>#NAME?</v>
      </c>
    </row>
    <row r="636" spans="1:63" x14ac:dyDescent="0.25">
      <c r="A636" s="8" t="str">
        <f t="shared" ca="1" si="303"/>
        <v>Carson Barritt, 14</v>
      </c>
      <c r="B636" s="8" t="str">
        <f>Roster!$B$1</f>
        <v>Upton</v>
      </c>
      <c r="C636" s="8">
        <f t="shared" ca="1" si="291"/>
        <v>0</v>
      </c>
      <c r="D636" s="10">
        <f t="shared" ca="1" si="292"/>
        <v>0</v>
      </c>
      <c r="E636" s="8">
        <f t="shared" ca="1" si="293"/>
        <v>0</v>
      </c>
      <c r="F636" s="8">
        <f t="shared" ca="1" si="294"/>
        <v>0</v>
      </c>
      <c r="G636" s="8">
        <f t="shared" ca="1" si="295"/>
        <v>0</v>
      </c>
      <c r="H636" s="8">
        <f t="shared" ca="1" si="296"/>
        <v>0</v>
      </c>
      <c r="I636" s="8">
        <f t="shared" ca="1" si="297"/>
        <v>0</v>
      </c>
      <c r="J636" s="8">
        <f t="shared" ca="1" si="298"/>
        <v>0</v>
      </c>
      <c r="K636" s="8">
        <f t="shared" ca="1" si="299"/>
        <v>0</v>
      </c>
      <c r="L636" s="8">
        <f t="shared" ca="1" si="304"/>
        <v>0</v>
      </c>
      <c r="M636" s="8">
        <f t="shared" ca="1" si="305"/>
        <v>0</v>
      </c>
      <c r="N636" s="8">
        <f t="shared" ca="1" si="306"/>
        <v>0</v>
      </c>
      <c r="O636" s="8">
        <f t="shared" ca="1" si="307"/>
        <v>0</v>
      </c>
      <c r="P636" s="8">
        <f t="shared" ca="1" si="308"/>
        <v>0</v>
      </c>
      <c r="Q636" s="8">
        <f t="shared" ca="1" si="309"/>
        <v>0</v>
      </c>
      <c r="R636" s="8">
        <f t="shared" ca="1" si="310"/>
        <v>0</v>
      </c>
      <c r="S636" s="8">
        <f t="shared" ca="1" si="311"/>
        <v>0</v>
      </c>
      <c r="T636" s="8">
        <f t="shared" ca="1" si="312"/>
        <v>0</v>
      </c>
      <c r="U636" s="8">
        <f t="shared" ca="1" si="313"/>
        <v>0</v>
      </c>
      <c r="V636" s="8">
        <f t="shared" ca="1" si="314"/>
        <v>0</v>
      </c>
      <c r="W636" s="11" t="str">
        <f t="shared" ca="1" si="315"/>
        <v/>
      </c>
      <c r="X636" s="11" t="str">
        <f t="shared" ca="1" si="316"/>
        <v/>
      </c>
      <c r="Y636" s="11" t="str">
        <f t="shared" ca="1" si="317"/>
        <v/>
      </c>
      <c r="Z636" s="11" t="str">
        <f t="shared" ca="1" si="318"/>
        <v/>
      </c>
      <c r="AA636" s="11" t="str">
        <f t="shared" ca="1" si="319"/>
        <v/>
      </c>
      <c r="AB636" s="47">
        <f ca="1">PlayerGameData[[#This Row],[3FGA]]+PlayerGameData[[#This Row],[2FGA]]</f>
        <v>0</v>
      </c>
      <c r="AC636" s="47">
        <f ca="1">PlayerGameData[[#This Row],[OFF REB]]+PlayerGameData[[#This Row],[DEF REB]]</f>
        <v>0</v>
      </c>
      <c r="AD636" s="8">
        <f t="shared" si="300"/>
        <v>27</v>
      </c>
      <c r="AE636" s="8" t="str">
        <f t="shared" ca="1" si="301"/>
        <v>Carson Barritt, 14 - 0 1/0/1900</v>
      </c>
      <c r="AF636" s="8" t="str">
        <f t="shared" ca="1" si="320"/>
        <v/>
      </c>
      <c r="AG636" s="8" t="str">
        <f ca="1">IFERROR(IF(C636=0,"",IF(AND(VLOOKUP(PlayerGameData[[#This Row],[Opponent]],WYTeamInfo,2,FALSE)=Roster!$D$1,VLOOKUP(PlayerGameData[[#This Row],[Opponent]],WYTeamInfo,3,FALSE)=Roster!$D$2),"SR","")),"")</f>
        <v/>
      </c>
      <c r="AH636" s="8" t="str">
        <f>CONCATENATE(Roster!$D$1," ",Roster!$D$5)</f>
        <v>1A BB</v>
      </c>
      <c r="AI636" s="8" t="str">
        <f t="shared" ca="1" si="302"/>
        <v>Blank</v>
      </c>
      <c r="AJ636" s="8">
        <f ca="1">IFERROR(VLOOKUP(PlayerGameData[[#This Row],[School, Opponent,Game'#]],Table3[],2,FALSE),0)</f>
        <v>0</v>
      </c>
      <c r="AK636" s="8">
        <f ca="1">IF(PlayerGameData[[#This Row],[Visible]]=1,1,1000)</f>
        <v>1000</v>
      </c>
      <c r="AL636" s="8">
        <f ca="1">RANK(PlayerGameData[[#This Row],[TL PTS]],PlayerGameData[TL PTS],0)+PlayerGameData[[#This Row],[VisibleOrder]]</f>
        <v>1184</v>
      </c>
      <c r="AM636" s="8">
        <f ca="1">IF(COUNTIF(PlayerGameData[PointOrder],PlayerGameData[[#This Row],[PointOrder]])&gt;1,RANK(PlayerGameData[[#This Row],[FGA]],PlayerGameData[FGA],0)/100,0)+PlayerGameData[[#This Row],[PointOrder]]</f>
        <v>1186.1400000000001</v>
      </c>
      <c r="AN636" s="8">
        <f ca="1">RANK(PlayerGameData[[#This Row],[PointTieBreak]],PlayerGameData[PointTieBreak],1)</f>
        <v>625</v>
      </c>
      <c r="AO636" s="8">
        <f ca="1">RANK(PlayerGameData[[#This Row],[REB]],PlayerGameData[REB],0)+PlayerGameData[[#This Row],[VisibleOrder]]</f>
        <v>1191</v>
      </c>
      <c r="AP636" s="8">
        <f ca="1">IF(COUNTIF(PlayerGameData[REBOrder],PlayerGameData[[#This Row],[REBOrder]])&gt;1,PlayerGameData[[#This Row],[PointRank]]/100+PlayerGameData[[#This Row],[REBOrder]],PlayerGameData[[#This Row],[REBOrder]])</f>
        <v>1197.25</v>
      </c>
      <c r="AQ636" s="8">
        <f ca="1">RANK(PlayerGameData[[#This Row],[REBTieBreak]],PlayerGameData[REBTieBreak],1)</f>
        <v>625</v>
      </c>
      <c r="AR636" s="8">
        <f ca="1">RANK(PlayerGameData[[#This Row],[AST]],PlayerGameData[AST],0)+PlayerGameData[[#This Row],[VisibleOrder]]</f>
        <v>1157</v>
      </c>
      <c r="AS636" s="8">
        <f ca="1">IF(COUNTIF(PlayerGameData[ASTOrder],PlayerGameData[[#This Row],[ASTOrder]])&gt;1,PlayerGameData[[#This Row],[PointRank]]/100+PlayerGameData[[#This Row],[ASTOrder]],PlayerGameData[[#This Row],[ASTOrder]])</f>
        <v>1163.25</v>
      </c>
      <c r="AT636" s="8">
        <f ca="1">RANK(PlayerGameData[[#This Row],[ASTTieBreak]],PlayerGameData[ASTTieBreak],1)</f>
        <v>625</v>
      </c>
      <c r="AU636" s="8">
        <f ca="1">RANK(PlayerGameData[[#This Row],[STL]],PlayerGameData[STL],0)+PlayerGameData[[#This Row],[VisibleOrder]]</f>
        <v>1142</v>
      </c>
      <c r="AV636" s="8">
        <f ca="1">IF(COUNTIF(PlayerGameData[STLOrder],PlayerGameData[[#This Row],[STLOrder]])&gt;1,PlayerGameData[[#This Row],[PointRank]]/100+PlayerGameData[[#This Row],[STLOrder]],PlayerGameData[[#This Row],[STLOrder]])</f>
        <v>1148.25</v>
      </c>
      <c r="AW636" s="8">
        <f ca="1">RANK(PlayerGameData[[#This Row],[STLTieBreak]],PlayerGameData[STLTieBreak],1)</f>
        <v>625</v>
      </c>
      <c r="AX636" s="8">
        <f ca="1">RANK(PlayerGameData[[#This Row],[BLK]],PlayerGameData[BLK],0)+PlayerGameData[[#This Row],[VisibleOrder]]</f>
        <v>1031</v>
      </c>
      <c r="AY636" s="8">
        <f ca="1">IF(COUNTIF(PlayerGameData[BLKOrder],PlayerGameData[[#This Row],[BLKOrder]])&gt;1,PlayerGameData[[#This Row],[PointRank]]/100+PlayerGameData[[#This Row],[BLKOrder]],PlayerGameData[[#This Row],[BLKOrder]])</f>
        <v>1037.25</v>
      </c>
      <c r="AZ636" s="8">
        <f ca="1">RANK(PlayerGameData[[#This Row],[BLKTieBreak]],PlayerGameData[BLKTieBreak],1)</f>
        <v>625</v>
      </c>
      <c r="BA636" s="11">
        <f ca="1">IFERROR(IF(PlayerGameData[[#This Row],[FGA]]&gt;$AA$5,PlayerGameData[[#This Row],[FG%*]],PlayerGameData[[#This Row],[FG%*]]*-1),-2)</f>
        <v>-2</v>
      </c>
      <c r="BB636" s="8">
        <f ca="1">RANK(PlayerGameData[[#This Row],[EligFG]],PlayerGameData[EligFG],0)+PlayerGameData[[#This Row],[VisibleOrder]]</f>
        <v>1214</v>
      </c>
      <c r="BC636" s="8">
        <f ca="1">IF(COUNTIF(PlayerGameData[EligFGOrder],PlayerGameData[[#This Row],[EligFGOrder]])&gt;1,PlayerGameData[[#This Row],[PointRank]]/100+PlayerGameData[[#This Row],[EligFGOrder]],PlayerGameData[[#This Row],[EligFGOrder]])</f>
        <v>1220.25</v>
      </c>
      <c r="BD636" s="8">
        <f ca="1">RANK(PlayerGameData[[#This Row],[EligFGTieBreak]],PlayerGameData[EligFGTieBreak],1)</f>
        <v>625</v>
      </c>
      <c r="BE636" s="8" t="str">
        <f>Roster!$D$3</f>
        <v>East</v>
      </c>
      <c r="BF636" s="8" t="str">
        <f>Roster!$D$2</f>
        <v>Northeast</v>
      </c>
      <c r="BG636" s="8" t="str">
        <f>Roster!$D$4</f>
        <v>North</v>
      </c>
      <c r="BH636" s="197">
        <f ca="1">IFERROR(VLOOKUP(CONCATENATE(PlayerGameData[[#This Row],[Opponent]]," ",MONTH(PlayerGameData[[#This Row],[Date]]),"/",DAY(PlayerGameData[[#This Row],[Date]]),"/",YEAR(PlayerGameData[[#This Row],[Date]])),Table35[],2,FALSE),0)</f>
        <v>0</v>
      </c>
      <c r="BI636" s="197">
        <f ca="1">IF(PlayerGameData[[#This Row],[Visible]]=1,1,1000)</f>
        <v>1000</v>
      </c>
      <c r="BJ636" s="197" t="e">
        <f ca="1">_xlfn.MAXIFS(TeamGameData[Win],TeamGameData[School, Opponent,Game'#],PlayerGameData[[#This Row],[School, Opponent,Game'#]])</f>
        <v>#NAME?</v>
      </c>
      <c r="BK636" s="197" t="e">
        <f ca="1">_xlfn.MAXIFS(TeamGameData[Loss],TeamGameData[School, Opponent,Game'#],PlayerGameData[[#This Row],[School, Opponent,Game'#]])</f>
        <v>#NAME?</v>
      </c>
    </row>
    <row r="637" spans="1:63" x14ac:dyDescent="0.25">
      <c r="A637" s="8" t="str">
        <f t="shared" ca="1" si="303"/>
        <v>Ben Carpenter, 21</v>
      </c>
      <c r="B637" s="8" t="str">
        <f>Roster!$B$1</f>
        <v>Upton</v>
      </c>
      <c r="C637" s="8">
        <f t="shared" ca="1" si="291"/>
        <v>0</v>
      </c>
      <c r="D637" s="10">
        <f t="shared" ca="1" si="292"/>
        <v>0</v>
      </c>
      <c r="E637" s="8">
        <f t="shared" ca="1" si="293"/>
        <v>0</v>
      </c>
      <c r="F637" s="8">
        <f t="shared" ca="1" si="294"/>
        <v>0</v>
      </c>
      <c r="G637" s="8">
        <f t="shared" ca="1" si="295"/>
        <v>0</v>
      </c>
      <c r="H637" s="8">
        <f t="shared" ca="1" si="296"/>
        <v>0</v>
      </c>
      <c r="I637" s="8">
        <f t="shared" ca="1" si="297"/>
        <v>0</v>
      </c>
      <c r="J637" s="8">
        <f t="shared" ca="1" si="298"/>
        <v>0</v>
      </c>
      <c r="K637" s="8">
        <f t="shared" ca="1" si="299"/>
        <v>0</v>
      </c>
      <c r="L637" s="8">
        <f t="shared" ca="1" si="304"/>
        <v>0</v>
      </c>
      <c r="M637" s="8">
        <f t="shared" ca="1" si="305"/>
        <v>0</v>
      </c>
      <c r="N637" s="8">
        <f t="shared" ca="1" si="306"/>
        <v>0</v>
      </c>
      <c r="O637" s="8">
        <f t="shared" ca="1" si="307"/>
        <v>0</v>
      </c>
      <c r="P637" s="8">
        <f t="shared" ca="1" si="308"/>
        <v>0</v>
      </c>
      <c r="Q637" s="8">
        <f t="shared" ca="1" si="309"/>
        <v>0</v>
      </c>
      <c r="R637" s="8">
        <f t="shared" ca="1" si="310"/>
        <v>0</v>
      </c>
      <c r="S637" s="8">
        <f t="shared" ca="1" si="311"/>
        <v>0</v>
      </c>
      <c r="T637" s="8">
        <f t="shared" ca="1" si="312"/>
        <v>0</v>
      </c>
      <c r="U637" s="8">
        <f t="shared" ca="1" si="313"/>
        <v>0</v>
      </c>
      <c r="V637" s="8">
        <f t="shared" ca="1" si="314"/>
        <v>0</v>
      </c>
      <c r="W637" s="11" t="str">
        <f t="shared" ca="1" si="315"/>
        <v/>
      </c>
      <c r="X637" s="11" t="str">
        <f t="shared" ca="1" si="316"/>
        <v/>
      </c>
      <c r="Y637" s="11" t="str">
        <f t="shared" ca="1" si="317"/>
        <v/>
      </c>
      <c r="Z637" s="11" t="str">
        <f t="shared" ca="1" si="318"/>
        <v/>
      </c>
      <c r="AA637" s="11" t="str">
        <f t="shared" ca="1" si="319"/>
        <v/>
      </c>
      <c r="AB637" s="47">
        <f ca="1">PlayerGameData[[#This Row],[3FGA]]+PlayerGameData[[#This Row],[2FGA]]</f>
        <v>0</v>
      </c>
      <c r="AC637" s="47">
        <f ca="1">PlayerGameData[[#This Row],[OFF REB]]+PlayerGameData[[#This Row],[DEF REB]]</f>
        <v>0</v>
      </c>
      <c r="AD637" s="8">
        <f t="shared" si="300"/>
        <v>27</v>
      </c>
      <c r="AE637" s="8" t="str">
        <f t="shared" ca="1" si="301"/>
        <v>Ben Carpenter, 21 - 0 1/0/1900</v>
      </c>
      <c r="AF637" s="8" t="str">
        <f t="shared" ca="1" si="320"/>
        <v/>
      </c>
      <c r="AG637" s="8" t="str">
        <f ca="1">IFERROR(IF(C637=0,"",IF(AND(VLOOKUP(PlayerGameData[[#This Row],[Opponent]],WYTeamInfo,2,FALSE)=Roster!$D$1,VLOOKUP(PlayerGameData[[#This Row],[Opponent]],WYTeamInfo,3,FALSE)=Roster!$D$2),"SR","")),"")</f>
        <v/>
      </c>
      <c r="AH637" s="8" t="str">
        <f>CONCATENATE(Roster!$D$1," ",Roster!$D$5)</f>
        <v>1A BB</v>
      </c>
      <c r="AI637" s="8" t="str">
        <f t="shared" ca="1" si="302"/>
        <v>Blank</v>
      </c>
      <c r="AJ637" s="8">
        <f ca="1">IFERROR(VLOOKUP(PlayerGameData[[#This Row],[School, Opponent,Game'#]],Table3[],2,FALSE),0)</f>
        <v>0</v>
      </c>
      <c r="AK637" s="8">
        <f ca="1">IF(PlayerGameData[[#This Row],[Visible]]=1,1,1000)</f>
        <v>1000</v>
      </c>
      <c r="AL637" s="8">
        <f ca="1">RANK(PlayerGameData[[#This Row],[TL PTS]],PlayerGameData[TL PTS],0)+PlayerGameData[[#This Row],[VisibleOrder]]</f>
        <v>1184</v>
      </c>
      <c r="AM637" s="8">
        <f ca="1">IF(COUNTIF(PlayerGameData[PointOrder],PlayerGameData[[#This Row],[PointOrder]])&gt;1,RANK(PlayerGameData[[#This Row],[FGA]],PlayerGameData[FGA],0)/100,0)+PlayerGameData[[#This Row],[PointOrder]]</f>
        <v>1186.1400000000001</v>
      </c>
      <c r="AN637" s="8">
        <f ca="1">RANK(PlayerGameData[[#This Row],[PointTieBreak]],PlayerGameData[PointTieBreak],1)</f>
        <v>625</v>
      </c>
      <c r="AO637" s="8">
        <f ca="1">RANK(PlayerGameData[[#This Row],[REB]],PlayerGameData[REB],0)+PlayerGameData[[#This Row],[VisibleOrder]]</f>
        <v>1191</v>
      </c>
      <c r="AP637" s="8">
        <f ca="1">IF(COUNTIF(PlayerGameData[REBOrder],PlayerGameData[[#This Row],[REBOrder]])&gt;1,PlayerGameData[[#This Row],[PointRank]]/100+PlayerGameData[[#This Row],[REBOrder]],PlayerGameData[[#This Row],[REBOrder]])</f>
        <v>1197.25</v>
      </c>
      <c r="AQ637" s="8">
        <f ca="1">RANK(PlayerGameData[[#This Row],[REBTieBreak]],PlayerGameData[REBTieBreak],1)</f>
        <v>625</v>
      </c>
      <c r="AR637" s="8">
        <f ca="1">RANK(PlayerGameData[[#This Row],[AST]],PlayerGameData[AST],0)+PlayerGameData[[#This Row],[VisibleOrder]]</f>
        <v>1157</v>
      </c>
      <c r="AS637" s="8">
        <f ca="1">IF(COUNTIF(PlayerGameData[ASTOrder],PlayerGameData[[#This Row],[ASTOrder]])&gt;1,PlayerGameData[[#This Row],[PointRank]]/100+PlayerGameData[[#This Row],[ASTOrder]],PlayerGameData[[#This Row],[ASTOrder]])</f>
        <v>1163.25</v>
      </c>
      <c r="AT637" s="8">
        <f ca="1">RANK(PlayerGameData[[#This Row],[ASTTieBreak]],PlayerGameData[ASTTieBreak],1)</f>
        <v>625</v>
      </c>
      <c r="AU637" s="8">
        <f ca="1">RANK(PlayerGameData[[#This Row],[STL]],PlayerGameData[STL],0)+PlayerGameData[[#This Row],[VisibleOrder]]</f>
        <v>1142</v>
      </c>
      <c r="AV637" s="8">
        <f ca="1">IF(COUNTIF(PlayerGameData[STLOrder],PlayerGameData[[#This Row],[STLOrder]])&gt;1,PlayerGameData[[#This Row],[PointRank]]/100+PlayerGameData[[#This Row],[STLOrder]],PlayerGameData[[#This Row],[STLOrder]])</f>
        <v>1148.25</v>
      </c>
      <c r="AW637" s="8">
        <f ca="1">RANK(PlayerGameData[[#This Row],[STLTieBreak]],PlayerGameData[STLTieBreak],1)</f>
        <v>625</v>
      </c>
      <c r="AX637" s="8">
        <f ca="1">RANK(PlayerGameData[[#This Row],[BLK]],PlayerGameData[BLK],0)+PlayerGameData[[#This Row],[VisibleOrder]]</f>
        <v>1031</v>
      </c>
      <c r="AY637" s="8">
        <f ca="1">IF(COUNTIF(PlayerGameData[BLKOrder],PlayerGameData[[#This Row],[BLKOrder]])&gt;1,PlayerGameData[[#This Row],[PointRank]]/100+PlayerGameData[[#This Row],[BLKOrder]],PlayerGameData[[#This Row],[BLKOrder]])</f>
        <v>1037.25</v>
      </c>
      <c r="AZ637" s="8">
        <f ca="1">RANK(PlayerGameData[[#This Row],[BLKTieBreak]],PlayerGameData[BLKTieBreak],1)</f>
        <v>625</v>
      </c>
      <c r="BA637" s="11">
        <f ca="1">IFERROR(IF(PlayerGameData[[#This Row],[FGA]]&gt;$AA$5,PlayerGameData[[#This Row],[FG%*]],PlayerGameData[[#This Row],[FG%*]]*-1),-2)</f>
        <v>-2</v>
      </c>
      <c r="BB637" s="8">
        <f ca="1">RANK(PlayerGameData[[#This Row],[EligFG]],PlayerGameData[EligFG],0)+PlayerGameData[[#This Row],[VisibleOrder]]</f>
        <v>1214</v>
      </c>
      <c r="BC637" s="8">
        <f ca="1">IF(COUNTIF(PlayerGameData[EligFGOrder],PlayerGameData[[#This Row],[EligFGOrder]])&gt;1,PlayerGameData[[#This Row],[PointRank]]/100+PlayerGameData[[#This Row],[EligFGOrder]],PlayerGameData[[#This Row],[EligFGOrder]])</f>
        <v>1220.25</v>
      </c>
      <c r="BD637" s="8">
        <f ca="1">RANK(PlayerGameData[[#This Row],[EligFGTieBreak]],PlayerGameData[EligFGTieBreak],1)</f>
        <v>625</v>
      </c>
      <c r="BE637" s="8" t="str">
        <f>Roster!$D$3</f>
        <v>East</v>
      </c>
      <c r="BF637" s="8" t="str">
        <f>Roster!$D$2</f>
        <v>Northeast</v>
      </c>
      <c r="BG637" s="8" t="str">
        <f>Roster!$D$4</f>
        <v>North</v>
      </c>
      <c r="BH637" s="197">
        <f ca="1">IFERROR(VLOOKUP(CONCATENATE(PlayerGameData[[#This Row],[Opponent]]," ",MONTH(PlayerGameData[[#This Row],[Date]]),"/",DAY(PlayerGameData[[#This Row],[Date]]),"/",YEAR(PlayerGameData[[#This Row],[Date]])),Table35[],2,FALSE),0)</f>
        <v>0</v>
      </c>
      <c r="BI637" s="197">
        <f ca="1">IF(PlayerGameData[[#This Row],[Visible]]=1,1,1000)</f>
        <v>1000</v>
      </c>
      <c r="BJ637" s="197" t="e">
        <f ca="1">_xlfn.MAXIFS(TeamGameData[Win],TeamGameData[School, Opponent,Game'#],PlayerGameData[[#This Row],[School, Opponent,Game'#]])</f>
        <v>#NAME?</v>
      </c>
      <c r="BK637" s="197" t="e">
        <f ca="1">_xlfn.MAXIFS(TeamGameData[Loss],TeamGameData[School, Opponent,Game'#],PlayerGameData[[#This Row],[School, Opponent,Game'#]])</f>
        <v>#NAME?</v>
      </c>
    </row>
    <row r="638" spans="1:63" x14ac:dyDescent="0.25">
      <c r="A638" s="8" t="str">
        <f t="shared" ca="1" si="303"/>
        <v>Ethan Schiller, 23</v>
      </c>
      <c r="B638" s="8" t="str">
        <f>Roster!$B$1</f>
        <v>Upton</v>
      </c>
      <c r="C638" s="8">
        <f t="shared" ca="1" si="291"/>
        <v>0</v>
      </c>
      <c r="D638" s="10">
        <f t="shared" ca="1" si="292"/>
        <v>0</v>
      </c>
      <c r="E638" s="8">
        <f t="shared" ca="1" si="293"/>
        <v>0</v>
      </c>
      <c r="F638" s="8">
        <f t="shared" ca="1" si="294"/>
        <v>0</v>
      </c>
      <c r="G638" s="8">
        <f t="shared" ca="1" si="295"/>
        <v>0</v>
      </c>
      <c r="H638" s="8">
        <f t="shared" ca="1" si="296"/>
        <v>0</v>
      </c>
      <c r="I638" s="8">
        <f t="shared" ca="1" si="297"/>
        <v>0</v>
      </c>
      <c r="J638" s="8">
        <f t="shared" ca="1" si="298"/>
        <v>0</v>
      </c>
      <c r="K638" s="8">
        <f t="shared" ca="1" si="299"/>
        <v>0</v>
      </c>
      <c r="L638" s="8">
        <f t="shared" ca="1" si="304"/>
        <v>0</v>
      </c>
      <c r="M638" s="8">
        <f t="shared" ca="1" si="305"/>
        <v>0</v>
      </c>
      <c r="N638" s="8">
        <f t="shared" ca="1" si="306"/>
        <v>0</v>
      </c>
      <c r="O638" s="8">
        <f t="shared" ca="1" si="307"/>
        <v>0</v>
      </c>
      <c r="P638" s="8">
        <f t="shared" ca="1" si="308"/>
        <v>0</v>
      </c>
      <c r="Q638" s="8">
        <f t="shared" ca="1" si="309"/>
        <v>0</v>
      </c>
      <c r="R638" s="8">
        <f t="shared" ca="1" si="310"/>
        <v>0</v>
      </c>
      <c r="S638" s="8">
        <f t="shared" ca="1" si="311"/>
        <v>0</v>
      </c>
      <c r="T638" s="8">
        <f t="shared" ca="1" si="312"/>
        <v>0</v>
      </c>
      <c r="U638" s="8">
        <f t="shared" ca="1" si="313"/>
        <v>0</v>
      </c>
      <c r="V638" s="8">
        <f t="shared" ca="1" si="314"/>
        <v>0</v>
      </c>
      <c r="W638" s="11" t="str">
        <f t="shared" ca="1" si="315"/>
        <v/>
      </c>
      <c r="X638" s="11" t="str">
        <f t="shared" ca="1" si="316"/>
        <v/>
      </c>
      <c r="Y638" s="11" t="str">
        <f t="shared" ca="1" si="317"/>
        <v/>
      </c>
      <c r="Z638" s="11" t="str">
        <f t="shared" ca="1" si="318"/>
        <v/>
      </c>
      <c r="AA638" s="11" t="str">
        <f t="shared" ca="1" si="319"/>
        <v/>
      </c>
      <c r="AB638" s="47">
        <f ca="1">PlayerGameData[[#This Row],[3FGA]]+PlayerGameData[[#This Row],[2FGA]]</f>
        <v>0</v>
      </c>
      <c r="AC638" s="47">
        <f ca="1">PlayerGameData[[#This Row],[OFF REB]]+PlayerGameData[[#This Row],[DEF REB]]</f>
        <v>0</v>
      </c>
      <c r="AD638" s="8">
        <f t="shared" si="300"/>
        <v>27</v>
      </c>
      <c r="AE638" s="8" t="str">
        <f t="shared" ca="1" si="301"/>
        <v>Ethan Schiller, 23 - 0 1/0/1900</v>
      </c>
      <c r="AF638" s="8" t="str">
        <f t="shared" ca="1" si="320"/>
        <v/>
      </c>
      <c r="AG638" s="8" t="str">
        <f ca="1">IFERROR(IF(C638=0,"",IF(AND(VLOOKUP(PlayerGameData[[#This Row],[Opponent]],WYTeamInfo,2,FALSE)=Roster!$D$1,VLOOKUP(PlayerGameData[[#This Row],[Opponent]],WYTeamInfo,3,FALSE)=Roster!$D$2),"SR","")),"")</f>
        <v/>
      </c>
      <c r="AH638" s="8" t="str">
        <f>CONCATENATE(Roster!$D$1," ",Roster!$D$5)</f>
        <v>1A BB</v>
      </c>
      <c r="AI638" s="8" t="str">
        <f t="shared" ca="1" si="302"/>
        <v>Blank</v>
      </c>
      <c r="AJ638" s="8">
        <f ca="1">IFERROR(VLOOKUP(PlayerGameData[[#This Row],[School, Opponent,Game'#]],Table3[],2,FALSE),0)</f>
        <v>0</v>
      </c>
      <c r="AK638" s="8">
        <f ca="1">IF(PlayerGameData[[#This Row],[Visible]]=1,1,1000)</f>
        <v>1000</v>
      </c>
      <c r="AL638" s="8">
        <f ca="1">RANK(PlayerGameData[[#This Row],[TL PTS]],PlayerGameData[TL PTS],0)+PlayerGameData[[#This Row],[VisibleOrder]]</f>
        <v>1184</v>
      </c>
      <c r="AM638" s="8">
        <f ca="1">IF(COUNTIF(PlayerGameData[PointOrder],PlayerGameData[[#This Row],[PointOrder]])&gt;1,RANK(PlayerGameData[[#This Row],[FGA]],PlayerGameData[FGA],0)/100,0)+PlayerGameData[[#This Row],[PointOrder]]</f>
        <v>1186.1400000000001</v>
      </c>
      <c r="AN638" s="8">
        <f ca="1">RANK(PlayerGameData[[#This Row],[PointTieBreak]],PlayerGameData[PointTieBreak],1)</f>
        <v>625</v>
      </c>
      <c r="AO638" s="8">
        <f ca="1">RANK(PlayerGameData[[#This Row],[REB]],PlayerGameData[REB],0)+PlayerGameData[[#This Row],[VisibleOrder]]</f>
        <v>1191</v>
      </c>
      <c r="AP638" s="8">
        <f ca="1">IF(COUNTIF(PlayerGameData[REBOrder],PlayerGameData[[#This Row],[REBOrder]])&gt;1,PlayerGameData[[#This Row],[PointRank]]/100+PlayerGameData[[#This Row],[REBOrder]],PlayerGameData[[#This Row],[REBOrder]])</f>
        <v>1197.25</v>
      </c>
      <c r="AQ638" s="8">
        <f ca="1">RANK(PlayerGameData[[#This Row],[REBTieBreak]],PlayerGameData[REBTieBreak],1)</f>
        <v>625</v>
      </c>
      <c r="AR638" s="8">
        <f ca="1">RANK(PlayerGameData[[#This Row],[AST]],PlayerGameData[AST],0)+PlayerGameData[[#This Row],[VisibleOrder]]</f>
        <v>1157</v>
      </c>
      <c r="AS638" s="8">
        <f ca="1">IF(COUNTIF(PlayerGameData[ASTOrder],PlayerGameData[[#This Row],[ASTOrder]])&gt;1,PlayerGameData[[#This Row],[PointRank]]/100+PlayerGameData[[#This Row],[ASTOrder]],PlayerGameData[[#This Row],[ASTOrder]])</f>
        <v>1163.25</v>
      </c>
      <c r="AT638" s="8">
        <f ca="1">RANK(PlayerGameData[[#This Row],[ASTTieBreak]],PlayerGameData[ASTTieBreak],1)</f>
        <v>625</v>
      </c>
      <c r="AU638" s="8">
        <f ca="1">RANK(PlayerGameData[[#This Row],[STL]],PlayerGameData[STL],0)+PlayerGameData[[#This Row],[VisibleOrder]]</f>
        <v>1142</v>
      </c>
      <c r="AV638" s="8">
        <f ca="1">IF(COUNTIF(PlayerGameData[STLOrder],PlayerGameData[[#This Row],[STLOrder]])&gt;1,PlayerGameData[[#This Row],[PointRank]]/100+PlayerGameData[[#This Row],[STLOrder]],PlayerGameData[[#This Row],[STLOrder]])</f>
        <v>1148.25</v>
      </c>
      <c r="AW638" s="8">
        <f ca="1">RANK(PlayerGameData[[#This Row],[STLTieBreak]],PlayerGameData[STLTieBreak],1)</f>
        <v>625</v>
      </c>
      <c r="AX638" s="8">
        <f ca="1">RANK(PlayerGameData[[#This Row],[BLK]],PlayerGameData[BLK],0)+PlayerGameData[[#This Row],[VisibleOrder]]</f>
        <v>1031</v>
      </c>
      <c r="AY638" s="8">
        <f ca="1">IF(COUNTIF(PlayerGameData[BLKOrder],PlayerGameData[[#This Row],[BLKOrder]])&gt;1,PlayerGameData[[#This Row],[PointRank]]/100+PlayerGameData[[#This Row],[BLKOrder]],PlayerGameData[[#This Row],[BLKOrder]])</f>
        <v>1037.25</v>
      </c>
      <c r="AZ638" s="8">
        <f ca="1">RANK(PlayerGameData[[#This Row],[BLKTieBreak]],PlayerGameData[BLKTieBreak],1)</f>
        <v>625</v>
      </c>
      <c r="BA638" s="11">
        <f ca="1">IFERROR(IF(PlayerGameData[[#This Row],[FGA]]&gt;$AA$5,PlayerGameData[[#This Row],[FG%*]],PlayerGameData[[#This Row],[FG%*]]*-1),-2)</f>
        <v>-2</v>
      </c>
      <c r="BB638" s="8">
        <f ca="1">RANK(PlayerGameData[[#This Row],[EligFG]],PlayerGameData[EligFG],0)+PlayerGameData[[#This Row],[VisibleOrder]]</f>
        <v>1214</v>
      </c>
      <c r="BC638" s="8">
        <f ca="1">IF(COUNTIF(PlayerGameData[EligFGOrder],PlayerGameData[[#This Row],[EligFGOrder]])&gt;1,PlayerGameData[[#This Row],[PointRank]]/100+PlayerGameData[[#This Row],[EligFGOrder]],PlayerGameData[[#This Row],[EligFGOrder]])</f>
        <v>1220.25</v>
      </c>
      <c r="BD638" s="8">
        <f ca="1">RANK(PlayerGameData[[#This Row],[EligFGTieBreak]],PlayerGameData[EligFGTieBreak],1)</f>
        <v>625</v>
      </c>
      <c r="BE638" s="8" t="str">
        <f>Roster!$D$3</f>
        <v>East</v>
      </c>
      <c r="BF638" s="8" t="str">
        <f>Roster!$D$2</f>
        <v>Northeast</v>
      </c>
      <c r="BG638" s="8" t="str">
        <f>Roster!$D$4</f>
        <v>North</v>
      </c>
      <c r="BH638" s="197">
        <f ca="1">IFERROR(VLOOKUP(CONCATENATE(PlayerGameData[[#This Row],[Opponent]]," ",MONTH(PlayerGameData[[#This Row],[Date]]),"/",DAY(PlayerGameData[[#This Row],[Date]]),"/",YEAR(PlayerGameData[[#This Row],[Date]])),Table35[],2,FALSE),0)</f>
        <v>0</v>
      </c>
      <c r="BI638" s="197">
        <f ca="1">IF(PlayerGameData[[#This Row],[Visible]]=1,1,1000)</f>
        <v>1000</v>
      </c>
      <c r="BJ638" s="197" t="e">
        <f ca="1">_xlfn.MAXIFS(TeamGameData[Win],TeamGameData[School, Opponent,Game'#],PlayerGameData[[#This Row],[School, Opponent,Game'#]])</f>
        <v>#NAME?</v>
      </c>
      <c r="BK638" s="197" t="e">
        <f ca="1">_xlfn.MAXIFS(TeamGameData[Loss],TeamGameData[School, Opponent,Game'#],PlayerGameData[[#This Row],[School, Opponent,Game'#]])</f>
        <v>#NAME?</v>
      </c>
    </row>
    <row r="639" spans="1:63" x14ac:dyDescent="0.25">
      <c r="A639" s="8" t="str">
        <f t="shared" ca="1" si="303"/>
        <v>Bridger Bruce, 25</v>
      </c>
      <c r="B639" s="8" t="str">
        <f>Roster!$B$1</f>
        <v>Upton</v>
      </c>
      <c r="C639" s="8">
        <f t="shared" ca="1" si="291"/>
        <v>0</v>
      </c>
      <c r="D639" s="10">
        <f t="shared" ca="1" si="292"/>
        <v>0</v>
      </c>
      <c r="E639" s="8">
        <f t="shared" ca="1" si="293"/>
        <v>0</v>
      </c>
      <c r="F639" s="8">
        <f t="shared" ca="1" si="294"/>
        <v>0</v>
      </c>
      <c r="G639" s="8">
        <f t="shared" ca="1" si="295"/>
        <v>0</v>
      </c>
      <c r="H639" s="8">
        <f t="shared" ca="1" si="296"/>
        <v>0</v>
      </c>
      <c r="I639" s="8">
        <f t="shared" ca="1" si="297"/>
        <v>0</v>
      </c>
      <c r="J639" s="8">
        <f t="shared" ca="1" si="298"/>
        <v>0</v>
      </c>
      <c r="K639" s="8">
        <f t="shared" ca="1" si="299"/>
        <v>0</v>
      </c>
      <c r="L639" s="8">
        <f t="shared" ca="1" si="304"/>
        <v>0</v>
      </c>
      <c r="M639" s="8">
        <f t="shared" ca="1" si="305"/>
        <v>0</v>
      </c>
      <c r="N639" s="8">
        <f t="shared" ca="1" si="306"/>
        <v>0</v>
      </c>
      <c r="O639" s="8">
        <f t="shared" ca="1" si="307"/>
        <v>0</v>
      </c>
      <c r="P639" s="8">
        <f t="shared" ca="1" si="308"/>
        <v>0</v>
      </c>
      <c r="Q639" s="8">
        <f t="shared" ca="1" si="309"/>
        <v>0</v>
      </c>
      <c r="R639" s="8">
        <f t="shared" ca="1" si="310"/>
        <v>0</v>
      </c>
      <c r="S639" s="8">
        <f t="shared" ca="1" si="311"/>
        <v>0</v>
      </c>
      <c r="T639" s="8">
        <f t="shared" ca="1" si="312"/>
        <v>0</v>
      </c>
      <c r="U639" s="8">
        <f t="shared" ca="1" si="313"/>
        <v>0</v>
      </c>
      <c r="V639" s="8">
        <f t="shared" ca="1" si="314"/>
        <v>0</v>
      </c>
      <c r="W639" s="11" t="str">
        <f t="shared" ca="1" si="315"/>
        <v/>
      </c>
      <c r="X639" s="11" t="str">
        <f t="shared" ca="1" si="316"/>
        <v/>
      </c>
      <c r="Y639" s="11" t="str">
        <f t="shared" ca="1" si="317"/>
        <v/>
      </c>
      <c r="Z639" s="11" t="str">
        <f t="shared" ca="1" si="318"/>
        <v/>
      </c>
      <c r="AA639" s="11" t="str">
        <f t="shared" ca="1" si="319"/>
        <v/>
      </c>
      <c r="AB639" s="47">
        <f ca="1">PlayerGameData[[#This Row],[3FGA]]+PlayerGameData[[#This Row],[2FGA]]</f>
        <v>0</v>
      </c>
      <c r="AC639" s="47">
        <f ca="1">PlayerGameData[[#This Row],[OFF REB]]+PlayerGameData[[#This Row],[DEF REB]]</f>
        <v>0</v>
      </c>
      <c r="AD639" s="8">
        <f t="shared" si="300"/>
        <v>27</v>
      </c>
      <c r="AE639" s="8" t="str">
        <f t="shared" ca="1" si="301"/>
        <v>Bridger Bruce, 25 - 0 1/0/1900</v>
      </c>
      <c r="AF639" s="8" t="str">
        <f t="shared" ca="1" si="320"/>
        <v/>
      </c>
      <c r="AG639" s="8" t="str">
        <f ca="1">IFERROR(IF(C639=0,"",IF(AND(VLOOKUP(PlayerGameData[[#This Row],[Opponent]],WYTeamInfo,2,FALSE)=Roster!$D$1,VLOOKUP(PlayerGameData[[#This Row],[Opponent]],WYTeamInfo,3,FALSE)=Roster!$D$2),"SR","")),"")</f>
        <v/>
      </c>
      <c r="AH639" s="8" t="str">
        <f>CONCATENATE(Roster!$D$1," ",Roster!$D$5)</f>
        <v>1A BB</v>
      </c>
      <c r="AI639" s="8" t="str">
        <f t="shared" ca="1" si="302"/>
        <v>Blank</v>
      </c>
      <c r="AJ639" s="8">
        <f ca="1">IFERROR(VLOOKUP(PlayerGameData[[#This Row],[School, Opponent,Game'#]],Table3[],2,FALSE),0)</f>
        <v>0</v>
      </c>
      <c r="AK639" s="8">
        <f ca="1">IF(PlayerGameData[[#This Row],[Visible]]=1,1,1000)</f>
        <v>1000</v>
      </c>
      <c r="AL639" s="8">
        <f ca="1">RANK(PlayerGameData[[#This Row],[TL PTS]],PlayerGameData[TL PTS],0)+PlayerGameData[[#This Row],[VisibleOrder]]</f>
        <v>1184</v>
      </c>
      <c r="AM639" s="8">
        <f ca="1">IF(COUNTIF(PlayerGameData[PointOrder],PlayerGameData[[#This Row],[PointOrder]])&gt;1,RANK(PlayerGameData[[#This Row],[FGA]],PlayerGameData[FGA],0)/100,0)+PlayerGameData[[#This Row],[PointOrder]]</f>
        <v>1186.1400000000001</v>
      </c>
      <c r="AN639" s="8">
        <f ca="1">RANK(PlayerGameData[[#This Row],[PointTieBreak]],PlayerGameData[PointTieBreak],1)</f>
        <v>625</v>
      </c>
      <c r="AO639" s="8">
        <f ca="1">RANK(PlayerGameData[[#This Row],[REB]],PlayerGameData[REB],0)+PlayerGameData[[#This Row],[VisibleOrder]]</f>
        <v>1191</v>
      </c>
      <c r="AP639" s="8">
        <f ca="1">IF(COUNTIF(PlayerGameData[REBOrder],PlayerGameData[[#This Row],[REBOrder]])&gt;1,PlayerGameData[[#This Row],[PointRank]]/100+PlayerGameData[[#This Row],[REBOrder]],PlayerGameData[[#This Row],[REBOrder]])</f>
        <v>1197.25</v>
      </c>
      <c r="AQ639" s="8">
        <f ca="1">RANK(PlayerGameData[[#This Row],[REBTieBreak]],PlayerGameData[REBTieBreak],1)</f>
        <v>625</v>
      </c>
      <c r="AR639" s="8">
        <f ca="1">RANK(PlayerGameData[[#This Row],[AST]],PlayerGameData[AST],0)+PlayerGameData[[#This Row],[VisibleOrder]]</f>
        <v>1157</v>
      </c>
      <c r="AS639" s="8">
        <f ca="1">IF(COUNTIF(PlayerGameData[ASTOrder],PlayerGameData[[#This Row],[ASTOrder]])&gt;1,PlayerGameData[[#This Row],[PointRank]]/100+PlayerGameData[[#This Row],[ASTOrder]],PlayerGameData[[#This Row],[ASTOrder]])</f>
        <v>1163.25</v>
      </c>
      <c r="AT639" s="8">
        <f ca="1">RANK(PlayerGameData[[#This Row],[ASTTieBreak]],PlayerGameData[ASTTieBreak],1)</f>
        <v>625</v>
      </c>
      <c r="AU639" s="8">
        <f ca="1">RANK(PlayerGameData[[#This Row],[STL]],PlayerGameData[STL],0)+PlayerGameData[[#This Row],[VisibleOrder]]</f>
        <v>1142</v>
      </c>
      <c r="AV639" s="8">
        <f ca="1">IF(COUNTIF(PlayerGameData[STLOrder],PlayerGameData[[#This Row],[STLOrder]])&gt;1,PlayerGameData[[#This Row],[PointRank]]/100+PlayerGameData[[#This Row],[STLOrder]],PlayerGameData[[#This Row],[STLOrder]])</f>
        <v>1148.25</v>
      </c>
      <c r="AW639" s="8">
        <f ca="1">RANK(PlayerGameData[[#This Row],[STLTieBreak]],PlayerGameData[STLTieBreak],1)</f>
        <v>625</v>
      </c>
      <c r="AX639" s="8">
        <f ca="1">RANK(PlayerGameData[[#This Row],[BLK]],PlayerGameData[BLK],0)+PlayerGameData[[#This Row],[VisibleOrder]]</f>
        <v>1031</v>
      </c>
      <c r="AY639" s="8">
        <f ca="1">IF(COUNTIF(PlayerGameData[BLKOrder],PlayerGameData[[#This Row],[BLKOrder]])&gt;1,PlayerGameData[[#This Row],[PointRank]]/100+PlayerGameData[[#This Row],[BLKOrder]],PlayerGameData[[#This Row],[BLKOrder]])</f>
        <v>1037.25</v>
      </c>
      <c r="AZ639" s="8">
        <f ca="1">RANK(PlayerGameData[[#This Row],[BLKTieBreak]],PlayerGameData[BLKTieBreak],1)</f>
        <v>625</v>
      </c>
      <c r="BA639" s="11">
        <f ca="1">IFERROR(IF(PlayerGameData[[#This Row],[FGA]]&gt;$AA$5,PlayerGameData[[#This Row],[FG%*]],PlayerGameData[[#This Row],[FG%*]]*-1),-2)</f>
        <v>-2</v>
      </c>
      <c r="BB639" s="8">
        <f ca="1">RANK(PlayerGameData[[#This Row],[EligFG]],PlayerGameData[EligFG],0)+PlayerGameData[[#This Row],[VisibleOrder]]</f>
        <v>1214</v>
      </c>
      <c r="BC639" s="8">
        <f ca="1">IF(COUNTIF(PlayerGameData[EligFGOrder],PlayerGameData[[#This Row],[EligFGOrder]])&gt;1,PlayerGameData[[#This Row],[PointRank]]/100+PlayerGameData[[#This Row],[EligFGOrder]],PlayerGameData[[#This Row],[EligFGOrder]])</f>
        <v>1220.25</v>
      </c>
      <c r="BD639" s="8">
        <f ca="1">RANK(PlayerGameData[[#This Row],[EligFGTieBreak]],PlayerGameData[EligFGTieBreak],1)</f>
        <v>625</v>
      </c>
      <c r="BE639" s="8" t="str">
        <f>Roster!$D$3</f>
        <v>East</v>
      </c>
      <c r="BF639" s="8" t="str">
        <f>Roster!$D$2</f>
        <v>Northeast</v>
      </c>
      <c r="BG639" s="8" t="str">
        <f>Roster!$D$4</f>
        <v>North</v>
      </c>
      <c r="BH639" s="197">
        <f ca="1">IFERROR(VLOOKUP(CONCATENATE(PlayerGameData[[#This Row],[Opponent]]," ",MONTH(PlayerGameData[[#This Row],[Date]]),"/",DAY(PlayerGameData[[#This Row],[Date]]),"/",YEAR(PlayerGameData[[#This Row],[Date]])),Table35[],2,FALSE),0)</f>
        <v>0</v>
      </c>
      <c r="BI639" s="197">
        <f ca="1">IF(PlayerGameData[[#This Row],[Visible]]=1,1,1000)</f>
        <v>1000</v>
      </c>
      <c r="BJ639" s="197" t="e">
        <f ca="1">_xlfn.MAXIFS(TeamGameData[Win],TeamGameData[School, Opponent,Game'#],PlayerGameData[[#This Row],[School, Opponent,Game'#]])</f>
        <v>#NAME?</v>
      </c>
      <c r="BK639" s="197" t="e">
        <f ca="1">_xlfn.MAXIFS(TeamGameData[Loss],TeamGameData[School, Opponent,Game'#],PlayerGameData[[#This Row],[School, Opponent,Game'#]])</f>
        <v>#NAME?</v>
      </c>
    </row>
    <row r="640" spans="1:63" x14ac:dyDescent="0.25">
      <c r="A640" s="8" t="str">
        <f t="shared" ca="1" si="303"/>
        <v>Kailer Duarte, 31</v>
      </c>
      <c r="B640" s="8" t="str">
        <f>Roster!$B$1</f>
        <v>Upton</v>
      </c>
      <c r="C640" s="8">
        <f t="shared" ca="1" si="291"/>
        <v>0</v>
      </c>
      <c r="D640" s="10">
        <f t="shared" ca="1" si="292"/>
        <v>0</v>
      </c>
      <c r="E640" s="8">
        <f t="shared" ca="1" si="293"/>
        <v>0</v>
      </c>
      <c r="F640" s="8">
        <f t="shared" ca="1" si="294"/>
        <v>0</v>
      </c>
      <c r="G640" s="8">
        <f t="shared" ca="1" si="295"/>
        <v>0</v>
      </c>
      <c r="H640" s="8">
        <f t="shared" ca="1" si="296"/>
        <v>0</v>
      </c>
      <c r="I640" s="8">
        <f t="shared" ca="1" si="297"/>
        <v>0</v>
      </c>
      <c r="J640" s="8">
        <f t="shared" ca="1" si="298"/>
        <v>0</v>
      </c>
      <c r="K640" s="8">
        <f t="shared" ca="1" si="299"/>
        <v>0</v>
      </c>
      <c r="L640" s="8">
        <f t="shared" ca="1" si="304"/>
        <v>0</v>
      </c>
      <c r="M640" s="8">
        <f t="shared" ca="1" si="305"/>
        <v>0</v>
      </c>
      <c r="N640" s="8">
        <f t="shared" ca="1" si="306"/>
        <v>0</v>
      </c>
      <c r="O640" s="8">
        <f t="shared" ca="1" si="307"/>
        <v>0</v>
      </c>
      <c r="P640" s="8">
        <f t="shared" ca="1" si="308"/>
        <v>0</v>
      </c>
      <c r="Q640" s="8">
        <f t="shared" ca="1" si="309"/>
        <v>0</v>
      </c>
      <c r="R640" s="8">
        <f t="shared" ca="1" si="310"/>
        <v>0</v>
      </c>
      <c r="S640" s="8">
        <f t="shared" ca="1" si="311"/>
        <v>0</v>
      </c>
      <c r="T640" s="8">
        <f t="shared" ca="1" si="312"/>
        <v>0</v>
      </c>
      <c r="U640" s="8">
        <f t="shared" ca="1" si="313"/>
        <v>0</v>
      </c>
      <c r="V640" s="8">
        <f t="shared" ca="1" si="314"/>
        <v>0</v>
      </c>
      <c r="W640" s="11" t="str">
        <f t="shared" ca="1" si="315"/>
        <v/>
      </c>
      <c r="X640" s="11" t="str">
        <f t="shared" ca="1" si="316"/>
        <v/>
      </c>
      <c r="Y640" s="11" t="str">
        <f t="shared" ca="1" si="317"/>
        <v/>
      </c>
      <c r="Z640" s="11" t="str">
        <f t="shared" ca="1" si="318"/>
        <v/>
      </c>
      <c r="AA640" s="11" t="str">
        <f t="shared" ca="1" si="319"/>
        <v/>
      </c>
      <c r="AB640" s="47">
        <f ca="1">PlayerGameData[[#This Row],[3FGA]]+PlayerGameData[[#This Row],[2FGA]]</f>
        <v>0</v>
      </c>
      <c r="AC640" s="47">
        <f ca="1">PlayerGameData[[#This Row],[OFF REB]]+PlayerGameData[[#This Row],[DEF REB]]</f>
        <v>0</v>
      </c>
      <c r="AD640" s="8">
        <f t="shared" si="300"/>
        <v>27</v>
      </c>
      <c r="AE640" s="8" t="str">
        <f t="shared" ca="1" si="301"/>
        <v>Kailer Duarte, 31 - 0 1/0/1900</v>
      </c>
      <c r="AF640" s="8" t="str">
        <f t="shared" ca="1" si="320"/>
        <v/>
      </c>
      <c r="AG640" s="8" t="str">
        <f ca="1">IFERROR(IF(C640=0,"",IF(AND(VLOOKUP(PlayerGameData[[#This Row],[Opponent]],WYTeamInfo,2,FALSE)=Roster!$D$1,VLOOKUP(PlayerGameData[[#This Row],[Opponent]],WYTeamInfo,3,FALSE)=Roster!$D$2),"SR","")),"")</f>
        <v/>
      </c>
      <c r="AH640" s="8" t="str">
        <f>CONCATENATE(Roster!$D$1," ",Roster!$D$5)</f>
        <v>1A BB</v>
      </c>
      <c r="AI640" s="8" t="str">
        <f t="shared" ca="1" si="302"/>
        <v>Blank</v>
      </c>
      <c r="AJ640" s="8">
        <f ca="1">IFERROR(VLOOKUP(PlayerGameData[[#This Row],[School, Opponent,Game'#]],Table3[],2,FALSE),0)</f>
        <v>0</v>
      </c>
      <c r="AK640" s="8">
        <f ca="1">IF(PlayerGameData[[#This Row],[Visible]]=1,1,1000)</f>
        <v>1000</v>
      </c>
      <c r="AL640" s="8">
        <f ca="1">RANK(PlayerGameData[[#This Row],[TL PTS]],PlayerGameData[TL PTS],0)+PlayerGameData[[#This Row],[VisibleOrder]]</f>
        <v>1184</v>
      </c>
      <c r="AM640" s="8">
        <f ca="1">IF(COUNTIF(PlayerGameData[PointOrder],PlayerGameData[[#This Row],[PointOrder]])&gt;1,RANK(PlayerGameData[[#This Row],[FGA]],PlayerGameData[FGA],0)/100,0)+PlayerGameData[[#This Row],[PointOrder]]</f>
        <v>1186.1400000000001</v>
      </c>
      <c r="AN640" s="8">
        <f ca="1">RANK(PlayerGameData[[#This Row],[PointTieBreak]],PlayerGameData[PointTieBreak],1)</f>
        <v>625</v>
      </c>
      <c r="AO640" s="8">
        <f ca="1">RANK(PlayerGameData[[#This Row],[REB]],PlayerGameData[REB],0)+PlayerGameData[[#This Row],[VisibleOrder]]</f>
        <v>1191</v>
      </c>
      <c r="AP640" s="8">
        <f ca="1">IF(COUNTIF(PlayerGameData[REBOrder],PlayerGameData[[#This Row],[REBOrder]])&gt;1,PlayerGameData[[#This Row],[PointRank]]/100+PlayerGameData[[#This Row],[REBOrder]],PlayerGameData[[#This Row],[REBOrder]])</f>
        <v>1197.25</v>
      </c>
      <c r="AQ640" s="8">
        <f ca="1">RANK(PlayerGameData[[#This Row],[REBTieBreak]],PlayerGameData[REBTieBreak],1)</f>
        <v>625</v>
      </c>
      <c r="AR640" s="8">
        <f ca="1">RANK(PlayerGameData[[#This Row],[AST]],PlayerGameData[AST],0)+PlayerGameData[[#This Row],[VisibleOrder]]</f>
        <v>1157</v>
      </c>
      <c r="AS640" s="8">
        <f ca="1">IF(COUNTIF(PlayerGameData[ASTOrder],PlayerGameData[[#This Row],[ASTOrder]])&gt;1,PlayerGameData[[#This Row],[PointRank]]/100+PlayerGameData[[#This Row],[ASTOrder]],PlayerGameData[[#This Row],[ASTOrder]])</f>
        <v>1163.25</v>
      </c>
      <c r="AT640" s="8">
        <f ca="1">RANK(PlayerGameData[[#This Row],[ASTTieBreak]],PlayerGameData[ASTTieBreak],1)</f>
        <v>625</v>
      </c>
      <c r="AU640" s="8">
        <f ca="1">RANK(PlayerGameData[[#This Row],[STL]],PlayerGameData[STL],0)+PlayerGameData[[#This Row],[VisibleOrder]]</f>
        <v>1142</v>
      </c>
      <c r="AV640" s="8">
        <f ca="1">IF(COUNTIF(PlayerGameData[STLOrder],PlayerGameData[[#This Row],[STLOrder]])&gt;1,PlayerGameData[[#This Row],[PointRank]]/100+PlayerGameData[[#This Row],[STLOrder]],PlayerGameData[[#This Row],[STLOrder]])</f>
        <v>1148.25</v>
      </c>
      <c r="AW640" s="8">
        <f ca="1">RANK(PlayerGameData[[#This Row],[STLTieBreak]],PlayerGameData[STLTieBreak],1)</f>
        <v>625</v>
      </c>
      <c r="AX640" s="8">
        <f ca="1">RANK(PlayerGameData[[#This Row],[BLK]],PlayerGameData[BLK],0)+PlayerGameData[[#This Row],[VisibleOrder]]</f>
        <v>1031</v>
      </c>
      <c r="AY640" s="8">
        <f ca="1">IF(COUNTIF(PlayerGameData[BLKOrder],PlayerGameData[[#This Row],[BLKOrder]])&gt;1,PlayerGameData[[#This Row],[PointRank]]/100+PlayerGameData[[#This Row],[BLKOrder]],PlayerGameData[[#This Row],[BLKOrder]])</f>
        <v>1037.25</v>
      </c>
      <c r="AZ640" s="8">
        <f ca="1">RANK(PlayerGameData[[#This Row],[BLKTieBreak]],PlayerGameData[BLKTieBreak],1)</f>
        <v>625</v>
      </c>
      <c r="BA640" s="11">
        <f ca="1">IFERROR(IF(PlayerGameData[[#This Row],[FGA]]&gt;$AA$5,PlayerGameData[[#This Row],[FG%*]],PlayerGameData[[#This Row],[FG%*]]*-1),-2)</f>
        <v>-2</v>
      </c>
      <c r="BB640" s="8">
        <f ca="1">RANK(PlayerGameData[[#This Row],[EligFG]],PlayerGameData[EligFG],0)+PlayerGameData[[#This Row],[VisibleOrder]]</f>
        <v>1214</v>
      </c>
      <c r="BC640" s="8">
        <f ca="1">IF(COUNTIF(PlayerGameData[EligFGOrder],PlayerGameData[[#This Row],[EligFGOrder]])&gt;1,PlayerGameData[[#This Row],[PointRank]]/100+PlayerGameData[[#This Row],[EligFGOrder]],PlayerGameData[[#This Row],[EligFGOrder]])</f>
        <v>1220.25</v>
      </c>
      <c r="BD640" s="8">
        <f ca="1">RANK(PlayerGameData[[#This Row],[EligFGTieBreak]],PlayerGameData[EligFGTieBreak],1)</f>
        <v>625</v>
      </c>
      <c r="BE640" s="8" t="str">
        <f>Roster!$D$3</f>
        <v>East</v>
      </c>
      <c r="BF640" s="8" t="str">
        <f>Roster!$D$2</f>
        <v>Northeast</v>
      </c>
      <c r="BG640" s="8" t="str">
        <f>Roster!$D$4</f>
        <v>North</v>
      </c>
      <c r="BH640" s="197">
        <f ca="1">IFERROR(VLOOKUP(CONCATENATE(PlayerGameData[[#This Row],[Opponent]]," ",MONTH(PlayerGameData[[#This Row],[Date]]),"/",DAY(PlayerGameData[[#This Row],[Date]]),"/",YEAR(PlayerGameData[[#This Row],[Date]])),Table35[],2,FALSE),0)</f>
        <v>0</v>
      </c>
      <c r="BI640" s="197">
        <f ca="1">IF(PlayerGameData[[#This Row],[Visible]]=1,1,1000)</f>
        <v>1000</v>
      </c>
      <c r="BJ640" s="197" t="e">
        <f ca="1">_xlfn.MAXIFS(TeamGameData[Win],TeamGameData[School, Opponent,Game'#],PlayerGameData[[#This Row],[School, Opponent,Game'#]])</f>
        <v>#NAME?</v>
      </c>
      <c r="BK640" s="197" t="e">
        <f ca="1">_xlfn.MAXIFS(TeamGameData[Loss],TeamGameData[School, Opponent,Game'#],PlayerGameData[[#This Row],[School, Opponent,Game'#]])</f>
        <v>#NAME?</v>
      </c>
    </row>
    <row r="641" spans="1:63" x14ac:dyDescent="0.25">
      <c r="A641" s="8" t="str">
        <f t="shared" ca="1" si="303"/>
        <v>Matt Stirmel, 33</v>
      </c>
      <c r="B641" s="8" t="str">
        <f>Roster!$B$1</f>
        <v>Upton</v>
      </c>
      <c r="C641" s="8">
        <f t="shared" ca="1" si="291"/>
        <v>0</v>
      </c>
      <c r="D641" s="10">
        <f t="shared" ca="1" si="292"/>
        <v>0</v>
      </c>
      <c r="E641" s="8">
        <f t="shared" ca="1" si="293"/>
        <v>0</v>
      </c>
      <c r="F641" s="8">
        <f t="shared" ca="1" si="294"/>
        <v>0</v>
      </c>
      <c r="G641" s="8">
        <f t="shared" ca="1" si="295"/>
        <v>0</v>
      </c>
      <c r="H641" s="8">
        <f t="shared" ca="1" si="296"/>
        <v>0</v>
      </c>
      <c r="I641" s="8">
        <f t="shared" ca="1" si="297"/>
        <v>0</v>
      </c>
      <c r="J641" s="8">
        <f t="shared" ca="1" si="298"/>
        <v>0</v>
      </c>
      <c r="K641" s="8">
        <f t="shared" ca="1" si="299"/>
        <v>0</v>
      </c>
      <c r="L641" s="8">
        <f t="shared" ca="1" si="304"/>
        <v>0</v>
      </c>
      <c r="M641" s="8">
        <f t="shared" ca="1" si="305"/>
        <v>0</v>
      </c>
      <c r="N641" s="8">
        <f t="shared" ca="1" si="306"/>
        <v>0</v>
      </c>
      <c r="O641" s="8">
        <f t="shared" ca="1" si="307"/>
        <v>0</v>
      </c>
      <c r="P641" s="8">
        <f t="shared" ca="1" si="308"/>
        <v>0</v>
      </c>
      <c r="Q641" s="8">
        <f t="shared" ca="1" si="309"/>
        <v>0</v>
      </c>
      <c r="R641" s="8">
        <f t="shared" ca="1" si="310"/>
        <v>0</v>
      </c>
      <c r="S641" s="8">
        <f t="shared" ca="1" si="311"/>
        <v>0</v>
      </c>
      <c r="T641" s="8">
        <f t="shared" ca="1" si="312"/>
        <v>0</v>
      </c>
      <c r="U641" s="8">
        <f t="shared" ca="1" si="313"/>
        <v>0</v>
      </c>
      <c r="V641" s="8">
        <f t="shared" ca="1" si="314"/>
        <v>0</v>
      </c>
      <c r="W641" s="11" t="str">
        <f t="shared" ca="1" si="315"/>
        <v/>
      </c>
      <c r="X641" s="11" t="str">
        <f t="shared" ca="1" si="316"/>
        <v/>
      </c>
      <c r="Y641" s="11" t="str">
        <f t="shared" ca="1" si="317"/>
        <v/>
      </c>
      <c r="Z641" s="11" t="str">
        <f t="shared" ca="1" si="318"/>
        <v/>
      </c>
      <c r="AA641" s="11" t="str">
        <f t="shared" ca="1" si="319"/>
        <v/>
      </c>
      <c r="AB641" s="47">
        <f ca="1">PlayerGameData[[#This Row],[3FGA]]+PlayerGameData[[#This Row],[2FGA]]</f>
        <v>0</v>
      </c>
      <c r="AC641" s="47">
        <f ca="1">PlayerGameData[[#This Row],[OFF REB]]+PlayerGameData[[#This Row],[DEF REB]]</f>
        <v>0</v>
      </c>
      <c r="AD641" s="8">
        <f t="shared" si="300"/>
        <v>27</v>
      </c>
      <c r="AE641" s="8" t="str">
        <f t="shared" ca="1" si="301"/>
        <v>Matt Stirmel, 33 - 0 1/0/1900</v>
      </c>
      <c r="AF641" s="8" t="str">
        <f t="shared" ca="1" si="320"/>
        <v/>
      </c>
      <c r="AG641" s="8" t="str">
        <f ca="1">IFERROR(IF(C641=0,"",IF(AND(VLOOKUP(PlayerGameData[[#This Row],[Opponent]],WYTeamInfo,2,FALSE)=Roster!$D$1,VLOOKUP(PlayerGameData[[#This Row],[Opponent]],WYTeamInfo,3,FALSE)=Roster!$D$2),"SR","")),"")</f>
        <v/>
      </c>
      <c r="AH641" s="8" t="str">
        <f>CONCATENATE(Roster!$D$1," ",Roster!$D$5)</f>
        <v>1A BB</v>
      </c>
      <c r="AI641" s="8" t="str">
        <f t="shared" ca="1" si="302"/>
        <v>Blank</v>
      </c>
      <c r="AJ641" s="8">
        <f ca="1">IFERROR(VLOOKUP(PlayerGameData[[#This Row],[School, Opponent,Game'#]],Table3[],2,FALSE),0)</f>
        <v>0</v>
      </c>
      <c r="AK641" s="8">
        <f ca="1">IF(PlayerGameData[[#This Row],[Visible]]=1,1,1000)</f>
        <v>1000</v>
      </c>
      <c r="AL641" s="8">
        <f ca="1">RANK(PlayerGameData[[#This Row],[TL PTS]],PlayerGameData[TL PTS],0)+PlayerGameData[[#This Row],[VisibleOrder]]</f>
        <v>1184</v>
      </c>
      <c r="AM641" s="8">
        <f ca="1">IF(COUNTIF(PlayerGameData[PointOrder],PlayerGameData[[#This Row],[PointOrder]])&gt;1,RANK(PlayerGameData[[#This Row],[FGA]],PlayerGameData[FGA],0)/100,0)+PlayerGameData[[#This Row],[PointOrder]]</f>
        <v>1186.1400000000001</v>
      </c>
      <c r="AN641" s="8">
        <f ca="1">RANK(PlayerGameData[[#This Row],[PointTieBreak]],PlayerGameData[PointTieBreak],1)</f>
        <v>625</v>
      </c>
      <c r="AO641" s="8">
        <f ca="1">RANK(PlayerGameData[[#This Row],[REB]],PlayerGameData[REB],0)+PlayerGameData[[#This Row],[VisibleOrder]]</f>
        <v>1191</v>
      </c>
      <c r="AP641" s="8">
        <f ca="1">IF(COUNTIF(PlayerGameData[REBOrder],PlayerGameData[[#This Row],[REBOrder]])&gt;1,PlayerGameData[[#This Row],[PointRank]]/100+PlayerGameData[[#This Row],[REBOrder]],PlayerGameData[[#This Row],[REBOrder]])</f>
        <v>1197.25</v>
      </c>
      <c r="AQ641" s="8">
        <f ca="1">RANK(PlayerGameData[[#This Row],[REBTieBreak]],PlayerGameData[REBTieBreak],1)</f>
        <v>625</v>
      </c>
      <c r="AR641" s="8">
        <f ca="1">RANK(PlayerGameData[[#This Row],[AST]],PlayerGameData[AST],0)+PlayerGameData[[#This Row],[VisibleOrder]]</f>
        <v>1157</v>
      </c>
      <c r="AS641" s="8">
        <f ca="1">IF(COUNTIF(PlayerGameData[ASTOrder],PlayerGameData[[#This Row],[ASTOrder]])&gt;1,PlayerGameData[[#This Row],[PointRank]]/100+PlayerGameData[[#This Row],[ASTOrder]],PlayerGameData[[#This Row],[ASTOrder]])</f>
        <v>1163.25</v>
      </c>
      <c r="AT641" s="8">
        <f ca="1">RANK(PlayerGameData[[#This Row],[ASTTieBreak]],PlayerGameData[ASTTieBreak],1)</f>
        <v>625</v>
      </c>
      <c r="AU641" s="8">
        <f ca="1">RANK(PlayerGameData[[#This Row],[STL]],PlayerGameData[STL],0)+PlayerGameData[[#This Row],[VisibleOrder]]</f>
        <v>1142</v>
      </c>
      <c r="AV641" s="8">
        <f ca="1">IF(COUNTIF(PlayerGameData[STLOrder],PlayerGameData[[#This Row],[STLOrder]])&gt;1,PlayerGameData[[#This Row],[PointRank]]/100+PlayerGameData[[#This Row],[STLOrder]],PlayerGameData[[#This Row],[STLOrder]])</f>
        <v>1148.25</v>
      </c>
      <c r="AW641" s="8">
        <f ca="1">RANK(PlayerGameData[[#This Row],[STLTieBreak]],PlayerGameData[STLTieBreak],1)</f>
        <v>625</v>
      </c>
      <c r="AX641" s="8">
        <f ca="1">RANK(PlayerGameData[[#This Row],[BLK]],PlayerGameData[BLK],0)+PlayerGameData[[#This Row],[VisibleOrder]]</f>
        <v>1031</v>
      </c>
      <c r="AY641" s="8">
        <f ca="1">IF(COUNTIF(PlayerGameData[BLKOrder],PlayerGameData[[#This Row],[BLKOrder]])&gt;1,PlayerGameData[[#This Row],[PointRank]]/100+PlayerGameData[[#This Row],[BLKOrder]],PlayerGameData[[#This Row],[BLKOrder]])</f>
        <v>1037.25</v>
      </c>
      <c r="AZ641" s="8">
        <f ca="1">RANK(PlayerGameData[[#This Row],[BLKTieBreak]],PlayerGameData[BLKTieBreak],1)</f>
        <v>625</v>
      </c>
      <c r="BA641" s="11">
        <f ca="1">IFERROR(IF(PlayerGameData[[#This Row],[FGA]]&gt;$AA$5,PlayerGameData[[#This Row],[FG%*]],PlayerGameData[[#This Row],[FG%*]]*-1),-2)</f>
        <v>-2</v>
      </c>
      <c r="BB641" s="8">
        <f ca="1">RANK(PlayerGameData[[#This Row],[EligFG]],PlayerGameData[EligFG],0)+PlayerGameData[[#This Row],[VisibleOrder]]</f>
        <v>1214</v>
      </c>
      <c r="BC641" s="8">
        <f ca="1">IF(COUNTIF(PlayerGameData[EligFGOrder],PlayerGameData[[#This Row],[EligFGOrder]])&gt;1,PlayerGameData[[#This Row],[PointRank]]/100+PlayerGameData[[#This Row],[EligFGOrder]],PlayerGameData[[#This Row],[EligFGOrder]])</f>
        <v>1220.25</v>
      </c>
      <c r="BD641" s="8">
        <f ca="1">RANK(PlayerGameData[[#This Row],[EligFGTieBreak]],PlayerGameData[EligFGTieBreak],1)</f>
        <v>625</v>
      </c>
      <c r="BE641" s="8" t="str">
        <f>Roster!$D$3</f>
        <v>East</v>
      </c>
      <c r="BF641" s="8" t="str">
        <f>Roster!$D$2</f>
        <v>Northeast</v>
      </c>
      <c r="BG641" s="8" t="str">
        <f>Roster!$D$4</f>
        <v>North</v>
      </c>
      <c r="BH641" s="197">
        <f ca="1">IFERROR(VLOOKUP(CONCATENATE(PlayerGameData[[#This Row],[Opponent]]," ",MONTH(PlayerGameData[[#This Row],[Date]]),"/",DAY(PlayerGameData[[#This Row],[Date]]),"/",YEAR(PlayerGameData[[#This Row],[Date]])),Table35[],2,FALSE),0)</f>
        <v>0</v>
      </c>
      <c r="BI641" s="197">
        <f ca="1">IF(PlayerGameData[[#This Row],[Visible]]=1,1,1000)</f>
        <v>1000</v>
      </c>
      <c r="BJ641" s="197" t="e">
        <f ca="1">_xlfn.MAXIFS(TeamGameData[Win],TeamGameData[School, Opponent,Game'#],PlayerGameData[[#This Row],[School, Opponent,Game'#]])</f>
        <v>#NAME?</v>
      </c>
      <c r="BK641" s="197" t="e">
        <f ca="1">_xlfn.MAXIFS(TeamGameData[Loss],TeamGameData[School, Opponent,Game'#],PlayerGameData[[#This Row],[School, Opponent,Game'#]])</f>
        <v>#NAME?</v>
      </c>
    </row>
    <row r="642" spans="1:63" x14ac:dyDescent="0.25">
      <c r="A642" s="8" t="str">
        <f t="shared" ca="1" si="303"/>
        <v>Jacob McNutt, 34</v>
      </c>
      <c r="B642" s="8" t="str">
        <f>Roster!$B$1</f>
        <v>Upton</v>
      </c>
      <c r="C642" s="8">
        <f t="shared" ca="1" si="291"/>
        <v>0</v>
      </c>
      <c r="D642" s="10">
        <f t="shared" ca="1" si="292"/>
        <v>0</v>
      </c>
      <c r="E642" s="8">
        <f t="shared" ca="1" si="293"/>
        <v>0</v>
      </c>
      <c r="F642" s="8">
        <f t="shared" ca="1" si="294"/>
        <v>0</v>
      </c>
      <c r="G642" s="8">
        <f t="shared" ca="1" si="295"/>
        <v>0</v>
      </c>
      <c r="H642" s="8">
        <f t="shared" ca="1" si="296"/>
        <v>0</v>
      </c>
      <c r="I642" s="8">
        <f t="shared" ca="1" si="297"/>
        <v>0</v>
      </c>
      <c r="J642" s="8">
        <f t="shared" ca="1" si="298"/>
        <v>0</v>
      </c>
      <c r="K642" s="8">
        <f t="shared" ca="1" si="299"/>
        <v>0</v>
      </c>
      <c r="L642" s="8">
        <f t="shared" ca="1" si="304"/>
        <v>0</v>
      </c>
      <c r="M642" s="8">
        <f t="shared" ca="1" si="305"/>
        <v>0</v>
      </c>
      <c r="N642" s="8">
        <f t="shared" ca="1" si="306"/>
        <v>0</v>
      </c>
      <c r="O642" s="8">
        <f t="shared" ca="1" si="307"/>
        <v>0</v>
      </c>
      <c r="P642" s="8">
        <f t="shared" ca="1" si="308"/>
        <v>0</v>
      </c>
      <c r="Q642" s="8">
        <f t="shared" ca="1" si="309"/>
        <v>0</v>
      </c>
      <c r="R642" s="8">
        <f t="shared" ca="1" si="310"/>
        <v>0</v>
      </c>
      <c r="S642" s="8">
        <f t="shared" ca="1" si="311"/>
        <v>0</v>
      </c>
      <c r="T642" s="8">
        <f t="shared" ca="1" si="312"/>
        <v>0</v>
      </c>
      <c r="U642" s="8">
        <f t="shared" ca="1" si="313"/>
        <v>0</v>
      </c>
      <c r="V642" s="8">
        <f t="shared" ca="1" si="314"/>
        <v>0</v>
      </c>
      <c r="W642" s="11" t="str">
        <f t="shared" ca="1" si="315"/>
        <v/>
      </c>
      <c r="X642" s="11" t="str">
        <f t="shared" ca="1" si="316"/>
        <v/>
      </c>
      <c r="Y642" s="11" t="str">
        <f t="shared" ca="1" si="317"/>
        <v/>
      </c>
      <c r="Z642" s="11" t="str">
        <f t="shared" ca="1" si="318"/>
        <v/>
      </c>
      <c r="AA642" s="11" t="str">
        <f t="shared" ca="1" si="319"/>
        <v/>
      </c>
      <c r="AB642" s="47">
        <f ca="1">PlayerGameData[[#This Row],[3FGA]]+PlayerGameData[[#This Row],[2FGA]]</f>
        <v>0</v>
      </c>
      <c r="AC642" s="47">
        <f ca="1">PlayerGameData[[#This Row],[OFF REB]]+PlayerGameData[[#This Row],[DEF REB]]</f>
        <v>0</v>
      </c>
      <c r="AD642" s="8">
        <f t="shared" si="300"/>
        <v>27</v>
      </c>
      <c r="AE642" s="8" t="str">
        <f t="shared" ca="1" si="301"/>
        <v>Jacob McNutt, 34 - 0 1/0/1900</v>
      </c>
      <c r="AF642" s="8" t="str">
        <f t="shared" ca="1" si="320"/>
        <v/>
      </c>
      <c r="AG642" s="8" t="str">
        <f ca="1">IFERROR(IF(C642=0,"",IF(AND(VLOOKUP(PlayerGameData[[#This Row],[Opponent]],WYTeamInfo,2,FALSE)=Roster!$D$1,VLOOKUP(PlayerGameData[[#This Row],[Opponent]],WYTeamInfo,3,FALSE)=Roster!$D$2),"SR","")),"")</f>
        <v/>
      </c>
      <c r="AH642" s="8" t="str">
        <f>CONCATENATE(Roster!$D$1," ",Roster!$D$5)</f>
        <v>1A BB</v>
      </c>
      <c r="AI642" s="8" t="str">
        <f t="shared" ca="1" si="302"/>
        <v>Blank</v>
      </c>
      <c r="AJ642" s="8">
        <f ca="1">IFERROR(VLOOKUP(PlayerGameData[[#This Row],[School, Opponent,Game'#]],Table3[],2,FALSE),0)</f>
        <v>0</v>
      </c>
      <c r="AK642" s="8">
        <f ca="1">IF(PlayerGameData[[#This Row],[Visible]]=1,1,1000)</f>
        <v>1000</v>
      </c>
      <c r="AL642" s="8">
        <f ca="1">RANK(PlayerGameData[[#This Row],[TL PTS]],PlayerGameData[TL PTS],0)+PlayerGameData[[#This Row],[VisibleOrder]]</f>
        <v>1184</v>
      </c>
      <c r="AM642" s="8">
        <f ca="1">IF(COUNTIF(PlayerGameData[PointOrder],PlayerGameData[[#This Row],[PointOrder]])&gt;1,RANK(PlayerGameData[[#This Row],[FGA]],PlayerGameData[FGA],0)/100,0)+PlayerGameData[[#This Row],[PointOrder]]</f>
        <v>1186.1400000000001</v>
      </c>
      <c r="AN642" s="8">
        <f ca="1">RANK(PlayerGameData[[#This Row],[PointTieBreak]],PlayerGameData[PointTieBreak],1)</f>
        <v>625</v>
      </c>
      <c r="AO642" s="8">
        <f ca="1">RANK(PlayerGameData[[#This Row],[REB]],PlayerGameData[REB],0)+PlayerGameData[[#This Row],[VisibleOrder]]</f>
        <v>1191</v>
      </c>
      <c r="AP642" s="8">
        <f ca="1">IF(COUNTIF(PlayerGameData[REBOrder],PlayerGameData[[#This Row],[REBOrder]])&gt;1,PlayerGameData[[#This Row],[PointRank]]/100+PlayerGameData[[#This Row],[REBOrder]],PlayerGameData[[#This Row],[REBOrder]])</f>
        <v>1197.25</v>
      </c>
      <c r="AQ642" s="8">
        <f ca="1">RANK(PlayerGameData[[#This Row],[REBTieBreak]],PlayerGameData[REBTieBreak],1)</f>
        <v>625</v>
      </c>
      <c r="AR642" s="8">
        <f ca="1">RANK(PlayerGameData[[#This Row],[AST]],PlayerGameData[AST],0)+PlayerGameData[[#This Row],[VisibleOrder]]</f>
        <v>1157</v>
      </c>
      <c r="AS642" s="8">
        <f ca="1">IF(COUNTIF(PlayerGameData[ASTOrder],PlayerGameData[[#This Row],[ASTOrder]])&gt;1,PlayerGameData[[#This Row],[PointRank]]/100+PlayerGameData[[#This Row],[ASTOrder]],PlayerGameData[[#This Row],[ASTOrder]])</f>
        <v>1163.25</v>
      </c>
      <c r="AT642" s="8">
        <f ca="1">RANK(PlayerGameData[[#This Row],[ASTTieBreak]],PlayerGameData[ASTTieBreak],1)</f>
        <v>625</v>
      </c>
      <c r="AU642" s="8">
        <f ca="1">RANK(PlayerGameData[[#This Row],[STL]],PlayerGameData[STL],0)+PlayerGameData[[#This Row],[VisibleOrder]]</f>
        <v>1142</v>
      </c>
      <c r="AV642" s="8">
        <f ca="1">IF(COUNTIF(PlayerGameData[STLOrder],PlayerGameData[[#This Row],[STLOrder]])&gt;1,PlayerGameData[[#This Row],[PointRank]]/100+PlayerGameData[[#This Row],[STLOrder]],PlayerGameData[[#This Row],[STLOrder]])</f>
        <v>1148.25</v>
      </c>
      <c r="AW642" s="8">
        <f ca="1">RANK(PlayerGameData[[#This Row],[STLTieBreak]],PlayerGameData[STLTieBreak],1)</f>
        <v>625</v>
      </c>
      <c r="AX642" s="8">
        <f ca="1">RANK(PlayerGameData[[#This Row],[BLK]],PlayerGameData[BLK],0)+PlayerGameData[[#This Row],[VisibleOrder]]</f>
        <v>1031</v>
      </c>
      <c r="AY642" s="8">
        <f ca="1">IF(COUNTIF(PlayerGameData[BLKOrder],PlayerGameData[[#This Row],[BLKOrder]])&gt;1,PlayerGameData[[#This Row],[PointRank]]/100+PlayerGameData[[#This Row],[BLKOrder]],PlayerGameData[[#This Row],[BLKOrder]])</f>
        <v>1037.25</v>
      </c>
      <c r="AZ642" s="8">
        <f ca="1">RANK(PlayerGameData[[#This Row],[BLKTieBreak]],PlayerGameData[BLKTieBreak],1)</f>
        <v>625</v>
      </c>
      <c r="BA642" s="11">
        <f ca="1">IFERROR(IF(PlayerGameData[[#This Row],[FGA]]&gt;$AA$5,PlayerGameData[[#This Row],[FG%*]],PlayerGameData[[#This Row],[FG%*]]*-1),-2)</f>
        <v>-2</v>
      </c>
      <c r="BB642" s="8">
        <f ca="1">RANK(PlayerGameData[[#This Row],[EligFG]],PlayerGameData[EligFG],0)+PlayerGameData[[#This Row],[VisibleOrder]]</f>
        <v>1214</v>
      </c>
      <c r="BC642" s="8">
        <f ca="1">IF(COUNTIF(PlayerGameData[EligFGOrder],PlayerGameData[[#This Row],[EligFGOrder]])&gt;1,PlayerGameData[[#This Row],[PointRank]]/100+PlayerGameData[[#This Row],[EligFGOrder]],PlayerGameData[[#This Row],[EligFGOrder]])</f>
        <v>1220.25</v>
      </c>
      <c r="BD642" s="8">
        <f ca="1">RANK(PlayerGameData[[#This Row],[EligFGTieBreak]],PlayerGameData[EligFGTieBreak],1)</f>
        <v>625</v>
      </c>
      <c r="BE642" s="8" t="str">
        <f>Roster!$D$3</f>
        <v>East</v>
      </c>
      <c r="BF642" s="8" t="str">
        <f>Roster!$D$2</f>
        <v>Northeast</v>
      </c>
      <c r="BG642" s="8" t="str">
        <f>Roster!$D$4</f>
        <v>North</v>
      </c>
      <c r="BH642" s="197">
        <f ca="1">IFERROR(VLOOKUP(CONCATENATE(PlayerGameData[[#This Row],[Opponent]]," ",MONTH(PlayerGameData[[#This Row],[Date]]),"/",DAY(PlayerGameData[[#This Row],[Date]]),"/",YEAR(PlayerGameData[[#This Row],[Date]])),Table35[],2,FALSE),0)</f>
        <v>0</v>
      </c>
      <c r="BI642" s="197">
        <f ca="1">IF(PlayerGameData[[#This Row],[Visible]]=1,1,1000)</f>
        <v>1000</v>
      </c>
      <c r="BJ642" s="197" t="e">
        <f ca="1">_xlfn.MAXIFS(TeamGameData[Win],TeamGameData[School, Opponent,Game'#],PlayerGameData[[#This Row],[School, Opponent,Game'#]])</f>
        <v>#NAME?</v>
      </c>
      <c r="BK642" s="197" t="e">
        <f ca="1">_xlfn.MAXIFS(TeamGameData[Loss],TeamGameData[School, Opponent,Game'#],PlayerGameData[[#This Row],[School, Opponent,Game'#]])</f>
        <v>#NAME?</v>
      </c>
    </row>
    <row r="643" spans="1:63" x14ac:dyDescent="0.25">
      <c r="A643" s="8" t="str">
        <f t="shared" ca="1" si="303"/>
        <v>Ryan Baker, 35</v>
      </c>
      <c r="B643" s="8" t="str">
        <f>Roster!$B$1</f>
        <v>Upton</v>
      </c>
      <c r="C643" s="8">
        <f t="shared" ca="1" si="291"/>
        <v>0</v>
      </c>
      <c r="D643" s="10">
        <f t="shared" ca="1" si="292"/>
        <v>0</v>
      </c>
      <c r="E643" s="8">
        <f t="shared" ca="1" si="293"/>
        <v>0</v>
      </c>
      <c r="F643" s="8">
        <f t="shared" ca="1" si="294"/>
        <v>0</v>
      </c>
      <c r="G643" s="8">
        <f t="shared" ca="1" si="295"/>
        <v>0</v>
      </c>
      <c r="H643" s="8">
        <f t="shared" ca="1" si="296"/>
        <v>0</v>
      </c>
      <c r="I643" s="8">
        <f t="shared" ca="1" si="297"/>
        <v>0</v>
      </c>
      <c r="J643" s="8">
        <f t="shared" ca="1" si="298"/>
        <v>0</v>
      </c>
      <c r="K643" s="8">
        <f t="shared" ca="1" si="299"/>
        <v>0</v>
      </c>
      <c r="L643" s="8">
        <f t="shared" ca="1" si="304"/>
        <v>0</v>
      </c>
      <c r="M643" s="8">
        <f t="shared" ca="1" si="305"/>
        <v>0</v>
      </c>
      <c r="N643" s="8">
        <f t="shared" ca="1" si="306"/>
        <v>0</v>
      </c>
      <c r="O643" s="8">
        <f t="shared" ca="1" si="307"/>
        <v>0</v>
      </c>
      <c r="P643" s="8">
        <f t="shared" ca="1" si="308"/>
        <v>0</v>
      </c>
      <c r="Q643" s="8">
        <f t="shared" ca="1" si="309"/>
        <v>0</v>
      </c>
      <c r="R643" s="8">
        <f t="shared" ca="1" si="310"/>
        <v>0</v>
      </c>
      <c r="S643" s="8">
        <f t="shared" ca="1" si="311"/>
        <v>0</v>
      </c>
      <c r="T643" s="8">
        <f t="shared" ca="1" si="312"/>
        <v>0</v>
      </c>
      <c r="U643" s="8">
        <f t="shared" ca="1" si="313"/>
        <v>0</v>
      </c>
      <c r="V643" s="8">
        <f t="shared" ca="1" si="314"/>
        <v>0</v>
      </c>
      <c r="W643" s="11" t="str">
        <f t="shared" ca="1" si="315"/>
        <v/>
      </c>
      <c r="X643" s="11" t="str">
        <f t="shared" ca="1" si="316"/>
        <v/>
      </c>
      <c r="Y643" s="11" t="str">
        <f t="shared" ca="1" si="317"/>
        <v/>
      </c>
      <c r="Z643" s="11" t="str">
        <f t="shared" ca="1" si="318"/>
        <v/>
      </c>
      <c r="AA643" s="11" t="str">
        <f t="shared" ca="1" si="319"/>
        <v/>
      </c>
      <c r="AB643" s="47">
        <f ca="1">PlayerGameData[[#This Row],[3FGA]]+PlayerGameData[[#This Row],[2FGA]]</f>
        <v>0</v>
      </c>
      <c r="AC643" s="47">
        <f ca="1">PlayerGameData[[#This Row],[OFF REB]]+PlayerGameData[[#This Row],[DEF REB]]</f>
        <v>0</v>
      </c>
      <c r="AD643" s="8">
        <f t="shared" si="300"/>
        <v>27</v>
      </c>
      <c r="AE643" s="8" t="str">
        <f t="shared" ca="1" si="301"/>
        <v>Ryan Baker, 35 - 0 1/0/1900</v>
      </c>
      <c r="AF643" s="8" t="str">
        <f t="shared" ca="1" si="320"/>
        <v/>
      </c>
      <c r="AG643" s="8" t="str">
        <f ca="1">IFERROR(IF(C643=0,"",IF(AND(VLOOKUP(PlayerGameData[[#This Row],[Opponent]],WYTeamInfo,2,FALSE)=Roster!$D$1,VLOOKUP(PlayerGameData[[#This Row],[Opponent]],WYTeamInfo,3,FALSE)=Roster!$D$2),"SR","")),"")</f>
        <v/>
      </c>
      <c r="AH643" s="8" t="str">
        <f>CONCATENATE(Roster!$D$1," ",Roster!$D$5)</f>
        <v>1A BB</v>
      </c>
      <c r="AI643" s="8" t="str">
        <f t="shared" ca="1" si="302"/>
        <v>Blank</v>
      </c>
      <c r="AJ643" s="8">
        <f ca="1">IFERROR(VLOOKUP(PlayerGameData[[#This Row],[School, Opponent,Game'#]],Table3[],2,FALSE),0)</f>
        <v>0</v>
      </c>
      <c r="AK643" s="8">
        <f ca="1">IF(PlayerGameData[[#This Row],[Visible]]=1,1,1000)</f>
        <v>1000</v>
      </c>
      <c r="AL643" s="8">
        <f ca="1">RANK(PlayerGameData[[#This Row],[TL PTS]],PlayerGameData[TL PTS],0)+PlayerGameData[[#This Row],[VisibleOrder]]</f>
        <v>1184</v>
      </c>
      <c r="AM643" s="8">
        <f ca="1">IF(COUNTIF(PlayerGameData[PointOrder],PlayerGameData[[#This Row],[PointOrder]])&gt;1,RANK(PlayerGameData[[#This Row],[FGA]],PlayerGameData[FGA],0)/100,0)+PlayerGameData[[#This Row],[PointOrder]]</f>
        <v>1186.1400000000001</v>
      </c>
      <c r="AN643" s="8">
        <f ca="1">RANK(PlayerGameData[[#This Row],[PointTieBreak]],PlayerGameData[PointTieBreak],1)</f>
        <v>625</v>
      </c>
      <c r="AO643" s="8">
        <f ca="1">RANK(PlayerGameData[[#This Row],[REB]],PlayerGameData[REB],0)+PlayerGameData[[#This Row],[VisibleOrder]]</f>
        <v>1191</v>
      </c>
      <c r="AP643" s="8">
        <f ca="1">IF(COUNTIF(PlayerGameData[REBOrder],PlayerGameData[[#This Row],[REBOrder]])&gt;1,PlayerGameData[[#This Row],[PointRank]]/100+PlayerGameData[[#This Row],[REBOrder]],PlayerGameData[[#This Row],[REBOrder]])</f>
        <v>1197.25</v>
      </c>
      <c r="AQ643" s="8">
        <f ca="1">RANK(PlayerGameData[[#This Row],[REBTieBreak]],PlayerGameData[REBTieBreak],1)</f>
        <v>625</v>
      </c>
      <c r="AR643" s="8">
        <f ca="1">RANK(PlayerGameData[[#This Row],[AST]],PlayerGameData[AST],0)+PlayerGameData[[#This Row],[VisibleOrder]]</f>
        <v>1157</v>
      </c>
      <c r="AS643" s="8">
        <f ca="1">IF(COUNTIF(PlayerGameData[ASTOrder],PlayerGameData[[#This Row],[ASTOrder]])&gt;1,PlayerGameData[[#This Row],[PointRank]]/100+PlayerGameData[[#This Row],[ASTOrder]],PlayerGameData[[#This Row],[ASTOrder]])</f>
        <v>1163.25</v>
      </c>
      <c r="AT643" s="8">
        <f ca="1">RANK(PlayerGameData[[#This Row],[ASTTieBreak]],PlayerGameData[ASTTieBreak],1)</f>
        <v>625</v>
      </c>
      <c r="AU643" s="8">
        <f ca="1">RANK(PlayerGameData[[#This Row],[STL]],PlayerGameData[STL],0)+PlayerGameData[[#This Row],[VisibleOrder]]</f>
        <v>1142</v>
      </c>
      <c r="AV643" s="8">
        <f ca="1">IF(COUNTIF(PlayerGameData[STLOrder],PlayerGameData[[#This Row],[STLOrder]])&gt;1,PlayerGameData[[#This Row],[PointRank]]/100+PlayerGameData[[#This Row],[STLOrder]],PlayerGameData[[#This Row],[STLOrder]])</f>
        <v>1148.25</v>
      </c>
      <c r="AW643" s="8">
        <f ca="1">RANK(PlayerGameData[[#This Row],[STLTieBreak]],PlayerGameData[STLTieBreak],1)</f>
        <v>625</v>
      </c>
      <c r="AX643" s="8">
        <f ca="1">RANK(PlayerGameData[[#This Row],[BLK]],PlayerGameData[BLK],0)+PlayerGameData[[#This Row],[VisibleOrder]]</f>
        <v>1031</v>
      </c>
      <c r="AY643" s="8">
        <f ca="1">IF(COUNTIF(PlayerGameData[BLKOrder],PlayerGameData[[#This Row],[BLKOrder]])&gt;1,PlayerGameData[[#This Row],[PointRank]]/100+PlayerGameData[[#This Row],[BLKOrder]],PlayerGameData[[#This Row],[BLKOrder]])</f>
        <v>1037.25</v>
      </c>
      <c r="AZ643" s="8">
        <f ca="1">RANK(PlayerGameData[[#This Row],[BLKTieBreak]],PlayerGameData[BLKTieBreak],1)</f>
        <v>625</v>
      </c>
      <c r="BA643" s="11">
        <f ca="1">IFERROR(IF(PlayerGameData[[#This Row],[FGA]]&gt;$AA$5,PlayerGameData[[#This Row],[FG%*]],PlayerGameData[[#This Row],[FG%*]]*-1),-2)</f>
        <v>-2</v>
      </c>
      <c r="BB643" s="8">
        <f ca="1">RANK(PlayerGameData[[#This Row],[EligFG]],PlayerGameData[EligFG],0)+PlayerGameData[[#This Row],[VisibleOrder]]</f>
        <v>1214</v>
      </c>
      <c r="BC643" s="8">
        <f ca="1">IF(COUNTIF(PlayerGameData[EligFGOrder],PlayerGameData[[#This Row],[EligFGOrder]])&gt;1,PlayerGameData[[#This Row],[PointRank]]/100+PlayerGameData[[#This Row],[EligFGOrder]],PlayerGameData[[#This Row],[EligFGOrder]])</f>
        <v>1220.25</v>
      </c>
      <c r="BD643" s="8">
        <f ca="1">RANK(PlayerGameData[[#This Row],[EligFGTieBreak]],PlayerGameData[EligFGTieBreak],1)</f>
        <v>625</v>
      </c>
      <c r="BE643" s="8" t="str">
        <f>Roster!$D$3</f>
        <v>East</v>
      </c>
      <c r="BF643" s="8" t="str">
        <f>Roster!$D$2</f>
        <v>Northeast</v>
      </c>
      <c r="BG643" s="8" t="str">
        <f>Roster!$D$4</f>
        <v>North</v>
      </c>
      <c r="BH643" s="197">
        <f ca="1">IFERROR(VLOOKUP(CONCATENATE(PlayerGameData[[#This Row],[Opponent]]," ",MONTH(PlayerGameData[[#This Row],[Date]]),"/",DAY(PlayerGameData[[#This Row],[Date]]),"/",YEAR(PlayerGameData[[#This Row],[Date]])),Table35[],2,FALSE),0)</f>
        <v>0</v>
      </c>
      <c r="BI643" s="197">
        <f ca="1">IF(PlayerGameData[[#This Row],[Visible]]=1,1,1000)</f>
        <v>1000</v>
      </c>
      <c r="BJ643" s="197" t="e">
        <f ca="1">_xlfn.MAXIFS(TeamGameData[Win],TeamGameData[School, Opponent,Game'#],PlayerGameData[[#This Row],[School, Opponent,Game'#]])</f>
        <v>#NAME?</v>
      </c>
      <c r="BK643" s="197" t="e">
        <f ca="1">_xlfn.MAXIFS(TeamGameData[Loss],TeamGameData[School, Opponent,Game'#],PlayerGameData[[#This Row],[School, Opponent,Game'#]])</f>
        <v>#NAME?</v>
      </c>
    </row>
    <row r="644" spans="1:63" x14ac:dyDescent="0.25">
      <c r="A644" s="8" t="str">
        <f t="shared" ca="1" si="303"/>
        <v xml:space="preserve">, </v>
      </c>
      <c r="B644" s="8" t="str">
        <f>Roster!$B$1</f>
        <v>Upton</v>
      </c>
      <c r="C644" s="8">
        <f t="shared" ca="1" si="291"/>
        <v>0</v>
      </c>
      <c r="D644" s="10">
        <f t="shared" ca="1" si="292"/>
        <v>0</v>
      </c>
      <c r="E644" s="8">
        <f t="shared" ca="1" si="293"/>
        <v>0</v>
      </c>
      <c r="F644" s="8">
        <f t="shared" ca="1" si="294"/>
        <v>0</v>
      </c>
      <c r="G644" s="8">
        <f t="shared" ca="1" si="295"/>
        <v>0</v>
      </c>
      <c r="H644" s="8">
        <f t="shared" ca="1" si="296"/>
        <v>0</v>
      </c>
      <c r="I644" s="8">
        <f t="shared" ca="1" si="297"/>
        <v>0</v>
      </c>
      <c r="J644" s="8">
        <f t="shared" ca="1" si="298"/>
        <v>0</v>
      </c>
      <c r="K644" s="8">
        <f t="shared" ca="1" si="299"/>
        <v>0</v>
      </c>
      <c r="L644" s="8">
        <f t="shared" ca="1" si="304"/>
        <v>0</v>
      </c>
      <c r="M644" s="8">
        <f t="shared" ca="1" si="305"/>
        <v>0</v>
      </c>
      <c r="N644" s="8">
        <f t="shared" ca="1" si="306"/>
        <v>0</v>
      </c>
      <c r="O644" s="8">
        <f t="shared" ca="1" si="307"/>
        <v>0</v>
      </c>
      <c r="P644" s="8">
        <f t="shared" ca="1" si="308"/>
        <v>0</v>
      </c>
      <c r="Q644" s="8">
        <f t="shared" ca="1" si="309"/>
        <v>0</v>
      </c>
      <c r="R644" s="8">
        <f t="shared" ca="1" si="310"/>
        <v>0</v>
      </c>
      <c r="S644" s="8">
        <f t="shared" ca="1" si="311"/>
        <v>0</v>
      </c>
      <c r="T644" s="8">
        <f t="shared" ca="1" si="312"/>
        <v>0</v>
      </c>
      <c r="U644" s="8">
        <f t="shared" ca="1" si="313"/>
        <v>0</v>
      </c>
      <c r="V644" s="8">
        <f t="shared" ca="1" si="314"/>
        <v>0</v>
      </c>
      <c r="W644" s="11" t="str">
        <f t="shared" ca="1" si="315"/>
        <v/>
      </c>
      <c r="X644" s="11" t="str">
        <f t="shared" ca="1" si="316"/>
        <v/>
      </c>
      <c r="Y644" s="11" t="str">
        <f t="shared" ca="1" si="317"/>
        <v/>
      </c>
      <c r="Z644" s="11" t="str">
        <f t="shared" ca="1" si="318"/>
        <v/>
      </c>
      <c r="AA644" s="11" t="str">
        <f t="shared" ca="1" si="319"/>
        <v/>
      </c>
      <c r="AB644" s="47">
        <f ca="1">PlayerGameData[[#This Row],[3FGA]]+PlayerGameData[[#This Row],[2FGA]]</f>
        <v>0</v>
      </c>
      <c r="AC644" s="47">
        <f ca="1">PlayerGameData[[#This Row],[OFF REB]]+PlayerGameData[[#This Row],[DEF REB]]</f>
        <v>0</v>
      </c>
      <c r="AD644" s="8">
        <f t="shared" si="300"/>
        <v>27</v>
      </c>
      <c r="AE644" s="8" t="str">
        <f t="shared" ca="1" si="301"/>
        <v>,  - 0 1/0/1900</v>
      </c>
      <c r="AF644" s="8" t="str">
        <f t="shared" ca="1" si="320"/>
        <v/>
      </c>
      <c r="AG644" s="8" t="str">
        <f ca="1">IFERROR(IF(C644=0,"",IF(AND(VLOOKUP(PlayerGameData[[#This Row],[Opponent]],WYTeamInfo,2,FALSE)=Roster!$D$1,VLOOKUP(PlayerGameData[[#This Row],[Opponent]],WYTeamInfo,3,FALSE)=Roster!$D$2),"SR","")),"")</f>
        <v/>
      </c>
      <c r="AH644" s="8" t="str">
        <f>CONCATENATE(Roster!$D$1," ",Roster!$D$5)</f>
        <v>1A BB</v>
      </c>
      <c r="AI644" s="8" t="str">
        <f t="shared" ca="1" si="302"/>
        <v>Blank</v>
      </c>
      <c r="AJ644" s="8">
        <f ca="1">IFERROR(VLOOKUP(PlayerGameData[[#This Row],[School, Opponent,Game'#]],Table3[],2,FALSE),0)</f>
        <v>0</v>
      </c>
      <c r="AK644" s="8">
        <f ca="1">IF(PlayerGameData[[#This Row],[Visible]]=1,1,1000)</f>
        <v>1000</v>
      </c>
      <c r="AL644" s="8">
        <f ca="1">RANK(PlayerGameData[[#This Row],[TL PTS]],PlayerGameData[TL PTS],0)+PlayerGameData[[#This Row],[VisibleOrder]]</f>
        <v>1184</v>
      </c>
      <c r="AM644" s="8">
        <f ca="1">IF(COUNTIF(PlayerGameData[PointOrder],PlayerGameData[[#This Row],[PointOrder]])&gt;1,RANK(PlayerGameData[[#This Row],[FGA]],PlayerGameData[FGA],0)/100,0)+PlayerGameData[[#This Row],[PointOrder]]</f>
        <v>1186.1400000000001</v>
      </c>
      <c r="AN644" s="8">
        <f ca="1">RANK(PlayerGameData[[#This Row],[PointTieBreak]],PlayerGameData[PointTieBreak],1)</f>
        <v>625</v>
      </c>
      <c r="AO644" s="8">
        <f ca="1">RANK(PlayerGameData[[#This Row],[REB]],PlayerGameData[REB],0)+PlayerGameData[[#This Row],[VisibleOrder]]</f>
        <v>1191</v>
      </c>
      <c r="AP644" s="8">
        <f ca="1">IF(COUNTIF(PlayerGameData[REBOrder],PlayerGameData[[#This Row],[REBOrder]])&gt;1,PlayerGameData[[#This Row],[PointRank]]/100+PlayerGameData[[#This Row],[REBOrder]],PlayerGameData[[#This Row],[REBOrder]])</f>
        <v>1197.25</v>
      </c>
      <c r="AQ644" s="8">
        <f ca="1">RANK(PlayerGameData[[#This Row],[REBTieBreak]],PlayerGameData[REBTieBreak],1)</f>
        <v>625</v>
      </c>
      <c r="AR644" s="8">
        <f ca="1">RANK(PlayerGameData[[#This Row],[AST]],PlayerGameData[AST],0)+PlayerGameData[[#This Row],[VisibleOrder]]</f>
        <v>1157</v>
      </c>
      <c r="AS644" s="8">
        <f ca="1">IF(COUNTIF(PlayerGameData[ASTOrder],PlayerGameData[[#This Row],[ASTOrder]])&gt;1,PlayerGameData[[#This Row],[PointRank]]/100+PlayerGameData[[#This Row],[ASTOrder]],PlayerGameData[[#This Row],[ASTOrder]])</f>
        <v>1163.25</v>
      </c>
      <c r="AT644" s="8">
        <f ca="1">RANK(PlayerGameData[[#This Row],[ASTTieBreak]],PlayerGameData[ASTTieBreak],1)</f>
        <v>625</v>
      </c>
      <c r="AU644" s="8">
        <f ca="1">RANK(PlayerGameData[[#This Row],[STL]],PlayerGameData[STL],0)+PlayerGameData[[#This Row],[VisibleOrder]]</f>
        <v>1142</v>
      </c>
      <c r="AV644" s="8">
        <f ca="1">IF(COUNTIF(PlayerGameData[STLOrder],PlayerGameData[[#This Row],[STLOrder]])&gt;1,PlayerGameData[[#This Row],[PointRank]]/100+PlayerGameData[[#This Row],[STLOrder]],PlayerGameData[[#This Row],[STLOrder]])</f>
        <v>1148.25</v>
      </c>
      <c r="AW644" s="8">
        <f ca="1">RANK(PlayerGameData[[#This Row],[STLTieBreak]],PlayerGameData[STLTieBreak],1)</f>
        <v>625</v>
      </c>
      <c r="AX644" s="8">
        <f ca="1">RANK(PlayerGameData[[#This Row],[BLK]],PlayerGameData[BLK],0)+PlayerGameData[[#This Row],[VisibleOrder]]</f>
        <v>1031</v>
      </c>
      <c r="AY644" s="8">
        <f ca="1">IF(COUNTIF(PlayerGameData[BLKOrder],PlayerGameData[[#This Row],[BLKOrder]])&gt;1,PlayerGameData[[#This Row],[PointRank]]/100+PlayerGameData[[#This Row],[BLKOrder]],PlayerGameData[[#This Row],[BLKOrder]])</f>
        <v>1037.25</v>
      </c>
      <c r="AZ644" s="8">
        <f ca="1">RANK(PlayerGameData[[#This Row],[BLKTieBreak]],PlayerGameData[BLKTieBreak],1)</f>
        <v>625</v>
      </c>
      <c r="BA644" s="11">
        <f ca="1">IFERROR(IF(PlayerGameData[[#This Row],[FGA]]&gt;$AA$5,PlayerGameData[[#This Row],[FG%*]],PlayerGameData[[#This Row],[FG%*]]*-1),-2)</f>
        <v>-2</v>
      </c>
      <c r="BB644" s="8">
        <f ca="1">RANK(PlayerGameData[[#This Row],[EligFG]],PlayerGameData[EligFG],0)+PlayerGameData[[#This Row],[VisibleOrder]]</f>
        <v>1214</v>
      </c>
      <c r="BC644" s="8">
        <f ca="1">IF(COUNTIF(PlayerGameData[EligFGOrder],PlayerGameData[[#This Row],[EligFGOrder]])&gt;1,PlayerGameData[[#This Row],[PointRank]]/100+PlayerGameData[[#This Row],[EligFGOrder]],PlayerGameData[[#This Row],[EligFGOrder]])</f>
        <v>1220.25</v>
      </c>
      <c r="BD644" s="8">
        <f ca="1">RANK(PlayerGameData[[#This Row],[EligFGTieBreak]],PlayerGameData[EligFGTieBreak],1)</f>
        <v>625</v>
      </c>
      <c r="BE644" s="8" t="str">
        <f>Roster!$D$3</f>
        <v>East</v>
      </c>
      <c r="BF644" s="8" t="str">
        <f>Roster!$D$2</f>
        <v>Northeast</v>
      </c>
      <c r="BG644" s="8" t="str">
        <f>Roster!$D$4</f>
        <v>North</v>
      </c>
      <c r="BH644" s="197">
        <f ca="1">IFERROR(VLOOKUP(CONCATENATE(PlayerGameData[[#This Row],[Opponent]]," ",MONTH(PlayerGameData[[#This Row],[Date]]),"/",DAY(PlayerGameData[[#This Row],[Date]]),"/",YEAR(PlayerGameData[[#This Row],[Date]])),Table35[],2,FALSE),0)</f>
        <v>0</v>
      </c>
      <c r="BI644" s="197">
        <f ca="1">IF(PlayerGameData[[#This Row],[Visible]]=1,1,1000)</f>
        <v>1000</v>
      </c>
      <c r="BJ644" s="197" t="e">
        <f ca="1">_xlfn.MAXIFS(TeamGameData[Win],TeamGameData[School, Opponent,Game'#],PlayerGameData[[#This Row],[School, Opponent,Game'#]])</f>
        <v>#NAME?</v>
      </c>
      <c r="BK644" s="197" t="e">
        <f ca="1">_xlfn.MAXIFS(TeamGameData[Loss],TeamGameData[School, Opponent,Game'#],PlayerGameData[[#This Row],[School, Opponent,Game'#]])</f>
        <v>#NAME?</v>
      </c>
    </row>
    <row r="645" spans="1:63" x14ac:dyDescent="0.25">
      <c r="A645" s="8" t="str">
        <f t="shared" ca="1" si="303"/>
        <v xml:space="preserve">, </v>
      </c>
      <c r="B645" s="8" t="str">
        <f>Roster!$B$1</f>
        <v>Upton</v>
      </c>
      <c r="C645" s="8">
        <f t="shared" ca="1" si="291"/>
        <v>0</v>
      </c>
      <c r="D645" s="10">
        <f t="shared" ca="1" si="292"/>
        <v>0</v>
      </c>
      <c r="E645" s="8">
        <f t="shared" ca="1" si="293"/>
        <v>0</v>
      </c>
      <c r="F645" s="8">
        <f t="shared" ca="1" si="294"/>
        <v>0</v>
      </c>
      <c r="G645" s="8">
        <f t="shared" ca="1" si="295"/>
        <v>0</v>
      </c>
      <c r="H645" s="8">
        <f t="shared" ca="1" si="296"/>
        <v>0</v>
      </c>
      <c r="I645" s="8">
        <f t="shared" ca="1" si="297"/>
        <v>0</v>
      </c>
      <c r="J645" s="8">
        <f t="shared" ca="1" si="298"/>
        <v>0</v>
      </c>
      <c r="K645" s="8">
        <f t="shared" ca="1" si="299"/>
        <v>0</v>
      </c>
      <c r="L645" s="8">
        <f t="shared" ca="1" si="304"/>
        <v>0</v>
      </c>
      <c r="M645" s="8">
        <f t="shared" ca="1" si="305"/>
        <v>0</v>
      </c>
      <c r="N645" s="8">
        <f t="shared" ca="1" si="306"/>
        <v>0</v>
      </c>
      <c r="O645" s="8">
        <f t="shared" ca="1" si="307"/>
        <v>0</v>
      </c>
      <c r="P645" s="8">
        <f t="shared" ca="1" si="308"/>
        <v>0</v>
      </c>
      <c r="Q645" s="8">
        <f t="shared" ca="1" si="309"/>
        <v>0</v>
      </c>
      <c r="R645" s="8">
        <f t="shared" ca="1" si="310"/>
        <v>0</v>
      </c>
      <c r="S645" s="8">
        <f t="shared" ca="1" si="311"/>
        <v>0</v>
      </c>
      <c r="T645" s="8">
        <f t="shared" ca="1" si="312"/>
        <v>0</v>
      </c>
      <c r="U645" s="8">
        <f t="shared" ca="1" si="313"/>
        <v>0</v>
      </c>
      <c r="V645" s="8">
        <f t="shared" ca="1" si="314"/>
        <v>0</v>
      </c>
      <c r="W645" s="11" t="str">
        <f t="shared" ca="1" si="315"/>
        <v/>
      </c>
      <c r="X645" s="11" t="str">
        <f t="shared" ca="1" si="316"/>
        <v/>
      </c>
      <c r="Y645" s="11" t="str">
        <f t="shared" ca="1" si="317"/>
        <v/>
      </c>
      <c r="Z645" s="11" t="str">
        <f t="shared" ca="1" si="318"/>
        <v/>
      </c>
      <c r="AA645" s="11" t="str">
        <f t="shared" ca="1" si="319"/>
        <v/>
      </c>
      <c r="AB645" s="47">
        <f ca="1">PlayerGameData[[#This Row],[3FGA]]+PlayerGameData[[#This Row],[2FGA]]</f>
        <v>0</v>
      </c>
      <c r="AC645" s="47">
        <f ca="1">PlayerGameData[[#This Row],[OFF REB]]+PlayerGameData[[#This Row],[DEF REB]]</f>
        <v>0</v>
      </c>
      <c r="AD645" s="8">
        <f t="shared" si="300"/>
        <v>27</v>
      </c>
      <c r="AE645" s="8" t="str">
        <f t="shared" ca="1" si="301"/>
        <v>,  - 0 1/0/1900</v>
      </c>
      <c r="AF645" s="8" t="str">
        <f t="shared" ca="1" si="320"/>
        <v/>
      </c>
      <c r="AG645" s="8" t="str">
        <f ca="1">IFERROR(IF(C645=0,"",IF(AND(VLOOKUP(PlayerGameData[[#This Row],[Opponent]],WYTeamInfo,2,FALSE)=Roster!$D$1,VLOOKUP(PlayerGameData[[#This Row],[Opponent]],WYTeamInfo,3,FALSE)=Roster!$D$2),"SR","")),"")</f>
        <v/>
      </c>
      <c r="AH645" s="8" t="str">
        <f>CONCATENATE(Roster!$D$1," ",Roster!$D$5)</f>
        <v>1A BB</v>
      </c>
      <c r="AI645" s="8" t="str">
        <f t="shared" ca="1" si="302"/>
        <v>Blank</v>
      </c>
      <c r="AJ645" s="8">
        <f ca="1">IFERROR(VLOOKUP(PlayerGameData[[#This Row],[School, Opponent,Game'#]],Table3[],2,FALSE),0)</f>
        <v>0</v>
      </c>
      <c r="AK645" s="8">
        <f ca="1">IF(PlayerGameData[[#This Row],[Visible]]=1,1,1000)</f>
        <v>1000</v>
      </c>
      <c r="AL645" s="8">
        <f ca="1">RANK(PlayerGameData[[#This Row],[TL PTS]],PlayerGameData[TL PTS],0)+PlayerGameData[[#This Row],[VisibleOrder]]</f>
        <v>1184</v>
      </c>
      <c r="AM645" s="8">
        <f ca="1">IF(COUNTIF(PlayerGameData[PointOrder],PlayerGameData[[#This Row],[PointOrder]])&gt;1,RANK(PlayerGameData[[#This Row],[FGA]],PlayerGameData[FGA],0)/100,0)+PlayerGameData[[#This Row],[PointOrder]]</f>
        <v>1186.1400000000001</v>
      </c>
      <c r="AN645" s="8">
        <f ca="1">RANK(PlayerGameData[[#This Row],[PointTieBreak]],PlayerGameData[PointTieBreak],1)</f>
        <v>625</v>
      </c>
      <c r="AO645" s="8">
        <f ca="1">RANK(PlayerGameData[[#This Row],[REB]],PlayerGameData[REB],0)+PlayerGameData[[#This Row],[VisibleOrder]]</f>
        <v>1191</v>
      </c>
      <c r="AP645" s="8">
        <f ca="1">IF(COUNTIF(PlayerGameData[REBOrder],PlayerGameData[[#This Row],[REBOrder]])&gt;1,PlayerGameData[[#This Row],[PointRank]]/100+PlayerGameData[[#This Row],[REBOrder]],PlayerGameData[[#This Row],[REBOrder]])</f>
        <v>1197.25</v>
      </c>
      <c r="AQ645" s="8">
        <f ca="1">RANK(PlayerGameData[[#This Row],[REBTieBreak]],PlayerGameData[REBTieBreak],1)</f>
        <v>625</v>
      </c>
      <c r="AR645" s="8">
        <f ca="1">RANK(PlayerGameData[[#This Row],[AST]],PlayerGameData[AST],0)+PlayerGameData[[#This Row],[VisibleOrder]]</f>
        <v>1157</v>
      </c>
      <c r="AS645" s="8">
        <f ca="1">IF(COUNTIF(PlayerGameData[ASTOrder],PlayerGameData[[#This Row],[ASTOrder]])&gt;1,PlayerGameData[[#This Row],[PointRank]]/100+PlayerGameData[[#This Row],[ASTOrder]],PlayerGameData[[#This Row],[ASTOrder]])</f>
        <v>1163.25</v>
      </c>
      <c r="AT645" s="8">
        <f ca="1">RANK(PlayerGameData[[#This Row],[ASTTieBreak]],PlayerGameData[ASTTieBreak],1)</f>
        <v>625</v>
      </c>
      <c r="AU645" s="8">
        <f ca="1">RANK(PlayerGameData[[#This Row],[STL]],PlayerGameData[STL],0)+PlayerGameData[[#This Row],[VisibleOrder]]</f>
        <v>1142</v>
      </c>
      <c r="AV645" s="8">
        <f ca="1">IF(COUNTIF(PlayerGameData[STLOrder],PlayerGameData[[#This Row],[STLOrder]])&gt;1,PlayerGameData[[#This Row],[PointRank]]/100+PlayerGameData[[#This Row],[STLOrder]],PlayerGameData[[#This Row],[STLOrder]])</f>
        <v>1148.25</v>
      </c>
      <c r="AW645" s="8">
        <f ca="1">RANK(PlayerGameData[[#This Row],[STLTieBreak]],PlayerGameData[STLTieBreak],1)</f>
        <v>625</v>
      </c>
      <c r="AX645" s="8">
        <f ca="1">RANK(PlayerGameData[[#This Row],[BLK]],PlayerGameData[BLK],0)+PlayerGameData[[#This Row],[VisibleOrder]]</f>
        <v>1031</v>
      </c>
      <c r="AY645" s="8">
        <f ca="1">IF(COUNTIF(PlayerGameData[BLKOrder],PlayerGameData[[#This Row],[BLKOrder]])&gt;1,PlayerGameData[[#This Row],[PointRank]]/100+PlayerGameData[[#This Row],[BLKOrder]],PlayerGameData[[#This Row],[BLKOrder]])</f>
        <v>1037.25</v>
      </c>
      <c r="AZ645" s="8">
        <f ca="1">RANK(PlayerGameData[[#This Row],[BLKTieBreak]],PlayerGameData[BLKTieBreak],1)</f>
        <v>625</v>
      </c>
      <c r="BA645" s="11">
        <f ca="1">IFERROR(IF(PlayerGameData[[#This Row],[FGA]]&gt;$AA$5,PlayerGameData[[#This Row],[FG%*]],PlayerGameData[[#This Row],[FG%*]]*-1),-2)</f>
        <v>-2</v>
      </c>
      <c r="BB645" s="8">
        <f ca="1">RANK(PlayerGameData[[#This Row],[EligFG]],PlayerGameData[EligFG],0)+PlayerGameData[[#This Row],[VisibleOrder]]</f>
        <v>1214</v>
      </c>
      <c r="BC645" s="8">
        <f ca="1">IF(COUNTIF(PlayerGameData[EligFGOrder],PlayerGameData[[#This Row],[EligFGOrder]])&gt;1,PlayerGameData[[#This Row],[PointRank]]/100+PlayerGameData[[#This Row],[EligFGOrder]],PlayerGameData[[#This Row],[EligFGOrder]])</f>
        <v>1220.25</v>
      </c>
      <c r="BD645" s="8">
        <f ca="1">RANK(PlayerGameData[[#This Row],[EligFGTieBreak]],PlayerGameData[EligFGTieBreak],1)</f>
        <v>625</v>
      </c>
      <c r="BE645" s="8" t="str">
        <f>Roster!$D$3</f>
        <v>East</v>
      </c>
      <c r="BF645" s="8" t="str">
        <f>Roster!$D$2</f>
        <v>Northeast</v>
      </c>
      <c r="BG645" s="8" t="str">
        <f>Roster!$D$4</f>
        <v>North</v>
      </c>
      <c r="BH645" s="197">
        <f ca="1">IFERROR(VLOOKUP(CONCATENATE(PlayerGameData[[#This Row],[Opponent]]," ",MONTH(PlayerGameData[[#This Row],[Date]]),"/",DAY(PlayerGameData[[#This Row],[Date]]),"/",YEAR(PlayerGameData[[#This Row],[Date]])),Table35[],2,FALSE),0)</f>
        <v>0</v>
      </c>
      <c r="BI645" s="197">
        <f ca="1">IF(PlayerGameData[[#This Row],[Visible]]=1,1,1000)</f>
        <v>1000</v>
      </c>
      <c r="BJ645" s="197" t="e">
        <f ca="1">_xlfn.MAXIFS(TeamGameData[Win],TeamGameData[School, Opponent,Game'#],PlayerGameData[[#This Row],[School, Opponent,Game'#]])</f>
        <v>#NAME?</v>
      </c>
      <c r="BK645" s="197" t="e">
        <f ca="1">_xlfn.MAXIFS(TeamGameData[Loss],TeamGameData[School, Opponent,Game'#],PlayerGameData[[#This Row],[School, Opponent,Game'#]])</f>
        <v>#NAME?</v>
      </c>
    </row>
    <row r="646" spans="1:63" x14ac:dyDescent="0.25">
      <c r="A646" s="8" t="str">
        <f t="shared" ca="1" si="303"/>
        <v xml:space="preserve">, </v>
      </c>
      <c r="B646" s="8" t="str">
        <f>Roster!$B$1</f>
        <v>Upton</v>
      </c>
      <c r="C646" s="8">
        <f t="shared" ca="1" si="291"/>
        <v>0</v>
      </c>
      <c r="D646" s="10">
        <f t="shared" ca="1" si="292"/>
        <v>0</v>
      </c>
      <c r="E646" s="8">
        <f t="shared" ca="1" si="293"/>
        <v>0</v>
      </c>
      <c r="F646" s="8">
        <f t="shared" ca="1" si="294"/>
        <v>0</v>
      </c>
      <c r="G646" s="8">
        <f t="shared" ca="1" si="295"/>
        <v>0</v>
      </c>
      <c r="H646" s="8">
        <f t="shared" ca="1" si="296"/>
        <v>0</v>
      </c>
      <c r="I646" s="8">
        <f t="shared" ca="1" si="297"/>
        <v>0</v>
      </c>
      <c r="J646" s="8">
        <f t="shared" ca="1" si="298"/>
        <v>0</v>
      </c>
      <c r="K646" s="8">
        <f t="shared" ca="1" si="299"/>
        <v>0</v>
      </c>
      <c r="L646" s="8">
        <f t="shared" ca="1" si="304"/>
        <v>0</v>
      </c>
      <c r="M646" s="8">
        <f t="shared" ca="1" si="305"/>
        <v>0</v>
      </c>
      <c r="N646" s="8">
        <f t="shared" ca="1" si="306"/>
        <v>0</v>
      </c>
      <c r="O646" s="8">
        <f t="shared" ca="1" si="307"/>
        <v>0</v>
      </c>
      <c r="P646" s="8">
        <f t="shared" ca="1" si="308"/>
        <v>0</v>
      </c>
      <c r="Q646" s="8">
        <f t="shared" ca="1" si="309"/>
        <v>0</v>
      </c>
      <c r="R646" s="8">
        <f t="shared" ca="1" si="310"/>
        <v>0</v>
      </c>
      <c r="S646" s="8">
        <f t="shared" ca="1" si="311"/>
        <v>0</v>
      </c>
      <c r="T646" s="8">
        <f t="shared" ca="1" si="312"/>
        <v>0</v>
      </c>
      <c r="U646" s="8">
        <f t="shared" ca="1" si="313"/>
        <v>0</v>
      </c>
      <c r="V646" s="8">
        <f t="shared" ca="1" si="314"/>
        <v>0</v>
      </c>
      <c r="W646" s="11" t="str">
        <f t="shared" ca="1" si="315"/>
        <v/>
      </c>
      <c r="X646" s="11" t="str">
        <f t="shared" ca="1" si="316"/>
        <v/>
      </c>
      <c r="Y646" s="11" t="str">
        <f t="shared" ca="1" si="317"/>
        <v/>
      </c>
      <c r="Z646" s="11" t="str">
        <f t="shared" ca="1" si="318"/>
        <v/>
      </c>
      <c r="AA646" s="11" t="str">
        <f t="shared" ca="1" si="319"/>
        <v/>
      </c>
      <c r="AB646" s="47">
        <f ca="1">PlayerGameData[[#This Row],[3FGA]]+PlayerGameData[[#This Row],[2FGA]]</f>
        <v>0</v>
      </c>
      <c r="AC646" s="47">
        <f ca="1">PlayerGameData[[#This Row],[OFF REB]]+PlayerGameData[[#This Row],[DEF REB]]</f>
        <v>0</v>
      </c>
      <c r="AD646" s="8">
        <f t="shared" si="300"/>
        <v>27</v>
      </c>
      <c r="AE646" s="8" t="str">
        <f t="shared" ca="1" si="301"/>
        <v>,  - 0 1/0/1900</v>
      </c>
      <c r="AF646" s="8" t="str">
        <f t="shared" ca="1" si="320"/>
        <v/>
      </c>
      <c r="AG646" s="8" t="str">
        <f ca="1">IFERROR(IF(C646=0,"",IF(AND(VLOOKUP(PlayerGameData[[#This Row],[Opponent]],WYTeamInfo,2,FALSE)=Roster!$D$1,VLOOKUP(PlayerGameData[[#This Row],[Opponent]],WYTeamInfo,3,FALSE)=Roster!$D$2),"SR","")),"")</f>
        <v/>
      </c>
      <c r="AH646" s="8" t="str">
        <f>CONCATENATE(Roster!$D$1," ",Roster!$D$5)</f>
        <v>1A BB</v>
      </c>
      <c r="AI646" s="8" t="str">
        <f t="shared" ca="1" si="302"/>
        <v>Blank</v>
      </c>
      <c r="AJ646" s="8">
        <f ca="1">IFERROR(VLOOKUP(PlayerGameData[[#This Row],[School, Opponent,Game'#]],Table3[],2,FALSE),0)</f>
        <v>0</v>
      </c>
      <c r="AK646" s="8">
        <f ca="1">IF(PlayerGameData[[#This Row],[Visible]]=1,1,1000)</f>
        <v>1000</v>
      </c>
      <c r="AL646" s="8">
        <f ca="1">RANK(PlayerGameData[[#This Row],[TL PTS]],PlayerGameData[TL PTS],0)+PlayerGameData[[#This Row],[VisibleOrder]]</f>
        <v>1184</v>
      </c>
      <c r="AM646" s="8">
        <f ca="1">IF(COUNTIF(PlayerGameData[PointOrder],PlayerGameData[[#This Row],[PointOrder]])&gt;1,RANK(PlayerGameData[[#This Row],[FGA]],PlayerGameData[FGA],0)/100,0)+PlayerGameData[[#This Row],[PointOrder]]</f>
        <v>1186.1400000000001</v>
      </c>
      <c r="AN646" s="8">
        <f ca="1">RANK(PlayerGameData[[#This Row],[PointTieBreak]],PlayerGameData[PointTieBreak],1)</f>
        <v>625</v>
      </c>
      <c r="AO646" s="8">
        <f ca="1">RANK(PlayerGameData[[#This Row],[REB]],PlayerGameData[REB],0)+PlayerGameData[[#This Row],[VisibleOrder]]</f>
        <v>1191</v>
      </c>
      <c r="AP646" s="8">
        <f ca="1">IF(COUNTIF(PlayerGameData[REBOrder],PlayerGameData[[#This Row],[REBOrder]])&gt;1,PlayerGameData[[#This Row],[PointRank]]/100+PlayerGameData[[#This Row],[REBOrder]],PlayerGameData[[#This Row],[REBOrder]])</f>
        <v>1197.25</v>
      </c>
      <c r="AQ646" s="8">
        <f ca="1">RANK(PlayerGameData[[#This Row],[REBTieBreak]],PlayerGameData[REBTieBreak],1)</f>
        <v>625</v>
      </c>
      <c r="AR646" s="8">
        <f ca="1">RANK(PlayerGameData[[#This Row],[AST]],PlayerGameData[AST],0)+PlayerGameData[[#This Row],[VisibleOrder]]</f>
        <v>1157</v>
      </c>
      <c r="AS646" s="8">
        <f ca="1">IF(COUNTIF(PlayerGameData[ASTOrder],PlayerGameData[[#This Row],[ASTOrder]])&gt;1,PlayerGameData[[#This Row],[PointRank]]/100+PlayerGameData[[#This Row],[ASTOrder]],PlayerGameData[[#This Row],[ASTOrder]])</f>
        <v>1163.25</v>
      </c>
      <c r="AT646" s="8">
        <f ca="1">RANK(PlayerGameData[[#This Row],[ASTTieBreak]],PlayerGameData[ASTTieBreak],1)</f>
        <v>625</v>
      </c>
      <c r="AU646" s="8">
        <f ca="1">RANK(PlayerGameData[[#This Row],[STL]],PlayerGameData[STL],0)+PlayerGameData[[#This Row],[VisibleOrder]]</f>
        <v>1142</v>
      </c>
      <c r="AV646" s="8">
        <f ca="1">IF(COUNTIF(PlayerGameData[STLOrder],PlayerGameData[[#This Row],[STLOrder]])&gt;1,PlayerGameData[[#This Row],[PointRank]]/100+PlayerGameData[[#This Row],[STLOrder]],PlayerGameData[[#This Row],[STLOrder]])</f>
        <v>1148.25</v>
      </c>
      <c r="AW646" s="8">
        <f ca="1">RANK(PlayerGameData[[#This Row],[STLTieBreak]],PlayerGameData[STLTieBreak],1)</f>
        <v>625</v>
      </c>
      <c r="AX646" s="8">
        <f ca="1">RANK(PlayerGameData[[#This Row],[BLK]],PlayerGameData[BLK],0)+PlayerGameData[[#This Row],[VisibleOrder]]</f>
        <v>1031</v>
      </c>
      <c r="AY646" s="8">
        <f ca="1">IF(COUNTIF(PlayerGameData[BLKOrder],PlayerGameData[[#This Row],[BLKOrder]])&gt;1,PlayerGameData[[#This Row],[PointRank]]/100+PlayerGameData[[#This Row],[BLKOrder]],PlayerGameData[[#This Row],[BLKOrder]])</f>
        <v>1037.25</v>
      </c>
      <c r="AZ646" s="8">
        <f ca="1">RANK(PlayerGameData[[#This Row],[BLKTieBreak]],PlayerGameData[BLKTieBreak],1)</f>
        <v>625</v>
      </c>
      <c r="BA646" s="11">
        <f ca="1">IFERROR(IF(PlayerGameData[[#This Row],[FGA]]&gt;$AA$5,PlayerGameData[[#This Row],[FG%*]],PlayerGameData[[#This Row],[FG%*]]*-1),-2)</f>
        <v>-2</v>
      </c>
      <c r="BB646" s="8">
        <f ca="1">RANK(PlayerGameData[[#This Row],[EligFG]],PlayerGameData[EligFG],0)+PlayerGameData[[#This Row],[VisibleOrder]]</f>
        <v>1214</v>
      </c>
      <c r="BC646" s="8">
        <f ca="1">IF(COUNTIF(PlayerGameData[EligFGOrder],PlayerGameData[[#This Row],[EligFGOrder]])&gt;1,PlayerGameData[[#This Row],[PointRank]]/100+PlayerGameData[[#This Row],[EligFGOrder]],PlayerGameData[[#This Row],[EligFGOrder]])</f>
        <v>1220.25</v>
      </c>
      <c r="BD646" s="8">
        <f ca="1">RANK(PlayerGameData[[#This Row],[EligFGTieBreak]],PlayerGameData[EligFGTieBreak],1)</f>
        <v>625</v>
      </c>
      <c r="BE646" s="8" t="str">
        <f>Roster!$D$3</f>
        <v>East</v>
      </c>
      <c r="BF646" s="8" t="str">
        <f>Roster!$D$2</f>
        <v>Northeast</v>
      </c>
      <c r="BG646" s="8" t="str">
        <f>Roster!$D$4</f>
        <v>North</v>
      </c>
      <c r="BH646" s="197">
        <f ca="1">IFERROR(VLOOKUP(CONCATENATE(PlayerGameData[[#This Row],[Opponent]]," ",MONTH(PlayerGameData[[#This Row],[Date]]),"/",DAY(PlayerGameData[[#This Row],[Date]]),"/",YEAR(PlayerGameData[[#This Row],[Date]])),Table35[],2,FALSE),0)</f>
        <v>0</v>
      </c>
      <c r="BI646" s="197">
        <f ca="1">IF(PlayerGameData[[#This Row],[Visible]]=1,1,1000)</f>
        <v>1000</v>
      </c>
      <c r="BJ646" s="197" t="e">
        <f ca="1">_xlfn.MAXIFS(TeamGameData[Win],TeamGameData[School, Opponent,Game'#],PlayerGameData[[#This Row],[School, Opponent,Game'#]])</f>
        <v>#NAME?</v>
      </c>
      <c r="BK646" s="197" t="e">
        <f ca="1">_xlfn.MAXIFS(TeamGameData[Loss],TeamGameData[School, Opponent,Game'#],PlayerGameData[[#This Row],[School, Opponent,Game'#]])</f>
        <v>#NAME?</v>
      </c>
    </row>
    <row r="647" spans="1:63" x14ac:dyDescent="0.25">
      <c r="A647" s="8" t="str">
        <f t="shared" ca="1" si="303"/>
        <v xml:space="preserve">, </v>
      </c>
      <c r="B647" s="8" t="str">
        <f>Roster!$B$1</f>
        <v>Upton</v>
      </c>
      <c r="C647" s="8">
        <f t="shared" ref="C647:C710" ca="1" si="321">INDIRECT("'game1 ("&amp;$AD647&amp;")'!$b$3")</f>
        <v>0</v>
      </c>
      <c r="D647" s="10">
        <f t="shared" ref="D647:D710" ca="1" si="322">INDIRECT("'game1 ("&amp;$AD647&amp;")'!$m$4")</f>
        <v>0</v>
      </c>
      <c r="E647" s="8">
        <f t="shared" ref="E647:E710" ca="1" si="323">INDIRECT("'game1 ("&amp;$AD647&amp;")'!"&amp;ADDRESS(ROW(A$7)+MOD(ROW(A647)-7,24),COLUMN(D647)))</f>
        <v>0</v>
      </c>
      <c r="F647" s="8">
        <f t="shared" ref="F647:F710" ca="1" si="324">IF(INDIRECT("'game1 ("&amp;$AD647&amp;")'!"&amp;ADDRESS(ROW(B$7)+MOD(ROW(B647)-7,24),COLUMN(C647)))="s",1,0)</f>
        <v>0</v>
      </c>
      <c r="G647" s="8">
        <f t="shared" ref="G647:G710" ca="1" si="325">INDIRECT("'game1 ("&amp;$AD647&amp;")'!"&amp;ADDRESS(ROW(B$7)+MOD(ROW(B647)-7,24),COLUMN(E647)))</f>
        <v>0</v>
      </c>
      <c r="H647" s="8">
        <f t="shared" ref="H647:H710" ca="1" si="326">INDIRECT("'game1 ("&amp;$AD647&amp;")'!"&amp;ADDRESS(ROW(B$7)+MOD(ROW(B647)-7,24),COLUMN(F647)))</f>
        <v>0</v>
      </c>
      <c r="I647" s="8">
        <f t="shared" ref="I647:I710" ca="1" si="327">INDIRECT("'game1 ("&amp;$AD647&amp;")'!"&amp;ADDRESS(ROW(C$7)+MOD(ROW(C647)-7,24),COLUMN(G647)))</f>
        <v>0</v>
      </c>
      <c r="J647" s="8">
        <f t="shared" ref="J647:J710" ca="1" si="328">INDIRECT("'game1 ("&amp;$AD647&amp;")'!"&amp;ADDRESS(ROW(D$7)+MOD(ROW(D647)-7,24),COLUMN(H647)))</f>
        <v>0</v>
      </c>
      <c r="K647" s="8">
        <f t="shared" ref="K647:K710" ca="1" si="329">INDIRECT("'game1 ("&amp;$AD647&amp;")'!"&amp;ADDRESS(ROW(E$7)+MOD(ROW(E647)-7,24),COLUMN(I647)))</f>
        <v>0</v>
      </c>
      <c r="L647" s="8">
        <f t="shared" ca="1" si="304"/>
        <v>0</v>
      </c>
      <c r="M647" s="8">
        <f t="shared" ca="1" si="305"/>
        <v>0</v>
      </c>
      <c r="N647" s="8">
        <f t="shared" ca="1" si="306"/>
        <v>0</v>
      </c>
      <c r="O647" s="8">
        <f t="shared" ca="1" si="307"/>
        <v>0</v>
      </c>
      <c r="P647" s="8">
        <f t="shared" ca="1" si="308"/>
        <v>0</v>
      </c>
      <c r="Q647" s="8">
        <f t="shared" ca="1" si="309"/>
        <v>0</v>
      </c>
      <c r="R647" s="8">
        <f t="shared" ca="1" si="310"/>
        <v>0</v>
      </c>
      <c r="S647" s="8">
        <f t="shared" ca="1" si="311"/>
        <v>0</v>
      </c>
      <c r="T647" s="8">
        <f t="shared" ca="1" si="312"/>
        <v>0</v>
      </c>
      <c r="U647" s="8">
        <f t="shared" ca="1" si="313"/>
        <v>0</v>
      </c>
      <c r="V647" s="8">
        <f t="shared" ca="1" si="314"/>
        <v>0</v>
      </c>
      <c r="W647" s="11" t="str">
        <f t="shared" ca="1" si="315"/>
        <v/>
      </c>
      <c r="X647" s="11" t="str">
        <f t="shared" ca="1" si="316"/>
        <v/>
      </c>
      <c r="Y647" s="11" t="str">
        <f t="shared" ca="1" si="317"/>
        <v/>
      </c>
      <c r="Z647" s="11" t="str">
        <f t="shared" ca="1" si="318"/>
        <v/>
      </c>
      <c r="AA647" s="11" t="str">
        <f t="shared" ca="1" si="319"/>
        <v/>
      </c>
      <c r="AB647" s="47">
        <f ca="1">PlayerGameData[[#This Row],[3FGA]]+PlayerGameData[[#This Row],[2FGA]]</f>
        <v>0</v>
      </c>
      <c r="AC647" s="47">
        <f ca="1">PlayerGameData[[#This Row],[OFF REB]]+PlayerGameData[[#This Row],[DEF REB]]</f>
        <v>0</v>
      </c>
      <c r="AD647" s="8">
        <f t="shared" ref="AD647:AD710" si="330">INT((ROW(A647)-7)/24)+1</f>
        <v>27</v>
      </c>
      <c r="AE647" s="8" t="str">
        <f t="shared" ref="AE647:AE710" ca="1" si="331">CONCATENATE(A647," - ",C647," ",MONTH(D647),"/",DAY(D647),"/",YEAR(D647))</f>
        <v>,  - 0 1/0/1900</v>
      </c>
      <c r="AF647" s="8" t="str">
        <f t="shared" ca="1" si="320"/>
        <v/>
      </c>
      <c r="AG647" s="8" t="str">
        <f ca="1">IFERROR(IF(C647=0,"",IF(AND(VLOOKUP(PlayerGameData[[#This Row],[Opponent]],WYTeamInfo,2,FALSE)=Roster!$D$1,VLOOKUP(PlayerGameData[[#This Row],[Opponent]],WYTeamInfo,3,FALSE)=Roster!$D$2),"SR","")),"")</f>
        <v/>
      </c>
      <c r="AH647" s="8" t="str">
        <f>CONCATENATE(Roster!$D$1," ",Roster!$D$5)</f>
        <v>1A BB</v>
      </c>
      <c r="AI647" s="8" t="str">
        <f t="shared" ref="AI647:AI710" ca="1" si="332">IF($C647&lt;&gt;0,CONCATENATE($B647," - ",$C647," ",MONTH($D647),"/",DAY($D647),"/",YEAR($D647)),"Blank")</f>
        <v>Blank</v>
      </c>
      <c r="AJ647" s="8">
        <f ca="1">IFERROR(VLOOKUP(PlayerGameData[[#This Row],[School, Opponent,Game'#]],Table3[],2,FALSE),0)</f>
        <v>0</v>
      </c>
      <c r="AK647" s="8">
        <f ca="1">IF(PlayerGameData[[#This Row],[Visible]]=1,1,1000)</f>
        <v>1000</v>
      </c>
      <c r="AL647" s="8">
        <f ca="1">RANK(PlayerGameData[[#This Row],[TL PTS]],PlayerGameData[TL PTS],0)+PlayerGameData[[#This Row],[VisibleOrder]]</f>
        <v>1184</v>
      </c>
      <c r="AM647" s="8">
        <f ca="1">IF(COUNTIF(PlayerGameData[PointOrder],PlayerGameData[[#This Row],[PointOrder]])&gt;1,RANK(PlayerGameData[[#This Row],[FGA]],PlayerGameData[FGA],0)/100,0)+PlayerGameData[[#This Row],[PointOrder]]</f>
        <v>1186.1400000000001</v>
      </c>
      <c r="AN647" s="8">
        <f ca="1">RANK(PlayerGameData[[#This Row],[PointTieBreak]],PlayerGameData[PointTieBreak],1)</f>
        <v>625</v>
      </c>
      <c r="AO647" s="8">
        <f ca="1">RANK(PlayerGameData[[#This Row],[REB]],PlayerGameData[REB],0)+PlayerGameData[[#This Row],[VisibleOrder]]</f>
        <v>1191</v>
      </c>
      <c r="AP647" s="8">
        <f ca="1">IF(COUNTIF(PlayerGameData[REBOrder],PlayerGameData[[#This Row],[REBOrder]])&gt;1,PlayerGameData[[#This Row],[PointRank]]/100+PlayerGameData[[#This Row],[REBOrder]],PlayerGameData[[#This Row],[REBOrder]])</f>
        <v>1197.25</v>
      </c>
      <c r="AQ647" s="8">
        <f ca="1">RANK(PlayerGameData[[#This Row],[REBTieBreak]],PlayerGameData[REBTieBreak],1)</f>
        <v>625</v>
      </c>
      <c r="AR647" s="8">
        <f ca="1">RANK(PlayerGameData[[#This Row],[AST]],PlayerGameData[AST],0)+PlayerGameData[[#This Row],[VisibleOrder]]</f>
        <v>1157</v>
      </c>
      <c r="AS647" s="8">
        <f ca="1">IF(COUNTIF(PlayerGameData[ASTOrder],PlayerGameData[[#This Row],[ASTOrder]])&gt;1,PlayerGameData[[#This Row],[PointRank]]/100+PlayerGameData[[#This Row],[ASTOrder]],PlayerGameData[[#This Row],[ASTOrder]])</f>
        <v>1163.25</v>
      </c>
      <c r="AT647" s="8">
        <f ca="1">RANK(PlayerGameData[[#This Row],[ASTTieBreak]],PlayerGameData[ASTTieBreak],1)</f>
        <v>625</v>
      </c>
      <c r="AU647" s="8">
        <f ca="1">RANK(PlayerGameData[[#This Row],[STL]],PlayerGameData[STL],0)+PlayerGameData[[#This Row],[VisibleOrder]]</f>
        <v>1142</v>
      </c>
      <c r="AV647" s="8">
        <f ca="1">IF(COUNTIF(PlayerGameData[STLOrder],PlayerGameData[[#This Row],[STLOrder]])&gt;1,PlayerGameData[[#This Row],[PointRank]]/100+PlayerGameData[[#This Row],[STLOrder]],PlayerGameData[[#This Row],[STLOrder]])</f>
        <v>1148.25</v>
      </c>
      <c r="AW647" s="8">
        <f ca="1">RANK(PlayerGameData[[#This Row],[STLTieBreak]],PlayerGameData[STLTieBreak],1)</f>
        <v>625</v>
      </c>
      <c r="AX647" s="8">
        <f ca="1">RANK(PlayerGameData[[#This Row],[BLK]],PlayerGameData[BLK],0)+PlayerGameData[[#This Row],[VisibleOrder]]</f>
        <v>1031</v>
      </c>
      <c r="AY647" s="8">
        <f ca="1">IF(COUNTIF(PlayerGameData[BLKOrder],PlayerGameData[[#This Row],[BLKOrder]])&gt;1,PlayerGameData[[#This Row],[PointRank]]/100+PlayerGameData[[#This Row],[BLKOrder]],PlayerGameData[[#This Row],[BLKOrder]])</f>
        <v>1037.25</v>
      </c>
      <c r="AZ647" s="8">
        <f ca="1">RANK(PlayerGameData[[#This Row],[BLKTieBreak]],PlayerGameData[BLKTieBreak],1)</f>
        <v>625</v>
      </c>
      <c r="BA647" s="11">
        <f ca="1">IFERROR(IF(PlayerGameData[[#This Row],[FGA]]&gt;$AA$5,PlayerGameData[[#This Row],[FG%*]],PlayerGameData[[#This Row],[FG%*]]*-1),-2)</f>
        <v>-2</v>
      </c>
      <c r="BB647" s="8">
        <f ca="1">RANK(PlayerGameData[[#This Row],[EligFG]],PlayerGameData[EligFG],0)+PlayerGameData[[#This Row],[VisibleOrder]]</f>
        <v>1214</v>
      </c>
      <c r="BC647" s="8">
        <f ca="1">IF(COUNTIF(PlayerGameData[EligFGOrder],PlayerGameData[[#This Row],[EligFGOrder]])&gt;1,PlayerGameData[[#This Row],[PointRank]]/100+PlayerGameData[[#This Row],[EligFGOrder]],PlayerGameData[[#This Row],[EligFGOrder]])</f>
        <v>1220.25</v>
      </c>
      <c r="BD647" s="8">
        <f ca="1">RANK(PlayerGameData[[#This Row],[EligFGTieBreak]],PlayerGameData[EligFGTieBreak],1)</f>
        <v>625</v>
      </c>
      <c r="BE647" s="8" t="str">
        <f>Roster!$D$3</f>
        <v>East</v>
      </c>
      <c r="BF647" s="8" t="str">
        <f>Roster!$D$2</f>
        <v>Northeast</v>
      </c>
      <c r="BG647" s="8" t="str">
        <f>Roster!$D$4</f>
        <v>North</v>
      </c>
      <c r="BH647" s="197">
        <f ca="1">IFERROR(VLOOKUP(CONCATENATE(PlayerGameData[[#This Row],[Opponent]]," ",MONTH(PlayerGameData[[#This Row],[Date]]),"/",DAY(PlayerGameData[[#This Row],[Date]]),"/",YEAR(PlayerGameData[[#This Row],[Date]])),Table35[],2,FALSE),0)</f>
        <v>0</v>
      </c>
      <c r="BI647" s="197">
        <f ca="1">IF(PlayerGameData[[#This Row],[Visible]]=1,1,1000)</f>
        <v>1000</v>
      </c>
      <c r="BJ647" s="197" t="e">
        <f ca="1">_xlfn.MAXIFS(TeamGameData[Win],TeamGameData[School, Opponent,Game'#],PlayerGameData[[#This Row],[School, Opponent,Game'#]])</f>
        <v>#NAME?</v>
      </c>
      <c r="BK647" s="197" t="e">
        <f ca="1">_xlfn.MAXIFS(TeamGameData[Loss],TeamGameData[School, Opponent,Game'#],PlayerGameData[[#This Row],[School, Opponent,Game'#]])</f>
        <v>#NAME?</v>
      </c>
    </row>
    <row r="648" spans="1:63" x14ac:dyDescent="0.25">
      <c r="A648" s="8" t="str">
        <f t="shared" ref="A648:A711" ca="1" si="333">CONCATENATE(INDIRECT("Roster!B"&amp;ROW(A$7)+MOD(ROW(A648)-7,24)),", ",INDIRECT("Roster!a"&amp;ROW(A$7)+MOD(ROW(A648)-7,24)))</f>
        <v xml:space="preserve">, </v>
      </c>
      <c r="B648" s="8" t="str">
        <f>Roster!$B$1</f>
        <v>Upton</v>
      </c>
      <c r="C648" s="8">
        <f t="shared" ca="1" si="321"/>
        <v>0</v>
      </c>
      <c r="D648" s="10">
        <f t="shared" ca="1" si="322"/>
        <v>0</v>
      </c>
      <c r="E648" s="8">
        <f t="shared" ca="1" si="323"/>
        <v>0</v>
      </c>
      <c r="F648" s="8">
        <f t="shared" ca="1" si="324"/>
        <v>0</v>
      </c>
      <c r="G648" s="8">
        <f t="shared" ca="1" si="325"/>
        <v>0</v>
      </c>
      <c r="H648" s="8">
        <f t="shared" ca="1" si="326"/>
        <v>0</v>
      </c>
      <c r="I648" s="8">
        <f t="shared" ca="1" si="327"/>
        <v>0</v>
      </c>
      <c r="J648" s="8">
        <f t="shared" ca="1" si="328"/>
        <v>0</v>
      </c>
      <c r="K648" s="8">
        <f t="shared" ca="1" si="329"/>
        <v>0</v>
      </c>
      <c r="L648" s="8">
        <f t="shared" ref="L648:L711" ca="1" si="334">INDIRECT("'game1 ("&amp;$AD648&amp;")'!"&amp;ADDRESS(ROW(G$7)+MOD(ROW(G648)-7,24),COLUMN(J648)))</f>
        <v>0</v>
      </c>
      <c r="M648" s="8">
        <f t="shared" ref="M648:M711" ca="1" si="335">INDIRECT("'game1 ("&amp;$AD648&amp;")'!"&amp;ADDRESS(ROW(H$7)+MOD(ROW(H648)-7,24),COLUMN(K648)))</f>
        <v>0</v>
      </c>
      <c r="N648" s="8">
        <f t="shared" ref="N648:N711" ca="1" si="336">INDIRECT("'game1 ("&amp;$AD648&amp;")'!"&amp;ADDRESS(ROW(I$7)+MOD(ROW(I648)-7,24),COLUMN(L648)))</f>
        <v>0</v>
      </c>
      <c r="O648" s="8">
        <f t="shared" ref="O648:O711" ca="1" si="337">INDIRECT("'game1 ("&amp;$AD648&amp;")'!"&amp;ADDRESS(ROW(J$7)+MOD(ROW(J648)-7,24),COLUMN(M648)))</f>
        <v>0</v>
      </c>
      <c r="P648" s="8">
        <f t="shared" ref="P648:P711" ca="1" si="338">INDIRECT("'game1 ("&amp;$AD648&amp;")'!"&amp;ADDRESS(ROW(K$7)+MOD(ROW(K648)-7,24),COLUMN(N648)))</f>
        <v>0</v>
      </c>
      <c r="Q648" s="8">
        <f t="shared" ref="Q648:Q711" ca="1" si="339">INDIRECT("'game1 ("&amp;$AD648&amp;")'!"&amp;ADDRESS(ROW(L$7)+MOD(ROW(L648)-7,24),COLUMN(O648)))</f>
        <v>0</v>
      </c>
      <c r="R648" s="8">
        <f t="shared" ref="R648:R711" ca="1" si="340">INDIRECT("'game1 ("&amp;$AD648&amp;")'!"&amp;ADDRESS(ROW(M$7)+MOD(ROW(M648)-7,24),COLUMN(P648)))</f>
        <v>0</v>
      </c>
      <c r="S648" s="8">
        <f t="shared" ref="S648:S711" ca="1" si="341">INDIRECT("'game1 ("&amp;$AD648&amp;")'!"&amp;ADDRESS(ROW(N$7)+MOD(ROW(N648)-7,24),COLUMN(Q648)))</f>
        <v>0</v>
      </c>
      <c r="T648" s="8">
        <f t="shared" ref="T648:T711" ca="1" si="342">INDIRECT("'game1 ("&amp;$AD648&amp;")'!"&amp;ADDRESS(ROW(O$7)+MOD(ROW(O648)-7,24),COLUMN(R648)))</f>
        <v>0</v>
      </c>
      <c r="U648" s="8">
        <f t="shared" ref="U648:U711" ca="1" si="343">INDIRECT("'game1 ("&amp;$AD648&amp;")'!"&amp;ADDRESS(ROW(P$7)+MOD(ROW(P648)-7,24),COLUMN(S648)))</f>
        <v>0</v>
      </c>
      <c r="V648" s="8">
        <f t="shared" ref="V648:V711" ca="1" si="344">INDIRECT("'game1 ("&amp;$AD648&amp;")'!"&amp;ADDRESS(ROW(Q$7)+MOD(ROW(Q648)-7,24),COLUMN(T648)))</f>
        <v>0</v>
      </c>
      <c r="W648" s="11" t="str">
        <f t="shared" ref="W648:W711" ca="1" si="345">INDIRECT("'game1 ("&amp;$AD648&amp;")'!"&amp;ADDRESS(ROW(R$7)+MOD(ROW(R648)-7,24),COLUMN(U648)))</f>
        <v/>
      </c>
      <c r="X648" s="11" t="str">
        <f t="shared" ref="X648:X711" ca="1" si="346">INDIRECT("'game1 ("&amp;$AD648&amp;")'!"&amp;ADDRESS(ROW(S$7)+MOD(ROW(S648)-7,24),COLUMN(V648)))</f>
        <v/>
      </c>
      <c r="Y648" s="11" t="str">
        <f t="shared" ref="Y648:Y711" ca="1" si="347">INDIRECT("'game1 ("&amp;$AD648&amp;")'!"&amp;ADDRESS(ROW(T$7)+MOD(ROW(T648)-7,24),COLUMN(W648)))</f>
        <v/>
      </c>
      <c r="Z648" s="11" t="str">
        <f t="shared" ref="Z648:Z711" ca="1" si="348">INDIRECT("'game1 ("&amp;$AD648&amp;")'!"&amp;ADDRESS(ROW(U$7)+MOD(ROW(U648)-7,24),COLUMN(X648)))</f>
        <v/>
      </c>
      <c r="AA648" s="11" t="str">
        <f t="shared" ref="AA648:AA711" ca="1" si="349">INDIRECT("'game1 ("&amp;$AD648&amp;")'!"&amp;ADDRESS(ROW(V$7)+MOD(ROW(V648)-7,24),COLUMN(Y648)))</f>
        <v/>
      </c>
      <c r="AB648" s="47">
        <f ca="1">PlayerGameData[[#This Row],[3FGA]]+PlayerGameData[[#This Row],[2FGA]]</f>
        <v>0</v>
      </c>
      <c r="AC648" s="47">
        <f ca="1">PlayerGameData[[#This Row],[OFF REB]]+PlayerGameData[[#This Row],[DEF REB]]</f>
        <v>0</v>
      </c>
      <c r="AD648" s="8">
        <f t="shared" si="330"/>
        <v>27</v>
      </c>
      <c r="AE648" s="8" t="str">
        <f t="shared" ca="1" si="331"/>
        <v>,  - 0 1/0/1900</v>
      </c>
      <c r="AF648" s="8" t="str">
        <f t="shared" ref="AF648:AF711" ca="1" si="350">IFERROR(INDIRECT("'game1 ("&amp;$AD648&amp;")'!$a$2"),"")</f>
        <v/>
      </c>
      <c r="AG648" s="8" t="str">
        <f ca="1">IFERROR(IF(C648=0,"",IF(AND(VLOOKUP(PlayerGameData[[#This Row],[Opponent]],WYTeamInfo,2,FALSE)=Roster!$D$1,VLOOKUP(PlayerGameData[[#This Row],[Opponent]],WYTeamInfo,3,FALSE)=Roster!$D$2),"SR","")),"")</f>
        <v/>
      </c>
      <c r="AH648" s="8" t="str">
        <f>CONCATENATE(Roster!$D$1," ",Roster!$D$5)</f>
        <v>1A BB</v>
      </c>
      <c r="AI648" s="8" t="str">
        <f t="shared" ca="1" si="332"/>
        <v>Blank</v>
      </c>
      <c r="AJ648" s="8">
        <f ca="1">IFERROR(VLOOKUP(PlayerGameData[[#This Row],[School, Opponent,Game'#]],Table3[],2,FALSE),0)</f>
        <v>0</v>
      </c>
      <c r="AK648" s="8">
        <f ca="1">IF(PlayerGameData[[#This Row],[Visible]]=1,1,1000)</f>
        <v>1000</v>
      </c>
      <c r="AL648" s="8">
        <f ca="1">RANK(PlayerGameData[[#This Row],[TL PTS]],PlayerGameData[TL PTS],0)+PlayerGameData[[#This Row],[VisibleOrder]]</f>
        <v>1184</v>
      </c>
      <c r="AM648" s="8">
        <f ca="1">IF(COUNTIF(PlayerGameData[PointOrder],PlayerGameData[[#This Row],[PointOrder]])&gt;1,RANK(PlayerGameData[[#This Row],[FGA]],PlayerGameData[FGA],0)/100,0)+PlayerGameData[[#This Row],[PointOrder]]</f>
        <v>1186.1400000000001</v>
      </c>
      <c r="AN648" s="8">
        <f ca="1">RANK(PlayerGameData[[#This Row],[PointTieBreak]],PlayerGameData[PointTieBreak],1)</f>
        <v>625</v>
      </c>
      <c r="AO648" s="8">
        <f ca="1">RANK(PlayerGameData[[#This Row],[REB]],PlayerGameData[REB],0)+PlayerGameData[[#This Row],[VisibleOrder]]</f>
        <v>1191</v>
      </c>
      <c r="AP648" s="8">
        <f ca="1">IF(COUNTIF(PlayerGameData[REBOrder],PlayerGameData[[#This Row],[REBOrder]])&gt;1,PlayerGameData[[#This Row],[PointRank]]/100+PlayerGameData[[#This Row],[REBOrder]],PlayerGameData[[#This Row],[REBOrder]])</f>
        <v>1197.25</v>
      </c>
      <c r="AQ648" s="8">
        <f ca="1">RANK(PlayerGameData[[#This Row],[REBTieBreak]],PlayerGameData[REBTieBreak],1)</f>
        <v>625</v>
      </c>
      <c r="AR648" s="8">
        <f ca="1">RANK(PlayerGameData[[#This Row],[AST]],PlayerGameData[AST],0)+PlayerGameData[[#This Row],[VisibleOrder]]</f>
        <v>1157</v>
      </c>
      <c r="AS648" s="8">
        <f ca="1">IF(COUNTIF(PlayerGameData[ASTOrder],PlayerGameData[[#This Row],[ASTOrder]])&gt;1,PlayerGameData[[#This Row],[PointRank]]/100+PlayerGameData[[#This Row],[ASTOrder]],PlayerGameData[[#This Row],[ASTOrder]])</f>
        <v>1163.25</v>
      </c>
      <c r="AT648" s="8">
        <f ca="1">RANK(PlayerGameData[[#This Row],[ASTTieBreak]],PlayerGameData[ASTTieBreak],1)</f>
        <v>625</v>
      </c>
      <c r="AU648" s="8">
        <f ca="1">RANK(PlayerGameData[[#This Row],[STL]],PlayerGameData[STL],0)+PlayerGameData[[#This Row],[VisibleOrder]]</f>
        <v>1142</v>
      </c>
      <c r="AV648" s="8">
        <f ca="1">IF(COUNTIF(PlayerGameData[STLOrder],PlayerGameData[[#This Row],[STLOrder]])&gt;1,PlayerGameData[[#This Row],[PointRank]]/100+PlayerGameData[[#This Row],[STLOrder]],PlayerGameData[[#This Row],[STLOrder]])</f>
        <v>1148.25</v>
      </c>
      <c r="AW648" s="8">
        <f ca="1">RANK(PlayerGameData[[#This Row],[STLTieBreak]],PlayerGameData[STLTieBreak],1)</f>
        <v>625</v>
      </c>
      <c r="AX648" s="8">
        <f ca="1">RANK(PlayerGameData[[#This Row],[BLK]],PlayerGameData[BLK],0)+PlayerGameData[[#This Row],[VisibleOrder]]</f>
        <v>1031</v>
      </c>
      <c r="AY648" s="8">
        <f ca="1">IF(COUNTIF(PlayerGameData[BLKOrder],PlayerGameData[[#This Row],[BLKOrder]])&gt;1,PlayerGameData[[#This Row],[PointRank]]/100+PlayerGameData[[#This Row],[BLKOrder]],PlayerGameData[[#This Row],[BLKOrder]])</f>
        <v>1037.25</v>
      </c>
      <c r="AZ648" s="8">
        <f ca="1">RANK(PlayerGameData[[#This Row],[BLKTieBreak]],PlayerGameData[BLKTieBreak],1)</f>
        <v>625</v>
      </c>
      <c r="BA648" s="11">
        <f ca="1">IFERROR(IF(PlayerGameData[[#This Row],[FGA]]&gt;$AA$5,PlayerGameData[[#This Row],[FG%*]],PlayerGameData[[#This Row],[FG%*]]*-1),-2)</f>
        <v>-2</v>
      </c>
      <c r="BB648" s="8">
        <f ca="1">RANK(PlayerGameData[[#This Row],[EligFG]],PlayerGameData[EligFG],0)+PlayerGameData[[#This Row],[VisibleOrder]]</f>
        <v>1214</v>
      </c>
      <c r="BC648" s="8">
        <f ca="1">IF(COUNTIF(PlayerGameData[EligFGOrder],PlayerGameData[[#This Row],[EligFGOrder]])&gt;1,PlayerGameData[[#This Row],[PointRank]]/100+PlayerGameData[[#This Row],[EligFGOrder]],PlayerGameData[[#This Row],[EligFGOrder]])</f>
        <v>1220.25</v>
      </c>
      <c r="BD648" s="8">
        <f ca="1">RANK(PlayerGameData[[#This Row],[EligFGTieBreak]],PlayerGameData[EligFGTieBreak],1)</f>
        <v>625</v>
      </c>
      <c r="BE648" s="8" t="str">
        <f>Roster!$D$3</f>
        <v>East</v>
      </c>
      <c r="BF648" s="8" t="str">
        <f>Roster!$D$2</f>
        <v>Northeast</v>
      </c>
      <c r="BG648" s="8" t="str">
        <f>Roster!$D$4</f>
        <v>North</v>
      </c>
      <c r="BH648" s="197">
        <f ca="1">IFERROR(VLOOKUP(CONCATENATE(PlayerGameData[[#This Row],[Opponent]]," ",MONTH(PlayerGameData[[#This Row],[Date]]),"/",DAY(PlayerGameData[[#This Row],[Date]]),"/",YEAR(PlayerGameData[[#This Row],[Date]])),Table35[],2,FALSE),0)</f>
        <v>0</v>
      </c>
      <c r="BI648" s="197">
        <f ca="1">IF(PlayerGameData[[#This Row],[Visible]]=1,1,1000)</f>
        <v>1000</v>
      </c>
      <c r="BJ648" s="197" t="e">
        <f ca="1">_xlfn.MAXIFS(TeamGameData[Win],TeamGameData[School, Opponent,Game'#],PlayerGameData[[#This Row],[School, Opponent,Game'#]])</f>
        <v>#NAME?</v>
      </c>
      <c r="BK648" s="197" t="e">
        <f ca="1">_xlfn.MAXIFS(TeamGameData[Loss],TeamGameData[School, Opponent,Game'#],PlayerGameData[[#This Row],[School, Opponent,Game'#]])</f>
        <v>#NAME?</v>
      </c>
    </row>
    <row r="649" spans="1:63" x14ac:dyDescent="0.25">
      <c r="A649" s="8" t="str">
        <f t="shared" ca="1" si="333"/>
        <v xml:space="preserve">, </v>
      </c>
      <c r="B649" s="8" t="str">
        <f>Roster!$B$1</f>
        <v>Upton</v>
      </c>
      <c r="C649" s="8">
        <f t="shared" ca="1" si="321"/>
        <v>0</v>
      </c>
      <c r="D649" s="10">
        <f t="shared" ca="1" si="322"/>
        <v>0</v>
      </c>
      <c r="E649" s="8">
        <f t="shared" ca="1" si="323"/>
        <v>0</v>
      </c>
      <c r="F649" s="8">
        <f t="shared" ca="1" si="324"/>
        <v>0</v>
      </c>
      <c r="G649" s="8">
        <f t="shared" ca="1" si="325"/>
        <v>0</v>
      </c>
      <c r="H649" s="8">
        <f t="shared" ca="1" si="326"/>
        <v>0</v>
      </c>
      <c r="I649" s="8">
        <f t="shared" ca="1" si="327"/>
        <v>0</v>
      </c>
      <c r="J649" s="8">
        <f t="shared" ca="1" si="328"/>
        <v>0</v>
      </c>
      <c r="K649" s="8">
        <f t="shared" ca="1" si="329"/>
        <v>0</v>
      </c>
      <c r="L649" s="8">
        <f t="shared" ca="1" si="334"/>
        <v>0</v>
      </c>
      <c r="M649" s="8">
        <f t="shared" ca="1" si="335"/>
        <v>0</v>
      </c>
      <c r="N649" s="8">
        <f t="shared" ca="1" si="336"/>
        <v>0</v>
      </c>
      <c r="O649" s="8">
        <f t="shared" ca="1" si="337"/>
        <v>0</v>
      </c>
      <c r="P649" s="8">
        <f t="shared" ca="1" si="338"/>
        <v>0</v>
      </c>
      <c r="Q649" s="8">
        <f t="shared" ca="1" si="339"/>
        <v>0</v>
      </c>
      <c r="R649" s="8">
        <f t="shared" ca="1" si="340"/>
        <v>0</v>
      </c>
      <c r="S649" s="8">
        <f t="shared" ca="1" si="341"/>
        <v>0</v>
      </c>
      <c r="T649" s="8">
        <f t="shared" ca="1" si="342"/>
        <v>0</v>
      </c>
      <c r="U649" s="8">
        <f t="shared" ca="1" si="343"/>
        <v>0</v>
      </c>
      <c r="V649" s="8">
        <f t="shared" ca="1" si="344"/>
        <v>0</v>
      </c>
      <c r="W649" s="11" t="str">
        <f t="shared" ca="1" si="345"/>
        <v/>
      </c>
      <c r="X649" s="11" t="str">
        <f t="shared" ca="1" si="346"/>
        <v/>
      </c>
      <c r="Y649" s="11" t="str">
        <f t="shared" ca="1" si="347"/>
        <v/>
      </c>
      <c r="Z649" s="11" t="str">
        <f t="shared" ca="1" si="348"/>
        <v/>
      </c>
      <c r="AA649" s="11" t="str">
        <f t="shared" ca="1" si="349"/>
        <v/>
      </c>
      <c r="AB649" s="47">
        <f ca="1">PlayerGameData[[#This Row],[3FGA]]+PlayerGameData[[#This Row],[2FGA]]</f>
        <v>0</v>
      </c>
      <c r="AC649" s="47">
        <f ca="1">PlayerGameData[[#This Row],[OFF REB]]+PlayerGameData[[#This Row],[DEF REB]]</f>
        <v>0</v>
      </c>
      <c r="AD649" s="8">
        <f t="shared" si="330"/>
        <v>27</v>
      </c>
      <c r="AE649" s="8" t="str">
        <f t="shared" ca="1" si="331"/>
        <v>,  - 0 1/0/1900</v>
      </c>
      <c r="AF649" s="8" t="str">
        <f t="shared" ca="1" si="350"/>
        <v/>
      </c>
      <c r="AG649" s="8" t="str">
        <f ca="1">IFERROR(IF(C649=0,"",IF(AND(VLOOKUP(PlayerGameData[[#This Row],[Opponent]],WYTeamInfo,2,FALSE)=Roster!$D$1,VLOOKUP(PlayerGameData[[#This Row],[Opponent]],WYTeamInfo,3,FALSE)=Roster!$D$2),"SR","")),"")</f>
        <v/>
      </c>
      <c r="AH649" s="8" t="str">
        <f>CONCATENATE(Roster!$D$1," ",Roster!$D$5)</f>
        <v>1A BB</v>
      </c>
      <c r="AI649" s="8" t="str">
        <f t="shared" ca="1" si="332"/>
        <v>Blank</v>
      </c>
      <c r="AJ649" s="8">
        <f ca="1">IFERROR(VLOOKUP(PlayerGameData[[#This Row],[School, Opponent,Game'#]],Table3[],2,FALSE),0)</f>
        <v>0</v>
      </c>
      <c r="AK649" s="8">
        <f ca="1">IF(PlayerGameData[[#This Row],[Visible]]=1,1,1000)</f>
        <v>1000</v>
      </c>
      <c r="AL649" s="8">
        <f ca="1">RANK(PlayerGameData[[#This Row],[TL PTS]],PlayerGameData[TL PTS],0)+PlayerGameData[[#This Row],[VisibleOrder]]</f>
        <v>1184</v>
      </c>
      <c r="AM649" s="8">
        <f ca="1">IF(COUNTIF(PlayerGameData[PointOrder],PlayerGameData[[#This Row],[PointOrder]])&gt;1,RANK(PlayerGameData[[#This Row],[FGA]],PlayerGameData[FGA],0)/100,0)+PlayerGameData[[#This Row],[PointOrder]]</f>
        <v>1186.1400000000001</v>
      </c>
      <c r="AN649" s="8">
        <f ca="1">RANK(PlayerGameData[[#This Row],[PointTieBreak]],PlayerGameData[PointTieBreak],1)</f>
        <v>625</v>
      </c>
      <c r="AO649" s="8">
        <f ca="1">RANK(PlayerGameData[[#This Row],[REB]],PlayerGameData[REB],0)+PlayerGameData[[#This Row],[VisibleOrder]]</f>
        <v>1191</v>
      </c>
      <c r="AP649" s="8">
        <f ca="1">IF(COUNTIF(PlayerGameData[REBOrder],PlayerGameData[[#This Row],[REBOrder]])&gt;1,PlayerGameData[[#This Row],[PointRank]]/100+PlayerGameData[[#This Row],[REBOrder]],PlayerGameData[[#This Row],[REBOrder]])</f>
        <v>1197.25</v>
      </c>
      <c r="AQ649" s="8">
        <f ca="1">RANK(PlayerGameData[[#This Row],[REBTieBreak]],PlayerGameData[REBTieBreak],1)</f>
        <v>625</v>
      </c>
      <c r="AR649" s="8">
        <f ca="1">RANK(PlayerGameData[[#This Row],[AST]],PlayerGameData[AST],0)+PlayerGameData[[#This Row],[VisibleOrder]]</f>
        <v>1157</v>
      </c>
      <c r="AS649" s="8">
        <f ca="1">IF(COUNTIF(PlayerGameData[ASTOrder],PlayerGameData[[#This Row],[ASTOrder]])&gt;1,PlayerGameData[[#This Row],[PointRank]]/100+PlayerGameData[[#This Row],[ASTOrder]],PlayerGameData[[#This Row],[ASTOrder]])</f>
        <v>1163.25</v>
      </c>
      <c r="AT649" s="8">
        <f ca="1">RANK(PlayerGameData[[#This Row],[ASTTieBreak]],PlayerGameData[ASTTieBreak],1)</f>
        <v>625</v>
      </c>
      <c r="AU649" s="8">
        <f ca="1">RANK(PlayerGameData[[#This Row],[STL]],PlayerGameData[STL],0)+PlayerGameData[[#This Row],[VisibleOrder]]</f>
        <v>1142</v>
      </c>
      <c r="AV649" s="8">
        <f ca="1">IF(COUNTIF(PlayerGameData[STLOrder],PlayerGameData[[#This Row],[STLOrder]])&gt;1,PlayerGameData[[#This Row],[PointRank]]/100+PlayerGameData[[#This Row],[STLOrder]],PlayerGameData[[#This Row],[STLOrder]])</f>
        <v>1148.25</v>
      </c>
      <c r="AW649" s="8">
        <f ca="1">RANK(PlayerGameData[[#This Row],[STLTieBreak]],PlayerGameData[STLTieBreak],1)</f>
        <v>625</v>
      </c>
      <c r="AX649" s="8">
        <f ca="1">RANK(PlayerGameData[[#This Row],[BLK]],PlayerGameData[BLK],0)+PlayerGameData[[#This Row],[VisibleOrder]]</f>
        <v>1031</v>
      </c>
      <c r="AY649" s="8">
        <f ca="1">IF(COUNTIF(PlayerGameData[BLKOrder],PlayerGameData[[#This Row],[BLKOrder]])&gt;1,PlayerGameData[[#This Row],[PointRank]]/100+PlayerGameData[[#This Row],[BLKOrder]],PlayerGameData[[#This Row],[BLKOrder]])</f>
        <v>1037.25</v>
      </c>
      <c r="AZ649" s="8">
        <f ca="1">RANK(PlayerGameData[[#This Row],[BLKTieBreak]],PlayerGameData[BLKTieBreak],1)</f>
        <v>625</v>
      </c>
      <c r="BA649" s="11">
        <f ca="1">IFERROR(IF(PlayerGameData[[#This Row],[FGA]]&gt;$AA$5,PlayerGameData[[#This Row],[FG%*]],PlayerGameData[[#This Row],[FG%*]]*-1),-2)</f>
        <v>-2</v>
      </c>
      <c r="BB649" s="8">
        <f ca="1">RANK(PlayerGameData[[#This Row],[EligFG]],PlayerGameData[EligFG],0)+PlayerGameData[[#This Row],[VisibleOrder]]</f>
        <v>1214</v>
      </c>
      <c r="BC649" s="8">
        <f ca="1">IF(COUNTIF(PlayerGameData[EligFGOrder],PlayerGameData[[#This Row],[EligFGOrder]])&gt;1,PlayerGameData[[#This Row],[PointRank]]/100+PlayerGameData[[#This Row],[EligFGOrder]],PlayerGameData[[#This Row],[EligFGOrder]])</f>
        <v>1220.25</v>
      </c>
      <c r="BD649" s="8">
        <f ca="1">RANK(PlayerGameData[[#This Row],[EligFGTieBreak]],PlayerGameData[EligFGTieBreak],1)</f>
        <v>625</v>
      </c>
      <c r="BE649" s="8" t="str">
        <f>Roster!$D$3</f>
        <v>East</v>
      </c>
      <c r="BF649" s="8" t="str">
        <f>Roster!$D$2</f>
        <v>Northeast</v>
      </c>
      <c r="BG649" s="8" t="str">
        <f>Roster!$D$4</f>
        <v>North</v>
      </c>
      <c r="BH649" s="197">
        <f ca="1">IFERROR(VLOOKUP(CONCATENATE(PlayerGameData[[#This Row],[Opponent]]," ",MONTH(PlayerGameData[[#This Row],[Date]]),"/",DAY(PlayerGameData[[#This Row],[Date]]),"/",YEAR(PlayerGameData[[#This Row],[Date]])),Table35[],2,FALSE),0)</f>
        <v>0</v>
      </c>
      <c r="BI649" s="197">
        <f ca="1">IF(PlayerGameData[[#This Row],[Visible]]=1,1,1000)</f>
        <v>1000</v>
      </c>
      <c r="BJ649" s="197" t="e">
        <f ca="1">_xlfn.MAXIFS(TeamGameData[Win],TeamGameData[School, Opponent,Game'#],PlayerGameData[[#This Row],[School, Opponent,Game'#]])</f>
        <v>#NAME?</v>
      </c>
      <c r="BK649" s="197" t="e">
        <f ca="1">_xlfn.MAXIFS(TeamGameData[Loss],TeamGameData[School, Opponent,Game'#],PlayerGameData[[#This Row],[School, Opponent,Game'#]])</f>
        <v>#NAME?</v>
      </c>
    </row>
    <row r="650" spans="1:63" x14ac:dyDescent="0.25">
      <c r="A650" s="8" t="str">
        <f t="shared" ca="1" si="333"/>
        <v xml:space="preserve">, </v>
      </c>
      <c r="B650" s="8" t="str">
        <f>Roster!$B$1</f>
        <v>Upton</v>
      </c>
      <c r="C650" s="8">
        <f t="shared" ca="1" si="321"/>
        <v>0</v>
      </c>
      <c r="D650" s="10">
        <f t="shared" ca="1" si="322"/>
        <v>0</v>
      </c>
      <c r="E650" s="8">
        <f t="shared" ca="1" si="323"/>
        <v>0</v>
      </c>
      <c r="F650" s="8">
        <f t="shared" ca="1" si="324"/>
        <v>0</v>
      </c>
      <c r="G650" s="8">
        <f t="shared" ca="1" si="325"/>
        <v>0</v>
      </c>
      <c r="H650" s="8">
        <f t="shared" ca="1" si="326"/>
        <v>0</v>
      </c>
      <c r="I650" s="8">
        <f t="shared" ca="1" si="327"/>
        <v>0</v>
      </c>
      <c r="J650" s="8">
        <f t="shared" ca="1" si="328"/>
        <v>0</v>
      </c>
      <c r="K650" s="8">
        <f t="shared" ca="1" si="329"/>
        <v>0</v>
      </c>
      <c r="L650" s="8">
        <f t="shared" ca="1" si="334"/>
        <v>0</v>
      </c>
      <c r="M650" s="8">
        <f t="shared" ca="1" si="335"/>
        <v>0</v>
      </c>
      <c r="N650" s="8">
        <f t="shared" ca="1" si="336"/>
        <v>0</v>
      </c>
      <c r="O650" s="8">
        <f t="shared" ca="1" si="337"/>
        <v>0</v>
      </c>
      <c r="P650" s="8">
        <f t="shared" ca="1" si="338"/>
        <v>0</v>
      </c>
      <c r="Q650" s="8">
        <f t="shared" ca="1" si="339"/>
        <v>0</v>
      </c>
      <c r="R650" s="8">
        <f t="shared" ca="1" si="340"/>
        <v>0</v>
      </c>
      <c r="S650" s="8">
        <f t="shared" ca="1" si="341"/>
        <v>0</v>
      </c>
      <c r="T650" s="8">
        <f t="shared" ca="1" si="342"/>
        <v>0</v>
      </c>
      <c r="U650" s="8">
        <f t="shared" ca="1" si="343"/>
        <v>0</v>
      </c>
      <c r="V650" s="8">
        <f t="shared" ca="1" si="344"/>
        <v>0</v>
      </c>
      <c r="W650" s="11" t="str">
        <f t="shared" ca="1" si="345"/>
        <v/>
      </c>
      <c r="X650" s="11" t="str">
        <f t="shared" ca="1" si="346"/>
        <v/>
      </c>
      <c r="Y650" s="11" t="str">
        <f t="shared" ca="1" si="347"/>
        <v/>
      </c>
      <c r="Z650" s="11" t="str">
        <f t="shared" ca="1" si="348"/>
        <v/>
      </c>
      <c r="AA650" s="11" t="str">
        <f t="shared" ca="1" si="349"/>
        <v/>
      </c>
      <c r="AB650" s="47">
        <f ca="1">PlayerGameData[[#This Row],[3FGA]]+PlayerGameData[[#This Row],[2FGA]]</f>
        <v>0</v>
      </c>
      <c r="AC650" s="47">
        <f ca="1">PlayerGameData[[#This Row],[OFF REB]]+PlayerGameData[[#This Row],[DEF REB]]</f>
        <v>0</v>
      </c>
      <c r="AD650" s="8">
        <f t="shared" si="330"/>
        <v>27</v>
      </c>
      <c r="AE650" s="8" t="str">
        <f t="shared" ca="1" si="331"/>
        <v>,  - 0 1/0/1900</v>
      </c>
      <c r="AF650" s="8" t="str">
        <f t="shared" ca="1" si="350"/>
        <v/>
      </c>
      <c r="AG650" s="8" t="str">
        <f ca="1">IFERROR(IF(C650=0,"",IF(AND(VLOOKUP(PlayerGameData[[#This Row],[Opponent]],WYTeamInfo,2,FALSE)=Roster!$D$1,VLOOKUP(PlayerGameData[[#This Row],[Opponent]],WYTeamInfo,3,FALSE)=Roster!$D$2),"SR","")),"")</f>
        <v/>
      </c>
      <c r="AH650" s="8" t="str">
        <f>CONCATENATE(Roster!$D$1," ",Roster!$D$5)</f>
        <v>1A BB</v>
      </c>
      <c r="AI650" s="8" t="str">
        <f t="shared" ca="1" si="332"/>
        <v>Blank</v>
      </c>
      <c r="AJ650" s="8">
        <f ca="1">IFERROR(VLOOKUP(PlayerGameData[[#This Row],[School, Opponent,Game'#]],Table3[],2,FALSE),0)</f>
        <v>0</v>
      </c>
      <c r="AK650" s="8">
        <f ca="1">IF(PlayerGameData[[#This Row],[Visible]]=1,1,1000)</f>
        <v>1000</v>
      </c>
      <c r="AL650" s="8">
        <f ca="1">RANK(PlayerGameData[[#This Row],[TL PTS]],PlayerGameData[TL PTS],0)+PlayerGameData[[#This Row],[VisibleOrder]]</f>
        <v>1184</v>
      </c>
      <c r="AM650" s="8">
        <f ca="1">IF(COUNTIF(PlayerGameData[PointOrder],PlayerGameData[[#This Row],[PointOrder]])&gt;1,RANK(PlayerGameData[[#This Row],[FGA]],PlayerGameData[FGA],0)/100,0)+PlayerGameData[[#This Row],[PointOrder]]</f>
        <v>1186.1400000000001</v>
      </c>
      <c r="AN650" s="8">
        <f ca="1">RANK(PlayerGameData[[#This Row],[PointTieBreak]],PlayerGameData[PointTieBreak],1)</f>
        <v>625</v>
      </c>
      <c r="AO650" s="8">
        <f ca="1">RANK(PlayerGameData[[#This Row],[REB]],PlayerGameData[REB],0)+PlayerGameData[[#This Row],[VisibleOrder]]</f>
        <v>1191</v>
      </c>
      <c r="AP650" s="8">
        <f ca="1">IF(COUNTIF(PlayerGameData[REBOrder],PlayerGameData[[#This Row],[REBOrder]])&gt;1,PlayerGameData[[#This Row],[PointRank]]/100+PlayerGameData[[#This Row],[REBOrder]],PlayerGameData[[#This Row],[REBOrder]])</f>
        <v>1197.25</v>
      </c>
      <c r="AQ650" s="8">
        <f ca="1">RANK(PlayerGameData[[#This Row],[REBTieBreak]],PlayerGameData[REBTieBreak],1)</f>
        <v>625</v>
      </c>
      <c r="AR650" s="8">
        <f ca="1">RANK(PlayerGameData[[#This Row],[AST]],PlayerGameData[AST],0)+PlayerGameData[[#This Row],[VisibleOrder]]</f>
        <v>1157</v>
      </c>
      <c r="AS650" s="8">
        <f ca="1">IF(COUNTIF(PlayerGameData[ASTOrder],PlayerGameData[[#This Row],[ASTOrder]])&gt;1,PlayerGameData[[#This Row],[PointRank]]/100+PlayerGameData[[#This Row],[ASTOrder]],PlayerGameData[[#This Row],[ASTOrder]])</f>
        <v>1163.25</v>
      </c>
      <c r="AT650" s="8">
        <f ca="1">RANK(PlayerGameData[[#This Row],[ASTTieBreak]],PlayerGameData[ASTTieBreak],1)</f>
        <v>625</v>
      </c>
      <c r="AU650" s="8">
        <f ca="1">RANK(PlayerGameData[[#This Row],[STL]],PlayerGameData[STL],0)+PlayerGameData[[#This Row],[VisibleOrder]]</f>
        <v>1142</v>
      </c>
      <c r="AV650" s="8">
        <f ca="1">IF(COUNTIF(PlayerGameData[STLOrder],PlayerGameData[[#This Row],[STLOrder]])&gt;1,PlayerGameData[[#This Row],[PointRank]]/100+PlayerGameData[[#This Row],[STLOrder]],PlayerGameData[[#This Row],[STLOrder]])</f>
        <v>1148.25</v>
      </c>
      <c r="AW650" s="8">
        <f ca="1">RANK(PlayerGameData[[#This Row],[STLTieBreak]],PlayerGameData[STLTieBreak],1)</f>
        <v>625</v>
      </c>
      <c r="AX650" s="8">
        <f ca="1">RANK(PlayerGameData[[#This Row],[BLK]],PlayerGameData[BLK],0)+PlayerGameData[[#This Row],[VisibleOrder]]</f>
        <v>1031</v>
      </c>
      <c r="AY650" s="8">
        <f ca="1">IF(COUNTIF(PlayerGameData[BLKOrder],PlayerGameData[[#This Row],[BLKOrder]])&gt;1,PlayerGameData[[#This Row],[PointRank]]/100+PlayerGameData[[#This Row],[BLKOrder]],PlayerGameData[[#This Row],[BLKOrder]])</f>
        <v>1037.25</v>
      </c>
      <c r="AZ650" s="8">
        <f ca="1">RANK(PlayerGameData[[#This Row],[BLKTieBreak]],PlayerGameData[BLKTieBreak],1)</f>
        <v>625</v>
      </c>
      <c r="BA650" s="11">
        <f ca="1">IFERROR(IF(PlayerGameData[[#This Row],[FGA]]&gt;$AA$5,PlayerGameData[[#This Row],[FG%*]],PlayerGameData[[#This Row],[FG%*]]*-1),-2)</f>
        <v>-2</v>
      </c>
      <c r="BB650" s="8">
        <f ca="1">RANK(PlayerGameData[[#This Row],[EligFG]],PlayerGameData[EligFG],0)+PlayerGameData[[#This Row],[VisibleOrder]]</f>
        <v>1214</v>
      </c>
      <c r="BC650" s="8">
        <f ca="1">IF(COUNTIF(PlayerGameData[EligFGOrder],PlayerGameData[[#This Row],[EligFGOrder]])&gt;1,PlayerGameData[[#This Row],[PointRank]]/100+PlayerGameData[[#This Row],[EligFGOrder]],PlayerGameData[[#This Row],[EligFGOrder]])</f>
        <v>1220.25</v>
      </c>
      <c r="BD650" s="8">
        <f ca="1">RANK(PlayerGameData[[#This Row],[EligFGTieBreak]],PlayerGameData[EligFGTieBreak],1)</f>
        <v>625</v>
      </c>
      <c r="BE650" s="8" t="str">
        <f>Roster!$D$3</f>
        <v>East</v>
      </c>
      <c r="BF650" s="8" t="str">
        <f>Roster!$D$2</f>
        <v>Northeast</v>
      </c>
      <c r="BG650" s="8" t="str">
        <f>Roster!$D$4</f>
        <v>North</v>
      </c>
      <c r="BH650" s="197">
        <f ca="1">IFERROR(VLOOKUP(CONCATENATE(PlayerGameData[[#This Row],[Opponent]]," ",MONTH(PlayerGameData[[#This Row],[Date]]),"/",DAY(PlayerGameData[[#This Row],[Date]]),"/",YEAR(PlayerGameData[[#This Row],[Date]])),Table35[],2,FALSE),0)</f>
        <v>0</v>
      </c>
      <c r="BI650" s="197">
        <f ca="1">IF(PlayerGameData[[#This Row],[Visible]]=1,1,1000)</f>
        <v>1000</v>
      </c>
      <c r="BJ650" s="197" t="e">
        <f ca="1">_xlfn.MAXIFS(TeamGameData[Win],TeamGameData[School, Opponent,Game'#],PlayerGameData[[#This Row],[School, Opponent,Game'#]])</f>
        <v>#NAME?</v>
      </c>
      <c r="BK650" s="197" t="e">
        <f ca="1">_xlfn.MAXIFS(TeamGameData[Loss],TeamGameData[School, Opponent,Game'#],PlayerGameData[[#This Row],[School, Opponent,Game'#]])</f>
        <v>#NAME?</v>
      </c>
    </row>
    <row r="651" spans="1:63" x14ac:dyDescent="0.25">
      <c r="A651" s="8" t="str">
        <f t="shared" ca="1" si="333"/>
        <v xml:space="preserve">, </v>
      </c>
      <c r="B651" s="8" t="str">
        <f>Roster!$B$1</f>
        <v>Upton</v>
      </c>
      <c r="C651" s="8">
        <f t="shared" ca="1" si="321"/>
        <v>0</v>
      </c>
      <c r="D651" s="10">
        <f t="shared" ca="1" si="322"/>
        <v>0</v>
      </c>
      <c r="E651" s="8">
        <f t="shared" ca="1" si="323"/>
        <v>0</v>
      </c>
      <c r="F651" s="8">
        <f t="shared" ca="1" si="324"/>
        <v>0</v>
      </c>
      <c r="G651" s="8">
        <f t="shared" ca="1" si="325"/>
        <v>0</v>
      </c>
      <c r="H651" s="8">
        <f t="shared" ca="1" si="326"/>
        <v>0</v>
      </c>
      <c r="I651" s="8">
        <f t="shared" ca="1" si="327"/>
        <v>0</v>
      </c>
      <c r="J651" s="8">
        <f t="shared" ca="1" si="328"/>
        <v>0</v>
      </c>
      <c r="K651" s="8">
        <f t="shared" ca="1" si="329"/>
        <v>0</v>
      </c>
      <c r="L651" s="8">
        <f t="shared" ca="1" si="334"/>
        <v>0</v>
      </c>
      <c r="M651" s="8">
        <f t="shared" ca="1" si="335"/>
        <v>0</v>
      </c>
      <c r="N651" s="8">
        <f t="shared" ca="1" si="336"/>
        <v>0</v>
      </c>
      <c r="O651" s="8">
        <f t="shared" ca="1" si="337"/>
        <v>0</v>
      </c>
      <c r="P651" s="8">
        <f t="shared" ca="1" si="338"/>
        <v>0</v>
      </c>
      <c r="Q651" s="8">
        <f t="shared" ca="1" si="339"/>
        <v>0</v>
      </c>
      <c r="R651" s="8">
        <f t="shared" ca="1" si="340"/>
        <v>0</v>
      </c>
      <c r="S651" s="8">
        <f t="shared" ca="1" si="341"/>
        <v>0</v>
      </c>
      <c r="T651" s="8">
        <f t="shared" ca="1" si="342"/>
        <v>0</v>
      </c>
      <c r="U651" s="8">
        <f t="shared" ca="1" si="343"/>
        <v>0</v>
      </c>
      <c r="V651" s="8">
        <f t="shared" ca="1" si="344"/>
        <v>0</v>
      </c>
      <c r="W651" s="11" t="str">
        <f t="shared" ca="1" si="345"/>
        <v/>
      </c>
      <c r="X651" s="11" t="str">
        <f t="shared" ca="1" si="346"/>
        <v/>
      </c>
      <c r="Y651" s="11" t="str">
        <f t="shared" ca="1" si="347"/>
        <v/>
      </c>
      <c r="Z651" s="11" t="str">
        <f t="shared" ca="1" si="348"/>
        <v/>
      </c>
      <c r="AA651" s="11" t="str">
        <f t="shared" ca="1" si="349"/>
        <v/>
      </c>
      <c r="AB651" s="47">
        <f ca="1">PlayerGameData[[#This Row],[3FGA]]+PlayerGameData[[#This Row],[2FGA]]</f>
        <v>0</v>
      </c>
      <c r="AC651" s="47">
        <f ca="1">PlayerGameData[[#This Row],[OFF REB]]+PlayerGameData[[#This Row],[DEF REB]]</f>
        <v>0</v>
      </c>
      <c r="AD651" s="8">
        <f t="shared" si="330"/>
        <v>27</v>
      </c>
      <c r="AE651" s="8" t="str">
        <f t="shared" ca="1" si="331"/>
        <v>,  - 0 1/0/1900</v>
      </c>
      <c r="AF651" s="8" t="str">
        <f t="shared" ca="1" si="350"/>
        <v/>
      </c>
      <c r="AG651" s="8" t="str">
        <f ca="1">IFERROR(IF(C651=0,"",IF(AND(VLOOKUP(PlayerGameData[[#This Row],[Opponent]],WYTeamInfo,2,FALSE)=Roster!$D$1,VLOOKUP(PlayerGameData[[#This Row],[Opponent]],WYTeamInfo,3,FALSE)=Roster!$D$2),"SR","")),"")</f>
        <v/>
      </c>
      <c r="AH651" s="8" t="str">
        <f>CONCATENATE(Roster!$D$1," ",Roster!$D$5)</f>
        <v>1A BB</v>
      </c>
      <c r="AI651" s="8" t="str">
        <f t="shared" ca="1" si="332"/>
        <v>Blank</v>
      </c>
      <c r="AJ651" s="8">
        <f ca="1">IFERROR(VLOOKUP(PlayerGameData[[#This Row],[School, Opponent,Game'#]],Table3[],2,FALSE),0)</f>
        <v>0</v>
      </c>
      <c r="AK651" s="8">
        <f ca="1">IF(PlayerGameData[[#This Row],[Visible]]=1,1,1000)</f>
        <v>1000</v>
      </c>
      <c r="AL651" s="8">
        <f ca="1">RANK(PlayerGameData[[#This Row],[TL PTS]],PlayerGameData[TL PTS],0)+PlayerGameData[[#This Row],[VisibleOrder]]</f>
        <v>1184</v>
      </c>
      <c r="AM651" s="8">
        <f ca="1">IF(COUNTIF(PlayerGameData[PointOrder],PlayerGameData[[#This Row],[PointOrder]])&gt;1,RANK(PlayerGameData[[#This Row],[FGA]],PlayerGameData[FGA],0)/100,0)+PlayerGameData[[#This Row],[PointOrder]]</f>
        <v>1186.1400000000001</v>
      </c>
      <c r="AN651" s="8">
        <f ca="1">RANK(PlayerGameData[[#This Row],[PointTieBreak]],PlayerGameData[PointTieBreak],1)</f>
        <v>625</v>
      </c>
      <c r="AO651" s="8">
        <f ca="1">RANK(PlayerGameData[[#This Row],[REB]],PlayerGameData[REB],0)+PlayerGameData[[#This Row],[VisibleOrder]]</f>
        <v>1191</v>
      </c>
      <c r="AP651" s="8">
        <f ca="1">IF(COUNTIF(PlayerGameData[REBOrder],PlayerGameData[[#This Row],[REBOrder]])&gt;1,PlayerGameData[[#This Row],[PointRank]]/100+PlayerGameData[[#This Row],[REBOrder]],PlayerGameData[[#This Row],[REBOrder]])</f>
        <v>1197.25</v>
      </c>
      <c r="AQ651" s="8">
        <f ca="1">RANK(PlayerGameData[[#This Row],[REBTieBreak]],PlayerGameData[REBTieBreak],1)</f>
        <v>625</v>
      </c>
      <c r="AR651" s="8">
        <f ca="1">RANK(PlayerGameData[[#This Row],[AST]],PlayerGameData[AST],0)+PlayerGameData[[#This Row],[VisibleOrder]]</f>
        <v>1157</v>
      </c>
      <c r="AS651" s="8">
        <f ca="1">IF(COUNTIF(PlayerGameData[ASTOrder],PlayerGameData[[#This Row],[ASTOrder]])&gt;1,PlayerGameData[[#This Row],[PointRank]]/100+PlayerGameData[[#This Row],[ASTOrder]],PlayerGameData[[#This Row],[ASTOrder]])</f>
        <v>1163.25</v>
      </c>
      <c r="AT651" s="8">
        <f ca="1">RANK(PlayerGameData[[#This Row],[ASTTieBreak]],PlayerGameData[ASTTieBreak],1)</f>
        <v>625</v>
      </c>
      <c r="AU651" s="8">
        <f ca="1">RANK(PlayerGameData[[#This Row],[STL]],PlayerGameData[STL],0)+PlayerGameData[[#This Row],[VisibleOrder]]</f>
        <v>1142</v>
      </c>
      <c r="AV651" s="8">
        <f ca="1">IF(COUNTIF(PlayerGameData[STLOrder],PlayerGameData[[#This Row],[STLOrder]])&gt;1,PlayerGameData[[#This Row],[PointRank]]/100+PlayerGameData[[#This Row],[STLOrder]],PlayerGameData[[#This Row],[STLOrder]])</f>
        <v>1148.25</v>
      </c>
      <c r="AW651" s="8">
        <f ca="1">RANK(PlayerGameData[[#This Row],[STLTieBreak]],PlayerGameData[STLTieBreak],1)</f>
        <v>625</v>
      </c>
      <c r="AX651" s="8">
        <f ca="1">RANK(PlayerGameData[[#This Row],[BLK]],PlayerGameData[BLK],0)+PlayerGameData[[#This Row],[VisibleOrder]]</f>
        <v>1031</v>
      </c>
      <c r="AY651" s="8">
        <f ca="1">IF(COUNTIF(PlayerGameData[BLKOrder],PlayerGameData[[#This Row],[BLKOrder]])&gt;1,PlayerGameData[[#This Row],[PointRank]]/100+PlayerGameData[[#This Row],[BLKOrder]],PlayerGameData[[#This Row],[BLKOrder]])</f>
        <v>1037.25</v>
      </c>
      <c r="AZ651" s="8">
        <f ca="1">RANK(PlayerGameData[[#This Row],[BLKTieBreak]],PlayerGameData[BLKTieBreak],1)</f>
        <v>625</v>
      </c>
      <c r="BA651" s="11">
        <f ca="1">IFERROR(IF(PlayerGameData[[#This Row],[FGA]]&gt;$AA$5,PlayerGameData[[#This Row],[FG%*]],PlayerGameData[[#This Row],[FG%*]]*-1),-2)</f>
        <v>-2</v>
      </c>
      <c r="BB651" s="8">
        <f ca="1">RANK(PlayerGameData[[#This Row],[EligFG]],PlayerGameData[EligFG],0)+PlayerGameData[[#This Row],[VisibleOrder]]</f>
        <v>1214</v>
      </c>
      <c r="BC651" s="8">
        <f ca="1">IF(COUNTIF(PlayerGameData[EligFGOrder],PlayerGameData[[#This Row],[EligFGOrder]])&gt;1,PlayerGameData[[#This Row],[PointRank]]/100+PlayerGameData[[#This Row],[EligFGOrder]],PlayerGameData[[#This Row],[EligFGOrder]])</f>
        <v>1220.25</v>
      </c>
      <c r="BD651" s="8">
        <f ca="1">RANK(PlayerGameData[[#This Row],[EligFGTieBreak]],PlayerGameData[EligFGTieBreak],1)</f>
        <v>625</v>
      </c>
      <c r="BE651" s="8" t="str">
        <f>Roster!$D$3</f>
        <v>East</v>
      </c>
      <c r="BF651" s="8" t="str">
        <f>Roster!$D$2</f>
        <v>Northeast</v>
      </c>
      <c r="BG651" s="8" t="str">
        <f>Roster!$D$4</f>
        <v>North</v>
      </c>
      <c r="BH651" s="197">
        <f ca="1">IFERROR(VLOOKUP(CONCATENATE(PlayerGameData[[#This Row],[Opponent]]," ",MONTH(PlayerGameData[[#This Row],[Date]]),"/",DAY(PlayerGameData[[#This Row],[Date]]),"/",YEAR(PlayerGameData[[#This Row],[Date]])),Table35[],2,FALSE),0)</f>
        <v>0</v>
      </c>
      <c r="BI651" s="197">
        <f ca="1">IF(PlayerGameData[[#This Row],[Visible]]=1,1,1000)</f>
        <v>1000</v>
      </c>
      <c r="BJ651" s="197" t="e">
        <f ca="1">_xlfn.MAXIFS(TeamGameData[Win],TeamGameData[School, Opponent,Game'#],PlayerGameData[[#This Row],[School, Opponent,Game'#]])</f>
        <v>#NAME?</v>
      </c>
      <c r="BK651" s="197" t="e">
        <f ca="1">_xlfn.MAXIFS(TeamGameData[Loss],TeamGameData[School, Opponent,Game'#],PlayerGameData[[#This Row],[School, Opponent,Game'#]])</f>
        <v>#NAME?</v>
      </c>
    </row>
    <row r="652" spans="1:63" x14ac:dyDescent="0.25">
      <c r="A652" s="8" t="str">
        <f t="shared" ca="1" si="333"/>
        <v xml:space="preserve">, </v>
      </c>
      <c r="B652" s="8" t="str">
        <f>Roster!$B$1</f>
        <v>Upton</v>
      </c>
      <c r="C652" s="8">
        <f t="shared" ca="1" si="321"/>
        <v>0</v>
      </c>
      <c r="D652" s="10">
        <f t="shared" ca="1" si="322"/>
        <v>0</v>
      </c>
      <c r="E652" s="8">
        <f t="shared" ca="1" si="323"/>
        <v>0</v>
      </c>
      <c r="F652" s="8">
        <f t="shared" ca="1" si="324"/>
        <v>0</v>
      </c>
      <c r="G652" s="8">
        <f t="shared" ca="1" si="325"/>
        <v>0</v>
      </c>
      <c r="H652" s="8">
        <f t="shared" ca="1" si="326"/>
        <v>0</v>
      </c>
      <c r="I652" s="8">
        <f t="shared" ca="1" si="327"/>
        <v>0</v>
      </c>
      <c r="J652" s="8">
        <f t="shared" ca="1" si="328"/>
        <v>0</v>
      </c>
      <c r="K652" s="8">
        <f t="shared" ca="1" si="329"/>
        <v>0</v>
      </c>
      <c r="L652" s="8">
        <f t="shared" ca="1" si="334"/>
        <v>0</v>
      </c>
      <c r="M652" s="8">
        <f t="shared" ca="1" si="335"/>
        <v>0</v>
      </c>
      <c r="N652" s="8">
        <f t="shared" ca="1" si="336"/>
        <v>0</v>
      </c>
      <c r="O652" s="8">
        <f t="shared" ca="1" si="337"/>
        <v>0</v>
      </c>
      <c r="P652" s="8">
        <f t="shared" ca="1" si="338"/>
        <v>0</v>
      </c>
      <c r="Q652" s="8">
        <f t="shared" ca="1" si="339"/>
        <v>0</v>
      </c>
      <c r="R652" s="8">
        <f t="shared" ca="1" si="340"/>
        <v>0</v>
      </c>
      <c r="S652" s="8">
        <f t="shared" ca="1" si="341"/>
        <v>0</v>
      </c>
      <c r="T652" s="8">
        <f t="shared" ca="1" si="342"/>
        <v>0</v>
      </c>
      <c r="U652" s="8">
        <f t="shared" ca="1" si="343"/>
        <v>0</v>
      </c>
      <c r="V652" s="8">
        <f t="shared" ca="1" si="344"/>
        <v>0</v>
      </c>
      <c r="W652" s="11" t="str">
        <f t="shared" ca="1" si="345"/>
        <v/>
      </c>
      <c r="X652" s="11" t="str">
        <f t="shared" ca="1" si="346"/>
        <v/>
      </c>
      <c r="Y652" s="11" t="str">
        <f t="shared" ca="1" si="347"/>
        <v/>
      </c>
      <c r="Z652" s="11" t="str">
        <f t="shared" ca="1" si="348"/>
        <v/>
      </c>
      <c r="AA652" s="11" t="str">
        <f t="shared" ca="1" si="349"/>
        <v/>
      </c>
      <c r="AB652" s="47">
        <f ca="1">PlayerGameData[[#This Row],[3FGA]]+PlayerGameData[[#This Row],[2FGA]]</f>
        <v>0</v>
      </c>
      <c r="AC652" s="47">
        <f ca="1">PlayerGameData[[#This Row],[OFF REB]]+PlayerGameData[[#This Row],[DEF REB]]</f>
        <v>0</v>
      </c>
      <c r="AD652" s="8">
        <f t="shared" si="330"/>
        <v>27</v>
      </c>
      <c r="AE652" s="8" t="str">
        <f t="shared" ca="1" si="331"/>
        <v>,  - 0 1/0/1900</v>
      </c>
      <c r="AF652" s="8" t="str">
        <f t="shared" ca="1" si="350"/>
        <v/>
      </c>
      <c r="AG652" s="8" t="str">
        <f ca="1">IFERROR(IF(C652=0,"",IF(AND(VLOOKUP(PlayerGameData[[#This Row],[Opponent]],WYTeamInfo,2,FALSE)=Roster!$D$1,VLOOKUP(PlayerGameData[[#This Row],[Opponent]],WYTeamInfo,3,FALSE)=Roster!$D$2),"SR","")),"")</f>
        <v/>
      </c>
      <c r="AH652" s="8" t="str">
        <f>CONCATENATE(Roster!$D$1," ",Roster!$D$5)</f>
        <v>1A BB</v>
      </c>
      <c r="AI652" s="8" t="str">
        <f t="shared" ca="1" si="332"/>
        <v>Blank</v>
      </c>
      <c r="AJ652" s="8">
        <f ca="1">IFERROR(VLOOKUP(PlayerGameData[[#This Row],[School, Opponent,Game'#]],Table3[],2,FALSE),0)</f>
        <v>0</v>
      </c>
      <c r="AK652" s="8">
        <f ca="1">IF(PlayerGameData[[#This Row],[Visible]]=1,1,1000)</f>
        <v>1000</v>
      </c>
      <c r="AL652" s="8">
        <f ca="1">RANK(PlayerGameData[[#This Row],[TL PTS]],PlayerGameData[TL PTS],0)+PlayerGameData[[#This Row],[VisibleOrder]]</f>
        <v>1184</v>
      </c>
      <c r="AM652" s="8">
        <f ca="1">IF(COUNTIF(PlayerGameData[PointOrder],PlayerGameData[[#This Row],[PointOrder]])&gt;1,RANK(PlayerGameData[[#This Row],[FGA]],PlayerGameData[FGA],0)/100,0)+PlayerGameData[[#This Row],[PointOrder]]</f>
        <v>1186.1400000000001</v>
      </c>
      <c r="AN652" s="8">
        <f ca="1">RANK(PlayerGameData[[#This Row],[PointTieBreak]],PlayerGameData[PointTieBreak],1)</f>
        <v>625</v>
      </c>
      <c r="AO652" s="8">
        <f ca="1">RANK(PlayerGameData[[#This Row],[REB]],PlayerGameData[REB],0)+PlayerGameData[[#This Row],[VisibleOrder]]</f>
        <v>1191</v>
      </c>
      <c r="AP652" s="8">
        <f ca="1">IF(COUNTIF(PlayerGameData[REBOrder],PlayerGameData[[#This Row],[REBOrder]])&gt;1,PlayerGameData[[#This Row],[PointRank]]/100+PlayerGameData[[#This Row],[REBOrder]],PlayerGameData[[#This Row],[REBOrder]])</f>
        <v>1197.25</v>
      </c>
      <c r="AQ652" s="8">
        <f ca="1">RANK(PlayerGameData[[#This Row],[REBTieBreak]],PlayerGameData[REBTieBreak],1)</f>
        <v>625</v>
      </c>
      <c r="AR652" s="8">
        <f ca="1">RANK(PlayerGameData[[#This Row],[AST]],PlayerGameData[AST],0)+PlayerGameData[[#This Row],[VisibleOrder]]</f>
        <v>1157</v>
      </c>
      <c r="AS652" s="8">
        <f ca="1">IF(COUNTIF(PlayerGameData[ASTOrder],PlayerGameData[[#This Row],[ASTOrder]])&gt;1,PlayerGameData[[#This Row],[PointRank]]/100+PlayerGameData[[#This Row],[ASTOrder]],PlayerGameData[[#This Row],[ASTOrder]])</f>
        <v>1163.25</v>
      </c>
      <c r="AT652" s="8">
        <f ca="1">RANK(PlayerGameData[[#This Row],[ASTTieBreak]],PlayerGameData[ASTTieBreak],1)</f>
        <v>625</v>
      </c>
      <c r="AU652" s="8">
        <f ca="1">RANK(PlayerGameData[[#This Row],[STL]],PlayerGameData[STL],0)+PlayerGameData[[#This Row],[VisibleOrder]]</f>
        <v>1142</v>
      </c>
      <c r="AV652" s="8">
        <f ca="1">IF(COUNTIF(PlayerGameData[STLOrder],PlayerGameData[[#This Row],[STLOrder]])&gt;1,PlayerGameData[[#This Row],[PointRank]]/100+PlayerGameData[[#This Row],[STLOrder]],PlayerGameData[[#This Row],[STLOrder]])</f>
        <v>1148.25</v>
      </c>
      <c r="AW652" s="8">
        <f ca="1">RANK(PlayerGameData[[#This Row],[STLTieBreak]],PlayerGameData[STLTieBreak],1)</f>
        <v>625</v>
      </c>
      <c r="AX652" s="8">
        <f ca="1">RANK(PlayerGameData[[#This Row],[BLK]],PlayerGameData[BLK],0)+PlayerGameData[[#This Row],[VisibleOrder]]</f>
        <v>1031</v>
      </c>
      <c r="AY652" s="8">
        <f ca="1">IF(COUNTIF(PlayerGameData[BLKOrder],PlayerGameData[[#This Row],[BLKOrder]])&gt;1,PlayerGameData[[#This Row],[PointRank]]/100+PlayerGameData[[#This Row],[BLKOrder]],PlayerGameData[[#This Row],[BLKOrder]])</f>
        <v>1037.25</v>
      </c>
      <c r="AZ652" s="8">
        <f ca="1">RANK(PlayerGameData[[#This Row],[BLKTieBreak]],PlayerGameData[BLKTieBreak],1)</f>
        <v>625</v>
      </c>
      <c r="BA652" s="11">
        <f ca="1">IFERROR(IF(PlayerGameData[[#This Row],[FGA]]&gt;$AA$5,PlayerGameData[[#This Row],[FG%*]],PlayerGameData[[#This Row],[FG%*]]*-1),-2)</f>
        <v>-2</v>
      </c>
      <c r="BB652" s="8">
        <f ca="1">RANK(PlayerGameData[[#This Row],[EligFG]],PlayerGameData[EligFG],0)+PlayerGameData[[#This Row],[VisibleOrder]]</f>
        <v>1214</v>
      </c>
      <c r="BC652" s="8">
        <f ca="1">IF(COUNTIF(PlayerGameData[EligFGOrder],PlayerGameData[[#This Row],[EligFGOrder]])&gt;1,PlayerGameData[[#This Row],[PointRank]]/100+PlayerGameData[[#This Row],[EligFGOrder]],PlayerGameData[[#This Row],[EligFGOrder]])</f>
        <v>1220.25</v>
      </c>
      <c r="BD652" s="8">
        <f ca="1">RANK(PlayerGameData[[#This Row],[EligFGTieBreak]],PlayerGameData[EligFGTieBreak],1)</f>
        <v>625</v>
      </c>
      <c r="BE652" s="8" t="str">
        <f>Roster!$D$3</f>
        <v>East</v>
      </c>
      <c r="BF652" s="8" t="str">
        <f>Roster!$D$2</f>
        <v>Northeast</v>
      </c>
      <c r="BG652" s="8" t="str">
        <f>Roster!$D$4</f>
        <v>North</v>
      </c>
      <c r="BH652" s="197">
        <f ca="1">IFERROR(VLOOKUP(CONCATENATE(PlayerGameData[[#This Row],[Opponent]]," ",MONTH(PlayerGameData[[#This Row],[Date]]),"/",DAY(PlayerGameData[[#This Row],[Date]]),"/",YEAR(PlayerGameData[[#This Row],[Date]])),Table35[],2,FALSE),0)</f>
        <v>0</v>
      </c>
      <c r="BI652" s="197">
        <f ca="1">IF(PlayerGameData[[#This Row],[Visible]]=1,1,1000)</f>
        <v>1000</v>
      </c>
      <c r="BJ652" s="197" t="e">
        <f ca="1">_xlfn.MAXIFS(TeamGameData[Win],TeamGameData[School, Opponent,Game'#],PlayerGameData[[#This Row],[School, Opponent,Game'#]])</f>
        <v>#NAME?</v>
      </c>
      <c r="BK652" s="197" t="e">
        <f ca="1">_xlfn.MAXIFS(TeamGameData[Loss],TeamGameData[School, Opponent,Game'#],PlayerGameData[[#This Row],[School, Opponent,Game'#]])</f>
        <v>#NAME?</v>
      </c>
    </row>
    <row r="653" spans="1:63" x14ac:dyDescent="0.25">
      <c r="A653" s="8" t="str">
        <f t="shared" ca="1" si="333"/>
        <v xml:space="preserve">, </v>
      </c>
      <c r="B653" s="8" t="str">
        <f>Roster!$B$1</f>
        <v>Upton</v>
      </c>
      <c r="C653" s="8">
        <f t="shared" ca="1" si="321"/>
        <v>0</v>
      </c>
      <c r="D653" s="10">
        <f t="shared" ca="1" si="322"/>
        <v>0</v>
      </c>
      <c r="E653" s="8">
        <f t="shared" ca="1" si="323"/>
        <v>0</v>
      </c>
      <c r="F653" s="8">
        <f t="shared" ca="1" si="324"/>
        <v>0</v>
      </c>
      <c r="G653" s="8">
        <f t="shared" ca="1" si="325"/>
        <v>0</v>
      </c>
      <c r="H653" s="8">
        <f t="shared" ca="1" si="326"/>
        <v>0</v>
      </c>
      <c r="I653" s="8">
        <f t="shared" ca="1" si="327"/>
        <v>0</v>
      </c>
      <c r="J653" s="8">
        <f t="shared" ca="1" si="328"/>
        <v>0</v>
      </c>
      <c r="K653" s="8">
        <f t="shared" ca="1" si="329"/>
        <v>0</v>
      </c>
      <c r="L653" s="8">
        <f t="shared" ca="1" si="334"/>
        <v>0</v>
      </c>
      <c r="M653" s="8">
        <f t="shared" ca="1" si="335"/>
        <v>0</v>
      </c>
      <c r="N653" s="8">
        <f t="shared" ca="1" si="336"/>
        <v>0</v>
      </c>
      <c r="O653" s="8">
        <f t="shared" ca="1" si="337"/>
        <v>0</v>
      </c>
      <c r="P653" s="8">
        <f t="shared" ca="1" si="338"/>
        <v>0</v>
      </c>
      <c r="Q653" s="8">
        <f t="shared" ca="1" si="339"/>
        <v>0</v>
      </c>
      <c r="R653" s="8">
        <f t="shared" ca="1" si="340"/>
        <v>0</v>
      </c>
      <c r="S653" s="8">
        <f t="shared" ca="1" si="341"/>
        <v>0</v>
      </c>
      <c r="T653" s="8">
        <f t="shared" ca="1" si="342"/>
        <v>0</v>
      </c>
      <c r="U653" s="8">
        <f t="shared" ca="1" si="343"/>
        <v>0</v>
      </c>
      <c r="V653" s="8">
        <f t="shared" ca="1" si="344"/>
        <v>0</v>
      </c>
      <c r="W653" s="11" t="str">
        <f t="shared" ca="1" si="345"/>
        <v/>
      </c>
      <c r="X653" s="11" t="str">
        <f t="shared" ca="1" si="346"/>
        <v/>
      </c>
      <c r="Y653" s="11" t="str">
        <f t="shared" ca="1" si="347"/>
        <v/>
      </c>
      <c r="Z653" s="11" t="str">
        <f t="shared" ca="1" si="348"/>
        <v/>
      </c>
      <c r="AA653" s="11" t="str">
        <f t="shared" ca="1" si="349"/>
        <v/>
      </c>
      <c r="AB653" s="47">
        <f ca="1">PlayerGameData[[#This Row],[3FGA]]+PlayerGameData[[#This Row],[2FGA]]</f>
        <v>0</v>
      </c>
      <c r="AC653" s="47">
        <f ca="1">PlayerGameData[[#This Row],[OFF REB]]+PlayerGameData[[#This Row],[DEF REB]]</f>
        <v>0</v>
      </c>
      <c r="AD653" s="8">
        <f t="shared" si="330"/>
        <v>27</v>
      </c>
      <c r="AE653" s="8" t="str">
        <f t="shared" ca="1" si="331"/>
        <v>,  - 0 1/0/1900</v>
      </c>
      <c r="AF653" s="8" t="str">
        <f t="shared" ca="1" si="350"/>
        <v/>
      </c>
      <c r="AG653" s="8" t="str">
        <f ca="1">IFERROR(IF(C653=0,"",IF(AND(VLOOKUP(PlayerGameData[[#This Row],[Opponent]],WYTeamInfo,2,FALSE)=Roster!$D$1,VLOOKUP(PlayerGameData[[#This Row],[Opponent]],WYTeamInfo,3,FALSE)=Roster!$D$2),"SR","")),"")</f>
        <v/>
      </c>
      <c r="AH653" s="8" t="str">
        <f>CONCATENATE(Roster!$D$1," ",Roster!$D$5)</f>
        <v>1A BB</v>
      </c>
      <c r="AI653" s="8" t="str">
        <f t="shared" ca="1" si="332"/>
        <v>Blank</v>
      </c>
      <c r="AJ653" s="8">
        <f ca="1">IFERROR(VLOOKUP(PlayerGameData[[#This Row],[School, Opponent,Game'#]],Table3[],2,FALSE),0)</f>
        <v>0</v>
      </c>
      <c r="AK653" s="8">
        <f ca="1">IF(PlayerGameData[[#This Row],[Visible]]=1,1,1000)</f>
        <v>1000</v>
      </c>
      <c r="AL653" s="8">
        <f ca="1">RANK(PlayerGameData[[#This Row],[TL PTS]],PlayerGameData[TL PTS],0)+PlayerGameData[[#This Row],[VisibleOrder]]</f>
        <v>1184</v>
      </c>
      <c r="AM653" s="8">
        <f ca="1">IF(COUNTIF(PlayerGameData[PointOrder],PlayerGameData[[#This Row],[PointOrder]])&gt;1,RANK(PlayerGameData[[#This Row],[FGA]],PlayerGameData[FGA],0)/100,0)+PlayerGameData[[#This Row],[PointOrder]]</f>
        <v>1186.1400000000001</v>
      </c>
      <c r="AN653" s="8">
        <f ca="1">RANK(PlayerGameData[[#This Row],[PointTieBreak]],PlayerGameData[PointTieBreak],1)</f>
        <v>625</v>
      </c>
      <c r="AO653" s="8">
        <f ca="1">RANK(PlayerGameData[[#This Row],[REB]],PlayerGameData[REB],0)+PlayerGameData[[#This Row],[VisibleOrder]]</f>
        <v>1191</v>
      </c>
      <c r="AP653" s="8">
        <f ca="1">IF(COUNTIF(PlayerGameData[REBOrder],PlayerGameData[[#This Row],[REBOrder]])&gt;1,PlayerGameData[[#This Row],[PointRank]]/100+PlayerGameData[[#This Row],[REBOrder]],PlayerGameData[[#This Row],[REBOrder]])</f>
        <v>1197.25</v>
      </c>
      <c r="AQ653" s="8">
        <f ca="1">RANK(PlayerGameData[[#This Row],[REBTieBreak]],PlayerGameData[REBTieBreak],1)</f>
        <v>625</v>
      </c>
      <c r="AR653" s="8">
        <f ca="1">RANK(PlayerGameData[[#This Row],[AST]],PlayerGameData[AST],0)+PlayerGameData[[#This Row],[VisibleOrder]]</f>
        <v>1157</v>
      </c>
      <c r="AS653" s="8">
        <f ca="1">IF(COUNTIF(PlayerGameData[ASTOrder],PlayerGameData[[#This Row],[ASTOrder]])&gt;1,PlayerGameData[[#This Row],[PointRank]]/100+PlayerGameData[[#This Row],[ASTOrder]],PlayerGameData[[#This Row],[ASTOrder]])</f>
        <v>1163.25</v>
      </c>
      <c r="AT653" s="8">
        <f ca="1">RANK(PlayerGameData[[#This Row],[ASTTieBreak]],PlayerGameData[ASTTieBreak],1)</f>
        <v>625</v>
      </c>
      <c r="AU653" s="8">
        <f ca="1">RANK(PlayerGameData[[#This Row],[STL]],PlayerGameData[STL],0)+PlayerGameData[[#This Row],[VisibleOrder]]</f>
        <v>1142</v>
      </c>
      <c r="AV653" s="8">
        <f ca="1">IF(COUNTIF(PlayerGameData[STLOrder],PlayerGameData[[#This Row],[STLOrder]])&gt;1,PlayerGameData[[#This Row],[PointRank]]/100+PlayerGameData[[#This Row],[STLOrder]],PlayerGameData[[#This Row],[STLOrder]])</f>
        <v>1148.25</v>
      </c>
      <c r="AW653" s="8">
        <f ca="1">RANK(PlayerGameData[[#This Row],[STLTieBreak]],PlayerGameData[STLTieBreak],1)</f>
        <v>625</v>
      </c>
      <c r="AX653" s="8">
        <f ca="1">RANK(PlayerGameData[[#This Row],[BLK]],PlayerGameData[BLK],0)+PlayerGameData[[#This Row],[VisibleOrder]]</f>
        <v>1031</v>
      </c>
      <c r="AY653" s="8">
        <f ca="1">IF(COUNTIF(PlayerGameData[BLKOrder],PlayerGameData[[#This Row],[BLKOrder]])&gt;1,PlayerGameData[[#This Row],[PointRank]]/100+PlayerGameData[[#This Row],[BLKOrder]],PlayerGameData[[#This Row],[BLKOrder]])</f>
        <v>1037.25</v>
      </c>
      <c r="AZ653" s="8">
        <f ca="1">RANK(PlayerGameData[[#This Row],[BLKTieBreak]],PlayerGameData[BLKTieBreak],1)</f>
        <v>625</v>
      </c>
      <c r="BA653" s="11">
        <f ca="1">IFERROR(IF(PlayerGameData[[#This Row],[FGA]]&gt;$AA$5,PlayerGameData[[#This Row],[FG%*]],PlayerGameData[[#This Row],[FG%*]]*-1),-2)</f>
        <v>-2</v>
      </c>
      <c r="BB653" s="8">
        <f ca="1">RANK(PlayerGameData[[#This Row],[EligFG]],PlayerGameData[EligFG],0)+PlayerGameData[[#This Row],[VisibleOrder]]</f>
        <v>1214</v>
      </c>
      <c r="BC653" s="8">
        <f ca="1">IF(COUNTIF(PlayerGameData[EligFGOrder],PlayerGameData[[#This Row],[EligFGOrder]])&gt;1,PlayerGameData[[#This Row],[PointRank]]/100+PlayerGameData[[#This Row],[EligFGOrder]],PlayerGameData[[#This Row],[EligFGOrder]])</f>
        <v>1220.25</v>
      </c>
      <c r="BD653" s="8">
        <f ca="1">RANK(PlayerGameData[[#This Row],[EligFGTieBreak]],PlayerGameData[EligFGTieBreak],1)</f>
        <v>625</v>
      </c>
      <c r="BE653" s="8" t="str">
        <f>Roster!$D$3</f>
        <v>East</v>
      </c>
      <c r="BF653" s="8" t="str">
        <f>Roster!$D$2</f>
        <v>Northeast</v>
      </c>
      <c r="BG653" s="8" t="str">
        <f>Roster!$D$4</f>
        <v>North</v>
      </c>
      <c r="BH653" s="197">
        <f ca="1">IFERROR(VLOOKUP(CONCATENATE(PlayerGameData[[#This Row],[Opponent]]," ",MONTH(PlayerGameData[[#This Row],[Date]]),"/",DAY(PlayerGameData[[#This Row],[Date]]),"/",YEAR(PlayerGameData[[#This Row],[Date]])),Table35[],2,FALSE),0)</f>
        <v>0</v>
      </c>
      <c r="BI653" s="197">
        <f ca="1">IF(PlayerGameData[[#This Row],[Visible]]=1,1,1000)</f>
        <v>1000</v>
      </c>
      <c r="BJ653" s="197" t="e">
        <f ca="1">_xlfn.MAXIFS(TeamGameData[Win],TeamGameData[School, Opponent,Game'#],PlayerGameData[[#This Row],[School, Opponent,Game'#]])</f>
        <v>#NAME?</v>
      </c>
      <c r="BK653" s="197" t="e">
        <f ca="1">_xlfn.MAXIFS(TeamGameData[Loss],TeamGameData[School, Opponent,Game'#],PlayerGameData[[#This Row],[School, Opponent,Game'#]])</f>
        <v>#NAME?</v>
      </c>
    </row>
    <row r="654" spans="1:63" x14ac:dyDescent="0.25">
      <c r="A654" s="8" t="str">
        <f t="shared" ca="1" si="333"/>
        <v xml:space="preserve">Team, </v>
      </c>
      <c r="B654" s="8" t="str">
        <f>Roster!$B$1</f>
        <v>Upton</v>
      </c>
      <c r="C654" s="8">
        <f t="shared" ca="1" si="321"/>
        <v>0</v>
      </c>
      <c r="D654" s="10">
        <f t="shared" ca="1" si="322"/>
        <v>0</v>
      </c>
      <c r="E654" s="8">
        <f t="shared" ca="1" si="323"/>
        <v>0</v>
      </c>
      <c r="F654" s="8">
        <f t="shared" ca="1" si="324"/>
        <v>0</v>
      </c>
      <c r="G654" s="8">
        <f t="shared" ca="1" si="325"/>
        <v>0</v>
      </c>
      <c r="H654" s="8">
        <f t="shared" ca="1" si="326"/>
        <v>0</v>
      </c>
      <c r="I654" s="8">
        <f t="shared" ca="1" si="327"/>
        <v>0</v>
      </c>
      <c r="J654" s="8">
        <f t="shared" ca="1" si="328"/>
        <v>0</v>
      </c>
      <c r="K654" s="8">
        <f t="shared" ca="1" si="329"/>
        <v>0</v>
      </c>
      <c r="L654" s="8">
        <f t="shared" ca="1" si="334"/>
        <v>0</v>
      </c>
      <c r="M654" s="8">
        <f t="shared" ca="1" si="335"/>
        <v>0</v>
      </c>
      <c r="N654" s="8">
        <f t="shared" ca="1" si="336"/>
        <v>0</v>
      </c>
      <c r="O654" s="8">
        <f t="shared" ca="1" si="337"/>
        <v>0</v>
      </c>
      <c r="P654" s="8">
        <f t="shared" ca="1" si="338"/>
        <v>0</v>
      </c>
      <c r="Q654" s="8">
        <f t="shared" ca="1" si="339"/>
        <v>0</v>
      </c>
      <c r="R654" s="8">
        <f t="shared" ca="1" si="340"/>
        <v>0</v>
      </c>
      <c r="S654" s="8">
        <f t="shared" ca="1" si="341"/>
        <v>0</v>
      </c>
      <c r="T654" s="8">
        <f t="shared" ca="1" si="342"/>
        <v>0</v>
      </c>
      <c r="U654" s="8">
        <f t="shared" ca="1" si="343"/>
        <v>0</v>
      </c>
      <c r="V654" s="8">
        <f t="shared" ca="1" si="344"/>
        <v>0</v>
      </c>
      <c r="W654" s="11" t="str">
        <f t="shared" ca="1" si="345"/>
        <v/>
      </c>
      <c r="X654" s="11" t="str">
        <f t="shared" ca="1" si="346"/>
        <v/>
      </c>
      <c r="Y654" s="11" t="str">
        <f t="shared" ca="1" si="347"/>
        <v/>
      </c>
      <c r="Z654" s="11" t="str">
        <f t="shared" ca="1" si="348"/>
        <v/>
      </c>
      <c r="AA654" s="11" t="str">
        <f t="shared" ca="1" si="349"/>
        <v/>
      </c>
      <c r="AB654" s="47">
        <f ca="1">PlayerGameData[[#This Row],[3FGA]]+PlayerGameData[[#This Row],[2FGA]]</f>
        <v>0</v>
      </c>
      <c r="AC654" s="47">
        <f ca="1">PlayerGameData[[#This Row],[OFF REB]]+PlayerGameData[[#This Row],[DEF REB]]</f>
        <v>0</v>
      </c>
      <c r="AD654" s="8">
        <f t="shared" si="330"/>
        <v>27</v>
      </c>
      <c r="AE654" s="8" t="str">
        <f t="shared" ca="1" si="331"/>
        <v>Team,  - 0 1/0/1900</v>
      </c>
      <c r="AF654" s="8" t="str">
        <f t="shared" ca="1" si="350"/>
        <v/>
      </c>
      <c r="AG654" s="8" t="str">
        <f ca="1">IFERROR(IF(C654=0,"",IF(AND(VLOOKUP(PlayerGameData[[#This Row],[Opponent]],WYTeamInfo,2,FALSE)=Roster!$D$1,VLOOKUP(PlayerGameData[[#This Row],[Opponent]],WYTeamInfo,3,FALSE)=Roster!$D$2),"SR","")),"")</f>
        <v/>
      </c>
      <c r="AH654" s="8" t="str">
        <f>CONCATENATE(Roster!$D$1," ",Roster!$D$5)</f>
        <v>1A BB</v>
      </c>
      <c r="AI654" s="8" t="str">
        <f t="shared" ca="1" si="332"/>
        <v>Blank</v>
      </c>
      <c r="AJ654" s="8">
        <f ca="1">IFERROR(VLOOKUP(PlayerGameData[[#This Row],[School, Opponent,Game'#]],Table3[],2,FALSE),0)</f>
        <v>0</v>
      </c>
      <c r="AK654" s="8">
        <f ca="1">IF(PlayerGameData[[#This Row],[Visible]]=1,1,1000)</f>
        <v>1000</v>
      </c>
      <c r="AL654" s="8">
        <f ca="1">RANK(PlayerGameData[[#This Row],[TL PTS]],PlayerGameData[TL PTS],0)+PlayerGameData[[#This Row],[VisibleOrder]]</f>
        <v>1184</v>
      </c>
      <c r="AM654" s="8">
        <f ca="1">IF(COUNTIF(PlayerGameData[PointOrder],PlayerGameData[[#This Row],[PointOrder]])&gt;1,RANK(PlayerGameData[[#This Row],[FGA]],PlayerGameData[FGA],0)/100,0)+PlayerGameData[[#This Row],[PointOrder]]</f>
        <v>1186.1400000000001</v>
      </c>
      <c r="AN654" s="8">
        <f ca="1">RANK(PlayerGameData[[#This Row],[PointTieBreak]],PlayerGameData[PointTieBreak],1)</f>
        <v>625</v>
      </c>
      <c r="AO654" s="8">
        <f ca="1">RANK(PlayerGameData[[#This Row],[REB]],PlayerGameData[REB],0)+PlayerGameData[[#This Row],[VisibleOrder]]</f>
        <v>1191</v>
      </c>
      <c r="AP654" s="8">
        <f ca="1">IF(COUNTIF(PlayerGameData[REBOrder],PlayerGameData[[#This Row],[REBOrder]])&gt;1,PlayerGameData[[#This Row],[PointRank]]/100+PlayerGameData[[#This Row],[REBOrder]],PlayerGameData[[#This Row],[REBOrder]])</f>
        <v>1197.25</v>
      </c>
      <c r="AQ654" s="8">
        <f ca="1">RANK(PlayerGameData[[#This Row],[REBTieBreak]],PlayerGameData[REBTieBreak],1)</f>
        <v>625</v>
      </c>
      <c r="AR654" s="8">
        <f ca="1">RANK(PlayerGameData[[#This Row],[AST]],PlayerGameData[AST],0)+PlayerGameData[[#This Row],[VisibleOrder]]</f>
        <v>1157</v>
      </c>
      <c r="AS654" s="8">
        <f ca="1">IF(COUNTIF(PlayerGameData[ASTOrder],PlayerGameData[[#This Row],[ASTOrder]])&gt;1,PlayerGameData[[#This Row],[PointRank]]/100+PlayerGameData[[#This Row],[ASTOrder]],PlayerGameData[[#This Row],[ASTOrder]])</f>
        <v>1163.25</v>
      </c>
      <c r="AT654" s="8">
        <f ca="1">RANK(PlayerGameData[[#This Row],[ASTTieBreak]],PlayerGameData[ASTTieBreak],1)</f>
        <v>625</v>
      </c>
      <c r="AU654" s="8">
        <f ca="1">RANK(PlayerGameData[[#This Row],[STL]],PlayerGameData[STL],0)+PlayerGameData[[#This Row],[VisibleOrder]]</f>
        <v>1142</v>
      </c>
      <c r="AV654" s="8">
        <f ca="1">IF(COUNTIF(PlayerGameData[STLOrder],PlayerGameData[[#This Row],[STLOrder]])&gt;1,PlayerGameData[[#This Row],[PointRank]]/100+PlayerGameData[[#This Row],[STLOrder]],PlayerGameData[[#This Row],[STLOrder]])</f>
        <v>1148.25</v>
      </c>
      <c r="AW654" s="8">
        <f ca="1">RANK(PlayerGameData[[#This Row],[STLTieBreak]],PlayerGameData[STLTieBreak],1)</f>
        <v>625</v>
      </c>
      <c r="AX654" s="8">
        <f ca="1">RANK(PlayerGameData[[#This Row],[BLK]],PlayerGameData[BLK],0)+PlayerGameData[[#This Row],[VisibleOrder]]</f>
        <v>1031</v>
      </c>
      <c r="AY654" s="8">
        <f ca="1">IF(COUNTIF(PlayerGameData[BLKOrder],PlayerGameData[[#This Row],[BLKOrder]])&gt;1,PlayerGameData[[#This Row],[PointRank]]/100+PlayerGameData[[#This Row],[BLKOrder]],PlayerGameData[[#This Row],[BLKOrder]])</f>
        <v>1037.25</v>
      </c>
      <c r="AZ654" s="8">
        <f ca="1">RANK(PlayerGameData[[#This Row],[BLKTieBreak]],PlayerGameData[BLKTieBreak],1)</f>
        <v>625</v>
      </c>
      <c r="BA654" s="11">
        <f ca="1">IFERROR(IF(PlayerGameData[[#This Row],[FGA]]&gt;$AA$5,PlayerGameData[[#This Row],[FG%*]],PlayerGameData[[#This Row],[FG%*]]*-1),-2)</f>
        <v>-2</v>
      </c>
      <c r="BB654" s="8">
        <f ca="1">RANK(PlayerGameData[[#This Row],[EligFG]],PlayerGameData[EligFG],0)+PlayerGameData[[#This Row],[VisibleOrder]]</f>
        <v>1214</v>
      </c>
      <c r="BC654" s="8">
        <f ca="1">IF(COUNTIF(PlayerGameData[EligFGOrder],PlayerGameData[[#This Row],[EligFGOrder]])&gt;1,PlayerGameData[[#This Row],[PointRank]]/100+PlayerGameData[[#This Row],[EligFGOrder]],PlayerGameData[[#This Row],[EligFGOrder]])</f>
        <v>1220.25</v>
      </c>
      <c r="BD654" s="8">
        <f ca="1">RANK(PlayerGameData[[#This Row],[EligFGTieBreak]],PlayerGameData[EligFGTieBreak],1)</f>
        <v>625</v>
      </c>
      <c r="BE654" s="8" t="str">
        <f>Roster!$D$3</f>
        <v>East</v>
      </c>
      <c r="BF654" s="8" t="str">
        <f>Roster!$D$2</f>
        <v>Northeast</v>
      </c>
      <c r="BG654" s="8" t="str">
        <f>Roster!$D$4</f>
        <v>North</v>
      </c>
      <c r="BH654" s="197">
        <f ca="1">IFERROR(VLOOKUP(CONCATENATE(PlayerGameData[[#This Row],[Opponent]]," ",MONTH(PlayerGameData[[#This Row],[Date]]),"/",DAY(PlayerGameData[[#This Row],[Date]]),"/",YEAR(PlayerGameData[[#This Row],[Date]])),Table35[],2,FALSE),0)</f>
        <v>0</v>
      </c>
      <c r="BI654" s="197">
        <f ca="1">IF(PlayerGameData[[#This Row],[Visible]]=1,1,1000)</f>
        <v>1000</v>
      </c>
      <c r="BJ654" s="197" t="e">
        <f ca="1">_xlfn.MAXIFS(TeamGameData[Win],TeamGameData[School, Opponent,Game'#],PlayerGameData[[#This Row],[School, Opponent,Game'#]])</f>
        <v>#NAME?</v>
      </c>
      <c r="BK654" s="197" t="e">
        <f ca="1">_xlfn.MAXIFS(TeamGameData[Loss],TeamGameData[School, Opponent,Game'#],PlayerGameData[[#This Row],[School, Opponent,Game'#]])</f>
        <v>#NAME?</v>
      </c>
    </row>
    <row r="655" spans="1:63" x14ac:dyDescent="0.25">
      <c r="A655" s="8" t="str">
        <f t="shared" ca="1" si="333"/>
        <v>Landon Butler, 1</v>
      </c>
      <c r="B655" s="8" t="str">
        <f>Roster!$B$1</f>
        <v>Upton</v>
      </c>
      <c r="C655" s="8">
        <f t="shared" ca="1" si="321"/>
        <v>0</v>
      </c>
      <c r="D655" s="10">
        <f t="shared" ca="1" si="322"/>
        <v>0</v>
      </c>
      <c r="E655" s="8">
        <f t="shared" ca="1" si="323"/>
        <v>0</v>
      </c>
      <c r="F655" s="8">
        <f t="shared" ca="1" si="324"/>
        <v>0</v>
      </c>
      <c r="G655" s="8">
        <f t="shared" ca="1" si="325"/>
        <v>0</v>
      </c>
      <c r="H655" s="8">
        <f t="shared" ca="1" si="326"/>
        <v>0</v>
      </c>
      <c r="I655" s="8">
        <f t="shared" ca="1" si="327"/>
        <v>0</v>
      </c>
      <c r="J655" s="8">
        <f t="shared" ca="1" si="328"/>
        <v>0</v>
      </c>
      <c r="K655" s="8">
        <f t="shared" ca="1" si="329"/>
        <v>0</v>
      </c>
      <c r="L655" s="8">
        <f t="shared" ca="1" si="334"/>
        <v>0</v>
      </c>
      <c r="M655" s="8">
        <f t="shared" ca="1" si="335"/>
        <v>0</v>
      </c>
      <c r="N655" s="8">
        <f t="shared" ca="1" si="336"/>
        <v>0</v>
      </c>
      <c r="O655" s="8">
        <f t="shared" ca="1" si="337"/>
        <v>0</v>
      </c>
      <c r="P655" s="8">
        <f t="shared" ca="1" si="338"/>
        <v>0</v>
      </c>
      <c r="Q655" s="8">
        <f t="shared" ca="1" si="339"/>
        <v>0</v>
      </c>
      <c r="R655" s="8">
        <f t="shared" ca="1" si="340"/>
        <v>0</v>
      </c>
      <c r="S655" s="8">
        <f t="shared" ca="1" si="341"/>
        <v>0</v>
      </c>
      <c r="T655" s="8">
        <f t="shared" ca="1" si="342"/>
        <v>0</v>
      </c>
      <c r="U655" s="8">
        <f t="shared" ca="1" si="343"/>
        <v>0</v>
      </c>
      <c r="V655" s="8">
        <f t="shared" ca="1" si="344"/>
        <v>0</v>
      </c>
      <c r="W655" s="11" t="str">
        <f t="shared" ca="1" si="345"/>
        <v/>
      </c>
      <c r="X655" s="11" t="str">
        <f t="shared" ca="1" si="346"/>
        <v/>
      </c>
      <c r="Y655" s="11" t="str">
        <f t="shared" ca="1" si="347"/>
        <v/>
      </c>
      <c r="Z655" s="11" t="str">
        <f t="shared" ca="1" si="348"/>
        <v/>
      </c>
      <c r="AA655" s="11" t="str">
        <f t="shared" ca="1" si="349"/>
        <v/>
      </c>
      <c r="AB655" s="47">
        <f ca="1">PlayerGameData[[#This Row],[3FGA]]+PlayerGameData[[#This Row],[2FGA]]</f>
        <v>0</v>
      </c>
      <c r="AC655" s="47">
        <f ca="1">PlayerGameData[[#This Row],[OFF REB]]+PlayerGameData[[#This Row],[DEF REB]]</f>
        <v>0</v>
      </c>
      <c r="AD655" s="8">
        <f t="shared" si="330"/>
        <v>28</v>
      </c>
      <c r="AE655" s="8" t="str">
        <f t="shared" ca="1" si="331"/>
        <v>Landon Butler, 1 - 0 1/0/1900</v>
      </c>
      <c r="AF655" s="8" t="str">
        <f t="shared" ca="1" si="350"/>
        <v/>
      </c>
      <c r="AG655" s="8" t="str">
        <f ca="1">IFERROR(IF(C655=0,"",IF(AND(VLOOKUP(PlayerGameData[[#This Row],[Opponent]],WYTeamInfo,2,FALSE)=Roster!$D$1,VLOOKUP(PlayerGameData[[#This Row],[Opponent]],WYTeamInfo,3,FALSE)=Roster!$D$2),"SR","")),"")</f>
        <v/>
      </c>
      <c r="AH655" s="8" t="str">
        <f>CONCATENATE(Roster!$D$1," ",Roster!$D$5)</f>
        <v>1A BB</v>
      </c>
      <c r="AI655" s="8" t="str">
        <f t="shared" ca="1" si="332"/>
        <v>Blank</v>
      </c>
      <c r="AJ655" s="8">
        <f ca="1">IFERROR(VLOOKUP(PlayerGameData[[#This Row],[School, Opponent,Game'#]],Table3[],2,FALSE),0)</f>
        <v>0</v>
      </c>
      <c r="AK655" s="8">
        <f ca="1">IF(PlayerGameData[[#This Row],[Visible]]=1,1,1000)</f>
        <v>1000</v>
      </c>
      <c r="AL655" s="8">
        <f ca="1">RANK(PlayerGameData[[#This Row],[TL PTS]],PlayerGameData[TL PTS],0)+PlayerGameData[[#This Row],[VisibleOrder]]</f>
        <v>1184</v>
      </c>
      <c r="AM655" s="8">
        <f ca="1">IF(COUNTIF(PlayerGameData[PointOrder],PlayerGameData[[#This Row],[PointOrder]])&gt;1,RANK(PlayerGameData[[#This Row],[FGA]],PlayerGameData[FGA],0)/100,0)+PlayerGameData[[#This Row],[PointOrder]]</f>
        <v>1186.1400000000001</v>
      </c>
      <c r="AN655" s="8">
        <f ca="1">RANK(PlayerGameData[[#This Row],[PointTieBreak]],PlayerGameData[PointTieBreak],1)</f>
        <v>625</v>
      </c>
      <c r="AO655" s="8">
        <f ca="1">RANK(PlayerGameData[[#This Row],[REB]],PlayerGameData[REB],0)+PlayerGameData[[#This Row],[VisibleOrder]]</f>
        <v>1191</v>
      </c>
      <c r="AP655" s="8">
        <f ca="1">IF(COUNTIF(PlayerGameData[REBOrder],PlayerGameData[[#This Row],[REBOrder]])&gt;1,PlayerGameData[[#This Row],[PointRank]]/100+PlayerGameData[[#This Row],[REBOrder]],PlayerGameData[[#This Row],[REBOrder]])</f>
        <v>1197.25</v>
      </c>
      <c r="AQ655" s="8">
        <f ca="1">RANK(PlayerGameData[[#This Row],[REBTieBreak]],PlayerGameData[REBTieBreak],1)</f>
        <v>625</v>
      </c>
      <c r="AR655" s="8">
        <f ca="1">RANK(PlayerGameData[[#This Row],[AST]],PlayerGameData[AST],0)+PlayerGameData[[#This Row],[VisibleOrder]]</f>
        <v>1157</v>
      </c>
      <c r="AS655" s="8">
        <f ca="1">IF(COUNTIF(PlayerGameData[ASTOrder],PlayerGameData[[#This Row],[ASTOrder]])&gt;1,PlayerGameData[[#This Row],[PointRank]]/100+PlayerGameData[[#This Row],[ASTOrder]],PlayerGameData[[#This Row],[ASTOrder]])</f>
        <v>1163.25</v>
      </c>
      <c r="AT655" s="8">
        <f ca="1">RANK(PlayerGameData[[#This Row],[ASTTieBreak]],PlayerGameData[ASTTieBreak],1)</f>
        <v>625</v>
      </c>
      <c r="AU655" s="8">
        <f ca="1">RANK(PlayerGameData[[#This Row],[STL]],PlayerGameData[STL],0)+PlayerGameData[[#This Row],[VisibleOrder]]</f>
        <v>1142</v>
      </c>
      <c r="AV655" s="8">
        <f ca="1">IF(COUNTIF(PlayerGameData[STLOrder],PlayerGameData[[#This Row],[STLOrder]])&gt;1,PlayerGameData[[#This Row],[PointRank]]/100+PlayerGameData[[#This Row],[STLOrder]],PlayerGameData[[#This Row],[STLOrder]])</f>
        <v>1148.25</v>
      </c>
      <c r="AW655" s="8">
        <f ca="1">RANK(PlayerGameData[[#This Row],[STLTieBreak]],PlayerGameData[STLTieBreak],1)</f>
        <v>625</v>
      </c>
      <c r="AX655" s="8">
        <f ca="1">RANK(PlayerGameData[[#This Row],[BLK]],PlayerGameData[BLK],0)+PlayerGameData[[#This Row],[VisibleOrder]]</f>
        <v>1031</v>
      </c>
      <c r="AY655" s="8">
        <f ca="1">IF(COUNTIF(PlayerGameData[BLKOrder],PlayerGameData[[#This Row],[BLKOrder]])&gt;1,PlayerGameData[[#This Row],[PointRank]]/100+PlayerGameData[[#This Row],[BLKOrder]],PlayerGameData[[#This Row],[BLKOrder]])</f>
        <v>1037.25</v>
      </c>
      <c r="AZ655" s="8">
        <f ca="1">RANK(PlayerGameData[[#This Row],[BLKTieBreak]],PlayerGameData[BLKTieBreak],1)</f>
        <v>625</v>
      </c>
      <c r="BA655" s="11">
        <f ca="1">IFERROR(IF(PlayerGameData[[#This Row],[FGA]]&gt;$AA$5,PlayerGameData[[#This Row],[FG%*]],PlayerGameData[[#This Row],[FG%*]]*-1),-2)</f>
        <v>-2</v>
      </c>
      <c r="BB655" s="8">
        <f ca="1">RANK(PlayerGameData[[#This Row],[EligFG]],PlayerGameData[EligFG],0)+PlayerGameData[[#This Row],[VisibleOrder]]</f>
        <v>1214</v>
      </c>
      <c r="BC655" s="8">
        <f ca="1">IF(COUNTIF(PlayerGameData[EligFGOrder],PlayerGameData[[#This Row],[EligFGOrder]])&gt;1,PlayerGameData[[#This Row],[PointRank]]/100+PlayerGameData[[#This Row],[EligFGOrder]],PlayerGameData[[#This Row],[EligFGOrder]])</f>
        <v>1220.25</v>
      </c>
      <c r="BD655" s="8">
        <f ca="1">RANK(PlayerGameData[[#This Row],[EligFGTieBreak]],PlayerGameData[EligFGTieBreak],1)</f>
        <v>625</v>
      </c>
      <c r="BE655" s="8" t="str">
        <f>Roster!$D$3</f>
        <v>East</v>
      </c>
      <c r="BF655" s="8" t="str">
        <f>Roster!$D$2</f>
        <v>Northeast</v>
      </c>
      <c r="BG655" s="8" t="str">
        <f>Roster!$D$4</f>
        <v>North</v>
      </c>
      <c r="BH655" s="197">
        <f ca="1">IFERROR(VLOOKUP(CONCATENATE(PlayerGameData[[#This Row],[Opponent]]," ",MONTH(PlayerGameData[[#This Row],[Date]]),"/",DAY(PlayerGameData[[#This Row],[Date]]),"/",YEAR(PlayerGameData[[#This Row],[Date]])),Table35[],2,FALSE),0)</f>
        <v>0</v>
      </c>
      <c r="BI655" s="197">
        <f ca="1">IF(PlayerGameData[[#This Row],[Visible]]=1,1,1000)</f>
        <v>1000</v>
      </c>
      <c r="BJ655" s="197" t="e">
        <f ca="1">_xlfn.MAXIFS(TeamGameData[Win],TeamGameData[School, Opponent,Game'#],PlayerGameData[[#This Row],[School, Opponent,Game'#]])</f>
        <v>#NAME?</v>
      </c>
      <c r="BK655" s="197" t="e">
        <f ca="1">_xlfn.MAXIFS(TeamGameData[Loss],TeamGameData[School, Opponent,Game'#],PlayerGameData[[#This Row],[School, Opponent,Game'#]])</f>
        <v>#NAME?</v>
      </c>
    </row>
    <row r="656" spans="1:63" x14ac:dyDescent="0.25">
      <c r="A656" s="8" t="str">
        <f t="shared" ca="1" si="333"/>
        <v>Logan Timberman, 3</v>
      </c>
      <c r="B656" s="8" t="str">
        <f>Roster!$B$1</f>
        <v>Upton</v>
      </c>
      <c r="C656" s="8">
        <f t="shared" ca="1" si="321"/>
        <v>0</v>
      </c>
      <c r="D656" s="10">
        <f t="shared" ca="1" si="322"/>
        <v>0</v>
      </c>
      <c r="E656" s="8">
        <f t="shared" ca="1" si="323"/>
        <v>0</v>
      </c>
      <c r="F656" s="8">
        <f t="shared" ca="1" si="324"/>
        <v>0</v>
      </c>
      <c r="G656" s="8">
        <f t="shared" ca="1" si="325"/>
        <v>0</v>
      </c>
      <c r="H656" s="8">
        <f t="shared" ca="1" si="326"/>
        <v>0</v>
      </c>
      <c r="I656" s="8">
        <f t="shared" ca="1" si="327"/>
        <v>0</v>
      </c>
      <c r="J656" s="8">
        <f t="shared" ca="1" si="328"/>
        <v>0</v>
      </c>
      <c r="K656" s="8">
        <f t="shared" ca="1" si="329"/>
        <v>0</v>
      </c>
      <c r="L656" s="8">
        <f t="shared" ca="1" si="334"/>
        <v>0</v>
      </c>
      <c r="M656" s="8">
        <f t="shared" ca="1" si="335"/>
        <v>0</v>
      </c>
      <c r="N656" s="8">
        <f t="shared" ca="1" si="336"/>
        <v>0</v>
      </c>
      <c r="O656" s="8">
        <f t="shared" ca="1" si="337"/>
        <v>0</v>
      </c>
      <c r="P656" s="8">
        <f t="shared" ca="1" si="338"/>
        <v>0</v>
      </c>
      <c r="Q656" s="8">
        <f t="shared" ca="1" si="339"/>
        <v>0</v>
      </c>
      <c r="R656" s="8">
        <f t="shared" ca="1" si="340"/>
        <v>0</v>
      </c>
      <c r="S656" s="8">
        <f t="shared" ca="1" si="341"/>
        <v>0</v>
      </c>
      <c r="T656" s="8">
        <f t="shared" ca="1" si="342"/>
        <v>0</v>
      </c>
      <c r="U656" s="8">
        <f t="shared" ca="1" si="343"/>
        <v>0</v>
      </c>
      <c r="V656" s="8">
        <f t="shared" ca="1" si="344"/>
        <v>0</v>
      </c>
      <c r="W656" s="11" t="str">
        <f t="shared" ca="1" si="345"/>
        <v/>
      </c>
      <c r="X656" s="11" t="str">
        <f t="shared" ca="1" si="346"/>
        <v/>
      </c>
      <c r="Y656" s="11" t="str">
        <f t="shared" ca="1" si="347"/>
        <v/>
      </c>
      <c r="Z656" s="11" t="str">
        <f t="shared" ca="1" si="348"/>
        <v/>
      </c>
      <c r="AA656" s="11" t="str">
        <f t="shared" ca="1" si="349"/>
        <v/>
      </c>
      <c r="AB656" s="47">
        <f ca="1">PlayerGameData[[#This Row],[3FGA]]+PlayerGameData[[#This Row],[2FGA]]</f>
        <v>0</v>
      </c>
      <c r="AC656" s="47">
        <f ca="1">PlayerGameData[[#This Row],[OFF REB]]+PlayerGameData[[#This Row],[DEF REB]]</f>
        <v>0</v>
      </c>
      <c r="AD656" s="8">
        <f t="shared" si="330"/>
        <v>28</v>
      </c>
      <c r="AE656" s="8" t="str">
        <f t="shared" ca="1" si="331"/>
        <v>Logan Timberman, 3 - 0 1/0/1900</v>
      </c>
      <c r="AF656" s="8" t="str">
        <f t="shared" ca="1" si="350"/>
        <v/>
      </c>
      <c r="AG656" s="8" t="str">
        <f ca="1">IFERROR(IF(C656=0,"",IF(AND(VLOOKUP(PlayerGameData[[#This Row],[Opponent]],WYTeamInfo,2,FALSE)=Roster!$D$1,VLOOKUP(PlayerGameData[[#This Row],[Opponent]],WYTeamInfo,3,FALSE)=Roster!$D$2),"SR","")),"")</f>
        <v/>
      </c>
      <c r="AH656" s="8" t="str">
        <f>CONCATENATE(Roster!$D$1," ",Roster!$D$5)</f>
        <v>1A BB</v>
      </c>
      <c r="AI656" s="8" t="str">
        <f t="shared" ca="1" si="332"/>
        <v>Blank</v>
      </c>
      <c r="AJ656" s="8">
        <f ca="1">IFERROR(VLOOKUP(PlayerGameData[[#This Row],[School, Opponent,Game'#]],Table3[],2,FALSE),0)</f>
        <v>0</v>
      </c>
      <c r="AK656" s="8">
        <f ca="1">IF(PlayerGameData[[#This Row],[Visible]]=1,1,1000)</f>
        <v>1000</v>
      </c>
      <c r="AL656" s="8">
        <f ca="1">RANK(PlayerGameData[[#This Row],[TL PTS]],PlayerGameData[TL PTS],0)+PlayerGameData[[#This Row],[VisibleOrder]]</f>
        <v>1184</v>
      </c>
      <c r="AM656" s="8">
        <f ca="1">IF(COUNTIF(PlayerGameData[PointOrder],PlayerGameData[[#This Row],[PointOrder]])&gt;1,RANK(PlayerGameData[[#This Row],[FGA]],PlayerGameData[FGA],0)/100,0)+PlayerGameData[[#This Row],[PointOrder]]</f>
        <v>1186.1400000000001</v>
      </c>
      <c r="AN656" s="8">
        <f ca="1">RANK(PlayerGameData[[#This Row],[PointTieBreak]],PlayerGameData[PointTieBreak],1)</f>
        <v>625</v>
      </c>
      <c r="AO656" s="8">
        <f ca="1">RANK(PlayerGameData[[#This Row],[REB]],PlayerGameData[REB],0)+PlayerGameData[[#This Row],[VisibleOrder]]</f>
        <v>1191</v>
      </c>
      <c r="AP656" s="8">
        <f ca="1">IF(COUNTIF(PlayerGameData[REBOrder],PlayerGameData[[#This Row],[REBOrder]])&gt;1,PlayerGameData[[#This Row],[PointRank]]/100+PlayerGameData[[#This Row],[REBOrder]],PlayerGameData[[#This Row],[REBOrder]])</f>
        <v>1197.25</v>
      </c>
      <c r="AQ656" s="8">
        <f ca="1">RANK(PlayerGameData[[#This Row],[REBTieBreak]],PlayerGameData[REBTieBreak],1)</f>
        <v>625</v>
      </c>
      <c r="AR656" s="8">
        <f ca="1">RANK(PlayerGameData[[#This Row],[AST]],PlayerGameData[AST],0)+PlayerGameData[[#This Row],[VisibleOrder]]</f>
        <v>1157</v>
      </c>
      <c r="AS656" s="8">
        <f ca="1">IF(COUNTIF(PlayerGameData[ASTOrder],PlayerGameData[[#This Row],[ASTOrder]])&gt;1,PlayerGameData[[#This Row],[PointRank]]/100+PlayerGameData[[#This Row],[ASTOrder]],PlayerGameData[[#This Row],[ASTOrder]])</f>
        <v>1163.25</v>
      </c>
      <c r="AT656" s="8">
        <f ca="1">RANK(PlayerGameData[[#This Row],[ASTTieBreak]],PlayerGameData[ASTTieBreak],1)</f>
        <v>625</v>
      </c>
      <c r="AU656" s="8">
        <f ca="1">RANK(PlayerGameData[[#This Row],[STL]],PlayerGameData[STL],0)+PlayerGameData[[#This Row],[VisibleOrder]]</f>
        <v>1142</v>
      </c>
      <c r="AV656" s="8">
        <f ca="1">IF(COUNTIF(PlayerGameData[STLOrder],PlayerGameData[[#This Row],[STLOrder]])&gt;1,PlayerGameData[[#This Row],[PointRank]]/100+PlayerGameData[[#This Row],[STLOrder]],PlayerGameData[[#This Row],[STLOrder]])</f>
        <v>1148.25</v>
      </c>
      <c r="AW656" s="8">
        <f ca="1">RANK(PlayerGameData[[#This Row],[STLTieBreak]],PlayerGameData[STLTieBreak],1)</f>
        <v>625</v>
      </c>
      <c r="AX656" s="8">
        <f ca="1">RANK(PlayerGameData[[#This Row],[BLK]],PlayerGameData[BLK],0)+PlayerGameData[[#This Row],[VisibleOrder]]</f>
        <v>1031</v>
      </c>
      <c r="AY656" s="8">
        <f ca="1">IF(COUNTIF(PlayerGameData[BLKOrder],PlayerGameData[[#This Row],[BLKOrder]])&gt;1,PlayerGameData[[#This Row],[PointRank]]/100+PlayerGameData[[#This Row],[BLKOrder]],PlayerGameData[[#This Row],[BLKOrder]])</f>
        <v>1037.25</v>
      </c>
      <c r="AZ656" s="8">
        <f ca="1">RANK(PlayerGameData[[#This Row],[BLKTieBreak]],PlayerGameData[BLKTieBreak],1)</f>
        <v>625</v>
      </c>
      <c r="BA656" s="11">
        <f ca="1">IFERROR(IF(PlayerGameData[[#This Row],[FGA]]&gt;$AA$5,PlayerGameData[[#This Row],[FG%*]],PlayerGameData[[#This Row],[FG%*]]*-1),-2)</f>
        <v>-2</v>
      </c>
      <c r="BB656" s="8">
        <f ca="1">RANK(PlayerGameData[[#This Row],[EligFG]],PlayerGameData[EligFG],0)+PlayerGameData[[#This Row],[VisibleOrder]]</f>
        <v>1214</v>
      </c>
      <c r="BC656" s="8">
        <f ca="1">IF(COUNTIF(PlayerGameData[EligFGOrder],PlayerGameData[[#This Row],[EligFGOrder]])&gt;1,PlayerGameData[[#This Row],[PointRank]]/100+PlayerGameData[[#This Row],[EligFGOrder]],PlayerGameData[[#This Row],[EligFGOrder]])</f>
        <v>1220.25</v>
      </c>
      <c r="BD656" s="8">
        <f ca="1">RANK(PlayerGameData[[#This Row],[EligFGTieBreak]],PlayerGameData[EligFGTieBreak],1)</f>
        <v>625</v>
      </c>
      <c r="BE656" s="8" t="str">
        <f>Roster!$D$3</f>
        <v>East</v>
      </c>
      <c r="BF656" s="8" t="str">
        <f>Roster!$D$2</f>
        <v>Northeast</v>
      </c>
      <c r="BG656" s="8" t="str">
        <f>Roster!$D$4</f>
        <v>North</v>
      </c>
      <c r="BH656" s="197">
        <f ca="1">IFERROR(VLOOKUP(CONCATENATE(PlayerGameData[[#This Row],[Opponent]]," ",MONTH(PlayerGameData[[#This Row],[Date]]),"/",DAY(PlayerGameData[[#This Row],[Date]]),"/",YEAR(PlayerGameData[[#This Row],[Date]])),Table35[],2,FALSE),0)</f>
        <v>0</v>
      </c>
      <c r="BI656" s="197">
        <f ca="1">IF(PlayerGameData[[#This Row],[Visible]]=1,1,1000)</f>
        <v>1000</v>
      </c>
      <c r="BJ656" s="197" t="e">
        <f ca="1">_xlfn.MAXIFS(TeamGameData[Win],TeamGameData[School, Opponent,Game'#],PlayerGameData[[#This Row],[School, Opponent,Game'#]])</f>
        <v>#NAME?</v>
      </c>
      <c r="BK656" s="197" t="e">
        <f ca="1">_xlfn.MAXIFS(TeamGameData[Loss],TeamGameData[School, Opponent,Game'#],PlayerGameData[[#This Row],[School, Opponent,Game'#]])</f>
        <v>#NAME?</v>
      </c>
    </row>
    <row r="657" spans="1:63" x14ac:dyDescent="0.25">
      <c r="A657" s="8" t="str">
        <f t="shared" ca="1" si="333"/>
        <v>Chase Mills, 5</v>
      </c>
      <c r="B657" s="8" t="str">
        <f>Roster!$B$1</f>
        <v>Upton</v>
      </c>
      <c r="C657" s="8">
        <f t="shared" ca="1" si="321"/>
        <v>0</v>
      </c>
      <c r="D657" s="10">
        <f t="shared" ca="1" si="322"/>
        <v>0</v>
      </c>
      <c r="E657" s="8">
        <f t="shared" ca="1" si="323"/>
        <v>0</v>
      </c>
      <c r="F657" s="8">
        <f t="shared" ca="1" si="324"/>
        <v>0</v>
      </c>
      <c r="G657" s="8">
        <f t="shared" ca="1" si="325"/>
        <v>0</v>
      </c>
      <c r="H657" s="8">
        <f t="shared" ca="1" si="326"/>
        <v>0</v>
      </c>
      <c r="I657" s="8">
        <f t="shared" ca="1" si="327"/>
        <v>0</v>
      </c>
      <c r="J657" s="8">
        <f t="shared" ca="1" si="328"/>
        <v>0</v>
      </c>
      <c r="K657" s="8">
        <f t="shared" ca="1" si="329"/>
        <v>0</v>
      </c>
      <c r="L657" s="8">
        <f t="shared" ca="1" si="334"/>
        <v>0</v>
      </c>
      <c r="M657" s="8">
        <f t="shared" ca="1" si="335"/>
        <v>0</v>
      </c>
      <c r="N657" s="8">
        <f t="shared" ca="1" si="336"/>
        <v>0</v>
      </c>
      <c r="O657" s="8">
        <f t="shared" ca="1" si="337"/>
        <v>0</v>
      </c>
      <c r="P657" s="8">
        <f t="shared" ca="1" si="338"/>
        <v>0</v>
      </c>
      <c r="Q657" s="8">
        <f t="shared" ca="1" si="339"/>
        <v>0</v>
      </c>
      <c r="R657" s="8">
        <f t="shared" ca="1" si="340"/>
        <v>0</v>
      </c>
      <c r="S657" s="8">
        <f t="shared" ca="1" si="341"/>
        <v>0</v>
      </c>
      <c r="T657" s="8">
        <f t="shared" ca="1" si="342"/>
        <v>0</v>
      </c>
      <c r="U657" s="8">
        <f t="shared" ca="1" si="343"/>
        <v>0</v>
      </c>
      <c r="V657" s="8">
        <f t="shared" ca="1" si="344"/>
        <v>0</v>
      </c>
      <c r="W657" s="11" t="str">
        <f t="shared" ca="1" si="345"/>
        <v/>
      </c>
      <c r="X657" s="11" t="str">
        <f t="shared" ca="1" si="346"/>
        <v/>
      </c>
      <c r="Y657" s="11" t="str">
        <f t="shared" ca="1" si="347"/>
        <v/>
      </c>
      <c r="Z657" s="11" t="str">
        <f t="shared" ca="1" si="348"/>
        <v/>
      </c>
      <c r="AA657" s="11" t="str">
        <f t="shared" ca="1" si="349"/>
        <v/>
      </c>
      <c r="AB657" s="47">
        <f ca="1">PlayerGameData[[#This Row],[3FGA]]+PlayerGameData[[#This Row],[2FGA]]</f>
        <v>0</v>
      </c>
      <c r="AC657" s="47">
        <f ca="1">PlayerGameData[[#This Row],[OFF REB]]+PlayerGameData[[#This Row],[DEF REB]]</f>
        <v>0</v>
      </c>
      <c r="AD657" s="8">
        <f t="shared" si="330"/>
        <v>28</v>
      </c>
      <c r="AE657" s="8" t="str">
        <f t="shared" ca="1" si="331"/>
        <v>Chase Mills, 5 - 0 1/0/1900</v>
      </c>
      <c r="AF657" s="8" t="str">
        <f t="shared" ca="1" si="350"/>
        <v/>
      </c>
      <c r="AG657" s="8" t="str">
        <f ca="1">IFERROR(IF(C657=0,"",IF(AND(VLOOKUP(PlayerGameData[[#This Row],[Opponent]],WYTeamInfo,2,FALSE)=Roster!$D$1,VLOOKUP(PlayerGameData[[#This Row],[Opponent]],WYTeamInfo,3,FALSE)=Roster!$D$2),"SR","")),"")</f>
        <v/>
      </c>
      <c r="AH657" s="8" t="str">
        <f>CONCATENATE(Roster!$D$1," ",Roster!$D$5)</f>
        <v>1A BB</v>
      </c>
      <c r="AI657" s="8" t="str">
        <f t="shared" ca="1" si="332"/>
        <v>Blank</v>
      </c>
      <c r="AJ657" s="8">
        <f ca="1">IFERROR(VLOOKUP(PlayerGameData[[#This Row],[School, Opponent,Game'#]],Table3[],2,FALSE),0)</f>
        <v>0</v>
      </c>
      <c r="AK657" s="8">
        <f ca="1">IF(PlayerGameData[[#This Row],[Visible]]=1,1,1000)</f>
        <v>1000</v>
      </c>
      <c r="AL657" s="8">
        <f ca="1">RANK(PlayerGameData[[#This Row],[TL PTS]],PlayerGameData[TL PTS],0)+PlayerGameData[[#This Row],[VisibleOrder]]</f>
        <v>1184</v>
      </c>
      <c r="AM657" s="8">
        <f ca="1">IF(COUNTIF(PlayerGameData[PointOrder],PlayerGameData[[#This Row],[PointOrder]])&gt;1,RANK(PlayerGameData[[#This Row],[FGA]],PlayerGameData[FGA],0)/100,0)+PlayerGameData[[#This Row],[PointOrder]]</f>
        <v>1186.1400000000001</v>
      </c>
      <c r="AN657" s="8">
        <f ca="1">RANK(PlayerGameData[[#This Row],[PointTieBreak]],PlayerGameData[PointTieBreak],1)</f>
        <v>625</v>
      </c>
      <c r="AO657" s="8">
        <f ca="1">RANK(PlayerGameData[[#This Row],[REB]],PlayerGameData[REB],0)+PlayerGameData[[#This Row],[VisibleOrder]]</f>
        <v>1191</v>
      </c>
      <c r="AP657" s="8">
        <f ca="1">IF(COUNTIF(PlayerGameData[REBOrder],PlayerGameData[[#This Row],[REBOrder]])&gt;1,PlayerGameData[[#This Row],[PointRank]]/100+PlayerGameData[[#This Row],[REBOrder]],PlayerGameData[[#This Row],[REBOrder]])</f>
        <v>1197.25</v>
      </c>
      <c r="AQ657" s="8">
        <f ca="1">RANK(PlayerGameData[[#This Row],[REBTieBreak]],PlayerGameData[REBTieBreak],1)</f>
        <v>625</v>
      </c>
      <c r="AR657" s="8">
        <f ca="1">RANK(PlayerGameData[[#This Row],[AST]],PlayerGameData[AST],0)+PlayerGameData[[#This Row],[VisibleOrder]]</f>
        <v>1157</v>
      </c>
      <c r="AS657" s="8">
        <f ca="1">IF(COUNTIF(PlayerGameData[ASTOrder],PlayerGameData[[#This Row],[ASTOrder]])&gt;1,PlayerGameData[[#This Row],[PointRank]]/100+PlayerGameData[[#This Row],[ASTOrder]],PlayerGameData[[#This Row],[ASTOrder]])</f>
        <v>1163.25</v>
      </c>
      <c r="AT657" s="8">
        <f ca="1">RANK(PlayerGameData[[#This Row],[ASTTieBreak]],PlayerGameData[ASTTieBreak],1)</f>
        <v>625</v>
      </c>
      <c r="AU657" s="8">
        <f ca="1">RANK(PlayerGameData[[#This Row],[STL]],PlayerGameData[STL],0)+PlayerGameData[[#This Row],[VisibleOrder]]</f>
        <v>1142</v>
      </c>
      <c r="AV657" s="8">
        <f ca="1">IF(COUNTIF(PlayerGameData[STLOrder],PlayerGameData[[#This Row],[STLOrder]])&gt;1,PlayerGameData[[#This Row],[PointRank]]/100+PlayerGameData[[#This Row],[STLOrder]],PlayerGameData[[#This Row],[STLOrder]])</f>
        <v>1148.25</v>
      </c>
      <c r="AW657" s="8">
        <f ca="1">RANK(PlayerGameData[[#This Row],[STLTieBreak]],PlayerGameData[STLTieBreak],1)</f>
        <v>625</v>
      </c>
      <c r="AX657" s="8">
        <f ca="1">RANK(PlayerGameData[[#This Row],[BLK]],PlayerGameData[BLK],0)+PlayerGameData[[#This Row],[VisibleOrder]]</f>
        <v>1031</v>
      </c>
      <c r="AY657" s="8">
        <f ca="1">IF(COUNTIF(PlayerGameData[BLKOrder],PlayerGameData[[#This Row],[BLKOrder]])&gt;1,PlayerGameData[[#This Row],[PointRank]]/100+PlayerGameData[[#This Row],[BLKOrder]],PlayerGameData[[#This Row],[BLKOrder]])</f>
        <v>1037.25</v>
      </c>
      <c r="AZ657" s="8">
        <f ca="1">RANK(PlayerGameData[[#This Row],[BLKTieBreak]],PlayerGameData[BLKTieBreak],1)</f>
        <v>625</v>
      </c>
      <c r="BA657" s="11">
        <f ca="1">IFERROR(IF(PlayerGameData[[#This Row],[FGA]]&gt;$AA$5,PlayerGameData[[#This Row],[FG%*]],PlayerGameData[[#This Row],[FG%*]]*-1),-2)</f>
        <v>-2</v>
      </c>
      <c r="BB657" s="8">
        <f ca="1">RANK(PlayerGameData[[#This Row],[EligFG]],PlayerGameData[EligFG],0)+PlayerGameData[[#This Row],[VisibleOrder]]</f>
        <v>1214</v>
      </c>
      <c r="BC657" s="8">
        <f ca="1">IF(COUNTIF(PlayerGameData[EligFGOrder],PlayerGameData[[#This Row],[EligFGOrder]])&gt;1,PlayerGameData[[#This Row],[PointRank]]/100+PlayerGameData[[#This Row],[EligFGOrder]],PlayerGameData[[#This Row],[EligFGOrder]])</f>
        <v>1220.25</v>
      </c>
      <c r="BD657" s="8">
        <f ca="1">RANK(PlayerGameData[[#This Row],[EligFGTieBreak]],PlayerGameData[EligFGTieBreak],1)</f>
        <v>625</v>
      </c>
      <c r="BE657" s="8" t="str">
        <f>Roster!$D$3</f>
        <v>East</v>
      </c>
      <c r="BF657" s="8" t="str">
        <f>Roster!$D$2</f>
        <v>Northeast</v>
      </c>
      <c r="BG657" s="8" t="str">
        <f>Roster!$D$4</f>
        <v>North</v>
      </c>
      <c r="BH657" s="197">
        <f ca="1">IFERROR(VLOOKUP(CONCATENATE(PlayerGameData[[#This Row],[Opponent]]," ",MONTH(PlayerGameData[[#This Row],[Date]]),"/",DAY(PlayerGameData[[#This Row],[Date]]),"/",YEAR(PlayerGameData[[#This Row],[Date]])),Table35[],2,FALSE),0)</f>
        <v>0</v>
      </c>
      <c r="BI657" s="197">
        <f ca="1">IF(PlayerGameData[[#This Row],[Visible]]=1,1,1000)</f>
        <v>1000</v>
      </c>
      <c r="BJ657" s="197" t="e">
        <f ca="1">_xlfn.MAXIFS(TeamGameData[Win],TeamGameData[School, Opponent,Game'#],PlayerGameData[[#This Row],[School, Opponent,Game'#]])</f>
        <v>#NAME?</v>
      </c>
      <c r="BK657" s="197" t="e">
        <f ca="1">_xlfn.MAXIFS(TeamGameData[Loss],TeamGameData[School, Opponent,Game'#],PlayerGameData[[#This Row],[School, Opponent,Game'#]])</f>
        <v>#NAME?</v>
      </c>
    </row>
    <row r="658" spans="1:63" x14ac:dyDescent="0.25">
      <c r="A658" s="8" t="str">
        <f t="shared" ca="1" si="333"/>
        <v>Rhett Watt, 10</v>
      </c>
      <c r="B658" s="8" t="str">
        <f>Roster!$B$1</f>
        <v>Upton</v>
      </c>
      <c r="C658" s="8">
        <f t="shared" ca="1" si="321"/>
        <v>0</v>
      </c>
      <c r="D658" s="10">
        <f t="shared" ca="1" si="322"/>
        <v>0</v>
      </c>
      <c r="E658" s="8">
        <f t="shared" ca="1" si="323"/>
        <v>0</v>
      </c>
      <c r="F658" s="8">
        <f t="shared" ca="1" si="324"/>
        <v>0</v>
      </c>
      <c r="G658" s="8">
        <f t="shared" ca="1" si="325"/>
        <v>0</v>
      </c>
      <c r="H658" s="8">
        <f t="shared" ca="1" si="326"/>
        <v>0</v>
      </c>
      <c r="I658" s="8">
        <f t="shared" ca="1" si="327"/>
        <v>0</v>
      </c>
      <c r="J658" s="8">
        <f t="shared" ca="1" si="328"/>
        <v>0</v>
      </c>
      <c r="K658" s="8">
        <f t="shared" ca="1" si="329"/>
        <v>0</v>
      </c>
      <c r="L658" s="8">
        <f t="shared" ca="1" si="334"/>
        <v>0</v>
      </c>
      <c r="M658" s="8">
        <f t="shared" ca="1" si="335"/>
        <v>0</v>
      </c>
      <c r="N658" s="8">
        <f t="shared" ca="1" si="336"/>
        <v>0</v>
      </c>
      <c r="O658" s="8">
        <f t="shared" ca="1" si="337"/>
        <v>0</v>
      </c>
      <c r="P658" s="8">
        <f t="shared" ca="1" si="338"/>
        <v>0</v>
      </c>
      <c r="Q658" s="8">
        <f t="shared" ca="1" si="339"/>
        <v>0</v>
      </c>
      <c r="R658" s="8">
        <f t="shared" ca="1" si="340"/>
        <v>0</v>
      </c>
      <c r="S658" s="8">
        <f t="shared" ca="1" si="341"/>
        <v>0</v>
      </c>
      <c r="T658" s="8">
        <f t="shared" ca="1" si="342"/>
        <v>0</v>
      </c>
      <c r="U658" s="8">
        <f t="shared" ca="1" si="343"/>
        <v>0</v>
      </c>
      <c r="V658" s="8">
        <f t="shared" ca="1" si="344"/>
        <v>0</v>
      </c>
      <c r="W658" s="11" t="str">
        <f t="shared" ca="1" si="345"/>
        <v/>
      </c>
      <c r="X658" s="11" t="str">
        <f t="shared" ca="1" si="346"/>
        <v/>
      </c>
      <c r="Y658" s="11" t="str">
        <f t="shared" ca="1" si="347"/>
        <v/>
      </c>
      <c r="Z658" s="11" t="str">
        <f t="shared" ca="1" si="348"/>
        <v/>
      </c>
      <c r="AA658" s="11" t="str">
        <f t="shared" ca="1" si="349"/>
        <v/>
      </c>
      <c r="AB658" s="47">
        <f ca="1">PlayerGameData[[#This Row],[3FGA]]+PlayerGameData[[#This Row],[2FGA]]</f>
        <v>0</v>
      </c>
      <c r="AC658" s="47">
        <f ca="1">PlayerGameData[[#This Row],[OFF REB]]+PlayerGameData[[#This Row],[DEF REB]]</f>
        <v>0</v>
      </c>
      <c r="AD658" s="8">
        <f t="shared" si="330"/>
        <v>28</v>
      </c>
      <c r="AE658" s="8" t="str">
        <f t="shared" ca="1" si="331"/>
        <v>Rhett Watt, 10 - 0 1/0/1900</v>
      </c>
      <c r="AF658" s="8" t="str">
        <f t="shared" ca="1" si="350"/>
        <v/>
      </c>
      <c r="AG658" s="8" t="str">
        <f ca="1">IFERROR(IF(C658=0,"",IF(AND(VLOOKUP(PlayerGameData[[#This Row],[Opponent]],WYTeamInfo,2,FALSE)=Roster!$D$1,VLOOKUP(PlayerGameData[[#This Row],[Opponent]],WYTeamInfo,3,FALSE)=Roster!$D$2),"SR","")),"")</f>
        <v/>
      </c>
      <c r="AH658" s="8" t="str">
        <f>CONCATENATE(Roster!$D$1," ",Roster!$D$5)</f>
        <v>1A BB</v>
      </c>
      <c r="AI658" s="8" t="str">
        <f t="shared" ca="1" si="332"/>
        <v>Blank</v>
      </c>
      <c r="AJ658" s="8">
        <f ca="1">IFERROR(VLOOKUP(PlayerGameData[[#This Row],[School, Opponent,Game'#]],Table3[],2,FALSE),0)</f>
        <v>0</v>
      </c>
      <c r="AK658" s="8">
        <f ca="1">IF(PlayerGameData[[#This Row],[Visible]]=1,1,1000)</f>
        <v>1000</v>
      </c>
      <c r="AL658" s="8">
        <f ca="1">RANK(PlayerGameData[[#This Row],[TL PTS]],PlayerGameData[TL PTS],0)+PlayerGameData[[#This Row],[VisibleOrder]]</f>
        <v>1184</v>
      </c>
      <c r="AM658" s="8">
        <f ca="1">IF(COUNTIF(PlayerGameData[PointOrder],PlayerGameData[[#This Row],[PointOrder]])&gt;1,RANK(PlayerGameData[[#This Row],[FGA]],PlayerGameData[FGA],0)/100,0)+PlayerGameData[[#This Row],[PointOrder]]</f>
        <v>1186.1400000000001</v>
      </c>
      <c r="AN658" s="8">
        <f ca="1">RANK(PlayerGameData[[#This Row],[PointTieBreak]],PlayerGameData[PointTieBreak],1)</f>
        <v>625</v>
      </c>
      <c r="AO658" s="8">
        <f ca="1">RANK(PlayerGameData[[#This Row],[REB]],PlayerGameData[REB],0)+PlayerGameData[[#This Row],[VisibleOrder]]</f>
        <v>1191</v>
      </c>
      <c r="AP658" s="8">
        <f ca="1">IF(COUNTIF(PlayerGameData[REBOrder],PlayerGameData[[#This Row],[REBOrder]])&gt;1,PlayerGameData[[#This Row],[PointRank]]/100+PlayerGameData[[#This Row],[REBOrder]],PlayerGameData[[#This Row],[REBOrder]])</f>
        <v>1197.25</v>
      </c>
      <c r="AQ658" s="8">
        <f ca="1">RANK(PlayerGameData[[#This Row],[REBTieBreak]],PlayerGameData[REBTieBreak],1)</f>
        <v>625</v>
      </c>
      <c r="AR658" s="8">
        <f ca="1">RANK(PlayerGameData[[#This Row],[AST]],PlayerGameData[AST],0)+PlayerGameData[[#This Row],[VisibleOrder]]</f>
        <v>1157</v>
      </c>
      <c r="AS658" s="8">
        <f ca="1">IF(COUNTIF(PlayerGameData[ASTOrder],PlayerGameData[[#This Row],[ASTOrder]])&gt;1,PlayerGameData[[#This Row],[PointRank]]/100+PlayerGameData[[#This Row],[ASTOrder]],PlayerGameData[[#This Row],[ASTOrder]])</f>
        <v>1163.25</v>
      </c>
      <c r="AT658" s="8">
        <f ca="1">RANK(PlayerGameData[[#This Row],[ASTTieBreak]],PlayerGameData[ASTTieBreak],1)</f>
        <v>625</v>
      </c>
      <c r="AU658" s="8">
        <f ca="1">RANK(PlayerGameData[[#This Row],[STL]],PlayerGameData[STL],0)+PlayerGameData[[#This Row],[VisibleOrder]]</f>
        <v>1142</v>
      </c>
      <c r="AV658" s="8">
        <f ca="1">IF(COUNTIF(PlayerGameData[STLOrder],PlayerGameData[[#This Row],[STLOrder]])&gt;1,PlayerGameData[[#This Row],[PointRank]]/100+PlayerGameData[[#This Row],[STLOrder]],PlayerGameData[[#This Row],[STLOrder]])</f>
        <v>1148.25</v>
      </c>
      <c r="AW658" s="8">
        <f ca="1">RANK(PlayerGameData[[#This Row],[STLTieBreak]],PlayerGameData[STLTieBreak],1)</f>
        <v>625</v>
      </c>
      <c r="AX658" s="8">
        <f ca="1">RANK(PlayerGameData[[#This Row],[BLK]],PlayerGameData[BLK],0)+PlayerGameData[[#This Row],[VisibleOrder]]</f>
        <v>1031</v>
      </c>
      <c r="AY658" s="8">
        <f ca="1">IF(COUNTIF(PlayerGameData[BLKOrder],PlayerGameData[[#This Row],[BLKOrder]])&gt;1,PlayerGameData[[#This Row],[PointRank]]/100+PlayerGameData[[#This Row],[BLKOrder]],PlayerGameData[[#This Row],[BLKOrder]])</f>
        <v>1037.25</v>
      </c>
      <c r="AZ658" s="8">
        <f ca="1">RANK(PlayerGameData[[#This Row],[BLKTieBreak]],PlayerGameData[BLKTieBreak],1)</f>
        <v>625</v>
      </c>
      <c r="BA658" s="11">
        <f ca="1">IFERROR(IF(PlayerGameData[[#This Row],[FGA]]&gt;$AA$5,PlayerGameData[[#This Row],[FG%*]],PlayerGameData[[#This Row],[FG%*]]*-1),-2)</f>
        <v>-2</v>
      </c>
      <c r="BB658" s="8">
        <f ca="1">RANK(PlayerGameData[[#This Row],[EligFG]],PlayerGameData[EligFG],0)+PlayerGameData[[#This Row],[VisibleOrder]]</f>
        <v>1214</v>
      </c>
      <c r="BC658" s="8">
        <f ca="1">IF(COUNTIF(PlayerGameData[EligFGOrder],PlayerGameData[[#This Row],[EligFGOrder]])&gt;1,PlayerGameData[[#This Row],[PointRank]]/100+PlayerGameData[[#This Row],[EligFGOrder]],PlayerGameData[[#This Row],[EligFGOrder]])</f>
        <v>1220.25</v>
      </c>
      <c r="BD658" s="8">
        <f ca="1">RANK(PlayerGameData[[#This Row],[EligFGTieBreak]],PlayerGameData[EligFGTieBreak],1)</f>
        <v>625</v>
      </c>
      <c r="BE658" s="8" t="str">
        <f>Roster!$D$3</f>
        <v>East</v>
      </c>
      <c r="BF658" s="8" t="str">
        <f>Roster!$D$2</f>
        <v>Northeast</v>
      </c>
      <c r="BG658" s="8" t="str">
        <f>Roster!$D$4</f>
        <v>North</v>
      </c>
      <c r="BH658" s="197">
        <f ca="1">IFERROR(VLOOKUP(CONCATENATE(PlayerGameData[[#This Row],[Opponent]]," ",MONTH(PlayerGameData[[#This Row],[Date]]),"/",DAY(PlayerGameData[[#This Row],[Date]]),"/",YEAR(PlayerGameData[[#This Row],[Date]])),Table35[],2,FALSE),0)</f>
        <v>0</v>
      </c>
      <c r="BI658" s="197">
        <f ca="1">IF(PlayerGameData[[#This Row],[Visible]]=1,1,1000)</f>
        <v>1000</v>
      </c>
      <c r="BJ658" s="197" t="e">
        <f ca="1">_xlfn.MAXIFS(TeamGameData[Win],TeamGameData[School, Opponent,Game'#],PlayerGameData[[#This Row],[School, Opponent,Game'#]])</f>
        <v>#NAME?</v>
      </c>
      <c r="BK658" s="197" t="e">
        <f ca="1">_xlfn.MAXIFS(TeamGameData[Loss],TeamGameData[School, Opponent,Game'#],PlayerGameData[[#This Row],[School, Opponent,Game'#]])</f>
        <v>#NAME?</v>
      </c>
    </row>
    <row r="659" spans="1:63" x14ac:dyDescent="0.25">
      <c r="A659" s="8" t="str">
        <f t="shared" ca="1" si="333"/>
        <v>Keith Coburn, 11</v>
      </c>
      <c r="B659" s="8" t="str">
        <f>Roster!$B$1</f>
        <v>Upton</v>
      </c>
      <c r="C659" s="8">
        <f t="shared" ca="1" si="321"/>
        <v>0</v>
      </c>
      <c r="D659" s="10">
        <f t="shared" ca="1" si="322"/>
        <v>0</v>
      </c>
      <c r="E659" s="8">
        <f t="shared" ca="1" si="323"/>
        <v>0</v>
      </c>
      <c r="F659" s="8">
        <f t="shared" ca="1" si="324"/>
        <v>0</v>
      </c>
      <c r="G659" s="8">
        <f t="shared" ca="1" si="325"/>
        <v>0</v>
      </c>
      <c r="H659" s="8">
        <f t="shared" ca="1" si="326"/>
        <v>0</v>
      </c>
      <c r="I659" s="8">
        <f t="shared" ca="1" si="327"/>
        <v>0</v>
      </c>
      <c r="J659" s="8">
        <f t="shared" ca="1" si="328"/>
        <v>0</v>
      </c>
      <c r="K659" s="8">
        <f t="shared" ca="1" si="329"/>
        <v>0</v>
      </c>
      <c r="L659" s="8">
        <f t="shared" ca="1" si="334"/>
        <v>0</v>
      </c>
      <c r="M659" s="8">
        <f t="shared" ca="1" si="335"/>
        <v>0</v>
      </c>
      <c r="N659" s="8">
        <f t="shared" ca="1" si="336"/>
        <v>0</v>
      </c>
      <c r="O659" s="8">
        <f t="shared" ca="1" si="337"/>
        <v>0</v>
      </c>
      <c r="P659" s="8">
        <f t="shared" ca="1" si="338"/>
        <v>0</v>
      </c>
      <c r="Q659" s="8">
        <f t="shared" ca="1" si="339"/>
        <v>0</v>
      </c>
      <c r="R659" s="8">
        <f t="shared" ca="1" si="340"/>
        <v>0</v>
      </c>
      <c r="S659" s="8">
        <f t="shared" ca="1" si="341"/>
        <v>0</v>
      </c>
      <c r="T659" s="8">
        <f t="shared" ca="1" si="342"/>
        <v>0</v>
      </c>
      <c r="U659" s="8">
        <f t="shared" ca="1" si="343"/>
        <v>0</v>
      </c>
      <c r="V659" s="8">
        <f t="shared" ca="1" si="344"/>
        <v>0</v>
      </c>
      <c r="W659" s="11" t="str">
        <f t="shared" ca="1" si="345"/>
        <v/>
      </c>
      <c r="X659" s="11" t="str">
        <f t="shared" ca="1" si="346"/>
        <v/>
      </c>
      <c r="Y659" s="11" t="str">
        <f t="shared" ca="1" si="347"/>
        <v/>
      </c>
      <c r="Z659" s="11" t="str">
        <f t="shared" ca="1" si="348"/>
        <v/>
      </c>
      <c r="AA659" s="11" t="str">
        <f t="shared" ca="1" si="349"/>
        <v/>
      </c>
      <c r="AB659" s="47">
        <f ca="1">PlayerGameData[[#This Row],[3FGA]]+PlayerGameData[[#This Row],[2FGA]]</f>
        <v>0</v>
      </c>
      <c r="AC659" s="47">
        <f ca="1">PlayerGameData[[#This Row],[OFF REB]]+PlayerGameData[[#This Row],[DEF REB]]</f>
        <v>0</v>
      </c>
      <c r="AD659" s="8">
        <f t="shared" si="330"/>
        <v>28</v>
      </c>
      <c r="AE659" s="8" t="str">
        <f t="shared" ca="1" si="331"/>
        <v>Keith Coburn, 11 - 0 1/0/1900</v>
      </c>
      <c r="AF659" s="8" t="str">
        <f t="shared" ca="1" si="350"/>
        <v/>
      </c>
      <c r="AG659" s="8" t="str">
        <f ca="1">IFERROR(IF(C659=0,"",IF(AND(VLOOKUP(PlayerGameData[[#This Row],[Opponent]],WYTeamInfo,2,FALSE)=Roster!$D$1,VLOOKUP(PlayerGameData[[#This Row],[Opponent]],WYTeamInfo,3,FALSE)=Roster!$D$2),"SR","")),"")</f>
        <v/>
      </c>
      <c r="AH659" s="8" t="str">
        <f>CONCATENATE(Roster!$D$1," ",Roster!$D$5)</f>
        <v>1A BB</v>
      </c>
      <c r="AI659" s="8" t="str">
        <f t="shared" ca="1" si="332"/>
        <v>Blank</v>
      </c>
      <c r="AJ659" s="8">
        <f ca="1">IFERROR(VLOOKUP(PlayerGameData[[#This Row],[School, Opponent,Game'#]],Table3[],2,FALSE),0)</f>
        <v>0</v>
      </c>
      <c r="AK659" s="8">
        <f ca="1">IF(PlayerGameData[[#This Row],[Visible]]=1,1,1000)</f>
        <v>1000</v>
      </c>
      <c r="AL659" s="8">
        <f ca="1">RANK(PlayerGameData[[#This Row],[TL PTS]],PlayerGameData[TL PTS],0)+PlayerGameData[[#This Row],[VisibleOrder]]</f>
        <v>1184</v>
      </c>
      <c r="AM659" s="8">
        <f ca="1">IF(COUNTIF(PlayerGameData[PointOrder],PlayerGameData[[#This Row],[PointOrder]])&gt;1,RANK(PlayerGameData[[#This Row],[FGA]],PlayerGameData[FGA],0)/100,0)+PlayerGameData[[#This Row],[PointOrder]]</f>
        <v>1186.1400000000001</v>
      </c>
      <c r="AN659" s="8">
        <f ca="1">RANK(PlayerGameData[[#This Row],[PointTieBreak]],PlayerGameData[PointTieBreak],1)</f>
        <v>625</v>
      </c>
      <c r="AO659" s="8">
        <f ca="1">RANK(PlayerGameData[[#This Row],[REB]],PlayerGameData[REB],0)+PlayerGameData[[#This Row],[VisibleOrder]]</f>
        <v>1191</v>
      </c>
      <c r="AP659" s="8">
        <f ca="1">IF(COUNTIF(PlayerGameData[REBOrder],PlayerGameData[[#This Row],[REBOrder]])&gt;1,PlayerGameData[[#This Row],[PointRank]]/100+PlayerGameData[[#This Row],[REBOrder]],PlayerGameData[[#This Row],[REBOrder]])</f>
        <v>1197.25</v>
      </c>
      <c r="AQ659" s="8">
        <f ca="1">RANK(PlayerGameData[[#This Row],[REBTieBreak]],PlayerGameData[REBTieBreak],1)</f>
        <v>625</v>
      </c>
      <c r="AR659" s="8">
        <f ca="1">RANK(PlayerGameData[[#This Row],[AST]],PlayerGameData[AST],0)+PlayerGameData[[#This Row],[VisibleOrder]]</f>
        <v>1157</v>
      </c>
      <c r="AS659" s="8">
        <f ca="1">IF(COUNTIF(PlayerGameData[ASTOrder],PlayerGameData[[#This Row],[ASTOrder]])&gt;1,PlayerGameData[[#This Row],[PointRank]]/100+PlayerGameData[[#This Row],[ASTOrder]],PlayerGameData[[#This Row],[ASTOrder]])</f>
        <v>1163.25</v>
      </c>
      <c r="AT659" s="8">
        <f ca="1">RANK(PlayerGameData[[#This Row],[ASTTieBreak]],PlayerGameData[ASTTieBreak],1)</f>
        <v>625</v>
      </c>
      <c r="AU659" s="8">
        <f ca="1">RANK(PlayerGameData[[#This Row],[STL]],PlayerGameData[STL],0)+PlayerGameData[[#This Row],[VisibleOrder]]</f>
        <v>1142</v>
      </c>
      <c r="AV659" s="8">
        <f ca="1">IF(COUNTIF(PlayerGameData[STLOrder],PlayerGameData[[#This Row],[STLOrder]])&gt;1,PlayerGameData[[#This Row],[PointRank]]/100+PlayerGameData[[#This Row],[STLOrder]],PlayerGameData[[#This Row],[STLOrder]])</f>
        <v>1148.25</v>
      </c>
      <c r="AW659" s="8">
        <f ca="1">RANK(PlayerGameData[[#This Row],[STLTieBreak]],PlayerGameData[STLTieBreak],1)</f>
        <v>625</v>
      </c>
      <c r="AX659" s="8">
        <f ca="1">RANK(PlayerGameData[[#This Row],[BLK]],PlayerGameData[BLK],0)+PlayerGameData[[#This Row],[VisibleOrder]]</f>
        <v>1031</v>
      </c>
      <c r="AY659" s="8">
        <f ca="1">IF(COUNTIF(PlayerGameData[BLKOrder],PlayerGameData[[#This Row],[BLKOrder]])&gt;1,PlayerGameData[[#This Row],[PointRank]]/100+PlayerGameData[[#This Row],[BLKOrder]],PlayerGameData[[#This Row],[BLKOrder]])</f>
        <v>1037.25</v>
      </c>
      <c r="AZ659" s="8">
        <f ca="1">RANK(PlayerGameData[[#This Row],[BLKTieBreak]],PlayerGameData[BLKTieBreak],1)</f>
        <v>625</v>
      </c>
      <c r="BA659" s="11">
        <f ca="1">IFERROR(IF(PlayerGameData[[#This Row],[FGA]]&gt;$AA$5,PlayerGameData[[#This Row],[FG%*]],PlayerGameData[[#This Row],[FG%*]]*-1),-2)</f>
        <v>-2</v>
      </c>
      <c r="BB659" s="8">
        <f ca="1">RANK(PlayerGameData[[#This Row],[EligFG]],PlayerGameData[EligFG],0)+PlayerGameData[[#This Row],[VisibleOrder]]</f>
        <v>1214</v>
      </c>
      <c r="BC659" s="8">
        <f ca="1">IF(COUNTIF(PlayerGameData[EligFGOrder],PlayerGameData[[#This Row],[EligFGOrder]])&gt;1,PlayerGameData[[#This Row],[PointRank]]/100+PlayerGameData[[#This Row],[EligFGOrder]],PlayerGameData[[#This Row],[EligFGOrder]])</f>
        <v>1220.25</v>
      </c>
      <c r="BD659" s="8">
        <f ca="1">RANK(PlayerGameData[[#This Row],[EligFGTieBreak]],PlayerGameData[EligFGTieBreak],1)</f>
        <v>625</v>
      </c>
      <c r="BE659" s="8" t="str">
        <f>Roster!$D$3</f>
        <v>East</v>
      </c>
      <c r="BF659" s="8" t="str">
        <f>Roster!$D$2</f>
        <v>Northeast</v>
      </c>
      <c r="BG659" s="8" t="str">
        <f>Roster!$D$4</f>
        <v>North</v>
      </c>
      <c r="BH659" s="197">
        <f ca="1">IFERROR(VLOOKUP(CONCATENATE(PlayerGameData[[#This Row],[Opponent]]," ",MONTH(PlayerGameData[[#This Row],[Date]]),"/",DAY(PlayerGameData[[#This Row],[Date]]),"/",YEAR(PlayerGameData[[#This Row],[Date]])),Table35[],2,FALSE),0)</f>
        <v>0</v>
      </c>
      <c r="BI659" s="197">
        <f ca="1">IF(PlayerGameData[[#This Row],[Visible]]=1,1,1000)</f>
        <v>1000</v>
      </c>
      <c r="BJ659" s="197" t="e">
        <f ca="1">_xlfn.MAXIFS(TeamGameData[Win],TeamGameData[School, Opponent,Game'#],PlayerGameData[[#This Row],[School, Opponent,Game'#]])</f>
        <v>#NAME?</v>
      </c>
      <c r="BK659" s="197" t="e">
        <f ca="1">_xlfn.MAXIFS(TeamGameData[Loss],TeamGameData[School, Opponent,Game'#],PlayerGameData[[#This Row],[School, Opponent,Game'#]])</f>
        <v>#NAME?</v>
      </c>
    </row>
    <row r="660" spans="1:63" x14ac:dyDescent="0.25">
      <c r="A660" s="8" t="str">
        <f t="shared" ca="1" si="333"/>
        <v>Carson Barritt, 14</v>
      </c>
      <c r="B660" s="8" t="str">
        <f>Roster!$B$1</f>
        <v>Upton</v>
      </c>
      <c r="C660" s="8">
        <f t="shared" ca="1" si="321"/>
        <v>0</v>
      </c>
      <c r="D660" s="10">
        <f t="shared" ca="1" si="322"/>
        <v>0</v>
      </c>
      <c r="E660" s="8">
        <f t="shared" ca="1" si="323"/>
        <v>0</v>
      </c>
      <c r="F660" s="8">
        <f t="shared" ca="1" si="324"/>
        <v>0</v>
      </c>
      <c r="G660" s="8">
        <f t="shared" ca="1" si="325"/>
        <v>0</v>
      </c>
      <c r="H660" s="8">
        <f t="shared" ca="1" si="326"/>
        <v>0</v>
      </c>
      <c r="I660" s="8">
        <f t="shared" ca="1" si="327"/>
        <v>0</v>
      </c>
      <c r="J660" s="8">
        <f t="shared" ca="1" si="328"/>
        <v>0</v>
      </c>
      <c r="K660" s="8">
        <f t="shared" ca="1" si="329"/>
        <v>0</v>
      </c>
      <c r="L660" s="8">
        <f t="shared" ca="1" si="334"/>
        <v>0</v>
      </c>
      <c r="M660" s="8">
        <f t="shared" ca="1" si="335"/>
        <v>0</v>
      </c>
      <c r="N660" s="8">
        <f t="shared" ca="1" si="336"/>
        <v>0</v>
      </c>
      <c r="O660" s="8">
        <f t="shared" ca="1" si="337"/>
        <v>0</v>
      </c>
      <c r="P660" s="8">
        <f t="shared" ca="1" si="338"/>
        <v>0</v>
      </c>
      <c r="Q660" s="8">
        <f t="shared" ca="1" si="339"/>
        <v>0</v>
      </c>
      <c r="R660" s="8">
        <f t="shared" ca="1" si="340"/>
        <v>0</v>
      </c>
      <c r="S660" s="8">
        <f t="shared" ca="1" si="341"/>
        <v>0</v>
      </c>
      <c r="T660" s="8">
        <f t="shared" ca="1" si="342"/>
        <v>0</v>
      </c>
      <c r="U660" s="8">
        <f t="shared" ca="1" si="343"/>
        <v>0</v>
      </c>
      <c r="V660" s="8">
        <f t="shared" ca="1" si="344"/>
        <v>0</v>
      </c>
      <c r="W660" s="11" t="str">
        <f t="shared" ca="1" si="345"/>
        <v/>
      </c>
      <c r="X660" s="11" t="str">
        <f t="shared" ca="1" si="346"/>
        <v/>
      </c>
      <c r="Y660" s="11" t="str">
        <f t="shared" ca="1" si="347"/>
        <v/>
      </c>
      <c r="Z660" s="11" t="str">
        <f t="shared" ca="1" si="348"/>
        <v/>
      </c>
      <c r="AA660" s="11" t="str">
        <f t="shared" ca="1" si="349"/>
        <v/>
      </c>
      <c r="AB660" s="47">
        <f ca="1">PlayerGameData[[#This Row],[3FGA]]+PlayerGameData[[#This Row],[2FGA]]</f>
        <v>0</v>
      </c>
      <c r="AC660" s="47">
        <f ca="1">PlayerGameData[[#This Row],[OFF REB]]+PlayerGameData[[#This Row],[DEF REB]]</f>
        <v>0</v>
      </c>
      <c r="AD660" s="8">
        <f t="shared" si="330"/>
        <v>28</v>
      </c>
      <c r="AE660" s="8" t="str">
        <f t="shared" ca="1" si="331"/>
        <v>Carson Barritt, 14 - 0 1/0/1900</v>
      </c>
      <c r="AF660" s="8" t="str">
        <f t="shared" ca="1" si="350"/>
        <v/>
      </c>
      <c r="AG660" s="8" t="str">
        <f ca="1">IFERROR(IF(C660=0,"",IF(AND(VLOOKUP(PlayerGameData[[#This Row],[Opponent]],WYTeamInfo,2,FALSE)=Roster!$D$1,VLOOKUP(PlayerGameData[[#This Row],[Opponent]],WYTeamInfo,3,FALSE)=Roster!$D$2),"SR","")),"")</f>
        <v/>
      </c>
      <c r="AH660" s="8" t="str">
        <f>CONCATENATE(Roster!$D$1," ",Roster!$D$5)</f>
        <v>1A BB</v>
      </c>
      <c r="AI660" s="8" t="str">
        <f t="shared" ca="1" si="332"/>
        <v>Blank</v>
      </c>
      <c r="AJ660" s="8">
        <f ca="1">IFERROR(VLOOKUP(PlayerGameData[[#This Row],[School, Opponent,Game'#]],Table3[],2,FALSE),0)</f>
        <v>0</v>
      </c>
      <c r="AK660" s="8">
        <f ca="1">IF(PlayerGameData[[#This Row],[Visible]]=1,1,1000)</f>
        <v>1000</v>
      </c>
      <c r="AL660" s="8">
        <f ca="1">RANK(PlayerGameData[[#This Row],[TL PTS]],PlayerGameData[TL PTS],0)+PlayerGameData[[#This Row],[VisibleOrder]]</f>
        <v>1184</v>
      </c>
      <c r="AM660" s="8">
        <f ca="1">IF(COUNTIF(PlayerGameData[PointOrder],PlayerGameData[[#This Row],[PointOrder]])&gt;1,RANK(PlayerGameData[[#This Row],[FGA]],PlayerGameData[FGA],0)/100,0)+PlayerGameData[[#This Row],[PointOrder]]</f>
        <v>1186.1400000000001</v>
      </c>
      <c r="AN660" s="8">
        <f ca="1">RANK(PlayerGameData[[#This Row],[PointTieBreak]],PlayerGameData[PointTieBreak],1)</f>
        <v>625</v>
      </c>
      <c r="AO660" s="8">
        <f ca="1">RANK(PlayerGameData[[#This Row],[REB]],PlayerGameData[REB],0)+PlayerGameData[[#This Row],[VisibleOrder]]</f>
        <v>1191</v>
      </c>
      <c r="AP660" s="8">
        <f ca="1">IF(COUNTIF(PlayerGameData[REBOrder],PlayerGameData[[#This Row],[REBOrder]])&gt;1,PlayerGameData[[#This Row],[PointRank]]/100+PlayerGameData[[#This Row],[REBOrder]],PlayerGameData[[#This Row],[REBOrder]])</f>
        <v>1197.25</v>
      </c>
      <c r="AQ660" s="8">
        <f ca="1">RANK(PlayerGameData[[#This Row],[REBTieBreak]],PlayerGameData[REBTieBreak],1)</f>
        <v>625</v>
      </c>
      <c r="AR660" s="8">
        <f ca="1">RANK(PlayerGameData[[#This Row],[AST]],PlayerGameData[AST],0)+PlayerGameData[[#This Row],[VisibleOrder]]</f>
        <v>1157</v>
      </c>
      <c r="AS660" s="8">
        <f ca="1">IF(COUNTIF(PlayerGameData[ASTOrder],PlayerGameData[[#This Row],[ASTOrder]])&gt;1,PlayerGameData[[#This Row],[PointRank]]/100+PlayerGameData[[#This Row],[ASTOrder]],PlayerGameData[[#This Row],[ASTOrder]])</f>
        <v>1163.25</v>
      </c>
      <c r="AT660" s="8">
        <f ca="1">RANK(PlayerGameData[[#This Row],[ASTTieBreak]],PlayerGameData[ASTTieBreak],1)</f>
        <v>625</v>
      </c>
      <c r="AU660" s="8">
        <f ca="1">RANK(PlayerGameData[[#This Row],[STL]],PlayerGameData[STL],0)+PlayerGameData[[#This Row],[VisibleOrder]]</f>
        <v>1142</v>
      </c>
      <c r="AV660" s="8">
        <f ca="1">IF(COUNTIF(PlayerGameData[STLOrder],PlayerGameData[[#This Row],[STLOrder]])&gt;1,PlayerGameData[[#This Row],[PointRank]]/100+PlayerGameData[[#This Row],[STLOrder]],PlayerGameData[[#This Row],[STLOrder]])</f>
        <v>1148.25</v>
      </c>
      <c r="AW660" s="8">
        <f ca="1">RANK(PlayerGameData[[#This Row],[STLTieBreak]],PlayerGameData[STLTieBreak],1)</f>
        <v>625</v>
      </c>
      <c r="AX660" s="8">
        <f ca="1">RANK(PlayerGameData[[#This Row],[BLK]],PlayerGameData[BLK],0)+PlayerGameData[[#This Row],[VisibleOrder]]</f>
        <v>1031</v>
      </c>
      <c r="AY660" s="8">
        <f ca="1">IF(COUNTIF(PlayerGameData[BLKOrder],PlayerGameData[[#This Row],[BLKOrder]])&gt;1,PlayerGameData[[#This Row],[PointRank]]/100+PlayerGameData[[#This Row],[BLKOrder]],PlayerGameData[[#This Row],[BLKOrder]])</f>
        <v>1037.25</v>
      </c>
      <c r="AZ660" s="8">
        <f ca="1">RANK(PlayerGameData[[#This Row],[BLKTieBreak]],PlayerGameData[BLKTieBreak],1)</f>
        <v>625</v>
      </c>
      <c r="BA660" s="11">
        <f ca="1">IFERROR(IF(PlayerGameData[[#This Row],[FGA]]&gt;$AA$5,PlayerGameData[[#This Row],[FG%*]],PlayerGameData[[#This Row],[FG%*]]*-1),-2)</f>
        <v>-2</v>
      </c>
      <c r="BB660" s="8">
        <f ca="1">RANK(PlayerGameData[[#This Row],[EligFG]],PlayerGameData[EligFG],0)+PlayerGameData[[#This Row],[VisibleOrder]]</f>
        <v>1214</v>
      </c>
      <c r="BC660" s="8">
        <f ca="1">IF(COUNTIF(PlayerGameData[EligFGOrder],PlayerGameData[[#This Row],[EligFGOrder]])&gt;1,PlayerGameData[[#This Row],[PointRank]]/100+PlayerGameData[[#This Row],[EligFGOrder]],PlayerGameData[[#This Row],[EligFGOrder]])</f>
        <v>1220.25</v>
      </c>
      <c r="BD660" s="8">
        <f ca="1">RANK(PlayerGameData[[#This Row],[EligFGTieBreak]],PlayerGameData[EligFGTieBreak],1)</f>
        <v>625</v>
      </c>
      <c r="BE660" s="8" t="str">
        <f>Roster!$D$3</f>
        <v>East</v>
      </c>
      <c r="BF660" s="8" t="str">
        <f>Roster!$D$2</f>
        <v>Northeast</v>
      </c>
      <c r="BG660" s="8" t="str">
        <f>Roster!$D$4</f>
        <v>North</v>
      </c>
      <c r="BH660" s="197">
        <f ca="1">IFERROR(VLOOKUP(CONCATENATE(PlayerGameData[[#This Row],[Opponent]]," ",MONTH(PlayerGameData[[#This Row],[Date]]),"/",DAY(PlayerGameData[[#This Row],[Date]]),"/",YEAR(PlayerGameData[[#This Row],[Date]])),Table35[],2,FALSE),0)</f>
        <v>0</v>
      </c>
      <c r="BI660" s="197">
        <f ca="1">IF(PlayerGameData[[#This Row],[Visible]]=1,1,1000)</f>
        <v>1000</v>
      </c>
      <c r="BJ660" s="197" t="e">
        <f ca="1">_xlfn.MAXIFS(TeamGameData[Win],TeamGameData[School, Opponent,Game'#],PlayerGameData[[#This Row],[School, Opponent,Game'#]])</f>
        <v>#NAME?</v>
      </c>
      <c r="BK660" s="197" t="e">
        <f ca="1">_xlfn.MAXIFS(TeamGameData[Loss],TeamGameData[School, Opponent,Game'#],PlayerGameData[[#This Row],[School, Opponent,Game'#]])</f>
        <v>#NAME?</v>
      </c>
    </row>
    <row r="661" spans="1:63" x14ac:dyDescent="0.25">
      <c r="A661" s="8" t="str">
        <f t="shared" ca="1" si="333"/>
        <v>Ben Carpenter, 21</v>
      </c>
      <c r="B661" s="8" t="str">
        <f>Roster!$B$1</f>
        <v>Upton</v>
      </c>
      <c r="C661" s="8">
        <f t="shared" ca="1" si="321"/>
        <v>0</v>
      </c>
      <c r="D661" s="10">
        <f t="shared" ca="1" si="322"/>
        <v>0</v>
      </c>
      <c r="E661" s="8">
        <f t="shared" ca="1" si="323"/>
        <v>0</v>
      </c>
      <c r="F661" s="8">
        <f t="shared" ca="1" si="324"/>
        <v>0</v>
      </c>
      <c r="G661" s="8">
        <f t="shared" ca="1" si="325"/>
        <v>0</v>
      </c>
      <c r="H661" s="8">
        <f t="shared" ca="1" si="326"/>
        <v>0</v>
      </c>
      <c r="I661" s="8">
        <f t="shared" ca="1" si="327"/>
        <v>0</v>
      </c>
      <c r="J661" s="8">
        <f t="shared" ca="1" si="328"/>
        <v>0</v>
      </c>
      <c r="K661" s="8">
        <f t="shared" ca="1" si="329"/>
        <v>0</v>
      </c>
      <c r="L661" s="8">
        <f t="shared" ca="1" si="334"/>
        <v>0</v>
      </c>
      <c r="M661" s="8">
        <f t="shared" ca="1" si="335"/>
        <v>0</v>
      </c>
      <c r="N661" s="8">
        <f t="shared" ca="1" si="336"/>
        <v>0</v>
      </c>
      <c r="O661" s="8">
        <f t="shared" ca="1" si="337"/>
        <v>0</v>
      </c>
      <c r="P661" s="8">
        <f t="shared" ca="1" si="338"/>
        <v>0</v>
      </c>
      <c r="Q661" s="8">
        <f t="shared" ca="1" si="339"/>
        <v>0</v>
      </c>
      <c r="R661" s="8">
        <f t="shared" ca="1" si="340"/>
        <v>0</v>
      </c>
      <c r="S661" s="8">
        <f t="shared" ca="1" si="341"/>
        <v>0</v>
      </c>
      <c r="T661" s="8">
        <f t="shared" ca="1" si="342"/>
        <v>0</v>
      </c>
      <c r="U661" s="8">
        <f t="shared" ca="1" si="343"/>
        <v>0</v>
      </c>
      <c r="V661" s="8">
        <f t="shared" ca="1" si="344"/>
        <v>0</v>
      </c>
      <c r="W661" s="11" t="str">
        <f t="shared" ca="1" si="345"/>
        <v/>
      </c>
      <c r="X661" s="11" t="str">
        <f t="shared" ca="1" si="346"/>
        <v/>
      </c>
      <c r="Y661" s="11" t="str">
        <f t="shared" ca="1" si="347"/>
        <v/>
      </c>
      <c r="Z661" s="11" t="str">
        <f t="shared" ca="1" si="348"/>
        <v/>
      </c>
      <c r="AA661" s="11" t="str">
        <f t="shared" ca="1" si="349"/>
        <v/>
      </c>
      <c r="AB661" s="47">
        <f ca="1">PlayerGameData[[#This Row],[3FGA]]+PlayerGameData[[#This Row],[2FGA]]</f>
        <v>0</v>
      </c>
      <c r="AC661" s="47">
        <f ca="1">PlayerGameData[[#This Row],[OFF REB]]+PlayerGameData[[#This Row],[DEF REB]]</f>
        <v>0</v>
      </c>
      <c r="AD661" s="8">
        <f t="shared" si="330"/>
        <v>28</v>
      </c>
      <c r="AE661" s="8" t="str">
        <f t="shared" ca="1" si="331"/>
        <v>Ben Carpenter, 21 - 0 1/0/1900</v>
      </c>
      <c r="AF661" s="8" t="str">
        <f t="shared" ca="1" si="350"/>
        <v/>
      </c>
      <c r="AG661" s="8" t="str">
        <f ca="1">IFERROR(IF(C661=0,"",IF(AND(VLOOKUP(PlayerGameData[[#This Row],[Opponent]],WYTeamInfo,2,FALSE)=Roster!$D$1,VLOOKUP(PlayerGameData[[#This Row],[Opponent]],WYTeamInfo,3,FALSE)=Roster!$D$2),"SR","")),"")</f>
        <v/>
      </c>
      <c r="AH661" s="8" t="str">
        <f>CONCATENATE(Roster!$D$1," ",Roster!$D$5)</f>
        <v>1A BB</v>
      </c>
      <c r="AI661" s="8" t="str">
        <f t="shared" ca="1" si="332"/>
        <v>Blank</v>
      </c>
      <c r="AJ661" s="8">
        <f ca="1">IFERROR(VLOOKUP(PlayerGameData[[#This Row],[School, Opponent,Game'#]],Table3[],2,FALSE),0)</f>
        <v>0</v>
      </c>
      <c r="AK661" s="8">
        <f ca="1">IF(PlayerGameData[[#This Row],[Visible]]=1,1,1000)</f>
        <v>1000</v>
      </c>
      <c r="AL661" s="8">
        <f ca="1">RANK(PlayerGameData[[#This Row],[TL PTS]],PlayerGameData[TL PTS],0)+PlayerGameData[[#This Row],[VisibleOrder]]</f>
        <v>1184</v>
      </c>
      <c r="AM661" s="8">
        <f ca="1">IF(COUNTIF(PlayerGameData[PointOrder],PlayerGameData[[#This Row],[PointOrder]])&gt;1,RANK(PlayerGameData[[#This Row],[FGA]],PlayerGameData[FGA],0)/100,0)+PlayerGameData[[#This Row],[PointOrder]]</f>
        <v>1186.1400000000001</v>
      </c>
      <c r="AN661" s="8">
        <f ca="1">RANK(PlayerGameData[[#This Row],[PointTieBreak]],PlayerGameData[PointTieBreak],1)</f>
        <v>625</v>
      </c>
      <c r="AO661" s="8">
        <f ca="1">RANK(PlayerGameData[[#This Row],[REB]],PlayerGameData[REB],0)+PlayerGameData[[#This Row],[VisibleOrder]]</f>
        <v>1191</v>
      </c>
      <c r="AP661" s="8">
        <f ca="1">IF(COUNTIF(PlayerGameData[REBOrder],PlayerGameData[[#This Row],[REBOrder]])&gt;1,PlayerGameData[[#This Row],[PointRank]]/100+PlayerGameData[[#This Row],[REBOrder]],PlayerGameData[[#This Row],[REBOrder]])</f>
        <v>1197.25</v>
      </c>
      <c r="AQ661" s="8">
        <f ca="1">RANK(PlayerGameData[[#This Row],[REBTieBreak]],PlayerGameData[REBTieBreak],1)</f>
        <v>625</v>
      </c>
      <c r="AR661" s="8">
        <f ca="1">RANK(PlayerGameData[[#This Row],[AST]],PlayerGameData[AST],0)+PlayerGameData[[#This Row],[VisibleOrder]]</f>
        <v>1157</v>
      </c>
      <c r="AS661" s="8">
        <f ca="1">IF(COUNTIF(PlayerGameData[ASTOrder],PlayerGameData[[#This Row],[ASTOrder]])&gt;1,PlayerGameData[[#This Row],[PointRank]]/100+PlayerGameData[[#This Row],[ASTOrder]],PlayerGameData[[#This Row],[ASTOrder]])</f>
        <v>1163.25</v>
      </c>
      <c r="AT661" s="8">
        <f ca="1">RANK(PlayerGameData[[#This Row],[ASTTieBreak]],PlayerGameData[ASTTieBreak],1)</f>
        <v>625</v>
      </c>
      <c r="AU661" s="8">
        <f ca="1">RANK(PlayerGameData[[#This Row],[STL]],PlayerGameData[STL],0)+PlayerGameData[[#This Row],[VisibleOrder]]</f>
        <v>1142</v>
      </c>
      <c r="AV661" s="8">
        <f ca="1">IF(COUNTIF(PlayerGameData[STLOrder],PlayerGameData[[#This Row],[STLOrder]])&gt;1,PlayerGameData[[#This Row],[PointRank]]/100+PlayerGameData[[#This Row],[STLOrder]],PlayerGameData[[#This Row],[STLOrder]])</f>
        <v>1148.25</v>
      </c>
      <c r="AW661" s="8">
        <f ca="1">RANK(PlayerGameData[[#This Row],[STLTieBreak]],PlayerGameData[STLTieBreak],1)</f>
        <v>625</v>
      </c>
      <c r="AX661" s="8">
        <f ca="1">RANK(PlayerGameData[[#This Row],[BLK]],PlayerGameData[BLK],0)+PlayerGameData[[#This Row],[VisibleOrder]]</f>
        <v>1031</v>
      </c>
      <c r="AY661" s="8">
        <f ca="1">IF(COUNTIF(PlayerGameData[BLKOrder],PlayerGameData[[#This Row],[BLKOrder]])&gt;1,PlayerGameData[[#This Row],[PointRank]]/100+PlayerGameData[[#This Row],[BLKOrder]],PlayerGameData[[#This Row],[BLKOrder]])</f>
        <v>1037.25</v>
      </c>
      <c r="AZ661" s="8">
        <f ca="1">RANK(PlayerGameData[[#This Row],[BLKTieBreak]],PlayerGameData[BLKTieBreak],1)</f>
        <v>625</v>
      </c>
      <c r="BA661" s="11">
        <f ca="1">IFERROR(IF(PlayerGameData[[#This Row],[FGA]]&gt;$AA$5,PlayerGameData[[#This Row],[FG%*]],PlayerGameData[[#This Row],[FG%*]]*-1),-2)</f>
        <v>-2</v>
      </c>
      <c r="BB661" s="8">
        <f ca="1">RANK(PlayerGameData[[#This Row],[EligFG]],PlayerGameData[EligFG],0)+PlayerGameData[[#This Row],[VisibleOrder]]</f>
        <v>1214</v>
      </c>
      <c r="BC661" s="8">
        <f ca="1">IF(COUNTIF(PlayerGameData[EligFGOrder],PlayerGameData[[#This Row],[EligFGOrder]])&gt;1,PlayerGameData[[#This Row],[PointRank]]/100+PlayerGameData[[#This Row],[EligFGOrder]],PlayerGameData[[#This Row],[EligFGOrder]])</f>
        <v>1220.25</v>
      </c>
      <c r="BD661" s="8">
        <f ca="1">RANK(PlayerGameData[[#This Row],[EligFGTieBreak]],PlayerGameData[EligFGTieBreak],1)</f>
        <v>625</v>
      </c>
      <c r="BE661" s="8" t="str">
        <f>Roster!$D$3</f>
        <v>East</v>
      </c>
      <c r="BF661" s="8" t="str">
        <f>Roster!$D$2</f>
        <v>Northeast</v>
      </c>
      <c r="BG661" s="8" t="str">
        <f>Roster!$D$4</f>
        <v>North</v>
      </c>
      <c r="BH661" s="197">
        <f ca="1">IFERROR(VLOOKUP(CONCATENATE(PlayerGameData[[#This Row],[Opponent]]," ",MONTH(PlayerGameData[[#This Row],[Date]]),"/",DAY(PlayerGameData[[#This Row],[Date]]),"/",YEAR(PlayerGameData[[#This Row],[Date]])),Table35[],2,FALSE),0)</f>
        <v>0</v>
      </c>
      <c r="BI661" s="197">
        <f ca="1">IF(PlayerGameData[[#This Row],[Visible]]=1,1,1000)</f>
        <v>1000</v>
      </c>
      <c r="BJ661" s="197" t="e">
        <f ca="1">_xlfn.MAXIFS(TeamGameData[Win],TeamGameData[School, Opponent,Game'#],PlayerGameData[[#This Row],[School, Opponent,Game'#]])</f>
        <v>#NAME?</v>
      </c>
      <c r="BK661" s="197" t="e">
        <f ca="1">_xlfn.MAXIFS(TeamGameData[Loss],TeamGameData[School, Opponent,Game'#],PlayerGameData[[#This Row],[School, Opponent,Game'#]])</f>
        <v>#NAME?</v>
      </c>
    </row>
    <row r="662" spans="1:63" x14ac:dyDescent="0.25">
      <c r="A662" s="8" t="str">
        <f t="shared" ca="1" si="333"/>
        <v>Ethan Schiller, 23</v>
      </c>
      <c r="B662" s="8" t="str">
        <f>Roster!$B$1</f>
        <v>Upton</v>
      </c>
      <c r="C662" s="8">
        <f t="shared" ca="1" si="321"/>
        <v>0</v>
      </c>
      <c r="D662" s="10">
        <f t="shared" ca="1" si="322"/>
        <v>0</v>
      </c>
      <c r="E662" s="8">
        <f t="shared" ca="1" si="323"/>
        <v>0</v>
      </c>
      <c r="F662" s="8">
        <f t="shared" ca="1" si="324"/>
        <v>0</v>
      </c>
      <c r="G662" s="8">
        <f t="shared" ca="1" si="325"/>
        <v>0</v>
      </c>
      <c r="H662" s="8">
        <f t="shared" ca="1" si="326"/>
        <v>0</v>
      </c>
      <c r="I662" s="8">
        <f t="shared" ca="1" si="327"/>
        <v>0</v>
      </c>
      <c r="J662" s="8">
        <f t="shared" ca="1" si="328"/>
        <v>0</v>
      </c>
      <c r="K662" s="8">
        <f t="shared" ca="1" si="329"/>
        <v>0</v>
      </c>
      <c r="L662" s="8">
        <f t="shared" ca="1" si="334"/>
        <v>0</v>
      </c>
      <c r="M662" s="8">
        <f t="shared" ca="1" si="335"/>
        <v>0</v>
      </c>
      <c r="N662" s="8">
        <f t="shared" ca="1" si="336"/>
        <v>0</v>
      </c>
      <c r="O662" s="8">
        <f t="shared" ca="1" si="337"/>
        <v>0</v>
      </c>
      <c r="P662" s="8">
        <f t="shared" ca="1" si="338"/>
        <v>0</v>
      </c>
      <c r="Q662" s="8">
        <f t="shared" ca="1" si="339"/>
        <v>0</v>
      </c>
      <c r="R662" s="8">
        <f t="shared" ca="1" si="340"/>
        <v>0</v>
      </c>
      <c r="S662" s="8">
        <f t="shared" ca="1" si="341"/>
        <v>0</v>
      </c>
      <c r="T662" s="8">
        <f t="shared" ca="1" si="342"/>
        <v>0</v>
      </c>
      <c r="U662" s="8">
        <f t="shared" ca="1" si="343"/>
        <v>0</v>
      </c>
      <c r="V662" s="8">
        <f t="shared" ca="1" si="344"/>
        <v>0</v>
      </c>
      <c r="W662" s="11" t="str">
        <f t="shared" ca="1" si="345"/>
        <v/>
      </c>
      <c r="X662" s="11" t="str">
        <f t="shared" ca="1" si="346"/>
        <v/>
      </c>
      <c r="Y662" s="11" t="str">
        <f t="shared" ca="1" si="347"/>
        <v/>
      </c>
      <c r="Z662" s="11" t="str">
        <f t="shared" ca="1" si="348"/>
        <v/>
      </c>
      <c r="AA662" s="11" t="str">
        <f t="shared" ca="1" si="349"/>
        <v/>
      </c>
      <c r="AB662" s="47">
        <f ca="1">PlayerGameData[[#This Row],[3FGA]]+PlayerGameData[[#This Row],[2FGA]]</f>
        <v>0</v>
      </c>
      <c r="AC662" s="47">
        <f ca="1">PlayerGameData[[#This Row],[OFF REB]]+PlayerGameData[[#This Row],[DEF REB]]</f>
        <v>0</v>
      </c>
      <c r="AD662" s="8">
        <f t="shared" si="330"/>
        <v>28</v>
      </c>
      <c r="AE662" s="8" t="str">
        <f t="shared" ca="1" si="331"/>
        <v>Ethan Schiller, 23 - 0 1/0/1900</v>
      </c>
      <c r="AF662" s="8" t="str">
        <f t="shared" ca="1" si="350"/>
        <v/>
      </c>
      <c r="AG662" s="8" t="str">
        <f ca="1">IFERROR(IF(C662=0,"",IF(AND(VLOOKUP(PlayerGameData[[#This Row],[Opponent]],WYTeamInfo,2,FALSE)=Roster!$D$1,VLOOKUP(PlayerGameData[[#This Row],[Opponent]],WYTeamInfo,3,FALSE)=Roster!$D$2),"SR","")),"")</f>
        <v/>
      </c>
      <c r="AH662" s="8" t="str">
        <f>CONCATENATE(Roster!$D$1," ",Roster!$D$5)</f>
        <v>1A BB</v>
      </c>
      <c r="AI662" s="8" t="str">
        <f t="shared" ca="1" si="332"/>
        <v>Blank</v>
      </c>
      <c r="AJ662" s="8">
        <f ca="1">IFERROR(VLOOKUP(PlayerGameData[[#This Row],[School, Opponent,Game'#]],Table3[],2,FALSE),0)</f>
        <v>0</v>
      </c>
      <c r="AK662" s="8">
        <f ca="1">IF(PlayerGameData[[#This Row],[Visible]]=1,1,1000)</f>
        <v>1000</v>
      </c>
      <c r="AL662" s="8">
        <f ca="1">RANK(PlayerGameData[[#This Row],[TL PTS]],PlayerGameData[TL PTS],0)+PlayerGameData[[#This Row],[VisibleOrder]]</f>
        <v>1184</v>
      </c>
      <c r="AM662" s="8">
        <f ca="1">IF(COUNTIF(PlayerGameData[PointOrder],PlayerGameData[[#This Row],[PointOrder]])&gt;1,RANK(PlayerGameData[[#This Row],[FGA]],PlayerGameData[FGA],0)/100,0)+PlayerGameData[[#This Row],[PointOrder]]</f>
        <v>1186.1400000000001</v>
      </c>
      <c r="AN662" s="8">
        <f ca="1">RANK(PlayerGameData[[#This Row],[PointTieBreak]],PlayerGameData[PointTieBreak],1)</f>
        <v>625</v>
      </c>
      <c r="AO662" s="8">
        <f ca="1">RANK(PlayerGameData[[#This Row],[REB]],PlayerGameData[REB],0)+PlayerGameData[[#This Row],[VisibleOrder]]</f>
        <v>1191</v>
      </c>
      <c r="AP662" s="8">
        <f ca="1">IF(COUNTIF(PlayerGameData[REBOrder],PlayerGameData[[#This Row],[REBOrder]])&gt;1,PlayerGameData[[#This Row],[PointRank]]/100+PlayerGameData[[#This Row],[REBOrder]],PlayerGameData[[#This Row],[REBOrder]])</f>
        <v>1197.25</v>
      </c>
      <c r="AQ662" s="8">
        <f ca="1">RANK(PlayerGameData[[#This Row],[REBTieBreak]],PlayerGameData[REBTieBreak],1)</f>
        <v>625</v>
      </c>
      <c r="AR662" s="8">
        <f ca="1">RANK(PlayerGameData[[#This Row],[AST]],PlayerGameData[AST],0)+PlayerGameData[[#This Row],[VisibleOrder]]</f>
        <v>1157</v>
      </c>
      <c r="AS662" s="8">
        <f ca="1">IF(COUNTIF(PlayerGameData[ASTOrder],PlayerGameData[[#This Row],[ASTOrder]])&gt;1,PlayerGameData[[#This Row],[PointRank]]/100+PlayerGameData[[#This Row],[ASTOrder]],PlayerGameData[[#This Row],[ASTOrder]])</f>
        <v>1163.25</v>
      </c>
      <c r="AT662" s="8">
        <f ca="1">RANK(PlayerGameData[[#This Row],[ASTTieBreak]],PlayerGameData[ASTTieBreak],1)</f>
        <v>625</v>
      </c>
      <c r="AU662" s="8">
        <f ca="1">RANK(PlayerGameData[[#This Row],[STL]],PlayerGameData[STL],0)+PlayerGameData[[#This Row],[VisibleOrder]]</f>
        <v>1142</v>
      </c>
      <c r="AV662" s="8">
        <f ca="1">IF(COUNTIF(PlayerGameData[STLOrder],PlayerGameData[[#This Row],[STLOrder]])&gt;1,PlayerGameData[[#This Row],[PointRank]]/100+PlayerGameData[[#This Row],[STLOrder]],PlayerGameData[[#This Row],[STLOrder]])</f>
        <v>1148.25</v>
      </c>
      <c r="AW662" s="8">
        <f ca="1">RANK(PlayerGameData[[#This Row],[STLTieBreak]],PlayerGameData[STLTieBreak],1)</f>
        <v>625</v>
      </c>
      <c r="AX662" s="8">
        <f ca="1">RANK(PlayerGameData[[#This Row],[BLK]],PlayerGameData[BLK],0)+PlayerGameData[[#This Row],[VisibleOrder]]</f>
        <v>1031</v>
      </c>
      <c r="AY662" s="8">
        <f ca="1">IF(COUNTIF(PlayerGameData[BLKOrder],PlayerGameData[[#This Row],[BLKOrder]])&gt;1,PlayerGameData[[#This Row],[PointRank]]/100+PlayerGameData[[#This Row],[BLKOrder]],PlayerGameData[[#This Row],[BLKOrder]])</f>
        <v>1037.25</v>
      </c>
      <c r="AZ662" s="8">
        <f ca="1">RANK(PlayerGameData[[#This Row],[BLKTieBreak]],PlayerGameData[BLKTieBreak],1)</f>
        <v>625</v>
      </c>
      <c r="BA662" s="11">
        <f ca="1">IFERROR(IF(PlayerGameData[[#This Row],[FGA]]&gt;$AA$5,PlayerGameData[[#This Row],[FG%*]],PlayerGameData[[#This Row],[FG%*]]*-1),-2)</f>
        <v>-2</v>
      </c>
      <c r="BB662" s="8">
        <f ca="1">RANK(PlayerGameData[[#This Row],[EligFG]],PlayerGameData[EligFG],0)+PlayerGameData[[#This Row],[VisibleOrder]]</f>
        <v>1214</v>
      </c>
      <c r="BC662" s="8">
        <f ca="1">IF(COUNTIF(PlayerGameData[EligFGOrder],PlayerGameData[[#This Row],[EligFGOrder]])&gt;1,PlayerGameData[[#This Row],[PointRank]]/100+PlayerGameData[[#This Row],[EligFGOrder]],PlayerGameData[[#This Row],[EligFGOrder]])</f>
        <v>1220.25</v>
      </c>
      <c r="BD662" s="8">
        <f ca="1">RANK(PlayerGameData[[#This Row],[EligFGTieBreak]],PlayerGameData[EligFGTieBreak],1)</f>
        <v>625</v>
      </c>
      <c r="BE662" s="8" t="str">
        <f>Roster!$D$3</f>
        <v>East</v>
      </c>
      <c r="BF662" s="8" t="str">
        <f>Roster!$D$2</f>
        <v>Northeast</v>
      </c>
      <c r="BG662" s="8" t="str">
        <f>Roster!$D$4</f>
        <v>North</v>
      </c>
      <c r="BH662" s="197">
        <f ca="1">IFERROR(VLOOKUP(CONCATENATE(PlayerGameData[[#This Row],[Opponent]]," ",MONTH(PlayerGameData[[#This Row],[Date]]),"/",DAY(PlayerGameData[[#This Row],[Date]]),"/",YEAR(PlayerGameData[[#This Row],[Date]])),Table35[],2,FALSE),0)</f>
        <v>0</v>
      </c>
      <c r="BI662" s="197">
        <f ca="1">IF(PlayerGameData[[#This Row],[Visible]]=1,1,1000)</f>
        <v>1000</v>
      </c>
      <c r="BJ662" s="197" t="e">
        <f ca="1">_xlfn.MAXIFS(TeamGameData[Win],TeamGameData[School, Opponent,Game'#],PlayerGameData[[#This Row],[School, Opponent,Game'#]])</f>
        <v>#NAME?</v>
      </c>
      <c r="BK662" s="197" t="e">
        <f ca="1">_xlfn.MAXIFS(TeamGameData[Loss],TeamGameData[School, Opponent,Game'#],PlayerGameData[[#This Row],[School, Opponent,Game'#]])</f>
        <v>#NAME?</v>
      </c>
    </row>
    <row r="663" spans="1:63" x14ac:dyDescent="0.25">
      <c r="A663" s="8" t="str">
        <f t="shared" ca="1" si="333"/>
        <v>Bridger Bruce, 25</v>
      </c>
      <c r="B663" s="8" t="str">
        <f>Roster!$B$1</f>
        <v>Upton</v>
      </c>
      <c r="C663" s="8">
        <f t="shared" ca="1" si="321"/>
        <v>0</v>
      </c>
      <c r="D663" s="10">
        <f t="shared" ca="1" si="322"/>
        <v>0</v>
      </c>
      <c r="E663" s="8">
        <f t="shared" ca="1" si="323"/>
        <v>0</v>
      </c>
      <c r="F663" s="8">
        <f t="shared" ca="1" si="324"/>
        <v>0</v>
      </c>
      <c r="G663" s="8">
        <f t="shared" ca="1" si="325"/>
        <v>0</v>
      </c>
      <c r="H663" s="8">
        <f t="shared" ca="1" si="326"/>
        <v>0</v>
      </c>
      <c r="I663" s="8">
        <f t="shared" ca="1" si="327"/>
        <v>0</v>
      </c>
      <c r="J663" s="8">
        <f t="shared" ca="1" si="328"/>
        <v>0</v>
      </c>
      <c r="K663" s="8">
        <f t="shared" ca="1" si="329"/>
        <v>0</v>
      </c>
      <c r="L663" s="8">
        <f t="shared" ca="1" si="334"/>
        <v>0</v>
      </c>
      <c r="M663" s="8">
        <f t="shared" ca="1" si="335"/>
        <v>0</v>
      </c>
      <c r="N663" s="8">
        <f t="shared" ca="1" si="336"/>
        <v>0</v>
      </c>
      <c r="O663" s="8">
        <f t="shared" ca="1" si="337"/>
        <v>0</v>
      </c>
      <c r="P663" s="8">
        <f t="shared" ca="1" si="338"/>
        <v>0</v>
      </c>
      <c r="Q663" s="8">
        <f t="shared" ca="1" si="339"/>
        <v>0</v>
      </c>
      <c r="R663" s="8">
        <f t="shared" ca="1" si="340"/>
        <v>0</v>
      </c>
      <c r="S663" s="8">
        <f t="shared" ca="1" si="341"/>
        <v>0</v>
      </c>
      <c r="T663" s="8">
        <f t="shared" ca="1" si="342"/>
        <v>0</v>
      </c>
      <c r="U663" s="8">
        <f t="shared" ca="1" si="343"/>
        <v>0</v>
      </c>
      <c r="V663" s="8">
        <f t="shared" ca="1" si="344"/>
        <v>0</v>
      </c>
      <c r="W663" s="11" t="str">
        <f t="shared" ca="1" si="345"/>
        <v/>
      </c>
      <c r="X663" s="11" t="str">
        <f t="shared" ca="1" si="346"/>
        <v/>
      </c>
      <c r="Y663" s="11" t="str">
        <f t="shared" ca="1" si="347"/>
        <v/>
      </c>
      <c r="Z663" s="11" t="str">
        <f t="shared" ca="1" si="348"/>
        <v/>
      </c>
      <c r="AA663" s="11" t="str">
        <f t="shared" ca="1" si="349"/>
        <v/>
      </c>
      <c r="AB663" s="47">
        <f ca="1">PlayerGameData[[#This Row],[3FGA]]+PlayerGameData[[#This Row],[2FGA]]</f>
        <v>0</v>
      </c>
      <c r="AC663" s="47">
        <f ca="1">PlayerGameData[[#This Row],[OFF REB]]+PlayerGameData[[#This Row],[DEF REB]]</f>
        <v>0</v>
      </c>
      <c r="AD663" s="8">
        <f t="shared" si="330"/>
        <v>28</v>
      </c>
      <c r="AE663" s="8" t="str">
        <f t="shared" ca="1" si="331"/>
        <v>Bridger Bruce, 25 - 0 1/0/1900</v>
      </c>
      <c r="AF663" s="8" t="str">
        <f t="shared" ca="1" si="350"/>
        <v/>
      </c>
      <c r="AG663" s="8" t="str">
        <f ca="1">IFERROR(IF(C663=0,"",IF(AND(VLOOKUP(PlayerGameData[[#This Row],[Opponent]],WYTeamInfo,2,FALSE)=Roster!$D$1,VLOOKUP(PlayerGameData[[#This Row],[Opponent]],WYTeamInfo,3,FALSE)=Roster!$D$2),"SR","")),"")</f>
        <v/>
      </c>
      <c r="AH663" s="8" t="str">
        <f>CONCATENATE(Roster!$D$1," ",Roster!$D$5)</f>
        <v>1A BB</v>
      </c>
      <c r="AI663" s="8" t="str">
        <f t="shared" ca="1" si="332"/>
        <v>Blank</v>
      </c>
      <c r="AJ663" s="8">
        <f ca="1">IFERROR(VLOOKUP(PlayerGameData[[#This Row],[School, Opponent,Game'#]],Table3[],2,FALSE),0)</f>
        <v>0</v>
      </c>
      <c r="AK663" s="8">
        <f ca="1">IF(PlayerGameData[[#This Row],[Visible]]=1,1,1000)</f>
        <v>1000</v>
      </c>
      <c r="AL663" s="8">
        <f ca="1">RANK(PlayerGameData[[#This Row],[TL PTS]],PlayerGameData[TL PTS],0)+PlayerGameData[[#This Row],[VisibleOrder]]</f>
        <v>1184</v>
      </c>
      <c r="AM663" s="8">
        <f ca="1">IF(COUNTIF(PlayerGameData[PointOrder],PlayerGameData[[#This Row],[PointOrder]])&gt;1,RANK(PlayerGameData[[#This Row],[FGA]],PlayerGameData[FGA],0)/100,0)+PlayerGameData[[#This Row],[PointOrder]]</f>
        <v>1186.1400000000001</v>
      </c>
      <c r="AN663" s="8">
        <f ca="1">RANK(PlayerGameData[[#This Row],[PointTieBreak]],PlayerGameData[PointTieBreak],1)</f>
        <v>625</v>
      </c>
      <c r="AO663" s="8">
        <f ca="1">RANK(PlayerGameData[[#This Row],[REB]],PlayerGameData[REB],0)+PlayerGameData[[#This Row],[VisibleOrder]]</f>
        <v>1191</v>
      </c>
      <c r="AP663" s="8">
        <f ca="1">IF(COUNTIF(PlayerGameData[REBOrder],PlayerGameData[[#This Row],[REBOrder]])&gt;1,PlayerGameData[[#This Row],[PointRank]]/100+PlayerGameData[[#This Row],[REBOrder]],PlayerGameData[[#This Row],[REBOrder]])</f>
        <v>1197.25</v>
      </c>
      <c r="AQ663" s="8">
        <f ca="1">RANK(PlayerGameData[[#This Row],[REBTieBreak]],PlayerGameData[REBTieBreak],1)</f>
        <v>625</v>
      </c>
      <c r="AR663" s="8">
        <f ca="1">RANK(PlayerGameData[[#This Row],[AST]],PlayerGameData[AST],0)+PlayerGameData[[#This Row],[VisibleOrder]]</f>
        <v>1157</v>
      </c>
      <c r="AS663" s="8">
        <f ca="1">IF(COUNTIF(PlayerGameData[ASTOrder],PlayerGameData[[#This Row],[ASTOrder]])&gt;1,PlayerGameData[[#This Row],[PointRank]]/100+PlayerGameData[[#This Row],[ASTOrder]],PlayerGameData[[#This Row],[ASTOrder]])</f>
        <v>1163.25</v>
      </c>
      <c r="AT663" s="8">
        <f ca="1">RANK(PlayerGameData[[#This Row],[ASTTieBreak]],PlayerGameData[ASTTieBreak],1)</f>
        <v>625</v>
      </c>
      <c r="AU663" s="8">
        <f ca="1">RANK(PlayerGameData[[#This Row],[STL]],PlayerGameData[STL],0)+PlayerGameData[[#This Row],[VisibleOrder]]</f>
        <v>1142</v>
      </c>
      <c r="AV663" s="8">
        <f ca="1">IF(COUNTIF(PlayerGameData[STLOrder],PlayerGameData[[#This Row],[STLOrder]])&gt;1,PlayerGameData[[#This Row],[PointRank]]/100+PlayerGameData[[#This Row],[STLOrder]],PlayerGameData[[#This Row],[STLOrder]])</f>
        <v>1148.25</v>
      </c>
      <c r="AW663" s="8">
        <f ca="1">RANK(PlayerGameData[[#This Row],[STLTieBreak]],PlayerGameData[STLTieBreak],1)</f>
        <v>625</v>
      </c>
      <c r="AX663" s="8">
        <f ca="1">RANK(PlayerGameData[[#This Row],[BLK]],PlayerGameData[BLK],0)+PlayerGameData[[#This Row],[VisibleOrder]]</f>
        <v>1031</v>
      </c>
      <c r="AY663" s="8">
        <f ca="1">IF(COUNTIF(PlayerGameData[BLKOrder],PlayerGameData[[#This Row],[BLKOrder]])&gt;1,PlayerGameData[[#This Row],[PointRank]]/100+PlayerGameData[[#This Row],[BLKOrder]],PlayerGameData[[#This Row],[BLKOrder]])</f>
        <v>1037.25</v>
      </c>
      <c r="AZ663" s="8">
        <f ca="1">RANK(PlayerGameData[[#This Row],[BLKTieBreak]],PlayerGameData[BLKTieBreak],1)</f>
        <v>625</v>
      </c>
      <c r="BA663" s="11">
        <f ca="1">IFERROR(IF(PlayerGameData[[#This Row],[FGA]]&gt;$AA$5,PlayerGameData[[#This Row],[FG%*]],PlayerGameData[[#This Row],[FG%*]]*-1),-2)</f>
        <v>-2</v>
      </c>
      <c r="BB663" s="8">
        <f ca="1">RANK(PlayerGameData[[#This Row],[EligFG]],PlayerGameData[EligFG],0)+PlayerGameData[[#This Row],[VisibleOrder]]</f>
        <v>1214</v>
      </c>
      <c r="BC663" s="8">
        <f ca="1">IF(COUNTIF(PlayerGameData[EligFGOrder],PlayerGameData[[#This Row],[EligFGOrder]])&gt;1,PlayerGameData[[#This Row],[PointRank]]/100+PlayerGameData[[#This Row],[EligFGOrder]],PlayerGameData[[#This Row],[EligFGOrder]])</f>
        <v>1220.25</v>
      </c>
      <c r="BD663" s="8">
        <f ca="1">RANK(PlayerGameData[[#This Row],[EligFGTieBreak]],PlayerGameData[EligFGTieBreak],1)</f>
        <v>625</v>
      </c>
      <c r="BE663" s="8" t="str">
        <f>Roster!$D$3</f>
        <v>East</v>
      </c>
      <c r="BF663" s="8" t="str">
        <f>Roster!$D$2</f>
        <v>Northeast</v>
      </c>
      <c r="BG663" s="8" t="str">
        <f>Roster!$D$4</f>
        <v>North</v>
      </c>
      <c r="BH663" s="197">
        <f ca="1">IFERROR(VLOOKUP(CONCATENATE(PlayerGameData[[#This Row],[Opponent]]," ",MONTH(PlayerGameData[[#This Row],[Date]]),"/",DAY(PlayerGameData[[#This Row],[Date]]),"/",YEAR(PlayerGameData[[#This Row],[Date]])),Table35[],2,FALSE),0)</f>
        <v>0</v>
      </c>
      <c r="BI663" s="197">
        <f ca="1">IF(PlayerGameData[[#This Row],[Visible]]=1,1,1000)</f>
        <v>1000</v>
      </c>
      <c r="BJ663" s="197" t="e">
        <f ca="1">_xlfn.MAXIFS(TeamGameData[Win],TeamGameData[School, Opponent,Game'#],PlayerGameData[[#This Row],[School, Opponent,Game'#]])</f>
        <v>#NAME?</v>
      </c>
      <c r="BK663" s="197" t="e">
        <f ca="1">_xlfn.MAXIFS(TeamGameData[Loss],TeamGameData[School, Opponent,Game'#],PlayerGameData[[#This Row],[School, Opponent,Game'#]])</f>
        <v>#NAME?</v>
      </c>
    </row>
    <row r="664" spans="1:63" x14ac:dyDescent="0.25">
      <c r="A664" s="8" t="str">
        <f t="shared" ca="1" si="333"/>
        <v>Kailer Duarte, 31</v>
      </c>
      <c r="B664" s="8" t="str">
        <f>Roster!$B$1</f>
        <v>Upton</v>
      </c>
      <c r="C664" s="8">
        <f t="shared" ca="1" si="321"/>
        <v>0</v>
      </c>
      <c r="D664" s="10">
        <f t="shared" ca="1" si="322"/>
        <v>0</v>
      </c>
      <c r="E664" s="8">
        <f t="shared" ca="1" si="323"/>
        <v>0</v>
      </c>
      <c r="F664" s="8">
        <f t="shared" ca="1" si="324"/>
        <v>0</v>
      </c>
      <c r="G664" s="8">
        <f t="shared" ca="1" si="325"/>
        <v>0</v>
      </c>
      <c r="H664" s="8">
        <f t="shared" ca="1" si="326"/>
        <v>0</v>
      </c>
      <c r="I664" s="8">
        <f t="shared" ca="1" si="327"/>
        <v>0</v>
      </c>
      <c r="J664" s="8">
        <f t="shared" ca="1" si="328"/>
        <v>0</v>
      </c>
      <c r="K664" s="8">
        <f t="shared" ca="1" si="329"/>
        <v>0</v>
      </c>
      <c r="L664" s="8">
        <f t="shared" ca="1" si="334"/>
        <v>0</v>
      </c>
      <c r="M664" s="8">
        <f t="shared" ca="1" si="335"/>
        <v>0</v>
      </c>
      <c r="N664" s="8">
        <f t="shared" ca="1" si="336"/>
        <v>0</v>
      </c>
      <c r="O664" s="8">
        <f t="shared" ca="1" si="337"/>
        <v>0</v>
      </c>
      <c r="P664" s="8">
        <f t="shared" ca="1" si="338"/>
        <v>0</v>
      </c>
      <c r="Q664" s="8">
        <f t="shared" ca="1" si="339"/>
        <v>0</v>
      </c>
      <c r="R664" s="8">
        <f t="shared" ca="1" si="340"/>
        <v>0</v>
      </c>
      <c r="S664" s="8">
        <f t="shared" ca="1" si="341"/>
        <v>0</v>
      </c>
      <c r="T664" s="8">
        <f t="shared" ca="1" si="342"/>
        <v>0</v>
      </c>
      <c r="U664" s="8">
        <f t="shared" ca="1" si="343"/>
        <v>0</v>
      </c>
      <c r="V664" s="8">
        <f t="shared" ca="1" si="344"/>
        <v>0</v>
      </c>
      <c r="W664" s="11" t="str">
        <f t="shared" ca="1" si="345"/>
        <v/>
      </c>
      <c r="X664" s="11" t="str">
        <f t="shared" ca="1" si="346"/>
        <v/>
      </c>
      <c r="Y664" s="11" t="str">
        <f t="shared" ca="1" si="347"/>
        <v/>
      </c>
      <c r="Z664" s="11" t="str">
        <f t="shared" ca="1" si="348"/>
        <v/>
      </c>
      <c r="AA664" s="11" t="str">
        <f t="shared" ca="1" si="349"/>
        <v/>
      </c>
      <c r="AB664" s="47">
        <f ca="1">PlayerGameData[[#This Row],[3FGA]]+PlayerGameData[[#This Row],[2FGA]]</f>
        <v>0</v>
      </c>
      <c r="AC664" s="47">
        <f ca="1">PlayerGameData[[#This Row],[OFF REB]]+PlayerGameData[[#This Row],[DEF REB]]</f>
        <v>0</v>
      </c>
      <c r="AD664" s="8">
        <f t="shared" si="330"/>
        <v>28</v>
      </c>
      <c r="AE664" s="8" t="str">
        <f t="shared" ca="1" si="331"/>
        <v>Kailer Duarte, 31 - 0 1/0/1900</v>
      </c>
      <c r="AF664" s="8" t="str">
        <f t="shared" ca="1" si="350"/>
        <v/>
      </c>
      <c r="AG664" s="8" t="str">
        <f ca="1">IFERROR(IF(C664=0,"",IF(AND(VLOOKUP(PlayerGameData[[#This Row],[Opponent]],WYTeamInfo,2,FALSE)=Roster!$D$1,VLOOKUP(PlayerGameData[[#This Row],[Opponent]],WYTeamInfo,3,FALSE)=Roster!$D$2),"SR","")),"")</f>
        <v/>
      </c>
      <c r="AH664" s="8" t="str">
        <f>CONCATENATE(Roster!$D$1," ",Roster!$D$5)</f>
        <v>1A BB</v>
      </c>
      <c r="AI664" s="8" t="str">
        <f t="shared" ca="1" si="332"/>
        <v>Blank</v>
      </c>
      <c r="AJ664" s="8">
        <f ca="1">IFERROR(VLOOKUP(PlayerGameData[[#This Row],[School, Opponent,Game'#]],Table3[],2,FALSE),0)</f>
        <v>0</v>
      </c>
      <c r="AK664" s="8">
        <f ca="1">IF(PlayerGameData[[#This Row],[Visible]]=1,1,1000)</f>
        <v>1000</v>
      </c>
      <c r="AL664" s="8">
        <f ca="1">RANK(PlayerGameData[[#This Row],[TL PTS]],PlayerGameData[TL PTS],0)+PlayerGameData[[#This Row],[VisibleOrder]]</f>
        <v>1184</v>
      </c>
      <c r="AM664" s="8">
        <f ca="1">IF(COUNTIF(PlayerGameData[PointOrder],PlayerGameData[[#This Row],[PointOrder]])&gt;1,RANK(PlayerGameData[[#This Row],[FGA]],PlayerGameData[FGA],0)/100,0)+PlayerGameData[[#This Row],[PointOrder]]</f>
        <v>1186.1400000000001</v>
      </c>
      <c r="AN664" s="8">
        <f ca="1">RANK(PlayerGameData[[#This Row],[PointTieBreak]],PlayerGameData[PointTieBreak],1)</f>
        <v>625</v>
      </c>
      <c r="AO664" s="8">
        <f ca="1">RANK(PlayerGameData[[#This Row],[REB]],PlayerGameData[REB],0)+PlayerGameData[[#This Row],[VisibleOrder]]</f>
        <v>1191</v>
      </c>
      <c r="AP664" s="8">
        <f ca="1">IF(COUNTIF(PlayerGameData[REBOrder],PlayerGameData[[#This Row],[REBOrder]])&gt;1,PlayerGameData[[#This Row],[PointRank]]/100+PlayerGameData[[#This Row],[REBOrder]],PlayerGameData[[#This Row],[REBOrder]])</f>
        <v>1197.25</v>
      </c>
      <c r="AQ664" s="8">
        <f ca="1">RANK(PlayerGameData[[#This Row],[REBTieBreak]],PlayerGameData[REBTieBreak],1)</f>
        <v>625</v>
      </c>
      <c r="AR664" s="8">
        <f ca="1">RANK(PlayerGameData[[#This Row],[AST]],PlayerGameData[AST],0)+PlayerGameData[[#This Row],[VisibleOrder]]</f>
        <v>1157</v>
      </c>
      <c r="AS664" s="8">
        <f ca="1">IF(COUNTIF(PlayerGameData[ASTOrder],PlayerGameData[[#This Row],[ASTOrder]])&gt;1,PlayerGameData[[#This Row],[PointRank]]/100+PlayerGameData[[#This Row],[ASTOrder]],PlayerGameData[[#This Row],[ASTOrder]])</f>
        <v>1163.25</v>
      </c>
      <c r="AT664" s="8">
        <f ca="1">RANK(PlayerGameData[[#This Row],[ASTTieBreak]],PlayerGameData[ASTTieBreak],1)</f>
        <v>625</v>
      </c>
      <c r="AU664" s="8">
        <f ca="1">RANK(PlayerGameData[[#This Row],[STL]],PlayerGameData[STL],0)+PlayerGameData[[#This Row],[VisibleOrder]]</f>
        <v>1142</v>
      </c>
      <c r="AV664" s="8">
        <f ca="1">IF(COUNTIF(PlayerGameData[STLOrder],PlayerGameData[[#This Row],[STLOrder]])&gt;1,PlayerGameData[[#This Row],[PointRank]]/100+PlayerGameData[[#This Row],[STLOrder]],PlayerGameData[[#This Row],[STLOrder]])</f>
        <v>1148.25</v>
      </c>
      <c r="AW664" s="8">
        <f ca="1">RANK(PlayerGameData[[#This Row],[STLTieBreak]],PlayerGameData[STLTieBreak],1)</f>
        <v>625</v>
      </c>
      <c r="AX664" s="8">
        <f ca="1">RANK(PlayerGameData[[#This Row],[BLK]],PlayerGameData[BLK],0)+PlayerGameData[[#This Row],[VisibleOrder]]</f>
        <v>1031</v>
      </c>
      <c r="AY664" s="8">
        <f ca="1">IF(COUNTIF(PlayerGameData[BLKOrder],PlayerGameData[[#This Row],[BLKOrder]])&gt;1,PlayerGameData[[#This Row],[PointRank]]/100+PlayerGameData[[#This Row],[BLKOrder]],PlayerGameData[[#This Row],[BLKOrder]])</f>
        <v>1037.25</v>
      </c>
      <c r="AZ664" s="8">
        <f ca="1">RANK(PlayerGameData[[#This Row],[BLKTieBreak]],PlayerGameData[BLKTieBreak],1)</f>
        <v>625</v>
      </c>
      <c r="BA664" s="11">
        <f ca="1">IFERROR(IF(PlayerGameData[[#This Row],[FGA]]&gt;$AA$5,PlayerGameData[[#This Row],[FG%*]],PlayerGameData[[#This Row],[FG%*]]*-1),-2)</f>
        <v>-2</v>
      </c>
      <c r="BB664" s="8">
        <f ca="1">RANK(PlayerGameData[[#This Row],[EligFG]],PlayerGameData[EligFG],0)+PlayerGameData[[#This Row],[VisibleOrder]]</f>
        <v>1214</v>
      </c>
      <c r="BC664" s="8">
        <f ca="1">IF(COUNTIF(PlayerGameData[EligFGOrder],PlayerGameData[[#This Row],[EligFGOrder]])&gt;1,PlayerGameData[[#This Row],[PointRank]]/100+PlayerGameData[[#This Row],[EligFGOrder]],PlayerGameData[[#This Row],[EligFGOrder]])</f>
        <v>1220.25</v>
      </c>
      <c r="BD664" s="8">
        <f ca="1">RANK(PlayerGameData[[#This Row],[EligFGTieBreak]],PlayerGameData[EligFGTieBreak],1)</f>
        <v>625</v>
      </c>
      <c r="BE664" s="8" t="str">
        <f>Roster!$D$3</f>
        <v>East</v>
      </c>
      <c r="BF664" s="8" t="str">
        <f>Roster!$D$2</f>
        <v>Northeast</v>
      </c>
      <c r="BG664" s="8" t="str">
        <f>Roster!$D$4</f>
        <v>North</v>
      </c>
      <c r="BH664" s="197">
        <f ca="1">IFERROR(VLOOKUP(CONCATENATE(PlayerGameData[[#This Row],[Opponent]]," ",MONTH(PlayerGameData[[#This Row],[Date]]),"/",DAY(PlayerGameData[[#This Row],[Date]]),"/",YEAR(PlayerGameData[[#This Row],[Date]])),Table35[],2,FALSE),0)</f>
        <v>0</v>
      </c>
      <c r="BI664" s="197">
        <f ca="1">IF(PlayerGameData[[#This Row],[Visible]]=1,1,1000)</f>
        <v>1000</v>
      </c>
      <c r="BJ664" s="197" t="e">
        <f ca="1">_xlfn.MAXIFS(TeamGameData[Win],TeamGameData[School, Opponent,Game'#],PlayerGameData[[#This Row],[School, Opponent,Game'#]])</f>
        <v>#NAME?</v>
      </c>
      <c r="BK664" s="197" t="e">
        <f ca="1">_xlfn.MAXIFS(TeamGameData[Loss],TeamGameData[School, Opponent,Game'#],PlayerGameData[[#This Row],[School, Opponent,Game'#]])</f>
        <v>#NAME?</v>
      </c>
    </row>
    <row r="665" spans="1:63" x14ac:dyDescent="0.25">
      <c r="A665" s="8" t="str">
        <f t="shared" ca="1" si="333"/>
        <v>Matt Stirmel, 33</v>
      </c>
      <c r="B665" s="8" t="str">
        <f>Roster!$B$1</f>
        <v>Upton</v>
      </c>
      <c r="C665" s="8">
        <f t="shared" ca="1" si="321"/>
        <v>0</v>
      </c>
      <c r="D665" s="10">
        <f t="shared" ca="1" si="322"/>
        <v>0</v>
      </c>
      <c r="E665" s="8">
        <f t="shared" ca="1" si="323"/>
        <v>0</v>
      </c>
      <c r="F665" s="8">
        <f t="shared" ca="1" si="324"/>
        <v>0</v>
      </c>
      <c r="G665" s="8">
        <f t="shared" ca="1" si="325"/>
        <v>0</v>
      </c>
      <c r="H665" s="8">
        <f t="shared" ca="1" si="326"/>
        <v>0</v>
      </c>
      <c r="I665" s="8">
        <f t="shared" ca="1" si="327"/>
        <v>0</v>
      </c>
      <c r="J665" s="8">
        <f t="shared" ca="1" si="328"/>
        <v>0</v>
      </c>
      <c r="K665" s="8">
        <f t="shared" ca="1" si="329"/>
        <v>0</v>
      </c>
      <c r="L665" s="8">
        <f t="shared" ca="1" si="334"/>
        <v>0</v>
      </c>
      <c r="M665" s="8">
        <f t="shared" ca="1" si="335"/>
        <v>0</v>
      </c>
      <c r="N665" s="8">
        <f t="shared" ca="1" si="336"/>
        <v>0</v>
      </c>
      <c r="O665" s="8">
        <f t="shared" ca="1" si="337"/>
        <v>0</v>
      </c>
      <c r="P665" s="8">
        <f t="shared" ca="1" si="338"/>
        <v>0</v>
      </c>
      <c r="Q665" s="8">
        <f t="shared" ca="1" si="339"/>
        <v>0</v>
      </c>
      <c r="R665" s="8">
        <f t="shared" ca="1" si="340"/>
        <v>0</v>
      </c>
      <c r="S665" s="8">
        <f t="shared" ca="1" si="341"/>
        <v>0</v>
      </c>
      <c r="T665" s="8">
        <f t="shared" ca="1" si="342"/>
        <v>0</v>
      </c>
      <c r="U665" s="8">
        <f t="shared" ca="1" si="343"/>
        <v>0</v>
      </c>
      <c r="V665" s="8">
        <f t="shared" ca="1" si="344"/>
        <v>0</v>
      </c>
      <c r="W665" s="11" t="str">
        <f t="shared" ca="1" si="345"/>
        <v/>
      </c>
      <c r="X665" s="11" t="str">
        <f t="shared" ca="1" si="346"/>
        <v/>
      </c>
      <c r="Y665" s="11" t="str">
        <f t="shared" ca="1" si="347"/>
        <v/>
      </c>
      <c r="Z665" s="11" t="str">
        <f t="shared" ca="1" si="348"/>
        <v/>
      </c>
      <c r="AA665" s="11" t="str">
        <f t="shared" ca="1" si="349"/>
        <v/>
      </c>
      <c r="AB665" s="47">
        <f ca="1">PlayerGameData[[#This Row],[3FGA]]+PlayerGameData[[#This Row],[2FGA]]</f>
        <v>0</v>
      </c>
      <c r="AC665" s="47">
        <f ca="1">PlayerGameData[[#This Row],[OFF REB]]+PlayerGameData[[#This Row],[DEF REB]]</f>
        <v>0</v>
      </c>
      <c r="AD665" s="8">
        <f t="shared" si="330"/>
        <v>28</v>
      </c>
      <c r="AE665" s="8" t="str">
        <f t="shared" ca="1" si="331"/>
        <v>Matt Stirmel, 33 - 0 1/0/1900</v>
      </c>
      <c r="AF665" s="8" t="str">
        <f t="shared" ca="1" si="350"/>
        <v/>
      </c>
      <c r="AG665" s="8" t="str">
        <f ca="1">IFERROR(IF(C665=0,"",IF(AND(VLOOKUP(PlayerGameData[[#This Row],[Opponent]],WYTeamInfo,2,FALSE)=Roster!$D$1,VLOOKUP(PlayerGameData[[#This Row],[Opponent]],WYTeamInfo,3,FALSE)=Roster!$D$2),"SR","")),"")</f>
        <v/>
      </c>
      <c r="AH665" s="8" t="str">
        <f>CONCATENATE(Roster!$D$1," ",Roster!$D$5)</f>
        <v>1A BB</v>
      </c>
      <c r="AI665" s="8" t="str">
        <f t="shared" ca="1" si="332"/>
        <v>Blank</v>
      </c>
      <c r="AJ665" s="8">
        <f ca="1">IFERROR(VLOOKUP(PlayerGameData[[#This Row],[School, Opponent,Game'#]],Table3[],2,FALSE),0)</f>
        <v>0</v>
      </c>
      <c r="AK665" s="8">
        <f ca="1">IF(PlayerGameData[[#This Row],[Visible]]=1,1,1000)</f>
        <v>1000</v>
      </c>
      <c r="AL665" s="8">
        <f ca="1">RANK(PlayerGameData[[#This Row],[TL PTS]],PlayerGameData[TL PTS],0)+PlayerGameData[[#This Row],[VisibleOrder]]</f>
        <v>1184</v>
      </c>
      <c r="AM665" s="8">
        <f ca="1">IF(COUNTIF(PlayerGameData[PointOrder],PlayerGameData[[#This Row],[PointOrder]])&gt;1,RANK(PlayerGameData[[#This Row],[FGA]],PlayerGameData[FGA],0)/100,0)+PlayerGameData[[#This Row],[PointOrder]]</f>
        <v>1186.1400000000001</v>
      </c>
      <c r="AN665" s="8">
        <f ca="1">RANK(PlayerGameData[[#This Row],[PointTieBreak]],PlayerGameData[PointTieBreak],1)</f>
        <v>625</v>
      </c>
      <c r="AO665" s="8">
        <f ca="1">RANK(PlayerGameData[[#This Row],[REB]],PlayerGameData[REB],0)+PlayerGameData[[#This Row],[VisibleOrder]]</f>
        <v>1191</v>
      </c>
      <c r="AP665" s="8">
        <f ca="1">IF(COUNTIF(PlayerGameData[REBOrder],PlayerGameData[[#This Row],[REBOrder]])&gt;1,PlayerGameData[[#This Row],[PointRank]]/100+PlayerGameData[[#This Row],[REBOrder]],PlayerGameData[[#This Row],[REBOrder]])</f>
        <v>1197.25</v>
      </c>
      <c r="AQ665" s="8">
        <f ca="1">RANK(PlayerGameData[[#This Row],[REBTieBreak]],PlayerGameData[REBTieBreak],1)</f>
        <v>625</v>
      </c>
      <c r="AR665" s="8">
        <f ca="1">RANK(PlayerGameData[[#This Row],[AST]],PlayerGameData[AST],0)+PlayerGameData[[#This Row],[VisibleOrder]]</f>
        <v>1157</v>
      </c>
      <c r="AS665" s="8">
        <f ca="1">IF(COUNTIF(PlayerGameData[ASTOrder],PlayerGameData[[#This Row],[ASTOrder]])&gt;1,PlayerGameData[[#This Row],[PointRank]]/100+PlayerGameData[[#This Row],[ASTOrder]],PlayerGameData[[#This Row],[ASTOrder]])</f>
        <v>1163.25</v>
      </c>
      <c r="AT665" s="8">
        <f ca="1">RANK(PlayerGameData[[#This Row],[ASTTieBreak]],PlayerGameData[ASTTieBreak],1)</f>
        <v>625</v>
      </c>
      <c r="AU665" s="8">
        <f ca="1">RANK(PlayerGameData[[#This Row],[STL]],PlayerGameData[STL],0)+PlayerGameData[[#This Row],[VisibleOrder]]</f>
        <v>1142</v>
      </c>
      <c r="AV665" s="8">
        <f ca="1">IF(COUNTIF(PlayerGameData[STLOrder],PlayerGameData[[#This Row],[STLOrder]])&gt;1,PlayerGameData[[#This Row],[PointRank]]/100+PlayerGameData[[#This Row],[STLOrder]],PlayerGameData[[#This Row],[STLOrder]])</f>
        <v>1148.25</v>
      </c>
      <c r="AW665" s="8">
        <f ca="1">RANK(PlayerGameData[[#This Row],[STLTieBreak]],PlayerGameData[STLTieBreak],1)</f>
        <v>625</v>
      </c>
      <c r="AX665" s="8">
        <f ca="1">RANK(PlayerGameData[[#This Row],[BLK]],PlayerGameData[BLK],0)+PlayerGameData[[#This Row],[VisibleOrder]]</f>
        <v>1031</v>
      </c>
      <c r="AY665" s="8">
        <f ca="1">IF(COUNTIF(PlayerGameData[BLKOrder],PlayerGameData[[#This Row],[BLKOrder]])&gt;1,PlayerGameData[[#This Row],[PointRank]]/100+PlayerGameData[[#This Row],[BLKOrder]],PlayerGameData[[#This Row],[BLKOrder]])</f>
        <v>1037.25</v>
      </c>
      <c r="AZ665" s="8">
        <f ca="1">RANK(PlayerGameData[[#This Row],[BLKTieBreak]],PlayerGameData[BLKTieBreak],1)</f>
        <v>625</v>
      </c>
      <c r="BA665" s="11">
        <f ca="1">IFERROR(IF(PlayerGameData[[#This Row],[FGA]]&gt;$AA$5,PlayerGameData[[#This Row],[FG%*]],PlayerGameData[[#This Row],[FG%*]]*-1),-2)</f>
        <v>-2</v>
      </c>
      <c r="BB665" s="8">
        <f ca="1">RANK(PlayerGameData[[#This Row],[EligFG]],PlayerGameData[EligFG],0)+PlayerGameData[[#This Row],[VisibleOrder]]</f>
        <v>1214</v>
      </c>
      <c r="BC665" s="8">
        <f ca="1">IF(COUNTIF(PlayerGameData[EligFGOrder],PlayerGameData[[#This Row],[EligFGOrder]])&gt;1,PlayerGameData[[#This Row],[PointRank]]/100+PlayerGameData[[#This Row],[EligFGOrder]],PlayerGameData[[#This Row],[EligFGOrder]])</f>
        <v>1220.25</v>
      </c>
      <c r="BD665" s="8">
        <f ca="1">RANK(PlayerGameData[[#This Row],[EligFGTieBreak]],PlayerGameData[EligFGTieBreak],1)</f>
        <v>625</v>
      </c>
      <c r="BE665" s="8" t="str">
        <f>Roster!$D$3</f>
        <v>East</v>
      </c>
      <c r="BF665" s="8" t="str">
        <f>Roster!$D$2</f>
        <v>Northeast</v>
      </c>
      <c r="BG665" s="8" t="str">
        <f>Roster!$D$4</f>
        <v>North</v>
      </c>
      <c r="BH665" s="197">
        <f ca="1">IFERROR(VLOOKUP(CONCATENATE(PlayerGameData[[#This Row],[Opponent]]," ",MONTH(PlayerGameData[[#This Row],[Date]]),"/",DAY(PlayerGameData[[#This Row],[Date]]),"/",YEAR(PlayerGameData[[#This Row],[Date]])),Table35[],2,FALSE),0)</f>
        <v>0</v>
      </c>
      <c r="BI665" s="197">
        <f ca="1">IF(PlayerGameData[[#This Row],[Visible]]=1,1,1000)</f>
        <v>1000</v>
      </c>
      <c r="BJ665" s="197" t="e">
        <f ca="1">_xlfn.MAXIFS(TeamGameData[Win],TeamGameData[School, Opponent,Game'#],PlayerGameData[[#This Row],[School, Opponent,Game'#]])</f>
        <v>#NAME?</v>
      </c>
      <c r="BK665" s="197" t="e">
        <f ca="1">_xlfn.MAXIFS(TeamGameData[Loss],TeamGameData[School, Opponent,Game'#],PlayerGameData[[#This Row],[School, Opponent,Game'#]])</f>
        <v>#NAME?</v>
      </c>
    </row>
    <row r="666" spans="1:63" x14ac:dyDescent="0.25">
      <c r="A666" s="8" t="str">
        <f t="shared" ca="1" si="333"/>
        <v>Jacob McNutt, 34</v>
      </c>
      <c r="B666" s="8" t="str">
        <f>Roster!$B$1</f>
        <v>Upton</v>
      </c>
      <c r="C666" s="8">
        <f t="shared" ca="1" si="321"/>
        <v>0</v>
      </c>
      <c r="D666" s="10">
        <f t="shared" ca="1" si="322"/>
        <v>0</v>
      </c>
      <c r="E666" s="8">
        <f t="shared" ca="1" si="323"/>
        <v>0</v>
      </c>
      <c r="F666" s="8">
        <f t="shared" ca="1" si="324"/>
        <v>0</v>
      </c>
      <c r="G666" s="8">
        <f t="shared" ca="1" si="325"/>
        <v>0</v>
      </c>
      <c r="H666" s="8">
        <f t="shared" ca="1" si="326"/>
        <v>0</v>
      </c>
      <c r="I666" s="8">
        <f t="shared" ca="1" si="327"/>
        <v>0</v>
      </c>
      <c r="J666" s="8">
        <f t="shared" ca="1" si="328"/>
        <v>0</v>
      </c>
      <c r="K666" s="8">
        <f t="shared" ca="1" si="329"/>
        <v>0</v>
      </c>
      <c r="L666" s="8">
        <f t="shared" ca="1" si="334"/>
        <v>0</v>
      </c>
      <c r="M666" s="8">
        <f t="shared" ca="1" si="335"/>
        <v>0</v>
      </c>
      <c r="N666" s="8">
        <f t="shared" ca="1" si="336"/>
        <v>0</v>
      </c>
      <c r="O666" s="8">
        <f t="shared" ca="1" si="337"/>
        <v>0</v>
      </c>
      <c r="P666" s="8">
        <f t="shared" ca="1" si="338"/>
        <v>0</v>
      </c>
      <c r="Q666" s="8">
        <f t="shared" ca="1" si="339"/>
        <v>0</v>
      </c>
      <c r="R666" s="8">
        <f t="shared" ca="1" si="340"/>
        <v>0</v>
      </c>
      <c r="S666" s="8">
        <f t="shared" ca="1" si="341"/>
        <v>0</v>
      </c>
      <c r="T666" s="8">
        <f t="shared" ca="1" si="342"/>
        <v>0</v>
      </c>
      <c r="U666" s="8">
        <f t="shared" ca="1" si="343"/>
        <v>0</v>
      </c>
      <c r="V666" s="8">
        <f t="shared" ca="1" si="344"/>
        <v>0</v>
      </c>
      <c r="W666" s="11" t="str">
        <f t="shared" ca="1" si="345"/>
        <v/>
      </c>
      <c r="X666" s="11" t="str">
        <f t="shared" ca="1" si="346"/>
        <v/>
      </c>
      <c r="Y666" s="11" t="str">
        <f t="shared" ca="1" si="347"/>
        <v/>
      </c>
      <c r="Z666" s="11" t="str">
        <f t="shared" ca="1" si="348"/>
        <v/>
      </c>
      <c r="AA666" s="11" t="str">
        <f t="shared" ca="1" si="349"/>
        <v/>
      </c>
      <c r="AB666" s="47">
        <f ca="1">PlayerGameData[[#This Row],[3FGA]]+PlayerGameData[[#This Row],[2FGA]]</f>
        <v>0</v>
      </c>
      <c r="AC666" s="47">
        <f ca="1">PlayerGameData[[#This Row],[OFF REB]]+PlayerGameData[[#This Row],[DEF REB]]</f>
        <v>0</v>
      </c>
      <c r="AD666" s="8">
        <f t="shared" si="330"/>
        <v>28</v>
      </c>
      <c r="AE666" s="8" t="str">
        <f t="shared" ca="1" si="331"/>
        <v>Jacob McNutt, 34 - 0 1/0/1900</v>
      </c>
      <c r="AF666" s="8" t="str">
        <f t="shared" ca="1" si="350"/>
        <v/>
      </c>
      <c r="AG666" s="8" t="str">
        <f ca="1">IFERROR(IF(C666=0,"",IF(AND(VLOOKUP(PlayerGameData[[#This Row],[Opponent]],WYTeamInfo,2,FALSE)=Roster!$D$1,VLOOKUP(PlayerGameData[[#This Row],[Opponent]],WYTeamInfo,3,FALSE)=Roster!$D$2),"SR","")),"")</f>
        <v/>
      </c>
      <c r="AH666" s="8" t="str">
        <f>CONCATENATE(Roster!$D$1," ",Roster!$D$5)</f>
        <v>1A BB</v>
      </c>
      <c r="AI666" s="8" t="str">
        <f t="shared" ca="1" si="332"/>
        <v>Blank</v>
      </c>
      <c r="AJ666" s="8">
        <f ca="1">IFERROR(VLOOKUP(PlayerGameData[[#This Row],[School, Opponent,Game'#]],Table3[],2,FALSE),0)</f>
        <v>0</v>
      </c>
      <c r="AK666" s="8">
        <f ca="1">IF(PlayerGameData[[#This Row],[Visible]]=1,1,1000)</f>
        <v>1000</v>
      </c>
      <c r="AL666" s="8">
        <f ca="1">RANK(PlayerGameData[[#This Row],[TL PTS]],PlayerGameData[TL PTS],0)+PlayerGameData[[#This Row],[VisibleOrder]]</f>
        <v>1184</v>
      </c>
      <c r="AM666" s="8">
        <f ca="1">IF(COUNTIF(PlayerGameData[PointOrder],PlayerGameData[[#This Row],[PointOrder]])&gt;1,RANK(PlayerGameData[[#This Row],[FGA]],PlayerGameData[FGA],0)/100,0)+PlayerGameData[[#This Row],[PointOrder]]</f>
        <v>1186.1400000000001</v>
      </c>
      <c r="AN666" s="8">
        <f ca="1">RANK(PlayerGameData[[#This Row],[PointTieBreak]],PlayerGameData[PointTieBreak],1)</f>
        <v>625</v>
      </c>
      <c r="AO666" s="8">
        <f ca="1">RANK(PlayerGameData[[#This Row],[REB]],PlayerGameData[REB],0)+PlayerGameData[[#This Row],[VisibleOrder]]</f>
        <v>1191</v>
      </c>
      <c r="AP666" s="8">
        <f ca="1">IF(COUNTIF(PlayerGameData[REBOrder],PlayerGameData[[#This Row],[REBOrder]])&gt;1,PlayerGameData[[#This Row],[PointRank]]/100+PlayerGameData[[#This Row],[REBOrder]],PlayerGameData[[#This Row],[REBOrder]])</f>
        <v>1197.25</v>
      </c>
      <c r="AQ666" s="8">
        <f ca="1">RANK(PlayerGameData[[#This Row],[REBTieBreak]],PlayerGameData[REBTieBreak],1)</f>
        <v>625</v>
      </c>
      <c r="AR666" s="8">
        <f ca="1">RANK(PlayerGameData[[#This Row],[AST]],PlayerGameData[AST],0)+PlayerGameData[[#This Row],[VisibleOrder]]</f>
        <v>1157</v>
      </c>
      <c r="AS666" s="8">
        <f ca="1">IF(COUNTIF(PlayerGameData[ASTOrder],PlayerGameData[[#This Row],[ASTOrder]])&gt;1,PlayerGameData[[#This Row],[PointRank]]/100+PlayerGameData[[#This Row],[ASTOrder]],PlayerGameData[[#This Row],[ASTOrder]])</f>
        <v>1163.25</v>
      </c>
      <c r="AT666" s="8">
        <f ca="1">RANK(PlayerGameData[[#This Row],[ASTTieBreak]],PlayerGameData[ASTTieBreak],1)</f>
        <v>625</v>
      </c>
      <c r="AU666" s="8">
        <f ca="1">RANK(PlayerGameData[[#This Row],[STL]],PlayerGameData[STL],0)+PlayerGameData[[#This Row],[VisibleOrder]]</f>
        <v>1142</v>
      </c>
      <c r="AV666" s="8">
        <f ca="1">IF(COUNTIF(PlayerGameData[STLOrder],PlayerGameData[[#This Row],[STLOrder]])&gt;1,PlayerGameData[[#This Row],[PointRank]]/100+PlayerGameData[[#This Row],[STLOrder]],PlayerGameData[[#This Row],[STLOrder]])</f>
        <v>1148.25</v>
      </c>
      <c r="AW666" s="8">
        <f ca="1">RANK(PlayerGameData[[#This Row],[STLTieBreak]],PlayerGameData[STLTieBreak],1)</f>
        <v>625</v>
      </c>
      <c r="AX666" s="8">
        <f ca="1">RANK(PlayerGameData[[#This Row],[BLK]],PlayerGameData[BLK],0)+PlayerGameData[[#This Row],[VisibleOrder]]</f>
        <v>1031</v>
      </c>
      <c r="AY666" s="8">
        <f ca="1">IF(COUNTIF(PlayerGameData[BLKOrder],PlayerGameData[[#This Row],[BLKOrder]])&gt;1,PlayerGameData[[#This Row],[PointRank]]/100+PlayerGameData[[#This Row],[BLKOrder]],PlayerGameData[[#This Row],[BLKOrder]])</f>
        <v>1037.25</v>
      </c>
      <c r="AZ666" s="8">
        <f ca="1">RANK(PlayerGameData[[#This Row],[BLKTieBreak]],PlayerGameData[BLKTieBreak],1)</f>
        <v>625</v>
      </c>
      <c r="BA666" s="11">
        <f ca="1">IFERROR(IF(PlayerGameData[[#This Row],[FGA]]&gt;$AA$5,PlayerGameData[[#This Row],[FG%*]],PlayerGameData[[#This Row],[FG%*]]*-1),-2)</f>
        <v>-2</v>
      </c>
      <c r="BB666" s="8">
        <f ca="1">RANK(PlayerGameData[[#This Row],[EligFG]],PlayerGameData[EligFG],0)+PlayerGameData[[#This Row],[VisibleOrder]]</f>
        <v>1214</v>
      </c>
      <c r="BC666" s="8">
        <f ca="1">IF(COUNTIF(PlayerGameData[EligFGOrder],PlayerGameData[[#This Row],[EligFGOrder]])&gt;1,PlayerGameData[[#This Row],[PointRank]]/100+PlayerGameData[[#This Row],[EligFGOrder]],PlayerGameData[[#This Row],[EligFGOrder]])</f>
        <v>1220.25</v>
      </c>
      <c r="BD666" s="8">
        <f ca="1">RANK(PlayerGameData[[#This Row],[EligFGTieBreak]],PlayerGameData[EligFGTieBreak],1)</f>
        <v>625</v>
      </c>
      <c r="BE666" s="8" t="str">
        <f>Roster!$D$3</f>
        <v>East</v>
      </c>
      <c r="BF666" s="8" t="str">
        <f>Roster!$D$2</f>
        <v>Northeast</v>
      </c>
      <c r="BG666" s="8" t="str">
        <f>Roster!$D$4</f>
        <v>North</v>
      </c>
      <c r="BH666" s="197">
        <f ca="1">IFERROR(VLOOKUP(CONCATENATE(PlayerGameData[[#This Row],[Opponent]]," ",MONTH(PlayerGameData[[#This Row],[Date]]),"/",DAY(PlayerGameData[[#This Row],[Date]]),"/",YEAR(PlayerGameData[[#This Row],[Date]])),Table35[],2,FALSE),0)</f>
        <v>0</v>
      </c>
      <c r="BI666" s="197">
        <f ca="1">IF(PlayerGameData[[#This Row],[Visible]]=1,1,1000)</f>
        <v>1000</v>
      </c>
      <c r="BJ666" s="197" t="e">
        <f ca="1">_xlfn.MAXIFS(TeamGameData[Win],TeamGameData[School, Opponent,Game'#],PlayerGameData[[#This Row],[School, Opponent,Game'#]])</f>
        <v>#NAME?</v>
      </c>
      <c r="BK666" s="197" t="e">
        <f ca="1">_xlfn.MAXIFS(TeamGameData[Loss],TeamGameData[School, Opponent,Game'#],PlayerGameData[[#This Row],[School, Opponent,Game'#]])</f>
        <v>#NAME?</v>
      </c>
    </row>
    <row r="667" spans="1:63" x14ac:dyDescent="0.25">
      <c r="A667" s="8" t="str">
        <f t="shared" ca="1" si="333"/>
        <v>Ryan Baker, 35</v>
      </c>
      <c r="B667" s="8" t="str">
        <f>Roster!$B$1</f>
        <v>Upton</v>
      </c>
      <c r="C667" s="8">
        <f t="shared" ca="1" si="321"/>
        <v>0</v>
      </c>
      <c r="D667" s="10">
        <f t="shared" ca="1" si="322"/>
        <v>0</v>
      </c>
      <c r="E667" s="8">
        <f t="shared" ca="1" si="323"/>
        <v>0</v>
      </c>
      <c r="F667" s="8">
        <f t="shared" ca="1" si="324"/>
        <v>0</v>
      </c>
      <c r="G667" s="8">
        <f t="shared" ca="1" si="325"/>
        <v>0</v>
      </c>
      <c r="H667" s="8">
        <f t="shared" ca="1" si="326"/>
        <v>0</v>
      </c>
      <c r="I667" s="8">
        <f t="shared" ca="1" si="327"/>
        <v>0</v>
      </c>
      <c r="J667" s="8">
        <f t="shared" ca="1" si="328"/>
        <v>0</v>
      </c>
      <c r="K667" s="8">
        <f t="shared" ca="1" si="329"/>
        <v>0</v>
      </c>
      <c r="L667" s="8">
        <f t="shared" ca="1" si="334"/>
        <v>0</v>
      </c>
      <c r="M667" s="8">
        <f t="shared" ca="1" si="335"/>
        <v>0</v>
      </c>
      <c r="N667" s="8">
        <f t="shared" ca="1" si="336"/>
        <v>0</v>
      </c>
      <c r="O667" s="8">
        <f t="shared" ca="1" si="337"/>
        <v>0</v>
      </c>
      <c r="P667" s="8">
        <f t="shared" ca="1" si="338"/>
        <v>0</v>
      </c>
      <c r="Q667" s="8">
        <f t="shared" ca="1" si="339"/>
        <v>0</v>
      </c>
      <c r="R667" s="8">
        <f t="shared" ca="1" si="340"/>
        <v>0</v>
      </c>
      <c r="S667" s="8">
        <f t="shared" ca="1" si="341"/>
        <v>0</v>
      </c>
      <c r="T667" s="8">
        <f t="shared" ca="1" si="342"/>
        <v>0</v>
      </c>
      <c r="U667" s="8">
        <f t="shared" ca="1" si="343"/>
        <v>0</v>
      </c>
      <c r="V667" s="8">
        <f t="shared" ca="1" si="344"/>
        <v>0</v>
      </c>
      <c r="W667" s="11" t="str">
        <f t="shared" ca="1" si="345"/>
        <v/>
      </c>
      <c r="X667" s="11" t="str">
        <f t="shared" ca="1" si="346"/>
        <v/>
      </c>
      <c r="Y667" s="11" t="str">
        <f t="shared" ca="1" si="347"/>
        <v/>
      </c>
      <c r="Z667" s="11" t="str">
        <f t="shared" ca="1" si="348"/>
        <v/>
      </c>
      <c r="AA667" s="11" t="str">
        <f t="shared" ca="1" si="349"/>
        <v/>
      </c>
      <c r="AB667" s="47">
        <f ca="1">PlayerGameData[[#This Row],[3FGA]]+PlayerGameData[[#This Row],[2FGA]]</f>
        <v>0</v>
      </c>
      <c r="AC667" s="47">
        <f ca="1">PlayerGameData[[#This Row],[OFF REB]]+PlayerGameData[[#This Row],[DEF REB]]</f>
        <v>0</v>
      </c>
      <c r="AD667" s="8">
        <f t="shared" si="330"/>
        <v>28</v>
      </c>
      <c r="AE667" s="8" t="str">
        <f t="shared" ca="1" si="331"/>
        <v>Ryan Baker, 35 - 0 1/0/1900</v>
      </c>
      <c r="AF667" s="8" t="str">
        <f t="shared" ca="1" si="350"/>
        <v/>
      </c>
      <c r="AG667" s="8" t="str">
        <f ca="1">IFERROR(IF(C667=0,"",IF(AND(VLOOKUP(PlayerGameData[[#This Row],[Opponent]],WYTeamInfo,2,FALSE)=Roster!$D$1,VLOOKUP(PlayerGameData[[#This Row],[Opponent]],WYTeamInfo,3,FALSE)=Roster!$D$2),"SR","")),"")</f>
        <v/>
      </c>
      <c r="AH667" s="8" t="str">
        <f>CONCATENATE(Roster!$D$1," ",Roster!$D$5)</f>
        <v>1A BB</v>
      </c>
      <c r="AI667" s="8" t="str">
        <f t="shared" ca="1" si="332"/>
        <v>Blank</v>
      </c>
      <c r="AJ667" s="8">
        <f ca="1">IFERROR(VLOOKUP(PlayerGameData[[#This Row],[School, Opponent,Game'#]],Table3[],2,FALSE),0)</f>
        <v>0</v>
      </c>
      <c r="AK667" s="8">
        <f ca="1">IF(PlayerGameData[[#This Row],[Visible]]=1,1,1000)</f>
        <v>1000</v>
      </c>
      <c r="AL667" s="8">
        <f ca="1">RANK(PlayerGameData[[#This Row],[TL PTS]],PlayerGameData[TL PTS],0)+PlayerGameData[[#This Row],[VisibleOrder]]</f>
        <v>1184</v>
      </c>
      <c r="AM667" s="8">
        <f ca="1">IF(COUNTIF(PlayerGameData[PointOrder],PlayerGameData[[#This Row],[PointOrder]])&gt;1,RANK(PlayerGameData[[#This Row],[FGA]],PlayerGameData[FGA],0)/100,0)+PlayerGameData[[#This Row],[PointOrder]]</f>
        <v>1186.1400000000001</v>
      </c>
      <c r="AN667" s="8">
        <f ca="1">RANK(PlayerGameData[[#This Row],[PointTieBreak]],PlayerGameData[PointTieBreak],1)</f>
        <v>625</v>
      </c>
      <c r="AO667" s="8">
        <f ca="1">RANK(PlayerGameData[[#This Row],[REB]],PlayerGameData[REB],0)+PlayerGameData[[#This Row],[VisibleOrder]]</f>
        <v>1191</v>
      </c>
      <c r="AP667" s="8">
        <f ca="1">IF(COUNTIF(PlayerGameData[REBOrder],PlayerGameData[[#This Row],[REBOrder]])&gt;1,PlayerGameData[[#This Row],[PointRank]]/100+PlayerGameData[[#This Row],[REBOrder]],PlayerGameData[[#This Row],[REBOrder]])</f>
        <v>1197.25</v>
      </c>
      <c r="AQ667" s="8">
        <f ca="1">RANK(PlayerGameData[[#This Row],[REBTieBreak]],PlayerGameData[REBTieBreak],1)</f>
        <v>625</v>
      </c>
      <c r="AR667" s="8">
        <f ca="1">RANK(PlayerGameData[[#This Row],[AST]],PlayerGameData[AST],0)+PlayerGameData[[#This Row],[VisibleOrder]]</f>
        <v>1157</v>
      </c>
      <c r="AS667" s="8">
        <f ca="1">IF(COUNTIF(PlayerGameData[ASTOrder],PlayerGameData[[#This Row],[ASTOrder]])&gt;1,PlayerGameData[[#This Row],[PointRank]]/100+PlayerGameData[[#This Row],[ASTOrder]],PlayerGameData[[#This Row],[ASTOrder]])</f>
        <v>1163.25</v>
      </c>
      <c r="AT667" s="8">
        <f ca="1">RANK(PlayerGameData[[#This Row],[ASTTieBreak]],PlayerGameData[ASTTieBreak],1)</f>
        <v>625</v>
      </c>
      <c r="AU667" s="8">
        <f ca="1">RANK(PlayerGameData[[#This Row],[STL]],PlayerGameData[STL],0)+PlayerGameData[[#This Row],[VisibleOrder]]</f>
        <v>1142</v>
      </c>
      <c r="AV667" s="8">
        <f ca="1">IF(COUNTIF(PlayerGameData[STLOrder],PlayerGameData[[#This Row],[STLOrder]])&gt;1,PlayerGameData[[#This Row],[PointRank]]/100+PlayerGameData[[#This Row],[STLOrder]],PlayerGameData[[#This Row],[STLOrder]])</f>
        <v>1148.25</v>
      </c>
      <c r="AW667" s="8">
        <f ca="1">RANK(PlayerGameData[[#This Row],[STLTieBreak]],PlayerGameData[STLTieBreak],1)</f>
        <v>625</v>
      </c>
      <c r="AX667" s="8">
        <f ca="1">RANK(PlayerGameData[[#This Row],[BLK]],PlayerGameData[BLK],0)+PlayerGameData[[#This Row],[VisibleOrder]]</f>
        <v>1031</v>
      </c>
      <c r="AY667" s="8">
        <f ca="1">IF(COUNTIF(PlayerGameData[BLKOrder],PlayerGameData[[#This Row],[BLKOrder]])&gt;1,PlayerGameData[[#This Row],[PointRank]]/100+PlayerGameData[[#This Row],[BLKOrder]],PlayerGameData[[#This Row],[BLKOrder]])</f>
        <v>1037.25</v>
      </c>
      <c r="AZ667" s="8">
        <f ca="1">RANK(PlayerGameData[[#This Row],[BLKTieBreak]],PlayerGameData[BLKTieBreak],1)</f>
        <v>625</v>
      </c>
      <c r="BA667" s="11">
        <f ca="1">IFERROR(IF(PlayerGameData[[#This Row],[FGA]]&gt;$AA$5,PlayerGameData[[#This Row],[FG%*]],PlayerGameData[[#This Row],[FG%*]]*-1),-2)</f>
        <v>-2</v>
      </c>
      <c r="BB667" s="8">
        <f ca="1">RANK(PlayerGameData[[#This Row],[EligFG]],PlayerGameData[EligFG],0)+PlayerGameData[[#This Row],[VisibleOrder]]</f>
        <v>1214</v>
      </c>
      <c r="BC667" s="8">
        <f ca="1">IF(COUNTIF(PlayerGameData[EligFGOrder],PlayerGameData[[#This Row],[EligFGOrder]])&gt;1,PlayerGameData[[#This Row],[PointRank]]/100+PlayerGameData[[#This Row],[EligFGOrder]],PlayerGameData[[#This Row],[EligFGOrder]])</f>
        <v>1220.25</v>
      </c>
      <c r="BD667" s="8">
        <f ca="1">RANK(PlayerGameData[[#This Row],[EligFGTieBreak]],PlayerGameData[EligFGTieBreak],1)</f>
        <v>625</v>
      </c>
      <c r="BE667" s="8" t="str">
        <f>Roster!$D$3</f>
        <v>East</v>
      </c>
      <c r="BF667" s="8" t="str">
        <f>Roster!$D$2</f>
        <v>Northeast</v>
      </c>
      <c r="BG667" s="8" t="str">
        <f>Roster!$D$4</f>
        <v>North</v>
      </c>
      <c r="BH667" s="197">
        <f ca="1">IFERROR(VLOOKUP(CONCATENATE(PlayerGameData[[#This Row],[Opponent]]," ",MONTH(PlayerGameData[[#This Row],[Date]]),"/",DAY(PlayerGameData[[#This Row],[Date]]),"/",YEAR(PlayerGameData[[#This Row],[Date]])),Table35[],2,FALSE),0)</f>
        <v>0</v>
      </c>
      <c r="BI667" s="197">
        <f ca="1">IF(PlayerGameData[[#This Row],[Visible]]=1,1,1000)</f>
        <v>1000</v>
      </c>
      <c r="BJ667" s="197" t="e">
        <f ca="1">_xlfn.MAXIFS(TeamGameData[Win],TeamGameData[School, Opponent,Game'#],PlayerGameData[[#This Row],[School, Opponent,Game'#]])</f>
        <v>#NAME?</v>
      </c>
      <c r="BK667" s="197" t="e">
        <f ca="1">_xlfn.MAXIFS(TeamGameData[Loss],TeamGameData[School, Opponent,Game'#],PlayerGameData[[#This Row],[School, Opponent,Game'#]])</f>
        <v>#NAME?</v>
      </c>
    </row>
    <row r="668" spans="1:63" x14ac:dyDescent="0.25">
      <c r="A668" s="8" t="str">
        <f t="shared" ca="1" si="333"/>
        <v xml:space="preserve">, </v>
      </c>
      <c r="B668" s="8" t="str">
        <f>Roster!$B$1</f>
        <v>Upton</v>
      </c>
      <c r="C668" s="8">
        <f t="shared" ca="1" si="321"/>
        <v>0</v>
      </c>
      <c r="D668" s="10">
        <f t="shared" ca="1" si="322"/>
        <v>0</v>
      </c>
      <c r="E668" s="8">
        <f t="shared" ca="1" si="323"/>
        <v>0</v>
      </c>
      <c r="F668" s="8">
        <f t="shared" ca="1" si="324"/>
        <v>0</v>
      </c>
      <c r="G668" s="8">
        <f t="shared" ca="1" si="325"/>
        <v>0</v>
      </c>
      <c r="H668" s="8">
        <f t="shared" ca="1" si="326"/>
        <v>0</v>
      </c>
      <c r="I668" s="8">
        <f t="shared" ca="1" si="327"/>
        <v>0</v>
      </c>
      <c r="J668" s="8">
        <f t="shared" ca="1" si="328"/>
        <v>0</v>
      </c>
      <c r="K668" s="8">
        <f t="shared" ca="1" si="329"/>
        <v>0</v>
      </c>
      <c r="L668" s="8">
        <f t="shared" ca="1" si="334"/>
        <v>0</v>
      </c>
      <c r="M668" s="8">
        <f t="shared" ca="1" si="335"/>
        <v>0</v>
      </c>
      <c r="N668" s="8">
        <f t="shared" ca="1" si="336"/>
        <v>0</v>
      </c>
      <c r="O668" s="8">
        <f t="shared" ca="1" si="337"/>
        <v>0</v>
      </c>
      <c r="P668" s="8">
        <f t="shared" ca="1" si="338"/>
        <v>0</v>
      </c>
      <c r="Q668" s="8">
        <f t="shared" ca="1" si="339"/>
        <v>0</v>
      </c>
      <c r="R668" s="8">
        <f t="shared" ca="1" si="340"/>
        <v>0</v>
      </c>
      <c r="S668" s="8">
        <f t="shared" ca="1" si="341"/>
        <v>0</v>
      </c>
      <c r="T668" s="8">
        <f t="shared" ca="1" si="342"/>
        <v>0</v>
      </c>
      <c r="U668" s="8">
        <f t="shared" ca="1" si="343"/>
        <v>0</v>
      </c>
      <c r="V668" s="8">
        <f t="shared" ca="1" si="344"/>
        <v>0</v>
      </c>
      <c r="W668" s="11" t="str">
        <f t="shared" ca="1" si="345"/>
        <v/>
      </c>
      <c r="X668" s="11" t="str">
        <f t="shared" ca="1" si="346"/>
        <v/>
      </c>
      <c r="Y668" s="11" t="str">
        <f t="shared" ca="1" si="347"/>
        <v/>
      </c>
      <c r="Z668" s="11" t="str">
        <f t="shared" ca="1" si="348"/>
        <v/>
      </c>
      <c r="AA668" s="11" t="str">
        <f t="shared" ca="1" si="349"/>
        <v/>
      </c>
      <c r="AB668" s="47">
        <f ca="1">PlayerGameData[[#This Row],[3FGA]]+PlayerGameData[[#This Row],[2FGA]]</f>
        <v>0</v>
      </c>
      <c r="AC668" s="47">
        <f ca="1">PlayerGameData[[#This Row],[OFF REB]]+PlayerGameData[[#This Row],[DEF REB]]</f>
        <v>0</v>
      </c>
      <c r="AD668" s="8">
        <f t="shared" si="330"/>
        <v>28</v>
      </c>
      <c r="AE668" s="8" t="str">
        <f t="shared" ca="1" si="331"/>
        <v>,  - 0 1/0/1900</v>
      </c>
      <c r="AF668" s="8" t="str">
        <f t="shared" ca="1" si="350"/>
        <v/>
      </c>
      <c r="AG668" s="8" t="str">
        <f ca="1">IFERROR(IF(C668=0,"",IF(AND(VLOOKUP(PlayerGameData[[#This Row],[Opponent]],WYTeamInfo,2,FALSE)=Roster!$D$1,VLOOKUP(PlayerGameData[[#This Row],[Opponent]],WYTeamInfo,3,FALSE)=Roster!$D$2),"SR","")),"")</f>
        <v/>
      </c>
      <c r="AH668" s="8" t="str">
        <f>CONCATENATE(Roster!$D$1," ",Roster!$D$5)</f>
        <v>1A BB</v>
      </c>
      <c r="AI668" s="8" t="str">
        <f t="shared" ca="1" si="332"/>
        <v>Blank</v>
      </c>
      <c r="AJ668" s="8">
        <f ca="1">IFERROR(VLOOKUP(PlayerGameData[[#This Row],[School, Opponent,Game'#]],Table3[],2,FALSE),0)</f>
        <v>0</v>
      </c>
      <c r="AK668" s="8">
        <f ca="1">IF(PlayerGameData[[#This Row],[Visible]]=1,1,1000)</f>
        <v>1000</v>
      </c>
      <c r="AL668" s="8">
        <f ca="1">RANK(PlayerGameData[[#This Row],[TL PTS]],PlayerGameData[TL PTS],0)+PlayerGameData[[#This Row],[VisibleOrder]]</f>
        <v>1184</v>
      </c>
      <c r="AM668" s="8">
        <f ca="1">IF(COUNTIF(PlayerGameData[PointOrder],PlayerGameData[[#This Row],[PointOrder]])&gt;1,RANK(PlayerGameData[[#This Row],[FGA]],PlayerGameData[FGA],0)/100,0)+PlayerGameData[[#This Row],[PointOrder]]</f>
        <v>1186.1400000000001</v>
      </c>
      <c r="AN668" s="8">
        <f ca="1">RANK(PlayerGameData[[#This Row],[PointTieBreak]],PlayerGameData[PointTieBreak],1)</f>
        <v>625</v>
      </c>
      <c r="AO668" s="8">
        <f ca="1">RANK(PlayerGameData[[#This Row],[REB]],PlayerGameData[REB],0)+PlayerGameData[[#This Row],[VisibleOrder]]</f>
        <v>1191</v>
      </c>
      <c r="AP668" s="8">
        <f ca="1">IF(COUNTIF(PlayerGameData[REBOrder],PlayerGameData[[#This Row],[REBOrder]])&gt;1,PlayerGameData[[#This Row],[PointRank]]/100+PlayerGameData[[#This Row],[REBOrder]],PlayerGameData[[#This Row],[REBOrder]])</f>
        <v>1197.25</v>
      </c>
      <c r="AQ668" s="8">
        <f ca="1">RANK(PlayerGameData[[#This Row],[REBTieBreak]],PlayerGameData[REBTieBreak],1)</f>
        <v>625</v>
      </c>
      <c r="AR668" s="8">
        <f ca="1">RANK(PlayerGameData[[#This Row],[AST]],PlayerGameData[AST],0)+PlayerGameData[[#This Row],[VisibleOrder]]</f>
        <v>1157</v>
      </c>
      <c r="AS668" s="8">
        <f ca="1">IF(COUNTIF(PlayerGameData[ASTOrder],PlayerGameData[[#This Row],[ASTOrder]])&gt;1,PlayerGameData[[#This Row],[PointRank]]/100+PlayerGameData[[#This Row],[ASTOrder]],PlayerGameData[[#This Row],[ASTOrder]])</f>
        <v>1163.25</v>
      </c>
      <c r="AT668" s="8">
        <f ca="1">RANK(PlayerGameData[[#This Row],[ASTTieBreak]],PlayerGameData[ASTTieBreak],1)</f>
        <v>625</v>
      </c>
      <c r="AU668" s="8">
        <f ca="1">RANK(PlayerGameData[[#This Row],[STL]],PlayerGameData[STL],0)+PlayerGameData[[#This Row],[VisibleOrder]]</f>
        <v>1142</v>
      </c>
      <c r="AV668" s="8">
        <f ca="1">IF(COUNTIF(PlayerGameData[STLOrder],PlayerGameData[[#This Row],[STLOrder]])&gt;1,PlayerGameData[[#This Row],[PointRank]]/100+PlayerGameData[[#This Row],[STLOrder]],PlayerGameData[[#This Row],[STLOrder]])</f>
        <v>1148.25</v>
      </c>
      <c r="AW668" s="8">
        <f ca="1">RANK(PlayerGameData[[#This Row],[STLTieBreak]],PlayerGameData[STLTieBreak],1)</f>
        <v>625</v>
      </c>
      <c r="AX668" s="8">
        <f ca="1">RANK(PlayerGameData[[#This Row],[BLK]],PlayerGameData[BLK],0)+PlayerGameData[[#This Row],[VisibleOrder]]</f>
        <v>1031</v>
      </c>
      <c r="AY668" s="8">
        <f ca="1">IF(COUNTIF(PlayerGameData[BLKOrder],PlayerGameData[[#This Row],[BLKOrder]])&gt;1,PlayerGameData[[#This Row],[PointRank]]/100+PlayerGameData[[#This Row],[BLKOrder]],PlayerGameData[[#This Row],[BLKOrder]])</f>
        <v>1037.25</v>
      </c>
      <c r="AZ668" s="8">
        <f ca="1">RANK(PlayerGameData[[#This Row],[BLKTieBreak]],PlayerGameData[BLKTieBreak],1)</f>
        <v>625</v>
      </c>
      <c r="BA668" s="11">
        <f ca="1">IFERROR(IF(PlayerGameData[[#This Row],[FGA]]&gt;$AA$5,PlayerGameData[[#This Row],[FG%*]],PlayerGameData[[#This Row],[FG%*]]*-1),-2)</f>
        <v>-2</v>
      </c>
      <c r="BB668" s="8">
        <f ca="1">RANK(PlayerGameData[[#This Row],[EligFG]],PlayerGameData[EligFG],0)+PlayerGameData[[#This Row],[VisibleOrder]]</f>
        <v>1214</v>
      </c>
      <c r="BC668" s="8">
        <f ca="1">IF(COUNTIF(PlayerGameData[EligFGOrder],PlayerGameData[[#This Row],[EligFGOrder]])&gt;1,PlayerGameData[[#This Row],[PointRank]]/100+PlayerGameData[[#This Row],[EligFGOrder]],PlayerGameData[[#This Row],[EligFGOrder]])</f>
        <v>1220.25</v>
      </c>
      <c r="BD668" s="8">
        <f ca="1">RANK(PlayerGameData[[#This Row],[EligFGTieBreak]],PlayerGameData[EligFGTieBreak],1)</f>
        <v>625</v>
      </c>
      <c r="BE668" s="8" t="str">
        <f>Roster!$D$3</f>
        <v>East</v>
      </c>
      <c r="BF668" s="8" t="str">
        <f>Roster!$D$2</f>
        <v>Northeast</v>
      </c>
      <c r="BG668" s="8" t="str">
        <f>Roster!$D$4</f>
        <v>North</v>
      </c>
      <c r="BH668" s="197">
        <f ca="1">IFERROR(VLOOKUP(CONCATENATE(PlayerGameData[[#This Row],[Opponent]]," ",MONTH(PlayerGameData[[#This Row],[Date]]),"/",DAY(PlayerGameData[[#This Row],[Date]]),"/",YEAR(PlayerGameData[[#This Row],[Date]])),Table35[],2,FALSE),0)</f>
        <v>0</v>
      </c>
      <c r="BI668" s="197">
        <f ca="1">IF(PlayerGameData[[#This Row],[Visible]]=1,1,1000)</f>
        <v>1000</v>
      </c>
      <c r="BJ668" s="197" t="e">
        <f ca="1">_xlfn.MAXIFS(TeamGameData[Win],TeamGameData[School, Opponent,Game'#],PlayerGameData[[#This Row],[School, Opponent,Game'#]])</f>
        <v>#NAME?</v>
      </c>
      <c r="BK668" s="197" t="e">
        <f ca="1">_xlfn.MAXIFS(TeamGameData[Loss],TeamGameData[School, Opponent,Game'#],PlayerGameData[[#This Row],[School, Opponent,Game'#]])</f>
        <v>#NAME?</v>
      </c>
    </row>
    <row r="669" spans="1:63" x14ac:dyDescent="0.25">
      <c r="A669" s="8" t="str">
        <f t="shared" ca="1" si="333"/>
        <v xml:space="preserve">, </v>
      </c>
      <c r="B669" s="8" t="str">
        <f>Roster!$B$1</f>
        <v>Upton</v>
      </c>
      <c r="C669" s="8">
        <f t="shared" ca="1" si="321"/>
        <v>0</v>
      </c>
      <c r="D669" s="10">
        <f t="shared" ca="1" si="322"/>
        <v>0</v>
      </c>
      <c r="E669" s="8">
        <f t="shared" ca="1" si="323"/>
        <v>0</v>
      </c>
      <c r="F669" s="8">
        <f t="shared" ca="1" si="324"/>
        <v>0</v>
      </c>
      <c r="G669" s="8">
        <f t="shared" ca="1" si="325"/>
        <v>0</v>
      </c>
      <c r="H669" s="8">
        <f t="shared" ca="1" si="326"/>
        <v>0</v>
      </c>
      <c r="I669" s="8">
        <f t="shared" ca="1" si="327"/>
        <v>0</v>
      </c>
      <c r="J669" s="8">
        <f t="shared" ca="1" si="328"/>
        <v>0</v>
      </c>
      <c r="K669" s="8">
        <f t="shared" ca="1" si="329"/>
        <v>0</v>
      </c>
      <c r="L669" s="8">
        <f t="shared" ca="1" si="334"/>
        <v>0</v>
      </c>
      <c r="M669" s="8">
        <f t="shared" ca="1" si="335"/>
        <v>0</v>
      </c>
      <c r="N669" s="8">
        <f t="shared" ca="1" si="336"/>
        <v>0</v>
      </c>
      <c r="O669" s="8">
        <f t="shared" ca="1" si="337"/>
        <v>0</v>
      </c>
      <c r="P669" s="8">
        <f t="shared" ca="1" si="338"/>
        <v>0</v>
      </c>
      <c r="Q669" s="8">
        <f t="shared" ca="1" si="339"/>
        <v>0</v>
      </c>
      <c r="R669" s="8">
        <f t="shared" ca="1" si="340"/>
        <v>0</v>
      </c>
      <c r="S669" s="8">
        <f t="shared" ca="1" si="341"/>
        <v>0</v>
      </c>
      <c r="T669" s="8">
        <f t="shared" ca="1" si="342"/>
        <v>0</v>
      </c>
      <c r="U669" s="8">
        <f t="shared" ca="1" si="343"/>
        <v>0</v>
      </c>
      <c r="V669" s="8">
        <f t="shared" ca="1" si="344"/>
        <v>0</v>
      </c>
      <c r="W669" s="11" t="str">
        <f t="shared" ca="1" si="345"/>
        <v/>
      </c>
      <c r="X669" s="11" t="str">
        <f t="shared" ca="1" si="346"/>
        <v/>
      </c>
      <c r="Y669" s="11" t="str">
        <f t="shared" ca="1" si="347"/>
        <v/>
      </c>
      <c r="Z669" s="11" t="str">
        <f t="shared" ca="1" si="348"/>
        <v/>
      </c>
      <c r="AA669" s="11" t="str">
        <f t="shared" ca="1" si="349"/>
        <v/>
      </c>
      <c r="AB669" s="47">
        <f ca="1">PlayerGameData[[#This Row],[3FGA]]+PlayerGameData[[#This Row],[2FGA]]</f>
        <v>0</v>
      </c>
      <c r="AC669" s="47">
        <f ca="1">PlayerGameData[[#This Row],[OFF REB]]+PlayerGameData[[#This Row],[DEF REB]]</f>
        <v>0</v>
      </c>
      <c r="AD669" s="8">
        <f t="shared" si="330"/>
        <v>28</v>
      </c>
      <c r="AE669" s="8" t="str">
        <f t="shared" ca="1" si="331"/>
        <v>,  - 0 1/0/1900</v>
      </c>
      <c r="AF669" s="8" t="str">
        <f t="shared" ca="1" si="350"/>
        <v/>
      </c>
      <c r="AG669" s="8" t="str">
        <f ca="1">IFERROR(IF(C669=0,"",IF(AND(VLOOKUP(PlayerGameData[[#This Row],[Opponent]],WYTeamInfo,2,FALSE)=Roster!$D$1,VLOOKUP(PlayerGameData[[#This Row],[Opponent]],WYTeamInfo,3,FALSE)=Roster!$D$2),"SR","")),"")</f>
        <v/>
      </c>
      <c r="AH669" s="8" t="str">
        <f>CONCATENATE(Roster!$D$1," ",Roster!$D$5)</f>
        <v>1A BB</v>
      </c>
      <c r="AI669" s="8" t="str">
        <f t="shared" ca="1" si="332"/>
        <v>Blank</v>
      </c>
      <c r="AJ669" s="8">
        <f ca="1">IFERROR(VLOOKUP(PlayerGameData[[#This Row],[School, Opponent,Game'#]],Table3[],2,FALSE),0)</f>
        <v>0</v>
      </c>
      <c r="AK669" s="8">
        <f ca="1">IF(PlayerGameData[[#This Row],[Visible]]=1,1,1000)</f>
        <v>1000</v>
      </c>
      <c r="AL669" s="8">
        <f ca="1">RANK(PlayerGameData[[#This Row],[TL PTS]],PlayerGameData[TL PTS],0)+PlayerGameData[[#This Row],[VisibleOrder]]</f>
        <v>1184</v>
      </c>
      <c r="AM669" s="8">
        <f ca="1">IF(COUNTIF(PlayerGameData[PointOrder],PlayerGameData[[#This Row],[PointOrder]])&gt;1,RANK(PlayerGameData[[#This Row],[FGA]],PlayerGameData[FGA],0)/100,0)+PlayerGameData[[#This Row],[PointOrder]]</f>
        <v>1186.1400000000001</v>
      </c>
      <c r="AN669" s="8">
        <f ca="1">RANK(PlayerGameData[[#This Row],[PointTieBreak]],PlayerGameData[PointTieBreak],1)</f>
        <v>625</v>
      </c>
      <c r="AO669" s="8">
        <f ca="1">RANK(PlayerGameData[[#This Row],[REB]],PlayerGameData[REB],0)+PlayerGameData[[#This Row],[VisibleOrder]]</f>
        <v>1191</v>
      </c>
      <c r="AP669" s="8">
        <f ca="1">IF(COUNTIF(PlayerGameData[REBOrder],PlayerGameData[[#This Row],[REBOrder]])&gt;1,PlayerGameData[[#This Row],[PointRank]]/100+PlayerGameData[[#This Row],[REBOrder]],PlayerGameData[[#This Row],[REBOrder]])</f>
        <v>1197.25</v>
      </c>
      <c r="AQ669" s="8">
        <f ca="1">RANK(PlayerGameData[[#This Row],[REBTieBreak]],PlayerGameData[REBTieBreak],1)</f>
        <v>625</v>
      </c>
      <c r="AR669" s="8">
        <f ca="1">RANK(PlayerGameData[[#This Row],[AST]],PlayerGameData[AST],0)+PlayerGameData[[#This Row],[VisibleOrder]]</f>
        <v>1157</v>
      </c>
      <c r="AS669" s="8">
        <f ca="1">IF(COUNTIF(PlayerGameData[ASTOrder],PlayerGameData[[#This Row],[ASTOrder]])&gt;1,PlayerGameData[[#This Row],[PointRank]]/100+PlayerGameData[[#This Row],[ASTOrder]],PlayerGameData[[#This Row],[ASTOrder]])</f>
        <v>1163.25</v>
      </c>
      <c r="AT669" s="8">
        <f ca="1">RANK(PlayerGameData[[#This Row],[ASTTieBreak]],PlayerGameData[ASTTieBreak],1)</f>
        <v>625</v>
      </c>
      <c r="AU669" s="8">
        <f ca="1">RANK(PlayerGameData[[#This Row],[STL]],PlayerGameData[STL],0)+PlayerGameData[[#This Row],[VisibleOrder]]</f>
        <v>1142</v>
      </c>
      <c r="AV669" s="8">
        <f ca="1">IF(COUNTIF(PlayerGameData[STLOrder],PlayerGameData[[#This Row],[STLOrder]])&gt;1,PlayerGameData[[#This Row],[PointRank]]/100+PlayerGameData[[#This Row],[STLOrder]],PlayerGameData[[#This Row],[STLOrder]])</f>
        <v>1148.25</v>
      </c>
      <c r="AW669" s="8">
        <f ca="1">RANK(PlayerGameData[[#This Row],[STLTieBreak]],PlayerGameData[STLTieBreak],1)</f>
        <v>625</v>
      </c>
      <c r="AX669" s="8">
        <f ca="1">RANK(PlayerGameData[[#This Row],[BLK]],PlayerGameData[BLK],0)+PlayerGameData[[#This Row],[VisibleOrder]]</f>
        <v>1031</v>
      </c>
      <c r="AY669" s="8">
        <f ca="1">IF(COUNTIF(PlayerGameData[BLKOrder],PlayerGameData[[#This Row],[BLKOrder]])&gt;1,PlayerGameData[[#This Row],[PointRank]]/100+PlayerGameData[[#This Row],[BLKOrder]],PlayerGameData[[#This Row],[BLKOrder]])</f>
        <v>1037.25</v>
      </c>
      <c r="AZ669" s="8">
        <f ca="1">RANK(PlayerGameData[[#This Row],[BLKTieBreak]],PlayerGameData[BLKTieBreak],1)</f>
        <v>625</v>
      </c>
      <c r="BA669" s="11">
        <f ca="1">IFERROR(IF(PlayerGameData[[#This Row],[FGA]]&gt;$AA$5,PlayerGameData[[#This Row],[FG%*]],PlayerGameData[[#This Row],[FG%*]]*-1),-2)</f>
        <v>-2</v>
      </c>
      <c r="BB669" s="8">
        <f ca="1">RANK(PlayerGameData[[#This Row],[EligFG]],PlayerGameData[EligFG],0)+PlayerGameData[[#This Row],[VisibleOrder]]</f>
        <v>1214</v>
      </c>
      <c r="BC669" s="8">
        <f ca="1">IF(COUNTIF(PlayerGameData[EligFGOrder],PlayerGameData[[#This Row],[EligFGOrder]])&gt;1,PlayerGameData[[#This Row],[PointRank]]/100+PlayerGameData[[#This Row],[EligFGOrder]],PlayerGameData[[#This Row],[EligFGOrder]])</f>
        <v>1220.25</v>
      </c>
      <c r="BD669" s="8">
        <f ca="1">RANK(PlayerGameData[[#This Row],[EligFGTieBreak]],PlayerGameData[EligFGTieBreak],1)</f>
        <v>625</v>
      </c>
      <c r="BE669" s="8" t="str">
        <f>Roster!$D$3</f>
        <v>East</v>
      </c>
      <c r="BF669" s="8" t="str">
        <f>Roster!$D$2</f>
        <v>Northeast</v>
      </c>
      <c r="BG669" s="8" t="str">
        <f>Roster!$D$4</f>
        <v>North</v>
      </c>
      <c r="BH669" s="197">
        <f ca="1">IFERROR(VLOOKUP(CONCATENATE(PlayerGameData[[#This Row],[Opponent]]," ",MONTH(PlayerGameData[[#This Row],[Date]]),"/",DAY(PlayerGameData[[#This Row],[Date]]),"/",YEAR(PlayerGameData[[#This Row],[Date]])),Table35[],2,FALSE),0)</f>
        <v>0</v>
      </c>
      <c r="BI669" s="197">
        <f ca="1">IF(PlayerGameData[[#This Row],[Visible]]=1,1,1000)</f>
        <v>1000</v>
      </c>
      <c r="BJ669" s="197" t="e">
        <f ca="1">_xlfn.MAXIFS(TeamGameData[Win],TeamGameData[School, Opponent,Game'#],PlayerGameData[[#This Row],[School, Opponent,Game'#]])</f>
        <v>#NAME?</v>
      </c>
      <c r="BK669" s="197" t="e">
        <f ca="1">_xlfn.MAXIFS(TeamGameData[Loss],TeamGameData[School, Opponent,Game'#],PlayerGameData[[#This Row],[School, Opponent,Game'#]])</f>
        <v>#NAME?</v>
      </c>
    </row>
    <row r="670" spans="1:63" x14ac:dyDescent="0.25">
      <c r="A670" s="8" t="str">
        <f t="shared" ca="1" si="333"/>
        <v xml:space="preserve">, </v>
      </c>
      <c r="B670" s="8" t="str">
        <f>Roster!$B$1</f>
        <v>Upton</v>
      </c>
      <c r="C670" s="8">
        <f t="shared" ca="1" si="321"/>
        <v>0</v>
      </c>
      <c r="D670" s="10">
        <f t="shared" ca="1" si="322"/>
        <v>0</v>
      </c>
      <c r="E670" s="8">
        <f t="shared" ca="1" si="323"/>
        <v>0</v>
      </c>
      <c r="F670" s="8">
        <f t="shared" ca="1" si="324"/>
        <v>0</v>
      </c>
      <c r="G670" s="8">
        <f t="shared" ca="1" si="325"/>
        <v>0</v>
      </c>
      <c r="H670" s="8">
        <f t="shared" ca="1" si="326"/>
        <v>0</v>
      </c>
      <c r="I670" s="8">
        <f t="shared" ca="1" si="327"/>
        <v>0</v>
      </c>
      <c r="J670" s="8">
        <f t="shared" ca="1" si="328"/>
        <v>0</v>
      </c>
      <c r="K670" s="8">
        <f t="shared" ca="1" si="329"/>
        <v>0</v>
      </c>
      <c r="L670" s="8">
        <f t="shared" ca="1" si="334"/>
        <v>0</v>
      </c>
      <c r="M670" s="8">
        <f t="shared" ca="1" si="335"/>
        <v>0</v>
      </c>
      <c r="N670" s="8">
        <f t="shared" ca="1" si="336"/>
        <v>0</v>
      </c>
      <c r="O670" s="8">
        <f t="shared" ca="1" si="337"/>
        <v>0</v>
      </c>
      <c r="P670" s="8">
        <f t="shared" ca="1" si="338"/>
        <v>0</v>
      </c>
      <c r="Q670" s="8">
        <f t="shared" ca="1" si="339"/>
        <v>0</v>
      </c>
      <c r="R670" s="8">
        <f t="shared" ca="1" si="340"/>
        <v>0</v>
      </c>
      <c r="S670" s="8">
        <f t="shared" ca="1" si="341"/>
        <v>0</v>
      </c>
      <c r="T670" s="8">
        <f t="shared" ca="1" si="342"/>
        <v>0</v>
      </c>
      <c r="U670" s="8">
        <f t="shared" ca="1" si="343"/>
        <v>0</v>
      </c>
      <c r="V670" s="8">
        <f t="shared" ca="1" si="344"/>
        <v>0</v>
      </c>
      <c r="W670" s="11" t="str">
        <f t="shared" ca="1" si="345"/>
        <v/>
      </c>
      <c r="X670" s="11" t="str">
        <f t="shared" ca="1" si="346"/>
        <v/>
      </c>
      <c r="Y670" s="11" t="str">
        <f t="shared" ca="1" si="347"/>
        <v/>
      </c>
      <c r="Z670" s="11" t="str">
        <f t="shared" ca="1" si="348"/>
        <v/>
      </c>
      <c r="AA670" s="11" t="str">
        <f t="shared" ca="1" si="349"/>
        <v/>
      </c>
      <c r="AB670" s="47">
        <f ca="1">PlayerGameData[[#This Row],[3FGA]]+PlayerGameData[[#This Row],[2FGA]]</f>
        <v>0</v>
      </c>
      <c r="AC670" s="47">
        <f ca="1">PlayerGameData[[#This Row],[OFF REB]]+PlayerGameData[[#This Row],[DEF REB]]</f>
        <v>0</v>
      </c>
      <c r="AD670" s="8">
        <f t="shared" si="330"/>
        <v>28</v>
      </c>
      <c r="AE670" s="8" t="str">
        <f t="shared" ca="1" si="331"/>
        <v>,  - 0 1/0/1900</v>
      </c>
      <c r="AF670" s="8" t="str">
        <f t="shared" ca="1" si="350"/>
        <v/>
      </c>
      <c r="AG670" s="8" t="str">
        <f ca="1">IFERROR(IF(C670=0,"",IF(AND(VLOOKUP(PlayerGameData[[#This Row],[Opponent]],WYTeamInfo,2,FALSE)=Roster!$D$1,VLOOKUP(PlayerGameData[[#This Row],[Opponent]],WYTeamInfo,3,FALSE)=Roster!$D$2),"SR","")),"")</f>
        <v/>
      </c>
      <c r="AH670" s="8" t="str">
        <f>CONCATENATE(Roster!$D$1," ",Roster!$D$5)</f>
        <v>1A BB</v>
      </c>
      <c r="AI670" s="8" t="str">
        <f t="shared" ca="1" si="332"/>
        <v>Blank</v>
      </c>
      <c r="AJ670" s="8">
        <f ca="1">IFERROR(VLOOKUP(PlayerGameData[[#This Row],[School, Opponent,Game'#]],Table3[],2,FALSE),0)</f>
        <v>0</v>
      </c>
      <c r="AK670" s="8">
        <f ca="1">IF(PlayerGameData[[#This Row],[Visible]]=1,1,1000)</f>
        <v>1000</v>
      </c>
      <c r="AL670" s="8">
        <f ca="1">RANK(PlayerGameData[[#This Row],[TL PTS]],PlayerGameData[TL PTS],0)+PlayerGameData[[#This Row],[VisibleOrder]]</f>
        <v>1184</v>
      </c>
      <c r="AM670" s="8">
        <f ca="1">IF(COUNTIF(PlayerGameData[PointOrder],PlayerGameData[[#This Row],[PointOrder]])&gt;1,RANK(PlayerGameData[[#This Row],[FGA]],PlayerGameData[FGA],0)/100,0)+PlayerGameData[[#This Row],[PointOrder]]</f>
        <v>1186.1400000000001</v>
      </c>
      <c r="AN670" s="8">
        <f ca="1">RANK(PlayerGameData[[#This Row],[PointTieBreak]],PlayerGameData[PointTieBreak],1)</f>
        <v>625</v>
      </c>
      <c r="AO670" s="8">
        <f ca="1">RANK(PlayerGameData[[#This Row],[REB]],PlayerGameData[REB],0)+PlayerGameData[[#This Row],[VisibleOrder]]</f>
        <v>1191</v>
      </c>
      <c r="AP670" s="8">
        <f ca="1">IF(COUNTIF(PlayerGameData[REBOrder],PlayerGameData[[#This Row],[REBOrder]])&gt;1,PlayerGameData[[#This Row],[PointRank]]/100+PlayerGameData[[#This Row],[REBOrder]],PlayerGameData[[#This Row],[REBOrder]])</f>
        <v>1197.25</v>
      </c>
      <c r="AQ670" s="8">
        <f ca="1">RANK(PlayerGameData[[#This Row],[REBTieBreak]],PlayerGameData[REBTieBreak],1)</f>
        <v>625</v>
      </c>
      <c r="AR670" s="8">
        <f ca="1">RANK(PlayerGameData[[#This Row],[AST]],PlayerGameData[AST],0)+PlayerGameData[[#This Row],[VisibleOrder]]</f>
        <v>1157</v>
      </c>
      <c r="AS670" s="8">
        <f ca="1">IF(COUNTIF(PlayerGameData[ASTOrder],PlayerGameData[[#This Row],[ASTOrder]])&gt;1,PlayerGameData[[#This Row],[PointRank]]/100+PlayerGameData[[#This Row],[ASTOrder]],PlayerGameData[[#This Row],[ASTOrder]])</f>
        <v>1163.25</v>
      </c>
      <c r="AT670" s="8">
        <f ca="1">RANK(PlayerGameData[[#This Row],[ASTTieBreak]],PlayerGameData[ASTTieBreak],1)</f>
        <v>625</v>
      </c>
      <c r="AU670" s="8">
        <f ca="1">RANK(PlayerGameData[[#This Row],[STL]],PlayerGameData[STL],0)+PlayerGameData[[#This Row],[VisibleOrder]]</f>
        <v>1142</v>
      </c>
      <c r="AV670" s="8">
        <f ca="1">IF(COUNTIF(PlayerGameData[STLOrder],PlayerGameData[[#This Row],[STLOrder]])&gt;1,PlayerGameData[[#This Row],[PointRank]]/100+PlayerGameData[[#This Row],[STLOrder]],PlayerGameData[[#This Row],[STLOrder]])</f>
        <v>1148.25</v>
      </c>
      <c r="AW670" s="8">
        <f ca="1">RANK(PlayerGameData[[#This Row],[STLTieBreak]],PlayerGameData[STLTieBreak],1)</f>
        <v>625</v>
      </c>
      <c r="AX670" s="8">
        <f ca="1">RANK(PlayerGameData[[#This Row],[BLK]],PlayerGameData[BLK],0)+PlayerGameData[[#This Row],[VisibleOrder]]</f>
        <v>1031</v>
      </c>
      <c r="AY670" s="8">
        <f ca="1">IF(COUNTIF(PlayerGameData[BLKOrder],PlayerGameData[[#This Row],[BLKOrder]])&gt;1,PlayerGameData[[#This Row],[PointRank]]/100+PlayerGameData[[#This Row],[BLKOrder]],PlayerGameData[[#This Row],[BLKOrder]])</f>
        <v>1037.25</v>
      </c>
      <c r="AZ670" s="8">
        <f ca="1">RANK(PlayerGameData[[#This Row],[BLKTieBreak]],PlayerGameData[BLKTieBreak],1)</f>
        <v>625</v>
      </c>
      <c r="BA670" s="11">
        <f ca="1">IFERROR(IF(PlayerGameData[[#This Row],[FGA]]&gt;$AA$5,PlayerGameData[[#This Row],[FG%*]],PlayerGameData[[#This Row],[FG%*]]*-1),-2)</f>
        <v>-2</v>
      </c>
      <c r="BB670" s="8">
        <f ca="1">RANK(PlayerGameData[[#This Row],[EligFG]],PlayerGameData[EligFG],0)+PlayerGameData[[#This Row],[VisibleOrder]]</f>
        <v>1214</v>
      </c>
      <c r="BC670" s="8">
        <f ca="1">IF(COUNTIF(PlayerGameData[EligFGOrder],PlayerGameData[[#This Row],[EligFGOrder]])&gt;1,PlayerGameData[[#This Row],[PointRank]]/100+PlayerGameData[[#This Row],[EligFGOrder]],PlayerGameData[[#This Row],[EligFGOrder]])</f>
        <v>1220.25</v>
      </c>
      <c r="BD670" s="8">
        <f ca="1">RANK(PlayerGameData[[#This Row],[EligFGTieBreak]],PlayerGameData[EligFGTieBreak],1)</f>
        <v>625</v>
      </c>
      <c r="BE670" s="8" t="str">
        <f>Roster!$D$3</f>
        <v>East</v>
      </c>
      <c r="BF670" s="8" t="str">
        <f>Roster!$D$2</f>
        <v>Northeast</v>
      </c>
      <c r="BG670" s="8" t="str">
        <f>Roster!$D$4</f>
        <v>North</v>
      </c>
      <c r="BH670" s="197">
        <f ca="1">IFERROR(VLOOKUP(CONCATENATE(PlayerGameData[[#This Row],[Opponent]]," ",MONTH(PlayerGameData[[#This Row],[Date]]),"/",DAY(PlayerGameData[[#This Row],[Date]]),"/",YEAR(PlayerGameData[[#This Row],[Date]])),Table35[],2,FALSE),0)</f>
        <v>0</v>
      </c>
      <c r="BI670" s="197">
        <f ca="1">IF(PlayerGameData[[#This Row],[Visible]]=1,1,1000)</f>
        <v>1000</v>
      </c>
      <c r="BJ670" s="197" t="e">
        <f ca="1">_xlfn.MAXIFS(TeamGameData[Win],TeamGameData[School, Opponent,Game'#],PlayerGameData[[#This Row],[School, Opponent,Game'#]])</f>
        <v>#NAME?</v>
      </c>
      <c r="BK670" s="197" t="e">
        <f ca="1">_xlfn.MAXIFS(TeamGameData[Loss],TeamGameData[School, Opponent,Game'#],PlayerGameData[[#This Row],[School, Opponent,Game'#]])</f>
        <v>#NAME?</v>
      </c>
    </row>
    <row r="671" spans="1:63" x14ac:dyDescent="0.25">
      <c r="A671" s="8" t="str">
        <f t="shared" ca="1" si="333"/>
        <v xml:space="preserve">, </v>
      </c>
      <c r="B671" s="8" t="str">
        <f>Roster!$B$1</f>
        <v>Upton</v>
      </c>
      <c r="C671" s="8">
        <f t="shared" ca="1" si="321"/>
        <v>0</v>
      </c>
      <c r="D671" s="10">
        <f t="shared" ca="1" si="322"/>
        <v>0</v>
      </c>
      <c r="E671" s="8">
        <f t="shared" ca="1" si="323"/>
        <v>0</v>
      </c>
      <c r="F671" s="8">
        <f t="shared" ca="1" si="324"/>
        <v>0</v>
      </c>
      <c r="G671" s="8">
        <f t="shared" ca="1" si="325"/>
        <v>0</v>
      </c>
      <c r="H671" s="8">
        <f t="shared" ca="1" si="326"/>
        <v>0</v>
      </c>
      <c r="I671" s="8">
        <f t="shared" ca="1" si="327"/>
        <v>0</v>
      </c>
      <c r="J671" s="8">
        <f t="shared" ca="1" si="328"/>
        <v>0</v>
      </c>
      <c r="K671" s="8">
        <f t="shared" ca="1" si="329"/>
        <v>0</v>
      </c>
      <c r="L671" s="8">
        <f t="shared" ca="1" si="334"/>
        <v>0</v>
      </c>
      <c r="M671" s="8">
        <f t="shared" ca="1" si="335"/>
        <v>0</v>
      </c>
      <c r="N671" s="8">
        <f t="shared" ca="1" si="336"/>
        <v>0</v>
      </c>
      <c r="O671" s="8">
        <f t="shared" ca="1" si="337"/>
        <v>0</v>
      </c>
      <c r="P671" s="8">
        <f t="shared" ca="1" si="338"/>
        <v>0</v>
      </c>
      <c r="Q671" s="8">
        <f t="shared" ca="1" si="339"/>
        <v>0</v>
      </c>
      <c r="R671" s="8">
        <f t="shared" ca="1" si="340"/>
        <v>0</v>
      </c>
      <c r="S671" s="8">
        <f t="shared" ca="1" si="341"/>
        <v>0</v>
      </c>
      <c r="T671" s="8">
        <f t="shared" ca="1" si="342"/>
        <v>0</v>
      </c>
      <c r="U671" s="8">
        <f t="shared" ca="1" si="343"/>
        <v>0</v>
      </c>
      <c r="V671" s="8">
        <f t="shared" ca="1" si="344"/>
        <v>0</v>
      </c>
      <c r="W671" s="11" t="str">
        <f t="shared" ca="1" si="345"/>
        <v/>
      </c>
      <c r="X671" s="11" t="str">
        <f t="shared" ca="1" si="346"/>
        <v/>
      </c>
      <c r="Y671" s="11" t="str">
        <f t="shared" ca="1" si="347"/>
        <v/>
      </c>
      <c r="Z671" s="11" t="str">
        <f t="shared" ca="1" si="348"/>
        <v/>
      </c>
      <c r="AA671" s="11" t="str">
        <f t="shared" ca="1" si="349"/>
        <v/>
      </c>
      <c r="AB671" s="47">
        <f ca="1">PlayerGameData[[#This Row],[3FGA]]+PlayerGameData[[#This Row],[2FGA]]</f>
        <v>0</v>
      </c>
      <c r="AC671" s="47">
        <f ca="1">PlayerGameData[[#This Row],[OFF REB]]+PlayerGameData[[#This Row],[DEF REB]]</f>
        <v>0</v>
      </c>
      <c r="AD671" s="8">
        <f t="shared" si="330"/>
        <v>28</v>
      </c>
      <c r="AE671" s="8" t="str">
        <f t="shared" ca="1" si="331"/>
        <v>,  - 0 1/0/1900</v>
      </c>
      <c r="AF671" s="8" t="str">
        <f t="shared" ca="1" si="350"/>
        <v/>
      </c>
      <c r="AG671" s="8" t="str">
        <f ca="1">IFERROR(IF(C671=0,"",IF(AND(VLOOKUP(PlayerGameData[[#This Row],[Opponent]],WYTeamInfo,2,FALSE)=Roster!$D$1,VLOOKUP(PlayerGameData[[#This Row],[Opponent]],WYTeamInfo,3,FALSE)=Roster!$D$2),"SR","")),"")</f>
        <v/>
      </c>
      <c r="AH671" s="8" t="str">
        <f>CONCATENATE(Roster!$D$1," ",Roster!$D$5)</f>
        <v>1A BB</v>
      </c>
      <c r="AI671" s="8" t="str">
        <f t="shared" ca="1" si="332"/>
        <v>Blank</v>
      </c>
      <c r="AJ671" s="8">
        <f ca="1">IFERROR(VLOOKUP(PlayerGameData[[#This Row],[School, Opponent,Game'#]],Table3[],2,FALSE),0)</f>
        <v>0</v>
      </c>
      <c r="AK671" s="8">
        <f ca="1">IF(PlayerGameData[[#This Row],[Visible]]=1,1,1000)</f>
        <v>1000</v>
      </c>
      <c r="AL671" s="8">
        <f ca="1">RANK(PlayerGameData[[#This Row],[TL PTS]],PlayerGameData[TL PTS],0)+PlayerGameData[[#This Row],[VisibleOrder]]</f>
        <v>1184</v>
      </c>
      <c r="AM671" s="8">
        <f ca="1">IF(COUNTIF(PlayerGameData[PointOrder],PlayerGameData[[#This Row],[PointOrder]])&gt;1,RANK(PlayerGameData[[#This Row],[FGA]],PlayerGameData[FGA],0)/100,0)+PlayerGameData[[#This Row],[PointOrder]]</f>
        <v>1186.1400000000001</v>
      </c>
      <c r="AN671" s="8">
        <f ca="1">RANK(PlayerGameData[[#This Row],[PointTieBreak]],PlayerGameData[PointTieBreak],1)</f>
        <v>625</v>
      </c>
      <c r="AO671" s="8">
        <f ca="1">RANK(PlayerGameData[[#This Row],[REB]],PlayerGameData[REB],0)+PlayerGameData[[#This Row],[VisibleOrder]]</f>
        <v>1191</v>
      </c>
      <c r="AP671" s="8">
        <f ca="1">IF(COUNTIF(PlayerGameData[REBOrder],PlayerGameData[[#This Row],[REBOrder]])&gt;1,PlayerGameData[[#This Row],[PointRank]]/100+PlayerGameData[[#This Row],[REBOrder]],PlayerGameData[[#This Row],[REBOrder]])</f>
        <v>1197.25</v>
      </c>
      <c r="AQ671" s="8">
        <f ca="1">RANK(PlayerGameData[[#This Row],[REBTieBreak]],PlayerGameData[REBTieBreak],1)</f>
        <v>625</v>
      </c>
      <c r="AR671" s="8">
        <f ca="1">RANK(PlayerGameData[[#This Row],[AST]],PlayerGameData[AST],0)+PlayerGameData[[#This Row],[VisibleOrder]]</f>
        <v>1157</v>
      </c>
      <c r="AS671" s="8">
        <f ca="1">IF(COUNTIF(PlayerGameData[ASTOrder],PlayerGameData[[#This Row],[ASTOrder]])&gt;1,PlayerGameData[[#This Row],[PointRank]]/100+PlayerGameData[[#This Row],[ASTOrder]],PlayerGameData[[#This Row],[ASTOrder]])</f>
        <v>1163.25</v>
      </c>
      <c r="AT671" s="8">
        <f ca="1">RANK(PlayerGameData[[#This Row],[ASTTieBreak]],PlayerGameData[ASTTieBreak],1)</f>
        <v>625</v>
      </c>
      <c r="AU671" s="8">
        <f ca="1">RANK(PlayerGameData[[#This Row],[STL]],PlayerGameData[STL],0)+PlayerGameData[[#This Row],[VisibleOrder]]</f>
        <v>1142</v>
      </c>
      <c r="AV671" s="8">
        <f ca="1">IF(COUNTIF(PlayerGameData[STLOrder],PlayerGameData[[#This Row],[STLOrder]])&gt;1,PlayerGameData[[#This Row],[PointRank]]/100+PlayerGameData[[#This Row],[STLOrder]],PlayerGameData[[#This Row],[STLOrder]])</f>
        <v>1148.25</v>
      </c>
      <c r="AW671" s="8">
        <f ca="1">RANK(PlayerGameData[[#This Row],[STLTieBreak]],PlayerGameData[STLTieBreak],1)</f>
        <v>625</v>
      </c>
      <c r="AX671" s="8">
        <f ca="1">RANK(PlayerGameData[[#This Row],[BLK]],PlayerGameData[BLK],0)+PlayerGameData[[#This Row],[VisibleOrder]]</f>
        <v>1031</v>
      </c>
      <c r="AY671" s="8">
        <f ca="1">IF(COUNTIF(PlayerGameData[BLKOrder],PlayerGameData[[#This Row],[BLKOrder]])&gt;1,PlayerGameData[[#This Row],[PointRank]]/100+PlayerGameData[[#This Row],[BLKOrder]],PlayerGameData[[#This Row],[BLKOrder]])</f>
        <v>1037.25</v>
      </c>
      <c r="AZ671" s="8">
        <f ca="1">RANK(PlayerGameData[[#This Row],[BLKTieBreak]],PlayerGameData[BLKTieBreak],1)</f>
        <v>625</v>
      </c>
      <c r="BA671" s="11">
        <f ca="1">IFERROR(IF(PlayerGameData[[#This Row],[FGA]]&gt;$AA$5,PlayerGameData[[#This Row],[FG%*]],PlayerGameData[[#This Row],[FG%*]]*-1),-2)</f>
        <v>-2</v>
      </c>
      <c r="BB671" s="8">
        <f ca="1">RANK(PlayerGameData[[#This Row],[EligFG]],PlayerGameData[EligFG],0)+PlayerGameData[[#This Row],[VisibleOrder]]</f>
        <v>1214</v>
      </c>
      <c r="BC671" s="8">
        <f ca="1">IF(COUNTIF(PlayerGameData[EligFGOrder],PlayerGameData[[#This Row],[EligFGOrder]])&gt;1,PlayerGameData[[#This Row],[PointRank]]/100+PlayerGameData[[#This Row],[EligFGOrder]],PlayerGameData[[#This Row],[EligFGOrder]])</f>
        <v>1220.25</v>
      </c>
      <c r="BD671" s="8">
        <f ca="1">RANK(PlayerGameData[[#This Row],[EligFGTieBreak]],PlayerGameData[EligFGTieBreak],1)</f>
        <v>625</v>
      </c>
      <c r="BE671" s="8" t="str">
        <f>Roster!$D$3</f>
        <v>East</v>
      </c>
      <c r="BF671" s="8" t="str">
        <f>Roster!$D$2</f>
        <v>Northeast</v>
      </c>
      <c r="BG671" s="8" t="str">
        <f>Roster!$D$4</f>
        <v>North</v>
      </c>
      <c r="BH671" s="197">
        <f ca="1">IFERROR(VLOOKUP(CONCATENATE(PlayerGameData[[#This Row],[Opponent]]," ",MONTH(PlayerGameData[[#This Row],[Date]]),"/",DAY(PlayerGameData[[#This Row],[Date]]),"/",YEAR(PlayerGameData[[#This Row],[Date]])),Table35[],2,FALSE),0)</f>
        <v>0</v>
      </c>
      <c r="BI671" s="197">
        <f ca="1">IF(PlayerGameData[[#This Row],[Visible]]=1,1,1000)</f>
        <v>1000</v>
      </c>
      <c r="BJ671" s="197" t="e">
        <f ca="1">_xlfn.MAXIFS(TeamGameData[Win],TeamGameData[School, Opponent,Game'#],PlayerGameData[[#This Row],[School, Opponent,Game'#]])</f>
        <v>#NAME?</v>
      </c>
      <c r="BK671" s="197" t="e">
        <f ca="1">_xlfn.MAXIFS(TeamGameData[Loss],TeamGameData[School, Opponent,Game'#],PlayerGameData[[#This Row],[School, Opponent,Game'#]])</f>
        <v>#NAME?</v>
      </c>
    </row>
    <row r="672" spans="1:63" x14ac:dyDescent="0.25">
      <c r="A672" s="8" t="str">
        <f t="shared" ca="1" si="333"/>
        <v xml:space="preserve">, </v>
      </c>
      <c r="B672" s="8" t="str">
        <f>Roster!$B$1</f>
        <v>Upton</v>
      </c>
      <c r="C672" s="8">
        <f t="shared" ca="1" si="321"/>
        <v>0</v>
      </c>
      <c r="D672" s="10">
        <f t="shared" ca="1" si="322"/>
        <v>0</v>
      </c>
      <c r="E672" s="8">
        <f t="shared" ca="1" si="323"/>
        <v>0</v>
      </c>
      <c r="F672" s="8">
        <f t="shared" ca="1" si="324"/>
        <v>0</v>
      </c>
      <c r="G672" s="8">
        <f t="shared" ca="1" si="325"/>
        <v>0</v>
      </c>
      <c r="H672" s="8">
        <f t="shared" ca="1" si="326"/>
        <v>0</v>
      </c>
      <c r="I672" s="8">
        <f t="shared" ca="1" si="327"/>
        <v>0</v>
      </c>
      <c r="J672" s="8">
        <f t="shared" ca="1" si="328"/>
        <v>0</v>
      </c>
      <c r="K672" s="8">
        <f t="shared" ca="1" si="329"/>
        <v>0</v>
      </c>
      <c r="L672" s="8">
        <f t="shared" ca="1" si="334"/>
        <v>0</v>
      </c>
      <c r="M672" s="8">
        <f t="shared" ca="1" si="335"/>
        <v>0</v>
      </c>
      <c r="N672" s="8">
        <f t="shared" ca="1" si="336"/>
        <v>0</v>
      </c>
      <c r="O672" s="8">
        <f t="shared" ca="1" si="337"/>
        <v>0</v>
      </c>
      <c r="P672" s="8">
        <f t="shared" ca="1" si="338"/>
        <v>0</v>
      </c>
      <c r="Q672" s="8">
        <f t="shared" ca="1" si="339"/>
        <v>0</v>
      </c>
      <c r="R672" s="8">
        <f t="shared" ca="1" si="340"/>
        <v>0</v>
      </c>
      <c r="S672" s="8">
        <f t="shared" ca="1" si="341"/>
        <v>0</v>
      </c>
      <c r="T672" s="8">
        <f t="shared" ca="1" si="342"/>
        <v>0</v>
      </c>
      <c r="U672" s="8">
        <f t="shared" ca="1" si="343"/>
        <v>0</v>
      </c>
      <c r="V672" s="8">
        <f t="shared" ca="1" si="344"/>
        <v>0</v>
      </c>
      <c r="W672" s="11" t="str">
        <f t="shared" ca="1" si="345"/>
        <v/>
      </c>
      <c r="X672" s="11" t="str">
        <f t="shared" ca="1" si="346"/>
        <v/>
      </c>
      <c r="Y672" s="11" t="str">
        <f t="shared" ca="1" si="347"/>
        <v/>
      </c>
      <c r="Z672" s="11" t="str">
        <f t="shared" ca="1" si="348"/>
        <v/>
      </c>
      <c r="AA672" s="11" t="str">
        <f t="shared" ca="1" si="349"/>
        <v/>
      </c>
      <c r="AB672" s="47">
        <f ca="1">PlayerGameData[[#This Row],[3FGA]]+PlayerGameData[[#This Row],[2FGA]]</f>
        <v>0</v>
      </c>
      <c r="AC672" s="47">
        <f ca="1">PlayerGameData[[#This Row],[OFF REB]]+PlayerGameData[[#This Row],[DEF REB]]</f>
        <v>0</v>
      </c>
      <c r="AD672" s="8">
        <f t="shared" si="330"/>
        <v>28</v>
      </c>
      <c r="AE672" s="8" t="str">
        <f t="shared" ca="1" si="331"/>
        <v>,  - 0 1/0/1900</v>
      </c>
      <c r="AF672" s="8" t="str">
        <f t="shared" ca="1" si="350"/>
        <v/>
      </c>
      <c r="AG672" s="8" t="str">
        <f ca="1">IFERROR(IF(C672=0,"",IF(AND(VLOOKUP(PlayerGameData[[#This Row],[Opponent]],WYTeamInfo,2,FALSE)=Roster!$D$1,VLOOKUP(PlayerGameData[[#This Row],[Opponent]],WYTeamInfo,3,FALSE)=Roster!$D$2),"SR","")),"")</f>
        <v/>
      </c>
      <c r="AH672" s="8" t="str">
        <f>CONCATENATE(Roster!$D$1," ",Roster!$D$5)</f>
        <v>1A BB</v>
      </c>
      <c r="AI672" s="8" t="str">
        <f t="shared" ca="1" si="332"/>
        <v>Blank</v>
      </c>
      <c r="AJ672" s="8">
        <f ca="1">IFERROR(VLOOKUP(PlayerGameData[[#This Row],[School, Opponent,Game'#]],Table3[],2,FALSE),0)</f>
        <v>0</v>
      </c>
      <c r="AK672" s="8">
        <f ca="1">IF(PlayerGameData[[#This Row],[Visible]]=1,1,1000)</f>
        <v>1000</v>
      </c>
      <c r="AL672" s="8">
        <f ca="1">RANK(PlayerGameData[[#This Row],[TL PTS]],PlayerGameData[TL PTS],0)+PlayerGameData[[#This Row],[VisibleOrder]]</f>
        <v>1184</v>
      </c>
      <c r="AM672" s="8">
        <f ca="1">IF(COUNTIF(PlayerGameData[PointOrder],PlayerGameData[[#This Row],[PointOrder]])&gt;1,RANK(PlayerGameData[[#This Row],[FGA]],PlayerGameData[FGA],0)/100,0)+PlayerGameData[[#This Row],[PointOrder]]</f>
        <v>1186.1400000000001</v>
      </c>
      <c r="AN672" s="8">
        <f ca="1">RANK(PlayerGameData[[#This Row],[PointTieBreak]],PlayerGameData[PointTieBreak],1)</f>
        <v>625</v>
      </c>
      <c r="AO672" s="8">
        <f ca="1">RANK(PlayerGameData[[#This Row],[REB]],PlayerGameData[REB],0)+PlayerGameData[[#This Row],[VisibleOrder]]</f>
        <v>1191</v>
      </c>
      <c r="AP672" s="8">
        <f ca="1">IF(COUNTIF(PlayerGameData[REBOrder],PlayerGameData[[#This Row],[REBOrder]])&gt;1,PlayerGameData[[#This Row],[PointRank]]/100+PlayerGameData[[#This Row],[REBOrder]],PlayerGameData[[#This Row],[REBOrder]])</f>
        <v>1197.25</v>
      </c>
      <c r="AQ672" s="8">
        <f ca="1">RANK(PlayerGameData[[#This Row],[REBTieBreak]],PlayerGameData[REBTieBreak],1)</f>
        <v>625</v>
      </c>
      <c r="AR672" s="8">
        <f ca="1">RANK(PlayerGameData[[#This Row],[AST]],PlayerGameData[AST],0)+PlayerGameData[[#This Row],[VisibleOrder]]</f>
        <v>1157</v>
      </c>
      <c r="AS672" s="8">
        <f ca="1">IF(COUNTIF(PlayerGameData[ASTOrder],PlayerGameData[[#This Row],[ASTOrder]])&gt;1,PlayerGameData[[#This Row],[PointRank]]/100+PlayerGameData[[#This Row],[ASTOrder]],PlayerGameData[[#This Row],[ASTOrder]])</f>
        <v>1163.25</v>
      </c>
      <c r="AT672" s="8">
        <f ca="1">RANK(PlayerGameData[[#This Row],[ASTTieBreak]],PlayerGameData[ASTTieBreak],1)</f>
        <v>625</v>
      </c>
      <c r="AU672" s="8">
        <f ca="1">RANK(PlayerGameData[[#This Row],[STL]],PlayerGameData[STL],0)+PlayerGameData[[#This Row],[VisibleOrder]]</f>
        <v>1142</v>
      </c>
      <c r="AV672" s="8">
        <f ca="1">IF(COUNTIF(PlayerGameData[STLOrder],PlayerGameData[[#This Row],[STLOrder]])&gt;1,PlayerGameData[[#This Row],[PointRank]]/100+PlayerGameData[[#This Row],[STLOrder]],PlayerGameData[[#This Row],[STLOrder]])</f>
        <v>1148.25</v>
      </c>
      <c r="AW672" s="8">
        <f ca="1">RANK(PlayerGameData[[#This Row],[STLTieBreak]],PlayerGameData[STLTieBreak],1)</f>
        <v>625</v>
      </c>
      <c r="AX672" s="8">
        <f ca="1">RANK(PlayerGameData[[#This Row],[BLK]],PlayerGameData[BLK],0)+PlayerGameData[[#This Row],[VisibleOrder]]</f>
        <v>1031</v>
      </c>
      <c r="AY672" s="8">
        <f ca="1">IF(COUNTIF(PlayerGameData[BLKOrder],PlayerGameData[[#This Row],[BLKOrder]])&gt;1,PlayerGameData[[#This Row],[PointRank]]/100+PlayerGameData[[#This Row],[BLKOrder]],PlayerGameData[[#This Row],[BLKOrder]])</f>
        <v>1037.25</v>
      </c>
      <c r="AZ672" s="8">
        <f ca="1">RANK(PlayerGameData[[#This Row],[BLKTieBreak]],PlayerGameData[BLKTieBreak],1)</f>
        <v>625</v>
      </c>
      <c r="BA672" s="11">
        <f ca="1">IFERROR(IF(PlayerGameData[[#This Row],[FGA]]&gt;$AA$5,PlayerGameData[[#This Row],[FG%*]],PlayerGameData[[#This Row],[FG%*]]*-1),-2)</f>
        <v>-2</v>
      </c>
      <c r="BB672" s="8">
        <f ca="1">RANK(PlayerGameData[[#This Row],[EligFG]],PlayerGameData[EligFG],0)+PlayerGameData[[#This Row],[VisibleOrder]]</f>
        <v>1214</v>
      </c>
      <c r="BC672" s="8">
        <f ca="1">IF(COUNTIF(PlayerGameData[EligFGOrder],PlayerGameData[[#This Row],[EligFGOrder]])&gt;1,PlayerGameData[[#This Row],[PointRank]]/100+PlayerGameData[[#This Row],[EligFGOrder]],PlayerGameData[[#This Row],[EligFGOrder]])</f>
        <v>1220.25</v>
      </c>
      <c r="BD672" s="8">
        <f ca="1">RANK(PlayerGameData[[#This Row],[EligFGTieBreak]],PlayerGameData[EligFGTieBreak],1)</f>
        <v>625</v>
      </c>
      <c r="BE672" s="8" t="str">
        <f>Roster!$D$3</f>
        <v>East</v>
      </c>
      <c r="BF672" s="8" t="str">
        <f>Roster!$D$2</f>
        <v>Northeast</v>
      </c>
      <c r="BG672" s="8" t="str">
        <f>Roster!$D$4</f>
        <v>North</v>
      </c>
      <c r="BH672" s="197">
        <f ca="1">IFERROR(VLOOKUP(CONCATENATE(PlayerGameData[[#This Row],[Opponent]]," ",MONTH(PlayerGameData[[#This Row],[Date]]),"/",DAY(PlayerGameData[[#This Row],[Date]]),"/",YEAR(PlayerGameData[[#This Row],[Date]])),Table35[],2,FALSE),0)</f>
        <v>0</v>
      </c>
      <c r="BI672" s="197">
        <f ca="1">IF(PlayerGameData[[#This Row],[Visible]]=1,1,1000)</f>
        <v>1000</v>
      </c>
      <c r="BJ672" s="197" t="e">
        <f ca="1">_xlfn.MAXIFS(TeamGameData[Win],TeamGameData[School, Opponent,Game'#],PlayerGameData[[#This Row],[School, Opponent,Game'#]])</f>
        <v>#NAME?</v>
      </c>
      <c r="BK672" s="197" t="e">
        <f ca="1">_xlfn.MAXIFS(TeamGameData[Loss],TeamGameData[School, Opponent,Game'#],PlayerGameData[[#This Row],[School, Opponent,Game'#]])</f>
        <v>#NAME?</v>
      </c>
    </row>
    <row r="673" spans="1:63" x14ac:dyDescent="0.25">
      <c r="A673" s="8" t="str">
        <f t="shared" ca="1" si="333"/>
        <v xml:space="preserve">, </v>
      </c>
      <c r="B673" s="8" t="str">
        <f>Roster!$B$1</f>
        <v>Upton</v>
      </c>
      <c r="C673" s="8">
        <f t="shared" ca="1" si="321"/>
        <v>0</v>
      </c>
      <c r="D673" s="10">
        <f t="shared" ca="1" si="322"/>
        <v>0</v>
      </c>
      <c r="E673" s="8">
        <f t="shared" ca="1" si="323"/>
        <v>0</v>
      </c>
      <c r="F673" s="8">
        <f t="shared" ca="1" si="324"/>
        <v>0</v>
      </c>
      <c r="G673" s="8">
        <f t="shared" ca="1" si="325"/>
        <v>0</v>
      </c>
      <c r="H673" s="8">
        <f t="shared" ca="1" si="326"/>
        <v>0</v>
      </c>
      <c r="I673" s="8">
        <f t="shared" ca="1" si="327"/>
        <v>0</v>
      </c>
      <c r="J673" s="8">
        <f t="shared" ca="1" si="328"/>
        <v>0</v>
      </c>
      <c r="K673" s="8">
        <f t="shared" ca="1" si="329"/>
        <v>0</v>
      </c>
      <c r="L673" s="8">
        <f t="shared" ca="1" si="334"/>
        <v>0</v>
      </c>
      <c r="M673" s="8">
        <f t="shared" ca="1" si="335"/>
        <v>0</v>
      </c>
      <c r="N673" s="8">
        <f t="shared" ca="1" si="336"/>
        <v>0</v>
      </c>
      <c r="O673" s="8">
        <f t="shared" ca="1" si="337"/>
        <v>0</v>
      </c>
      <c r="P673" s="8">
        <f t="shared" ca="1" si="338"/>
        <v>0</v>
      </c>
      <c r="Q673" s="8">
        <f t="shared" ca="1" si="339"/>
        <v>0</v>
      </c>
      <c r="R673" s="8">
        <f t="shared" ca="1" si="340"/>
        <v>0</v>
      </c>
      <c r="S673" s="8">
        <f t="shared" ca="1" si="341"/>
        <v>0</v>
      </c>
      <c r="T673" s="8">
        <f t="shared" ca="1" si="342"/>
        <v>0</v>
      </c>
      <c r="U673" s="8">
        <f t="shared" ca="1" si="343"/>
        <v>0</v>
      </c>
      <c r="V673" s="8">
        <f t="shared" ca="1" si="344"/>
        <v>0</v>
      </c>
      <c r="W673" s="11" t="str">
        <f t="shared" ca="1" si="345"/>
        <v/>
      </c>
      <c r="X673" s="11" t="str">
        <f t="shared" ca="1" si="346"/>
        <v/>
      </c>
      <c r="Y673" s="11" t="str">
        <f t="shared" ca="1" si="347"/>
        <v/>
      </c>
      <c r="Z673" s="11" t="str">
        <f t="shared" ca="1" si="348"/>
        <v/>
      </c>
      <c r="AA673" s="11" t="str">
        <f t="shared" ca="1" si="349"/>
        <v/>
      </c>
      <c r="AB673" s="47">
        <f ca="1">PlayerGameData[[#This Row],[3FGA]]+PlayerGameData[[#This Row],[2FGA]]</f>
        <v>0</v>
      </c>
      <c r="AC673" s="47">
        <f ca="1">PlayerGameData[[#This Row],[OFF REB]]+PlayerGameData[[#This Row],[DEF REB]]</f>
        <v>0</v>
      </c>
      <c r="AD673" s="8">
        <f t="shared" si="330"/>
        <v>28</v>
      </c>
      <c r="AE673" s="8" t="str">
        <f t="shared" ca="1" si="331"/>
        <v>,  - 0 1/0/1900</v>
      </c>
      <c r="AF673" s="8" t="str">
        <f t="shared" ca="1" si="350"/>
        <v/>
      </c>
      <c r="AG673" s="8" t="str">
        <f ca="1">IFERROR(IF(C673=0,"",IF(AND(VLOOKUP(PlayerGameData[[#This Row],[Opponent]],WYTeamInfo,2,FALSE)=Roster!$D$1,VLOOKUP(PlayerGameData[[#This Row],[Opponent]],WYTeamInfo,3,FALSE)=Roster!$D$2),"SR","")),"")</f>
        <v/>
      </c>
      <c r="AH673" s="8" t="str">
        <f>CONCATENATE(Roster!$D$1," ",Roster!$D$5)</f>
        <v>1A BB</v>
      </c>
      <c r="AI673" s="8" t="str">
        <f t="shared" ca="1" si="332"/>
        <v>Blank</v>
      </c>
      <c r="AJ673" s="8">
        <f ca="1">IFERROR(VLOOKUP(PlayerGameData[[#This Row],[School, Opponent,Game'#]],Table3[],2,FALSE),0)</f>
        <v>0</v>
      </c>
      <c r="AK673" s="8">
        <f ca="1">IF(PlayerGameData[[#This Row],[Visible]]=1,1,1000)</f>
        <v>1000</v>
      </c>
      <c r="AL673" s="8">
        <f ca="1">RANK(PlayerGameData[[#This Row],[TL PTS]],PlayerGameData[TL PTS],0)+PlayerGameData[[#This Row],[VisibleOrder]]</f>
        <v>1184</v>
      </c>
      <c r="AM673" s="8">
        <f ca="1">IF(COUNTIF(PlayerGameData[PointOrder],PlayerGameData[[#This Row],[PointOrder]])&gt;1,RANK(PlayerGameData[[#This Row],[FGA]],PlayerGameData[FGA],0)/100,0)+PlayerGameData[[#This Row],[PointOrder]]</f>
        <v>1186.1400000000001</v>
      </c>
      <c r="AN673" s="8">
        <f ca="1">RANK(PlayerGameData[[#This Row],[PointTieBreak]],PlayerGameData[PointTieBreak],1)</f>
        <v>625</v>
      </c>
      <c r="AO673" s="8">
        <f ca="1">RANK(PlayerGameData[[#This Row],[REB]],PlayerGameData[REB],0)+PlayerGameData[[#This Row],[VisibleOrder]]</f>
        <v>1191</v>
      </c>
      <c r="AP673" s="8">
        <f ca="1">IF(COUNTIF(PlayerGameData[REBOrder],PlayerGameData[[#This Row],[REBOrder]])&gt;1,PlayerGameData[[#This Row],[PointRank]]/100+PlayerGameData[[#This Row],[REBOrder]],PlayerGameData[[#This Row],[REBOrder]])</f>
        <v>1197.25</v>
      </c>
      <c r="AQ673" s="8">
        <f ca="1">RANK(PlayerGameData[[#This Row],[REBTieBreak]],PlayerGameData[REBTieBreak],1)</f>
        <v>625</v>
      </c>
      <c r="AR673" s="8">
        <f ca="1">RANK(PlayerGameData[[#This Row],[AST]],PlayerGameData[AST],0)+PlayerGameData[[#This Row],[VisibleOrder]]</f>
        <v>1157</v>
      </c>
      <c r="AS673" s="8">
        <f ca="1">IF(COUNTIF(PlayerGameData[ASTOrder],PlayerGameData[[#This Row],[ASTOrder]])&gt;1,PlayerGameData[[#This Row],[PointRank]]/100+PlayerGameData[[#This Row],[ASTOrder]],PlayerGameData[[#This Row],[ASTOrder]])</f>
        <v>1163.25</v>
      </c>
      <c r="AT673" s="8">
        <f ca="1">RANK(PlayerGameData[[#This Row],[ASTTieBreak]],PlayerGameData[ASTTieBreak],1)</f>
        <v>625</v>
      </c>
      <c r="AU673" s="8">
        <f ca="1">RANK(PlayerGameData[[#This Row],[STL]],PlayerGameData[STL],0)+PlayerGameData[[#This Row],[VisibleOrder]]</f>
        <v>1142</v>
      </c>
      <c r="AV673" s="8">
        <f ca="1">IF(COUNTIF(PlayerGameData[STLOrder],PlayerGameData[[#This Row],[STLOrder]])&gt;1,PlayerGameData[[#This Row],[PointRank]]/100+PlayerGameData[[#This Row],[STLOrder]],PlayerGameData[[#This Row],[STLOrder]])</f>
        <v>1148.25</v>
      </c>
      <c r="AW673" s="8">
        <f ca="1">RANK(PlayerGameData[[#This Row],[STLTieBreak]],PlayerGameData[STLTieBreak],1)</f>
        <v>625</v>
      </c>
      <c r="AX673" s="8">
        <f ca="1">RANK(PlayerGameData[[#This Row],[BLK]],PlayerGameData[BLK],0)+PlayerGameData[[#This Row],[VisibleOrder]]</f>
        <v>1031</v>
      </c>
      <c r="AY673" s="8">
        <f ca="1">IF(COUNTIF(PlayerGameData[BLKOrder],PlayerGameData[[#This Row],[BLKOrder]])&gt;1,PlayerGameData[[#This Row],[PointRank]]/100+PlayerGameData[[#This Row],[BLKOrder]],PlayerGameData[[#This Row],[BLKOrder]])</f>
        <v>1037.25</v>
      </c>
      <c r="AZ673" s="8">
        <f ca="1">RANK(PlayerGameData[[#This Row],[BLKTieBreak]],PlayerGameData[BLKTieBreak],1)</f>
        <v>625</v>
      </c>
      <c r="BA673" s="11">
        <f ca="1">IFERROR(IF(PlayerGameData[[#This Row],[FGA]]&gt;$AA$5,PlayerGameData[[#This Row],[FG%*]],PlayerGameData[[#This Row],[FG%*]]*-1),-2)</f>
        <v>-2</v>
      </c>
      <c r="BB673" s="8">
        <f ca="1">RANK(PlayerGameData[[#This Row],[EligFG]],PlayerGameData[EligFG],0)+PlayerGameData[[#This Row],[VisibleOrder]]</f>
        <v>1214</v>
      </c>
      <c r="BC673" s="8">
        <f ca="1">IF(COUNTIF(PlayerGameData[EligFGOrder],PlayerGameData[[#This Row],[EligFGOrder]])&gt;1,PlayerGameData[[#This Row],[PointRank]]/100+PlayerGameData[[#This Row],[EligFGOrder]],PlayerGameData[[#This Row],[EligFGOrder]])</f>
        <v>1220.25</v>
      </c>
      <c r="BD673" s="8">
        <f ca="1">RANK(PlayerGameData[[#This Row],[EligFGTieBreak]],PlayerGameData[EligFGTieBreak],1)</f>
        <v>625</v>
      </c>
      <c r="BE673" s="8" t="str">
        <f>Roster!$D$3</f>
        <v>East</v>
      </c>
      <c r="BF673" s="8" t="str">
        <f>Roster!$D$2</f>
        <v>Northeast</v>
      </c>
      <c r="BG673" s="8" t="str">
        <f>Roster!$D$4</f>
        <v>North</v>
      </c>
      <c r="BH673" s="197">
        <f ca="1">IFERROR(VLOOKUP(CONCATENATE(PlayerGameData[[#This Row],[Opponent]]," ",MONTH(PlayerGameData[[#This Row],[Date]]),"/",DAY(PlayerGameData[[#This Row],[Date]]),"/",YEAR(PlayerGameData[[#This Row],[Date]])),Table35[],2,FALSE),0)</f>
        <v>0</v>
      </c>
      <c r="BI673" s="197">
        <f ca="1">IF(PlayerGameData[[#This Row],[Visible]]=1,1,1000)</f>
        <v>1000</v>
      </c>
      <c r="BJ673" s="197" t="e">
        <f ca="1">_xlfn.MAXIFS(TeamGameData[Win],TeamGameData[School, Opponent,Game'#],PlayerGameData[[#This Row],[School, Opponent,Game'#]])</f>
        <v>#NAME?</v>
      </c>
      <c r="BK673" s="197" t="e">
        <f ca="1">_xlfn.MAXIFS(TeamGameData[Loss],TeamGameData[School, Opponent,Game'#],PlayerGameData[[#This Row],[School, Opponent,Game'#]])</f>
        <v>#NAME?</v>
      </c>
    </row>
    <row r="674" spans="1:63" x14ac:dyDescent="0.25">
      <c r="A674" s="8" t="str">
        <f t="shared" ca="1" si="333"/>
        <v xml:space="preserve">, </v>
      </c>
      <c r="B674" s="8" t="str">
        <f>Roster!$B$1</f>
        <v>Upton</v>
      </c>
      <c r="C674" s="8">
        <f t="shared" ca="1" si="321"/>
        <v>0</v>
      </c>
      <c r="D674" s="10">
        <f t="shared" ca="1" si="322"/>
        <v>0</v>
      </c>
      <c r="E674" s="8">
        <f t="shared" ca="1" si="323"/>
        <v>0</v>
      </c>
      <c r="F674" s="8">
        <f t="shared" ca="1" si="324"/>
        <v>0</v>
      </c>
      <c r="G674" s="8">
        <f t="shared" ca="1" si="325"/>
        <v>0</v>
      </c>
      <c r="H674" s="8">
        <f t="shared" ca="1" si="326"/>
        <v>0</v>
      </c>
      <c r="I674" s="8">
        <f t="shared" ca="1" si="327"/>
        <v>0</v>
      </c>
      <c r="J674" s="8">
        <f t="shared" ca="1" si="328"/>
        <v>0</v>
      </c>
      <c r="K674" s="8">
        <f t="shared" ca="1" si="329"/>
        <v>0</v>
      </c>
      <c r="L674" s="8">
        <f t="shared" ca="1" si="334"/>
        <v>0</v>
      </c>
      <c r="M674" s="8">
        <f t="shared" ca="1" si="335"/>
        <v>0</v>
      </c>
      <c r="N674" s="8">
        <f t="shared" ca="1" si="336"/>
        <v>0</v>
      </c>
      <c r="O674" s="8">
        <f t="shared" ca="1" si="337"/>
        <v>0</v>
      </c>
      <c r="P674" s="8">
        <f t="shared" ca="1" si="338"/>
        <v>0</v>
      </c>
      <c r="Q674" s="8">
        <f t="shared" ca="1" si="339"/>
        <v>0</v>
      </c>
      <c r="R674" s="8">
        <f t="shared" ca="1" si="340"/>
        <v>0</v>
      </c>
      <c r="S674" s="8">
        <f t="shared" ca="1" si="341"/>
        <v>0</v>
      </c>
      <c r="T674" s="8">
        <f t="shared" ca="1" si="342"/>
        <v>0</v>
      </c>
      <c r="U674" s="8">
        <f t="shared" ca="1" si="343"/>
        <v>0</v>
      </c>
      <c r="V674" s="8">
        <f t="shared" ca="1" si="344"/>
        <v>0</v>
      </c>
      <c r="W674" s="11" t="str">
        <f t="shared" ca="1" si="345"/>
        <v/>
      </c>
      <c r="X674" s="11" t="str">
        <f t="shared" ca="1" si="346"/>
        <v/>
      </c>
      <c r="Y674" s="11" t="str">
        <f t="shared" ca="1" si="347"/>
        <v/>
      </c>
      <c r="Z674" s="11" t="str">
        <f t="shared" ca="1" si="348"/>
        <v/>
      </c>
      <c r="AA674" s="11" t="str">
        <f t="shared" ca="1" si="349"/>
        <v/>
      </c>
      <c r="AB674" s="47">
        <f ca="1">PlayerGameData[[#This Row],[3FGA]]+PlayerGameData[[#This Row],[2FGA]]</f>
        <v>0</v>
      </c>
      <c r="AC674" s="47">
        <f ca="1">PlayerGameData[[#This Row],[OFF REB]]+PlayerGameData[[#This Row],[DEF REB]]</f>
        <v>0</v>
      </c>
      <c r="AD674" s="8">
        <f t="shared" si="330"/>
        <v>28</v>
      </c>
      <c r="AE674" s="8" t="str">
        <f t="shared" ca="1" si="331"/>
        <v>,  - 0 1/0/1900</v>
      </c>
      <c r="AF674" s="8" t="str">
        <f t="shared" ca="1" si="350"/>
        <v/>
      </c>
      <c r="AG674" s="8" t="str">
        <f ca="1">IFERROR(IF(C674=0,"",IF(AND(VLOOKUP(PlayerGameData[[#This Row],[Opponent]],WYTeamInfo,2,FALSE)=Roster!$D$1,VLOOKUP(PlayerGameData[[#This Row],[Opponent]],WYTeamInfo,3,FALSE)=Roster!$D$2),"SR","")),"")</f>
        <v/>
      </c>
      <c r="AH674" s="8" t="str">
        <f>CONCATENATE(Roster!$D$1," ",Roster!$D$5)</f>
        <v>1A BB</v>
      </c>
      <c r="AI674" s="8" t="str">
        <f t="shared" ca="1" si="332"/>
        <v>Blank</v>
      </c>
      <c r="AJ674" s="8">
        <f ca="1">IFERROR(VLOOKUP(PlayerGameData[[#This Row],[School, Opponent,Game'#]],Table3[],2,FALSE),0)</f>
        <v>0</v>
      </c>
      <c r="AK674" s="8">
        <f ca="1">IF(PlayerGameData[[#This Row],[Visible]]=1,1,1000)</f>
        <v>1000</v>
      </c>
      <c r="AL674" s="8">
        <f ca="1">RANK(PlayerGameData[[#This Row],[TL PTS]],PlayerGameData[TL PTS],0)+PlayerGameData[[#This Row],[VisibleOrder]]</f>
        <v>1184</v>
      </c>
      <c r="AM674" s="8">
        <f ca="1">IF(COUNTIF(PlayerGameData[PointOrder],PlayerGameData[[#This Row],[PointOrder]])&gt;1,RANK(PlayerGameData[[#This Row],[FGA]],PlayerGameData[FGA],0)/100,0)+PlayerGameData[[#This Row],[PointOrder]]</f>
        <v>1186.1400000000001</v>
      </c>
      <c r="AN674" s="8">
        <f ca="1">RANK(PlayerGameData[[#This Row],[PointTieBreak]],PlayerGameData[PointTieBreak],1)</f>
        <v>625</v>
      </c>
      <c r="AO674" s="8">
        <f ca="1">RANK(PlayerGameData[[#This Row],[REB]],PlayerGameData[REB],0)+PlayerGameData[[#This Row],[VisibleOrder]]</f>
        <v>1191</v>
      </c>
      <c r="AP674" s="8">
        <f ca="1">IF(COUNTIF(PlayerGameData[REBOrder],PlayerGameData[[#This Row],[REBOrder]])&gt;1,PlayerGameData[[#This Row],[PointRank]]/100+PlayerGameData[[#This Row],[REBOrder]],PlayerGameData[[#This Row],[REBOrder]])</f>
        <v>1197.25</v>
      </c>
      <c r="AQ674" s="8">
        <f ca="1">RANK(PlayerGameData[[#This Row],[REBTieBreak]],PlayerGameData[REBTieBreak],1)</f>
        <v>625</v>
      </c>
      <c r="AR674" s="8">
        <f ca="1">RANK(PlayerGameData[[#This Row],[AST]],PlayerGameData[AST],0)+PlayerGameData[[#This Row],[VisibleOrder]]</f>
        <v>1157</v>
      </c>
      <c r="AS674" s="8">
        <f ca="1">IF(COUNTIF(PlayerGameData[ASTOrder],PlayerGameData[[#This Row],[ASTOrder]])&gt;1,PlayerGameData[[#This Row],[PointRank]]/100+PlayerGameData[[#This Row],[ASTOrder]],PlayerGameData[[#This Row],[ASTOrder]])</f>
        <v>1163.25</v>
      </c>
      <c r="AT674" s="8">
        <f ca="1">RANK(PlayerGameData[[#This Row],[ASTTieBreak]],PlayerGameData[ASTTieBreak],1)</f>
        <v>625</v>
      </c>
      <c r="AU674" s="8">
        <f ca="1">RANK(PlayerGameData[[#This Row],[STL]],PlayerGameData[STL],0)+PlayerGameData[[#This Row],[VisibleOrder]]</f>
        <v>1142</v>
      </c>
      <c r="AV674" s="8">
        <f ca="1">IF(COUNTIF(PlayerGameData[STLOrder],PlayerGameData[[#This Row],[STLOrder]])&gt;1,PlayerGameData[[#This Row],[PointRank]]/100+PlayerGameData[[#This Row],[STLOrder]],PlayerGameData[[#This Row],[STLOrder]])</f>
        <v>1148.25</v>
      </c>
      <c r="AW674" s="8">
        <f ca="1">RANK(PlayerGameData[[#This Row],[STLTieBreak]],PlayerGameData[STLTieBreak],1)</f>
        <v>625</v>
      </c>
      <c r="AX674" s="8">
        <f ca="1">RANK(PlayerGameData[[#This Row],[BLK]],PlayerGameData[BLK],0)+PlayerGameData[[#This Row],[VisibleOrder]]</f>
        <v>1031</v>
      </c>
      <c r="AY674" s="8">
        <f ca="1">IF(COUNTIF(PlayerGameData[BLKOrder],PlayerGameData[[#This Row],[BLKOrder]])&gt;1,PlayerGameData[[#This Row],[PointRank]]/100+PlayerGameData[[#This Row],[BLKOrder]],PlayerGameData[[#This Row],[BLKOrder]])</f>
        <v>1037.25</v>
      </c>
      <c r="AZ674" s="8">
        <f ca="1">RANK(PlayerGameData[[#This Row],[BLKTieBreak]],PlayerGameData[BLKTieBreak],1)</f>
        <v>625</v>
      </c>
      <c r="BA674" s="11">
        <f ca="1">IFERROR(IF(PlayerGameData[[#This Row],[FGA]]&gt;$AA$5,PlayerGameData[[#This Row],[FG%*]],PlayerGameData[[#This Row],[FG%*]]*-1),-2)</f>
        <v>-2</v>
      </c>
      <c r="BB674" s="8">
        <f ca="1">RANK(PlayerGameData[[#This Row],[EligFG]],PlayerGameData[EligFG],0)+PlayerGameData[[#This Row],[VisibleOrder]]</f>
        <v>1214</v>
      </c>
      <c r="BC674" s="8">
        <f ca="1">IF(COUNTIF(PlayerGameData[EligFGOrder],PlayerGameData[[#This Row],[EligFGOrder]])&gt;1,PlayerGameData[[#This Row],[PointRank]]/100+PlayerGameData[[#This Row],[EligFGOrder]],PlayerGameData[[#This Row],[EligFGOrder]])</f>
        <v>1220.25</v>
      </c>
      <c r="BD674" s="8">
        <f ca="1">RANK(PlayerGameData[[#This Row],[EligFGTieBreak]],PlayerGameData[EligFGTieBreak],1)</f>
        <v>625</v>
      </c>
      <c r="BE674" s="8" t="str">
        <f>Roster!$D$3</f>
        <v>East</v>
      </c>
      <c r="BF674" s="8" t="str">
        <f>Roster!$D$2</f>
        <v>Northeast</v>
      </c>
      <c r="BG674" s="8" t="str">
        <f>Roster!$D$4</f>
        <v>North</v>
      </c>
      <c r="BH674" s="197">
        <f ca="1">IFERROR(VLOOKUP(CONCATENATE(PlayerGameData[[#This Row],[Opponent]]," ",MONTH(PlayerGameData[[#This Row],[Date]]),"/",DAY(PlayerGameData[[#This Row],[Date]]),"/",YEAR(PlayerGameData[[#This Row],[Date]])),Table35[],2,FALSE),0)</f>
        <v>0</v>
      </c>
      <c r="BI674" s="197">
        <f ca="1">IF(PlayerGameData[[#This Row],[Visible]]=1,1,1000)</f>
        <v>1000</v>
      </c>
      <c r="BJ674" s="197" t="e">
        <f ca="1">_xlfn.MAXIFS(TeamGameData[Win],TeamGameData[School, Opponent,Game'#],PlayerGameData[[#This Row],[School, Opponent,Game'#]])</f>
        <v>#NAME?</v>
      </c>
      <c r="BK674" s="197" t="e">
        <f ca="1">_xlfn.MAXIFS(TeamGameData[Loss],TeamGameData[School, Opponent,Game'#],PlayerGameData[[#This Row],[School, Opponent,Game'#]])</f>
        <v>#NAME?</v>
      </c>
    </row>
    <row r="675" spans="1:63" x14ac:dyDescent="0.25">
      <c r="A675" s="8" t="str">
        <f t="shared" ca="1" si="333"/>
        <v xml:space="preserve">, </v>
      </c>
      <c r="B675" s="8" t="str">
        <f>Roster!$B$1</f>
        <v>Upton</v>
      </c>
      <c r="C675" s="8">
        <f t="shared" ca="1" si="321"/>
        <v>0</v>
      </c>
      <c r="D675" s="10">
        <f t="shared" ca="1" si="322"/>
        <v>0</v>
      </c>
      <c r="E675" s="8">
        <f t="shared" ca="1" si="323"/>
        <v>0</v>
      </c>
      <c r="F675" s="8">
        <f t="shared" ca="1" si="324"/>
        <v>0</v>
      </c>
      <c r="G675" s="8">
        <f t="shared" ca="1" si="325"/>
        <v>0</v>
      </c>
      <c r="H675" s="8">
        <f t="shared" ca="1" si="326"/>
        <v>0</v>
      </c>
      <c r="I675" s="8">
        <f t="shared" ca="1" si="327"/>
        <v>0</v>
      </c>
      <c r="J675" s="8">
        <f t="shared" ca="1" si="328"/>
        <v>0</v>
      </c>
      <c r="K675" s="8">
        <f t="shared" ca="1" si="329"/>
        <v>0</v>
      </c>
      <c r="L675" s="8">
        <f t="shared" ca="1" si="334"/>
        <v>0</v>
      </c>
      <c r="M675" s="8">
        <f t="shared" ca="1" si="335"/>
        <v>0</v>
      </c>
      <c r="N675" s="8">
        <f t="shared" ca="1" si="336"/>
        <v>0</v>
      </c>
      <c r="O675" s="8">
        <f t="shared" ca="1" si="337"/>
        <v>0</v>
      </c>
      <c r="P675" s="8">
        <f t="shared" ca="1" si="338"/>
        <v>0</v>
      </c>
      <c r="Q675" s="8">
        <f t="shared" ca="1" si="339"/>
        <v>0</v>
      </c>
      <c r="R675" s="8">
        <f t="shared" ca="1" si="340"/>
        <v>0</v>
      </c>
      <c r="S675" s="8">
        <f t="shared" ca="1" si="341"/>
        <v>0</v>
      </c>
      <c r="T675" s="8">
        <f t="shared" ca="1" si="342"/>
        <v>0</v>
      </c>
      <c r="U675" s="8">
        <f t="shared" ca="1" si="343"/>
        <v>0</v>
      </c>
      <c r="V675" s="8">
        <f t="shared" ca="1" si="344"/>
        <v>0</v>
      </c>
      <c r="W675" s="11" t="str">
        <f t="shared" ca="1" si="345"/>
        <v/>
      </c>
      <c r="X675" s="11" t="str">
        <f t="shared" ca="1" si="346"/>
        <v/>
      </c>
      <c r="Y675" s="11" t="str">
        <f t="shared" ca="1" si="347"/>
        <v/>
      </c>
      <c r="Z675" s="11" t="str">
        <f t="shared" ca="1" si="348"/>
        <v/>
      </c>
      <c r="AA675" s="11" t="str">
        <f t="shared" ca="1" si="349"/>
        <v/>
      </c>
      <c r="AB675" s="47">
        <f ca="1">PlayerGameData[[#This Row],[3FGA]]+PlayerGameData[[#This Row],[2FGA]]</f>
        <v>0</v>
      </c>
      <c r="AC675" s="47">
        <f ca="1">PlayerGameData[[#This Row],[OFF REB]]+PlayerGameData[[#This Row],[DEF REB]]</f>
        <v>0</v>
      </c>
      <c r="AD675" s="8">
        <f t="shared" si="330"/>
        <v>28</v>
      </c>
      <c r="AE675" s="8" t="str">
        <f t="shared" ca="1" si="331"/>
        <v>,  - 0 1/0/1900</v>
      </c>
      <c r="AF675" s="8" t="str">
        <f t="shared" ca="1" si="350"/>
        <v/>
      </c>
      <c r="AG675" s="8" t="str">
        <f ca="1">IFERROR(IF(C675=0,"",IF(AND(VLOOKUP(PlayerGameData[[#This Row],[Opponent]],WYTeamInfo,2,FALSE)=Roster!$D$1,VLOOKUP(PlayerGameData[[#This Row],[Opponent]],WYTeamInfo,3,FALSE)=Roster!$D$2),"SR","")),"")</f>
        <v/>
      </c>
      <c r="AH675" s="8" t="str">
        <f>CONCATENATE(Roster!$D$1," ",Roster!$D$5)</f>
        <v>1A BB</v>
      </c>
      <c r="AI675" s="8" t="str">
        <f t="shared" ca="1" si="332"/>
        <v>Blank</v>
      </c>
      <c r="AJ675" s="8">
        <f ca="1">IFERROR(VLOOKUP(PlayerGameData[[#This Row],[School, Opponent,Game'#]],Table3[],2,FALSE),0)</f>
        <v>0</v>
      </c>
      <c r="AK675" s="8">
        <f ca="1">IF(PlayerGameData[[#This Row],[Visible]]=1,1,1000)</f>
        <v>1000</v>
      </c>
      <c r="AL675" s="8">
        <f ca="1">RANK(PlayerGameData[[#This Row],[TL PTS]],PlayerGameData[TL PTS],0)+PlayerGameData[[#This Row],[VisibleOrder]]</f>
        <v>1184</v>
      </c>
      <c r="AM675" s="8">
        <f ca="1">IF(COUNTIF(PlayerGameData[PointOrder],PlayerGameData[[#This Row],[PointOrder]])&gt;1,RANK(PlayerGameData[[#This Row],[FGA]],PlayerGameData[FGA],0)/100,0)+PlayerGameData[[#This Row],[PointOrder]]</f>
        <v>1186.1400000000001</v>
      </c>
      <c r="AN675" s="8">
        <f ca="1">RANK(PlayerGameData[[#This Row],[PointTieBreak]],PlayerGameData[PointTieBreak],1)</f>
        <v>625</v>
      </c>
      <c r="AO675" s="8">
        <f ca="1">RANK(PlayerGameData[[#This Row],[REB]],PlayerGameData[REB],0)+PlayerGameData[[#This Row],[VisibleOrder]]</f>
        <v>1191</v>
      </c>
      <c r="AP675" s="8">
        <f ca="1">IF(COUNTIF(PlayerGameData[REBOrder],PlayerGameData[[#This Row],[REBOrder]])&gt;1,PlayerGameData[[#This Row],[PointRank]]/100+PlayerGameData[[#This Row],[REBOrder]],PlayerGameData[[#This Row],[REBOrder]])</f>
        <v>1197.25</v>
      </c>
      <c r="AQ675" s="8">
        <f ca="1">RANK(PlayerGameData[[#This Row],[REBTieBreak]],PlayerGameData[REBTieBreak],1)</f>
        <v>625</v>
      </c>
      <c r="AR675" s="8">
        <f ca="1">RANK(PlayerGameData[[#This Row],[AST]],PlayerGameData[AST],0)+PlayerGameData[[#This Row],[VisibleOrder]]</f>
        <v>1157</v>
      </c>
      <c r="AS675" s="8">
        <f ca="1">IF(COUNTIF(PlayerGameData[ASTOrder],PlayerGameData[[#This Row],[ASTOrder]])&gt;1,PlayerGameData[[#This Row],[PointRank]]/100+PlayerGameData[[#This Row],[ASTOrder]],PlayerGameData[[#This Row],[ASTOrder]])</f>
        <v>1163.25</v>
      </c>
      <c r="AT675" s="8">
        <f ca="1">RANK(PlayerGameData[[#This Row],[ASTTieBreak]],PlayerGameData[ASTTieBreak],1)</f>
        <v>625</v>
      </c>
      <c r="AU675" s="8">
        <f ca="1">RANK(PlayerGameData[[#This Row],[STL]],PlayerGameData[STL],0)+PlayerGameData[[#This Row],[VisibleOrder]]</f>
        <v>1142</v>
      </c>
      <c r="AV675" s="8">
        <f ca="1">IF(COUNTIF(PlayerGameData[STLOrder],PlayerGameData[[#This Row],[STLOrder]])&gt;1,PlayerGameData[[#This Row],[PointRank]]/100+PlayerGameData[[#This Row],[STLOrder]],PlayerGameData[[#This Row],[STLOrder]])</f>
        <v>1148.25</v>
      </c>
      <c r="AW675" s="8">
        <f ca="1">RANK(PlayerGameData[[#This Row],[STLTieBreak]],PlayerGameData[STLTieBreak],1)</f>
        <v>625</v>
      </c>
      <c r="AX675" s="8">
        <f ca="1">RANK(PlayerGameData[[#This Row],[BLK]],PlayerGameData[BLK],0)+PlayerGameData[[#This Row],[VisibleOrder]]</f>
        <v>1031</v>
      </c>
      <c r="AY675" s="8">
        <f ca="1">IF(COUNTIF(PlayerGameData[BLKOrder],PlayerGameData[[#This Row],[BLKOrder]])&gt;1,PlayerGameData[[#This Row],[PointRank]]/100+PlayerGameData[[#This Row],[BLKOrder]],PlayerGameData[[#This Row],[BLKOrder]])</f>
        <v>1037.25</v>
      </c>
      <c r="AZ675" s="8">
        <f ca="1">RANK(PlayerGameData[[#This Row],[BLKTieBreak]],PlayerGameData[BLKTieBreak],1)</f>
        <v>625</v>
      </c>
      <c r="BA675" s="11">
        <f ca="1">IFERROR(IF(PlayerGameData[[#This Row],[FGA]]&gt;$AA$5,PlayerGameData[[#This Row],[FG%*]],PlayerGameData[[#This Row],[FG%*]]*-1),-2)</f>
        <v>-2</v>
      </c>
      <c r="BB675" s="8">
        <f ca="1">RANK(PlayerGameData[[#This Row],[EligFG]],PlayerGameData[EligFG],0)+PlayerGameData[[#This Row],[VisibleOrder]]</f>
        <v>1214</v>
      </c>
      <c r="BC675" s="8">
        <f ca="1">IF(COUNTIF(PlayerGameData[EligFGOrder],PlayerGameData[[#This Row],[EligFGOrder]])&gt;1,PlayerGameData[[#This Row],[PointRank]]/100+PlayerGameData[[#This Row],[EligFGOrder]],PlayerGameData[[#This Row],[EligFGOrder]])</f>
        <v>1220.25</v>
      </c>
      <c r="BD675" s="8">
        <f ca="1">RANK(PlayerGameData[[#This Row],[EligFGTieBreak]],PlayerGameData[EligFGTieBreak],1)</f>
        <v>625</v>
      </c>
      <c r="BE675" s="8" t="str">
        <f>Roster!$D$3</f>
        <v>East</v>
      </c>
      <c r="BF675" s="8" t="str">
        <f>Roster!$D$2</f>
        <v>Northeast</v>
      </c>
      <c r="BG675" s="8" t="str">
        <f>Roster!$D$4</f>
        <v>North</v>
      </c>
      <c r="BH675" s="197">
        <f ca="1">IFERROR(VLOOKUP(CONCATENATE(PlayerGameData[[#This Row],[Opponent]]," ",MONTH(PlayerGameData[[#This Row],[Date]]),"/",DAY(PlayerGameData[[#This Row],[Date]]),"/",YEAR(PlayerGameData[[#This Row],[Date]])),Table35[],2,FALSE),0)</f>
        <v>0</v>
      </c>
      <c r="BI675" s="197">
        <f ca="1">IF(PlayerGameData[[#This Row],[Visible]]=1,1,1000)</f>
        <v>1000</v>
      </c>
      <c r="BJ675" s="197" t="e">
        <f ca="1">_xlfn.MAXIFS(TeamGameData[Win],TeamGameData[School, Opponent,Game'#],PlayerGameData[[#This Row],[School, Opponent,Game'#]])</f>
        <v>#NAME?</v>
      </c>
      <c r="BK675" s="197" t="e">
        <f ca="1">_xlfn.MAXIFS(TeamGameData[Loss],TeamGameData[School, Opponent,Game'#],PlayerGameData[[#This Row],[School, Opponent,Game'#]])</f>
        <v>#NAME?</v>
      </c>
    </row>
    <row r="676" spans="1:63" x14ac:dyDescent="0.25">
      <c r="A676" s="8" t="str">
        <f t="shared" ca="1" si="333"/>
        <v xml:space="preserve">, </v>
      </c>
      <c r="B676" s="8" t="str">
        <f>Roster!$B$1</f>
        <v>Upton</v>
      </c>
      <c r="C676" s="8">
        <f t="shared" ca="1" si="321"/>
        <v>0</v>
      </c>
      <c r="D676" s="10">
        <f t="shared" ca="1" si="322"/>
        <v>0</v>
      </c>
      <c r="E676" s="8">
        <f t="shared" ca="1" si="323"/>
        <v>0</v>
      </c>
      <c r="F676" s="8">
        <f t="shared" ca="1" si="324"/>
        <v>0</v>
      </c>
      <c r="G676" s="8">
        <f t="shared" ca="1" si="325"/>
        <v>0</v>
      </c>
      <c r="H676" s="8">
        <f t="shared" ca="1" si="326"/>
        <v>0</v>
      </c>
      <c r="I676" s="8">
        <f t="shared" ca="1" si="327"/>
        <v>0</v>
      </c>
      <c r="J676" s="8">
        <f t="shared" ca="1" si="328"/>
        <v>0</v>
      </c>
      <c r="K676" s="8">
        <f t="shared" ca="1" si="329"/>
        <v>0</v>
      </c>
      <c r="L676" s="8">
        <f t="shared" ca="1" si="334"/>
        <v>0</v>
      </c>
      <c r="M676" s="8">
        <f t="shared" ca="1" si="335"/>
        <v>0</v>
      </c>
      <c r="N676" s="8">
        <f t="shared" ca="1" si="336"/>
        <v>0</v>
      </c>
      <c r="O676" s="8">
        <f t="shared" ca="1" si="337"/>
        <v>0</v>
      </c>
      <c r="P676" s="8">
        <f t="shared" ca="1" si="338"/>
        <v>0</v>
      </c>
      <c r="Q676" s="8">
        <f t="shared" ca="1" si="339"/>
        <v>0</v>
      </c>
      <c r="R676" s="8">
        <f t="shared" ca="1" si="340"/>
        <v>0</v>
      </c>
      <c r="S676" s="8">
        <f t="shared" ca="1" si="341"/>
        <v>0</v>
      </c>
      <c r="T676" s="8">
        <f t="shared" ca="1" si="342"/>
        <v>0</v>
      </c>
      <c r="U676" s="8">
        <f t="shared" ca="1" si="343"/>
        <v>0</v>
      </c>
      <c r="V676" s="8">
        <f t="shared" ca="1" si="344"/>
        <v>0</v>
      </c>
      <c r="W676" s="11" t="str">
        <f t="shared" ca="1" si="345"/>
        <v/>
      </c>
      <c r="X676" s="11" t="str">
        <f t="shared" ca="1" si="346"/>
        <v/>
      </c>
      <c r="Y676" s="11" t="str">
        <f t="shared" ca="1" si="347"/>
        <v/>
      </c>
      <c r="Z676" s="11" t="str">
        <f t="shared" ca="1" si="348"/>
        <v/>
      </c>
      <c r="AA676" s="11" t="str">
        <f t="shared" ca="1" si="349"/>
        <v/>
      </c>
      <c r="AB676" s="47">
        <f ca="1">PlayerGameData[[#This Row],[3FGA]]+PlayerGameData[[#This Row],[2FGA]]</f>
        <v>0</v>
      </c>
      <c r="AC676" s="47">
        <f ca="1">PlayerGameData[[#This Row],[OFF REB]]+PlayerGameData[[#This Row],[DEF REB]]</f>
        <v>0</v>
      </c>
      <c r="AD676" s="8">
        <f t="shared" si="330"/>
        <v>28</v>
      </c>
      <c r="AE676" s="8" t="str">
        <f t="shared" ca="1" si="331"/>
        <v>,  - 0 1/0/1900</v>
      </c>
      <c r="AF676" s="8" t="str">
        <f t="shared" ca="1" si="350"/>
        <v/>
      </c>
      <c r="AG676" s="8" t="str">
        <f ca="1">IFERROR(IF(C676=0,"",IF(AND(VLOOKUP(PlayerGameData[[#This Row],[Opponent]],WYTeamInfo,2,FALSE)=Roster!$D$1,VLOOKUP(PlayerGameData[[#This Row],[Opponent]],WYTeamInfo,3,FALSE)=Roster!$D$2),"SR","")),"")</f>
        <v/>
      </c>
      <c r="AH676" s="8" t="str">
        <f>CONCATENATE(Roster!$D$1," ",Roster!$D$5)</f>
        <v>1A BB</v>
      </c>
      <c r="AI676" s="8" t="str">
        <f t="shared" ca="1" si="332"/>
        <v>Blank</v>
      </c>
      <c r="AJ676" s="8">
        <f ca="1">IFERROR(VLOOKUP(PlayerGameData[[#This Row],[School, Opponent,Game'#]],Table3[],2,FALSE),0)</f>
        <v>0</v>
      </c>
      <c r="AK676" s="8">
        <f ca="1">IF(PlayerGameData[[#This Row],[Visible]]=1,1,1000)</f>
        <v>1000</v>
      </c>
      <c r="AL676" s="8">
        <f ca="1">RANK(PlayerGameData[[#This Row],[TL PTS]],PlayerGameData[TL PTS],0)+PlayerGameData[[#This Row],[VisibleOrder]]</f>
        <v>1184</v>
      </c>
      <c r="AM676" s="8">
        <f ca="1">IF(COUNTIF(PlayerGameData[PointOrder],PlayerGameData[[#This Row],[PointOrder]])&gt;1,RANK(PlayerGameData[[#This Row],[FGA]],PlayerGameData[FGA],0)/100,0)+PlayerGameData[[#This Row],[PointOrder]]</f>
        <v>1186.1400000000001</v>
      </c>
      <c r="AN676" s="8">
        <f ca="1">RANK(PlayerGameData[[#This Row],[PointTieBreak]],PlayerGameData[PointTieBreak],1)</f>
        <v>625</v>
      </c>
      <c r="AO676" s="8">
        <f ca="1">RANK(PlayerGameData[[#This Row],[REB]],PlayerGameData[REB],0)+PlayerGameData[[#This Row],[VisibleOrder]]</f>
        <v>1191</v>
      </c>
      <c r="AP676" s="8">
        <f ca="1">IF(COUNTIF(PlayerGameData[REBOrder],PlayerGameData[[#This Row],[REBOrder]])&gt;1,PlayerGameData[[#This Row],[PointRank]]/100+PlayerGameData[[#This Row],[REBOrder]],PlayerGameData[[#This Row],[REBOrder]])</f>
        <v>1197.25</v>
      </c>
      <c r="AQ676" s="8">
        <f ca="1">RANK(PlayerGameData[[#This Row],[REBTieBreak]],PlayerGameData[REBTieBreak],1)</f>
        <v>625</v>
      </c>
      <c r="AR676" s="8">
        <f ca="1">RANK(PlayerGameData[[#This Row],[AST]],PlayerGameData[AST],0)+PlayerGameData[[#This Row],[VisibleOrder]]</f>
        <v>1157</v>
      </c>
      <c r="AS676" s="8">
        <f ca="1">IF(COUNTIF(PlayerGameData[ASTOrder],PlayerGameData[[#This Row],[ASTOrder]])&gt;1,PlayerGameData[[#This Row],[PointRank]]/100+PlayerGameData[[#This Row],[ASTOrder]],PlayerGameData[[#This Row],[ASTOrder]])</f>
        <v>1163.25</v>
      </c>
      <c r="AT676" s="8">
        <f ca="1">RANK(PlayerGameData[[#This Row],[ASTTieBreak]],PlayerGameData[ASTTieBreak],1)</f>
        <v>625</v>
      </c>
      <c r="AU676" s="8">
        <f ca="1">RANK(PlayerGameData[[#This Row],[STL]],PlayerGameData[STL],0)+PlayerGameData[[#This Row],[VisibleOrder]]</f>
        <v>1142</v>
      </c>
      <c r="AV676" s="8">
        <f ca="1">IF(COUNTIF(PlayerGameData[STLOrder],PlayerGameData[[#This Row],[STLOrder]])&gt;1,PlayerGameData[[#This Row],[PointRank]]/100+PlayerGameData[[#This Row],[STLOrder]],PlayerGameData[[#This Row],[STLOrder]])</f>
        <v>1148.25</v>
      </c>
      <c r="AW676" s="8">
        <f ca="1">RANK(PlayerGameData[[#This Row],[STLTieBreak]],PlayerGameData[STLTieBreak],1)</f>
        <v>625</v>
      </c>
      <c r="AX676" s="8">
        <f ca="1">RANK(PlayerGameData[[#This Row],[BLK]],PlayerGameData[BLK],0)+PlayerGameData[[#This Row],[VisibleOrder]]</f>
        <v>1031</v>
      </c>
      <c r="AY676" s="8">
        <f ca="1">IF(COUNTIF(PlayerGameData[BLKOrder],PlayerGameData[[#This Row],[BLKOrder]])&gt;1,PlayerGameData[[#This Row],[PointRank]]/100+PlayerGameData[[#This Row],[BLKOrder]],PlayerGameData[[#This Row],[BLKOrder]])</f>
        <v>1037.25</v>
      </c>
      <c r="AZ676" s="8">
        <f ca="1">RANK(PlayerGameData[[#This Row],[BLKTieBreak]],PlayerGameData[BLKTieBreak],1)</f>
        <v>625</v>
      </c>
      <c r="BA676" s="11">
        <f ca="1">IFERROR(IF(PlayerGameData[[#This Row],[FGA]]&gt;$AA$5,PlayerGameData[[#This Row],[FG%*]],PlayerGameData[[#This Row],[FG%*]]*-1),-2)</f>
        <v>-2</v>
      </c>
      <c r="BB676" s="8">
        <f ca="1">RANK(PlayerGameData[[#This Row],[EligFG]],PlayerGameData[EligFG],0)+PlayerGameData[[#This Row],[VisibleOrder]]</f>
        <v>1214</v>
      </c>
      <c r="BC676" s="8">
        <f ca="1">IF(COUNTIF(PlayerGameData[EligFGOrder],PlayerGameData[[#This Row],[EligFGOrder]])&gt;1,PlayerGameData[[#This Row],[PointRank]]/100+PlayerGameData[[#This Row],[EligFGOrder]],PlayerGameData[[#This Row],[EligFGOrder]])</f>
        <v>1220.25</v>
      </c>
      <c r="BD676" s="8">
        <f ca="1">RANK(PlayerGameData[[#This Row],[EligFGTieBreak]],PlayerGameData[EligFGTieBreak],1)</f>
        <v>625</v>
      </c>
      <c r="BE676" s="8" t="str">
        <f>Roster!$D$3</f>
        <v>East</v>
      </c>
      <c r="BF676" s="8" t="str">
        <f>Roster!$D$2</f>
        <v>Northeast</v>
      </c>
      <c r="BG676" s="8" t="str">
        <f>Roster!$D$4</f>
        <v>North</v>
      </c>
      <c r="BH676" s="197">
        <f ca="1">IFERROR(VLOOKUP(CONCATENATE(PlayerGameData[[#This Row],[Opponent]]," ",MONTH(PlayerGameData[[#This Row],[Date]]),"/",DAY(PlayerGameData[[#This Row],[Date]]),"/",YEAR(PlayerGameData[[#This Row],[Date]])),Table35[],2,FALSE),0)</f>
        <v>0</v>
      </c>
      <c r="BI676" s="197">
        <f ca="1">IF(PlayerGameData[[#This Row],[Visible]]=1,1,1000)</f>
        <v>1000</v>
      </c>
      <c r="BJ676" s="197" t="e">
        <f ca="1">_xlfn.MAXIFS(TeamGameData[Win],TeamGameData[School, Opponent,Game'#],PlayerGameData[[#This Row],[School, Opponent,Game'#]])</f>
        <v>#NAME?</v>
      </c>
      <c r="BK676" s="197" t="e">
        <f ca="1">_xlfn.MAXIFS(TeamGameData[Loss],TeamGameData[School, Opponent,Game'#],PlayerGameData[[#This Row],[School, Opponent,Game'#]])</f>
        <v>#NAME?</v>
      </c>
    </row>
    <row r="677" spans="1:63" x14ac:dyDescent="0.25">
      <c r="A677" s="8" t="str">
        <f t="shared" ca="1" si="333"/>
        <v xml:space="preserve">, </v>
      </c>
      <c r="B677" s="8" t="str">
        <f>Roster!$B$1</f>
        <v>Upton</v>
      </c>
      <c r="C677" s="8">
        <f t="shared" ca="1" si="321"/>
        <v>0</v>
      </c>
      <c r="D677" s="10">
        <f t="shared" ca="1" si="322"/>
        <v>0</v>
      </c>
      <c r="E677" s="8">
        <f t="shared" ca="1" si="323"/>
        <v>0</v>
      </c>
      <c r="F677" s="8">
        <f t="shared" ca="1" si="324"/>
        <v>0</v>
      </c>
      <c r="G677" s="8">
        <f t="shared" ca="1" si="325"/>
        <v>0</v>
      </c>
      <c r="H677" s="8">
        <f t="shared" ca="1" si="326"/>
        <v>0</v>
      </c>
      <c r="I677" s="8">
        <f t="shared" ca="1" si="327"/>
        <v>0</v>
      </c>
      <c r="J677" s="8">
        <f t="shared" ca="1" si="328"/>
        <v>0</v>
      </c>
      <c r="K677" s="8">
        <f t="shared" ca="1" si="329"/>
        <v>0</v>
      </c>
      <c r="L677" s="8">
        <f t="shared" ca="1" si="334"/>
        <v>0</v>
      </c>
      <c r="M677" s="8">
        <f t="shared" ca="1" si="335"/>
        <v>0</v>
      </c>
      <c r="N677" s="8">
        <f t="shared" ca="1" si="336"/>
        <v>0</v>
      </c>
      <c r="O677" s="8">
        <f t="shared" ca="1" si="337"/>
        <v>0</v>
      </c>
      <c r="P677" s="8">
        <f t="shared" ca="1" si="338"/>
        <v>0</v>
      </c>
      <c r="Q677" s="8">
        <f t="shared" ca="1" si="339"/>
        <v>0</v>
      </c>
      <c r="R677" s="8">
        <f t="shared" ca="1" si="340"/>
        <v>0</v>
      </c>
      <c r="S677" s="8">
        <f t="shared" ca="1" si="341"/>
        <v>0</v>
      </c>
      <c r="T677" s="8">
        <f t="shared" ca="1" si="342"/>
        <v>0</v>
      </c>
      <c r="U677" s="8">
        <f t="shared" ca="1" si="343"/>
        <v>0</v>
      </c>
      <c r="V677" s="8">
        <f t="shared" ca="1" si="344"/>
        <v>0</v>
      </c>
      <c r="W677" s="11" t="str">
        <f t="shared" ca="1" si="345"/>
        <v/>
      </c>
      <c r="X677" s="11" t="str">
        <f t="shared" ca="1" si="346"/>
        <v/>
      </c>
      <c r="Y677" s="11" t="str">
        <f t="shared" ca="1" si="347"/>
        <v/>
      </c>
      <c r="Z677" s="11" t="str">
        <f t="shared" ca="1" si="348"/>
        <v/>
      </c>
      <c r="AA677" s="11" t="str">
        <f t="shared" ca="1" si="349"/>
        <v/>
      </c>
      <c r="AB677" s="47">
        <f ca="1">PlayerGameData[[#This Row],[3FGA]]+PlayerGameData[[#This Row],[2FGA]]</f>
        <v>0</v>
      </c>
      <c r="AC677" s="47">
        <f ca="1">PlayerGameData[[#This Row],[OFF REB]]+PlayerGameData[[#This Row],[DEF REB]]</f>
        <v>0</v>
      </c>
      <c r="AD677" s="8">
        <f t="shared" si="330"/>
        <v>28</v>
      </c>
      <c r="AE677" s="8" t="str">
        <f t="shared" ca="1" si="331"/>
        <v>,  - 0 1/0/1900</v>
      </c>
      <c r="AF677" s="8" t="str">
        <f t="shared" ca="1" si="350"/>
        <v/>
      </c>
      <c r="AG677" s="8" t="str">
        <f ca="1">IFERROR(IF(C677=0,"",IF(AND(VLOOKUP(PlayerGameData[[#This Row],[Opponent]],WYTeamInfo,2,FALSE)=Roster!$D$1,VLOOKUP(PlayerGameData[[#This Row],[Opponent]],WYTeamInfo,3,FALSE)=Roster!$D$2),"SR","")),"")</f>
        <v/>
      </c>
      <c r="AH677" s="8" t="str">
        <f>CONCATENATE(Roster!$D$1," ",Roster!$D$5)</f>
        <v>1A BB</v>
      </c>
      <c r="AI677" s="8" t="str">
        <f t="shared" ca="1" si="332"/>
        <v>Blank</v>
      </c>
      <c r="AJ677" s="8">
        <f ca="1">IFERROR(VLOOKUP(PlayerGameData[[#This Row],[School, Opponent,Game'#]],Table3[],2,FALSE),0)</f>
        <v>0</v>
      </c>
      <c r="AK677" s="8">
        <f ca="1">IF(PlayerGameData[[#This Row],[Visible]]=1,1,1000)</f>
        <v>1000</v>
      </c>
      <c r="AL677" s="8">
        <f ca="1">RANK(PlayerGameData[[#This Row],[TL PTS]],PlayerGameData[TL PTS],0)+PlayerGameData[[#This Row],[VisibleOrder]]</f>
        <v>1184</v>
      </c>
      <c r="AM677" s="8">
        <f ca="1">IF(COUNTIF(PlayerGameData[PointOrder],PlayerGameData[[#This Row],[PointOrder]])&gt;1,RANK(PlayerGameData[[#This Row],[FGA]],PlayerGameData[FGA],0)/100,0)+PlayerGameData[[#This Row],[PointOrder]]</f>
        <v>1186.1400000000001</v>
      </c>
      <c r="AN677" s="8">
        <f ca="1">RANK(PlayerGameData[[#This Row],[PointTieBreak]],PlayerGameData[PointTieBreak],1)</f>
        <v>625</v>
      </c>
      <c r="AO677" s="8">
        <f ca="1">RANK(PlayerGameData[[#This Row],[REB]],PlayerGameData[REB],0)+PlayerGameData[[#This Row],[VisibleOrder]]</f>
        <v>1191</v>
      </c>
      <c r="AP677" s="8">
        <f ca="1">IF(COUNTIF(PlayerGameData[REBOrder],PlayerGameData[[#This Row],[REBOrder]])&gt;1,PlayerGameData[[#This Row],[PointRank]]/100+PlayerGameData[[#This Row],[REBOrder]],PlayerGameData[[#This Row],[REBOrder]])</f>
        <v>1197.25</v>
      </c>
      <c r="AQ677" s="8">
        <f ca="1">RANK(PlayerGameData[[#This Row],[REBTieBreak]],PlayerGameData[REBTieBreak],1)</f>
        <v>625</v>
      </c>
      <c r="AR677" s="8">
        <f ca="1">RANK(PlayerGameData[[#This Row],[AST]],PlayerGameData[AST],0)+PlayerGameData[[#This Row],[VisibleOrder]]</f>
        <v>1157</v>
      </c>
      <c r="AS677" s="8">
        <f ca="1">IF(COUNTIF(PlayerGameData[ASTOrder],PlayerGameData[[#This Row],[ASTOrder]])&gt;1,PlayerGameData[[#This Row],[PointRank]]/100+PlayerGameData[[#This Row],[ASTOrder]],PlayerGameData[[#This Row],[ASTOrder]])</f>
        <v>1163.25</v>
      </c>
      <c r="AT677" s="8">
        <f ca="1">RANK(PlayerGameData[[#This Row],[ASTTieBreak]],PlayerGameData[ASTTieBreak],1)</f>
        <v>625</v>
      </c>
      <c r="AU677" s="8">
        <f ca="1">RANK(PlayerGameData[[#This Row],[STL]],PlayerGameData[STL],0)+PlayerGameData[[#This Row],[VisibleOrder]]</f>
        <v>1142</v>
      </c>
      <c r="AV677" s="8">
        <f ca="1">IF(COUNTIF(PlayerGameData[STLOrder],PlayerGameData[[#This Row],[STLOrder]])&gt;1,PlayerGameData[[#This Row],[PointRank]]/100+PlayerGameData[[#This Row],[STLOrder]],PlayerGameData[[#This Row],[STLOrder]])</f>
        <v>1148.25</v>
      </c>
      <c r="AW677" s="8">
        <f ca="1">RANK(PlayerGameData[[#This Row],[STLTieBreak]],PlayerGameData[STLTieBreak],1)</f>
        <v>625</v>
      </c>
      <c r="AX677" s="8">
        <f ca="1">RANK(PlayerGameData[[#This Row],[BLK]],PlayerGameData[BLK],0)+PlayerGameData[[#This Row],[VisibleOrder]]</f>
        <v>1031</v>
      </c>
      <c r="AY677" s="8">
        <f ca="1">IF(COUNTIF(PlayerGameData[BLKOrder],PlayerGameData[[#This Row],[BLKOrder]])&gt;1,PlayerGameData[[#This Row],[PointRank]]/100+PlayerGameData[[#This Row],[BLKOrder]],PlayerGameData[[#This Row],[BLKOrder]])</f>
        <v>1037.25</v>
      </c>
      <c r="AZ677" s="8">
        <f ca="1">RANK(PlayerGameData[[#This Row],[BLKTieBreak]],PlayerGameData[BLKTieBreak],1)</f>
        <v>625</v>
      </c>
      <c r="BA677" s="11">
        <f ca="1">IFERROR(IF(PlayerGameData[[#This Row],[FGA]]&gt;$AA$5,PlayerGameData[[#This Row],[FG%*]],PlayerGameData[[#This Row],[FG%*]]*-1),-2)</f>
        <v>-2</v>
      </c>
      <c r="BB677" s="8">
        <f ca="1">RANK(PlayerGameData[[#This Row],[EligFG]],PlayerGameData[EligFG],0)+PlayerGameData[[#This Row],[VisibleOrder]]</f>
        <v>1214</v>
      </c>
      <c r="BC677" s="8">
        <f ca="1">IF(COUNTIF(PlayerGameData[EligFGOrder],PlayerGameData[[#This Row],[EligFGOrder]])&gt;1,PlayerGameData[[#This Row],[PointRank]]/100+PlayerGameData[[#This Row],[EligFGOrder]],PlayerGameData[[#This Row],[EligFGOrder]])</f>
        <v>1220.25</v>
      </c>
      <c r="BD677" s="8">
        <f ca="1">RANK(PlayerGameData[[#This Row],[EligFGTieBreak]],PlayerGameData[EligFGTieBreak],1)</f>
        <v>625</v>
      </c>
      <c r="BE677" s="8" t="str">
        <f>Roster!$D$3</f>
        <v>East</v>
      </c>
      <c r="BF677" s="8" t="str">
        <f>Roster!$D$2</f>
        <v>Northeast</v>
      </c>
      <c r="BG677" s="8" t="str">
        <f>Roster!$D$4</f>
        <v>North</v>
      </c>
      <c r="BH677" s="197">
        <f ca="1">IFERROR(VLOOKUP(CONCATENATE(PlayerGameData[[#This Row],[Opponent]]," ",MONTH(PlayerGameData[[#This Row],[Date]]),"/",DAY(PlayerGameData[[#This Row],[Date]]),"/",YEAR(PlayerGameData[[#This Row],[Date]])),Table35[],2,FALSE),0)</f>
        <v>0</v>
      </c>
      <c r="BI677" s="197">
        <f ca="1">IF(PlayerGameData[[#This Row],[Visible]]=1,1,1000)</f>
        <v>1000</v>
      </c>
      <c r="BJ677" s="197" t="e">
        <f ca="1">_xlfn.MAXIFS(TeamGameData[Win],TeamGameData[School, Opponent,Game'#],PlayerGameData[[#This Row],[School, Opponent,Game'#]])</f>
        <v>#NAME?</v>
      </c>
      <c r="BK677" s="197" t="e">
        <f ca="1">_xlfn.MAXIFS(TeamGameData[Loss],TeamGameData[School, Opponent,Game'#],PlayerGameData[[#This Row],[School, Opponent,Game'#]])</f>
        <v>#NAME?</v>
      </c>
    </row>
    <row r="678" spans="1:63" x14ac:dyDescent="0.25">
      <c r="A678" s="8" t="str">
        <f t="shared" ca="1" si="333"/>
        <v xml:space="preserve">Team, </v>
      </c>
      <c r="B678" s="8" t="str">
        <f>Roster!$B$1</f>
        <v>Upton</v>
      </c>
      <c r="C678" s="8">
        <f t="shared" ca="1" si="321"/>
        <v>0</v>
      </c>
      <c r="D678" s="10">
        <f t="shared" ca="1" si="322"/>
        <v>0</v>
      </c>
      <c r="E678" s="8">
        <f t="shared" ca="1" si="323"/>
        <v>0</v>
      </c>
      <c r="F678" s="8">
        <f t="shared" ca="1" si="324"/>
        <v>0</v>
      </c>
      <c r="G678" s="8">
        <f t="shared" ca="1" si="325"/>
        <v>0</v>
      </c>
      <c r="H678" s="8">
        <f t="shared" ca="1" si="326"/>
        <v>0</v>
      </c>
      <c r="I678" s="8">
        <f t="shared" ca="1" si="327"/>
        <v>0</v>
      </c>
      <c r="J678" s="8">
        <f t="shared" ca="1" si="328"/>
        <v>0</v>
      </c>
      <c r="K678" s="8">
        <f t="shared" ca="1" si="329"/>
        <v>0</v>
      </c>
      <c r="L678" s="8">
        <f t="shared" ca="1" si="334"/>
        <v>0</v>
      </c>
      <c r="M678" s="8">
        <f t="shared" ca="1" si="335"/>
        <v>0</v>
      </c>
      <c r="N678" s="8">
        <f t="shared" ca="1" si="336"/>
        <v>0</v>
      </c>
      <c r="O678" s="8">
        <f t="shared" ca="1" si="337"/>
        <v>0</v>
      </c>
      <c r="P678" s="8">
        <f t="shared" ca="1" si="338"/>
        <v>0</v>
      </c>
      <c r="Q678" s="8">
        <f t="shared" ca="1" si="339"/>
        <v>0</v>
      </c>
      <c r="R678" s="8">
        <f t="shared" ca="1" si="340"/>
        <v>0</v>
      </c>
      <c r="S678" s="8">
        <f t="shared" ca="1" si="341"/>
        <v>0</v>
      </c>
      <c r="T678" s="8">
        <f t="shared" ca="1" si="342"/>
        <v>0</v>
      </c>
      <c r="U678" s="8">
        <f t="shared" ca="1" si="343"/>
        <v>0</v>
      </c>
      <c r="V678" s="8">
        <f t="shared" ca="1" si="344"/>
        <v>0</v>
      </c>
      <c r="W678" s="11" t="str">
        <f t="shared" ca="1" si="345"/>
        <v/>
      </c>
      <c r="X678" s="11" t="str">
        <f t="shared" ca="1" si="346"/>
        <v/>
      </c>
      <c r="Y678" s="11" t="str">
        <f t="shared" ca="1" si="347"/>
        <v/>
      </c>
      <c r="Z678" s="11" t="str">
        <f t="shared" ca="1" si="348"/>
        <v/>
      </c>
      <c r="AA678" s="11" t="str">
        <f t="shared" ca="1" si="349"/>
        <v/>
      </c>
      <c r="AB678" s="47">
        <f ca="1">PlayerGameData[[#This Row],[3FGA]]+PlayerGameData[[#This Row],[2FGA]]</f>
        <v>0</v>
      </c>
      <c r="AC678" s="47">
        <f ca="1">PlayerGameData[[#This Row],[OFF REB]]+PlayerGameData[[#This Row],[DEF REB]]</f>
        <v>0</v>
      </c>
      <c r="AD678" s="8">
        <f t="shared" si="330"/>
        <v>28</v>
      </c>
      <c r="AE678" s="8" t="str">
        <f t="shared" ca="1" si="331"/>
        <v>Team,  - 0 1/0/1900</v>
      </c>
      <c r="AF678" s="8" t="str">
        <f t="shared" ca="1" si="350"/>
        <v/>
      </c>
      <c r="AG678" s="8" t="str">
        <f ca="1">IFERROR(IF(C678=0,"",IF(AND(VLOOKUP(PlayerGameData[[#This Row],[Opponent]],WYTeamInfo,2,FALSE)=Roster!$D$1,VLOOKUP(PlayerGameData[[#This Row],[Opponent]],WYTeamInfo,3,FALSE)=Roster!$D$2),"SR","")),"")</f>
        <v/>
      </c>
      <c r="AH678" s="8" t="str">
        <f>CONCATENATE(Roster!$D$1," ",Roster!$D$5)</f>
        <v>1A BB</v>
      </c>
      <c r="AI678" s="8" t="str">
        <f t="shared" ca="1" si="332"/>
        <v>Blank</v>
      </c>
      <c r="AJ678" s="8">
        <f ca="1">IFERROR(VLOOKUP(PlayerGameData[[#This Row],[School, Opponent,Game'#]],Table3[],2,FALSE),0)</f>
        <v>0</v>
      </c>
      <c r="AK678" s="8">
        <f ca="1">IF(PlayerGameData[[#This Row],[Visible]]=1,1,1000)</f>
        <v>1000</v>
      </c>
      <c r="AL678" s="8">
        <f ca="1">RANK(PlayerGameData[[#This Row],[TL PTS]],PlayerGameData[TL PTS],0)+PlayerGameData[[#This Row],[VisibleOrder]]</f>
        <v>1184</v>
      </c>
      <c r="AM678" s="8">
        <f ca="1">IF(COUNTIF(PlayerGameData[PointOrder],PlayerGameData[[#This Row],[PointOrder]])&gt;1,RANK(PlayerGameData[[#This Row],[FGA]],PlayerGameData[FGA],0)/100,0)+PlayerGameData[[#This Row],[PointOrder]]</f>
        <v>1186.1400000000001</v>
      </c>
      <c r="AN678" s="8">
        <f ca="1">RANK(PlayerGameData[[#This Row],[PointTieBreak]],PlayerGameData[PointTieBreak],1)</f>
        <v>625</v>
      </c>
      <c r="AO678" s="8">
        <f ca="1">RANK(PlayerGameData[[#This Row],[REB]],PlayerGameData[REB],0)+PlayerGameData[[#This Row],[VisibleOrder]]</f>
        <v>1191</v>
      </c>
      <c r="AP678" s="8">
        <f ca="1">IF(COUNTIF(PlayerGameData[REBOrder],PlayerGameData[[#This Row],[REBOrder]])&gt;1,PlayerGameData[[#This Row],[PointRank]]/100+PlayerGameData[[#This Row],[REBOrder]],PlayerGameData[[#This Row],[REBOrder]])</f>
        <v>1197.25</v>
      </c>
      <c r="AQ678" s="8">
        <f ca="1">RANK(PlayerGameData[[#This Row],[REBTieBreak]],PlayerGameData[REBTieBreak],1)</f>
        <v>625</v>
      </c>
      <c r="AR678" s="8">
        <f ca="1">RANK(PlayerGameData[[#This Row],[AST]],PlayerGameData[AST],0)+PlayerGameData[[#This Row],[VisibleOrder]]</f>
        <v>1157</v>
      </c>
      <c r="AS678" s="8">
        <f ca="1">IF(COUNTIF(PlayerGameData[ASTOrder],PlayerGameData[[#This Row],[ASTOrder]])&gt;1,PlayerGameData[[#This Row],[PointRank]]/100+PlayerGameData[[#This Row],[ASTOrder]],PlayerGameData[[#This Row],[ASTOrder]])</f>
        <v>1163.25</v>
      </c>
      <c r="AT678" s="8">
        <f ca="1">RANK(PlayerGameData[[#This Row],[ASTTieBreak]],PlayerGameData[ASTTieBreak],1)</f>
        <v>625</v>
      </c>
      <c r="AU678" s="8">
        <f ca="1">RANK(PlayerGameData[[#This Row],[STL]],PlayerGameData[STL],0)+PlayerGameData[[#This Row],[VisibleOrder]]</f>
        <v>1142</v>
      </c>
      <c r="AV678" s="8">
        <f ca="1">IF(COUNTIF(PlayerGameData[STLOrder],PlayerGameData[[#This Row],[STLOrder]])&gt;1,PlayerGameData[[#This Row],[PointRank]]/100+PlayerGameData[[#This Row],[STLOrder]],PlayerGameData[[#This Row],[STLOrder]])</f>
        <v>1148.25</v>
      </c>
      <c r="AW678" s="8">
        <f ca="1">RANK(PlayerGameData[[#This Row],[STLTieBreak]],PlayerGameData[STLTieBreak],1)</f>
        <v>625</v>
      </c>
      <c r="AX678" s="8">
        <f ca="1">RANK(PlayerGameData[[#This Row],[BLK]],PlayerGameData[BLK],0)+PlayerGameData[[#This Row],[VisibleOrder]]</f>
        <v>1031</v>
      </c>
      <c r="AY678" s="8">
        <f ca="1">IF(COUNTIF(PlayerGameData[BLKOrder],PlayerGameData[[#This Row],[BLKOrder]])&gt;1,PlayerGameData[[#This Row],[PointRank]]/100+PlayerGameData[[#This Row],[BLKOrder]],PlayerGameData[[#This Row],[BLKOrder]])</f>
        <v>1037.25</v>
      </c>
      <c r="AZ678" s="8">
        <f ca="1">RANK(PlayerGameData[[#This Row],[BLKTieBreak]],PlayerGameData[BLKTieBreak],1)</f>
        <v>625</v>
      </c>
      <c r="BA678" s="11">
        <f ca="1">IFERROR(IF(PlayerGameData[[#This Row],[FGA]]&gt;$AA$5,PlayerGameData[[#This Row],[FG%*]],PlayerGameData[[#This Row],[FG%*]]*-1),-2)</f>
        <v>-2</v>
      </c>
      <c r="BB678" s="8">
        <f ca="1">RANK(PlayerGameData[[#This Row],[EligFG]],PlayerGameData[EligFG],0)+PlayerGameData[[#This Row],[VisibleOrder]]</f>
        <v>1214</v>
      </c>
      <c r="BC678" s="8">
        <f ca="1">IF(COUNTIF(PlayerGameData[EligFGOrder],PlayerGameData[[#This Row],[EligFGOrder]])&gt;1,PlayerGameData[[#This Row],[PointRank]]/100+PlayerGameData[[#This Row],[EligFGOrder]],PlayerGameData[[#This Row],[EligFGOrder]])</f>
        <v>1220.25</v>
      </c>
      <c r="BD678" s="8">
        <f ca="1">RANK(PlayerGameData[[#This Row],[EligFGTieBreak]],PlayerGameData[EligFGTieBreak],1)</f>
        <v>625</v>
      </c>
      <c r="BE678" s="8" t="str">
        <f>Roster!$D$3</f>
        <v>East</v>
      </c>
      <c r="BF678" s="8" t="str">
        <f>Roster!$D$2</f>
        <v>Northeast</v>
      </c>
      <c r="BG678" s="8" t="str">
        <f>Roster!$D$4</f>
        <v>North</v>
      </c>
      <c r="BH678" s="197">
        <f ca="1">IFERROR(VLOOKUP(CONCATENATE(PlayerGameData[[#This Row],[Opponent]]," ",MONTH(PlayerGameData[[#This Row],[Date]]),"/",DAY(PlayerGameData[[#This Row],[Date]]),"/",YEAR(PlayerGameData[[#This Row],[Date]])),Table35[],2,FALSE),0)</f>
        <v>0</v>
      </c>
      <c r="BI678" s="197">
        <f ca="1">IF(PlayerGameData[[#This Row],[Visible]]=1,1,1000)</f>
        <v>1000</v>
      </c>
      <c r="BJ678" s="197" t="e">
        <f ca="1">_xlfn.MAXIFS(TeamGameData[Win],TeamGameData[School, Opponent,Game'#],PlayerGameData[[#This Row],[School, Opponent,Game'#]])</f>
        <v>#NAME?</v>
      </c>
      <c r="BK678" s="197" t="e">
        <f ca="1">_xlfn.MAXIFS(TeamGameData[Loss],TeamGameData[School, Opponent,Game'#],PlayerGameData[[#This Row],[School, Opponent,Game'#]])</f>
        <v>#NAME?</v>
      </c>
    </row>
    <row r="679" spans="1:63" x14ac:dyDescent="0.25">
      <c r="A679" s="8" t="str">
        <f t="shared" ca="1" si="333"/>
        <v>Landon Butler, 1</v>
      </c>
      <c r="B679" s="8" t="str">
        <f>Roster!$B$1</f>
        <v>Upton</v>
      </c>
      <c r="C679" s="8">
        <f t="shared" ca="1" si="321"/>
        <v>0</v>
      </c>
      <c r="D679" s="10">
        <f t="shared" ca="1" si="322"/>
        <v>0</v>
      </c>
      <c r="E679" s="8">
        <f t="shared" ca="1" si="323"/>
        <v>0</v>
      </c>
      <c r="F679" s="8">
        <f t="shared" ca="1" si="324"/>
        <v>0</v>
      </c>
      <c r="G679" s="8">
        <f t="shared" ca="1" si="325"/>
        <v>0</v>
      </c>
      <c r="H679" s="8">
        <f t="shared" ca="1" si="326"/>
        <v>0</v>
      </c>
      <c r="I679" s="8">
        <f t="shared" ca="1" si="327"/>
        <v>0</v>
      </c>
      <c r="J679" s="8">
        <f t="shared" ca="1" si="328"/>
        <v>0</v>
      </c>
      <c r="K679" s="8">
        <f t="shared" ca="1" si="329"/>
        <v>0</v>
      </c>
      <c r="L679" s="8">
        <f t="shared" ca="1" si="334"/>
        <v>0</v>
      </c>
      <c r="M679" s="8">
        <f t="shared" ca="1" si="335"/>
        <v>0</v>
      </c>
      <c r="N679" s="8">
        <f t="shared" ca="1" si="336"/>
        <v>0</v>
      </c>
      <c r="O679" s="8">
        <f t="shared" ca="1" si="337"/>
        <v>0</v>
      </c>
      <c r="P679" s="8">
        <f t="shared" ca="1" si="338"/>
        <v>0</v>
      </c>
      <c r="Q679" s="8">
        <f t="shared" ca="1" si="339"/>
        <v>0</v>
      </c>
      <c r="R679" s="8">
        <f t="shared" ca="1" si="340"/>
        <v>0</v>
      </c>
      <c r="S679" s="8">
        <f t="shared" ca="1" si="341"/>
        <v>0</v>
      </c>
      <c r="T679" s="8">
        <f t="shared" ca="1" si="342"/>
        <v>0</v>
      </c>
      <c r="U679" s="8">
        <f t="shared" ca="1" si="343"/>
        <v>0</v>
      </c>
      <c r="V679" s="8">
        <f t="shared" ca="1" si="344"/>
        <v>0</v>
      </c>
      <c r="W679" s="11" t="str">
        <f t="shared" ca="1" si="345"/>
        <v/>
      </c>
      <c r="X679" s="11" t="str">
        <f t="shared" ca="1" si="346"/>
        <v/>
      </c>
      <c r="Y679" s="11" t="str">
        <f t="shared" ca="1" si="347"/>
        <v/>
      </c>
      <c r="Z679" s="11" t="str">
        <f t="shared" ca="1" si="348"/>
        <v/>
      </c>
      <c r="AA679" s="11" t="str">
        <f t="shared" ca="1" si="349"/>
        <v/>
      </c>
      <c r="AB679" s="47">
        <f ca="1">PlayerGameData[[#This Row],[3FGA]]+PlayerGameData[[#This Row],[2FGA]]</f>
        <v>0</v>
      </c>
      <c r="AC679" s="47">
        <f ca="1">PlayerGameData[[#This Row],[OFF REB]]+PlayerGameData[[#This Row],[DEF REB]]</f>
        <v>0</v>
      </c>
      <c r="AD679" s="8">
        <f t="shared" si="330"/>
        <v>29</v>
      </c>
      <c r="AE679" s="8" t="str">
        <f t="shared" ca="1" si="331"/>
        <v>Landon Butler, 1 - 0 1/0/1900</v>
      </c>
      <c r="AF679" s="8" t="str">
        <f t="shared" ca="1" si="350"/>
        <v/>
      </c>
      <c r="AG679" s="8" t="str">
        <f ca="1">IFERROR(IF(C679=0,"",IF(AND(VLOOKUP(PlayerGameData[[#This Row],[Opponent]],WYTeamInfo,2,FALSE)=Roster!$D$1,VLOOKUP(PlayerGameData[[#This Row],[Opponent]],WYTeamInfo,3,FALSE)=Roster!$D$2),"SR","")),"")</f>
        <v/>
      </c>
      <c r="AH679" s="8" t="str">
        <f>CONCATENATE(Roster!$D$1," ",Roster!$D$5)</f>
        <v>1A BB</v>
      </c>
      <c r="AI679" s="8" t="str">
        <f t="shared" ca="1" si="332"/>
        <v>Blank</v>
      </c>
      <c r="AJ679" s="8">
        <f ca="1">IFERROR(VLOOKUP(PlayerGameData[[#This Row],[School, Opponent,Game'#]],Table3[],2,FALSE),0)</f>
        <v>0</v>
      </c>
      <c r="AK679" s="8">
        <f ca="1">IF(PlayerGameData[[#This Row],[Visible]]=1,1,1000)</f>
        <v>1000</v>
      </c>
      <c r="AL679" s="8">
        <f ca="1">RANK(PlayerGameData[[#This Row],[TL PTS]],PlayerGameData[TL PTS],0)+PlayerGameData[[#This Row],[VisibleOrder]]</f>
        <v>1184</v>
      </c>
      <c r="AM679" s="8">
        <f ca="1">IF(COUNTIF(PlayerGameData[PointOrder],PlayerGameData[[#This Row],[PointOrder]])&gt;1,RANK(PlayerGameData[[#This Row],[FGA]],PlayerGameData[FGA],0)/100,0)+PlayerGameData[[#This Row],[PointOrder]]</f>
        <v>1186.1400000000001</v>
      </c>
      <c r="AN679" s="8">
        <f ca="1">RANK(PlayerGameData[[#This Row],[PointTieBreak]],PlayerGameData[PointTieBreak],1)</f>
        <v>625</v>
      </c>
      <c r="AO679" s="8">
        <f ca="1">RANK(PlayerGameData[[#This Row],[REB]],PlayerGameData[REB],0)+PlayerGameData[[#This Row],[VisibleOrder]]</f>
        <v>1191</v>
      </c>
      <c r="AP679" s="8">
        <f ca="1">IF(COUNTIF(PlayerGameData[REBOrder],PlayerGameData[[#This Row],[REBOrder]])&gt;1,PlayerGameData[[#This Row],[PointRank]]/100+PlayerGameData[[#This Row],[REBOrder]],PlayerGameData[[#This Row],[REBOrder]])</f>
        <v>1197.25</v>
      </c>
      <c r="AQ679" s="8">
        <f ca="1">RANK(PlayerGameData[[#This Row],[REBTieBreak]],PlayerGameData[REBTieBreak],1)</f>
        <v>625</v>
      </c>
      <c r="AR679" s="8">
        <f ca="1">RANK(PlayerGameData[[#This Row],[AST]],PlayerGameData[AST],0)+PlayerGameData[[#This Row],[VisibleOrder]]</f>
        <v>1157</v>
      </c>
      <c r="AS679" s="8">
        <f ca="1">IF(COUNTIF(PlayerGameData[ASTOrder],PlayerGameData[[#This Row],[ASTOrder]])&gt;1,PlayerGameData[[#This Row],[PointRank]]/100+PlayerGameData[[#This Row],[ASTOrder]],PlayerGameData[[#This Row],[ASTOrder]])</f>
        <v>1163.25</v>
      </c>
      <c r="AT679" s="8">
        <f ca="1">RANK(PlayerGameData[[#This Row],[ASTTieBreak]],PlayerGameData[ASTTieBreak],1)</f>
        <v>625</v>
      </c>
      <c r="AU679" s="8">
        <f ca="1">RANK(PlayerGameData[[#This Row],[STL]],PlayerGameData[STL],0)+PlayerGameData[[#This Row],[VisibleOrder]]</f>
        <v>1142</v>
      </c>
      <c r="AV679" s="8">
        <f ca="1">IF(COUNTIF(PlayerGameData[STLOrder],PlayerGameData[[#This Row],[STLOrder]])&gt;1,PlayerGameData[[#This Row],[PointRank]]/100+PlayerGameData[[#This Row],[STLOrder]],PlayerGameData[[#This Row],[STLOrder]])</f>
        <v>1148.25</v>
      </c>
      <c r="AW679" s="8">
        <f ca="1">RANK(PlayerGameData[[#This Row],[STLTieBreak]],PlayerGameData[STLTieBreak],1)</f>
        <v>625</v>
      </c>
      <c r="AX679" s="8">
        <f ca="1">RANK(PlayerGameData[[#This Row],[BLK]],PlayerGameData[BLK],0)+PlayerGameData[[#This Row],[VisibleOrder]]</f>
        <v>1031</v>
      </c>
      <c r="AY679" s="8">
        <f ca="1">IF(COUNTIF(PlayerGameData[BLKOrder],PlayerGameData[[#This Row],[BLKOrder]])&gt;1,PlayerGameData[[#This Row],[PointRank]]/100+PlayerGameData[[#This Row],[BLKOrder]],PlayerGameData[[#This Row],[BLKOrder]])</f>
        <v>1037.25</v>
      </c>
      <c r="AZ679" s="8">
        <f ca="1">RANK(PlayerGameData[[#This Row],[BLKTieBreak]],PlayerGameData[BLKTieBreak],1)</f>
        <v>625</v>
      </c>
      <c r="BA679" s="11">
        <f ca="1">IFERROR(IF(PlayerGameData[[#This Row],[FGA]]&gt;$AA$5,PlayerGameData[[#This Row],[FG%*]],PlayerGameData[[#This Row],[FG%*]]*-1),-2)</f>
        <v>-2</v>
      </c>
      <c r="BB679" s="8">
        <f ca="1">RANK(PlayerGameData[[#This Row],[EligFG]],PlayerGameData[EligFG],0)+PlayerGameData[[#This Row],[VisibleOrder]]</f>
        <v>1214</v>
      </c>
      <c r="BC679" s="8">
        <f ca="1">IF(COUNTIF(PlayerGameData[EligFGOrder],PlayerGameData[[#This Row],[EligFGOrder]])&gt;1,PlayerGameData[[#This Row],[PointRank]]/100+PlayerGameData[[#This Row],[EligFGOrder]],PlayerGameData[[#This Row],[EligFGOrder]])</f>
        <v>1220.25</v>
      </c>
      <c r="BD679" s="8">
        <f ca="1">RANK(PlayerGameData[[#This Row],[EligFGTieBreak]],PlayerGameData[EligFGTieBreak],1)</f>
        <v>625</v>
      </c>
      <c r="BE679" s="8" t="str">
        <f>Roster!$D$3</f>
        <v>East</v>
      </c>
      <c r="BF679" s="8" t="str">
        <f>Roster!$D$2</f>
        <v>Northeast</v>
      </c>
      <c r="BG679" s="8" t="str">
        <f>Roster!$D$4</f>
        <v>North</v>
      </c>
      <c r="BH679" s="197">
        <f ca="1">IFERROR(VLOOKUP(CONCATENATE(PlayerGameData[[#This Row],[Opponent]]," ",MONTH(PlayerGameData[[#This Row],[Date]]),"/",DAY(PlayerGameData[[#This Row],[Date]]),"/",YEAR(PlayerGameData[[#This Row],[Date]])),Table35[],2,FALSE),0)</f>
        <v>0</v>
      </c>
      <c r="BI679" s="197">
        <f ca="1">IF(PlayerGameData[[#This Row],[Visible]]=1,1,1000)</f>
        <v>1000</v>
      </c>
      <c r="BJ679" s="197" t="e">
        <f ca="1">_xlfn.MAXIFS(TeamGameData[Win],TeamGameData[School, Opponent,Game'#],PlayerGameData[[#This Row],[School, Opponent,Game'#]])</f>
        <v>#NAME?</v>
      </c>
      <c r="BK679" s="197" t="e">
        <f ca="1">_xlfn.MAXIFS(TeamGameData[Loss],TeamGameData[School, Opponent,Game'#],PlayerGameData[[#This Row],[School, Opponent,Game'#]])</f>
        <v>#NAME?</v>
      </c>
    </row>
    <row r="680" spans="1:63" x14ac:dyDescent="0.25">
      <c r="A680" s="8" t="str">
        <f t="shared" ca="1" si="333"/>
        <v>Logan Timberman, 3</v>
      </c>
      <c r="B680" s="8" t="str">
        <f>Roster!$B$1</f>
        <v>Upton</v>
      </c>
      <c r="C680" s="8">
        <f t="shared" ca="1" si="321"/>
        <v>0</v>
      </c>
      <c r="D680" s="10">
        <f t="shared" ca="1" si="322"/>
        <v>0</v>
      </c>
      <c r="E680" s="8">
        <f t="shared" ca="1" si="323"/>
        <v>0</v>
      </c>
      <c r="F680" s="8">
        <f t="shared" ca="1" si="324"/>
        <v>0</v>
      </c>
      <c r="G680" s="8">
        <f t="shared" ca="1" si="325"/>
        <v>0</v>
      </c>
      <c r="H680" s="8">
        <f t="shared" ca="1" si="326"/>
        <v>0</v>
      </c>
      <c r="I680" s="8">
        <f t="shared" ca="1" si="327"/>
        <v>0</v>
      </c>
      <c r="J680" s="8">
        <f t="shared" ca="1" si="328"/>
        <v>0</v>
      </c>
      <c r="K680" s="8">
        <f t="shared" ca="1" si="329"/>
        <v>0</v>
      </c>
      <c r="L680" s="8">
        <f t="shared" ca="1" si="334"/>
        <v>0</v>
      </c>
      <c r="M680" s="8">
        <f t="shared" ca="1" si="335"/>
        <v>0</v>
      </c>
      <c r="N680" s="8">
        <f t="shared" ca="1" si="336"/>
        <v>0</v>
      </c>
      <c r="O680" s="8">
        <f t="shared" ca="1" si="337"/>
        <v>0</v>
      </c>
      <c r="P680" s="8">
        <f t="shared" ca="1" si="338"/>
        <v>0</v>
      </c>
      <c r="Q680" s="8">
        <f t="shared" ca="1" si="339"/>
        <v>0</v>
      </c>
      <c r="R680" s="8">
        <f t="shared" ca="1" si="340"/>
        <v>0</v>
      </c>
      <c r="S680" s="8">
        <f t="shared" ca="1" si="341"/>
        <v>0</v>
      </c>
      <c r="T680" s="8">
        <f t="shared" ca="1" si="342"/>
        <v>0</v>
      </c>
      <c r="U680" s="8">
        <f t="shared" ca="1" si="343"/>
        <v>0</v>
      </c>
      <c r="V680" s="8">
        <f t="shared" ca="1" si="344"/>
        <v>0</v>
      </c>
      <c r="W680" s="11" t="str">
        <f t="shared" ca="1" si="345"/>
        <v/>
      </c>
      <c r="X680" s="11" t="str">
        <f t="shared" ca="1" si="346"/>
        <v/>
      </c>
      <c r="Y680" s="11" t="str">
        <f t="shared" ca="1" si="347"/>
        <v/>
      </c>
      <c r="Z680" s="11" t="str">
        <f t="shared" ca="1" si="348"/>
        <v/>
      </c>
      <c r="AA680" s="11" t="str">
        <f t="shared" ca="1" si="349"/>
        <v/>
      </c>
      <c r="AB680" s="47">
        <f ca="1">PlayerGameData[[#This Row],[3FGA]]+PlayerGameData[[#This Row],[2FGA]]</f>
        <v>0</v>
      </c>
      <c r="AC680" s="47">
        <f ca="1">PlayerGameData[[#This Row],[OFF REB]]+PlayerGameData[[#This Row],[DEF REB]]</f>
        <v>0</v>
      </c>
      <c r="AD680" s="8">
        <f t="shared" si="330"/>
        <v>29</v>
      </c>
      <c r="AE680" s="8" t="str">
        <f t="shared" ca="1" si="331"/>
        <v>Logan Timberman, 3 - 0 1/0/1900</v>
      </c>
      <c r="AF680" s="8" t="str">
        <f t="shared" ca="1" si="350"/>
        <v/>
      </c>
      <c r="AG680" s="8" t="str">
        <f ca="1">IFERROR(IF(C680=0,"",IF(AND(VLOOKUP(PlayerGameData[[#This Row],[Opponent]],WYTeamInfo,2,FALSE)=Roster!$D$1,VLOOKUP(PlayerGameData[[#This Row],[Opponent]],WYTeamInfo,3,FALSE)=Roster!$D$2),"SR","")),"")</f>
        <v/>
      </c>
      <c r="AH680" s="8" t="str">
        <f>CONCATENATE(Roster!$D$1," ",Roster!$D$5)</f>
        <v>1A BB</v>
      </c>
      <c r="AI680" s="8" t="str">
        <f t="shared" ca="1" si="332"/>
        <v>Blank</v>
      </c>
      <c r="AJ680" s="8">
        <f ca="1">IFERROR(VLOOKUP(PlayerGameData[[#This Row],[School, Opponent,Game'#]],Table3[],2,FALSE),0)</f>
        <v>0</v>
      </c>
      <c r="AK680" s="8">
        <f ca="1">IF(PlayerGameData[[#This Row],[Visible]]=1,1,1000)</f>
        <v>1000</v>
      </c>
      <c r="AL680" s="8">
        <f ca="1">RANK(PlayerGameData[[#This Row],[TL PTS]],PlayerGameData[TL PTS],0)+PlayerGameData[[#This Row],[VisibleOrder]]</f>
        <v>1184</v>
      </c>
      <c r="AM680" s="8">
        <f ca="1">IF(COUNTIF(PlayerGameData[PointOrder],PlayerGameData[[#This Row],[PointOrder]])&gt;1,RANK(PlayerGameData[[#This Row],[FGA]],PlayerGameData[FGA],0)/100,0)+PlayerGameData[[#This Row],[PointOrder]]</f>
        <v>1186.1400000000001</v>
      </c>
      <c r="AN680" s="8">
        <f ca="1">RANK(PlayerGameData[[#This Row],[PointTieBreak]],PlayerGameData[PointTieBreak],1)</f>
        <v>625</v>
      </c>
      <c r="AO680" s="8">
        <f ca="1">RANK(PlayerGameData[[#This Row],[REB]],PlayerGameData[REB],0)+PlayerGameData[[#This Row],[VisibleOrder]]</f>
        <v>1191</v>
      </c>
      <c r="AP680" s="8">
        <f ca="1">IF(COUNTIF(PlayerGameData[REBOrder],PlayerGameData[[#This Row],[REBOrder]])&gt;1,PlayerGameData[[#This Row],[PointRank]]/100+PlayerGameData[[#This Row],[REBOrder]],PlayerGameData[[#This Row],[REBOrder]])</f>
        <v>1197.25</v>
      </c>
      <c r="AQ680" s="8">
        <f ca="1">RANK(PlayerGameData[[#This Row],[REBTieBreak]],PlayerGameData[REBTieBreak],1)</f>
        <v>625</v>
      </c>
      <c r="AR680" s="8">
        <f ca="1">RANK(PlayerGameData[[#This Row],[AST]],PlayerGameData[AST],0)+PlayerGameData[[#This Row],[VisibleOrder]]</f>
        <v>1157</v>
      </c>
      <c r="AS680" s="8">
        <f ca="1">IF(COUNTIF(PlayerGameData[ASTOrder],PlayerGameData[[#This Row],[ASTOrder]])&gt;1,PlayerGameData[[#This Row],[PointRank]]/100+PlayerGameData[[#This Row],[ASTOrder]],PlayerGameData[[#This Row],[ASTOrder]])</f>
        <v>1163.25</v>
      </c>
      <c r="AT680" s="8">
        <f ca="1">RANK(PlayerGameData[[#This Row],[ASTTieBreak]],PlayerGameData[ASTTieBreak],1)</f>
        <v>625</v>
      </c>
      <c r="AU680" s="8">
        <f ca="1">RANK(PlayerGameData[[#This Row],[STL]],PlayerGameData[STL],0)+PlayerGameData[[#This Row],[VisibleOrder]]</f>
        <v>1142</v>
      </c>
      <c r="AV680" s="8">
        <f ca="1">IF(COUNTIF(PlayerGameData[STLOrder],PlayerGameData[[#This Row],[STLOrder]])&gt;1,PlayerGameData[[#This Row],[PointRank]]/100+PlayerGameData[[#This Row],[STLOrder]],PlayerGameData[[#This Row],[STLOrder]])</f>
        <v>1148.25</v>
      </c>
      <c r="AW680" s="8">
        <f ca="1">RANK(PlayerGameData[[#This Row],[STLTieBreak]],PlayerGameData[STLTieBreak],1)</f>
        <v>625</v>
      </c>
      <c r="AX680" s="8">
        <f ca="1">RANK(PlayerGameData[[#This Row],[BLK]],PlayerGameData[BLK],0)+PlayerGameData[[#This Row],[VisibleOrder]]</f>
        <v>1031</v>
      </c>
      <c r="AY680" s="8">
        <f ca="1">IF(COUNTIF(PlayerGameData[BLKOrder],PlayerGameData[[#This Row],[BLKOrder]])&gt;1,PlayerGameData[[#This Row],[PointRank]]/100+PlayerGameData[[#This Row],[BLKOrder]],PlayerGameData[[#This Row],[BLKOrder]])</f>
        <v>1037.25</v>
      </c>
      <c r="AZ680" s="8">
        <f ca="1">RANK(PlayerGameData[[#This Row],[BLKTieBreak]],PlayerGameData[BLKTieBreak],1)</f>
        <v>625</v>
      </c>
      <c r="BA680" s="11">
        <f ca="1">IFERROR(IF(PlayerGameData[[#This Row],[FGA]]&gt;$AA$5,PlayerGameData[[#This Row],[FG%*]],PlayerGameData[[#This Row],[FG%*]]*-1),-2)</f>
        <v>-2</v>
      </c>
      <c r="BB680" s="8">
        <f ca="1">RANK(PlayerGameData[[#This Row],[EligFG]],PlayerGameData[EligFG],0)+PlayerGameData[[#This Row],[VisibleOrder]]</f>
        <v>1214</v>
      </c>
      <c r="BC680" s="8">
        <f ca="1">IF(COUNTIF(PlayerGameData[EligFGOrder],PlayerGameData[[#This Row],[EligFGOrder]])&gt;1,PlayerGameData[[#This Row],[PointRank]]/100+PlayerGameData[[#This Row],[EligFGOrder]],PlayerGameData[[#This Row],[EligFGOrder]])</f>
        <v>1220.25</v>
      </c>
      <c r="BD680" s="8">
        <f ca="1">RANK(PlayerGameData[[#This Row],[EligFGTieBreak]],PlayerGameData[EligFGTieBreak],1)</f>
        <v>625</v>
      </c>
      <c r="BE680" s="8" t="str">
        <f>Roster!$D$3</f>
        <v>East</v>
      </c>
      <c r="BF680" s="8" t="str">
        <f>Roster!$D$2</f>
        <v>Northeast</v>
      </c>
      <c r="BG680" s="8" t="str">
        <f>Roster!$D$4</f>
        <v>North</v>
      </c>
      <c r="BH680" s="197">
        <f ca="1">IFERROR(VLOOKUP(CONCATENATE(PlayerGameData[[#This Row],[Opponent]]," ",MONTH(PlayerGameData[[#This Row],[Date]]),"/",DAY(PlayerGameData[[#This Row],[Date]]),"/",YEAR(PlayerGameData[[#This Row],[Date]])),Table35[],2,FALSE),0)</f>
        <v>0</v>
      </c>
      <c r="BI680" s="197">
        <f ca="1">IF(PlayerGameData[[#This Row],[Visible]]=1,1,1000)</f>
        <v>1000</v>
      </c>
      <c r="BJ680" s="197" t="e">
        <f ca="1">_xlfn.MAXIFS(TeamGameData[Win],TeamGameData[School, Opponent,Game'#],PlayerGameData[[#This Row],[School, Opponent,Game'#]])</f>
        <v>#NAME?</v>
      </c>
      <c r="BK680" s="197" t="e">
        <f ca="1">_xlfn.MAXIFS(TeamGameData[Loss],TeamGameData[School, Opponent,Game'#],PlayerGameData[[#This Row],[School, Opponent,Game'#]])</f>
        <v>#NAME?</v>
      </c>
    </row>
    <row r="681" spans="1:63" x14ac:dyDescent="0.25">
      <c r="A681" s="8" t="str">
        <f t="shared" ca="1" si="333"/>
        <v>Chase Mills, 5</v>
      </c>
      <c r="B681" s="8" t="str">
        <f>Roster!$B$1</f>
        <v>Upton</v>
      </c>
      <c r="C681" s="8">
        <f t="shared" ca="1" si="321"/>
        <v>0</v>
      </c>
      <c r="D681" s="10">
        <f t="shared" ca="1" si="322"/>
        <v>0</v>
      </c>
      <c r="E681" s="8">
        <f t="shared" ca="1" si="323"/>
        <v>0</v>
      </c>
      <c r="F681" s="8">
        <f t="shared" ca="1" si="324"/>
        <v>0</v>
      </c>
      <c r="G681" s="8">
        <f t="shared" ca="1" si="325"/>
        <v>0</v>
      </c>
      <c r="H681" s="8">
        <f t="shared" ca="1" si="326"/>
        <v>0</v>
      </c>
      <c r="I681" s="8">
        <f t="shared" ca="1" si="327"/>
        <v>0</v>
      </c>
      <c r="J681" s="8">
        <f t="shared" ca="1" si="328"/>
        <v>0</v>
      </c>
      <c r="K681" s="8">
        <f t="shared" ca="1" si="329"/>
        <v>0</v>
      </c>
      <c r="L681" s="8">
        <f t="shared" ca="1" si="334"/>
        <v>0</v>
      </c>
      <c r="M681" s="8">
        <f t="shared" ca="1" si="335"/>
        <v>0</v>
      </c>
      <c r="N681" s="8">
        <f t="shared" ca="1" si="336"/>
        <v>0</v>
      </c>
      <c r="O681" s="8">
        <f t="shared" ca="1" si="337"/>
        <v>0</v>
      </c>
      <c r="P681" s="8">
        <f t="shared" ca="1" si="338"/>
        <v>0</v>
      </c>
      <c r="Q681" s="8">
        <f t="shared" ca="1" si="339"/>
        <v>0</v>
      </c>
      <c r="R681" s="8">
        <f t="shared" ca="1" si="340"/>
        <v>0</v>
      </c>
      <c r="S681" s="8">
        <f t="shared" ca="1" si="341"/>
        <v>0</v>
      </c>
      <c r="T681" s="8">
        <f t="shared" ca="1" si="342"/>
        <v>0</v>
      </c>
      <c r="U681" s="8">
        <f t="shared" ca="1" si="343"/>
        <v>0</v>
      </c>
      <c r="V681" s="8">
        <f t="shared" ca="1" si="344"/>
        <v>0</v>
      </c>
      <c r="W681" s="11" t="str">
        <f t="shared" ca="1" si="345"/>
        <v/>
      </c>
      <c r="X681" s="11" t="str">
        <f t="shared" ca="1" si="346"/>
        <v/>
      </c>
      <c r="Y681" s="11" t="str">
        <f t="shared" ca="1" si="347"/>
        <v/>
      </c>
      <c r="Z681" s="11" t="str">
        <f t="shared" ca="1" si="348"/>
        <v/>
      </c>
      <c r="AA681" s="11" t="str">
        <f t="shared" ca="1" si="349"/>
        <v/>
      </c>
      <c r="AB681" s="47">
        <f ca="1">PlayerGameData[[#This Row],[3FGA]]+PlayerGameData[[#This Row],[2FGA]]</f>
        <v>0</v>
      </c>
      <c r="AC681" s="47">
        <f ca="1">PlayerGameData[[#This Row],[OFF REB]]+PlayerGameData[[#This Row],[DEF REB]]</f>
        <v>0</v>
      </c>
      <c r="AD681" s="8">
        <f t="shared" si="330"/>
        <v>29</v>
      </c>
      <c r="AE681" s="8" t="str">
        <f t="shared" ca="1" si="331"/>
        <v>Chase Mills, 5 - 0 1/0/1900</v>
      </c>
      <c r="AF681" s="8" t="str">
        <f t="shared" ca="1" si="350"/>
        <v/>
      </c>
      <c r="AG681" s="8" t="str">
        <f ca="1">IFERROR(IF(C681=0,"",IF(AND(VLOOKUP(PlayerGameData[[#This Row],[Opponent]],WYTeamInfo,2,FALSE)=Roster!$D$1,VLOOKUP(PlayerGameData[[#This Row],[Opponent]],WYTeamInfo,3,FALSE)=Roster!$D$2),"SR","")),"")</f>
        <v/>
      </c>
      <c r="AH681" s="8" t="str">
        <f>CONCATENATE(Roster!$D$1," ",Roster!$D$5)</f>
        <v>1A BB</v>
      </c>
      <c r="AI681" s="8" t="str">
        <f t="shared" ca="1" si="332"/>
        <v>Blank</v>
      </c>
      <c r="AJ681" s="8">
        <f ca="1">IFERROR(VLOOKUP(PlayerGameData[[#This Row],[School, Opponent,Game'#]],Table3[],2,FALSE),0)</f>
        <v>0</v>
      </c>
      <c r="AK681" s="8">
        <f ca="1">IF(PlayerGameData[[#This Row],[Visible]]=1,1,1000)</f>
        <v>1000</v>
      </c>
      <c r="AL681" s="8">
        <f ca="1">RANK(PlayerGameData[[#This Row],[TL PTS]],PlayerGameData[TL PTS],0)+PlayerGameData[[#This Row],[VisibleOrder]]</f>
        <v>1184</v>
      </c>
      <c r="AM681" s="8">
        <f ca="1">IF(COUNTIF(PlayerGameData[PointOrder],PlayerGameData[[#This Row],[PointOrder]])&gt;1,RANK(PlayerGameData[[#This Row],[FGA]],PlayerGameData[FGA],0)/100,0)+PlayerGameData[[#This Row],[PointOrder]]</f>
        <v>1186.1400000000001</v>
      </c>
      <c r="AN681" s="8">
        <f ca="1">RANK(PlayerGameData[[#This Row],[PointTieBreak]],PlayerGameData[PointTieBreak],1)</f>
        <v>625</v>
      </c>
      <c r="AO681" s="8">
        <f ca="1">RANK(PlayerGameData[[#This Row],[REB]],PlayerGameData[REB],0)+PlayerGameData[[#This Row],[VisibleOrder]]</f>
        <v>1191</v>
      </c>
      <c r="AP681" s="8">
        <f ca="1">IF(COUNTIF(PlayerGameData[REBOrder],PlayerGameData[[#This Row],[REBOrder]])&gt;1,PlayerGameData[[#This Row],[PointRank]]/100+PlayerGameData[[#This Row],[REBOrder]],PlayerGameData[[#This Row],[REBOrder]])</f>
        <v>1197.25</v>
      </c>
      <c r="AQ681" s="8">
        <f ca="1">RANK(PlayerGameData[[#This Row],[REBTieBreak]],PlayerGameData[REBTieBreak],1)</f>
        <v>625</v>
      </c>
      <c r="AR681" s="8">
        <f ca="1">RANK(PlayerGameData[[#This Row],[AST]],PlayerGameData[AST],0)+PlayerGameData[[#This Row],[VisibleOrder]]</f>
        <v>1157</v>
      </c>
      <c r="AS681" s="8">
        <f ca="1">IF(COUNTIF(PlayerGameData[ASTOrder],PlayerGameData[[#This Row],[ASTOrder]])&gt;1,PlayerGameData[[#This Row],[PointRank]]/100+PlayerGameData[[#This Row],[ASTOrder]],PlayerGameData[[#This Row],[ASTOrder]])</f>
        <v>1163.25</v>
      </c>
      <c r="AT681" s="8">
        <f ca="1">RANK(PlayerGameData[[#This Row],[ASTTieBreak]],PlayerGameData[ASTTieBreak],1)</f>
        <v>625</v>
      </c>
      <c r="AU681" s="8">
        <f ca="1">RANK(PlayerGameData[[#This Row],[STL]],PlayerGameData[STL],0)+PlayerGameData[[#This Row],[VisibleOrder]]</f>
        <v>1142</v>
      </c>
      <c r="AV681" s="8">
        <f ca="1">IF(COUNTIF(PlayerGameData[STLOrder],PlayerGameData[[#This Row],[STLOrder]])&gt;1,PlayerGameData[[#This Row],[PointRank]]/100+PlayerGameData[[#This Row],[STLOrder]],PlayerGameData[[#This Row],[STLOrder]])</f>
        <v>1148.25</v>
      </c>
      <c r="AW681" s="8">
        <f ca="1">RANK(PlayerGameData[[#This Row],[STLTieBreak]],PlayerGameData[STLTieBreak],1)</f>
        <v>625</v>
      </c>
      <c r="AX681" s="8">
        <f ca="1">RANK(PlayerGameData[[#This Row],[BLK]],PlayerGameData[BLK],0)+PlayerGameData[[#This Row],[VisibleOrder]]</f>
        <v>1031</v>
      </c>
      <c r="AY681" s="8">
        <f ca="1">IF(COUNTIF(PlayerGameData[BLKOrder],PlayerGameData[[#This Row],[BLKOrder]])&gt;1,PlayerGameData[[#This Row],[PointRank]]/100+PlayerGameData[[#This Row],[BLKOrder]],PlayerGameData[[#This Row],[BLKOrder]])</f>
        <v>1037.25</v>
      </c>
      <c r="AZ681" s="8">
        <f ca="1">RANK(PlayerGameData[[#This Row],[BLKTieBreak]],PlayerGameData[BLKTieBreak],1)</f>
        <v>625</v>
      </c>
      <c r="BA681" s="11">
        <f ca="1">IFERROR(IF(PlayerGameData[[#This Row],[FGA]]&gt;$AA$5,PlayerGameData[[#This Row],[FG%*]],PlayerGameData[[#This Row],[FG%*]]*-1),-2)</f>
        <v>-2</v>
      </c>
      <c r="BB681" s="8">
        <f ca="1">RANK(PlayerGameData[[#This Row],[EligFG]],PlayerGameData[EligFG],0)+PlayerGameData[[#This Row],[VisibleOrder]]</f>
        <v>1214</v>
      </c>
      <c r="BC681" s="8">
        <f ca="1">IF(COUNTIF(PlayerGameData[EligFGOrder],PlayerGameData[[#This Row],[EligFGOrder]])&gt;1,PlayerGameData[[#This Row],[PointRank]]/100+PlayerGameData[[#This Row],[EligFGOrder]],PlayerGameData[[#This Row],[EligFGOrder]])</f>
        <v>1220.25</v>
      </c>
      <c r="BD681" s="8">
        <f ca="1">RANK(PlayerGameData[[#This Row],[EligFGTieBreak]],PlayerGameData[EligFGTieBreak],1)</f>
        <v>625</v>
      </c>
      <c r="BE681" s="8" t="str">
        <f>Roster!$D$3</f>
        <v>East</v>
      </c>
      <c r="BF681" s="8" t="str">
        <f>Roster!$D$2</f>
        <v>Northeast</v>
      </c>
      <c r="BG681" s="8" t="str">
        <f>Roster!$D$4</f>
        <v>North</v>
      </c>
      <c r="BH681" s="197">
        <f ca="1">IFERROR(VLOOKUP(CONCATENATE(PlayerGameData[[#This Row],[Opponent]]," ",MONTH(PlayerGameData[[#This Row],[Date]]),"/",DAY(PlayerGameData[[#This Row],[Date]]),"/",YEAR(PlayerGameData[[#This Row],[Date]])),Table35[],2,FALSE),0)</f>
        <v>0</v>
      </c>
      <c r="BI681" s="197">
        <f ca="1">IF(PlayerGameData[[#This Row],[Visible]]=1,1,1000)</f>
        <v>1000</v>
      </c>
      <c r="BJ681" s="197" t="e">
        <f ca="1">_xlfn.MAXIFS(TeamGameData[Win],TeamGameData[School, Opponent,Game'#],PlayerGameData[[#This Row],[School, Opponent,Game'#]])</f>
        <v>#NAME?</v>
      </c>
      <c r="BK681" s="197" t="e">
        <f ca="1">_xlfn.MAXIFS(TeamGameData[Loss],TeamGameData[School, Opponent,Game'#],PlayerGameData[[#This Row],[School, Opponent,Game'#]])</f>
        <v>#NAME?</v>
      </c>
    </row>
    <row r="682" spans="1:63" x14ac:dyDescent="0.25">
      <c r="A682" s="8" t="str">
        <f t="shared" ca="1" si="333"/>
        <v>Rhett Watt, 10</v>
      </c>
      <c r="B682" s="8" t="str">
        <f>Roster!$B$1</f>
        <v>Upton</v>
      </c>
      <c r="C682" s="8">
        <f t="shared" ca="1" si="321"/>
        <v>0</v>
      </c>
      <c r="D682" s="10">
        <f t="shared" ca="1" si="322"/>
        <v>0</v>
      </c>
      <c r="E682" s="8">
        <f t="shared" ca="1" si="323"/>
        <v>0</v>
      </c>
      <c r="F682" s="8">
        <f t="shared" ca="1" si="324"/>
        <v>0</v>
      </c>
      <c r="G682" s="8">
        <f t="shared" ca="1" si="325"/>
        <v>0</v>
      </c>
      <c r="H682" s="8">
        <f t="shared" ca="1" si="326"/>
        <v>0</v>
      </c>
      <c r="I682" s="8">
        <f t="shared" ca="1" si="327"/>
        <v>0</v>
      </c>
      <c r="J682" s="8">
        <f t="shared" ca="1" si="328"/>
        <v>0</v>
      </c>
      <c r="K682" s="8">
        <f t="shared" ca="1" si="329"/>
        <v>0</v>
      </c>
      <c r="L682" s="8">
        <f t="shared" ca="1" si="334"/>
        <v>0</v>
      </c>
      <c r="M682" s="8">
        <f t="shared" ca="1" si="335"/>
        <v>0</v>
      </c>
      <c r="N682" s="8">
        <f t="shared" ca="1" si="336"/>
        <v>0</v>
      </c>
      <c r="O682" s="8">
        <f t="shared" ca="1" si="337"/>
        <v>0</v>
      </c>
      <c r="P682" s="8">
        <f t="shared" ca="1" si="338"/>
        <v>0</v>
      </c>
      <c r="Q682" s="8">
        <f t="shared" ca="1" si="339"/>
        <v>0</v>
      </c>
      <c r="R682" s="8">
        <f t="shared" ca="1" si="340"/>
        <v>0</v>
      </c>
      <c r="S682" s="8">
        <f t="shared" ca="1" si="341"/>
        <v>0</v>
      </c>
      <c r="T682" s="8">
        <f t="shared" ca="1" si="342"/>
        <v>0</v>
      </c>
      <c r="U682" s="8">
        <f t="shared" ca="1" si="343"/>
        <v>0</v>
      </c>
      <c r="V682" s="8">
        <f t="shared" ca="1" si="344"/>
        <v>0</v>
      </c>
      <c r="W682" s="11" t="str">
        <f t="shared" ca="1" si="345"/>
        <v/>
      </c>
      <c r="X682" s="11" t="str">
        <f t="shared" ca="1" si="346"/>
        <v/>
      </c>
      <c r="Y682" s="11" t="str">
        <f t="shared" ca="1" si="347"/>
        <v/>
      </c>
      <c r="Z682" s="11" t="str">
        <f t="shared" ca="1" si="348"/>
        <v/>
      </c>
      <c r="AA682" s="11" t="str">
        <f t="shared" ca="1" si="349"/>
        <v/>
      </c>
      <c r="AB682" s="47">
        <f ca="1">PlayerGameData[[#This Row],[3FGA]]+PlayerGameData[[#This Row],[2FGA]]</f>
        <v>0</v>
      </c>
      <c r="AC682" s="47">
        <f ca="1">PlayerGameData[[#This Row],[OFF REB]]+PlayerGameData[[#This Row],[DEF REB]]</f>
        <v>0</v>
      </c>
      <c r="AD682" s="8">
        <f t="shared" si="330"/>
        <v>29</v>
      </c>
      <c r="AE682" s="8" t="str">
        <f t="shared" ca="1" si="331"/>
        <v>Rhett Watt, 10 - 0 1/0/1900</v>
      </c>
      <c r="AF682" s="8" t="str">
        <f t="shared" ca="1" si="350"/>
        <v/>
      </c>
      <c r="AG682" s="8" t="str">
        <f ca="1">IFERROR(IF(C682=0,"",IF(AND(VLOOKUP(PlayerGameData[[#This Row],[Opponent]],WYTeamInfo,2,FALSE)=Roster!$D$1,VLOOKUP(PlayerGameData[[#This Row],[Opponent]],WYTeamInfo,3,FALSE)=Roster!$D$2),"SR","")),"")</f>
        <v/>
      </c>
      <c r="AH682" s="8" t="str">
        <f>CONCATENATE(Roster!$D$1," ",Roster!$D$5)</f>
        <v>1A BB</v>
      </c>
      <c r="AI682" s="8" t="str">
        <f t="shared" ca="1" si="332"/>
        <v>Blank</v>
      </c>
      <c r="AJ682" s="8">
        <f ca="1">IFERROR(VLOOKUP(PlayerGameData[[#This Row],[School, Opponent,Game'#]],Table3[],2,FALSE),0)</f>
        <v>0</v>
      </c>
      <c r="AK682" s="8">
        <f ca="1">IF(PlayerGameData[[#This Row],[Visible]]=1,1,1000)</f>
        <v>1000</v>
      </c>
      <c r="AL682" s="8">
        <f ca="1">RANK(PlayerGameData[[#This Row],[TL PTS]],PlayerGameData[TL PTS],0)+PlayerGameData[[#This Row],[VisibleOrder]]</f>
        <v>1184</v>
      </c>
      <c r="AM682" s="8">
        <f ca="1">IF(COUNTIF(PlayerGameData[PointOrder],PlayerGameData[[#This Row],[PointOrder]])&gt;1,RANK(PlayerGameData[[#This Row],[FGA]],PlayerGameData[FGA],0)/100,0)+PlayerGameData[[#This Row],[PointOrder]]</f>
        <v>1186.1400000000001</v>
      </c>
      <c r="AN682" s="8">
        <f ca="1">RANK(PlayerGameData[[#This Row],[PointTieBreak]],PlayerGameData[PointTieBreak],1)</f>
        <v>625</v>
      </c>
      <c r="AO682" s="8">
        <f ca="1">RANK(PlayerGameData[[#This Row],[REB]],PlayerGameData[REB],0)+PlayerGameData[[#This Row],[VisibleOrder]]</f>
        <v>1191</v>
      </c>
      <c r="AP682" s="8">
        <f ca="1">IF(COUNTIF(PlayerGameData[REBOrder],PlayerGameData[[#This Row],[REBOrder]])&gt;1,PlayerGameData[[#This Row],[PointRank]]/100+PlayerGameData[[#This Row],[REBOrder]],PlayerGameData[[#This Row],[REBOrder]])</f>
        <v>1197.25</v>
      </c>
      <c r="AQ682" s="8">
        <f ca="1">RANK(PlayerGameData[[#This Row],[REBTieBreak]],PlayerGameData[REBTieBreak],1)</f>
        <v>625</v>
      </c>
      <c r="AR682" s="8">
        <f ca="1">RANK(PlayerGameData[[#This Row],[AST]],PlayerGameData[AST],0)+PlayerGameData[[#This Row],[VisibleOrder]]</f>
        <v>1157</v>
      </c>
      <c r="AS682" s="8">
        <f ca="1">IF(COUNTIF(PlayerGameData[ASTOrder],PlayerGameData[[#This Row],[ASTOrder]])&gt;1,PlayerGameData[[#This Row],[PointRank]]/100+PlayerGameData[[#This Row],[ASTOrder]],PlayerGameData[[#This Row],[ASTOrder]])</f>
        <v>1163.25</v>
      </c>
      <c r="AT682" s="8">
        <f ca="1">RANK(PlayerGameData[[#This Row],[ASTTieBreak]],PlayerGameData[ASTTieBreak],1)</f>
        <v>625</v>
      </c>
      <c r="AU682" s="8">
        <f ca="1">RANK(PlayerGameData[[#This Row],[STL]],PlayerGameData[STL],0)+PlayerGameData[[#This Row],[VisibleOrder]]</f>
        <v>1142</v>
      </c>
      <c r="AV682" s="8">
        <f ca="1">IF(COUNTIF(PlayerGameData[STLOrder],PlayerGameData[[#This Row],[STLOrder]])&gt;1,PlayerGameData[[#This Row],[PointRank]]/100+PlayerGameData[[#This Row],[STLOrder]],PlayerGameData[[#This Row],[STLOrder]])</f>
        <v>1148.25</v>
      </c>
      <c r="AW682" s="8">
        <f ca="1">RANK(PlayerGameData[[#This Row],[STLTieBreak]],PlayerGameData[STLTieBreak],1)</f>
        <v>625</v>
      </c>
      <c r="AX682" s="8">
        <f ca="1">RANK(PlayerGameData[[#This Row],[BLK]],PlayerGameData[BLK],0)+PlayerGameData[[#This Row],[VisibleOrder]]</f>
        <v>1031</v>
      </c>
      <c r="AY682" s="8">
        <f ca="1">IF(COUNTIF(PlayerGameData[BLKOrder],PlayerGameData[[#This Row],[BLKOrder]])&gt;1,PlayerGameData[[#This Row],[PointRank]]/100+PlayerGameData[[#This Row],[BLKOrder]],PlayerGameData[[#This Row],[BLKOrder]])</f>
        <v>1037.25</v>
      </c>
      <c r="AZ682" s="8">
        <f ca="1">RANK(PlayerGameData[[#This Row],[BLKTieBreak]],PlayerGameData[BLKTieBreak],1)</f>
        <v>625</v>
      </c>
      <c r="BA682" s="11">
        <f ca="1">IFERROR(IF(PlayerGameData[[#This Row],[FGA]]&gt;$AA$5,PlayerGameData[[#This Row],[FG%*]],PlayerGameData[[#This Row],[FG%*]]*-1),-2)</f>
        <v>-2</v>
      </c>
      <c r="BB682" s="8">
        <f ca="1">RANK(PlayerGameData[[#This Row],[EligFG]],PlayerGameData[EligFG],0)+PlayerGameData[[#This Row],[VisibleOrder]]</f>
        <v>1214</v>
      </c>
      <c r="BC682" s="8">
        <f ca="1">IF(COUNTIF(PlayerGameData[EligFGOrder],PlayerGameData[[#This Row],[EligFGOrder]])&gt;1,PlayerGameData[[#This Row],[PointRank]]/100+PlayerGameData[[#This Row],[EligFGOrder]],PlayerGameData[[#This Row],[EligFGOrder]])</f>
        <v>1220.25</v>
      </c>
      <c r="BD682" s="8">
        <f ca="1">RANK(PlayerGameData[[#This Row],[EligFGTieBreak]],PlayerGameData[EligFGTieBreak],1)</f>
        <v>625</v>
      </c>
      <c r="BE682" s="8" t="str">
        <f>Roster!$D$3</f>
        <v>East</v>
      </c>
      <c r="BF682" s="8" t="str">
        <f>Roster!$D$2</f>
        <v>Northeast</v>
      </c>
      <c r="BG682" s="8" t="str">
        <f>Roster!$D$4</f>
        <v>North</v>
      </c>
      <c r="BH682" s="197">
        <f ca="1">IFERROR(VLOOKUP(CONCATENATE(PlayerGameData[[#This Row],[Opponent]]," ",MONTH(PlayerGameData[[#This Row],[Date]]),"/",DAY(PlayerGameData[[#This Row],[Date]]),"/",YEAR(PlayerGameData[[#This Row],[Date]])),Table35[],2,FALSE),0)</f>
        <v>0</v>
      </c>
      <c r="BI682" s="197">
        <f ca="1">IF(PlayerGameData[[#This Row],[Visible]]=1,1,1000)</f>
        <v>1000</v>
      </c>
      <c r="BJ682" s="197" t="e">
        <f ca="1">_xlfn.MAXIFS(TeamGameData[Win],TeamGameData[School, Opponent,Game'#],PlayerGameData[[#This Row],[School, Opponent,Game'#]])</f>
        <v>#NAME?</v>
      </c>
      <c r="BK682" s="197" t="e">
        <f ca="1">_xlfn.MAXIFS(TeamGameData[Loss],TeamGameData[School, Opponent,Game'#],PlayerGameData[[#This Row],[School, Opponent,Game'#]])</f>
        <v>#NAME?</v>
      </c>
    </row>
    <row r="683" spans="1:63" x14ac:dyDescent="0.25">
      <c r="A683" s="8" t="str">
        <f t="shared" ca="1" si="333"/>
        <v>Keith Coburn, 11</v>
      </c>
      <c r="B683" s="8" t="str">
        <f>Roster!$B$1</f>
        <v>Upton</v>
      </c>
      <c r="C683" s="8">
        <f t="shared" ca="1" si="321"/>
        <v>0</v>
      </c>
      <c r="D683" s="10">
        <f t="shared" ca="1" si="322"/>
        <v>0</v>
      </c>
      <c r="E683" s="8">
        <f t="shared" ca="1" si="323"/>
        <v>0</v>
      </c>
      <c r="F683" s="8">
        <f t="shared" ca="1" si="324"/>
        <v>0</v>
      </c>
      <c r="G683" s="8">
        <f t="shared" ca="1" si="325"/>
        <v>0</v>
      </c>
      <c r="H683" s="8">
        <f t="shared" ca="1" si="326"/>
        <v>0</v>
      </c>
      <c r="I683" s="8">
        <f t="shared" ca="1" si="327"/>
        <v>0</v>
      </c>
      <c r="J683" s="8">
        <f t="shared" ca="1" si="328"/>
        <v>0</v>
      </c>
      <c r="K683" s="8">
        <f t="shared" ca="1" si="329"/>
        <v>0</v>
      </c>
      <c r="L683" s="8">
        <f t="shared" ca="1" si="334"/>
        <v>0</v>
      </c>
      <c r="M683" s="8">
        <f t="shared" ca="1" si="335"/>
        <v>0</v>
      </c>
      <c r="N683" s="8">
        <f t="shared" ca="1" si="336"/>
        <v>0</v>
      </c>
      <c r="O683" s="8">
        <f t="shared" ca="1" si="337"/>
        <v>0</v>
      </c>
      <c r="P683" s="8">
        <f t="shared" ca="1" si="338"/>
        <v>0</v>
      </c>
      <c r="Q683" s="8">
        <f t="shared" ca="1" si="339"/>
        <v>0</v>
      </c>
      <c r="R683" s="8">
        <f t="shared" ca="1" si="340"/>
        <v>0</v>
      </c>
      <c r="S683" s="8">
        <f t="shared" ca="1" si="341"/>
        <v>0</v>
      </c>
      <c r="T683" s="8">
        <f t="shared" ca="1" si="342"/>
        <v>0</v>
      </c>
      <c r="U683" s="8">
        <f t="shared" ca="1" si="343"/>
        <v>0</v>
      </c>
      <c r="V683" s="8">
        <f t="shared" ca="1" si="344"/>
        <v>0</v>
      </c>
      <c r="W683" s="11" t="str">
        <f t="shared" ca="1" si="345"/>
        <v/>
      </c>
      <c r="X683" s="11" t="str">
        <f t="shared" ca="1" si="346"/>
        <v/>
      </c>
      <c r="Y683" s="11" t="str">
        <f t="shared" ca="1" si="347"/>
        <v/>
      </c>
      <c r="Z683" s="11" t="str">
        <f t="shared" ca="1" si="348"/>
        <v/>
      </c>
      <c r="AA683" s="11" t="str">
        <f t="shared" ca="1" si="349"/>
        <v/>
      </c>
      <c r="AB683" s="47">
        <f ca="1">PlayerGameData[[#This Row],[3FGA]]+PlayerGameData[[#This Row],[2FGA]]</f>
        <v>0</v>
      </c>
      <c r="AC683" s="47">
        <f ca="1">PlayerGameData[[#This Row],[OFF REB]]+PlayerGameData[[#This Row],[DEF REB]]</f>
        <v>0</v>
      </c>
      <c r="AD683" s="8">
        <f t="shared" si="330"/>
        <v>29</v>
      </c>
      <c r="AE683" s="8" t="str">
        <f t="shared" ca="1" si="331"/>
        <v>Keith Coburn, 11 - 0 1/0/1900</v>
      </c>
      <c r="AF683" s="8" t="str">
        <f t="shared" ca="1" si="350"/>
        <v/>
      </c>
      <c r="AG683" s="8" t="str">
        <f ca="1">IFERROR(IF(C683=0,"",IF(AND(VLOOKUP(PlayerGameData[[#This Row],[Opponent]],WYTeamInfo,2,FALSE)=Roster!$D$1,VLOOKUP(PlayerGameData[[#This Row],[Opponent]],WYTeamInfo,3,FALSE)=Roster!$D$2),"SR","")),"")</f>
        <v/>
      </c>
      <c r="AH683" s="8" t="str">
        <f>CONCATENATE(Roster!$D$1," ",Roster!$D$5)</f>
        <v>1A BB</v>
      </c>
      <c r="AI683" s="8" t="str">
        <f t="shared" ca="1" si="332"/>
        <v>Blank</v>
      </c>
      <c r="AJ683" s="8">
        <f ca="1">IFERROR(VLOOKUP(PlayerGameData[[#This Row],[School, Opponent,Game'#]],Table3[],2,FALSE),0)</f>
        <v>0</v>
      </c>
      <c r="AK683" s="8">
        <f ca="1">IF(PlayerGameData[[#This Row],[Visible]]=1,1,1000)</f>
        <v>1000</v>
      </c>
      <c r="AL683" s="8">
        <f ca="1">RANK(PlayerGameData[[#This Row],[TL PTS]],PlayerGameData[TL PTS],0)+PlayerGameData[[#This Row],[VisibleOrder]]</f>
        <v>1184</v>
      </c>
      <c r="AM683" s="8">
        <f ca="1">IF(COUNTIF(PlayerGameData[PointOrder],PlayerGameData[[#This Row],[PointOrder]])&gt;1,RANK(PlayerGameData[[#This Row],[FGA]],PlayerGameData[FGA],0)/100,0)+PlayerGameData[[#This Row],[PointOrder]]</f>
        <v>1186.1400000000001</v>
      </c>
      <c r="AN683" s="8">
        <f ca="1">RANK(PlayerGameData[[#This Row],[PointTieBreak]],PlayerGameData[PointTieBreak],1)</f>
        <v>625</v>
      </c>
      <c r="AO683" s="8">
        <f ca="1">RANK(PlayerGameData[[#This Row],[REB]],PlayerGameData[REB],0)+PlayerGameData[[#This Row],[VisibleOrder]]</f>
        <v>1191</v>
      </c>
      <c r="AP683" s="8">
        <f ca="1">IF(COUNTIF(PlayerGameData[REBOrder],PlayerGameData[[#This Row],[REBOrder]])&gt;1,PlayerGameData[[#This Row],[PointRank]]/100+PlayerGameData[[#This Row],[REBOrder]],PlayerGameData[[#This Row],[REBOrder]])</f>
        <v>1197.25</v>
      </c>
      <c r="AQ683" s="8">
        <f ca="1">RANK(PlayerGameData[[#This Row],[REBTieBreak]],PlayerGameData[REBTieBreak],1)</f>
        <v>625</v>
      </c>
      <c r="AR683" s="8">
        <f ca="1">RANK(PlayerGameData[[#This Row],[AST]],PlayerGameData[AST],0)+PlayerGameData[[#This Row],[VisibleOrder]]</f>
        <v>1157</v>
      </c>
      <c r="AS683" s="8">
        <f ca="1">IF(COUNTIF(PlayerGameData[ASTOrder],PlayerGameData[[#This Row],[ASTOrder]])&gt;1,PlayerGameData[[#This Row],[PointRank]]/100+PlayerGameData[[#This Row],[ASTOrder]],PlayerGameData[[#This Row],[ASTOrder]])</f>
        <v>1163.25</v>
      </c>
      <c r="AT683" s="8">
        <f ca="1">RANK(PlayerGameData[[#This Row],[ASTTieBreak]],PlayerGameData[ASTTieBreak],1)</f>
        <v>625</v>
      </c>
      <c r="AU683" s="8">
        <f ca="1">RANK(PlayerGameData[[#This Row],[STL]],PlayerGameData[STL],0)+PlayerGameData[[#This Row],[VisibleOrder]]</f>
        <v>1142</v>
      </c>
      <c r="AV683" s="8">
        <f ca="1">IF(COUNTIF(PlayerGameData[STLOrder],PlayerGameData[[#This Row],[STLOrder]])&gt;1,PlayerGameData[[#This Row],[PointRank]]/100+PlayerGameData[[#This Row],[STLOrder]],PlayerGameData[[#This Row],[STLOrder]])</f>
        <v>1148.25</v>
      </c>
      <c r="AW683" s="8">
        <f ca="1">RANK(PlayerGameData[[#This Row],[STLTieBreak]],PlayerGameData[STLTieBreak],1)</f>
        <v>625</v>
      </c>
      <c r="AX683" s="8">
        <f ca="1">RANK(PlayerGameData[[#This Row],[BLK]],PlayerGameData[BLK],0)+PlayerGameData[[#This Row],[VisibleOrder]]</f>
        <v>1031</v>
      </c>
      <c r="AY683" s="8">
        <f ca="1">IF(COUNTIF(PlayerGameData[BLKOrder],PlayerGameData[[#This Row],[BLKOrder]])&gt;1,PlayerGameData[[#This Row],[PointRank]]/100+PlayerGameData[[#This Row],[BLKOrder]],PlayerGameData[[#This Row],[BLKOrder]])</f>
        <v>1037.25</v>
      </c>
      <c r="AZ683" s="8">
        <f ca="1">RANK(PlayerGameData[[#This Row],[BLKTieBreak]],PlayerGameData[BLKTieBreak],1)</f>
        <v>625</v>
      </c>
      <c r="BA683" s="11">
        <f ca="1">IFERROR(IF(PlayerGameData[[#This Row],[FGA]]&gt;$AA$5,PlayerGameData[[#This Row],[FG%*]],PlayerGameData[[#This Row],[FG%*]]*-1),-2)</f>
        <v>-2</v>
      </c>
      <c r="BB683" s="8">
        <f ca="1">RANK(PlayerGameData[[#This Row],[EligFG]],PlayerGameData[EligFG],0)+PlayerGameData[[#This Row],[VisibleOrder]]</f>
        <v>1214</v>
      </c>
      <c r="BC683" s="8">
        <f ca="1">IF(COUNTIF(PlayerGameData[EligFGOrder],PlayerGameData[[#This Row],[EligFGOrder]])&gt;1,PlayerGameData[[#This Row],[PointRank]]/100+PlayerGameData[[#This Row],[EligFGOrder]],PlayerGameData[[#This Row],[EligFGOrder]])</f>
        <v>1220.25</v>
      </c>
      <c r="BD683" s="8">
        <f ca="1">RANK(PlayerGameData[[#This Row],[EligFGTieBreak]],PlayerGameData[EligFGTieBreak],1)</f>
        <v>625</v>
      </c>
      <c r="BE683" s="8" t="str">
        <f>Roster!$D$3</f>
        <v>East</v>
      </c>
      <c r="BF683" s="8" t="str">
        <f>Roster!$D$2</f>
        <v>Northeast</v>
      </c>
      <c r="BG683" s="8" t="str">
        <f>Roster!$D$4</f>
        <v>North</v>
      </c>
      <c r="BH683" s="197">
        <f ca="1">IFERROR(VLOOKUP(CONCATENATE(PlayerGameData[[#This Row],[Opponent]]," ",MONTH(PlayerGameData[[#This Row],[Date]]),"/",DAY(PlayerGameData[[#This Row],[Date]]),"/",YEAR(PlayerGameData[[#This Row],[Date]])),Table35[],2,FALSE),0)</f>
        <v>0</v>
      </c>
      <c r="BI683" s="197">
        <f ca="1">IF(PlayerGameData[[#This Row],[Visible]]=1,1,1000)</f>
        <v>1000</v>
      </c>
      <c r="BJ683" s="197" t="e">
        <f ca="1">_xlfn.MAXIFS(TeamGameData[Win],TeamGameData[School, Opponent,Game'#],PlayerGameData[[#This Row],[School, Opponent,Game'#]])</f>
        <v>#NAME?</v>
      </c>
      <c r="BK683" s="197" t="e">
        <f ca="1">_xlfn.MAXIFS(TeamGameData[Loss],TeamGameData[School, Opponent,Game'#],PlayerGameData[[#This Row],[School, Opponent,Game'#]])</f>
        <v>#NAME?</v>
      </c>
    </row>
    <row r="684" spans="1:63" x14ac:dyDescent="0.25">
      <c r="A684" s="8" t="str">
        <f t="shared" ca="1" si="333"/>
        <v>Carson Barritt, 14</v>
      </c>
      <c r="B684" s="8" t="str">
        <f>Roster!$B$1</f>
        <v>Upton</v>
      </c>
      <c r="C684" s="8">
        <f t="shared" ca="1" si="321"/>
        <v>0</v>
      </c>
      <c r="D684" s="10">
        <f t="shared" ca="1" si="322"/>
        <v>0</v>
      </c>
      <c r="E684" s="8">
        <f t="shared" ca="1" si="323"/>
        <v>0</v>
      </c>
      <c r="F684" s="8">
        <f t="shared" ca="1" si="324"/>
        <v>0</v>
      </c>
      <c r="G684" s="8">
        <f t="shared" ca="1" si="325"/>
        <v>0</v>
      </c>
      <c r="H684" s="8">
        <f t="shared" ca="1" si="326"/>
        <v>0</v>
      </c>
      <c r="I684" s="8">
        <f t="shared" ca="1" si="327"/>
        <v>0</v>
      </c>
      <c r="J684" s="8">
        <f t="shared" ca="1" si="328"/>
        <v>0</v>
      </c>
      <c r="K684" s="8">
        <f t="shared" ca="1" si="329"/>
        <v>0</v>
      </c>
      <c r="L684" s="8">
        <f t="shared" ca="1" si="334"/>
        <v>0</v>
      </c>
      <c r="M684" s="8">
        <f t="shared" ca="1" si="335"/>
        <v>0</v>
      </c>
      <c r="N684" s="8">
        <f t="shared" ca="1" si="336"/>
        <v>0</v>
      </c>
      <c r="O684" s="8">
        <f t="shared" ca="1" si="337"/>
        <v>0</v>
      </c>
      <c r="P684" s="8">
        <f t="shared" ca="1" si="338"/>
        <v>0</v>
      </c>
      <c r="Q684" s="8">
        <f t="shared" ca="1" si="339"/>
        <v>0</v>
      </c>
      <c r="R684" s="8">
        <f t="shared" ca="1" si="340"/>
        <v>0</v>
      </c>
      <c r="S684" s="8">
        <f t="shared" ca="1" si="341"/>
        <v>0</v>
      </c>
      <c r="T684" s="8">
        <f t="shared" ca="1" si="342"/>
        <v>0</v>
      </c>
      <c r="U684" s="8">
        <f t="shared" ca="1" si="343"/>
        <v>0</v>
      </c>
      <c r="V684" s="8">
        <f t="shared" ca="1" si="344"/>
        <v>0</v>
      </c>
      <c r="W684" s="11" t="str">
        <f t="shared" ca="1" si="345"/>
        <v/>
      </c>
      <c r="X684" s="11" t="str">
        <f t="shared" ca="1" si="346"/>
        <v/>
      </c>
      <c r="Y684" s="11" t="str">
        <f t="shared" ca="1" si="347"/>
        <v/>
      </c>
      <c r="Z684" s="11" t="str">
        <f t="shared" ca="1" si="348"/>
        <v/>
      </c>
      <c r="AA684" s="11" t="str">
        <f t="shared" ca="1" si="349"/>
        <v/>
      </c>
      <c r="AB684" s="47">
        <f ca="1">PlayerGameData[[#This Row],[3FGA]]+PlayerGameData[[#This Row],[2FGA]]</f>
        <v>0</v>
      </c>
      <c r="AC684" s="47">
        <f ca="1">PlayerGameData[[#This Row],[OFF REB]]+PlayerGameData[[#This Row],[DEF REB]]</f>
        <v>0</v>
      </c>
      <c r="AD684" s="8">
        <f t="shared" si="330"/>
        <v>29</v>
      </c>
      <c r="AE684" s="8" t="str">
        <f t="shared" ca="1" si="331"/>
        <v>Carson Barritt, 14 - 0 1/0/1900</v>
      </c>
      <c r="AF684" s="8" t="str">
        <f t="shared" ca="1" si="350"/>
        <v/>
      </c>
      <c r="AG684" s="8" t="str">
        <f ca="1">IFERROR(IF(C684=0,"",IF(AND(VLOOKUP(PlayerGameData[[#This Row],[Opponent]],WYTeamInfo,2,FALSE)=Roster!$D$1,VLOOKUP(PlayerGameData[[#This Row],[Opponent]],WYTeamInfo,3,FALSE)=Roster!$D$2),"SR","")),"")</f>
        <v/>
      </c>
      <c r="AH684" s="8" t="str">
        <f>CONCATENATE(Roster!$D$1," ",Roster!$D$5)</f>
        <v>1A BB</v>
      </c>
      <c r="AI684" s="8" t="str">
        <f t="shared" ca="1" si="332"/>
        <v>Blank</v>
      </c>
      <c r="AJ684" s="8">
        <f ca="1">IFERROR(VLOOKUP(PlayerGameData[[#This Row],[School, Opponent,Game'#]],Table3[],2,FALSE),0)</f>
        <v>0</v>
      </c>
      <c r="AK684" s="8">
        <f ca="1">IF(PlayerGameData[[#This Row],[Visible]]=1,1,1000)</f>
        <v>1000</v>
      </c>
      <c r="AL684" s="8">
        <f ca="1">RANK(PlayerGameData[[#This Row],[TL PTS]],PlayerGameData[TL PTS],0)+PlayerGameData[[#This Row],[VisibleOrder]]</f>
        <v>1184</v>
      </c>
      <c r="AM684" s="8">
        <f ca="1">IF(COUNTIF(PlayerGameData[PointOrder],PlayerGameData[[#This Row],[PointOrder]])&gt;1,RANK(PlayerGameData[[#This Row],[FGA]],PlayerGameData[FGA],0)/100,0)+PlayerGameData[[#This Row],[PointOrder]]</f>
        <v>1186.1400000000001</v>
      </c>
      <c r="AN684" s="8">
        <f ca="1">RANK(PlayerGameData[[#This Row],[PointTieBreak]],PlayerGameData[PointTieBreak],1)</f>
        <v>625</v>
      </c>
      <c r="AO684" s="8">
        <f ca="1">RANK(PlayerGameData[[#This Row],[REB]],PlayerGameData[REB],0)+PlayerGameData[[#This Row],[VisibleOrder]]</f>
        <v>1191</v>
      </c>
      <c r="AP684" s="8">
        <f ca="1">IF(COUNTIF(PlayerGameData[REBOrder],PlayerGameData[[#This Row],[REBOrder]])&gt;1,PlayerGameData[[#This Row],[PointRank]]/100+PlayerGameData[[#This Row],[REBOrder]],PlayerGameData[[#This Row],[REBOrder]])</f>
        <v>1197.25</v>
      </c>
      <c r="AQ684" s="8">
        <f ca="1">RANK(PlayerGameData[[#This Row],[REBTieBreak]],PlayerGameData[REBTieBreak],1)</f>
        <v>625</v>
      </c>
      <c r="AR684" s="8">
        <f ca="1">RANK(PlayerGameData[[#This Row],[AST]],PlayerGameData[AST],0)+PlayerGameData[[#This Row],[VisibleOrder]]</f>
        <v>1157</v>
      </c>
      <c r="AS684" s="8">
        <f ca="1">IF(COUNTIF(PlayerGameData[ASTOrder],PlayerGameData[[#This Row],[ASTOrder]])&gt;1,PlayerGameData[[#This Row],[PointRank]]/100+PlayerGameData[[#This Row],[ASTOrder]],PlayerGameData[[#This Row],[ASTOrder]])</f>
        <v>1163.25</v>
      </c>
      <c r="AT684" s="8">
        <f ca="1">RANK(PlayerGameData[[#This Row],[ASTTieBreak]],PlayerGameData[ASTTieBreak],1)</f>
        <v>625</v>
      </c>
      <c r="AU684" s="8">
        <f ca="1">RANK(PlayerGameData[[#This Row],[STL]],PlayerGameData[STL],0)+PlayerGameData[[#This Row],[VisibleOrder]]</f>
        <v>1142</v>
      </c>
      <c r="AV684" s="8">
        <f ca="1">IF(COUNTIF(PlayerGameData[STLOrder],PlayerGameData[[#This Row],[STLOrder]])&gt;1,PlayerGameData[[#This Row],[PointRank]]/100+PlayerGameData[[#This Row],[STLOrder]],PlayerGameData[[#This Row],[STLOrder]])</f>
        <v>1148.25</v>
      </c>
      <c r="AW684" s="8">
        <f ca="1">RANK(PlayerGameData[[#This Row],[STLTieBreak]],PlayerGameData[STLTieBreak],1)</f>
        <v>625</v>
      </c>
      <c r="AX684" s="8">
        <f ca="1">RANK(PlayerGameData[[#This Row],[BLK]],PlayerGameData[BLK],0)+PlayerGameData[[#This Row],[VisibleOrder]]</f>
        <v>1031</v>
      </c>
      <c r="AY684" s="8">
        <f ca="1">IF(COUNTIF(PlayerGameData[BLKOrder],PlayerGameData[[#This Row],[BLKOrder]])&gt;1,PlayerGameData[[#This Row],[PointRank]]/100+PlayerGameData[[#This Row],[BLKOrder]],PlayerGameData[[#This Row],[BLKOrder]])</f>
        <v>1037.25</v>
      </c>
      <c r="AZ684" s="8">
        <f ca="1">RANK(PlayerGameData[[#This Row],[BLKTieBreak]],PlayerGameData[BLKTieBreak],1)</f>
        <v>625</v>
      </c>
      <c r="BA684" s="11">
        <f ca="1">IFERROR(IF(PlayerGameData[[#This Row],[FGA]]&gt;$AA$5,PlayerGameData[[#This Row],[FG%*]],PlayerGameData[[#This Row],[FG%*]]*-1),-2)</f>
        <v>-2</v>
      </c>
      <c r="BB684" s="8">
        <f ca="1">RANK(PlayerGameData[[#This Row],[EligFG]],PlayerGameData[EligFG],0)+PlayerGameData[[#This Row],[VisibleOrder]]</f>
        <v>1214</v>
      </c>
      <c r="BC684" s="8">
        <f ca="1">IF(COUNTIF(PlayerGameData[EligFGOrder],PlayerGameData[[#This Row],[EligFGOrder]])&gt;1,PlayerGameData[[#This Row],[PointRank]]/100+PlayerGameData[[#This Row],[EligFGOrder]],PlayerGameData[[#This Row],[EligFGOrder]])</f>
        <v>1220.25</v>
      </c>
      <c r="BD684" s="8">
        <f ca="1">RANK(PlayerGameData[[#This Row],[EligFGTieBreak]],PlayerGameData[EligFGTieBreak],1)</f>
        <v>625</v>
      </c>
      <c r="BE684" s="8" t="str">
        <f>Roster!$D$3</f>
        <v>East</v>
      </c>
      <c r="BF684" s="8" t="str">
        <f>Roster!$D$2</f>
        <v>Northeast</v>
      </c>
      <c r="BG684" s="8" t="str">
        <f>Roster!$D$4</f>
        <v>North</v>
      </c>
      <c r="BH684" s="197">
        <f ca="1">IFERROR(VLOOKUP(CONCATENATE(PlayerGameData[[#This Row],[Opponent]]," ",MONTH(PlayerGameData[[#This Row],[Date]]),"/",DAY(PlayerGameData[[#This Row],[Date]]),"/",YEAR(PlayerGameData[[#This Row],[Date]])),Table35[],2,FALSE),0)</f>
        <v>0</v>
      </c>
      <c r="BI684" s="197">
        <f ca="1">IF(PlayerGameData[[#This Row],[Visible]]=1,1,1000)</f>
        <v>1000</v>
      </c>
      <c r="BJ684" s="197" t="e">
        <f ca="1">_xlfn.MAXIFS(TeamGameData[Win],TeamGameData[School, Opponent,Game'#],PlayerGameData[[#This Row],[School, Opponent,Game'#]])</f>
        <v>#NAME?</v>
      </c>
      <c r="BK684" s="197" t="e">
        <f ca="1">_xlfn.MAXIFS(TeamGameData[Loss],TeamGameData[School, Opponent,Game'#],PlayerGameData[[#This Row],[School, Opponent,Game'#]])</f>
        <v>#NAME?</v>
      </c>
    </row>
    <row r="685" spans="1:63" x14ac:dyDescent="0.25">
      <c r="A685" s="8" t="str">
        <f t="shared" ca="1" si="333"/>
        <v>Ben Carpenter, 21</v>
      </c>
      <c r="B685" s="8" t="str">
        <f>Roster!$B$1</f>
        <v>Upton</v>
      </c>
      <c r="C685" s="8">
        <f t="shared" ca="1" si="321"/>
        <v>0</v>
      </c>
      <c r="D685" s="10">
        <f t="shared" ca="1" si="322"/>
        <v>0</v>
      </c>
      <c r="E685" s="8">
        <f t="shared" ca="1" si="323"/>
        <v>0</v>
      </c>
      <c r="F685" s="8">
        <f t="shared" ca="1" si="324"/>
        <v>0</v>
      </c>
      <c r="G685" s="8">
        <f t="shared" ca="1" si="325"/>
        <v>0</v>
      </c>
      <c r="H685" s="8">
        <f t="shared" ca="1" si="326"/>
        <v>0</v>
      </c>
      <c r="I685" s="8">
        <f t="shared" ca="1" si="327"/>
        <v>0</v>
      </c>
      <c r="J685" s="8">
        <f t="shared" ca="1" si="328"/>
        <v>0</v>
      </c>
      <c r="K685" s="8">
        <f t="shared" ca="1" si="329"/>
        <v>0</v>
      </c>
      <c r="L685" s="8">
        <f t="shared" ca="1" si="334"/>
        <v>0</v>
      </c>
      <c r="M685" s="8">
        <f t="shared" ca="1" si="335"/>
        <v>0</v>
      </c>
      <c r="N685" s="8">
        <f t="shared" ca="1" si="336"/>
        <v>0</v>
      </c>
      <c r="O685" s="8">
        <f t="shared" ca="1" si="337"/>
        <v>0</v>
      </c>
      <c r="P685" s="8">
        <f t="shared" ca="1" si="338"/>
        <v>0</v>
      </c>
      <c r="Q685" s="8">
        <f t="shared" ca="1" si="339"/>
        <v>0</v>
      </c>
      <c r="R685" s="8">
        <f t="shared" ca="1" si="340"/>
        <v>0</v>
      </c>
      <c r="S685" s="8">
        <f t="shared" ca="1" si="341"/>
        <v>0</v>
      </c>
      <c r="T685" s="8">
        <f t="shared" ca="1" si="342"/>
        <v>0</v>
      </c>
      <c r="U685" s="8">
        <f t="shared" ca="1" si="343"/>
        <v>0</v>
      </c>
      <c r="V685" s="8">
        <f t="shared" ca="1" si="344"/>
        <v>0</v>
      </c>
      <c r="W685" s="11" t="str">
        <f t="shared" ca="1" si="345"/>
        <v/>
      </c>
      <c r="X685" s="11" t="str">
        <f t="shared" ca="1" si="346"/>
        <v/>
      </c>
      <c r="Y685" s="11" t="str">
        <f t="shared" ca="1" si="347"/>
        <v/>
      </c>
      <c r="Z685" s="11" t="str">
        <f t="shared" ca="1" si="348"/>
        <v/>
      </c>
      <c r="AA685" s="11" t="str">
        <f t="shared" ca="1" si="349"/>
        <v/>
      </c>
      <c r="AB685" s="47">
        <f ca="1">PlayerGameData[[#This Row],[3FGA]]+PlayerGameData[[#This Row],[2FGA]]</f>
        <v>0</v>
      </c>
      <c r="AC685" s="47">
        <f ca="1">PlayerGameData[[#This Row],[OFF REB]]+PlayerGameData[[#This Row],[DEF REB]]</f>
        <v>0</v>
      </c>
      <c r="AD685" s="8">
        <f t="shared" si="330"/>
        <v>29</v>
      </c>
      <c r="AE685" s="8" t="str">
        <f t="shared" ca="1" si="331"/>
        <v>Ben Carpenter, 21 - 0 1/0/1900</v>
      </c>
      <c r="AF685" s="8" t="str">
        <f t="shared" ca="1" si="350"/>
        <v/>
      </c>
      <c r="AG685" s="8" t="str">
        <f ca="1">IFERROR(IF(C685=0,"",IF(AND(VLOOKUP(PlayerGameData[[#This Row],[Opponent]],WYTeamInfo,2,FALSE)=Roster!$D$1,VLOOKUP(PlayerGameData[[#This Row],[Opponent]],WYTeamInfo,3,FALSE)=Roster!$D$2),"SR","")),"")</f>
        <v/>
      </c>
      <c r="AH685" s="8" t="str">
        <f>CONCATENATE(Roster!$D$1," ",Roster!$D$5)</f>
        <v>1A BB</v>
      </c>
      <c r="AI685" s="8" t="str">
        <f t="shared" ca="1" si="332"/>
        <v>Blank</v>
      </c>
      <c r="AJ685" s="8">
        <f ca="1">IFERROR(VLOOKUP(PlayerGameData[[#This Row],[School, Opponent,Game'#]],Table3[],2,FALSE),0)</f>
        <v>0</v>
      </c>
      <c r="AK685" s="8">
        <f ca="1">IF(PlayerGameData[[#This Row],[Visible]]=1,1,1000)</f>
        <v>1000</v>
      </c>
      <c r="AL685" s="8">
        <f ca="1">RANK(PlayerGameData[[#This Row],[TL PTS]],PlayerGameData[TL PTS],0)+PlayerGameData[[#This Row],[VisibleOrder]]</f>
        <v>1184</v>
      </c>
      <c r="AM685" s="8">
        <f ca="1">IF(COUNTIF(PlayerGameData[PointOrder],PlayerGameData[[#This Row],[PointOrder]])&gt;1,RANK(PlayerGameData[[#This Row],[FGA]],PlayerGameData[FGA],0)/100,0)+PlayerGameData[[#This Row],[PointOrder]]</f>
        <v>1186.1400000000001</v>
      </c>
      <c r="AN685" s="8">
        <f ca="1">RANK(PlayerGameData[[#This Row],[PointTieBreak]],PlayerGameData[PointTieBreak],1)</f>
        <v>625</v>
      </c>
      <c r="AO685" s="8">
        <f ca="1">RANK(PlayerGameData[[#This Row],[REB]],PlayerGameData[REB],0)+PlayerGameData[[#This Row],[VisibleOrder]]</f>
        <v>1191</v>
      </c>
      <c r="AP685" s="8">
        <f ca="1">IF(COUNTIF(PlayerGameData[REBOrder],PlayerGameData[[#This Row],[REBOrder]])&gt;1,PlayerGameData[[#This Row],[PointRank]]/100+PlayerGameData[[#This Row],[REBOrder]],PlayerGameData[[#This Row],[REBOrder]])</f>
        <v>1197.25</v>
      </c>
      <c r="AQ685" s="8">
        <f ca="1">RANK(PlayerGameData[[#This Row],[REBTieBreak]],PlayerGameData[REBTieBreak],1)</f>
        <v>625</v>
      </c>
      <c r="AR685" s="8">
        <f ca="1">RANK(PlayerGameData[[#This Row],[AST]],PlayerGameData[AST],0)+PlayerGameData[[#This Row],[VisibleOrder]]</f>
        <v>1157</v>
      </c>
      <c r="AS685" s="8">
        <f ca="1">IF(COUNTIF(PlayerGameData[ASTOrder],PlayerGameData[[#This Row],[ASTOrder]])&gt;1,PlayerGameData[[#This Row],[PointRank]]/100+PlayerGameData[[#This Row],[ASTOrder]],PlayerGameData[[#This Row],[ASTOrder]])</f>
        <v>1163.25</v>
      </c>
      <c r="AT685" s="8">
        <f ca="1">RANK(PlayerGameData[[#This Row],[ASTTieBreak]],PlayerGameData[ASTTieBreak],1)</f>
        <v>625</v>
      </c>
      <c r="AU685" s="8">
        <f ca="1">RANK(PlayerGameData[[#This Row],[STL]],PlayerGameData[STL],0)+PlayerGameData[[#This Row],[VisibleOrder]]</f>
        <v>1142</v>
      </c>
      <c r="AV685" s="8">
        <f ca="1">IF(COUNTIF(PlayerGameData[STLOrder],PlayerGameData[[#This Row],[STLOrder]])&gt;1,PlayerGameData[[#This Row],[PointRank]]/100+PlayerGameData[[#This Row],[STLOrder]],PlayerGameData[[#This Row],[STLOrder]])</f>
        <v>1148.25</v>
      </c>
      <c r="AW685" s="8">
        <f ca="1">RANK(PlayerGameData[[#This Row],[STLTieBreak]],PlayerGameData[STLTieBreak],1)</f>
        <v>625</v>
      </c>
      <c r="AX685" s="8">
        <f ca="1">RANK(PlayerGameData[[#This Row],[BLK]],PlayerGameData[BLK],0)+PlayerGameData[[#This Row],[VisibleOrder]]</f>
        <v>1031</v>
      </c>
      <c r="AY685" s="8">
        <f ca="1">IF(COUNTIF(PlayerGameData[BLKOrder],PlayerGameData[[#This Row],[BLKOrder]])&gt;1,PlayerGameData[[#This Row],[PointRank]]/100+PlayerGameData[[#This Row],[BLKOrder]],PlayerGameData[[#This Row],[BLKOrder]])</f>
        <v>1037.25</v>
      </c>
      <c r="AZ685" s="8">
        <f ca="1">RANK(PlayerGameData[[#This Row],[BLKTieBreak]],PlayerGameData[BLKTieBreak],1)</f>
        <v>625</v>
      </c>
      <c r="BA685" s="11">
        <f ca="1">IFERROR(IF(PlayerGameData[[#This Row],[FGA]]&gt;$AA$5,PlayerGameData[[#This Row],[FG%*]],PlayerGameData[[#This Row],[FG%*]]*-1),-2)</f>
        <v>-2</v>
      </c>
      <c r="BB685" s="8">
        <f ca="1">RANK(PlayerGameData[[#This Row],[EligFG]],PlayerGameData[EligFG],0)+PlayerGameData[[#This Row],[VisibleOrder]]</f>
        <v>1214</v>
      </c>
      <c r="BC685" s="8">
        <f ca="1">IF(COUNTIF(PlayerGameData[EligFGOrder],PlayerGameData[[#This Row],[EligFGOrder]])&gt;1,PlayerGameData[[#This Row],[PointRank]]/100+PlayerGameData[[#This Row],[EligFGOrder]],PlayerGameData[[#This Row],[EligFGOrder]])</f>
        <v>1220.25</v>
      </c>
      <c r="BD685" s="8">
        <f ca="1">RANK(PlayerGameData[[#This Row],[EligFGTieBreak]],PlayerGameData[EligFGTieBreak],1)</f>
        <v>625</v>
      </c>
      <c r="BE685" s="8" t="str">
        <f>Roster!$D$3</f>
        <v>East</v>
      </c>
      <c r="BF685" s="8" t="str">
        <f>Roster!$D$2</f>
        <v>Northeast</v>
      </c>
      <c r="BG685" s="8" t="str">
        <f>Roster!$D$4</f>
        <v>North</v>
      </c>
      <c r="BH685" s="197">
        <f ca="1">IFERROR(VLOOKUP(CONCATENATE(PlayerGameData[[#This Row],[Opponent]]," ",MONTH(PlayerGameData[[#This Row],[Date]]),"/",DAY(PlayerGameData[[#This Row],[Date]]),"/",YEAR(PlayerGameData[[#This Row],[Date]])),Table35[],2,FALSE),0)</f>
        <v>0</v>
      </c>
      <c r="BI685" s="197">
        <f ca="1">IF(PlayerGameData[[#This Row],[Visible]]=1,1,1000)</f>
        <v>1000</v>
      </c>
      <c r="BJ685" s="197" t="e">
        <f ca="1">_xlfn.MAXIFS(TeamGameData[Win],TeamGameData[School, Opponent,Game'#],PlayerGameData[[#This Row],[School, Opponent,Game'#]])</f>
        <v>#NAME?</v>
      </c>
      <c r="BK685" s="197" t="e">
        <f ca="1">_xlfn.MAXIFS(TeamGameData[Loss],TeamGameData[School, Opponent,Game'#],PlayerGameData[[#This Row],[School, Opponent,Game'#]])</f>
        <v>#NAME?</v>
      </c>
    </row>
    <row r="686" spans="1:63" x14ac:dyDescent="0.25">
      <c r="A686" s="8" t="str">
        <f t="shared" ca="1" si="333"/>
        <v>Ethan Schiller, 23</v>
      </c>
      <c r="B686" s="8" t="str">
        <f>Roster!$B$1</f>
        <v>Upton</v>
      </c>
      <c r="C686" s="8">
        <f t="shared" ca="1" si="321"/>
        <v>0</v>
      </c>
      <c r="D686" s="10">
        <f t="shared" ca="1" si="322"/>
        <v>0</v>
      </c>
      <c r="E686" s="8">
        <f t="shared" ca="1" si="323"/>
        <v>0</v>
      </c>
      <c r="F686" s="8">
        <f t="shared" ca="1" si="324"/>
        <v>0</v>
      </c>
      <c r="G686" s="8">
        <f t="shared" ca="1" si="325"/>
        <v>0</v>
      </c>
      <c r="H686" s="8">
        <f t="shared" ca="1" si="326"/>
        <v>0</v>
      </c>
      <c r="I686" s="8">
        <f t="shared" ca="1" si="327"/>
        <v>0</v>
      </c>
      <c r="J686" s="8">
        <f t="shared" ca="1" si="328"/>
        <v>0</v>
      </c>
      <c r="K686" s="8">
        <f t="shared" ca="1" si="329"/>
        <v>0</v>
      </c>
      <c r="L686" s="8">
        <f t="shared" ca="1" si="334"/>
        <v>0</v>
      </c>
      <c r="M686" s="8">
        <f t="shared" ca="1" si="335"/>
        <v>0</v>
      </c>
      <c r="N686" s="8">
        <f t="shared" ca="1" si="336"/>
        <v>0</v>
      </c>
      <c r="O686" s="8">
        <f t="shared" ca="1" si="337"/>
        <v>0</v>
      </c>
      <c r="P686" s="8">
        <f t="shared" ca="1" si="338"/>
        <v>0</v>
      </c>
      <c r="Q686" s="8">
        <f t="shared" ca="1" si="339"/>
        <v>0</v>
      </c>
      <c r="R686" s="8">
        <f t="shared" ca="1" si="340"/>
        <v>0</v>
      </c>
      <c r="S686" s="8">
        <f t="shared" ca="1" si="341"/>
        <v>0</v>
      </c>
      <c r="T686" s="8">
        <f t="shared" ca="1" si="342"/>
        <v>0</v>
      </c>
      <c r="U686" s="8">
        <f t="shared" ca="1" si="343"/>
        <v>0</v>
      </c>
      <c r="V686" s="8">
        <f t="shared" ca="1" si="344"/>
        <v>0</v>
      </c>
      <c r="W686" s="11" t="str">
        <f t="shared" ca="1" si="345"/>
        <v/>
      </c>
      <c r="X686" s="11" t="str">
        <f t="shared" ca="1" si="346"/>
        <v/>
      </c>
      <c r="Y686" s="11" t="str">
        <f t="shared" ca="1" si="347"/>
        <v/>
      </c>
      <c r="Z686" s="11" t="str">
        <f t="shared" ca="1" si="348"/>
        <v/>
      </c>
      <c r="AA686" s="11" t="str">
        <f t="shared" ca="1" si="349"/>
        <v/>
      </c>
      <c r="AB686" s="47">
        <f ca="1">PlayerGameData[[#This Row],[3FGA]]+PlayerGameData[[#This Row],[2FGA]]</f>
        <v>0</v>
      </c>
      <c r="AC686" s="47">
        <f ca="1">PlayerGameData[[#This Row],[OFF REB]]+PlayerGameData[[#This Row],[DEF REB]]</f>
        <v>0</v>
      </c>
      <c r="AD686" s="8">
        <f t="shared" si="330"/>
        <v>29</v>
      </c>
      <c r="AE686" s="8" t="str">
        <f t="shared" ca="1" si="331"/>
        <v>Ethan Schiller, 23 - 0 1/0/1900</v>
      </c>
      <c r="AF686" s="8" t="str">
        <f t="shared" ca="1" si="350"/>
        <v/>
      </c>
      <c r="AG686" s="8" t="str">
        <f ca="1">IFERROR(IF(C686=0,"",IF(AND(VLOOKUP(PlayerGameData[[#This Row],[Opponent]],WYTeamInfo,2,FALSE)=Roster!$D$1,VLOOKUP(PlayerGameData[[#This Row],[Opponent]],WYTeamInfo,3,FALSE)=Roster!$D$2),"SR","")),"")</f>
        <v/>
      </c>
      <c r="AH686" s="8" t="str">
        <f>CONCATENATE(Roster!$D$1," ",Roster!$D$5)</f>
        <v>1A BB</v>
      </c>
      <c r="AI686" s="8" t="str">
        <f t="shared" ca="1" si="332"/>
        <v>Blank</v>
      </c>
      <c r="AJ686" s="8">
        <f ca="1">IFERROR(VLOOKUP(PlayerGameData[[#This Row],[School, Opponent,Game'#]],Table3[],2,FALSE),0)</f>
        <v>0</v>
      </c>
      <c r="AK686" s="8">
        <f ca="1">IF(PlayerGameData[[#This Row],[Visible]]=1,1,1000)</f>
        <v>1000</v>
      </c>
      <c r="AL686" s="8">
        <f ca="1">RANK(PlayerGameData[[#This Row],[TL PTS]],PlayerGameData[TL PTS],0)+PlayerGameData[[#This Row],[VisibleOrder]]</f>
        <v>1184</v>
      </c>
      <c r="AM686" s="8">
        <f ca="1">IF(COUNTIF(PlayerGameData[PointOrder],PlayerGameData[[#This Row],[PointOrder]])&gt;1,RANK(PlayerGameData[[#This Row],[FGA]],PlayerGameData[FGA],0)/100,0)+PlayerGameData[[#This Row],[PointOrder]]</f>
        <v>1186.1400000000001</v>
      </c>
      <c r="AN686" s="8">
        <f ca="1">RANK(PlayerGameData[[#This Row],[PointTieBreak]],PlayerGameData[PointTieBreak],1)</f>
        <v>625</v>
      </c>
      <c r="AO686" s="8">
        <f ca="1">RANK(PlayerGameData[[#This Row],[REB]],PlayerGameData[REB],0)+PlayerGameData[[#This Row],[VisibleOrder]]</f>
        <v>1191</v>
      </c>
      <c r="AP686" s="8">
        <f ca="1">IF(COUNTIF(PlayerGameData[REBOrder],PlayerGameData[[#This Row],[REBOrder]])&gt;1,PlayerGameData[[#This Row],[PointRank]]/100+PlayerGameData[[#This Row],[REBOrder]],PlayerGameData[[#This Row],[REBOrder]])</f>
        <v>1197.25</v>
      </c>
      <c r="AQ686" s="8">
        <f ca="1">RANK(PlayerGameData[[#This Row],[REBTieBreak]],PlayerGameData[REBTieBreak],1)</f>
        <v>625</v>
      </c>
      <c r="AR686" s="8">
        <f ca="1">RANK(PlayerGameData[[#This Row],[AST]],PlayerGameData[AST],0)+PlayerGameData[[#This Row],[VisibleOrder]]</f>
        <v>1157</v>
      </c>
      <c r="AS686" s="8">
        <f ca="1">IF(COUNTIF(PlayerGameData[ASTOrder],PlayerGameData[[#This Row],[ASTOrder]])&gt;1,PlayerGameData[[#This Row],[PointRank]]/100+PlayerGameData[[#This Row],[ASTOrder]],PlayerGameData[[#This Row],[ASTOrder]])</f>
        <v>1163.25</v>
      </c>
      <c r="AT686" s="8">
        <f ca="1">RANK(PlayerGameData[[#This Row],[ASTTieBreak]],PlayerGameData[ASTTieBreak],1)</f>
        <v>625</v>
      </c>
      <c r="AU686" s="8">
        <f ca="1">RANK(PlayerGameData[[#This Row],[STL]],PlayerGameData[STL],0)+PlayerGameData[[#This Row],[VisibleOrder]]</f>
        <v>1142</v>
      </c>
      <c r="AV686" s="8">
        <f ca="1">IF(COUNTIF(PlayerGameData[STLOrder],PlayerGameData[[#This Row],[STLOrder]])&gt;1,PlayerGameData[[#This Row],[PointRank]]/100+PlayerGameData[[#This Row],[STLOrder]],PlayerGameData[[#This Row],[STLOrder]])</f>
        <v>1148.25</v>
      </c>
      <c r="AW686" s="8">
        <f ca="1">RANK(PlayerGameData[[#This Row],[STLTieBreak]],PlayerGameData[STLTieBreak],1)</f>
        <v>625</v>
      </c>
      <c r="AX686" s="8">
        <f ca="1">RANK(PlayerGameData[[#This Row],[BLK]],PlayerGameData[BLK],0)+PlayerGameData[[#This Row],[VisibleOrder]]</f>
        <v>1031</v>
      </c>
      <c r="AY686" s="8">
        <f ca="1">IF(COUNTIF(PlayerGameData[BLKOrder],PlayerGameData[[#This Row],[BLKOrder]])&gt;1,PlayerGameData[[#This Row],[PointRank]]/100+PlayerGameData[[#This Row],[BLKOrder]],PlayerGameData[[#This Row],[BLKOrder]])</f>
        <v>1037.25</v>
      </c>
      <c r="AZ686" s="8">
        <f ca="1">RANK(PlayerGameData[[#This Row],[BLKTieBreak]],PlayerGameData[BLKTieBreak],1)</f>
        <v>625</v>
      </c>
      <c r="BA686" s="11">
        <f ca="1">IFERROR(IF(PlayerGameData[[#This Row],[FGA]]&gt;$AA$5,PlayerGameData[[#This Row],[FG%*]],PlayerGameData[[#This Row],[FG%*]]*-1),-2)</f>
        <v>-2</v>
      </c>
      <c r="BB686" s="8">
        <f ca="1">RANK(PlayerGameData[[#This Row],[EligFG]],PlayerGameData[EligFG],0)+PlayerGameData[[#This Row],[VisibleOrder]]</f>
        <v>1214</v>
      </c>
      <c r="BC686" s="8">
        <f ca="1">IF(COUNTIF(PlayerGameData[EligFGOrder],PlayerGameData[[#This Row],[EligFGOrder]])&gt;1,PlayerGameData[[#This Row],[PointRank]]/100+PlayerGameData[[#This Row],[EligFGOrder]],PlayerGameData[[#This Row],[EligFGOrder]])</f>
        <v>1220.25</v>
      </c>
      <c r="BD686" s="8">
        <f ca="1">RANK(PlayerGameData[[#This Row],[EligFGTieBreak]],PlayerGameData[EligFGTieBreak],1)</f>
        <v>625</v>
      </c>
      <c r="BE686" s="8" t="str">
        <f>Roster!$D$3</f>
        <v>East</v>
      </c>
      <c r="BF686" s="8" t="str">
        <f>Roster!$D$2</f>
        <v>Northeast</v>
      </c>
      <c r="BG686" s="8" t="str">
        <f>Roster!$D$4</f>
        <v>North</v>
      </c>
      <c r="BH686" s="197">
        <f ca="1">IFERROR(VLOOKUP(CONCATENATE(PlayerGameData[[#This Row],[Opponent]]," ",MONTH(PlayerGameData[[#This Row],[Date]]),"/",DAY(PlayerGameData[[#This Row],[Date]]),"/",YEAR(PlayerGameData[[#This Row],[Date]])),Table35[],2,FALSE),0)</f>
        <v>0</v>
      </c>
      <c r="BI686" s="197">
        <f ca="1">IF(PlayerGameData[[#This Row],[Visible]]=1,1,1000)</f>
        <v>1000</v>
      </c>
      <c r="BJ686" s="197" t="e">
        <f ca="1">_xlfn.MAXIFS(TeamGameData[Win],TeamGameData[School, Opponent,Game'#],PlayerGameData[[#This Row],[School, Opponent,Game'#]])</f>
        <v>#NAME?</v>
      </c>
      <c r="BK686" s="197" t="e">
        <f ca="1">_xlfn.MAXIFS(TeamGameData[Loss],TeamGameData[School, Opponent,Game'#],PlayerGameData[[#This Row],[School, Opponent,Game'#]])</f>
        <v>#NAME?</v>
      </c>
    </row>
    <row r="687" spans="1:63" x14ac:dyDescent="0.25">
      <c r="A687" s="8" t="str">
        <f t="shared" ca="1" si="333"/>
        <v>Bridger Bruce, 25</v>
      </c>
      <c r="B687" s="8" t="str">
        <f>Roster!$B$1</f>
        <v>Upton</v>
      </c>
      <c r="C687" s="8">
        <f t="shared" ca="1" si="321"/>
        <v>0</v>
      </c>
      <c r="D687" s="10">
        <f t="shared" ca="1" si="322"/>
        <v>0</v>
      </c>
      <c r="E687" s="8">
        <f t="shared" ca="1" si="323"/>
        <v>0</v>
      </c>
      <c r="F687" s="8">
        <f t="shared" ca="1" si="324"/>
        <v>0</v>
      </c>
      <c r="G687" s="8">
        <f t="shared" ca="1" si="325"/>
        <v>0</v>
      </c>
      <c r="H687" s="8">
        <f t="shared" ca="1" si="326"/>
        <v>0</v>
      </c>
      <c r="I687" s="8">
        <f t="shared" ca="1" si="327"/>
        <v>0</v>
      </c>
      <c r="J687" s="8">
        <f t="shared" ca="1" si="328"/>
        <v>0</v>
      </c>
      <c r="K687" s="8">
        <f t="shared" ca="1" si="329"/>
        <v>0</v>
      </c>
      <c r="L687" s="8">
        <f t="shared" ca="1" si="334"/>
        <v>0</v>
      </c>
      <c r="M687" s="8">
        <f t="shared" ca="1" si="335"/>
        <v>0</v>
      </c>
      <c r="N687" s="8">
        <f t="shared" ca="1" si="336"/>
        <v>0</v>
      </c>
      <c r="O687" s="8">
        <f t="shared" ca="1" si="337"/>
        <v>0</v>
      </c>
      <c r="P687" s="8">
        <f t="shared" ca="1" si="338"/>
        <v>0</v>
      </c>
      <c r="Q687" s="8">
        <f t="shared" ca="1" si="339"/>
        <v>0</v>
      </c>
      <c r="R687" s="8">
        <f t="shared" ca="1" si="340"/>
        <v>0</v>
      </c>
      <c r="S687" s="8">
        <f t="shared" ca="1" si="341"/>
        <v>0</v>
      </c>
      <c r="T687" s="8">
        <f t="shared" ca="1" si="342"/>
        <v>0</v>
      </c>
      <c r="U687" s="8">
        <f t="shared" ca="1" si="343"/>
        <v>0</v>
      </c>
      <c r="V687" s="8">
        <f t="shared" ca="1" si="344"/>
        <v>0</v>
      </c>
      <c r="W687" s="11" t="str">
        <f t="shared" ca="1" si="345"/>
        <v/>
      </c>
      <c r="X687" s="11" t="str">
        <f t="shared" ca="1" si="346"/>
        <v/>
      </c>
      <c r="Y687" s="11" t="str">
        <f t="shared" ca="1" si="347"/>
        <v/>
      </c>
      <c r="Z687" s="11" t="str">
        <f t="shared" ca="1" si="348"/>
        <v/>
      </c>
      <c r="AA687" s="11" t="str">
        <f t="shared" ca="1" si="349"/>
        <v/>
      </c>
      <c r="AB687" s="47">
        <f ca="1">PlayerGameData[[#This Row],[3FGA]]+PlayerGameData[[#This Row],[2FGA]]</f>
        <v>0</v>
      </c>
      <c r="AC687" s="47">
        <f ca="1">PlayerGameData[[#This Row],[OFF REB]]+PlayerGameData[[#This Row],[DEF REB]]</f>
        <v>0</v>
      </c>
      <c r="AD687" s="8">
        <f t="shared" si="330"/>
        <v>29</v>
      </c>
      <c r="AE687" s="8" t="str">
        <f t="shared" ca="1" si="331"/>
        <v>Bridger Bruce, 25 - 0 1/0/1900</v>
      </c>
      <c r="AF687" s="8" t="str">
        <f t="shared" ca="1" si="350"/>
        <v/>
      </c>
      <c r="AG687" s="8" t="str">
        <f ca="1">IFERROR(IF(C687=0,"",IF(AND(VLOOKUP(PlayerGameData[[#This Row],[Opponent]],WYTeamInfo,2,FALSE)=Roster!$D$1,VLOOKUP(PlayerGameData[[#This Row],[Opponent]],WYTeamInfo,3,FALSE)=Roster!$D$2),"SR","")),"")</f>
        <v/>
      </c>
      <c r="AH687" s="8" t="str">
        <f>CONCATENATE(Roster!$D$1," ",Roster!$D$5)</f>
        <v>1A BB</v>
      </c>
      <c r="AI687" s="8" t="str">
        <f t="shared" ca="1" si="332"/>
        <v>Blank</v>
      </c>
      <c r="AJ687" s="8">
        <f ca="1">IFERROR(VLOOKUP(PlayerGameData[[#This Row],[School, Opponent,Game'#]],Table3[],2,FALSE),0)</f>
        <v>0</v>
      </c>
      <c r="AK687" s="8">
        <f ca="1">IF(PlayerGameData[[#This Row],[Visible]]=1,1,1000)</f>
        <v>1000</v>
      </c>
      <c r="AL687" s="8">
        <f ca="1">RANK(PlayerGameData[[#This Row],[TL PTS]],PlayerGameData[TL PTS],0)+PlayerGameData[[#This Row],[VisibleOrder]]</f>
        <v>1184</v>
      </c>
      <c r="AM687" s="8">
        <f ca="1">IF(COUNTIF(PlayerGameData[PointOrder],PlayerGameData[[#This Row],[PointOrder]])&gt;1,RANK(PlayerGameData[[#This Row],[FGA]],PlayerGameData[FGA],0)/100,0)+PlayerGameData[[#This Row],[PointOrder]]</f>
        <v>1186.1400000000001</v>
      </c>
      <c r="AN687" s="8">
        <f ca="1">RANK(PlayerGameData[[#This Row],[PointTieBreak]],PlayerGameData[PointTieBreak],1)</f>
        <v>625</v>
      </c>
      <c r="AO687" s="8">
        <f ca="1">RANK(PlayerGameData[[#This Row],[REB]],PlayerGameData[REB],0)+PlayerGameData[[#This Row],[VisibleOrder]]</f>
        <v>1191</v>
      </c>
      <c r="AP687" s="8">
        <f ca="1">IF(COUNTIF(PlayerGameData[REBOrder],PlayerGameData[[#This Row],[REBOrder]])&gt;1,PlayerGameData[[#This Row],[PointRank]]/100+PlayerGameData[[#This Row],[REBOrder]],PlayerGameData[[#This Row],[REBOrder]])</f>
        <v>1197.25</v>
      </c>
      <c r="AQ687" s="8">
        <f ca="1">RANK(PlayerGameData[[#This Row],[REBTieBreak]],PlayerGameData[REBTieBreak],1)</f>
        <v>625</v>
      </c>
      <c r="AR687" s="8">
        <f ca="1">RANK(PlayerGameData[[#This Row],[AST]],PlayerGameData[AST],0)+PlayerGameData[[#This Row],[VisibleOrder]]</f>
        <v>1157</v>
      </c>
      <c r="AS687" s="8">
        <f ca="1">IF(COUNTIF(PlayerGameData[ASTOrder],PlayerGameData[[#This Row],[ASTOrder]])&gt;1,PlayerGameData[[#This Row],[PointRank]]/100+PlayerGameData[[#This Row],[ASTOrder]],PlayerGameData[[#This Row],[ASTOrder]])</f>
        <v>1163.25</v>
      </c>
      <c r="AT687" s="8">
        <f ca="1">RANK(PlayerGameData[[#This Row],[ASTTieBreak]],PlayerGameData[ASTTieBreak],1)</f>
        <v>625</v>
      </c>
      <c r="AU687" s="8">
        <f ca="1">RANK(PlayerGameData[[#This Row],[STL]],PlayerGameData[STL],0)+PlayerGameData[[#This Row],[VisibleOrder]]</f>
        <v>1142</v>
      </c>
      <c r="AV687" s="8">
        <f ca="1">IF(COUNTIF(PlayerGameData[STLOrder],PlayerGameData[[#This Row],[STLOrder]])&gt;1,PlayerGameData[[#This Row],[PointRank]]/100+PlayerGameData[[#This Row],[STLOrder]],PlayerGameData[[#This Row],[STLOrder]])</f>
        <v>1148.25</v>
      </c>
      <c r="AW687" s="8">
        <f ca="1">RANK(PlayerGameData[[#This Row],[STLTieBreak]],PlayerGameData[STLTieBreak],1)</f>
        <v>625</v>
      </c>
      <c r="AX687" s="8">
        <f ca="1">RANK(PlayerGameData[[#This Row],[BLK]],PlayerGameData[BLK],0)+PlayerGameData[[#This Row],[VisibleOrder]]</f>
        <v>1031</v>
      </c>
      <c r="AY687" s="8">
        <f ca="1">IF(COUNTIF(PlayerGameData[BLKOrder],PlayerGameData[[#This Row],[BLKOrder]])&gt;1,PlayerGameData[[#This Row],[PointRank]]/100+PlayerGameData[[#This Row],[BLKOrder]],PlayerGameData[[#This Row],[BLKOrder]])</f>
        <v>1037.25</v>
      </c>
      <c r="AZ687" s="8">
        <f ca="1">RANK(PlayerGameData[[#This Row],[BLKTieBreak]],PlayerGameData[BLKTieBreak],1)</f>
        <v>625</v>
      </c>
      <c r="BA687" s="11">
        <f ca="1">IFERROR(IF(PlayerGameData[[#This Row],[FGA]]&gt;$AA$5,PlayerGameData[[#This Row],[FG%*]],PlayerGameData[[#This Row],[FG%*]]*-1),-2)</f>
        <v>-2</v>
      </c>
      <c r="BB687" s="8">
        <f ca="1">RANK(PlayerGameData[[#This Row],[EligFG]],PlayerGameData[EligFG],0)+PlayerGameData[[#This Row],[VisibleOrder]]</f>
        <v>1214</v>
      </c>
      <c r="BC687" s="8">
        <f ca="1">IF(COUNTIF(PlayerGameData[EligFGOrder],PlayerGameData[[#This Row],[EligFGOrder]])&gt;1,PlayerGameData[[#This Row],[PointRank]]/100+PlayerGameData[[#This Row],[EligFGOrder]],PlayerGameData[[#This Row],[EligFGOrder]])</f>
        <v>1220.25</v>
      </c>
      <c r="BD687" s="8">
        <f ca="1">RANK(PlayerGameData[[#This Row],[EligFGTieBreak]],PlayerGameData[EligFGTieBreak],1)</f>
        <v>625</v>
      </c>
      <c r="BE687" s="8" t="str">
        <f>Roster!$D$3</f>
        <v>East</v>
      </c>
      <c r="BF687" s="8" t="str">
        <f>Roster!$D$2</f>
        <v>Northeast</v>
      </c>
      <c r="BG687" s="8" t="str">
        <f>Roster!$D$4</f>
        <v>North</v>
      </c>
      <c r="BH687" s="197">
        <f ca="1">IFERROR(VLOOKUP(CONCATENATE(PlayerGameData[[#This Row],[Opponent]]," ",MONTH(PlayerGameData[[#This Row],[Date]]),"/",DAY(PlayerGameData[[#This Row],[Date]]),"/",YEAR(PlayerGameData[[#This Row],[Date]])),Table35[],2,FALSE),0)</f>
        <v>0</v>
      </c>
      <c r="BI687" s="197">
        <f ca="1">IF(PlayerGameData[[#This Row],[Visible]]=1,1,1000)</f>
        <v>1000</v>
      </c>
      <c r="BJ687" s="197" t="e">
        <f ca="1">_xlfn.MAXIFS(TeamGameData[Win],TeamGameData[School, Opponent,Game'#],PlayerGameData[[#This Row],[School, Opponent,Game'#]])</f>
        <v>#NAME?</v>
      </c>
      <c r="BK687" s="197" t="e">
        <f ca="1">_xlfn.MAXIFS(TeamGameData[Loss],TeamGameData[School, Opponent,Game'#],PlayerGameData[[#This Row],[School, Opponent,Game'#]])</f>
        <v>#NAME?</v>
      </c>
    </row>
    <row r="688" spans="1:63" x14ac:dyDescent="0.25">
      <c r="A688" s="8" t="str">
        <f t="shared" ca="1" si="333"/>
        <v>Kailer Duarte, 31</v>
      </c>
      <c r="B688" s="8" t="str">
        <f>Roster!$B$1</f>
        <v>Upton</v>
      </c>
      <c r="C688" s="8">
        <f t="shared" ca="1" si="321"/>
        <v>0</v>
      </c>
      <c r="D688" s="10">
        <f t="shared" ca="1" si="322"/>
        <v>0</v>
      </c>
      <c r="E688" s="8">
        <f t="shared" ca="1" si="323"/>
        <v>0</v>
      </c>
      <c r="F688" s="8">
        <f t="shared" ca="1" si="324"/>
        <v>0</v>
      </c>
      <c r="G688" s="8">
        <f t="shared" ca="1" si="325"/>
        <v>0</v>
      </c>
      <c r="H688" s="8">
        <f t="shared" ca="1" si="326"/>
        <v>0</v>
      </c>
      <c r="I688" s="8">
        <f t="shared" ca="1" si="327"/>
        <v>0</v>
      </c>
      <c r="J688" s="8">
        <f t="shared" ca="1" si="328"/>
        <v>0</v>
      </c>
      <c r="K688" s="8">
        <f t="shared" ca="1" si="329"/>
        <v>0</v>
      </c>
      <c r="L688" s="8">
        <f t="shared" ca="1" si="334"/>
        <v>0</v>
      </c>
      <c r="M688" s="8">
        <f t="shared" ca="1" si="335"/>
        <v>0</v>
      </c>
      <c r="N688" s="8">
        <f t="shared" ca="1" si="336"/>
        <v>0</v>
      </c>
      <c r="O688" s="8">
        <f t="shared" ca="1" si="337"/>
        <v>0</v>
      </c>
      <c r="P688" s="8">
        <f t="shared" ca="1" si="338"/>
        <v>0</v>
      </c>
      <c r="Q688" s="8">
        <f t="shared" ca="1" si="339"/>
        <v>0</v>
      </c>
      <c r="R688" s="8">
        <f t="shared" ca="1" si="340"/>
        <v>0</v>
      </c>
      <c r="S688" s="8">
        <f t="shared" ca="1" si="341"/>
        <v>0</v>
      </c>
      <c r="T688" s="8">
        <f t="shared" ca="1" si="342"/>
        <v>0</v>
      </c>
      <c r="U688" s="8">
        <f t="shared" ca="1" si="343"/>
        <v>0</v>
      </c>
      <c r="V688" s="8">
        <f t="shared" ca="1" si="344"/>
        <v>0</v>
      </c>
      <c r="W688" s="11" t="str">
        <f t="shared" ca="1" si="345"/>
        <v/>
      </c>
      <c r="X688" s="11" t="str">
        <f t="shared" ca="1" si="346"/>
        <v/>
      </c>
      <c r="Y688" s="11" t="str">
        <f t="shared" ca="1" si="347"/>
        <v/>
      </c>
      <c r="Z688" s="11" t="str">
        <f t="shared" ca="1" si="348"/>
        <v/>
      </c>
      <c r="AA688" s="11" t="str">
        <f t="shared" ca="1" si="349"/>
        <v/>
      </c>
      <c r="AB688" s="47">
        <f ca="1">PlayerGameData[[#This Row],[3FGA]]+PlayerGameData[[#This Row],[2FGA]]</f>
        <v>0</v>
      </c>
      <c r="AC688" s="47">
        <f ca="1">PlayerGameData[[#This Row],[OFF REB]]+PlayerGameData[[#This Row],[DEF REB]]</f>
        <v>0</v>
      </c>
      <c r="AD688" s="8">
        <f t="shared" si="330"/>
        <v>29</v>
      </c>
      <c r="AE688" s="8" t="str">
        <f t="shared" ca="1" si="331"/>
        <v>Kailer Duarte, 31 - 0 1/0/1900</v>
      </c>
      <c r="AF688" s="8" t="str">
        <f t="shared" ca="1" si="350"/>
        <v/>
      </c>
      <c r="AG688" s="8" t="str">
        <f ca="1">IFERROR(IF(C688=0,"",IF(AND(VLOOKUP(PlayerGameData[[#This Row],[Opponent]],WYTeamInfo,2,FALSE)=Roster!$D$1,VLOOKUP(PlayerGameData[[#This Row],[Opponent]],WYTeamInfo,3,FALSE)=Roster!$D$2),"SR","")),"")</f>
        <v/>
      </c>
      <c r="AH688" s="8" t="str">
        <f>CONCATENATE(Roster!$D$1," ",Roster!$D$5)</f>
        <v>1A BB</v>
      </c>
      <c r="AI688" s="8" t="str">
        <f t="shared" ca="1" si="332"/>
        <v>Blank</v>
      </c>
      <c r="AJ688" s="8">
        <f ca="1">IFERROR(VLOOKUP(PlayerGameData[[#This Row],[School, Opponent,Game'#]],Table3[],2,FALSE),0)</f>
        <v>0</v>
      </c>
      <c r="AK688" s="8">
        <f ca="1">IF(PlayerGameData[[#This Row],[Visible]]=1,1,1000)</f>
        <v>1000</v>
      </c>
      <c r="AL688" s="8">
        <f ca="1">RANK(PlayerGameData[[#This Row],[TL PTS]],PlayerGameData[TL PTS],0)+PlayerGameData[[#This Row],[VisibleOrder]]</f>
        <v>1184</v>
      </c>
      <c r="AM688" s="8">
        <f ca="1">IF(COUNTIF(PlayerGameData[PointOrder],PlayerGameData[[#This Row],[PointOrder]])&gt;1,RANK(PlayerGameData[[#This Row],[FGA]],PlayerGameData[FGA],0)/100,0)+PlayerGameData[[#This Row],[PointOrder]]</f>
        <v>1186.1400000000001</v>
      </c>
      <c r="AN688" s="8">
        <f ca="1">RANK(PlayerGameData[[#This Row],[PointTieBreak]],PlayerGameData[PointTieBreak],1)</f>
        <v>625</v>
      </c>
      <c r="AO688" s="8">
        <f ca="1">RANK(PlayerGameData[[#This Row],[REB]],PlayerGameData[REB],0)+PlayerGameData[[#This Row],[VisibleOrder]]</f>
        <v>1191</v>
      </c>
      <c r="AP688" s="8">
        <f ca="1">IF(COUNTIF(PlayerGameData[REBOrder],PlayerGameData[[#This Row],[REBOrder]])&gt;1,PlayerGameData[[#This Row],[PointRank]]/100+PlayerGameData[[#This Row],[REBOrder]],PlayerGameData[[#This Row],[REBOrder]])</f>
        <v>1197.25</v>
      </c>
      <c r="AQ688" s="8">
        <f ca="1">RANK(PlayerGameData[[#This Row],[REBTieBreak]],PlayerGameData[REBTieBreak],1)</f>
        <v>625</v>
      </c>
      <c r="AR688" s="8">
        <f ca="1">RANK(PlayerGameData[[#This Row],[AST]],PlayerGameData[AST],0)+PlayerGameData[[#This Row],[VisibleOrder]]</f>
        <v>1157</v>
      </c>
      <c r="AS688" s="8">
        <f ca="1">IF(COUNTIF(PlayerGameData[ASTOrder],PlayerGameData[[#This Row],[ASTOrder]])&gt;1,PlayerGameData[[#This Row],[PointRank]]/100+PlayerGameData[[#This Row],[ASTOrder]],PlayerGameData[[#This Row],[ASTOrder]])</f>
        <v>1163.25</v>
      </c>
      <c r="AT688" s="8">
        <f ca="1">RANK(PlayerGameData[[#This Row],[ASTTieBreak]],PlayerGameData[ASTTieBreak],1)</f>
        <v>625</v>
      </c>
      <c r="AU688" s="8">
        <f ca="1">RANK(PlayerGameData[[#This Row],[STL]],PlayerGameData[STL],0)+PlayerGameData[[#This Row],[VisibleOrder]]</f>
        <v>1142</v>
      </c>
      <c r="AV688" s="8">
        <f ca="1">IF(COUNTIF(PlayerGameData[STLOrder],PlayerGameData[[#This Row],[STLOrder]])&gt;1,PlayerGameData[[#This Row],[PointRank]]/100+PlayerGameData[[#This Row],[STLOrder]],PlayerGameData[[#This Row],[STLOrder]])</f>
        <v>1148.25</v>
      </c>
      <c r="AW688" s="8">
        <f ca="1">RANK(PlayerGameData[[#This Row],[STLTieBreak]],PlayerGameData[STLTieBreak],1)</f>
        <v>625</v>
      </c>
      <c r="AX688" s="8">
        <f ca="1">RANK(PlayerGameData[[#This Row],[BLK]],PlayerGameData[BLK],0)+PlayerGameData[[#This Row],[VisibleOrder]]</f>
        <v>1031</v>
      </c>
      <c r="AY688" s="8">
        <f ca="1">IF(COUNTIF(PlayerGameData[BLKOrder],PlayerGameData[[#This Row],[BLKOrder]])&gt;1,PlayerGameData[[#This Row],[PointRank]]/100+PlayerGameData[[#This Row],[BLKOrder]],PlayerGameData[[#This Row],[BLKOrder]])</f>
        <v>1037.25</v>
      </c>
      <c r="AZ688" s="8">
        <f ca="1">RANK(PlayerGameData[[#This Row],[BLKTieBreak]],PlayerGameData[BLKTieBreak],1)</f>
        <v>625</v>
      </c>
      <c r="BA688" s="11">
        <f ca="1">IFERROR(IF(PlayerGameData[[#This Row],[FGA]]&gt;$AA$5,PlayerGameData[[#This Row],[FG%*]],PlayerGameData[[#This Row],[FG%*]]*-1),-2)</f>
        <v>-2</v>
      </c>
      <c r="BB688" s="8">
        <f ca="1">RANK(PlayerGameData[[#This Row],[EligFG]],PlayerGameData[EligFG],0)+PlayerGameData[[#This Row],[VisibleOrder]]</f>
        <v>1214</v>
      </c>
      <c r="BC688" s="8">
        <f ca="1">IF(COUNTIF(PlayerGameData[EligFGOrder],PlayerGameData[[#This Row],[EligFGOrder]])&gt;1,PlayerGameData[[#This Row],[PointRank]]/100+PlayerGameData[[#This Row],[EligFGOrder]],PlayerGameData[[#This Row],[EligFGOrder]])</f>
        <v>1220.25</v>
      </c>
      <c r="BD688" s="8">
        <f ca="1">RANK(PlayerGameData[[#This Row],[EligFGTieBreak]],PlayerGameData[EligFGTieBreak],1)</f>
        <v>625</v>
      </c>
      <c r="BE688" s="8" t="str">
        <f>Roster!$D$3</f>
        <v>East</v>
      </c>
      <c r="BF688" s="8" t="str">
        <f>Roster!$D$2</f>
        <v>Northeast</v>
      </c>
      <c r="BG688" s="8" t="str">
        <f>Roster!$D$4</f>
        <v>North</v>
      </c>
      <c r="BH688" s="197">
        <f ca="1">IFERROR(VLOOKUP(CONCATENATE(PlayerGameData[[#This Row],[Opponent]]," ",MONTH(PlayerGameData[[#This Row],[Date]]),"/",DAY(PlayerGameData[[#This Row],[Date]]),"/",YEAR(PlayerGameData[[#This Row],[Date]])),Table35[],2,FALSE),0)</f>
        <v>0</v>
      </c>
      <c r="BI688" s="197">
        <f ca="1">IF(PlayerGameData[[#This Row],[Visible]]=1,1,1000)</f>
        <v>1000</v>
      </c>
      <c r="BJ688" s="197" t="e">
        <f ca="1">_xlfn.MAXIFS(TeamGameData[Win],TeamGameData[School, Opponent,Game'#],PlayerGameData[[#This Row],[School, Opponent,Game'#]])</f>
        <v>#NAME?</v>
      </c>
      <c r="BK688" s="197" t="e">
        <f ca="1">_xlfn.MAXIFS(TeamGameData[Loss],TeamGameData[School, Opponent,Game'#],PlayerGameData[[#This Row],[School, Opponent,Game'#]])</f>
        <v>#NAME?</v>
      </c>
    </row>
    <row r="689" spans="1:63" x14ac:dyDescent="0.25">
      <c r="A689" s="8" t="str">
        <f t="shared" ca="1" si="333"/>
        <v>Matt Stirmel, 33</v>
      </c>
      <c r="B689" s="8" t="str">
        <f>Roster!$B$1</f>
        <v>Upton</v>
      </c>
      <c r="C689" s="8">
        <f t="shared" ca="1" si="321"/>
        <v>0</v>
      </c>
      <c r="D689" s="10">
        <f t="shared" ca="1" si="322"/>
        <v>0</v>
      </c>
      <c r="E689" s="8">
        <f t="shared" ca="1" si="323"/>
        <v>0</v>
      </c>
      <c r="F689" s="8">
        <f t="shared" ca="1" si="324"/>
        <v>0</v>
      </c>
      <c r="G689" s="8">
        <f t="shared" ca="1" si="325"/>
        <v>0</v>
      </c>
      <c r="H689" s="8">
        <f t="shared" ca="1" si="326"/>
        <v>0</v>
      </c>
      <c r="I689" s="8">
        <f t="shared" ca="1" si="327"/>
        <v>0</v>
      </c>
      <c r="J689" s="8">
        <f t="shared" ca="1" si="328"/>
        <v>0</v>
      </c>
      <c r="K689" s="8">
        <f t="shared" ca="1" si="329"/>
        <v>0</v>
      </c>
      <c r="L689" s="8">
        <f t="shared" ca="1" si="334"/>
        <v>0</v>
      </c>
      <c r="M689" s="8">
        <f t="shared" ca="1" si="335"/>
        <v>0</v>
      </c>
      <c r="N689" s="8">
        <f t="shared" ca="1" si="336"/>
        <v>0</v>
      </c>
      <c r="O689" s="8">
        <f t="shared" ca="1" si="337"/>
        <v>0</v>
      </c>
      <c r="P689" s="8">
        <f t="shared" ca="1" si="338"/>
        <v>0</v>
      </c>
      <c r="Q689" s="8">
        <f t="shared" ca="1" si="339"/>
        <v>0</v>
      </c>
      <c r="R689" s="8">
        <f t="shared" ca="1" si="340"/>
        <v>0</v>
      </c>
      <c r="S689" s="8">
        <f t="shared" ca="1" si="341"/>
        <v>0</v>
      </c>
      <c r="T689" s="8">
        <f t="shared" ca="1" si="342"/>
        <v>0</v>
      </c>
      <c r="U689" s="8">
        <f t="shared" ca="1" si="343"/>
        <v>0</v>
      </c>
      <c r="V689" s="8">
        <f t="shared" ca="1" si="344"/>
        <v>0</v>
      </c>
      <c r="W689" s="11" t="str">
        <f t="shared" ca="1" si="345"/>
        <v/>
      </c>
      <c r="X689" s="11" t="str">
        <f t="shared" ca="1" si="346"/>
        <v/>
      </c>
      <c r="Y689" s="11" t="str">
        <f t="shared" ca="1" si="347"/>
        <v/>
      </c>
      <c r="Z689" s="11" t="str">
        <f t="shared" ca="1" si="348"/>
        <v/>
      </c>
      <c r="AA689" s="11" t="str">
        <f t="shared" ca="1" si="349"/>
        <v/>
      </c>
      <c r="AB689" s="47">
        <f ca="1">PlayerGameData[[#This Row],[3FGA]]+PlayerGameData[[#This Row],[2FGA]]</f>
        <v>0</v>
      </c>
      <c r="AC689" s="47">
        <f ca="1">PlayerGameData[[#This Row],[OFF REB]]+PlayerGameData[[#This Row],[DEF REB]]</f>
        <v>0</v>
      </c>
      <c r="AD689" s="8">
        <f t="shared" si="330"/>
        <v>29</v>
      </c>
      <c r="AE689" s="8" t="str">
        <f t="shared" ca="1" si="331"/>
        <v>Matt Stirmel, 33 - 0 1/0/1900</v>
      </c>
      <c r="AF689" s="8" t="str">
        <f t="shared" ca="1" si="350"/>
        <v/>
      </c>
      <c r="AG689" s="8" t="str">
        <f ca="1">IFERROR(IF(C689=0,"",IF(AND(VLOOKUP(PlayerGameData[[#This Row],[Opponent]],WYTeamInfo,2,FALSE)=Roster!$D$1,VLOOKUP(PlayerGameData[[#This Row],[Opponent]],WYTeamInfo,3,FALSE)=Roster!$D$2),"SR","")),"")</f>
        <v/>
      </c>
      <c r="AH689" s="8" t="str">
        <f>CONCATENATE(Roster!$D$1," ",Roster!$D$5)</f>
        <v>1A BB</v>
      </c>
      <c r="AI689" s="8" t="str">
        <f t="shared" ca="1" si="332"/>
        <v>Blank</v>
      </c>
      <c r="AJ689" s="8">
        <f ca="1">IFERROR(VLOOKUP(PlayerGameData[[#This Row],[School, Opponent,Game'#]],Table3[],2,FALSE),0)</f>
        <v>0</v>
      </c>
      <c r="AK689" s="8">
        <f ca="1">IF(PlayerGameData[[#This Row],[Visible]]=1,1,1000)</f>
        <v>1000</v>
      </c>
      <c r="AL689" s="8">
        <f ca="1">RANK(PlayerGameData[[#This Row],[TL PTS]],PlayerGameData[TL PTS],0)+PlayerGameData[[#This Row],[VisibleOrder]]</f>
        <v>1184</v>
      </c>
      <c r="AM689" s="8">
        <f ca="1">IF(COUNTIF(PlayerGameData[PointOrder],PlayerGameData[[#This Row],[PointOrder]])&gt;1,RANK(PlayerGameData[[#This Row],[FGA]],PlayerGameData[FGA],0)/100,0)+PlayerGameData[[#This Row],[PointOrder]]</f>
        <v>1186.1400000000001</v>
      </c>
      <c r="AN689" s="8">
        <f ca="1">RANK(PlayerGameData[[#This Row],[PointTieBreak]],PlayerGameData[PointTieBreak],1)</f>
        <v>625</v>
      </c>
      <c r="AO689" s="8">
        <f ca="1">RANK(PlayerGameData[[#This Row],[REB]],PlayerGameData[REB],0)+PlayerGameData[[#This Row],[VisibleOrder]]</f>
        <v>1191</v>
      </c>
      <c r="AP689" s="8">
        <f ca="1">IF(COUNTIF(PlayerGameData[REBOrder],PlayerGameData[[#This Row],[REBOrder]])&gt;1,PlayerGameData[[#This Row],[PointRank]]/100+PlayerGameData[[#This Row],[REBOrder]],PlayerGameData[[#This Row],[REBOrder]])</f>
        <v>1197.25</v>
      </c>
      <c r="AQ689" s="8">
        <f ca="1">RANK(PlayerGameData[[#This Row],[REBTieBreak]],PlayerGameData[REBTieBreak],1)</f>
        <v>625</v>
      </c>
      <c r="AR689" s="8">
        <f ca="1">RANK(PlayerGameData[[#This Row],[AST]],PlayerGameData[AST],0)+PlayerGameData[[#This Row],[VisibleOrder]]</f>
        <v>1157</v>
      </c>
      <c r="AS689" s="8">
        <f ca="1">IF(COUNTIF(PlayerGameData[ASTOrder],PlayerGameData[[#This Row],[ASTOrder]])&gt;1,PlayerGameData[[#This Row],[PointRank]]/100+PlayerGameData[[#This Row],[ASTOrder]],PlayerGameData[[#This Row],[ASTOrder]])</f>
        <v>1163.25</v>
      </c>
      <c r="AT689" s="8">
        <f ca="1">RANK(PlayerGameData[[#This Row],[ASTTieBreak]],PlayerGameData[ASTTieBreak],1)</f>
        <v>625</v>
      </c>
      <c r="AU689" s="8">
        <f ca="1">RANK(PlayerGameData[[#This Row],[STL]],PlayerGameData[STL],0)+PlayerGameData[[#This Row],[VisibleOrder]]</f>
        <v>1142</v>
      </c>
      <c r="AV689" s="8">
        <f ca="1">IF(COUNTIF(PlayerGameData[STLOrder],PlayerGameData[[#This Row],[STLOrder]])&gt;1,PlayerGameData[[#This Row],[PointRank]]/100+PlayerGameData[[#This Row],[STLOrder]],PlayerGameData[[#This Row],[STLOrder]])</f>
        <v>1148.25</v>
      </c>
      <c r="AW689" s="8">
        <f ca="1">RANK(PlayerGameData[[#This Row],[STLTieBreak]],PlayerGameData[STLTieBreak],1)</f>
        <v>625</v>
      </c>
      <c r="AX689" s="8">
        <f ca="1">RANK(PlayerGameData[[#This Row],[BLK]],PlayerGameData[BLK],0)+PlayerGameData[[#This Row],[VisibleOrder]]</f>
        <v>1031</v>
      </c>
      <c r="AY689" s="8">
        <f ca="1">IF(COUNTIF(PlayerGameData[BLKOrder],PlayerGameData[[#This Row],[BLKOrder]])&gt;1,PlayerGameData[[#This Row],[PointRank]]/100+PlayerGameData[[#This Row],[BLKOrder]],PlayerGameData[[#This Row],[BLKOrder]])</f>
        <v>1037.25</v>
      </c>
      <c r="AZ689" s="8">
        <f ca="1">RANK(PlayerGameData[[#This Row],[BLKTieBreak]],PlayerGameData[BLKTieBreak],1)</f>
        <v>625</v>
      </c>
      <c r="BA689" s="11">
        <f ca="1">IFERROR(IF(PlayerGameData[[#This Row],[FGA]]&gt;$AA$5,PlayerGameData[[#This Row],[FG%*]],PlayerGameData[[#This Row],[FG%*]]*-1),-2)</f>
        <v>-2</v>
      </c>
      <c r="BB689" s="8">
        <f ca="1">RANK(PlayerGameData[[#This Row],[EligFG]],PlayerGameData[EligFG],0)+PlayerGameData[[#This Row],[VisibleOrder]]</f>
        <v>1214</v>
      </c>
      <c r="BC689" s="8">
        <f ca="1">IF(COUNTIF(PlayerGameData[EligFGOrder],PlayerGameData[[#This Row],[EligFGOrder]])&gt;1,PlayerGameData[[#This Row],[PointRank]]/100+PlayerGameData[[#This Row],[EligFGOrder]],PlayerGameData[[#This Row],[EligFGOrder]])</f>
        <v>1220.25</v>
      </c>
      <c r="BD689" s="8">
        <f ca="1">RANK(PlayerGameData[[#This Row],[EligFGTieBreak]],PlayerGameData[EligFGTieBreak],1)</f>
        <v>625</v>
      </c>
      <c r="BE689" s="8" t="str">
        <f>Roster!$D$3</f>
        <v>East</v>
      </c>
      <c r="BF689" s="8" t="str">
        <f>Roster!$D$2</f>
        <v>Northeast</v>
      </c>
      <c r="BG689" s="8" t="str">
        <f>Roster!$D$4</f>
        <v>North</v>
      </c>
      <c r="BH689" s="197">
        <f ca="1">IFERROR(VLOOKUP(CONCATENATE(PlayerGameData[[#This Row],[Opponent]]," ",MONTH(PlayerGameData[[#This Row],[Date]]),"/",DAY(PlayerGameData[[#This Row],[Date]]),"/",YEAR(PlayerGameData[[#This Row],[Date]])),Table35[],2,FALSE),0)</f>
        <v>0</v>
      </c>
      <c r="BI689" s="197">
        <f ca="1">IF(PlayerGameData[[#This Row],[Visible]]=1,1,1000)</f>
        <v>1000</v>
      </c>
      <c r="BJ689" s="197" t="e">
        <f ca="1">_xlfn.MAXIFS(TeamGameData[Win],TeamGameData[School, Opponent,Game'#],PlayerGameData[[#This Row],[School, Opponent,Game'#]])</f>
        <v>#NAME?</v>
      </c>
      <c r="BK689" s="197" t="e">
        <f ca="1">_xlfn.MAXIFS(TeamGameData[Loss],TeamGameData[School, Opponent,Game'#],PlayerGameData[[#This Row],[School, Opponent,Game'#]])</f>
        <v>#NAME?</v>
      </c>
    </row>
    <row r="690" spans="1:63" x14ac:dyDescent="0.25">
      <c r="A690" s="8" t="str">
        <f t="shared" ca="1" si="333"/>
        <v>Jacob McNutt, 34</v>
      </c>
      <c r="B690" s="8" t="str">
        <f>Roster!$B$1</f>
        <v>Upton</v>
      </c>
      <c r="C690" s="8">
        <f t="shared" ca="1" si="321"/>
        <v>0</v>
      </c>
      <c r="D690" s="10">
        <f t="shared" ca="1" si="322"/>
        <v>0</v>
      </c>
      <c r="E690" s="8">
        <f t="shared" ca="1" si="323"/>
        <v>0</v>
      </c>
      <c r="F690" s="8">
        <f t="shared" ca="1" si="324"/>
        <v>0</v>
      </c>
      <c r="G690" s="8">
        <f t="shared" ca="1" si="325"/>
        <v>0</v>
      </c>
      <c r="H690" s="8">
        <f t="shared" ca="1" si="326"/>
        <v>0</v>
      </c>
      <c r="I690" s="8">
        <f t="shared" ca="1" si="327"/>
        <v>0</v>
      </c>
      <c r="J690" s="8">
        <f t="shared" ca="1" si="328"/>
        <v>0</v>
      </c>
      <c r="K690" s="8">
        <f t="shared" ca="1" si="329"/>
        <v>0</v>
      </c>
      <c r="L690" s="8">
        <f t="shared" ca="1" si="334"/>
        <v>0</v>
      </c>
      <c r="M690" s="8">
        <f t="shared" ca="1" si="335"/>
        <v>0</v>
      </c>
      <c r="N690" s="8">
        <f t="shared" ca="1" si="336"/>
        <v>0</v>
      </c>
      <c r="O690" s="8">
        <f t="shared" ca="1" si="337"/>
        <v>0</v>
      </c>
      <c r="P690" s="8">
        <f t="shared" ca="1" si="338"/>
        <v>0</v>
      </c>
      <c r="Q690" s="8">
        <f t="shared" ca="1" si="339"/>
        <v>0</v>
      </c>
      <c r="R690" s="8">
        <f t="shared" ca="1" si="340"/>
        <v>0</v>
      </c>
      <c r="S690" s="8">
        <f t="shared" ca="1" si="341"/>
        <v>0</v>
      </c>
      <c r="T690" s="8">
        <f t="shared" ca="1" si="342"/>
        <v>0</v>
      </c>
      <c r="U690" s="8">
        <f t="shared" ca="1" si="343"/>
        <v>0</v>
      </c>
      <c r="V690" s="8">
        <f t="shared" ca="1" si="344"/>
        <v>0</v>
      </c>
      <c r="W690" s="11" t="str">
        <f t="shared" ca="1" si="345"/>
        <v/>
      </c>
      <c r="X690" s="11" t="str">
        <f t="shared" ca="1" si="346"/>
        <v/>
      </c>
      <c r="Y690" s="11" t="str">
        <f t="shared" ca="1" si="347"/>
        <v/>
      </c>
      <c r="Z690" s="11" t="str">
        <f t="shared" ca="1" si="348"/>
        <v/>
      </c>
      <c r="AA690" s="11" t="str">
        <f t="shared" ca="1" si="349"/>
        <v/>
      </c>
      <c r="AB690" s="47">
        <f ca="1">PlayerGameData[[#This Row],[3FGA]]+PlayerGameData[[#This Row],[2FGA]]</f>
        <v>0</v>
      </c>
      <c r="AC690" s="47">
        <f ca="1">PlayerGameData[[#This Row],[OFF REB]]+PlayerGameData[[#This Row],[DEF REB]]</f>
        <v>0</v>
      </c>
      <c r="AD690" s="8">
        <f t="shared" si="330"/>
        <v>29</v>
      </c>
      <c r="AE690" s="8" t="str">
        <f t="shared" ca="1" si="331"/>
        <v>Jacob McNutt, 34 - 0 1/0/1900</v>
      </c>
      <c r="AF690" s="8" t="str">
        <f t="shared" ca="1" si="350"/>
        <v/>
      </c>
      <c r="AG690" s="8" t="str">
        <f ca="1">IFERROR(IF(C690=0,"",IF(AND(VLOOKUP(PlayerGameData[[#This Row],[Opponent]],WYTeamInfo,2,FALSE)=Roster!$D$1,VLOOKUP(PlayerGameData[[#This Row],[Opponent]],WYTeamInfo,3,FALSE)=Roster!$D$2),"SR","")),"")</f>
        <v/>
      </c>
      <c r="AH690" s="8" t="str">
        <f>CONCATENATE(Roster!$D$1," ",Roster!$D$5)</f>
        <v>1A BB</v>
      </c>
      <c r="AI690" s="8" t="str">
        <f t="shared" ca="1" si="332"/>
        <v>Blank</v>
      </c>
      <c r="AJ690" s="8">
        <f ca="1">IFERROR(VLOOKUP(PlayerGameData[[#This Row],[School, Opponent,Game'#]],Table3[],2,FALSE),0)</f>
        <v>0</v>
      </c>
      <c r="AK690" s="8">
        <f ca="1">IF(PlayerGameData[[#This Row],[Visible]]=1,1,1000)</f>
        <v>1000</v>
      </c>
      <c r="AL690" s="8">
        <f ca="1">RANK(PlayerGameData[[#This Row],[TL PTS]],PlayerGameData[TL PTS],0)+PlayerGameData[[#This Row],[VisibleOrder]]</f>
        <v>1184</v>
      </c>
      <c r="AM690" s="8">
        <f ca="1">IF(COUNTIF(PlayerGameData[PointOrder],PlayerGameData[[#This Row],[PointOrder]])&gt;1,RANK(PlayerGameData[[#This Row],[FGA]],PlayerGameData[FGA],0)/100,0)+PlayerGameData[[#This Row],[PointOrder]]</f>
        <v>1186.1400000000001</v>
      </c>
      <c r="AN690" s="8">
        <f ca="1">RANK(PlayerGameData[[#This Row],[PointTieBreak]],PlayerGameData[PointTieBreak],1)</f>
        <v>625</v>
      </c>
      <c r="AO690" s="8">
        <f ca="1">RANK(PlayerGameData[[#This Row],[REB]],PlayerGameData[REB],0)+PlayerGameData[[#This Row],[VisibleOrder]]</f>
        <v>1191</v>
      </c>
      <c r="AP690" s="8">
        <f ca="1">IF(COUNTIF(PlayerGameData[REBOrder],PlayerGameData[[#This Row],[REBOrder]])&gt;1,PlayerGameData[[#This Row],[PointRank]]/100+PlayerGameData[[#This Row],[REBOrder]],PlayerGameData[[#This Row],[REBOrder]])</f>
        <v>1197.25</v>
      </c>
      <c r="AQ690" s="8">
        <f ca="1">RANK(PlayerGameData[[#This Row],[REBTieBreak]],PlayerGameData[REBTieBreak],1)</f>
        <v>625</v>
      </c>
      <c r="AR690" s="8">
        <f ca="1">RANK(PlayerGameData[[#This Row],[AST]],PlayerGameData[AST],0)+PlayerGameData[[#This Row],[VisibleOrder]]</f>
        <v>1157</v>
      </c>
      <c r="AS690" s="8">
        <f ca="1">IF(COUNTIF(PlayerGameData[ASTOrder],PlayerGameData[[#This Row],[ASTOrder]])&gt;1,PlayerGameData[[#This Row],[PointRank]]/100+PlayerGameData[[#This Row],[ASTOrder]],PlayerGameData[[#This Row],[ASTOrder]])</f>
        <v>1163.25</v>
      </c>
      <c r="AT690" s="8">
        <f ca="1">RANK(PlayerGameData[[#This Row],[ASTTieBreak]],PlayerGameData[ASTTieBreak],1)</f>
        <v>625</v>
      </c>
      <c r="AU690" s="8">
        <f ca="1">RANK(PlayerGameData[[#This Row],[STL]],PlayerGameData[STL],0)+PlayerGameData[[#This Row],[VisibleOrder]]</f>
        <v>1142</v>
      </c>
      <c r="AV690" s="8">
        <f ca="1">IF(COUNTIF(PlayerGameData[STLOrder],PlayerGameData[[#This Row],[STLOrder]])&gt;1,PlayerGameData[[#This Row],[PointRank]]/100+PlayerGameData[[#This Row],[STLOrder]],PlayerGameData[[#This Row],[STLOrder]])</f>
        <v>1148.25</v>
      </c>
      <c r="AW690" s="8">
        <f ca="1">RANK(PlayerGameData[[#This Row],[STLTieBreak]],PlayerGameData[STLTieBreak],1)</f>
        <v>625</v>
      </c>
      <c r="AX690" s="8">
        <f ca="1">RANK(PlayerGameData[[#This Row],[BLK]],PlayerGameData[BLK],0)+PlayerGameData[[#This Row],[VisibleOrder]]</f>
        <v>1031</v>
      </c>
      <c r="AY690" s="8">
        <f ca="1">IF(COUNTIF(PlayerGameData[BLKOrder],PlayerGameData[[#This Row],[BLKOrder]])&gt;1,PlayerGameData[[#This Row],[PointRank]]/100+PlayerGameData[[#This Row],[BLKOrder]],PlayerGameData[[#This Row],[BLKOrder]])</f>
        <v>1037.25</v>
      </c>
      <c r="AZ690" s="8">
        <f ca="1">RANK(PlayerGameData[[#This Row],[BLKTieBreak]],PlayerGameData[BLKTieBreak],1)</f>
        <v>625</v>
      </c>
      <c r="BA690" s="11">
        <f ca="1">IFERROR(IF(PlayerGameData[[#This Row],[FGA]]&gt;$AA$5,PlayerGameData[[#This Row],[FG%*]],PlayerGameData[[#This Row],[FG%*]]*-1),-2)</f>
        <v>-2</v>
      </c>
      <c r="BB690" s="8">
        <f ca="1">RANK(PlayerGameData[[#This Row],[EligFG]],PlayerGameData[EligFG],0)+PlayerGameData[[#This Row],[VisibleOrder]]</f>
        <v>1214</v>
      </c>
      <c r="BC690" s="8">
        <f ca="1">IF(COUNTIF(PlayerGameData[EligFGOrder],PlayerGameData[[#This Row],[EligFGOrder]])&gt;1,PlayerGameData[[#This Row],[PointRank]]/100+PlayerGameData[[#This Row],[EligFGOrder]],PlayerGameData[[#This Row],[EligFGOrder]])</f>
        <v>1220.25</v>
      </c>
      <c r="BD690" s="8">
        <f ca="1">RANK(PlayerGameData[[#This Row],[EligFGTieBreak]],PlayerGameData[EligFGTieBreak],1)</f>
        <v>625</v>
      </c>
      <c r="BE690" s="8" t="str">
        <f>Roster!$D$3</f>
        <v>East</v>
      </c>
      <c r="BF690" s="8" t="str">
        <f>Roster!$D$2</f>
        <v>Northeast</v>
      </c>
      <c r="BG690" s="8" t="str">
        <f>Roster!$D$4</f>
        <v>North</v>
      </c>
      <c r="BH690" s="197">
        <f ca="1">IFERROR(VLOOKUP(CONCATENATE(PlayerGameData[[#This Row],[Opponent]]," ",MONTH(PlayerGameData[[#This Row],[Date]]),"/",DAY(PlayerGameData[[#This Row],[Date]]),"/",YEAR(PlayerGameData[[#This Row],[Date]])),Table35[],2,FALSE),0)</f>
        <v>0</v>
      </c>
      <c r="BI690" s="197">
        <f ca="1">IF(PlayerGameData[[#This Row],[Visible]]=1,1,1000)</f>
        <v>1000</v>
      </c>
      <c r="BJ690" s="197" t="e">
        <f ca="1">_xlfn.MAXIFS(TeamGameData[Win],TeamGameData[School, Opponent,Game'#],PlayerGameData[[#This Row],[School, Opponent,Game'#]])</f>
        <v>#NAME?</v>
      </c>
      <c r="BK690" s="197" t="e">
        <f ca="1">_xlfn.MAXIFS(TeamGameData[Loss],TeamGameData[School, Opponent,Game'#],PlayerGameData[[#This Row],[School, Opponent,Game'#]])</f>
        <v>#NAME?</v>
      </c>
    </row>
    <row r="691" spans="1:63" x14ac:dyDescent="0.25">
      <c r="A691" s="8" t="str">
        <f t="shared" ca="1" si="333"/>
        <v>Ryan Baker, 35</v>
      </c>
      <c r="B691" s="8" t="str">
        <f>Roster!$B$1</f>
        <v>Upton</v>
      </c>
      <c r="C691" s="8">
        <f t="shared" ca="1" si="321"/>
        <v>0</v>
      </c>
      <c r="D691" s="10">
        <f t="shared" ca="1" si="322"/>
        <v>0</v>
      </c>
      <c r="E691" s="8">
        <f t="shared" ca="1" si="323"/>
        <v>0</v>
      </c>
      <c r="F691" s="8">
        <f t="shared" ca="1" si="324"/>
        <v>0</v>
      </c>
      <c r="G691" s="8">
        <f t="shared" ca="1" si="325"/>
        <v>0</v>
      </c>
      <c r="H691" s="8">
        <f t="shared" ca="1" si="326"/>
        <v>0</v>
      </c>
      <c r="I691" s="8">
        <f t="shared" ca="1" si="327"/>
        <v>0</v>
      </c>
      <c r="J691" s="8">
        <f t="shared" ca="1" si="328"/>
        <v>0</v>
      </c>
      <c r="K691" s="8">
        <f t="shared" ca="1" si="329"/>
        <v>0</v>
      </c>
      <c r="L691" s="8">
        <f t="shared" ca="1" si="334"/>
        <v>0</v>
      </c>
      <c r="M691" s="8">
        <f t="shared" ca="1" si="335"/>
        <v>0</v>
      </c>
      <c r="N691" s="8">
        <f t="shared" ca="1" si="336"/>
        <v>0</v>
      </c>
      <c r="O691" s="8">
        <f t="shared" ca="1" si="337"/>
        <v>0</v>
      </c>
      <c r="P691" s="8">
        <f t="shared" ca="1" si="338"/>
        <v>0</v>
      </c>
      <c r="Q691" s="8">
        <f t="shared" ca="1" si="339"/>
        <v>0</v>
      </c>
      <c r="R691" s="8">
        <f t="shared" ca="1" si="340"/>
        <v>0</v>
      </c>
      <c r="S691" s="8">
        <f t="shared" ca="1" si="341"/>
        <v>0</v>
      </c>
      <c r="T691" s="8">
        <f t="shared" ca="1" si="342"/>
        <v>0</v>
      </c>
      <c r="U691" s="8">
        <f t="shared" ca="1" si="343"/>
        <v>0</v>
      </c>
      <c r="V691" s="8">
        <f t="shared" ca="1" si="344"/>
        <v>0</v>
      </c>
      <c r="W691" s="11" t="str">
        <f t="shared" ca="1" si="345"/>
        <v/>
      </c>
      <c r="X691" s="11" t="str">
        <f t="shared" ca="1" si="346"/>
        <v/>
      </c>
      <c r="Y691" s="11" t="str">
        <f t="shared" ca="1" si="347"/>
        <v/>
      </c>
      <c r="Z691" s="11" t="str">
        <f t="shared" ca="1" si="348"/>
        <v/>
      </c>
      <c r="AA691" s="11" t="str">
        <f t="shared" ca="1" si="349"/>
        <v/>
      </c>
      <c r="AB691" s="47">
        <f ca="1">PlayerGameData[[#This Row],[3FGA]]+PlayerGameData[[#This Row],[2FGA]]</f>
        <v>0</v>
      </c>
      <c r="AC691" s="47">
        <f ca="1">PlayerGameData[[#This Row],[OFF REB]]+PlayerGameData[[#This Row],[DEF REB]]</f>
        <v>0</v>
      </c>
      <c r="AD691" s="8">
        <f t="shared" si="330"/>
        <v>29</v>
      </c>
      <c r="AE691" s="8" t="str">
        <f t="shared" ca="1" si="331"/>
        <v>Ryan Baker, 35 - 0 1/0/1900</v>
      </c>
      <c r="AF691" s="8" t="str">
        <f t="shared" ca="1" si="350"/>
        <v/>
      </c>
      <c r="AG691" s="8" t="str">
        <f ca="1">IFERROR(IF(C691=0,"",IF(AND(VLOOKUP(PlayerGameData[[#This Row],[Opponent]],WYTeamInfo,2,FALSE)=Roster!$D$1,VLOOKUP(PlayerGameData[[#This Row],[Opponent]],WYTeamInfo,3,FALSE)=Roster!$D$2),"SR","")),"")</f>
        <v/>
      </c>
      <c r="AH691" s="8" t="str">
        <f>CONCATENATE(Roster!$D$1," ",Roster!$D$5)</f>
        <v>1A BB</v>
      </c>
      <c r="AI691" s="8" t="str">
        <f t="shared" ca="1" si="332"/>
        <v>Blank</v>
      </c>
      <c r="AJ691" s="8">
        <f ca="1">IFERROR(VLOOKUP(PlayerGameData[[#This Row],[School, Opponent,Game'#]],Table3[],2,FALSE),0)</f>
        <v>0</v>
      </c>
      <c r="AK691" s="8">
        <f ca="1">IF(PlayerGameData[[#This Row],[Visible]]=1,1,1000)</f>
        <v>1000</v>
      </c>
      <c r="AL691" s="8">
        <f ca="1">RANK(PlayerGameData[[#This Row],[TL PTS]],PlayerGameData[TL PTS],0)+PlayerGameData[[#This Row],[VisibleOrder]]</f>
        <v>1184</v>
      </c>
      <c r="AM691" s="8">
        <f ca="1">IF(COUNTIF(PlayerGameData[PointOrder],PlayerGameData[[#This Row],[PointOrder]])&gt;1,RANK(PlayerGameData[[#This Row],[FGA]],PlayerGameData[FGA],0)/100,0)+PlayerGameData[[#This Row],[PointOrder]]</f>
        <v>1186.1400000000001</v>
      </c>
      <c r="AN691" s="8">
        <f ca="1">RANK(PlayerGameData[[#This Row],[PointTieBreak]],PlayerGameData[PointTieBreak],1)</f>
        <v>625</v>
      </c>
      <c r="AO691" s="8">
        <f ca="1">RANK(PlayerGameData[[#This Row],[REB]],PlayerGameData[REB],0)+PlayerGameData[[#This Row],[VisibleOrder]]</f>
        <v>1191</v>
      </c>
      <c r="AP691" s="8">
        <f ca="1">IF(COUNTIF(PlayerGameData[REBOrder],PlayerGameData[[#This Row],[REBOrder]])&gt;1,PlayerGameData[[#This Row],[PointRank]]/100+PlayerGameData[[#This Row],[REBOrder]],PlayerGameData[[#This Row],[REBOrder]])</f>
        <v>1197.25</v>
      </c>
      <c r="AQ691" s="8">
        <f ca="1">RANK(PlayerGameData[[#This Row],[REBTieBreak]],PlayerGameData[REBTieBreak],1)</f>
        <v>625</v>
      </c>
      <c r="AR691" s="8">
        <f ca="1">RANK(PlayerGameData[[#This Row],[AST]],PlayerGameData[AST],0)+PlayerGameData[[#This Row],[VisibleOrder]]</f>
        <v>1157</v>
      </c>
      <c r="AS691" s="8">
        <f ca="1">IF(COUNTIF(PlayerGameData[ASTOrder],PlayerGameData[[#This Row],[ASTOrder]])&gt;1,PlayerGameData[[#This Row],[PointRank]]/100+PlayerGameData[[#This Row],[ASTOrder]],PlayerGameData[[#This Row],[ASTOrder]])</f>
        <v>1163.25</v>
      </c>
      <c r="AT691" s="8">
        <f ca="1">RANK(PlayerGameData[[#This Row],[ASTTieBreak]],PlayerGameData[ASTTieBreak],1)</f>
        <v>625</v>
      </c>
      <c r="AU691" s="8">
        <f ca="1">RANK(PlayerGameData[[#This Row],[STL]],PlayerGameData[STL],0)+PlayerGameData[[#This Row],[VisibleOrder]]</f>
        <v>1142</v>
      </c>
      <c r="AV691" s="8">
        <f ca="1">IF(COUNTIF(PlayerGameData[STLOrder],PlayerGameData[[#This Row],[STLOrder]])&gt;1,PlayerGameData[[#This Row],[PointRank]]/100+PlayerGameData[[#This Row],[STLOrder]],PlayerGameData[[#This Row],[STLOrder]])</f>
        <v>1148.25</v>
      </c>
      <c r="AW691" s="8">
        <f ca="1">RANK(PlayerGameData[[#This Row],[STLTieBreak]],PlayerGameData[STLTieBreak],1)</f>
        <v>625</v>
      </c>
      <c r="AX691" s="8">
        <f ca="1">RANK(PlayerGameData[[#This Row],[BLK]],PlayerGameData[BLK],0)+PlayerGameData[[#This Row],[VisibleOrder]]</f>
        <v>1031</v>
      </c>
      <c r="AY691" s="8">
        <f ca="1">IF(COUNTIF(PlayerGameData[BLKOrder],PlayerGameData[[#This Row],[BLKOrder]])&gt;1,PlayerGameData[[#This Row],[PointRank]]/100+PlayerGameData[[#This Row],[BLKOrder]],PlayerGameData[[#This Row],[BLKOrder]])</f>
        <v>1037.25</v>
      </c>
      <c r="AZ691" s="8">
        <f ca="1">RANK(PlayerGameData[[#This Row],[BLKTieBreak]],PlayerGameData[BLKTieBreak],1)</f>
        <v>625</v>
      </c>
      <c r="BA691" s="11">
        <f ca="1">IFERROR(IF(PlayerGameData[[#This Row],[FGA]]&gt;$AA$5,PlayerGameData[[#This Row],[FG%*]],PlayerGameData[[#This Row],[FG%*]]*-1),-2)</f>
        <v>-2</v>
      </c>
      <c r="BB691" s="8">
        <f ca="1">RANK(PlayerGameData[[#This Row],[EligFG]],PlayerGameData[EligFG],0)+PlayerGameData[[#This Row],[VisibleOrder]]</f>
        <v>1214</v>
      </c>
      <c r="BC691" s="8">
        <f ca="1">IF(COUNTIF(PlayerGameData[EligFGOrder],PlayerGameData[[#This Row],[EligFGOrder]])&gt;1,PlayerGameData[[#This Row],[PointRank]]/100+PlayerGameData[[#This Row],[EligFGOrder]],PlayerGameData[[#This Row],[EligFGOrder]])</f>
        <v>1220.25</v>
      </c>
      <c r="BD691" s="8">
        <f ca="1">RANK(PlayerGameData[[#This Row],[EligFGTieBreak]],PlayerGameData[EligFGTieBreak],1)</f>
        <v>625</v>
      </c>
      <c r="BE691" s="8" t="str">
        <f>Roster!$D$3</f>
        <v>East</v>
      </c>
      <c r="BF691" s="8" t="str">
        <f>Roster!$D$2</f>
        <v>Northeast</v>
      </c>
      <c r="BG691" s="8" t="str">
        <f>Roster!$D$4</f>
        <v>North</v>
      </c>
      <c r="BH691" s="197">
        <f ca="1">IFERROR(VLOOKUP(CONCATENATE(PlayerGameData[[#This Row],[Opponent]]," ",MONTH(PlayerGameData[[#This Row],[Date]]),"/",DAY(PlayerGameData[[#This Row],[Date]]),"/",YEAR(PlayerGameData[[#This Row],[Date]])),Table35[],2,FALSE),0)</f>
        <v>0</v>
      </c>
      <c r="BI691" s="197">
        <f ca="1">IF(PlayerGameData[[#This Row],[Visible]]=1,1,1000)</f>
        <v>1000</v>
      </c>
      <c r="BJ691" s="197" t="e">
        <f ca="1">_xlfn.MAXIFS(TeamGameData[Win],TeamGameData[School, Opponent,Game'#],PlayerGameData[[#This Row],[School, Opponent,Game'#]])</f>
        <v>#NAME?</v>
      </c>
      <c r="BK691" s="197" t="e">
        <f ca="1">_xlfn.MAXIFS(TeamGameData[Loss],TeamGameData[School, Opponent,Game'#],PlayerGameData[[#This Row],[School, Opponent,Game'#]])</f>
        <v>#NAME?</v>
      </c>
    </row>
    <row r="692" spans="1:63" x14ac:dyDescent="0.25">
      <c r="A692" s="8" t="str">
        <f t="shared" ca="1" si="333"/>
        <v xml:space="preserve">, </v>
      </c>
      <c r="B692" s="8" t="str">
        <f>Roster!$B$1</f>
        <v>Upton</v>
      </c>
      <c r="C692" s="8">
        <f t="shared" ca="1" si="321"/>
        <v>0</v>
      </c>
      <c r="D692" s="10">
        <f t="shared" ca="1" si="322"/>
        <v>0</v>
      </c>
      <c r="E692" s="8">
        <f t="shared" ca="1" si="323"/>
        <v>0</v>
      </c>
      <c r="F692" s="8">
        <f t="shared" ca="1" si="324"/>
        <v>0</v>
      </c>
      <c r="G692" s="8">
        <f t="shared" ca="1" si="325"/>
        <v>0</v>
      </c>
      <c r="H692" s="8">
        <f t="shared" ca="1" si="326"/>
        <v>0</v>
      </c>
      <c r="I692" s="8">
        <f t="shared" ca="1" si="327"/>
        <v>0</v>
      </c>
      <c r="J692" s="8">
        <f t="shared" ca="1" si="328"/>
        <v>0</v>
      </c>
      <c r="K692" s="8">
        <f t="shared" ca="1" si="329"/>
        <v>0</v>
      </c>
      <c r="L692" s="8">
        <f t="shared" ca="1" si="334"/>
        <v>0</v>
      </c>
      <c r="M692" s="8">
        <f t="shared" ca="1" si="335"/>
        <v>0</v>
      </c>
      <c r="N692" s="8">
        <f t="shared" ca="1" si="336"/>
        <v>0</v>
      </c>
      <c r="O692" s="8">
        <f t="shared" ca="1" si="337"/>
        <v>0</v>
      </c>
      <c r="P692" s="8">
        <f t="shared" ca="1" si="338"/>
        <v>0</v>
      </c>
      <c r="Q692" s="8">
        <f t="shared" ca="1" si="339"/>
        <v>0</v>
      </c>
      <c r="R692" s="8">
        <f t="shared" ca="1" si="340"/>
        <v>0</v>
      </c>
      <c r="S692" s="8">
        <f t="shared" ca="1" si="341"/>
        <v>0</v>
      </c>
      <c r="T692" s="8">
        <f t="shared" ca="1" si="342"/>
        <v>0</v>
      </c>
      <c r="U692" s="8">
        <f t="shared" ca="1" si="343"/>
        <v>0</v>
      </c>
      <c r="V692" s="8">
        <f t="shared" ca="1" si="344"/>
        <v>0</v>
      </c>
      <c r="W692" s="11" t="str">
        <f t="shared" ca="1" si="345"/>
        <v/>
      </c>
      <c r="X692" s="11" t="str">
        <f t="shared" ca="1" si="346"/>
        <v/>
      </c>
      <c r="Y692" s="11" t="str">
        <f t="shared" ca="1" si="347"/>
        <v/>
      </c>
      <c r="Z692" s="11" t="str">
        <f t="shared" ca="1" si="348"/>
        <v/>
      </c>
      <c r="AA692" s="11" t="str">
        <f t="shared" ca="1" si="349"/>
        <v/>
      </c>
      <c r="AB692" s="47">
        <f ca="1">PlayerGameData[[#This Row],[3FGA]]+PlayerGameData[[#This Row],[2FGA]]</f>
        <v>0</v>
      </c>
      <c r="AC692" s="47">
        <f ca="1">PlayerGameData[[#This Row],[OFF REB]]+PlayerGameData[[#This Row],[DEF REB]]</f>
        <v>0</v>
      </c>
      <c r="AD692" s="8">
        <f t="shared" si="330"/>
        <v>29</v>
      </c>
      <c r="AE692" s="8" t="str">
        <f t="shared" ca="1" si="331"/>
        <v>,  - 0 1/0/1900</v>
      </c>
      <c r="AF692" s="8" t="str">
        <f t="shared" ca="1" si="350"/>
        <v/>
      </c>
      <c r="AG692" s="8" t="str">
        <f ca="1">IFERROR(IF(C692=0,"",IF(AND(VLOOKUP(PlayerGameData[[#This Row],[Opponent]],WYTeamInfo,2,FALSE)=Roster!$D$1,VLOOKUP(PlayerGameData[[#This Row],[Opponent]],WYTeamInfo,3,FALSE)=Roster!$D$2),"SR","")),"")</f>
        <v/>
      </c>
      <c r="AH692" s="8" t="str">
        <f>CONCATENATE(Roster!$D$1," ",Roster!$D$5)</f>
        <v>1A BB</v>
      </c>
      <c r="AI692" s="8" t="str">
        <f t="shared" ca="1" si="332"/>
        <v>Blank</v>
      </c>
      <c r="AJ692" s="8">
        <f ca="1">IFERROR(VLOOKUP(PlayerGameData[[#This Row],[School, Opponent,Game'#]],Table3[],2,FALSE),0)</f>
        <v>0</v>
      </c>
      <c r="AK692" s="8">
        <f ca="1">IF(PlayerGameData[[#This Row],[Visible]]=1,1,1000)</f>
        <v>1000</v>
      </c>
      <c r="AL692" s="8">
        <f ca="1">RANK(PlayerGameData[[#This Row],[TL PTS]],PlayerGameData[TL PTS],0)+PlayerGameData[[#This Row],[VisibleOrder]]</f>
        <v>1184</v>
      </c>
      <c r="AM692" s="8">
        <f ca="1">IF(COUNTIF(PlayerGameData[PointOrder],PlayerGameData[[#This Row],[PointOrder]])&gt;1,RANK(PlayerGameData[[#This Row],[FGA]],PlayerGameData[FGA],0)/100,0)+PlayerGameData[[#This Row],[PointOrder]]</f>
        <v>1186.1400000000001</v>
      </c>
      <c r="AN692" s="8">
        <f ca="1">RANK(PlayerGameData[[#This Row],[PointTieBreak]],PlayerGameData[PointTieBreak],1)</f>
        <v>625</v>
      </c>
      <c r="AO692" s="8">
        <f ca="1">RANK(PlayerGameData[[#This Row],[REB]],PlayerGameData[REB],0)+PlayerGameData[[#This Row],[VisibleOrder]]</f>
        <v>1191</v>
      </c>
      <c r="AP692" s="8">
        <f ca="1">IF(COUNTIF(PlayerGameData[REBOrder],PlayerGameData[[#This Row],[REBOrder]])&gt;1,PlayerGameData[[#This Row],[PointRank]]/100+PlayerGameData[[#This Row],[REBOrder]],PlayerGameData[[#This Row],[REBOrder]])</f>
        <v>1197.25</v>
      </c>
      <c r="AQ692" s="8">
        <f ca="1">RANK(PlayerGameData[[#This Row],[REBTieBreak]],PlayerGameData[REBTieBreak],1)</f>
        <v>625</v>
      </c>
      <c r="AR692" s="8">
        <f ca="1">RANK(PlayerGameData[[#This Row],[AST]],PlayerGameData[AST],0)+PlayerGameData[[#This Row],[VisibleOrder]]</f>
        <v>1157</v>
      </c>
      <c r="AS692" s="8">
        <f ca="1">IF(COUNTIF(PlayerGameData[ASTOrder],PlayerGameData[[#This Row],[ASTOrder]])&gt;1,PlayerGameData[[#This Row],[PointRank]]/100+PlayerGameData[[#This Row],[ASTOrder]],PlayerGameData[[#This Row],[ASTOrder]])</f>
        <v>1163.25</v>
      </c>
      <c r="AT692" s="8">
        <f ca="1">RANK(PlayerGameData[[#This Row],[ASTTieBreak]],PlayerGameData[ASTTieBreak],1)</f>
        <v>625</v>
      </c>
      <c r="AU692" s="8">
        <f ca="1">RANK(PlayerGameData[[#This Row],[STL]],PlayerGameData[STL],0)+PlayerGameData[[#This Row],[VisibleOrder]]</f>
        <v>1142</v>
      </c>
      <c r="AV692" s="8">
        <f ca="1">IF(COUNTIF(PlayerGameData[STLOrder],PlayerGameData[[#This Row],[STLOrder]])&gt;1,PlayerGameData[[#This Row],[PointRank]]/100+PlayerGameData[[#This Row],[STLOrder]],PlayerGameData[[#This Row],[STLOrder]])</f>
        <v>1148.25</v>
      </c>
      <c r="AW692" s="8">
        <f ca="1">RANK(PlayerGameData[[#This Row],[STLTieBreak]],PlayerGameData[STLTieBreak],1)</f>
        <v>625</v>
      </c>
      <c r="AX692" s="8">
        <f ca="1">RANK(PlayerGameData[[#This Row],[BLK]],PlayerGameData[BLK],0)+PlayerGameData[[#This Row],[VisibleOrder]]</f>
        <v>1031</v>
      </c>
      <c r="AY692" s="8">
        <f ca="1">IF(COUNTIF(PlayerGameData[BLKOrder],PlayerGameData[[#This Row],[BLKOrder]])&gt;1,PlayerGameData[[#This Row],[PointRank]]/100+PlayerGameData[[#This Row],[BLKOrder]],PlayerGameData[[#This Row],[BLKOrder]])</f>
        <v>1037.25</v>
      </c>
      <c r="AZ692" s="8">
        <f ca="1">RANK(PlayerGameData[[#This Row],[BLKTieBreak]],PlayerGameData[BLKTieBreak],1)</f>
        <v>625</v>
      </c>
      <c r="BA692" s="11">
        <f ca="1">IFERROR(IF(PlayerGameData[[#This Row],[FGA]]&gt;$AA$5,PlayerGameData[[#This Row],[FG%*]],PlayerGameData[[#This Row],[FG%*]]*-1),-2)</f>
        <v>-2</v>
      </c>
      <c r="BB692" s="8">
        <f ca="1">RANK(PlayerGameData[[#This Row],[EligFG]],PlayerGameData[EligFG],0)+PlayerGameData[[#This Row],[VisibleOrder]]</f>
        <v>1214</v>
      </c>
      <c r="BC692" s="8">
        <f ca="1">IF(COUNTIF(PlayerGameData[EligFGOrder],PlayerGameData[[#This Row],[EligFGOrder]])&gt;1,PlayerGameData[[#This Row],[PointRank]]/100+PlayerGameData[[#This Row],[EligFGOrder]],PlayerGameData[[#This Row],[EligFGOrder]])</f>
        <v>1220.25</v>
      </c>
      <c r="BD692" s="8">
        <f ca="1">RANK(PlayerGameData[[#This Row],[EligFGTieBreak]],PlayerGameData[EligFGTieBreak],1)</f>
        <v>625</v>
      </c>
      <c r="BE692" s="8" t="str">
        <f>Roster!$D$3</f>
        <v>East</v>
      </c>
      <c r="BF692" s="8" t="str">
        <f>Roster!$D$2</f>
        <v>Northeast</v>
      </c>
      <c r="BG692" s="8" t="str">
        <f>Roster!$D$4</f>
        <v>North</v>
      </c>
      <c r="BH692" s="197">
        <f ca="1">IFERROR(VLOOKUP(CONCATENATE(PlayerGameData[[#This Row],[Opponent]]," ",MONTH(PlayerGameData[[#This Row],[Date]]),"/",DAY(PlayerGameData[[#This Row],[Date]]),"/",YEAR(PlayerGameData[[#This Row],[Date]])),Table35[],2,FALSE),0)</f>
        <v>0</v>
      </c>
      <c r="BI692" s="197">
        <f ca="1">IF(PlayerGameData[[#This Row],[Visible]]=1,1,1000)</f>
        <v>1000</v>
      </c>
      <c r="BJ692" s="197" t="e">
        <f ca="1">_xlfn.MAXIFS(TeamGameData[Win],TeamGameData[School, Opponent,Game'#],PlayerGameData[[#This Row],[School, Opponent,Game'#]])</f>
        <v>#NAME?</v>
      </c>
      <c r="BK692" s="197" t="e">
        <f ca="1">_xlfn.MAXIFS(TeamGameData[Loss],TeamGameData[School, Opponent,Game'#],PlayerGameData[[#This Row],[School, Opponent,Game'#]])</f>
        <v>#NAME?</v>
      </c>
    </row>
    <row r="693" spans="1:63" x14ac:dyDescent="0.25">
      <c r="A693" s="8" t="str">
        <f t="shared" ca="1" si="333"/>
        <v xml:space="preserve">, </v>
      </c>
      <c r="B693" s="8" t="str">
        <f>Roster!$B$1</f>
        <v>Upton</v>
      </c>
      <c r="C693" s="8">
        <f t="shared" ca="1" si="321"/>
        <v>0</v>
      </c>
      <c r="D693" s="10">
        <f t="shared" ca="1" si="322"/>
        <v>0</v>
      </c>
      <c r="E693" s="8">
        <f t="shared" ca="1" si="323"/>
        <v>0</v>
      </c>
      <c r="F693" s="8">
        <f t="shared" ca="1" si="324"/>
        <v>0</v>
      </c>
      <c r="G693" s="8">
        <f t="shared" ca="1" si="325"/>
        <v>0</v>
      </c>
      <c r="H693" s="8">
        <f t="shared" ca="1" si="326"/>
        <v>0</v>
      </c>
      <c r="I693" s="8">
        <f t="shared" ca="1" si="327"/>
        <v>0</v>
      </c>
      <c r="J693" s="8">
        <f t="shared" ca="1" si="328"/>
        <v>0</v>
      </c>
      <c r="K693" s="8">
        <f t="shared" ca="1" si="329"/>
        <v>0</v>
      </c>
      <c r="L693" s="8">
        <f t="shared" ca="1" si="334"/>
        <v>0</v>
      </c>
      <c r="M693" s="8">
        <f t="shared" ca="1" si="335"/>
        <v>0</v>
      </c>
      <c r="N693" s="8">
        <f t="shared" ca="1" si="336"/>
        <v>0</v>
      </c>
      <c r="O693" s="8">
        <f t="shared" ca="1" si="337"/>
        <v>0</v>
      </c>
      <c r="P693" s="8">
        <f t="shared" ca="1" si="338"/>
        <v>0</v>
      </c>
      <c r="Q693" s="8">
        <f t="shared" ca="1" si="339"/>
        <v>0</v>
      </c>
      <c r="R693" s="8">
        <f t="shared" ca="1" si="340"/>
        <v>0</v>
      </c>
      <c r="S693" s="8">
        <f t="shared" ca="1" si="341"/>
        <v>0</v>
      </c>
      <c r="T693" s="8">
        <f t="shared" ca="1" si="342"/>
        <v>0</v>
      </c>
      <c r="U693" s="8">
        <f t="shared" ca="1" si="343"/>
        <v>0</v>
      </c>
      <c r="V693" s="8">
        <f t="shared" ca="1" si="344"/>
        <v>0</v>
      </c>
      <c r="W693" s="11" t="str">
        <f t="shared" ca="1" si="345"/>
        <v/>
      </c>
      <c r="X693" s="11" t="str">
        <f t="shared" ca="1" si="346"/>
        <v/>
      </c>
      <c r="Y693" s="11" t="str">
        <f t="shared" ca="1" si="347"/>
        <v/>
      </c>
      <c r="Z693" s="11" t="str">
        <f t="shared" ca="1" si="348"/>
        <v/>
      </c>
      <c r="AA693" s="11" t="str">
        <f t="shared" ca="1" si="349"/>
        <v/>
      </c>
      <c r="AB693" s="47">
        <f ca="1">PlayerGameData[[#This Row],[3FGA]]+PlayerGameData[[#This Row],[2FGA]]</f>
        <v>0</v>
      </c>
      <c r="AC693" s="47">
        <f ca="1">PlayerGameData[[#This Row],[OFF REB]]+PlayerGameData[[#This Row],[DEF REB]]</f>
        <v>0</v>
      </c>
      <c r="AD693" s="8">
        <f t="shared" si="330"/>
        <v>29</v>
      </c>
      <c r="AE693" s="8" t="str">
        <f t="shared" ca="1" si="331"/>
        <v>,  - 0 1/0/1900</v>
      </c>
      <c r="AF693" s="8" t="str">
        <f t="shared" ca="1" si="350"/>
        <v/>
      </c>
      <c r="AG693" s="8" t="str">
        <f ca="1">IFERROR(IF(C693=0,"",IF(AND(VLOOKUP(PlayerGameData[[#This Row],[Opponent]],WYTeamInfo,2,FALSE)=Roster!$D$1,VLOOKUP(PlayerGameData[[#This Row],[Opponent]],WYTeamInfo,3,FALSE)=Roster!$D$2),"SR","")),"")</f>
        <v/>
      </c>
      <c r="AH693" s="8" t="str">
        <f>CONCATENATE(Roster!$D$1," ",Roster!$D$5)</f>
        <v>1A BB</v>
      </c>
      <c r="AI693" s="8" t="str">
        <f t="shared" ca="1" si="332"/>
        <v>Blank</v>
      </c>
      <c r="AJ693" s="8">
        <f ca="1">IFERROR(VLOOKUP(PlayerGameData[[#This Row],[School, Opponent,Game'#]],Table3[],2,FALSE),0)</f>
        <v>0</v>
      </c>
      <c r="AK693" s="8">
        <f ca="1">IF(PlayerGameData[[#This Row],[Visible]]=1,1,1000)</f>
        <v>1000</v>
      </c>
      <c r="AL693" s="8">
        <f ca="1">RANK(PlayerGameData[[#This Row],[TL PTS]],PlayerGameData[TL PTS],0)+PlayerGameData[[#This Row],[VisibleOrder]]</f>
        <v>1184</v>
      </c>
      <c r="AM693" s="8">
        <f ca="1">IF(COUNTIF(PlayerGameData[PointOrder],PlayerGameData[[#This Row],[PointOrder]])&gt;1,RANK(PlayerGameData[[#This Row],[FGA]],PlayerGameData[FGA],0)/100,0)+PlayerGameData[[#This Row],[PointOrder]]</f>
        <v>1186.1400000000001</v>
      </c>
      <c r="AN693" s="8">
        <f ca="1">RANK(PlayerGameData[[#This Row],[PointTieBreak]],PlayerGameData[PointTieBreak],1)</f>
        <v>625</v>
      </c>
      <c r="AO693" s="8">
        <f ca="1">RANK(PlayerGameData[[#This Row],[REB]],PlayerGameData[REB],0)+PlayerGameData[[#This Row],[VisibleOrder]]</f>
        <v>1191</v>
      </c>
      <c r="AP693" s="8">
        <f ca="1">IF(COUNTIF(PlayerGameData[REBOrder],PlayerGameData[[#This Row],[REBOrder]])&gt;1,PlayerGameData[[#This Row],[PointRank]]/100+PlayerGameData[[#This Row],[REBOrder]],PlayerGameData[[#This Row],[REBOrder]])</f>
        <v>1197.25</v>
      </c>
      <c r="AQ693" s="8">
        <f ca="1">RANK(PlayerGameData[[#This Row],[REBTieBreak]],PlayerGameData[REBTieBreak],1)</f>
        <v>625</v>
      </c>
      <c r="AR693" s="8">
        <f ca="1">RANK(PlayerGameData[[#This Row],[AST]],PlayerGameData[AST],0)+PlayerGameData[[#This Row],[VisibleOrder]]</f>
        <v>1157</v>
      </c>
      <c r="AS693" s="8">
        <f ca="1">IF(COUNTIF(PlayerGameData[ASTOrder],PlayerGameData[[#This Row],[ASTOrder]])&gt;1,PlayerGameData[[#This Row],[PointRank]]/100+PlayerGameData[[#This Row],[ASTOrder]],PlayerGameData[[#This Row],[ASTOrder]])</f>
        <v>1163.25</v>
      </c>
      <c r="AT693" s="8">
        <f ca="1">RANK(PlayerGameData[[#This Row],[ASTTieBreak]],PlayerGameData[ASTTieBreak],1)</f>
        <v>625</v>
      </c>
      <c r="AU693" s="8">
        <f ca="1">RANK(PlayerGameData[[#This Row],[STL]],PlayerGameData[STL],0)+PlayerGameData[[#This Row],[VisibleOrder]]</f>
        <v>1142</v>
      </c>
      <c r="AV693" s="8">
        <f ca="1">IF(COUNTIF(PlayerGameData[STLOrder],PlayerGameData[[#This Row],[STLOrder]])&gt;1,PlayerGameData[[#This Row],[PointRank]]/100+PlayerGameData[[#This Row],[STLOrder]],PlayerGameData[[#This Row],[STLOrder]])</f>
        <v>1148.25</v>
      </c>
      <c r="AW693" s="8">
        <f ca="1">RANK(PlayerGameData[[#This Row],[STLTieBreak]],PlayerGameData[STLTieBreak],1)</f>
        <v>625</v>
      </c>
      <c r="AX693" s="8">
        <f ca="1">RANK(PlayerGameData[[#This Row],[BLK]],PlayerGameData[BLK],0)+PlayerGameData[[#This Row],[VisibleOrder]]</f>
        <v>1031</v>
      </c>
      <c r="AY693" s="8">
        <f ca="1">IF(COUNTIF(PlayerGameData[BLKOrder],PlayerGameData[[#This Row],[BLKOrder]])&gt;1,PlayerGameData[[#This Row],[PointRank]]/100+PlayerGameData[[#This Row],[BLKOrder]],PlayerGameData[[#This Row],[BLKOrder]])</f>
        <v>1037.25</v>
      </c>
      <c r="AZ693" s="8">
        <f ca="1">RANK(PlayerGameData[[#This Row],[BLKTieBreak]],PlayerGameData[BLKTieBreak],1)</f>
        <v>625</v>
      </c>
      <c r="BA693" s="11">
        <f ca="1">IFERROR(IF(PlayerGameData[[#This Row],[FGA]]&gt;$AA$5,PlayerGameData[[#This Row],[FG%*]],PlayerGameData[[#This Row],[FG%*]]*-1),-2)</f>
        <v>-2</v>
      </c>
      <c r="BB693" s="8">
        <f ca="1">RANK(PlayerGameData[[#This Row],[EligFG]],PlayerGameData[EligFG],0)+PlayerGameData[[#This Row],[VisibleOrder]]</f>
        <v>1214</v>
      </c>
      <c r="BC693" s="8">
        <f ca="1">IF(COUNTIF(PlayerGameData[EligFGOrder],PlayerGameData[[#This Row],[EligFGOrder]])&gt;1,PlayerGameData[[#This Row],[PointRank]]/100+PlayerGameData[[#This Row],[EligFGOrder]],PlayerGameData[[#This Row],[EligFGOrder]])</f>
        <v>1220.25</v>
      </c>
      <c r="BD693" s="8">
        <f ca="1">RANK(PlayerGameData[[#This Row],[EligFGTieBreak]],PlayerGameData[EligFGTieBreak],1)</f>
        <v>625</v>
      </c>
      <c r="BE693" s="8" t="str">
        <f>Roster!$D$3</f>
        <v>East</v>
      </c>
      <c r="BF693" s="8" t="str">
        <f>Roster!$D$2</f>
        <v>Northeast</v>
      </c>
      <c r="BG693" s="8" t="str">
        <f>Roster!$D$4</f>
        <v>North</v>
      </c>
      <c r="BH693" s="197">
        <f ca="1">IFERROR(VLOOKUP(CONCATENATE(PlayerGameData[[#This Row],[Opponent]]," ",MONTH(PlayerGameData[[#This Row],[Date]]),"/",DAY(PlayerGameData[[#This Row],[Date]]),"/",YEAR(PlayerGameData[[#This Row],[Date]])),Table35[],2,FALSE),0)</f>
        <v>0</v>
      </c>
      <c r="BI693" s="197">
        <f ca="1">IF(PlayerGameData[[#This Row],[Visible]]=1,1,1000)</f>
        <v>1000</v>
      </c>
      <c r="BJ693" s="197" t="e">
        <f ca="1">_xlfn.MAXIFS(TeamGameData[Win],TeamGameData[School, Opponent,Game'#],PlayerGameData[[#This Row],[School, Opponent,Game'#]])</f>
        <v>#NAME?</v>
      </c>
      <c r="BK693" s="197" t="e">
        <f ca="1">_xlfn.MAXIFS(TeamGameData[Loss],TeamGameData[School, Opponent,Game'#],PlayerGameData[[#This Row],[School, Opponent,Game'#]])</f>
        <v>#NAME?</v>
      </c>
    </row>
    <row r="694" spans="1:63" x14ac:dyDescent="0.25">
      <c r="A694" s="8" t="str">
        <f t="shared" ca="1" si="333"/>
        <v xml:space="preserve">, </v>
      </c>
      <c r="B694" s="8" t="str">
        <f>Roster!$B$1</f>
        <v>Upton</v>
      </c>
      <c r="C694" s="8">
        <f t="shared" ca="1" si="321"/>
        <v>0</v>
      </c>
      <c r="D694" s="10">
        <f t="shared" ca="1" si="322"/>
        <v>0</v>
      </c>
      <c r="E694" s="8">
        <f t="shared" ca="1" si="323"/>
        <v>0</v>
      </c>
      <c r="F694" s="8">
        <f t="shared" ca="1" si="324"/>
        <v>0</v>
      </c>
      <c r="G694" s="8">
        <f t="shared" ca="1" si="325"/>
        <v>0</v>
      </c>
      <c r="H694" s="8">
        <f t="shared" ca="1" si="326"/>
        <v>0</v>
      </c>
      <c r="I694" s="8">
        <f t="shared" ca="1" si="327"/>
        <v>0</v>
      </c>
      <c r="J694" s="8">
        <f t="shared" ca="1" si="328"/>
        <v>0</v>
      </c>
      <c r="K694" s="8">
        <f t="shared" ca="1" si="329"/>
        <v>0</v>
      </c>
      <c r="L694" s="8">
        <f t="shared" ca="1" si="334"/>
        <v>0</v>
      </c>
      <c r="M694" s="8">
        <f t="shared" ca="1" si="335"/>
        <v>0</v>
      </c>
      <c r="N694" s="8">
        <f t="shared" ca="1" si="336"/>
        <v>0</v>
      </c>
      <c r="O694" s="8">
        <f t="shared" ca="1" si="337"/>
        <v>0</v>
      </c>
      <c r="P694" s="8">
        <f t="shared" ca="1" si="338"/>
        <v>0</v>
      </c>
      <c r="Q694" s="8">
        <f t="shared" ca="1" si="339"/>
        <v>0</v>
      </c>
      <c r="R694" s="8">
        <f t="shared" ca="1" si="340"/>
        <v>0</v>
      </c>
      <c r="S694" s="8">
        <f t="shared" ca="1" si="341"/>
        <v>0</v>
      </c>
      <c r="T694" s="8">
        <f t="shared" ca="1" si="342"/>
        <v>0</v>
      </c>
      <c r="U694" s="8">
        <f t="shared" ca="1" si="343"/>
        <v>0</v>
      </c>
      <c r="V694" s="8">
        <f t="shared" ca="1" si="344"/>
        <v>0</v>
      </c>
      <c r="W694" s="11" t="str">
        <f t="shared" ca="1" si="345"/>
        <v/>
      </c>
      <c r="X694" s="11" t="str">
        <f t="shared" ca="1" si="346"/>
        <v/>
      </c>
      <c r="Y694" s="11" t="str">
        <f t="shared" ca="1" si="347"/>
        <v/>
      </c>
      <c r="Z694" s="11" t="str">
        <f t="shared" ca="1" si="348"/>
        <v/>
      </c>
      <c r="AA694" s="11" t="str">
        <f t="shared" ca="1" si="349"/>
        <v/>
      </c>
      <c r="AB694" s="47">
        <f ca="1">PlayerGameData[[#This Row],[3FGA]]+PlayerGameData[[#This Row],[2FGA]]</f>
        <v>0</v>
      </c>
      <c r="AC694" s="47">
        <f ca="1">PlayerGameData[[#This Row],[OFF REB]]+PlayerGameData[[#This Row],[DEF REB]]</f>
        <v>0</v>
      </c>
      <c r="AD694" s="8">
        <f t="shared" si="330"/>
        <v>29</v>
      </c>
      <c r="AE694" s="8" t="str">
        <f t="shared" ca="1" si="331"/>
        <v>,  - 0 1/0/1900</v>
      </c>
      <c r="AF694" s="8" t="str">
        <f t="shared" ca="1" si="350"/>
        <v/>
      </c>
      <c r="AG694" s="8" t="str">
        <f ca="1">IFERROR(IF(C694=0,"",IF(AND(VLOOKUP(PlayerGameData[[#This Row],[Opponent]],WYTeamInfo,2,FALSE)=Roster!$D$1,VLOOKUP(PlayerGameData[[#This Row],[Opponent]],WYTeamInfo,3,FALSE)=Roster!$D$2),"SR","")),"")</f>
        <v/>
      </c>
      <c r="AH694" s="8" t="str">
        <f>CONCATENATE(Roster!$D$1," ",Roster!$D$5)</f>
        <v>1A BB</v>
      </c>
      <c r="AI694" s="8" t="str">
        <f t="shared" ca="1" si="332"/>
        <v>Blank</v>
      </c>
      <c r="AJ694" s="8">
        <f ca="1">IFERROR(VLOOKUP(PlayerGameData[[#This Row],[School, Opponent,Game'#]],Table3[],2,FALSE),0)</f>
        <v>0</v>
      </c>
      <c r="AK694" s="8">
        <f ca="1">IF(PlayerGameData[[#This Row],[Visible]]=1,1,1000)</f>
        <v>1000</v>
      </c>
      <c r="AL694" s="8">
        <f ca="1">RANK(PlayerGameData[[#This Row],[TL PTS]],PlayerGameData[TL PTS],0)+PlayerGameData[[#This Row],[VisibleOrder]]</f>
        <v>1184</v>
      </c>
      <c r="AM694" s="8">
        <f ca="1">IF(COUNTIF(PlayerGameData[PointOrder],PlayerGameData[[#This Row],[PointOrder]])&gt;1,RANK(PlayerGameData[[#This Row],[FGA]],PlayerGameData[FGA],0)/100,0)+PlayerGameData[[#This Row],[PointOrder]]</f>
        <v>1186.1400000000001</v>
      </c>
      <c r="AN694" s="8">
        <f ca="1">RANK(PlayerGameData[[#This Row],[PointTieBreak]],PlayerGameData[PointTieBreak],1)</f>
        <v>625</v>
      </c>
      <c r="AO694" s="8">
        <f ca="1">RANK(PlayerGameData[[#This Row],[REB]],PlayerGameData[REB],0)+PlayerGameData[[#This Row],[VisibleOrder]]</f>
        <v>1191</v>
      </c>
      <c r="AP694" s="8">
        <f ca="1">IF(COUNTIF(PlayerGameData[REBOrder],PlayerGameData[[#This Row],[REBOrder]])&gt;1,PlayerGameData[[#This Row],[PointRank]]/100+PlayerGameData[[#This Row],[REBOrder]],PlayerGameData[[#This Row],[REBOrder]])</f>
        <v>1197.25</v>
      </c>
      <c r="AQ694" s="8">
        <f ca="1">RANK(PlayerGameData[[#This Row],[REBTieBreak]],PlayerGameData[REBTieBreak],1)</f>
        <v>625</v>
      </c>
      <c r="AR694" s="8">
        <f ca="1">RANK(PlayerGameData[[#This Row],[AST]],PlayerGameData[AST],0)+PlayerGameData[[#This Row],[VisibleOrder]]</f>
        <v>1157</v>
      </c>
      <c r="AS694" s="8">
        <f ca="1">IF(COUNTIF(PlayerGameData[ASTOrder],PlayerGameData[[#This Row],[ASTOrder]])&gt;1,PlayerGameData[[#This Row],[PointRank]]/100+PlayerGameData[[#This Row],[ASTOrder]],PlayerGameData[[#This Row],[ASTOrder]])</f>
        <v>1163.25</v>
      </c>
      <c r="AT694" s="8">
        <f ca="1">RANK(PlayerGameData[[#This Row],[ASTTieBreak]],PlayerGameData[ASTTieBreak],1)</f>
        <v>625</v>
      </c>
      <c r="AU694" s="8">
        <f ca="1">RANK(PlayerGameData[[#This Row],[STL]],PlayerGameData[STL],0)+PlayerGameData[[#This Row],[VisibleOrder]]</f>
        <v>1142</v>
      </c>
      <c r="AV694" s="8">
        <f ca="1">IF(COUNTIF(PlayerGameData[STLOrder],PlayerGameData[[#This Row],[STLOrder]])&gt;1,PlayerGameData[[#This Row],[PointRank]]/100+PlayerGameData[[#This Row],[STLOrder]],PlayerGameData[[#This Row],[STLOrder]])</f>
        <v>1148.25</v>
      </c>
      <c r="AW694" s="8">
        <f ca="1">RANK(PlayerGameData[[#This Row],[STLTieBreak]],PlayerGameData[STLTieBreak],1)</f>
        <v>625</v>
      </c>
      <c r="AX694" s="8">
        <f ca="1">RANK(PlayerGameData[[#This Row],[BLK]],PlayerGameData[BLK],0)+PlayerGameData[[#This Row],[VisibleOrder]]</f>
        <v>1031</v>
      </c>
      <c r="AY694" s="8">
        <f ca="1">IF(COUNTIF(PlayerGameData[BLKOrder],PlayerGameData[[#This Row],[BLKOrder]])&gt;1,PlayerGameData[[#This Row],[PointRank]]/100+PlayerGameData[[#This Row],[BLKOrder]],PlayerGameData[[#This Row],[BLKOrder]])</f>
        <v>1037.25</v>
      </c>
      <c r="AZ694" s="8">
        <f ca="1">RANK(PlayerGameData[[#This Row],[BLKTieBreak]],PlayerGameData[BLKTieBreak],1)</f>
        <v>625</v>
      </c>
      <c r="BA694" s="11">
        <f ca="1">IFERROR(IF(PlayerGameData[[#This Row],[FGA]]&gt;$AA$5,PlayerGameData[[#This Row],[FG%*]],PlayerGameData[[#This Row],[FG%*]]*-1),-2)</f>
        <v>-2</v>
      </c>
      <c r="BB694" s="8">
        <f ca="1">RANK(PlayerGameData[[#This Row],[EligFG]],PlayerGameData[EligFG],0)+PlayerGameData[[#This Row],[VisibleOrder]]</f>
        <v>1214</v>
      </c>
      <c r="BC694" s="8">
        <f ca="1">IF(COUNTIF(PlayerGameData[EligFGOrder],PlayerGameData[[#This Row],[EligFGOrder]])&gt;1,PlayerGameData[[#This Row],[PointRank]]/100+PlayerGameData[[#This Row],[EligFGOrder]],PlayerGameData[[#This Row],[EligFGOrder]])</f>
        <v>1220.25</v>
      </c>
      <c r="BD694" s="8">
        <f ca="1">RANK(PlayerGameData[[#This Row],[EligFGTieBreak]],PlayerGameData[EligFGTieBreak],1)</f>
        <v>625</v>
      </c>
      <c r="BE694" s="8" t="str">
        <f>Roster!$D$3</f>
        <v>East</v>
      </c>
      <c r="BF694" s="8" t="str">
        <f>Roster!$D$2</f>
        <v>Northeast</v>
      </c>
      <c r="BG694" s="8" t="str">
        <f>Roster!$D$4</f>
        <v>North</v>
      </c>
      <c r="BH694" s="197">
        <f ca="1">IFERROR(VLOOKUP(CONCATENATE(PlayerGameData[[#This Row],[Opponent]]," ",MONTH(PlayerGameData[[#This Row],[Date]]),"/",DAY(PlayerGameData[[#This Row],[Date]]),"/",YEAR(PlayerGameData[[#This Row],[Date]])),Table35[],2,FALSE),0)</f>
        <v>0</v>
      </c>
      <c r="BI694" s="197">
        <f ca="1">IF(PlayerGameData[[#This Row],[Visible]]=1,1,1000)</f>
        <v>1000</v>
      </c>
      <c r="BJ694" s="197" t="e">
        <f ca="1">_xlfn.MAXIFS(TeamGameData[Win],TeamGameData[School, Opponent,Game'#],PlayerGameData[[#This Row],[School, Opponent,Game'#]])</f>
        <v>#NAME?</v>
      </c>
      <c r="BK694" s="197" t="e">
        <f ca="1">_xlfn.MAXIFS(TeamGameData[Loss],TeamGameData[School, Opponent,Game'#],PlayerGameData[[#This Row],[School, Opponent,Game'#]])</f>
        <v>#NAME?</v>
      </c>
    </row>
    <row r="695" spans="1:63" x14ac:dyDescent="0.25">
      <c r="A695" s="8" t="str">
        <f t="shared" ca="1" si="333"/>
        <v xml:space="preserve">, </v>
      </c>
      <c r="B695" s="8" t="str">
        <f>Roster!$B$1</f>
        <v>Upton</v>
      </c>
      <c r="C695" s="8">
        <f t="shared" ca="1" si="321"/>
        <v>0</v>
      </c>
      <c r="D695" s="10">
        <f t="shared" ca="1" si="322"/>
        <v>0</v>
      </c>
      <c r="E695" s="8">
        <f t="shared" ca="1" si="323"/>
        <v>0</v>
      </c>
      <c r="F695" s="8">
        <f t="shared" ca="1" si="324"/>
        <v>0</v>
      </c>
      <c r="G695" s="8">
        <f t="shared" ca="1" si="325"/>
        <v>0</v>
      </c>
      <c r="H695" s="8">
        <f t="shared" ca="1" si="326"/>
        <v>0</v>
      </c>
      <c r="I695" s="8">
        <f t="shared" ca="1" si="327"/>
        <v>0</v>
      </c>
      <c r="J695" s="8">
        <f t="shared" ca="1" si="328"/>
        <v>0</v>
      </c>
      <c r="K695" s="8">
        <f t="shared" ca="1" si="329"/>
        <v>0</v>
      </c>
      <c r="L695" s="8">
        <f t="shared" ca="1" si="334"/>
        <v>0</v>
      </c>
      <c r="M695" s="8">
        <f t="shared" ca="1" si="335"/>
        <v>0</v>
      </c>
      <c r="N695" s="8">
        <f t="shared" ca="1" si="336"/>
        <v>0</v>
      </c>
      <c r="O695" s="8">
        <f t="shared" ca="1" si="337"/>
        <v>0</v>
      </c>
      <c r="P695" s="8">
        <f t="shared" ca="1" si="338"/>
        <v>0</v>
      </c>
      <c r="Q695" s="8">
        <f t="shared" ca="1" si="339"/>
        <v>0</v>
      </c>
      <c r="R695" s="8">
        <f t="shared" ca="1" si="340"/>
        <v>0</v>
      </c>
      <c r="S695" s="8">
        <f t="shared" ca="1" si="341"/>
        <v>0</v>
      </c>
      <c r="T695" s="8">
        <f t="shared" ca="1" si="342"/>
        <v>0</v>
      </c>
      <c r="U695" s="8">
        <f t="shared" ca="1" si="343"/>
        <v>0</v>
      </c>
      <c r="V695" s="8">
        <f t="shared" ca="1" si="344"/>
        <v>0</v>
      </c>
      <c r="W695" s="11" t="str">
        <f t="shared" ca="1" si="345"/>
        <v/>
      </c>
      <c r="X695" s="11" t="str">
        <f t="shared" ca="1" si="346"/>
        <v/>
      </c>
      <c r="Y695" s="11" t="str">
        <f t="shared" ca="1" si="347"/>
        <v/>
      </c>
      <c r="Z695" s="11" t="str">
        <f t="shared" ca="1" si="348"/>
        <v/>
      </c>
      <c r="AA695" s="11" t="str">
        <f t="shared" ca="1" si="349"/>
        <v/>
      </c>
      <c r="AB695" s="47">
        <f ca="1">PlayerGameData[[#This Row],[3FGA]]+PlayerGameData[[#This Row],[2FGA]]</f>
        <v>0</v>
      </c>
      <c r="AC695" s="47">
        <f ca="1">PlayerGameData[[#This Row],[OFF REB]]+PlayerGameData[[#This Row],[DEF REB]]</f>
        <v>0</v>
      </c>
      <c r="AD695" s="8">
        <f t="shared" si="330"/>
        <v>29</v>
      </c>
      <c r="AE695" s="8" t="str">
        <f t="shared" ca="1" si="331"/>
        <v>,  - 0 1/0/1900</v>
      </c>
      <c r="AF695" s="8" t="str">
        <f t="shared" ca="1" si="350"/>
        <v/>
      </c>
      <c r="AG695" s="8" t="str">
        <f ca="1">IFERROR(IF(C695=0,"",IF(AND(VLOOKUP(PlayerGameData[[#This Row],[Opponent]],WYTeamInfo,2,FALSE)=Roster!$D$1,VLOOKUP(PlayerGameData[[#This Row],[Opponent]],WYTeamInfo,3,FALSE)=Roster!$D$2),"SR","")),"")</f>
        <v/>
      </c>
      <c r="AH695" s="8" t="str">
        <f>CONCATENATE(Roster!$D$1," ",Roster!$D$5)</f>
        <v>1A BB</v>
      </c>
      <c r="AI695" s="8" t="str">
        <f t="shared" ca="1" si="332"/>
        <v>Blank</v>
      </c>
      <c r="AJ695" s="8">
        <f ca="1">IFERROR(VLOOKUP(PlayerGameData[[#This Row],[School, Opponent,Game'#]],Table3[],2,FALSE),0)</f>
        <v>0</v>
      </c>
      <c r="AK695" s="8">
        <f ca="1">IF(PlayerGameData[[#This Row],[Visible]]=1,1,1000)</f>
        <v>1000</v>
      </c>
      <c r="AL695" s="8">
        <f ca="1">RANK(PlayerGameData[[#This Row],[TL PTS]],PlayerGameData[TL PTS],0)+PlayerGameData[[#This Row],[VisibleOrder]]</f>
        <v>1184</v>
      </c>
      <c r="AM695" s="8">
        <f ca="1">IF(COUNTIF(PlayerGameData[PointOrder],PlayerGameData[[#This Row],[PointOrder]])&gt;1,RANK(PlayerGameData[[#This Row],[FGA]],PlayerGameData[FGA],0)/100,0)+PlayerGameData[[#This Row],[PointOrder]]</f>
        <v>1186.1400000000001</v>
      </c>
      <c r="AN695" s="8">
        <f ca="1">RANK(PlayerGameData[[#This Row],[PointTieBreak]],PlayerGameData[PointTieBreak],1)</f>
        <v>625</v>
      </c>
      <c r="AO695" s="8">
        <f ca="1">RANK(PlayerGameData[[#This Row],[REB]],PlayerGameData[REB],0)+PlayerGameData[[#This Row],[VisibleOrder]]</f>
        <v>1191</v>
      </c>
      <c r="AP695" s="8">
        <f ca="1">IF(COUNTIF(PlayerGameData[REBOrder],PlayerGameData[[#This Row],[REBOrder]])&gt;1,PlayerGameData[[#This Row],[PointRank]]/100+PlayerGameData[[#This Row],[REBOrder]],PlayerGameData[[#This Row],[REBOrder]])</f>
        <v>1197.25</v>
      </c>
      <c r="AQ695" s="8">
        <f ca="1">RANK(PlayerGameData[[#This Row],[REBTieBreak]],PlayerGameData[REBTieBreak],1)</f>
        <v>625</v>
      </c>
      <c r="AR695" s="8">
        <f ca="1">RANK(PlayerGameData[[#This Row],[AST]],PlayerGameData[AST],0)+PlayerGameData[[#This Row],[VisibleOrder]]</f>
        <v>1157</v>
      </c>
      <c r="AS695" s="8">
        <f ca="1">IF(COUNTIF(PlayerGameData[ASTOrder],PlayerGameData[[#This Row],[ASTOrder]])&gt;1,PlayerGameData[[#This Row],[PointRank]]/100+PlayerGameData[[#This Row],[ASTOrder]],PlayerGameData[[#This Row],[ASTOrder]])</f>
        <v>1163.25</v>
      </c>
      <c r="AT695" s="8">
        <f ca="1">RANK(PlayerGameData[[#This Row],[ASTTieBreak]],PlayerGameData[ASTTieBreak],1)</f>
        <v>625</v>
      </c>
      <c r="AU695" s="8">
        <f ca="1">RANK(PlayerGameData[[#This Row],[STL]],PlayerGameData[STL],0)+PlayerGameData[[#This Row],[VisibleOrder]]</f>
        <v>1142</v>
      </c>
      <c r="AV695" s="8">
        <f ca="1">IF(COUNTIF(PlayerGameData[STLOrder],PlayerGameData[[#This Row],[STLOrder]])&gt;1,PlayerGameData[[#This Row],[PointRank]]/100+PlayerGameData[[#This Row],[STLOrder]],PlayerGameData[[#This Row],[STLOrder]])</f>
        <v>1148.25</v>
      </c>
      <c r="AW695" s="8">
        <f ca="1">RANK(PlayerGameData[[#This Row],[STLTieBreak]],PlayerGameData[STLTieBreak],1)</f>
        <v>625</v>
      </c>
      <c r="AX695" s="8">
        <f ca="1">RANK(PlayerGameData[[#This Row],[BLK]],PlayerGameData[BLK],0)+PlayerGameData[[#This Row],[VisibleOrder]]</f>
        <v>1031</v>
      </c>
      <c r="AY695" s="8">
        <f ca="1">IF(COUNTIF(PlayerGameData[BLKOrder],PlayerGameData[[#This Row],[BLKOrder]])&gt;1,PlayerGameData[[#This Row],[PointRank]]/100+PlayerGameData[[#This Row],[BLKOrder]],PlayerGameData[[#This Row],[BLKOrder]])</f>
        <v>1037.25</v>
      </c>
      <c r="AZ695" s="8">
        <f ca="1">RANK(PlayerGameData[[#This Row],[BLKTieBreak]],PlayerGameData[BLKTieBreak],1)</f>
        <v>625</v>
      </c>
      <c r="BA695" s="11">
        <f ca="1">IFERROR(IF(PlayerGameData[[#This Row],[FGA]]&gt;$AA$5,PlayerGameData[[#This Row],[FG%*]],PlayerGameData[[#This Row],[FG%*]]*-1),-2)</f>
        <v>-2</v>
      </c>
      <c r="BB695" s="8">
        <f ca="1">RANK(PlayerGameData[[#This Row],[EligFG]],PlayerGameData[EligFG],0)+PlayerGameData[[#This Row],[VisibleOrder]]</f>
        <v>1214</v>
      </c>
      <c r="BC695" s="8">
        <f ca="1">IF(COUNTIF(PlayerGameData[EligFGOrder],PlayerGameData[[#This Row],[EligFGOrder]])&gt;1,PlayerGameData[[#This Row],[PointRank]]/100+PlayerGameData[[#This Row],[EligFGOrder]],PlayerGameData[[#This Row],[EligFGOrder]])</f>
        <v>1220.25</v>
      </c>
      <c r="BD695" s="8">
        <f ca="1">RANK(PlayerGameData[[#This Row],[EligFGTieBreak]],PlayerGameData[EligFGTieBreak],1)</f>
        <v>625</v>
      </c>
      <c r="BE695" s="8" t="str">
        <f>Roster!$D$3</f>
        <v>East</v>
      </c>
      <c r="BF695" s="8" t="str">
        <f>Roster!$D$2</f>
        <v>Northeast</v>
      </c>
      <c r="BG695" s="8" t="str">
        <f>Roster!$D$4</f>
        <v>North</v>
      </c>
      <c r="BH695" s="197">
        <f ca="1">IFERROR(VLOOKUP(CONCATENATE(PlayerGameData[[#This Row],[Opponent]]," ",MONTH(PlayerGameData[[#This Row],[Date]]),"/",DAY(PlayerGameData[[#This Row],[Date]]),"/",YEAR(PlayerGameData[[#This Row],[Date]])),Table35[],2,FALSE),0)</f>
        <v>0</v>
      </c>
      <c r="BI695" s="197">
        <f ca="1">IF(PlayerGameData[[#This Row],[Visible]]=1,1,1000)</f>
        <v>1000</v>
      </c>
      <c r="BJ695" s="197" t="e">
        <f ca="1">_xlfn.MAXIFS(TeamGameData[Win],TeamGameData[School, Opponent,Game'#],PlayerGameData[[#This Row],[School, Opponent,Game'#]])</f>
        <v>#NAME?</v>
      </c>
      <c r="BK695" s="197" t="e">
        <f ca="1">_xlfn.MAXIFS(TeamGameData[Loss],TeamGameData[School, Opponent,Game'#],PlayerGameData[[#This Row],[School, Opponent,Game'#]])</f>
        <v>#NAME?</v>
      </c>
    </row>
    <row r="696" spans="1:63" x14ac:dyDescent="0.25">
      <c r="A696" s="8" t="str">
        <f t="shared" ca="1" si="333"/>
        <v xml:space="preserve">, </v>
      </c>
      <c r="B696" s="8" t="str">
        <f>Roster!$B$1</f>
        <v>Upton</v>
      </c>
      <c r="C696" s="8">
        <f t="shared" ca="1" si="321"/>
        <v>0</v>
      </c>
      <c r="D696" s="10">
        <f t="shared" ca="1" si="322"/>
        <v>0</v>
      </c>
      <c r="E696" s="8">
        <f t="shared" ca="1" si="323"/>
        <v>0</v>
      </c>
      <c r="F696" s="8">
        <f t="shared" ca="1" si="324"/>
        <v>0</v>
      </c>
      <c r="G696" s="8">
        <f t="shared" ca="1" si="325"/>
        <v>0</v>
      </c>
      <c r="H696" s="8">
        <f t="shared" ca="1" si="326"/>
        <v>0</v>
      </c>
      <c r="I696" s="8">
        <f t="shared" ca="1" si="327"/>
        <v>0</v>
      </c>
      <c r="J696" s="8">
        <f t="shared" ca="1" si="328"/>
        <v>0</v>
      </c>
      <c r="K696" s="8">
        <f t="shared" ca="1" si="329"/>
        <v>0</v>
      </c>
      <c r="L696" s="8">
        <f t="shared" ca="1" si="334"/>
        <v>0</v>
      </c>
      <c r="M696" s="8">
        <f t="shared" ca="1" si="335"/>
        <v>0</v>
      </c>
      <c r="N696" s="8">
        <f t="shared" ca="1" si="336"/>
        <v>0</v>
      </c>
      <c r="O696" s="8">
        <f t="shared" ca="1" si="337"/>
        <v>0</v>
      </c>
      <c r="P696" s="8">
        <f t="shared" ca="1" si="338"/>
        <v>0</v>
      </c>
      <c r="Q696" s="8">
        <f t="shared" ca="1" si="339"/>
        <v>0</v>
      </c>
      <c r="R696" s="8">
        <f t="shared" ca="1" si="340"/>
        <v>0</v>
      </c>
      <c r="S696" s="8">
        <f t="shared" ca="1" si="341"/>
        <v>0</v>
      </c>
      <c r="T696" s="8">
        <f t="shared" ca="1" si="342"/>
        <v>0</v>
      </c>
      <c r="U696" s="8">
        <f t="shared" ca="1" si="343"/>
        <v>0</v>
      </c>
      <c r="V696" s="8">
        <f t="shared" ca="1" si="344"/>
        <v>0</v>
      </c>
      <c r="W696" s="11" t="str">
        <f t="shared" ca="1" si="345"/>
        <v/>
      </c>
      <c r="X696" s="11" t="str">
        <f t="shared" ca="1" si="346"/>
        <v/>
      </c>
      <c r="Y696" s="11" t="str">
        <f t="shared" ca="1" si="347"/>
        <v/>
      </c>
      <c r="Z696" s="11" t="str">
        <f t="shared" ca="1" si="348"/>
        <v/>
      </c>
      <c r="AA696" s="11" t="str">
        <f t="shared" ca="1" si="349"/>
        <v/>
      </c>
      <c r="AB696" s="47">
        <f ca="1">PlayerGameData[[#This Row],[3FGA]]+PlayerGameData[[#This Row],[2FGA]]</f>
        <v>0</v>
      </c>
      <c r="AC696" s="47">
        <f ca="1">PlayerGameData[[#This Row],[OFF REB]]+PlayerGameData[[#This Row],[DEF REB]]</f>
        <v>0</v>
      </c>
      <c r="AD696" s="8">
        <f t="shared" si="330"/>
        <v>29</v>
      </c>
      <c r="AE696" s="8" t="str">
        <f t="shared" ca="1" si="331"/>
        <v>,  - 0 1/0/1900</v>
      </c>
      <c r="AF696" s="8" t="str">
        <f t="shared" ca="1" si="350"/>
        <v/>
      </c>
      <c r="AG696" s="8" t="str">
        <f ca="1">IFERROR(IF(C696=0,"",IF(AND(VLOOKUP(PlayerGameData[[#This Row],[Opponent]],WYTeamInfo,2,FALSE)=Roster!$D$1,VLOOKUP(PlayerGameData[[#This Row],[Opponent]],WYTeamInfo,3,FALSE)=Roster!$D$2),"SR","")),"")</f>
        <v/>
      </c>
      <c r="AH696" s="8" t="str">
        <f>CONCATENATE(Roster!$D$1," ",Roster!$D$5)</f>
        <v>1A BB</v>
      </c>
      <c r="AI696" s="8" t="str">
        <f t="shared" ca="1" si="332"/>
        <v>Blank</v>
      </c>
      <c r="AJ696" s="8">
        <f ca="1">IFERROR(VLOOKUP(PlayerGameData[[#This Row],[School, Opponent,Game'#]],Table3[],2,FALSE),0)</f>
        <v>0</v>
      </c>
      <c r="AK696" s="8">
        <f ca="1">IF(PlayerGameData[[#This Row],[Visible]]=1,1,1000)</f>
        <v>1000</v>
      </c>
      <c r="AL696" s="8">
        <f ca="1">RANK(PlayerGameData[[#This Row],[TL PTS]],PlayerGameData[TL PTS],0)+PlayerGameData[[#This Row],[VisibleOrder]]</f>
        <v>1184</v>
      </c>
      <c r="AM696" s="8">
        <f ca="1">IF(COUNTIF(PlayerGameData[PointOrder],PlayerGameData[[#This Row],[PointOrder]])&gt;1,RANK(PlayerGameData[[#This Row],[FGA]],PlayerGameData[FGA],0)/100,0)+PlayerGameData[[#This Row],[PointOrder]]</f>
        <v>1186.1400000000001</v>
      </c>
      <c r="AN696" s="8">
        <f ca="1">RANK(PlayerGameData[[#This Row],[PointTieBreak]],PlayerGameData[PointTieBreak],1)</f>
        <v>625</v>
      </c>
      <c r="AO696" s="8">
        <f ca="1">RANK(PlayerGameData[[#This Row],[REB]],PlayerGameData[REB],0)+PlayerGameData[[#This Row],[VisibleOrder]]</f>
        <v>1191</v>
      </c>
      <c r="AP696" s="8">
        <f ca="1">IF(COUNTIF(PlayerGameData[REBOrder],PlayerGameData[[#This Row],[REBOrder]])&gt;1,PlayerGameData[[#This Row],[PointRank]]/100+PlayerGameData[[#This Row],[REBOrder]],PlayerGameData[[#This Row],[REBOrder]])</f>
        <v>1197.25</v>
      </c>
      <c r="AQ696" s="8">
        <f ca="1">RANK(PlayerGameData[[#This Row],[REBTieBreak]],PlayerGameData[REBTieBreak],1)</f>
        <v>625</v>
      </c>
      <c r="AR696" s="8">
        <f ca="1">RANK(PlayerGameData[[#This Row],[AST]],PlayerGameData[AST],0)+PlayerGameData[[#This Row],[VisibleOrder]]</f>
        <v>1157</v>
      </c>
      <c r="AS696" s="8">
        <f ca="1">IF(COUNTIF(PlayerGameData[ASTOrder],PlayerGameData[[#This Row],[ASTOrder]])&gt;1,PlayerGameData[[#This Row],[PointRank]]/100+PlayerGameData[[#This Row],[ASTOrder]],PlayerGameData[[#This Row],[ASTOrder]])</f>
        <v>1163.25</v>
      </c>
      <c r="AT696" s="8">
        <f ca="1">RANK(PlayerGameData[[#This Row],[ASTTieBreak]],PlayerGameData[ASTTieBreak],1)</f>
        <v>625</v>
      </c>
      <c r="AU696" s="8">
        <f ca="1">RANK(PlayerGameData[[#This Row],[STL]],PlayerGameData[STL],0)+PlayerGameData[[#This Row],[VisibleOrder]]</f>
        <v>1142</v>
      </c>
      <c r="AV696" s="8">
        <f ca="1">IF(COUNTIF(PlayerGameData[STLOrder],PlayerGameData[[#This Row],[STLOrder]])&gt;1,PlayerGameData[[#This Row],[PointRank]]/100+PlayerGameData[[#This Row],[STLOrder]],PlayerGameData[[#This Row],[STLOrder]])</f>
        <v>1148.25</v>
      </c>
      <c r="AW696" s="8">
        <f ca="1">RANK(PlayerGameData[[#This Row],[STLTieBreak]],PlayerGameData[STLTieBreak],1)</f>
        <v>625</v>
      </c>
      <c r="AX696" s="8">
        <f ca="1">RANK(PlayerGameData[[#This Row],[BLK]],PlayerGameData[BLK],0)+PlayerGameData[[#This Row],[VisibleOrder]]</f>
        <v>1031</v>
      </c>
      <c r="AY696" s="8">
        <f ca="1">IF(COUNTIF(PlayerGameData[BLKOrder],PlayerGameData[[#This Row],[BLKOrder]])&gt;1,PlayerGameData[[#This Row],[PointRank]]/100+PlayerGameData[[#This Row],[BLKOrder]],PlayerGameData[[#This Row],[BLKOrder]])</f>
        <v>1037.25</v>
      </c>
      <c r="AZ696" s="8">
        <f ca="1">RANK(PlayerGameData[[#This Row],[BLKTieBreak]],PlayerGameData[BLKTieBreak],1)</f>
        <v>625</v>
      </c>
      <c r="BA696" s="11">
        <f ca="1">IFERROR(IF(PlayerGameData[[#This Row],[FGA]]&gt;$AA$5,PlayerGameData[[#This Row],[FG%*]],PlayerGameData[[#This Row],[FG%*]]*-1),-2)</f>
        <v>-2</v>
      </c>
      <c r="BB696" s="8">
        <f ca="1">RANK(PlayerGameData[[#This Row],[EligFG]],PlayerGameData[EligFG],0)+PlayerGameData[[#This Row],[VisibleOrder]]</f>
        <v>1214</v>
      </c>
      <c r="BC696" s="8">
        <f ca="1">IF(COUNTIF(PlayerGameData[EligFGOrder],PlayerGameData[[#This Row],[EligFGOrder]])&gt;1,PlayerGameData[[#This Row],[PointRank]]/100+PlayerGameData[[#This Row],[EligFGOrder]],PlayerGameData[[#This Row],[EligFGOrder]])</f>
        <v>1220.25</v>
      </c>
      <c r="BD696" s="8">
        <f ca="1">RANK(PlayerGameData[[#This Row],[EligFGTieBreak]],PlayerGameData[EligFGTieBreak],1)</f>
        <v>625</v>
      </c>
      <c r="BE696" s="8" t="str">
        <f>Roster!$D$3</f>
        <v>East</v>
      </c>
      <c r="BF696" s="8" t="str">
        <f>Roster!$D$2</f>
        <v>Northeast</v>
      </c>
      <c r="BG696" s="8" t="str">
        <f>Roster!$D$4</f>
        <v>North</v>
      </c>
      <c r="BH696" s="197">
        <f ca="1">IFERROR(VLOOKUP(CONCATENATE(PlayerGameData[[#This Row],[Opponent]]," ",MONTH(PlayerGameData[[#This Row],[Date]]),"/",DAY(PlayerGameData[[#This Row],[Date]]),"/",YEAR(PlayerGameData[[#This Row],[Date]])),Table35[],2,FALSE),0)</f>
        <v>0</v>
      </c>
      <c r="BI696" s="197">
        <f ca="1">IF(PlayerGameData[[#This Row],[Visible]]=1,1,1000)</f>
        <v>1000</v>
      </c>
      <c r="BJ696" s="197" t="e">
        <f ca="1">_xlfn.MAXIFS(TeamGameData[Win],TeamGameData[School, Opponent,Game'#],PlayerGameData[[#This Row],[School, Opponent,Game'#]])</f>
        <v>#NAME?</v>
      </c>
      <c r="BK696" s="197" t="e">
        <f ca="1">_xlfn.MAXIFS(TeamGameData[Loss],TeamGameData[School, Opponent,Game'#],PlayerGameData[[#This Row],[School, Opponent,Game'#]])</f>
        <v>#NAME?</v>
      </c>
    </row>
    <row r="697" spans="1:63" x14ac:dyDescent="0.25">
      <c r="A697" s="8" t="str">
        <f t="shared" ca="1" si="333"/>
        <v xml:space="preserve">, </v>
      </c>
      <c r="B697" s="8" t="str">
        <f>Roster!$B$1</f>
        <v>Upton</v>
      </c>
      <c r="C697" s="8">
        <f t="shared" ca="1" si="321"/>
        <v>0</v>
      </c>
      <c r="D697" s="10">
        <f t="shared" ca="1" si="322"/>
        <v>0</v>
      </c>
      <c r="E697" s="8">
        <f t="shared" ca="1" si="323"/>
        <v>0</v>
      </c>
      <c r="F697" s="8">
        <f t="shared" ca="1" si="324"/>
        <v>0</v>
      </c>
      <c r="G697" s="8">
        <f t="shared" ca="1" si="325"/>
        <v>0</v>
      </c>
      <c r="H697" s="8">
        <f t="shared" ca="1" si="326"/>
        <v>0</v>
      </c>
      <c r="I697" s="8">
        <f t="shared" ca="1" si="327"/>
        <v>0</v>
      </c>
      <c r="J697" s="8">
        <f t="shared" ca="1" si="328"/>
        <v>0</v>
      </c>
      <c r="K697" s="8">
        <f t="shared" ca="1" si="329"/>
        <v>0</v>
      </c>
      <c r="L697" s="8">
        <f t="shared" ca="1" si="334"/>
        <v>0</v>
      </c>
      <c r="M697" s="8">
        <f t="shared" ca="1" si="335"/>
        <v>0</v>
      </c>
      <c r="N697" s="8">
        <f t="shared" ca="1" si="336"/>
        <v>0</v>
      </c>
      <c r="O697" s="8">
        <f t="shared" ca="1" si="337"/>
        <v>0</v>
      </c>
      <c r="P697" s="8">
        <f t="shared" ca="1" si="338"/>
        <v>0</v>
      </c>
      <c r="Q697" s="8">
        <f t="shared" ca="1" si="339"/>
        <v>0</v>
      </c>
      <c r="R697" s="8">
        <f t="shared" ca="1" si="340"/>
        <v>0</v>
      </c>
      <c r="S697" s="8">
        <f t="shared" ca="1" si="341"/>
        <v>0</v>
      </c>
      <c r="T697" s="8">
        <f t="shared" ca="1" si="342"/>
        <v>0</v>
      </c>
      <c r="U697" s="8">
        <f t="shared" ca="1" si="343"/>
        <v>0</v>
      </c>
      <c r="V697" s="8">
        <f t="shared" ca="1" si="344"/>
        <v>0</v>
      </c>
      <c r="W697" s="11" t="str">
        <f t="shared" ca="1" si="345"/>
        <v/>
      </c>
      <c r="X697" s="11" t="str">
        <f t="shared" ca="1" si="346"/>
        <v/>
      </c>
      <c r="Y697" s="11" t="str">
        <f t="shared" ca="1" si="347"/>
        <v/>
      </c>
      <c r="Z697" s="11" t="str">
        <f t="shared" ca="1" si="348"/>
        <v/>
      </c>
      <c r="AA697" s="11" t="str">
        <f t="shared" ca="1" si="349"/>
        <v/>
      </c>
      <c r="AB697" s="47">
        <f ca="1">PlayerGameData[[#This Row],[3FGA]]+PlayerGameData[[#This Row],[2FGA]]</f>
        <v>0</v>
      </c>
      <c r="AC697" s="47">
        <f ca="1">PlayerGameData[[#This Row],[OFF REB]]+PlayerGameData[[#This Row],[DEF REB]]</f>
        <v>0</v>
      </c>
      <c r="AD697" s="8">
        <f t="shared" si="330"/>
        <v>29</v>
      </c>
      <c r="AE697" s="8" t="str">
        <f t="shared" ca="1" si="331"/>
        <v>,  - 0 1/0/1900</v>
      </c>
      <c r="AF697" s="8" t="str">
        <f t="shared" ca="1" si="350"/>
        <v/>
      </c>
      <c r="AG697" s="8" t="str">
        <f ca="1">IFERROR(IF(C697=0,"",IF(AND(VLOOKUP(PlayerGameData[[#This Row],[Opponent]],WYTeamInfo,2,FALSE)=Roster!$D$1,VLOOKUP(PlayerGameData[[#This Row],[Opponent]],WYTeamInfo,3,FALSE)=Roster!$D$2),"SR","")),"")</f>
        <v/>
      </c>
      <c r="AH697" s="8" t="str">
        <f>CONCATENATE(Roster!$D$1," ",Roster!$D$5)</f>
        <v>1A BB</v>
      </c>
      <c r="AI697" s="8" t="str">
        <f t="shared" ca="1" si="332"/>
        <v>Blank</v>
      </c>
      <c r="AJ697" s="8">
        <f ca="1">IFERROR(VLOOKUP(PlayerGameData[[#This Row],[School, Opponent,Game'#]],Table3[],2,FALSE),0)</f>
        <v>0</v>
      </c>
      <c r="AK697" s="8">
        <f ca="1">IF(PlayerGameData[[#This Row],[Visible]]=1,1,1000)</f>
        <v>1000</v>
      </c>
      <c r="AL697" s="8">
        <f ca="1">RANK(PlayerGameData[[#This Row],[TL PTS]],PlayerGameData[TL PTS],0)+PlayerGameData[[#This Row],[VisibleOrder]]</f>
        <v>1184</v>
      </c>
      <c r="AM697" s="8">
        <f ca="1">IF(COUNTIF(PlayerGameData[PointOrder],PlayerGameData[[#This Row],[PointOrder]])&gt;1,RANK(PlayerGameData[[#This Row],[FGA]],PlayerGameData[FGA],0)/100,0)+PlayerGameData[[#This Row],[PointOrder]]</f>
        <v>1186.1400000000001</v>
      </c>
      <c r="AN697" s="8">
        <f ca="1">RANK(PlayerGameData[[#This Row],[PointTieBreak]],PlayerGameData[PointTieBreak],1)</f>
        <v>625</v>
      </c>
      <c r="AO697" s="8">
        <f ca="1">RANK(PlayerGameData[[#This Row],[REB]],PlayerGameData[REB],0)+PlayerGameData[[#This Row],[VisibleOrder]]</f>
        <v>1191</v>
      </c>
      <c r="AP697" s="8">
        <f ca="1">IF(COUNTIF(PlayerGameData[REBOrder],PlayerGameData[[#This Row],[REBOrder]])&gt;1,PlayerGameData[[#This Row],[PointRank]]/100+PlayerGameData[[#This Row],[REBOrder]],PlayerGameData[[#This Row],[REBOrder]])</f>
        <v>1197.25</v>
      </c>
      <c r="AQ697" s="8">
        <f ca="1">RANK(PlayerGameData[[#This Row],[REBTieBreak]],PlayerGameData[REBTieBreak],1)</f>
        <v>625</v>
      </c>
      <c r="AR697" s="8">
        <f ca="1">RANK(PlayerGameData[[#This Row],[AST]],PlayerGameData[AST],0)+PlayerGameData[[#This Row],[VisibleOrder]]</f>
        <v>1157</v>
      </c>
      <c r="AS697" s="8">
        <f ca="1">IF(COUNTIF(PlayerGameData[ASTOrder],PlayerGameData[[#This Row],[ASTOrder]])&gt;1,PlayerGameData[[#This Row],[PointRank]]/100+PlayerGameData[[#This Row],[ASTOrder]],PlayerGameData[[#This Row],[ASTOrder]])</f>
        <v>1163.25</v>
      </c>
      <c r="AT697" s="8">
        <f ca="1">RANK(PlayerGameData[[#This Row],[ASTTieBreak]],PlayerGameData[ASTTieBreak],1)</f>
        <v>625</v>
      </c>
      <c r="AU697" s="8">
        <f ca="1">RANK(PlayerGameData[[#This Row],[STL]],PlayerGameData[STL],0)+PlayerGameData[[#This Row],[VisibleOrder]]</f>
        <v>1142</v>
      </c>
      <c r="AV697" s="8">
        <f ca="1">IF(COUNTIF(PlayerGameData[STLOrder],PlayerGameData[[#This Row],[STLOrder]])&gt;1,PlayerGameData[[#This Row],[PointRank]]/100+PlayerGameData[[#This Row],[STLOrder]],PlayerGameData[[#This Row],[STLOrder]])</f>
        <v>1148.25</v>
      </c>
      <c r="AW697" s="8">
        <f ca="1">RANK(PlayerGameData[[#This Row],[STLTieBreak]],PlayerGameData[STLTieBreak],1)</f>
        <v>625</v>
      </c>
      <c r="AX697" s="8">
        <f ca="1">RANK(PlayerGameData[[#This Row],[BLK]],PlayerGameData[BLK],0)+PlayerGameData[[#This Row],[VisibleOrder]]</f>
        <v>1031</v>
      </c>
      <c r="AY697" s="8">
        <f ca="1">IF(COUNTIF(PlayerGameData[BLKOrder],PlayerGameData[[#This Row],[BLKOrder]])&gt;1,PlayerGameData[[#This Row],[PointRank]]/100+PlayerGameData[[#This Row],[BLKOrder]],PlayerGameData[[#This Row],[BLKOrder]])</f>
        <v>1037.25</v>
      </c>
      <c r="AZ697" s="8">
        <f ca="1">RANK(PlayerGameData[[#This Row],[BLKTieBreak]],PlayerGameData[BLKTieBreak],1)</f>
        <v>625</v>
      </c>
      <c r="BA697" s="11">
        <f ca="1">IFERROR(IF(PlayerGameData[[#This Row],[FGA]]&gt;$AA$5,PlayerGameData[[#This Row],[FG%*]],PlayerGameData[[#This Row],[FG%*]]*-1),-2)</f>
        <v>-2</v>
      </c>
      <c r="BB697" s="8">
        <f ca="1">RANK(PlayerGameData[[#This Row],[EligFG]],PlayerGameData[EligFG],0)+PlayerGameData[[#This Row],[VisibleOrder]]</f>
        <v>1214</v>
      </c>
      <c r="BC697" s="8">
        <f ca="1">IF(COUNTIF(PlayerGameData[EligFGOrder],PlayerGameData[[#This Row],[EligFGOrder]])&gt;1,PlayerGameData[[#This Row],[PointRank]]/100+PlayerGameData[[#This Row],[EligFGOrder]],PlayerGameData[[#This Row],[EligFGOrder]])</f>
        <v>1220.25</v>
      </c>
      <c r="BD697" s="8">
        <f ca="1">RANK(PlayerGameData[[#This Row],[EligFGTieBreak]],PlayerGameData[EligFGTieBreak],1)</f>
        <v>625</v>
      </c>
      <c r="BE697" s="8" t="str">
        <f>Roster!$D$3</f>
        <v>East</v>
      </c>
      <c r="BF697" s="8" t="str">
        <f>Roster!$D$2</f>
        <v>Northeast</v>
      </c>
      <c r="BG697" s="8" t="str">
        <f>Roster!$D$4</f>
        <v>North</v>
      </c>
      <c r="BH697" s="197">
        <f ca="1">IFERROR(VLOOKUP(CONCATENATE(PlayerGameData[[#This Row],[Opponent]]," ",MONTH(PlayerGameData[[#This Row],[Date]]),"/",DAY(PlayerGameData[[#This Row],[Date]]),"/",YEAR(PlayerGameData[[#This Row],[Date]])),Table35[],2,FALSE),0)</f>
        <v>0</v>
      </c>
      <c r="BI697" s="197">
        <f ca="1">IF(PlayerGameData[[#This Row],[Visible]]=1,1,1000)</f>
        <v>1000</v>
      </c>
      <c r="BJ697" s="197" t="e">
        <f ca="1">_xlfn.MAXIFS(TeamGameData[Win],TeamGameData[School, Opponent,Game'#],PlayerGameData[[#This Row],[School, Opponent,Game'#]])</f>
        <v>#NAME?</v>
      </c>
      <c r="BK697" s="197" t="e">
        <f ca="1">_xlfn.MAXIFS(TeamGameData[Loss],TeamGameData[School, Opponent,Game'#],PlayerGameData[[#This Row],[School, Opponent,Game'#]])</f>
        <v>#NAME?</v>
      </c>
    </row>
    <row r="698" spans="1:63" x14ac:dyDescent="0.25">
      <c r="A698" s="8" t="str">
        <f t="shared" ca="1" si="333"/>
        <v xml:space="preserve">, </v>
      </c>
      <c r="B698" s="8" t="str">
        <f>Roster!$B$1</f>
        <v>Upton</v>
      </c>
      <c r="C698" s="8">
        <f t="shared" ca="1" si="321"/>
        <v>0</v>
      </c>
      <c r="D698" s="10">
        <f t="shared" ca="1" si="322"/>
        <v>0</v>
      </c>
      <c r="E698" s="8">
        <f t="shared" ca="1" si="323"/>
        <v>0</v>
      </c>
      <c r="F698" s="8">
        <f t="shared" ca="1" si="324"/>
        <v>0</v>
      </c>
      <c r="G698" s="8">
        <f t="shared" ca="1" si="325"/>
        <v>0</v>
      </c>
      <c r="H698" s="8">
        <f t="shared" ca="1" si="326"/>
        <v>0</v>
      </c>
      <c r="I698" s="8">
        <f t="shared" ca="1" si="327"/>
        <v>0</v>
      </c>
      <c r="J698" s="8">
        <f t="shared" ca="1" si="328"/>
        <v>0</v>
      </c>
      <c r="K698" s="8">
        <f t="shared" ca="1" si="329"/>
        <v>0</v>
      </c>
      <c r="L698" s="8">
        <f t="shared" ca="1" si="334"/>
        <v>0</v>
      </c>
      <c r="M698" s="8">
        <f t="shared" ca="1" si="335"/>
        <v>0</v>
      </c>
      <c r="N698" s="8">
        <f t="shared" ca="1" si="336"/>
        <v>0</v>
      </c>
      <c r="O698" s="8">
        <f t="shared" ca="1" si="337"/>
        <v>0</v>
      </c>
      <c r="P698" s="8">
        <f t="shared" ca="1" si="338"/>
        <v>0</v>
      </c>
      <c r="Q698" s="8">
        <f t="shared" ca="1" si="339"/>
        <v>0</v>
      </c>
      <c r="R698" s="8">
        <f t="shared" ca="1" si="340"/>
        <v>0</v>
      </c>
      <c r="S698" s="8">
        <f t="shared" ca="1" si="341"/>
        <v>0</v>
      </c>
      <c r="T698" s="8">
        <f t="shared" ca="1" si="342"/>
        <v>0</v>
      </c>
      <c r="U698" s="8">
        <f t="shared" ca="1" si="343"/>
        <v>0</v>
      </c>
      <c r="V698" s="8">
        <f t="shared" ca="1" si="344"/>
        <v>0</v>
      </c>
      <c r="W698" s="11" t="str">
        <f t="shared" ca="1" si="345"/>
        <v/>
      </c>
      <c r="X698" s="11" t="str">
        <f t="shared" ca="1" si="346"/>
        <v/>
      </c>
      <c r="Y698" s="11" t="str">
        <f t="shared" ca="1" si="347"/>
        <v/>
      </c>
      <c r="Z698" s="11" t="str">
        <f t="shared" ca="1" si="348"/>
        <v/>
      </c>
      <c r="AA698" s="11" t="str">
        <f t="shared" ca="1" si="349"/>
        <v/>
      </c>
      <c r="AB698" s="47">
        <f ca="1">PlayerGameData[[#This Row],[3FGA]]+PlayerGameData[[#This Row],[2FGA]]</f>
        <v>0</v>
      </c>
      <c r="AC698" s="47">
        <f ca="1">PlayerGameData[[#This Row],[OFF REB]]+PlayerGameData[[#This Row],[DEF REB]]</f>
        <v>0</v>
      </c>
      <c r="AD698" s="8">
        <f t="shared" si="330"/>
        <v>29</v>
      </c>
      <c r="AE698" s="8" t="str">
        <f t="shared" ca="1" si="331"/>
        <v>,  - 0 1/0/1900</v>
      </c>
      <c r="AF698" s="8" t="str">
        <f t="shared" ca="1" si="350"/>
        <v/>
      </c>
      <c r="AG698" s="8" t="str">
        <f ca="1">IFERROR(IF(C698=0,"",IF(AND(VLOOKUP(PlayerGameData[[#This Row],[Opponent]],WYTeamInfo,2,FALSE)=Roster!$D$1,VLOOKUP(PlayerGameData[[#This Row],[Opponent]],WYTeamInfo,3,FALSE)=Roster!$D$2),"SR","")),"")</f>
        <v/>
      </c>
      <c r="AH698" s="8" t="str">
        <f>CONCATENATE(Roster!$D$1," ",Roster!$D$5)</f>
        <v>1A BB</v>
      </c>
      <c r="AI698" s="8" t="str">
        <f t="shared" ca="1" si="332"/>
        <v>Blank</v>
      </c>
      <c r="AJ698" s="8">
        <f ca="1">IFERROR(VLOOKUP(PlayerGameData[[#This Row],[School, Opponent,Game'#]],Table3[],2,FALSE),0)</f>
        <v>0</v>
      </c>
      <c r="AK698" s="8">
        <f ca="1">IF(PlayerGameData[[#This Row],[Visible]]=1,1,1000)</f>
        <v>1000</v>
      </c>
      <c r="AL698" s="8">
        <f ca="1">RANK(PlayerGameData[[#This Row],[TL PTS]],PlayerGameData[TL PTS],0)+PlayerGameData[[#This Row],[VisibleOrder]]</f>
        <v>1184</v>
      </c>
      <c r="AM698" s="8">
        <f ca="1">IF(COUNTIF(PlayerGameData[PointOrder],PlayerGameData[[#This Row],[PointOrder]])&gt;1,RANK(PlayerGameData[[#This Row],[FGA]],PlayerGameData[FGA],0)/100,0)+PlayerGameData[[#This Row],[PointOrder]]</f>
        <v>1186.1400000000001</v>
      </c>
      <c r="AN698" s="8">
        <f ca="1">RANK(PlayerGameData[[#This Row],[PointTieBreak]],PlayerGameData[PointTieBreak],1)</f>
        <v>625</v>
      </c>
      <c r="AO698" s="8">
        <f ca="1">RANK(PlayerGameData[[#This Row],[REB]],PlayerGameData[REB],0)+PlayerGameData[[#This Row],[VisibleOrder]]</f>
        <v>1191</v>
      </c>
      <c r="AP698" s="8">
        <f ca="1">IF(COUNTIF(PlayerGameData[REBOrder],PlayerGameData[[#This Row],[REBOrder]])&gt;1,PlayerGameData[[#This Row],[PointRank]]/100+PlayerGameData[[#This Row],[REBOrder]],PlayerGameData[[#This Row],[REBOrder]])</f>
        <v>1197.25</v>
      </c>
      <c r="AQ698" s="8">
        <f ca="1">RANK(PlayerGameData[[#This Row],[REBTieBreak]],PlayerGameData[REBTieBreak],1)</f>
        <v>625</v>
      </c>
      <c r="AR698" s="8">
        <f ca="1">RANK(PlayerGameData[[#This Row],[AST]],PlayerGameData[AST],0)+PlayerGameData[[#This Row],[VisibleOrder]]</f>
        <v>1157</v>
      </c>
      <c r="AS698" s="8">
        <f ca="1">IF(COUNTIF(PlayerGameData[ASTOrder],PlayerGameData[[#This Row],[ASTOrder]])&gt;1,PlayerGameData[[#This Row],[PointRank]]/100+PlayerGameData[[#This Row],[ASTOrder]],PlayerGameData[[#This Row],[ASTOrder]])</f>
        <v>1163.25</v>
      </c>
      <c r="AT698" s="8">
        <f ca="1">RANK(PlayerGameData[[#This Row],[ASTTieBreak]],PlayerGameData[ASTTieBreak],1)</f>
        <v>625</v>
      </c>
      <c r="AU698" s="8">
        <f ca="1">RANK(PlayerGameData[[#This Row],[STL]],PlayerGameData[STL],0)+PlayerGameData[[#This Row],[VisibleOrder]]</f>
        <v>1142</v>
      </c>
      <c r="AV698" s="8">
        <f ca="1">IF(COUNTIF(PlayerGameData[STLOrder],PlayerGameData[[#This Row],[STLOrder]])&gt;1,PlayerGameData[[#This Row],[PointRank]]/100+PlayerGameData[[#This Row],[STLOrder]],PlayerGameData[[#This Row],[STLOrder]])</f>
        <v>1148.25</v>
      </c>
      <c r="AW698" s="8">
        <f ca="1">RANK(PlayerGameData[[#This Row],[STLTieBreak]],PlayerGameData[STLTieBreak],1)</f>
        <v>625</v>
      </c>
      <c r="AX698" s="8">
        <f ca="1">RANK(PlayerGameData[[#This Row],[BLK]],PlayerGameData[BLK],0)+PlayerGameData[[#This Row],[VisibleOrder]]</f>
        <v>1031</v>
      </c>
      <c r="AY698" s="8">
        <f ca="1">IF(COUNTIF(PlayerGameData[BLKOrder],PlayerGameData[[#This Row],[BLKOrder]])&gt;1,PlayerGameData[[#This Row],[PointRank]]/100+PlayerGameData[[#This Row],[BLKOrder]],PlayerGameData[[#This Row],[BLKOrder]])</f>
        <v>1037.25</v>
      </c>
      <c r="AZ698" s="8">
        <f ca="1">RANK(PlayerGameData[[#This Row],[BLKTieBreak]],PlayerGameData[BLKTieBreak],1)</f>
        <v>625</v>
      </c>
      <c r="BA698" s="11">
        <f ca="1">IFERROR(IF(PlayerGameData[[#This Row],[FGA]]&gt;$AA$5,PlayerGameData[[#This Row],[FG%*]],PlayerGameData[[#This Row],[FG%*]]*-1),-2)</f>
        <v>-2</v>
      </c>
      <c r="BB698" s="8">
        <f ca="1">RANK(PlayerGameData[[#This Row],[EligFG]],PlayerGameData[EligFG],0)+PlayerGameData[[#This Row],[VisibleOrder]]</f>
        <v>1214</v>
      </c>
      <c r="BC698" s="8">
        <f ca="1">IF(COUNTIF(PlayerGameData[EligFGOrder],PlayerGameData[[#This Row],[EligFGOrder]])&gt;1,PlayerGameData[[#This Row],[PointRank]]/100+PlayerGameData[[#This Row],[EligFGOrder]],PlayerGameData[[#This Row],[EligFGOrder]])</f>
        <v>1220.25</v>
      </c>
      <c r="BD698" s="8">
        <f ca="1">RANK(PlayerGameData[[#This Row],[EligFGTieBreak]],PlayerGameData[EligFGTieBreak],1)</f>
        <v>625</v>
      </c>
      <c r="BE698" s="8" t="str">
        <f>Roster!$D$3</f>
        <v>East</v>
      </c>
      <c r="BF698" s="8" t="str">
        <f>Roster!$D$2</f>
        <v>Northeast</v>
      </c>
      <c r="BG698" s="8" t="str">
        <f>Roster!$D$4</f>
        <v>North</v>
      </c>
      <c r="BH698" s="197">
        <f ca="1">IFERROR(VLOOKUP(CONCATENATE(PlayerGameData[[#This Row],[Opponent]]," ",MONTH(PlayerGameData[[#This Row],[Date]]),"/",DAY(PlayerGameData[[#This Row],[Date]]),"/",YEAR(PlayerGameData[[#This Row],[Date]])),Table35[],2,FALSE),0)</f>
        <v>0</v>
      </c>
      <c r="BI698" s="197">
        <f ca="1">IF(PlayerGameData[[#This Row],[Visible]]=1,1,1000)</f>
        <v>1000</v>
      </c>
      <c r="BJ698" s="197" t="e">
        <f ca="1">_xlfn.MAXIFS(TeamGameData[Win],TeamGameData[School, Opponent,Game'#],PlayerGameData[[#This Row],[School, Opponent,Game'#]])</f>
        <v>#NAME?</v>
      </c>
      <c r="BK698" s="197" t="e">
        <f ca="1">_xlfn.MAXIFS(TeamGameData[Loss],TeamGameData[School, Opponent,Game'#],PlayerGameData[[#This Row],[School, Opponent,Game'#]])</f>
        <v>#NAME?</v>
      </c>
    </row>
    <row r="699" spans="1:63" x14ac:dyDescent="0.25">
      <c r="A699" s="8" t="str">
        <f t="shared" ca="1" si="333"/>
        <v xml:space="preserve">, </v>
      </c>
      <c r="B699" s="8" t="str">
        <f>Roster!$B$1</f>
        <v>Upton</v>
      </c>
      <c r="C699" s="8">
        <f t="shared" ca="1" si="321"/>
        <v>0</v>
      </c>
      <c r="D699" s="10">
        <f t="shared" ca="1" si="322"/>
        <v>0</v>
      </c>
      <c r="E699" s="8">
        <f t="shared" ca="1" si="323"/>
        <v>0</v>
      </c>
      <c r="F699" s="8">
        <f t="shared" ca="1" si="324"/>
        <v>0</v>
      </c>
      <c r="G699" s="8">
        <f t="shared" ca="1" si="325"/>
        <v>0</v>
      </c>
      <c r="H699" s="8">
        <f t="shared" ca="1" si="326"/>
        <v>0</v>
      </c>
      <c r="I699" s="8">
        <f t="shared" ca="1" si="327"/>
        <v>0</v>
      </c>
      <c r="J699" s="8">
        <f t="shared" ca="1" si="328"/>
        <v>0</v>
      </c>
      <c r="K699" s="8">
        <f t="shared" ca="1" si="329"/>
        <v>0</v>
      </c>
      <c r="L699" s="8">
        <f t="shared" ca="1" si="334"/>
        <v>0</v>
      </c>
      <c r="M699" s="8">
        <f t="shared" ca="1" si="335"/>
        <v>0</v>
      </c>
      <c r="N699" s="8">
        <f t="shared" ca="1" si="336"/>
        <v>0</v>
      </c>
      <c r="O699" s="8">
        <f t="shared" ca="1" si="337"/>
        <v>0</v>
      </c>
      <c r="P699" s="8">
        <f t="shared" ca="1" si="338"/>
        <v>0</v>
      </c>
      <c r="Q699" s="8">
        <f t="shared" ca="1" si="339"/>
        <v>0</v>
      </c>
      <c r="R699" s="8">
        <f t="shared" ca="1" si="340"/>
        <v>0</v>
      </c>
      <c r="S699" s="8">
        <f t="shared" ca="1" si="341"/>
        <v>0</v>
      </c>
      <c r="T699" s="8">
        <f t="shared" ca="1" si="342"/>
        <v>0</v>
      </c>
      <c r="U699" s="8">
        <f t="shared" ca="1" si="343"/>
        <v>0</v>
      </c>
      <c r="V699" s="8">
        <f t="shared" ca="1" si="344"/>
        <v>0</v>
      </c>
      <c r="W699" s="11" t="str">
        <f t="shared" ca="1" si="345"/>
        <v/>
      </c>
      <c r="X699" s="11" t="str">
        <f t="shared" ca="1" si="346"/>
        <v/>
      </c>
      <c r="Y699" s="11" t="str">
        <f t="shared" ca="1" si="347"/>
        <v/>
      </c>
      <c r="Z699" s="11" t="str">
        <f t="shared" ca="1" si="348"/>
        <v/>
      </c>
      <c r="AA699" s="11" t="str">
        <f t="shared" ca="1" si="349"/>
        <v/>
      </c>
      <c r="AB699" s="47">
        <f ca="1">PlayerGameData[[#This Row],[3FGA]]+PlayerGameData[[#This Row],[2FGA]]</f>
        <v>0</v>
      </c>
      <c r="AC699" s="47">
        <f ca="1">PlayerGameData[[#This Row],[OFF REB]]+PlayerGameData[[#This Row],[DEF REB]]</f>
        <v>0</v>
      </c>
      <c r="AD699" s="8">
        <f t="shared" si="330"/>
        <v>29</v>
      </c>
      <c r="AE699" s="8" t="str">
        <f t="shared" ca="1" si="331"/>
        <v>,  - 0 1/0/1900</v>
      </c>
      <c r="AF699" s="8" t="str">
        <f t="shared" ca="1" si="350"/>
        <v/>
      </c>
      <c r="AG699" s="8" t="str">
        <f ca="1">IFERROR(IF(C699=0,"",IF(AND(VLOOKUP(PlayerGameData[[#This Row],[Opponent]],WYTeamInfo,2,FALSE)=Roster!$D$1,VLOOKUP(PlayerGameData[[#This Row],[Opponent]],WYTeamInfo,3,FALSE)=Roster!$D$2),"SR","")),"")</f>
        <v/>
      </c>
      <c r="AH699" s="8" t="str">
        <f>CONCATENATE(Roster!$D$1," ",Roster!$D$5)</f>
        <v>1A BB</v>
      </c>
      <c r="AI699" s="8" t="str">
        <f t="shared" ca="1" si="332"/>
        <v>Blank</v>
      </c>
      <c r="AJ699" s="8">
        <f ca="1">IFERROR(VLOOKUP(PlayerGameData[[#This Row],[School, Opponent,Game'#]],Table3[],2,FALSE),0)</f>
        <v>0</v>
      </c>
      <c r="AK699" s="8">
        <f ca="1">IF(PlayerGameData[[#This Row],[Visible]]=1,1,1000)</f>
        <v>1000</v>
      </c>
      <c r="AL699" s="8">
        <f ca="1">RANK(PlayerGameData[[#This Row],[TL PTS]],PlayerGameData[TL PTS],0)+PlayerGameData[[#This Row],[VisibleOrder]]</f>
        <v>1184</v>
      </c>
      <c r="AM699" s="8">
        <f ca="1">IF(COUNTIF(PlayerGameData[PointOrder],PlayerGameData[[#This Row],[PointOrder]])&gt;1,RANK(PlayerGameData[[#This Row],[FGA]],PlayerGameData[FGA],0)/100,0)+PlayerGameData[[#This Row],[PointOrder]]</f>
        <v>1186.1400000000001</v>
      </c>
      <c r="AN699" s="8">
        <f ca="1">RANK(PlayerGameData[[#This Row],[PointTieBreak]],PlayerGameData[PointTieBreak],1)</f>
        <v>625</v>
      </c>
      <c r="AO699" s="8">
        <f ca="1">RANK(PlayerGameData[[#This Row],[REB]],PlayerGameData[REB],0)+PlayerGameData[[#This Row],[VisibleOrder]]</f>
        <v>1191</v>
      </c>
      <c r="AP699" s="8">
        <f ca="1">IF(COUNTIF(PlayerGameData[REBOrder],PlayerGameData[[#This Row],[REBOrder]])&gt;1,PlayerGameData[[#This Row],[PointRank]]/100+PlayerGameData[[#This Row],[REBOrder]],PlayerGameData[[#This Row],[REBOrder]])</f>
        <v>1197.25</v>
      </c>
      <c r="AQ699" s="8">
        <f ca="1">RANK(PlayerGameData[[#This Row],[REBTieBreak]],PlayerGameData[REBTieBreak],1)</f>
        <v>625</v>
      </c>
      <c r="AR699" s="8">
        <f ca="1">RANK(PlayerGameData[[#This Row],[AST]],PlayerGameData[AST],0)+PlayerGameData[[#This Row],[VisibleOrder]]</f>
        <v>1157</v>
      </c>
      <c r="AS699" s="8">
        <f ca="1">IF(COUNTIF(PlayerGameData[ASTOrder],PlayerGameData[[#This Row],[ASTOrder]])&gt;1,PlayerGameData[[#This Row],[PointRank]]/100+PlayerGameData[[#This Row],[ASTOrder]],PlayerGameData[[#This Row],[ASTOrder]])</f>
        <v>1163.25</v>
      </c>
      <c r="AT699" s="8">
        <f ca="1">RANK(PlayerGameData[[#This Row],[ASTTieBreak]],PlayerGameData[ASTTieBreak],1)</f>
        <v>625</v>
      </c>
      <c r="AU699" s="8">
        <f ca="1">RANK(PlayerGameData[[#This Row],[STL]],PlayerGameData[STL],0)+PlayerGameData[[#This Row],[VisibleOrder]]</f>
        <v>1142</v>
      </c>
      <c r="AV699" s="8">
        <f ca="1">IF(COUNTIF(PlayerGameData[STLOrder],PlayerGameData[[#This Row],[STLOrder]])&gt;1,PlayerGameData[[#This Row],[PointRank]]/100+PlayerGameData[[#This Row],[STLOrder]],PlayerGameData[[#This Row],[STLOrder]])</f>
        <v>1148.25</v>
      </c>
      <c r="AW699" s="8">
        <f ca="1">RANK(PlayerGameData[[#This Row],[STLTieBreak]],PlayerGameData[STLTieBreak],1)</f>
        <v>625</v>
      </c>
      <c r="AX699" s="8">
        <f ca="1">RANK(PlayerGameData[[#This Row],[BLK]],PlayerGameData[BLK],0)+PlayerGameData[[#This Row],[VisibleOrder]]</f>
        <v>1031</v>
      </c>
      <c r="AY699" s="8">
        <f ca="1">IF(COUNTIF(PlayerGameData[BLKOrder],PlayerGameData[[#This Row],[BLKOrder]])&gt;1,PlayerGameData[[#This Row],[PointRank]]/100+PlayerGameData[[#This Row],[BLKOrder]],PlayerGameData[[#This Row],[BLKOrder]])</f>
        <v>1037.25</v>
      </c>
      <c r="AZ699" s="8">
        <f ca="1">RANK(PlayerGameData[[#This Row],[BLKTieBreak]],PlayerGameData[BLKTieBreak],1)</f>
        <v>625</v>
      </c>
      <c r="BA699" s="11">
        <f ca="1">IFERROR(IF(PlayerGameData[[#This Row],[FGA]]&gt;$AA$5,PlayerGameData[[#This Row],[FG%*]],PlayerGameData[[#This Row],[FG%*]]*-1),-2)</f>
        <v>-2</v>
      </c>
      <c r="BB699" s="8">
        <f ca="1">RANK(PlayerGameData[[#This Row],[EligFG]],PlayerGameData[EligFG],0)+PlayerGameData[[#This Row],[VisibleOrder]]</f>
        <v>1214</v>
      </c>
      <c r="BC699" s="8">
        <f ca="1">IF(COUNTIF(PlayerGameData[EligFGOrder],PlayerGameData[[#This Row],[EligFGOrder]])&gt;1,PlayerGameData[[#This Row],[PointRank]]/100+PlayerGameData[[#This Row],[EligFGOrder]],PlayerGameData[[#This Row],[EligFGOrder]])</f>
        <v>1220.25</v>
      </c>
      <c r="BD699" s="8">
        <f ca="1">RANK(PlayerGameData[[#This Row],[EligFGTieBreak]],PlayerGameData[EligFGTieBreak],1)</f>
        <v>625</v>
      </c>
      <c r="BE699" s="8" t="str">
        <f>Roster!$D$3</f>
        <v>East</v>
      </c>
      <c r="BF699" s="8" t="str">
        <f>Roster!$D$2</f>
        <v>Northeast</v>
      </c>
      <c r="BG699" s="8" t="str">
        <f>Roster!$D$4</f>
        <v>North</v>
      </c>
      <c r="BH699" s="197">
        <f ca="1">IFERROR(VLOOKUP(CONCATENATE(PlayerGameData[[#This Row],[Opponent]]," ",MONTH(PlayerGameData[[#This Row],[Date]]),"/",DAY(PlayerGameData[[#This Row],[Date]]),"/",YEAR(PlayerGameData[[#This Row],[Date]])),Table35[],2,FALSE),0)</f>
        <v>0</v>
      </c>
      <c r="BI699" s="197">
        <f ca="1">IF(PlayerGameData[[#This Row],[Visible]]=1,1,1000)</f>
        <v>1000</v>
      </c>
      <c r="BJ699" s="197" t="e">
        <f ca="1">_xlfn.MAXIFS(TeamGameData[Win],TeamGameData[School, Opponent,Game'#],PlayerGameData[[#This Row],[School, Opponent,Game'#]])</f>
        <v>#NAME?</v>
      </c>
      <c r="BK699" s="197" t="e">
        <f ca="1">_xlfn.MAXIFS(TeamGameData[Loss],TeamGameData[School, Opponent,Game'#],PlayerGameData[[#This Row],[School, Opponent,Game'#]])</f>
        <v>#NAME?</v>
      </c>
    </row>
    <row r="700" spans="1:63" x14ac:dyDescent="0.25">
      <c r="A700" s="8" t="str">
        <f t="shared" ca="1" si="333"/>
        <v xml:space="preserve">, </v>
      </c>
      <c r="B700" s="8" t="str">
        <f>Roster!$B$1</f>
        <v>Upton</v>
      </c>
      <c r="C700" s="8">
        <f t="shared" ca="1" si="321"/>
        <v>0</v>
      </c>
      <c r="D700" s="10">
        <f t="shared" ca="1" si="322"/>
        <v>0</v>
      </c>
      <c r="E700" s="8">
        <f t="shared" ca="1" si="323"/>
        <v>0</v>
      </c>
      <c r="F700" s="8">
        <f t="shared" ca="1" si="324"/>
        <v>0</v>
      </c>
      <c r="G700" s="8">
        <f t="shared" ca="1" si="325"/>
        <v>0</v>
      </c>
      <c r="H700" s="8">
        <f t="shared" ca="1" si="326"/>
        <v>0</v>
      </c>
      <c r="I700" s="8">
        <f t="shared" ca="1" si="327"/>
        <v>0</v>
      </c>
      <c r="J700" s="8">
        <f t="shared" ca="1" si="328"/>
        <v>0</v>
      </c>
      <c r="K700" s="8">
        <f t="shared" ca="1" si="329"/>
        <v>0</v>
      </c>
      <c r="L700" s="8">
        <f t="shared" ca="1" si="334"/>
        <v>0</v>
      </c>
      <c r="M700" s="8">
        <f t="shared" ca="1" si="335"/>
        <v>0</v>
      </c>
      <c r="N700" s="8">
        <f t="shared" ca="1" si="336"/>
        <v>0</v>
      </c>
      <c r="O700" s="8">
        <f t="shared" ca="1" si="337"/>
        <v>0</v>
      </c>
      <c r="P700" s="8">
        <f t="shared" ca="1" si="338"/>
        <v>0</v>
      </c>
      <c r="Q700" s="8">
        <f t="shared" ca="1" si="339"/>
        <v>0</v>
      </c>
      <c r="R700" s="8">
        <f t="shared" ca="1" si="340"/>
        <v>0</v>
      </c>
      <c r="S700" s="8">
        <f t="shared" ca="1" si="341"/>
        <v>0</v>
      </c>
      <c r="T700" s="8">
        <f t="shared" ca="1" si="342"/>
        <v>0</v>
      </c>
      <c r="U700" s="8">
        <f t="shared" ca="1" si="343"/>
        <v>0</v>
      </c>
      <c r="V700" s="8">
        <f t="shared" ca="1" si="344"/>
        <v>0</v>
      </c>
      <c r="W700" s="11" t="str">
        <f t="shared" ca="1" si="345"/>
        <v/>
      </c>
      <c r="X700" s="11" t="str">
        <f t="shared" ca="1" si="346"/>
        <v/>
      </c>
      <c r="Y700" s="11" t="str">
        <f t="shared" ca="1" si="347"/>
        <v/>
      </c>
      <c r="Z700" s="11" t="str">
        <f t="shared" ca="1" si="348"/>
        <v/>
      </c>
      <c r="AA700" s="11" t="str">
        <f t="shared" ca="1" si="349"/>
        <v/>
      </c>
      <c r="AB700" s="47">
        <f ca="1">PlayerGameData[[#This Row],[3FGA]]+PlayerGameData[[#This Row],[2FGA]]</f>
        <v>0</v>
      </c>
      <c r="AC700" s="47">
        <f ca="1">PlayerGameData[[#This Row],[OFF REB]]+PlayerGameData[[#This Row],[DEF REB]]</f>
        <v>0</v>
      </c>
      <c r="AD700" s="8">
        <f t="shared" si="330"/>
        <v>29</v>
      </c>
      <c r="AE700" s="8" t="str">
        <f t="shared" ca="1" si="331"/>
        <v>,  - 0 1/0/1900</v>
      </c>
      <c r="AF700" s="8" t="str">
        <f t="shared" ca="1" si="350"/>
        <v/>
      </c>
      <c r="AG700" s="8" t="str">
        <f ca="1">IFERROR(IF(C700=0,"",IF(AND(VLOOKUP(PlayerGameData[[#This Row],[Opponent]],WYTeamInfo,2,FALSE)=Roster!$D$1,VLOOKUP(PlayerGameData[[#This Row],[Opponent]],WYTeamInfo,3,FALSE)=Roster!$D$2),"SR","")),"")</f>
        <v/>
      </c>
      <c r="AH700" s="8" t="str">
        <f>CONCATENATE(Roster!$D$1," ",Roster!$D$5)</f>
        <v>1A BB</v>
      </c>
      <c r="AI700" s="8" t="str">
        <f t="shared" ca="1" si="332"/>
        <v>Blank</v>
      </c>
      <c r="AJ700" s="8">
        <f ca="1">IFERROR(VLOOKUP(PlayerGameData[[#This Row],[School, Opponent,Game'#]],Table3[],2,FALSE),0)</f>
        <v>0</v>
      </c>
      <c r="AK700" s="8">
        <f ca="1">IF(PlayerGameData[[#This Row],[Visible]]=1,1,1000)</f>
        <v>1000</v>
      </c>
      <c r="AL700" s="8">
        <f ca="1">RANK(PlayerGameData[[#This Row],[TL PTS]],PlayerGameData[TL PTS],0)+PlayerGameData[[#This Row],[VisibleOrder]]</f>
        <v>1184</v>
      </c>
      <c r="AM700" s="8">
        <f ca="1">IF(COUNTIF(PlayerGameData[PointOrder],PlayerGameData[[#This Row],[PointOrder]])&gt;1,RANK(PlayerGameData[[#This Row],[FGA]],PlayerGameData[FGA],0)/100,0)+PlayerGameData[[#This Row],[PointOrder]]</f>
        <v>1186.1400000000001</v>
      </c>
      <c r="AN700" s="8">
        <f ca="1">RANK(PlayerGameData[[#This Row],[PointTieBreak]],PlayerGameData[PointTieBreak],1)</f>
        <v>625</v>
      </c>
      <c r="AO700" s="8">
        <f ca="1">RANK(PlayerGameData[[#This Row],[REB]],PlayerGameData[REB],0)+PlayerGameData[[#This Row],[VisibleOrder]]</f>
        <v>1191</v>
      </c>
      <c r="AP700" s="8">
        <f ca="1">IF(COUNTIF(PlayerGameData[REBOrder],PlayerGameData[[#This Row],[REBOrder]])&gt;1,PlayerGameData[[#This Row],[PointRank]]/100+PlayerGameData[[#This Row],[REBOrder]],PlayerGameData[[#This Row],[REBOrder]])</f>
        <v>1197.25</v>
      </c>
      <c r="AQ700" s="8">
        <f ca="1">RANK(PlayerGameData[[#This Row],[REBTieBreak]],PlayerGameData[REBTieBreak],1)</f>
        <v>625</v>
      </c>
      <c r="AR700" s="8">
        <f ca="1">RANK(PlayerGameData[[#This Row],[AST]],PlayerGameData[AST],0)+PlayerGameData[[#This Row],[VisibleOrder]]</f>
        <v>1157</v>
      </c>
      <c r="AS700" s="8">
        <f ca="1">IF(COUNTIF(PlayerGameData[ASTOrder],PlayerGameData[[#This Row],[ASTOrder]])&gt;1,PlayerGameData[[#This Row],[PointRank]]/100+PlayerGameData[[#This Row],[ASTOrder]],PlayerGameData[[#This Row],[ASTOrder]])</f>
        <v>1163.25</v>
      </c>
      <c r="AT700" s="8">
        <f ca="1">RANK(PlayerGameData[[#This Row],[ASTTieBreak]],PlayerGameData[ASTTieBreak],1)</f>
        <v>625</v>
      </c>
      <c r="AU700" s="8">
        <f ca="1">RANK(PlayerGameData[[#This Row],[STL]],PlayerGameData[STL],0)+PlayerGameData[[#This Row],[VisibleOrder]]</f>
        <v>1142</v>
      </c>
      <c r="AV700" s="8">
        <f ca="1">IF(COUNTIF(PlayerGameData[STLOrder],PlayerGameData[[#This Row],[STLOrder]])&gt;1,PlayerGameData[[#This Row],[PointRank]]/100+PlayerGameData[[#This Row],[STLOrder]],PlayerGameData[[#This Row],[STLOrder]])</f>
        <v>1148.25</v>
      </c>
      <c r="AW700" s="8">
        <f ca="1">RANK(PlayerGameData[[#This Row],[STLTieBreak]],PlayerGameData[STLTieBreak],1)</f>
        <v>625</v>
      </c>
      <c r="AX700" s="8">
        <f ca="1">RANK(PlayerGameData[[#This Row],[BLK]],PlayerGameData[BLK],0)+PlayerGameData[[#This Row],[VisibleOrder]]</f>
        <v>1031</v>
      </c>
      <c r="AY700" s="8">
        <f ca="1">IF(COUNTIF(PlayerGameData[BLKOrder],PlayerGameData[[#This Row],[BLKOrder]])&gt;1,PlayerGameData[[#This Row],[PointRank]]/100+PlayerGameData[[#This Row],[BLKOrder]],PlayerGameData[[#This Row],[BLKOrder]])</f>
        <v>1037.25</v>
      </c>
      <c r="AZ700" s="8">
        <f ca="1">RANK(PlayerGameData[[#This Row],[BLKTieBreak]],PlayerGameData[BLKTieBreak],1)</f>
        <v>625</v>
      </c>
      <c r="BA700" s="11">
        <f ca="1">IFERROR(IF(PlayerGameData[[#This Row],[FGA]]&gt;$AA$5,PlayerGameData[[#This Row],[FG%*]],PlayerGameData[[#This Row],[FG%*]]*-1),-2)</f>
        <v>-2</v>
      </c>
      <c r="BB700" s="8">
        <f ca="1">RANK(PlayerGameData[[#This Row],[EligFG]],PlayerGameData[EligFG],0)+PlayerGameData[[#This Row],[VisibleOrder]]</f>
        <v>1214</v>
      </c>
      <c r="BC700" s="8">
        <f ca="1">IF(COUNTIF(PlayerGameData[EligFGOrder],PlayerGameData[[#This Row],[EligFGOrder]])&gt;1,PlayerGameData[[#This Row],[PointRank]]/100+PlayerGameData[[#This Row],[EligFGOrder]],PlayerGameData[[#This Row],[EligFGOrder]])</f>
        <v>1220.25</v>
      </c>
      <c r="BD700" s="8">
        <f ca="1">RANK(PlayerGameData[[#This Row],[EligFGTieBreak]],PlayerGameData[EligFGTieBreak],1)</f>
        <v>625</v>
      </c>
      <c r="BE700" s="8" t="str">
        <f>Roster!$D$3</f>
        <v>East</v>
      </c>
      <c r="BF700" s="8" t="str">
        <f>Roster!$D$2</f>
        <v>Northeast</v>
      </c>
      <c r="BG700" s="8" t="str">
        <f>Roster!$D$4</f>
        <v>North</v>
      </c>
      <c r="BH700" s="197">
        <f ca="1">IFERROR(VLOOKUP(CONCATENATE(PlayerGameData[[#This Row],[Opponent]]," ",MONTH(PlayerGameData[[#This Row],[Date]]),"/",DAY(PlayerGameData[[#This Row],[Date]]),"/",YEAR(PlayerGameData[[#This Row],[Date]])),Table35[],2,FALSE),0)</f>
        <v>0</v>
      </c>
      <c r="BI700" s="197">
        <f ca="1">IF(PlayerGameData[[#This Row],[Visible]]=1,1,1000)</f>
        <v>1000</v>
      </c>
      <c r="BJ700" s="197" t="e">
        <f ca="1">_xlfn.MAXIFS(TeamGameData[Win],TeamGameData[School, Opponent,Game'#],PlayerGameData[[#This Row],[School, Opponent,Game'#]])</f>
        <v>#NAME?</v>
      </c>
      <c r="BK700" s="197" t="e">
        <f ca="1">_xlfn.MAXIFS(TeamGameData[Loss],TeamGameData[School, Opponent,Game'#],PlayerGameData[[#This Row],[School, Opponent,Game'#]])</f>
        <v>#NAME?</v>
      </c>
    </row>
    <row r="701" spans="1:63" x14ac:dyDescent="0.25">
      <c r="A701" s="8" t="str">
        <f t="shared" ca="1" si="333"/>
        <v xml:space="preserve">, </v>
      </c>
      <c r="B701" s="8" t="str">
        <f>Roster!$B$1</f>
        <v>Upton</v>
      </c>
      <c r="C701" s="8">
        <f t="shared" ca="1" si="321"/>
        <v>0</v>
      </c>
      <c r="D701" s="10">
        <f t="shared" ca="1" si="322"/>
        <v>0</v>
      </c>
      <c r="E701" s="8">
        <f t="shared" ca="1" si="323"/>
        <v>0</v>
      </c>
      <c r="F701" s="8">
        <f t="shared" ca="1" si="324"/>
        <v>0</v>
      </c>
      <c r="G701" s="8">
        <f t="shared" ca="1" si="325"/>
        <v>0</v>
      </c>
      <c r="H701" s="8">
        <f t="shared" ca="1" si="326"/>
        <v>0</v>
      </c>
      <c r="I701" s="8">
        <f t="shared" ca="1" si="327"/>
        <v>0</v>
      </c>
      <c r="J701" s="8">
        <f t="shared" ca="1" si="328"/>
        <v>0</v>
      </c>
      <c r="K701" s="8">
        <f t="shared" ca="1" si="329"/>
        <v>0</v>
      </c>
      <c r="L701" s="8">
        <f t="shared" ca="1" si="334"/>
        <v>0</v>
      </c>
      <c r="M701" s="8">
        <f t="shared" ca="1" si="335"/>
        <v>0</v>
      </c>
      <c r="N701" s="8">
        <f t="shared" ca="1" si="336"/>
        <v>0</v>
      </c>
      <c r="O701" s="8">
        <f t="shared" ca="1" si="337"/>
        <v>0</v>
      </c>
      <c r="P701" s="8">
        <f t="shared" ca="1" si="338"/>
        <v>0</v>
      </c>
      <c r="Q701" s="8">
        <f t="shared" ca="1" si="339"/>
        <v>0</v>
      </c>
      <c r="R701" s="8">
        <f t="shared" ca="1" si="340"/>
        <v>0</v>
      </c>
      <c r="S701" s="8">
        <f t="shared" ca="1" si="341"/>
        <v>0</v>
      </c>
      <c r="T701" s="8">
        <f t="shared" ca="1" si="342"/>
        <v>0</v>
      </c>
      <c r="U701" s="8">
        <f t="shared" ca="1" si="343"/>
        <v>0</v>
      </c>
      <c r="V701" s="8">
        <f t="shared" ca="1" si="344"/>
        <v>0</v>
      </c>
      <c r="W701" s="11" t="str">
        <f t="shared" ca="1" si="345"/>
        <v/>
      </c>
      <c r="X701" s="11" t="str">
        <f t="shared" ca="1" si="346"/>
        <v/>
      </c>
      <c r="Y701" s="11" t="str">
        <f t="shared" ca="1" si="347"/>
        <v/>
      </c>
      <c r="Z701" s="11" t="str">
        <f t="shared" ca="1" si="348"/>
        <v/>
      </c>
      <c r="AA701" s="11" t="str">
        <f t="shared" ca="1" si="349"/>
        <v/>
      </c>
      <c r="AB701" s="47">
        <f ca="1">PlayerGameData[[#This Row],[3FGA]]+PlayerGameData[[#This Row],[2FGA]]</f>
        <v>0</v>
      </c>
      <c r="AC701" s="47">
        <f ca="1">PlayerGameData[[#This Row],[OFF REB]]+PlayerGameData[[#This Row],[DEF REB]]</f>
        <v>0</v>
      </c>
      <c r="AD701" s="8">
        <f t="shared" si="330"/>
        <v>29</v>
      </c>
      <c r="AE701" s="8" t="str">
        <f t="shared" ca="1" si="331"/>
        <v>,  - 0 1/0/1900</v>
      </c>
      <c r="AF701" s="8" t="str">
        <f t="shared" ca="1" si="350"/>
        <v/>
      </c>
      <c r="AG701" s="8" t="str">
        <f ca="1">IFERROR(IF(C701=0,"",IF(AND(VLOOKUP(PlayerGameData[[#This Row],[Opponent]],WYTeamInfo,2,FALSE)=Roster!$D$1,VLOOKUP(PlayerGameData[[#This Row],[Opponent]],WYTeamInfo,3,FALSE)=Roster!$D$2),"SR","")),"")</f>
        <v/>
      </c>
      <c r="AH701" s="8" t="str">
        <f>CONCATENATE(Roster!$D$1," ",Roster!$D$5)</f>
        <v>1A BB</v>
      </c>
      <c r="AI701" s="8" t="str">
        <f t="shared" ca="1" si="332"/>
        <v>Blank</v>
      </c>
      <c r="AJ701" s="8">
        <f ca="1">IFERROR(VLOOKUP(PlayerGameData[[#This Row],[School, Opponent,Game'#]],Table3[],2,FALSE),0)</f>
        <v>0</v>
      </c>
      <c r="AK701" s="8">
        <f ca="1">IF(PlayerGameData[[#This Row],[Visible]]=1,1,1000)</f>
        <v>1000</v>
      </c>
      <c r="AL701" s="8">
        <f ca="1">RANK(PlayerGameData[[#This Row],[TL PTS]],PlayerGameData[TL PTS],0)+PlayerGameData[[#This Row],[VisibleOrder]]</f>
        <v>1184</v>
      </c>
      <c r="AM701" s="8">
        <f ca="1">IF(COUNTIF(PlayerGameData[PointOrder],PlayerGameData[[#This Row],[PointOrder]])&gt;1,RANK(PlayerGameData[[#This Row],[FGA]],PlayerGameData[FGA],0)/100,0)+PlayerGameData[[#This Row],[PointOrder]]</f>
        <v>1186.1400000000001</v>
      </c>
      <c r="AN701" s="8">
        <f ca="1">RANK(PlayerGameData[[#This Row],[PointTieBreak]],PlayerGameData[PointTieBreak],1)</f>
        <v>625</v>
      </c>
      <c r="AO701" s="8">
        <f ca="1">RANK(PlayerGameData[[#This Row],[REB]],PlayerGameData[REB],0)+PlayerGameData[[#This Row],[VisibleOrder]]</f>
        <v>1191</v>
      </c>
      <c r="AP701" s="8">
        <f ca="1">IF(COUNTIF(PlayerGameData[REBOrder],PlayerGameData[[#This Row],[REBOrder]])&gt;1,PlayerGameData[[#This Row],[PointRank]]/100+PlayerGameData[[#This Row],[REBOrder]],PlayerGameData[[#This Row],[REBOrder]])</f>
        <v>1197.25</v>
      </c>
      <c r="AQ701" s="8">
        <f ca="1">RANK(PlayerGameData[[#This Row],[REBTieBreak]],PlayerGameData[REBTieBreak],1)</f>
        <v>625</v>
      </c>
      <c r="AR701" s="8">
        <f ca="1">RANK(PlayerGameData[[#This Row],[AST]],PlayerGameData[AST],0)+PlayerGameData[[#This Row],[VisibleOrder]]</f>
        <v>1157</v>
      </c>
      <c r="AS701" s="8">
        <f ca="1">IF(COUNTIF(PlayerGameData[ASTOrder],PlayerGameData[[#This Row],[ASTOrder]])&gt;1,PlayerGameData[[#This Row],[PointRank]]/100+PlayerGameData[[#This Row],[ASTOrder]],PlayerGameData[[#This Row],[ASTOrder]])</f>
        <v>1163.25</v>
      </c>
      <c r="AT701" s="8">
        <f ca="1">RANK(PlayerGameData[[#This Row],[ASTTieBreak]],PlayerGameData[ASTTieBreak],1)</f>
        <v>625</v>
      </c>
      <c r="AU701" s="8">
        <f ca="1">RANK(PlayerGameData[[#This Row],[STL]],PlayerGameData[STL],0)+PlayerGameData[[#This Row],[VisibleOrder]]</f>
        <v>1142</v>
      </c>
      <c r="AV701" s="8">
        <f ca="1">IF(COUNTIF(PlayerGameData[STLOrder],PlayerGameData[[#This Row],[STLOrder]])&gt;1,PlayerGameData[[#This Row],[PointRank]]/100+PlayerGameData[[#This Row],[STLOrder]],PlayerGameData[[#This Row],[STLOrder]])</f>
        <v>1148.25</v>
      </c>
      <c r="AW701" s="8">
        <f ca="1">RANK(PlayerGameData[[#This Row],[STLTieBreak]],PlayerGameData[STLTieBreak],1)</f>
        <v>625</v>
      </c>
      <c r="AX701" s="8">
        <f ca="1">RANK(PlayerGameData[[#This Row],[BLK]],PlayerGameData[BLK],0)+PlayerGameData[[#This Row],[VisibleOrder]]</f>
        <v>1031</v>
      </c>
      <c r="AY701" s="8">
        <f ca="1">IF(COUNTIF(PlayerGameData[BLKOrder],PlayerGameData[[#This Row],[BLKOrder]])&gt;1,PlayerGameData[[#This Row],[PointRank]]/100+PlayerGameData[[#This Row],[BLKOrder]],PlayerGameData[[#This Row],[BLKOrder]])</f>
        <v>1037.25</v>
      </c>
      <c r="AZ701" s="8">
        <f ca="1">RANK(PlayerGameData[[#This Row],[BLKTieBreak]],PlayerGameData[BLKTieBreak],1)</f>
        <v>625</v>
      </c>
      <c r="BA701" s="11">
        <f ca="1">IFERROR(IF(PlayerGameData[[#This Row],[FGA]]&gt;$AA$5,PlayerGameData[[#This Row],[FG%*]],PlayerGameData[[#This Row],[FG%*]]*-1),-2)</f>
        <v>-2</v>
      </c>
      <c r="BB701" s="8">
        <f ca="1">RANK(PlayerGameData[[#This Row],[EligFG]],PlayerGameData[EligFG],0)+PlayerGameData[[#This Row],[VisibleOrder]]</f>
        <v>1214</v>
      </c>
      <c r="BC701" s="8">
        <f ca="1">IF(COUNTIF(PlayerGameData[EligFGOrder],PlayerGameData[[#This Row],[EligFGOrder]])&gt;1,PlayerGameData[[#This Row],[PointRank]]/100+PlayerGameData[[#This Row],[EligFGOrder]],PlayerGameData[[#This Row],[EligFGOrder]])</f>
        <v>1220.25</v>
      </c>
      <c r="BD701" s="8">
        <f ca="1">RANK(PlayerGameData[[#This Row],[EligFGTieBreak]],PlayerGameData[EligFGTieBreak],1)</f>
        <v>625</v>
      </c>
      <c r="BE701" s="8" t="str">
        <f>Roster!$D$3</f>
        <v>East</v>
      </c>
      <c r="BF701" s="8" t="str">
        <f>Roster!$D$2</f>
        <v>Northeast</v>
      </c>
      <c r="BG701" s="8" t="str">
        <f>Roster!$D$4</f>
        <v>North</v>
      </c>
      <c r="BH701" s="197">
        <f ca="1">IFERROR(VLOOKUP(CONCATENATE(PlayerGameData[[#This Row],[Opponent]]," ",MONTH(PlayerGameData[[#This Row],[Date]]),"/",DAY(PlayerGameData[[#This Row],[Date]]),"/",YEAR(PlayerGameData[[#This Row],[Date]])),Table35[],2,FALSE),0)</f>
        <v>0</v>
      </c>
      <c r="BI701" s="197">
        <f ca="1">IF(PlayerGameData[[#This Row],[Visible]]=1,1,1000)</f>
        <v>1000</v>
      </c>
      <c r="BJ701" s="197" t="e">
        <f ca="1">_xlfn.MAXIFS(TeamGameData[Win],TeamGameData[School, Opponent,Game'#],PlayerGameData[[#This Row],[School, Opponent,Game'#]])</f>
        <v>#NAME?</v>
      </c>
      <c r="BK701" s="197" t="e">
        <f ca="1">_xlfn.MAXIFS(TeamGameData[Loss],TeamGameData[School, Opponent,Game'#],PlayerGameData[[#This Row],[School, Opponent,Game'#]])</f>
        <v>#NAME?</v>
      </c>
    </row>
    <row r="702" spans="1:63" x14ac:dyDescent="0.25">
      <c r="A702" s="8" t="str">
        <f t="shared" ca="1" si="333"/>
        <v xml:space="preserve">Team, </v>
      </c>
      <c r="B702" s="8" t="str">
        <f>Roster!$B$1</f>
        <v>Upton</v>
      </c>
      <c r="C702" s="8">
        <f t="shared" ca="1" si="321"/>
        <v>0</v>
      </c>
      <c r="D702" s="10">
        <f t="shared" ca="1" si="322"/>
        <v>0</v>
      </c>
      <c r="E702" s="8">
        <f t="shared" ca="1" si="323"/>
        <v>0</v>
      </c>
      <c r="F702" s="8">
        <f t="shared" ca="1" si="324"/>
        <v>0</v>
      </c>
      <c r="G702" s="8">
        <f t="shared" ca="1" si="325"/>
        <v>0</v>
      </c>
      <c r="H702" s="8">
        <f t="shared" ca="1" si="326"/>
        <v>0</v>
      </c>
      <c r="I702" s="8">
        <f t="shared" ca="1" si="327"/>
        <v>0</v>
      </c>
      <c r="J702" s="8">
        <f t="shared" ca="1" si="328"/>
        <v>0</v>
      </c>
      <c r="K702" s="8">
        <f t="shared" ca="1" si="329"/>
        <v>0</v>
      </c>
      <c r="L702" s="8">
        <f t="shared" ca="1" si="334"/>
        <v>0</v>
      </c>
      <c r="M702" s="8">
        <f t="shared" ca="1" si="335"/>
        <v>0</v>
      </c>
      <c r="N702" s="8">
        <f t="shared" ca="1" si="336"/>
        <v>0</v>
      </c>
      <c r="O702" s="8">
        <f t="shared" ca="1" si="337"/>
        <v>0</v>
      </c>
      <c r="P702" s="8">
        <f t="shared" ca="1" si="338"/>
        <v>0</v>
      </c>
      <c r="Q702" s="8">
        <f t="shared" ca="1" si="339"/>
        <v>0</v>
      </c>
      <c r="R702" s="8">
        <f t="shared" ca="1" si="340"/>
        <v>0</v>
      </c>
      <c r="S702" s="8">
        <f t="shared" ca="1" si="341"/>
        <v>0</v>
      </c>
      <c r="T702" s="8">
        <f t="shared" ca="1" si="342"/>
        <v>0</v>
      </c>
      <c r="U702" s="8">
        <f t="shared" ca="1" si="343"/>
        <v>0</v>
      </c>
      <c r="V702" s="8">
        <f t="shared" ca="1" si="344"/>
        <v>0</v>
      </c>
      <c r="W702" s="11" t="str">
        <f t="shared" ca="1" si="345"/>
        <v/>
      </c>
      <c r="X702" s="11" t="str">
        <f t="shared" ca="1" si="346"/>
        <v/>
      </c>
      <c r="Y702" s="11" t="str">
        <f t="shared" ca="1" si="347"/>
        <v/>
      </c>
      <c r="Z702" s="11" t="str">
        <f t="shared" ca="1" si="348"/>
        <v/>
      </c>
      <c r="AA702" s="11" t="str">
        <f t="shared" ca="1" si="349"/>
        <v/>
      </c>
      <c r="AB702" s="47">
        <f ca="1">PlayerGameData[[#This Row],[3FGA]]+PlayerGameData[[#This Row],[2FGA]]</f>
        <v>0</v>
      </c>
      <c r="AC702" s="47">
        <f ca="1">PlayerGameData[[#This Row],[OFF REB]]+PlayerGameData[[#This Row],[DEF REB]]</f>
        <v>0</v>
      </c>
      <c r="AD702" s="8">
        <f t="shared" si="330"/>
        <v>29</v>
      </c>
      <c r="AE702" s="8" t="str">
        <f t="shared" ca="1" si="331"/>
        <v>Team,  - 0 1/0/1900</v>
      </c>
      <c r="AF702" s="8" t="str">
        <f t="shared" ca="1" si="350"/>
        <v/>
      </c>
      <c r="AG702" s="8" t="str">
        <f ca="1">IFERROR(IF(C702=0,"",IF(AND(VLOOKUP(PlayerGameData[[#This Row],[Opponent]],WYTeamInfo,2,FALSE)=Roster!$D$1,VLOOKUP(PlayerGameData[[#This Row],[Opponent]],WYTeamInfo,3,FALSE)=Roster!$D$2),"SR","")),"")</f>
        <v/>
      </c>
      <c r="AH702" s="8" t="str">
        <f>CONCATENATE(Roster!$D$1," ",Roster!$D$5)</f>
        <v>1A BB</v>
      </c>
      <c r="AI702" s="8" t="str">
        <f t="shared" ca="1" si="332"/>
        <v>Blank</v>
      </c>
      <c r="AJ702" s="8">
        <f ca="1">IFERROR(VLOOKUP(PlayerGameData[[#This Row],[School, Opponent,Game'#]],Table3[],2,FALSE),0)</f>
        <v>0</v>
      </c>
      <c r="AK702" s="8">
        <f ca="1">IF(PlayerGameData[[#This Row],[Visible]]=1,1,1000)</f>
        <v>1000</v>
      </c>
      <c r="AL702" s="8">
        <f ca="1">RANK(PlayerGameData[[#This Row],[TL PTS]],PlayerGameData[TL PTS],0)+PlayerGameData[[#This Row],[VisibleOrder]]</f>
        <v>1184</v>
      </c>
      <c r="AM702" s="8">
        <f ca="1">IF(COUNTIF(PlayerGameData[PointOrder],PlayerGameData[[#This Row],[PointOrder]])&gt;1,RANK(PlayerGameData[[#This Row],[FGA]],PlayerGameData[FGA],0)/100,0)+PlayerGameData[[#This Row],[PointOrder]]</f>
        <v>1186.1400000000001</v>
      </c>
      <c r="AN702" s="8">
        <f ca="1">RANK(PlayerGameData[[#This Row],[PointTieBreak]],PlayerGameData[PointTieBreak],1)</f>
        <v>625</v>
      </c>
      <c r="AO702" s="8">
        <f ca="1">RANK(PlayerGameData[[#This Row],[REB]],PlayerGameData[REB],0)+PlayerGameData[[#This Row],[VisibleOrder]]</f>
        <v>1191</v>
      </c>
      <c r="AP702" s="8">
        <f ca="1">IF(COUNTIF(PlayerGameData[REBOrder],PlayerGameData[[#This Row],[REBOrder]])&gt;1,PlayerGameData[[#This Row],[PointRank]]/100+PlayerGameData[[#This Row],[REBOrder]],PlayerGameData[[#This Row],[REBOrder]])</f>
        <v>1197.25</v>
      </c>
      <c r="AQ702" s="8">
        <f ca="1">RANK(PlayerGameData[[#This Row],[REBTieBreak]],PlayerGameData[REBTieBreak],1)</f>
        <v>625</v>
      </c>
      <c r="AR702" s="8">
        <f ca="1">RANK(PlayerGameData[[#This Row],[AST]],PlayerGameData[AST],0)+PlayerGameData[[#This Row],[VisibleOrder]]</f>
        <v>1157</v>
      </c>
      <c r="AS702" s="8">
        <f ca="1">IF(COUNTIF(PlayerGameData[ASTOrder],PlayerGameData[[#This Row],[ASTOrder]])&gt;1,PlayerGameData[[#This Row],[PointRank]]/100+PlayerGameData[[#This Row],[ASTOrder]],PlayerGameData[[#This Row],[ASTOrder]])</f>
        <v>1163.25</v>
      </c>
      <c r="AT702" s="8">
        <f ca="1">RANK(PlayerGameData[[#This Row],[ASTTieBreak]],PlayerGameData[ASTTieBreak],1)</f>
        <v>625</v>
      </c>
      <c r="AU702" s="8">
        <f ca="1">RANK(PlayerGameData[[#This Row],[STL]],PlayerGameData[STL],0)+PlayerGameData[[#This Row],[VisibleOrder]]</f>
        <v>1142</v>
      </c>
      <c r="AV702" s="8">
        <f ca="1">IF(COUNTIF(PlayerGameData[STLOrder],PlayerGameData[[#This Row],[STLOrder]])&gt;1,PlayerGameData[[#This Row],[PointRank]]/100+PlayerGameData[[#This Row],[STLOrder]],PlayerGameData[[#This Row],[STLOrder]])</f>
        <v>1148.25</v>
      </c>
      <c r="AW702" s="8">
        <f ca="1">RANK(PlayerGameData[[#This Row],[STLTieBreak]],PlayerGameData[STLTieBreak],1)</f>
        <v>625</v>
      </c>
      <c r="AX702" s="8">
        <f ca="1">RANK(PlayerGameData[[#This Row],[BLK]],PlayerGameData[BLK],0)+PlayerGameData[[#This Row],[VisibleOrder]]</f>
        <v>1031</v>
      </c>
      <c r="AY702" s="8">
        <f ca="1">IF(COUNTIF(PlayerGameData[BLKOrder],PlayerGameData[[#This Row],[BLKOrder]])&gt;1,PlayerGameData[[#This Row],[PointRank]]/100+PlayerGameData[[#This Row],[BLKOrder]],PlayerGameData[[#This Row],[BLKOrder]])</f>
        <v>1037.25</v>
      </c>
      <c r="AZ702" s="8">
        <f ca="1">RANK(PlayerGameData[[#This Row],[BLKTieBreak]],PlayerGameData[BLKTieBreak],1)</f>
        <v>625</v>
      </c>
      <c r="BA702" s="11">
        <f ca="1">IFERROR(IF(PlayerGameData[[#This Row],[FGA]]&gt;$AA$5,PlayerGameData[[#This Row],[FG%*]],PlayerGameData[[#This Row],[FG%*]]*-1),-2)</f>
        <v>-2</v>
      </c>
      <c r="BB702" s="8">
        <f ca="1">RANK(PlayerGameData[[#This Row],[EligFG]],PlayerGameData[EligFG],0)+PlayerGameData[[#This Row],[VisibleOrder]]</f>
        <v>1214</v>
      </c>
      <c r="BC702" s="8">
        <f ca="1">IF(COUNTIF(PlayerGameData[EligFGOrder],PlayerGameData[[#This Row],[EligFGOrder]])&gt;1,PlayerGameData[[#This Row],[PointRank]]/100+PlayerGameData[[#This Row],[EligFGOrder]],PlayerGameData[[#This Row],[EligFGOrder]])</f>
        <v>1220.25</v>
      </c>
      <c r="BD702" s="8">
        <f ca="1">RANK(PlayerGameData[[#This Row],[EligFGTieBreak]],PlayerGameData[EligFGTieBreak],1)</f>
        <v>625</v>
      </c>
      <c r="BE702" s="8" t="str">
        <f>Roster!$D$3</f>
        <v>East</v>
      </c>
      <c r="BF702" s="8" t="str">
        <f>Roster!$D$2</f>
        <v>Northeast</v>
      </c>
      <c r="BG702" s="8" t="str">
        <f>Roster!$D$4</f>
        <v>North</v>
      </c>
      <c r="BH702" s="197">
        <f ca="1">IFERROR(VLOOKUP(CONCATENATE(PlayerGameData[[#This Row],[Opponent]]," ",MONTH(PlayerGameData[[#This Row],[Date]]),"/",DAY(PlayerGameData[[#This Row],[Date]]),"/",YEAR(PlayerGameData[[#This Row],[Date]])),Table35[],2,FALSE),0)</f>
        <v>0</v>
      </c>
      <c r="BI702" s="197">
        <f ca="1">IF(PlayerGameData[[#This Row],[Visible]]=1,1,1000)</f>
        <v>1000</v>
      </c>
      <c r="BJ702" s="197" t="e">
        <f ca="1">_xlfn.MAXIFS(TeamGameData[Win],TeamGameData[School, Opponent,Game'#],PlayerGameData[[#This Row],[School, Opponent,Game'#]])</f>
        <v>#NAME?</v>
      </c>
      <c r="BK702" s="197" t="e">
        <f ca="1">_xlfn.MAXIFS(TeamGameData[Loss],TeamGameData[School, Opponent,Game'#],PlayerGameData[[#This Row],[School, Opponent,Game'#]])</f>
        <v>#NAME?</v>
      </c>
    </row>
    <row r="703" spans="1:63" x14ac:dyDescent="0.25">
      <c r="A703" s="8" t="str">
        <f t="shared" ca="1" si="333"/>
        <v>Landon Butler, 1</v>
      </c>
      <c r="B703" s="8" t="str">
        <f>Roster!$B$1</f>
        <v>Upton</v>
      </c>
      <c r="C703" s="8">
        <f t="shared" ca="1" si="321"/>
        <v>0</v>
      </c>
      <c r="D703" s="10">
        <f t="shared" ca="1" si="322"/>
        <v>0</v>
      </c>
      <c r="E703" s="8">
        <f t="shared" ca="1" si="323"/>
        <v>0</v>
      </c>
      <c r="F703" s="8">
        <f t="shared" ca="1" si="324"/>
        <v>0</v>
      </c>
      <c r="G703" s="8">
        <f t="shared" ca="1" si="325"/>
        <v>0</v>
      </c>
      <c r="H703" s="8">
        <f t="shared" ca="1" si="326"/>
        <v>0</v>
      </c>
      <c r="I703" s="8">
        <f t="shared" ca="1" si="327"/>
        <v>0</v>
      </c>
      <c r="J703" s="8">
        <f t="shared" ca="1" si="328"/>
        <v>0</v>
      </c>
      <c r="K703" s="8">
        <f t="shared" ca="1" si="329"/>
        <v>0</v>
      </c>
      <c r="L703" s="8">
        <f t="shared" ca="1" si="334"/>
        <v>0</v>
      </c>
      <c r="M703" s="8">
        <f t="shared" ca="1" si="335"/>
        <v>0</v>
      </c>
      <c r="N703" s="8">
        <f t="shared" ca="1" si="336"/>
        <v>0</v>
      </c>
      <c r="O703" s="8">
        <f t="shared" ca="1" si="337"/>
        <v>0</v>
      </c>
      <c r="P703" s="8">
        <f t="shared" ca="1" si="338"/>
        <v>0</v>
      </c>
      <c r="Q703" s="8">
        <f t="shared" ca="1" si="339"/>
        <v>0</v>
      </c>
      <c r="R703" s="8">
        <f t="shared" ca="1" si="340"/>
        <v>0</v>
      </c>
      <c r="S703" s="8">
        <f t="shared" ca="1" si="341"/>
        <v>0</v>
      </c>
      <c r="T703" s="8">
        <f t="shared" ca="1" si="342"/>
        <v>0</v>
      </c>
      <c r="U703" s="8">
        <f t="shared" ca="1" si="343"/>
        <v>0</v>
      </c>
      <c r="V703" s="8">
        <f t="shared" ca="1" si="344"/>
        <v>0</v>
      </c>
      <c r="W703" s="11" t="str">
        <f t="shared" ca="1" si="345"/>
        <v/>
      </c>
      <c r="X703" s="11" t="str">
        <f t="shared" ca="1" si="346"/>
        <v/>
      </c>
      <c r="Y703" s="11" t="str">
        <f t="shared" ca="1" si="347"/>
        <v/>
      </c>
      <c r="Z703" s="11" t="str">
        <f t="shared" ca="1" si="348"/>
        <v/>
      </c>
      <c r="AA703" s="11" t="str">
        <f t="shared" ca="1" si="349"/>
        <v/>
      </c>
      <c r="AB703" s="47">
        <f ca="1">PlayerGameData[[#This Row],[3FGA]]+PlayerGameData[[#This Row],[2FGA]]</f>
        <v>0</v>
      </c>
      <c r="AC703" s="47">
        <f ca="1">PlayerGameData[[#This Row],[OFF REB]]+PlayerGameData[[#This Row],[DEF REB]]</f>
        <v>0</v>
      </c>
      <c r="AD703" s="8">
        <f t="shared" si="330"/>
        <v>30</v>
      </c>
      <c r="AE703" s="8" t="str">
        <f t="shared" ca="1" si="331"/>
        <v>Landon Butler, 1 - 0 1/0/1900</v>
      </c>
      <c r="AF703" s="8" t="str">
        <f t="shared" ca="1" si="350"/>
        <v/>
      </c>
      <c r="AG703" s="8" t="str">
        <f ca="1">IFERROR(IF(C703=0,"",IF(AND(VLOOKUP(PlayerGameData[[#This Row],[Opponent]],WYTeamInfo,2,FALSE)=Roster!$D$1,VLOOKUP(PlayerGameData[[#This Row],[Opponent]],WYTeamInfo,3,FALSE)=Roster!$D$2),"SR","")),"")</f>
        <v/>
      </c>
      <c r="AH703" s="8" t="str">
        <f>CONCATENATE(Roster!$D$1," ",Roster!$D$5)</f>
        <v>1A BB</v>
      </c>
      <c r="AI703" s="8" t="str">
        <f t="shared" ca="1" si="332"/>
        <v>Blank</v>
      </c>
      <c r="AJ703" s="8">
        <f ca="1">IFERROR(VLOOKUP(PlayerGameData[[#This Row],[School, Opponent,Game'#]],Table3[],2,FALSE),0)</f>
        <v>0</v>
      </c>
      <c r="AK703" s="8">
        <f ca="1">IF(PlayerGameData[[#This Row],[Visible]]=1,1,1000)</f>
        <v>1000</v>
      </c>
      <c r="AL703" s="8">
        <f ca="1">RANK(PlayerGameData[[#This Row],[TL PTS]],PlayerGameData[TL PTS],0)+PlayerGameData[[#This Row],[VisibleOrder]]</f>
        <v>1184</v>
      </c>
      <c r="AM703" s="8">
        <f ca="1">IF(COUNTIF(PlayerGameData[PointOrder],PlayerGameData[[#This Row],[PointOrder]])&gt;1,RANK(PlayerGameData[[#This Row],[FGA]],PlayerGameData[FGA],0)/100,0)+PlayerGameData[[#This Row],[PointOrder]]</f>
        <v>1186.1400000000001</v>
      </c>
      <c r="AN703" s="8">
        <f ca="1">RANK(PlayerGameData[[#This Row],[PointTieBreak]],PlayerGameData[PointTieBreak],1)</f>
        <v>625</v>
      </c>
      <c r="AO703" s="8">
        <f ca="1">RANK(PlayerGameData[[#This Row],[REB]],PlayerGameData[REB],0)+PlayerGameData[[#This Row],[VisibleOrder]]</f>
        <v>1191</v>
      </c>
      <c r="AP703" s="8">
        <f ca="1">IF(COUNTIF(PlayerGameData[REBOrder],PlayerGameData[[#This Row],[REBOrder]])&gt;1,PlayerGameData[[#This Row],[PointRank]]/100+PlayerGameData[[#This Row],[REBOrder]],PlayerGameData[[#This Row],[REBOrder]])</f>
        <v>1197.25</v>
      </c>
      <c r="AQ703" s="8">
        <f ca="1">RANK(PlayerGameData[[#This Row],[REBTieBreak]],PlayerGameData[REBTieBreak],1)</f>
        <v>625</v>
      </c>
      <c r="AR703" s="8">
        <f ca="1">RANK(PlayerGameData[[#This Row],[AST]],PlayerGameData[AST],0)+PlayerGameData[[#This Row],[VisibleOrder]]</f>
        <v>1157</v>
      </c>
      <c r="AS703" s="8">
        <f ca="1">IF(COUNTIF(PlayerGameData[ASTOrder],PlayerGameData[[#This Row],[ASTOrder]])&gt;1,PlayerGameData[[#This Row],[PointRank]]/100+PlayerGameData[[#This Row],[ASTOrder]],PlayerGameData[[#This Row],[ASTOrder]])</f>
        <v>1163.25</v>
      </c>
      <c r="AT703" s="8">
        <f ca="1">RANK(PlayerGameData[[#This Row],[ASTTieBreak]],PlayerGameData[ASTTieBreak],1)</f>
        <v>625</v>
      </c>
      <c r="AU703" s="8">
        <f ca="1">RANK(PlayerGameData[[#This Row],[STL]],PlayerGameData[STL],0)+PlayerGameData[[#This Row],[VisibleOrder]]</f>
        <v>1142</v>
      </c>
      <c r="AV703" s="8">
        <f ca="1">IF(COUNTIF(PlayerGameData[STLOrder],PlayerGameData[[#This Row],[STLOrder]])&gt;1,PlayerGameData[[#This Row],[PointRank]]/100+PlayerGameData[[#This Row],[STLOrder]],PlayerGameData[[#This Row],[STLOrder]])</f>
        <v>1148.25</v>
      </c>
      <c r="AW703" s="8">
        <f ca="1">RANK(PlayerGameData[[#This Row],[STLTieBreak]],PlayerGameData[STLTieBreak],1)</f>
        <v>625</v>
      </c>
      <c r="AX703" s="8">
        <f ca="1">RANK(PlayerGameData[[#This Row],[BLK]],PlayerGameData[BLK],0)+PlayerGameData[[#This Row],[VisibleOrder]]</f>
        <v>1031</v>
      </c>
      <c r="AY703" s="8">
        <f ca="1">IF(COUNTIF(PlayerGameData[BLKOrder],PlayerGameData[[#This Row],[BLKOrder]])&gt;1,PlayerGameData[[#This Row],[PointRank]]/100+PlayerGameData[[#This Row],[BLKOrder]],PlayerGameData[[#This Row],[BLKOrder]])</f>
        <v>1037.25</v>
      </c>
      <c r="AZ703" s="8">
        <f ca="1">RANK(PlayerGameData[[#This Row],[BLKTieBreak]],PlayerGameData[BLKTieBreak],1)</f>
        <v>625</v>
      </c>
      <c r="BA703" s="11">
        <f ca="1">IFERROR(IF(PlayerGameData[[#This Row],[FGA]]&gt;$AA$5,PlayerGameData[[#This Row],[FG%*]],PlayerGameData[[#This Row],[FG%*]]*-1),-2)</f>
        <v>-2</v>
      </c>
      <c r="BB703" s="8">
        <f ca="1">RANK(PlayerGameData[[#This Row],[EligFG]],PlayerGameData[EligFG],0)+PlayerGameData[[#This Row],[VisibleOrder]]</f>
        <v>1214</v>
      </c>
      <c r="BC703" s="8">
        <f ca="1">IF(COUNTIF(PlayerGameData[EligFGOrder],PlayerGameData[[#This Row],[EligFGOrder]])&gt;1,PlayerGameData[[#This Row],[PointRank]]/100+PlayerGameData[[#This Row],[EligFGOrder]],PlayerGameData[[#This Row],[EligFGOrder]])</f>
        <v>1220.25</v>
      </c>
      <c r="BD703" s="8">
        <f ca="1">RANK(PlayerGameData[[#This Row],[EligFGTieBreak]],PlayerGameData[EligFGTieBreak],1)</f>
        <v>625</v>
      </c>
      <c r="BE703" s="8" t="str">
        <f>Roster!$D$3</f>
        <v>East</v>
      </c>
      <c r="BF703" s="8" t="str">
        <f>Roster!$D$2</f>
        <v>Northeast</v>
      </c>
      <c r="BG703" s="8" t="str">
        <f>Roster!$D$4</f>
        <v>North</v>
      </c>
      <c r="BH703" s="197">
        <f ca="1">IFERROR(VLOOKUP(CONCATENATE(PlayerGameData[[#This Row],[Opponent]]," ",MONTH(PlayerGameData[[#This Row],[Date]]),"/",DAY(PlayerGameData[[#This Row],[Date]]),"/",YEAR(PlayerGameData[[#This Row],[Date]])),Table35[],2,FALSE),0)</f>
        <v>0</v>
      </c>
      <c r="BI703" s="197">
        <f ca="1">IF(PlayerGameData[[#This Row],[Visible]]=1,1,1000)</f>
        <v>1000</v>
      </c>
      <c r="BJ703" s="197" t="e">
        <f ca="1">_xlfn.MAXIFS(TeamGameData[Win],TeamGameData[School, Opponent,Game'#],PlayerGameData[[#This Row],[School, Opponent,Game'#]])</f>
        <v>#NAME?</v>
      </c>
      <c r="BK703" s="197" t="e">
        <f ca="1">_xlfn.MAXIFS(TeamGameData[Loss],TeamGameData[School, Opponent,Game'#],PlayerGameData[[#This Row],[School, Opponent,Game'#]])</f>
        <v>#NAME?</v>
      </c>
    </row>
    <row r="704" spans="1:63" x14ac:dyDescent="0.25">
      <c r="A704" s="8" t="str">
        <f t="shared" ca="1" si="333"/>
        <v>Logan Timberman, 3</v>
      </c>
      <c r="B704" s="8" t="str">
        <f>Roster!$B$1</f>
        <v>Upton</v>
      </c>
      <c r="C704" s="8">
        <f t="shared" ca="1" si="321"/>
        <v>0</v>
      </c>
      <c r="D704" s="10">
        <f t="shared" ca="1" si="322"/>
        <v>0</v>
      </c>
      <c r="E704" s="8">
        <f t="shared" ca="1" si="323"/>
        <v>0</v>
      </c>
      <c r="F704" s="8">
        <f t="shared" ca="1" si="324"/>
        <v>0</v>
      </c>
      <c r="G704" s="8">
        <f t="shared" ca="1" si="325"/>
        <v>0</v>
      </c>
      <c r="H704" s="8">
        <f t="shared" ca="1" si="326"/>
        <v>0</v>
      </c>
      <c r="I704" s="8">
        <f t="shared" ca="1" si="327"/>
        <v>0</v>
      </c>
      <c r="J704" s="8">
        <f t="shared" ca="1" si="328"/>
        <v>0</v>
      </c>
      <c r="K704" s="8">
        <f t="shared" ca="1" si="329"/>
        <v>0</v>
      </c>
      <c r="L704" s="8">
        <f t="shared" ca="1" si="334"/>
        <v>0</v>
      </c>
      <c r="M704" s="8">
        <f t="shared" ca="1" si="335"/>
        <v>0</v>
      </c>
      <c r="N704" s="8">
        <f t="shared" ca="1" si="336"/>
        <v>0</v>
      </c>
      <c r="O704" s="8">
        <f t="shared" ca="1" si="337"/>
        <v>0</v>
      </c>
      <c r="P704" s="8">
        <f t="shared" ca="1" si="338"/>
        <v>0</v>
      </c>
      <c r="Q704" s="8">
        <f t="shared" ca="1" si="339"/>
        <v>0</v>
      </c>
      <c r="R704" s="8">
        <f t="shared" ca="1" si="340"/>
        <v>0</v>
      </c>
      <c r="S704" s="8">
        <f t="shared" ca="1" si="341"/>
        <v>0</v>
      </c>
      <c r="T704" s="8">
        <f t="shared" ca="1" si="342"/>
        <v>0</v>
      </c>
      <c r="U704" s="8">
        <f t="shared" ca="1" si="343"/>
        <v>0</v>
      </c>
      <c r="V704" s="8">
        <f t="shared" ca="1" si="344"/>
        <v>0</v>
      </c>
      <c r="W704" s="11" t="str">
        <f t="shared" ca="1" si="345"/>
        <v/>
      </c>
      <c r="X704" s="11" t="str">
        <f t="shared" ca="1" si="346"/>
        <v/>
      </c>
      <c r="Y704" s="11" t="str">
        <f t="shared" ca="1" si="347"/>
        <v/>
      </c>
      <c r="Z704" s="11" t="str">
        <f t="shared" ca="1" si="348"/>
        <v/>
      </c>
      <c r="AA704" s="11" t="str">
        <f t="shared" ca="1" si="349"/>
        <v/>
      </c>
      <c r="AB704" s="47">
        <f ca="1">PlayerGameData[[#This Row],[3FGA]]+PlayerGameData[[#This Row],[2FGA]]</f>
        <v>0</v>
      </c>
      <c r="AC704" s="47">
        <f ca="1">PlayerGameData[[#This Row],[OFF REB]]+PlayerGameData[[#This Row],[DEF REB]]</f>
        <v>0</v>
      </c>
      <c r="AD704" s="8">
        <f t="shared" si="330"/>
        <v>30</v>
      </c>
      <c r="AE704" s="8" t="str">
        <f t="shared" ca="1" si="331"/>
        <v>Logan Timberman, 3 - 0 1/0/1900</v>
      </c>
      <c r="AF704" s="8" t="str">
        <f t="shared" ca="1" si="350"/>
        <v/>
      </c>
      <c r="AG704" s="8" t="str">
        <f ca="1">IFERROR(IF(C704=0,"",IF(AND(VLOOKUP(PlayerGameData[[#This Row],[Opponent]],WYTeamInfo,2,FALSE)=Roster!$D$1,VLOOKUP(PlayerGameData[[#This Row],[Opponent]],WYTeamInfo,3,FALSE)=Roster!$D$2),"SR","")),"")</f>
        <v/>
      </c>
      <c r="AH704" s="8" t="str">
        <f>CONCATENATE(Roster!$D$1," ",Roster!$D$5)</f>
        <v>1A BB</v>
      </c>
      <c r="AI704" s="8" t="str">
        <f t="shared" ca="1" si="332"/>
        <v>Blank</v>
      </c>
      <c r="AJ704" s="8">
        <f ca="1">IFERROR(VLOOKUP(PlayerGameData[[#This Row],[School, Opponent,Game'#]],Table3[],2,FALSE),0)</f>
        <v>0</v>
      </c>
      <c r="AK704" s="8">
        <f ca="1">IF(PlayerGameData[[#This Row],[Visible]]=1,1,1000)</f>
        <v>1000</v>
      </c>
      <c r="AL704" s="8">
        <f ca="1">RANK(PlayerGameData[[#This Row],[TL PTS]],PlayerGameData[TL PTS],0)+PlayerGameData[[#This Row],[VisibleOrder]]</f>
        <v>1184</v>
      </c>
      <c r="AM704" s="8">
        <f ca="1">IF(COUNTIF(PlayerGameData[PointOrder],PlayerGameData[[#This Row],[PointOrder]])&gt;1,RANK(PlayerGameData[[#This Row],[FGA]],PlayerGameData[FGA],0)/100,0)+PlayerGameData[[#This Row],[PointOrder]]</f>
        <v>1186.1400000000001</v>
      </c>
      <c r="AN704" s="8">
        <f ca="1">RANK(PlayerGameData[[#This Row],[PointTieBreak]],PlayerGameData[PointTieBreak],1)</f>
        <v>625</v>
      </c>
      <c r="AO704" s="8">
        <f ca="1">RANK(PlayerGameData[[#This Row],[REB]],PlayerGameData[REB],0)+PlayerGameData[[#This Row],[VisibleOrder]]</f>
        <v>1191</v>
      </c>
      <c r="AP704" s="8">
        <f ca="1">IF(COUNTIF(PlayerGameData[REBOrder],PlayerGameData[[#This Row],[REBOrder]])&gt;1,PlayerGameData[[#This Row],[PointRank]]/100+PlayerGameData[[#This Row],[REBOrder]],PlayerGameData[[#This Row],[REBOrder]])</f>
        <v>1197.25</v>
      </c>
      <c r="AQ704" s="8">
        <f ca="1">RANK(PlayerGameData[[#This Row],[REBTieBreak]],PlayerGameData[REBTieBreak],1)</f>
        <v>625</v>
      </c>
      <c r="AR704" s="8">
        <f ca="1">RANK(PlayerGameData[[#This Row],[AST]],PlayerGameData[AST],0)+PlayerGameData[[#This Row],[VisibleOrder]]</f>
        <v>1157</v>
      </c>
      <c r="AS704" s="8">
        <f ca="1">IF(COUNTIF(PlayerGameData[ASTOrder],PlayerGameData[[#This Row],[ASTOrder]])&gt;1,PlayerGameData[[#This Row],[PointRank]]/100+PlayerGameData[[#This Row],[ASTOrder]],PlayerGameData[[#This Row],[ASTOrder]])</f>
        <v>1163.25</v>
      </c>
      <c r="AT704" s="8">
        <f ca="1">RANK(PlayerGameData[[#This Row],[ASTTieBreak]],PlayerGameData[ASTTieBreak],1)</f>
        <v>625</v>
      </c>
      <c r="AU704" s="8">
        <f ca="1">RANK(PlayerGameData[[#This Row],[STL]],PlayerGameData[STL],0)+PlayerGameData[[#This Row],[VisibleOrder]]</f>
        <v>1142</v>
      </c>
      <c r="AV704" s="8">
        <f ca="1">IF(COUNTIF(PlayerGameData[STLOrder],PlayerGameData[[#This Row],[STLOrder]])&gt;1,PlayerGameData[[#This Row],[PointRank]]/100+PlayerGameData[[#This Row],[STLOrder]],PlayerGameData[[#This Row],[STLOrder]])</f>
        <v>1148.25</v>
      </c>
      <c r="AW704" s="8">
        <f ca="1">RANK(PlayerGameData[[#This Row],[STLTieBreak]],PlayerGameData[STLTieBreak],1)</f>
        <v>625</v>
      </c>
      <c r="AX704" s="8">
        <f ca="1">RANK(PlayerGameData[[#This Row],[BLK]],PlayerGameData[BLK],0)+PlayerGameData[[#This Row],[VisibleOrder]]</f>
        <v>1031</v>
      </c>
      <c r="AY704" s="8">
        <f ca="1">IF(COUNTIF(PlayerGameData[BLKOrder],PlayerGameData[[#This Row],[BLKOrder]])&gt;1,PlayerGameData[[#This Row],[PointRank]]/100+PlayerGameData[[#This Row],[BLKOrder]],PlayerGameData[[#This Row],[BLKOrder]])</f>
        <v>1037.25</v>
      </c>
      <c r="AZ704" s="8">
        <f ca="1">RANK(PlayerGameData[[#This Row],[BLKTieBreak]],PlayerGameData[BLKTieBreak],1)</f>
        <v>625</v>
      </c>
      <c r="BA704" s="11">
        <f ca="1">IFERROR(IF(PlayerGameData[[#This Row],[FGA]]&gt;$AA$5,PlayerGameData[[#This Row],[FG%*]],PlayerGameData[[#This Row],[FG%*]]*-1),-2)</f>
        <v>-2</v>
      </c>
      <c r="BB704" s="8">
        <f ca="1">RANK(PlayerGameData[[#This Row],[EligFG]],PlayerGameData[EligFG],0)+PlayerGameData[[#This Row],[VisibleOrder]]</f>
        <v>1214</v>
      </c>
      <c r="BC704" s="8">
        <f ca="1">IF(COUNTIF(PlayerGameData[EligFGOrder],PlayerGameData[[#This Row],[EligFGOrder]])&gt;1,PlayerGameData[[#This Row],[PointRank]]/100+PlayerGameData[[#This Row],[EligFGOrder]],PlayerGameData[[#This Row],[EligFGOrder]])</f>
        <v>1220.25</v>
      </c>
      <c r="BD704" s="8">
        <f ca="1">RANK(PlayerGameData[[#This Row],[EligFGTieBreak]],PlayerGameData[EligFGTieBreak],1)</f>
        <v>625</v>
      </c>
      <c r="BE704" s="8" t="str">
        <f>Roster!$D$3</f>
        <v>East</v>
      </c>
      <c r="BF704" s="8" t="str">
        <f>Roster!$D$2</f>
        <v>Northeast</v>
      </c>
      <c r="BG704" s="8" t="str">
        <f>Roster!$D$4</f>
        <v>North</v>
      </c>
      <c r="BH704" s="197">
        <f ca="1">IFERROR(VLOOKUP(CONCATENATE(PlayerGameData[[#This Row],[Opponent]]," ",MONTH(PlayerGameData[[#This Row],[Date]]),"/",DAY(PlayerGameData[[#This Row],[Date]]),"/",YEAR(PlayerGameData[[#This Row],[Date]])),Table35[],2,FALSE),0)</f>
        <v>0</v>
      </c>
      <c r="BI704" s="197">
        <f ca="1">IF(PlayerGameData[[#This Row],[Visible]]=1,1,1000)</f>
        <v>1000</v>
      </c>
      <c r="BJ704" s="197" t="e">
        <f ca="1">_xlfn.MAXIFS(TeamGameData[Win],TeamGameData[School, Opponent,Game'#],PlayerGameData[[#This Row],[School, Opponent,Game'#]])</f>
        <v>#NAME?</v>
      </c>
      <c r="BK704" s="197" t="e">
        <f ca="1">_xlfn.MAXIFS(TeamGameData[Loss],TeamGameData[School, Opponent,Game'#],PlayerGameData[[#This Row],[School, Opponent,Game'#]])</f>
        <v>#NAME?</v>
      </c>
    </row>
    <row r="705" spans="1:63" x14ac:dyDescent="0.25">
      <c r="A705" s="8" t="str">
        <f t="shared" ca="1" si="333"/>
        <v>Chase Mills, 5</v>
      </c>
      <c r="B705" s="8" t="str">
        <f>Roster!$B$1</f>
        <v>Upton</v>
      </c>
      <c r="C705" s="8">
        <f t="shared" ca="1" si="321"/>
        <v>0</v>
      </c>
      <c r="D705" s="10">
        <f t="shared" ca="1" si="322"/>
        <v>0</v>
      </c>
      <c r="E705" s="8">
        <f t="shared" ca="1" si="323"/>
        <v>0</v>
      </c>
      <c r="F705" s="8">
        <f t="shared" ca="1" si="324"/>
        <v>0</v>
      </c>
      <c r="G705" s="8">
        <f t="shared" ca="1" si="325"/>
        <v>0</v>
      </c>
      <c r="H705" s="8">
        <f t="shared" ca="1" si="326"/>
        <v>0</v>
      </c>
      <c r="I705" s="8">
        <f t="shared" ca="1" si="327"/>
        <v>0</v>
      </c>
      <c r="J705" s="8">
        <f t="shared" ca="1" si="328"/>
        <v>0</v>
      </c>
      <c r="K705" s="8">
        <f t="shared" ca="1" si="329"/>
        <v>0</v>
      </c>
      <c r="L705" s="8">
        <f t="shared" ca="1" si="334"/>
        <v>0</v>
      </c>
      <c r="M705" s="8">
        <f t="shared" ca="1" si="335"/>
        <v>0</v>
      </c>
      <c r="N705" s="8">
        <f t="shared" ca="1" si="336"/>
        <v>0</v>
      </c>
      <c r="O705" s="8">
        <f t="shared" ca="1" si="337"/>
        <v>0</v>
      </c>
      <c r="P705" s="8">
        <f t="shared" ca="1" si="338"/>
        <v>0</v>
      </c>
      <c r="Q705" s="8">
        <f t="shared" ca="1" si="339"/>
        <v>0</v>
      </c>
      <c r="R705" s="8">
        <f t="shared" ca="1" si="340"/>
        <v>0</v>
      </c>
      <c r="S705" s="8">
        <f t="shared" ca="1" si="341"/>
        <v>0</v>
      </c>
      <c r="T705" s="8">
        <f t="shared" ca="1" si="342"/>
        <v>0</v>
      </c>
      <c r="U705" s="8">
        <f t="shared" ca="1" si="343"/>
        <v>0</v>
      </c>
      <c r="V705" s="8">
        <f t="shared" ca="1" si="344"/>
        <v>0</v>
      </c>
      <c r="W705" s="11" t="str">
        <f t="shared" ca="1" si="345"/>
        <v/>
      </c>
      <c r="X705" s="11" t="str">
        <f t="shared" ca="1" si="346"/>
        <v/>
      </c>
      <c r="Y705" s="11" t="str">
        <f t="shared" ca="1" si="347"/>
        <v/>
      </c>
      <c r="Z705" s="11" t="str">
        <f t="shared" ca="1" si="348"/>
        <v/>
      </c>
      <c r="AA705" s="11" t="str">
        <f t="shared" ca="1" si="349"/>
        <v/>
      </c>
      <c r="AB705" s="47">
        <f ca="1">PlayerGameData[[#This Row],[3FGA]]+PlayerGameData[[#This Row],[2FGA]]</f>
        <v>0</v>
      </c>
      <c r="AC705" s="47">
        <f ca="1">PlayerGameData[[#This Row],[OFF REB]]+PlayerGameData[[#This Row],[DEF REB]]</f>
        <v>0</v>
      </c>
      <c r="AD705" s="8">
        <f t="shared" si="330"/>
        <v>30</v>
      </c>
      <c r="AE705" s="8" t="str">
        <f t="shared" ca="1" si="331"/>
        <v>Chase Mills, 5 - 0 1/0/1900</v>
      </c>
      <c r="AF705" s="8" t="str">
        <f t="shared" ca="1" si="350"/>
        <v/>
      </c>
      <c r="AG705" s="8" t="str">
        <f ca="1">IFERROR(IF(C705=0,"",IF(AND(VLOOKUP(PlayerGameData[[#This Row],[Opponent]],WYTeamInfo,2,FALSE)=Roster!$D$1,VLOOKUP(PlayerGameData[[#This Row],[Opponent]],WYTeamInfo,3,FALSE)=Roster!$D$2),"SR","")),"")</f>
        <v/>
      </c>
      <c r="AH705" s="8" t="str">
        <f>CONCATENATE(Roster!$D$1," ",Roster!$D$5)</f>
        <v>1A BB</v>
      </c>
      <c r="AI705" s="8" t="str">
        <f t="shared" ca="1" si="332"/>
        <v>Blank</v>
      </c>
      <c r="AJ705" s="8">
        <f ca="1">IFERROR(VLOOKUP(PlayerGameData[[#This Row],[School, Opponent,Game'#]],Table3[],2,FALSE),0)</f>
        <v>0</v>
      </c>
      <c r="AK705" s="8">
        <f ca="1">IF(PlayerGameData[[#This Row],[Visible]]=1,1,1000)</f>
        <v>1000</v>
      </c>
      <c r="AL705" s="8">
        <f ca="1">RANK(PlayerGameData[[#This Row],[TL PTS]],PlayerGameData[TL PTS],0)+PlayerGameData[[#This Row],[VisibleOrder]]</f>
        <v>1184</v>
      </c>
      <c r="AM705" s="8">
        <f ca="1">IF(COUNTIF(PlayerGameData[PointOrder],PlayerGameData[[#This Row],[PointOrder]])&gt;1,RANK(PlayerGameData[[#This Row],[FGA]],PlayerGameData[FGA],0)/100,0)+PlayerGameData[[#This Row],[PointOrder]]</f>
        <v>1186.1400000000001</v>
      </c>
      <c r="AN705" s="8">
        <f ca="1">RANK(PlayerGameData[[#This Row],[PointTieBreak]],PlayerGameData[PointTieBreak],1)</f>
        <v>625</v>
      </c>
      <c r="AO705" s="8">
        <f ca="1">RANK(PlayerGameData[[#This Row],[REB]],PlayerGameData[REB],0)+PlayerGameData[[#This Row],[VisibleOrder]]</f>
        <v>1191</v>
      </c>
      <c r="AP705" s="8">
        <f ca="1">IF(COUNTIF(PlayerGameData[REBOrder],PlayerGameData[[#This Row],[REBOrder]])&gt;1,PlayerGameData[[#This Row],[PointRank]]/100+PlayerGameData[[#This Row],[REBOrder]],PlayerGameData[[#This Row],[REBOrder]])</f>
        <v>1197.25</v>
      </c>
      <c r="AQ705" s="8">
        <f ca="1">RANK(PlayerGameData[[#This Row],[REBTieBreak]],PlayerGameData[REBTieBreak],1)</f>
        <v>625</v>
      </c>
      <c r="AR705" s="8">
        <f ca="1">RANK(PlayerGameData[[#This Row],[AST]],PlayerGameData[AST],0)+PlayerGameData[[#This Row],[VisibleOrder]]</f>
        <v>1157</v>
      </c>
      <c r="AS705" s="8">
        <f ca="1">IF(COUNTIF(PlayerGameData[ASTOrder],PlayerGameData[[#This Row],[ASTOrder]])&gt;1,PlayerGameData[[#This Row],[PointRank]]/100+PlayerGameData[[#This Row],[ASTOrder]],PlayerGameData[[#This Row],[ASTOrder]])</f>
        <v>1163.25</v>
      </c>
      <c r="AT705" s="8">
        <f ca="1">RANK(PlayerGameData[[#This Row],[ASTTieBreak]],PlayerGameData[ASTTieBreak],1)</f>
        <v>625</v>
      </c>
      <c r="AU705" s="8">
        <f ca="1">RANK(PlayerGameData[[#This Row],[STL]],PlayerGameData[STL],0)+PlayerGameData[[#This Row],[VisibleOrder]]</f>
        <v>1142</v>
      </c>
      <c r="AV705" s="8">
        <f ca="1">IF(COUNTIF(PlayerGameData[STLOrder],PlayerGameData[[#This Row],[STLOrder]])&gt;1,PlayerGameData[[#This Row],[PointRank]]/100+PlayerGameData[[#This Row],[STLOrder]],PlayerGameData[[#This Row],[STLOrder]])</f>
        <v>1148.25</v>
      </c>
      <c r="AW705" s="8">
        <f ca="1">RANK(PlayerGameData[[#This Row],[STLTieBreak]],PlayerGameData[STLTieBreak],1)</f>
        <v>625</v>
      </c>
      <c r="AX705" s="8">
        <f ca="1">RANK(PlayerGameData[[#This Row],[BLK]],PlayerGameData[BLK],0)+PlayerGameData[[#This Row],[VisibleOrder]]</f>
        <v>1031</v>
      </c>
      <c r="AY705" s="8">
        <f ca="1">IF(COUNTIF(PlayerGameData[BLKOrder],PlayerGameData[[#This Row],[BLKOrder]])&gt;1,PlayerGameData[[#This Row],[PointRank]]/100+PlayerGameData[[#This Row],[BLKOrder]],PlayerGameData[[#This Row],[BLKOrder]])</f>
        <v>1037.25</v>
      </c>
      <c r="AZ705" s="8">
        <f ca="1">RANK(PlayerGameData[[#This Row],[BLKTieBreak]],PlayerGameData[BLKTieBreak],1)</f>
        <v>625</v>
      </c>
      <c r="BA705" s="11">
        <f ca="1">IFERROR(IF(PlayerGameData[[#This Row],[FGA]]&gt;$AA$5,PlayerGameData[[#This Row],[FG%*]],PlayerGameData[[#This Row],[FG%*]]*-1),-2)</f>
        <v>-2</v>
      </c>
      <c r="BB705" s="8">
        <f ca="1">RANK(PlayerGameData[[#This Row],[EligFG]],PlayerGameData[EligFG],0)+PlayerGameData[[#This Row],[VisibleOrder]]</f>
        <v>1214</v>
      </c>
      <c r="BC705" s="8">
        <f ca="1">IF(COUNTIF(PlayerGameData[EligFGOrder],PlayerGameData[[#This Row],[EligFGOrder]])&gt;1,PlayerGameData[[#This Row],[PointRank]]/100+PlayerGameData[[#This Row],[EligFGOrder]],PlayerGameData[[#This Row],[EligFGOrder]])</f>
        <v>1220.25</v>
      </c>
      <c r="BD705" s="8">
        <f ca="1">RANK(PlayerGameData[[#This Row],[EligFGTieBreak]],PlayerGameData[EligFGTieBreak],1)</f>
        <v>625</v>
      </c>
      <c r="BE705" s="8" t="str">
        <f>Roster!$D$3</f>
        <v>East</v>
      </c>
      <c r="BF705" s="8" t="str">
        <f>Roster!$D$2</f>
        <v>Northeast</v>
      </c>
      <c r="BG705" s="8" t="str">
        <f>Roster!$D$4</f>
        <v>North</v>
      </c>
      <c r="BH705" s="197">
        <f ca="1">IFERROR(VLOOKUP(CONCATENATE(PlayerGameData[[#This Row],[Opponent]]," ",MONTH(PlayerGameData[[#This Row],[Date]]),"/",DAY(PlayerGameData[[#This Row],[Date]]),"/",YEAR(PlayerGameData[[#This Row],[Date]])),Table35[],2,FALSE),0)</f>
        <v>0</v>
      </c>
      <c r="BI705" s="197">
        <f ca="1">IF(PlayerGameData[[#This Row],[Visible]]=1,1,1000)</f>
        <v>1000</v>
      </c>
      <c r="BJ705" s="197" t="e">
        <f ca="1">_xlfn.MAXIFS(TeamGameData[Win],TeamGameData[School, Opponent,Game'#],PlayerGameData[[#This Row],[School, Opponent,Game'#]])</f>
        <v>#NAME?</v>
      </c>
      <c r="BK705" s="197" t="e">
        <f ca="1">_xlfn.MAXIFS(TeamGameData[Loss],TeamGameData[School, Opponent,Game'#],PlayerGameData[[#This Row],[School, Opponent,Game'#]])</f>
        <v>#NAME?</v>
      </c>
    </row>
    <row r="706" spans="1:63" x14ac:dyDescent="0.25">
      <c r="A706" s="8" t="str">
        <f t="shared" ca="1" si="333"/>
        <v>Rhett Watt, 10</v>
      </c>
      <c r="B706" s="8" t="str">
        <f>Roster!$B$1</f>
        <v>Upton</v>
      </c>
      <c r="C706" s="8">
        <f t="shared" ca="1" si="321"/>
        <v>0</v>
      </c>
      <c r="D706" s="10">
        <f t="shared" ca="1" si="322"/>
        <v>0</v>
      </c>
      <c r="E706" s="8">
        <f t="shared" ca="1" si="323"/>
        <v>0</v>
      </c>
      <c r="F706" s="8">
        <f t="shared" ca="1" si="324"/>
        <v>0</v>
      </c>
      <c r="G706" s="8">
        <f t="shared" ca="1" si="325"/>
        <v>0</v>
      </c>
      <c r="H706" s="8">
        <f t="shared" ca="1" si="326"/>
        <v>0</v>
      </c>
      <c r="I706" s="8">
        <f t="shared" ca="1" si="327"/>
        <v>0</v>
      </c>
      <c r="J706" s="8">
        <f t="shared" ca="1" si="328"/>
        <v>0</v>
      </c>
      <c r="K706" s="8">
        <f t="shared" ca="1" si="329"/>
        <v>0</v>
      </c>
      <c r="L706" s="8">
        <f t="shared" ca="1" si="334"/>
        <v>0</v>
      </c>
      <c r="M706" s="8">
        <f t="shared" ca="1" si="335"/>
        <v>0</v>
      </c>
      <c r="N706" s="8">
        <f t="shared" ca="1" si="336"/>
        <v>0</v>
      </c>
      <c r="O706" s="8">
        <f t="shared" ca="1" si="337"/>
        <v>0</v>
      </c>
      <c r="P706" s="8">
        <f t="shared" ca="1" si="338"/>
        <v>0</v>
      </c>
      <c r="Q706" s="8">
        <f t="shared" ca="1" si="339"/>
        <v>0</v>
      </c>
      <c r="R706" s="8">
        <f t="shared" ca="1" si="340"/>
        <v>0</v>
      </c>
      <c r="S706" s="8">
        <f t="shared" ca="1" si="341"/>
        <v>0</v>
      </c>
      <c r="T706" s="8">
        <f t="shared" ca="1" si="342"/>
        <v>0</v>
      </c>
      <c r="U706" s="8">
        <f t="shared" ca="1" si="343"/>
        <v>0</v>
      </c>
      <c r="V706" s="8">
        <f t="shared" ca="1" si="344"/>
        <v>0</v>
      </c>
      <c r="W706" s="11" t="str">
        <f t="shared" ca="1" si="345"/>
        <v/>
      </c>
      <c r="X706" s="11" t="str">
        <f t="shared" ca="1" si="346"/>
        <v/>
      </c>
      <c r="Y706" s="11" t="str">
        <f t="shared" ca="1" si="347"/>
        <v/>
      </c>
      <c r="Z706" s="11" t="str">
        <f t="shared" ca="1" si="348"/>
        <v/>
      </c>
      <c r="AA706" s="11" t="str">
        <f t="shared" ca="1" si="349"/>
        <v/>
      </c>
      <c r="AB706" s="47">
        <f ca="1">PlayerGameData[[#This Row],[3FGA]]+PlayerGameData[[#This Row],[2FGA]]</f>
        <v>0</v>
      </c>
      <c r="AC706" s="47">
        <f ca="1">PlayerGameData[[#This Row],[OFF REB]]+PlayerGameData[[#This Row],[DEF REB]]</f>
        <v>0</v>
      </c>
      <c r="AD706" s="8">
        <f t="shared" si="330"/>
        <v>30</v>
      </c>
      <c r="AE706" s="8" t="str">
        <f t="shared" ca="1" si="331"/>
        <v>Rhett Watt, 10 - 0 1/0/1900</v>
      </c>
      <c r="AF706" s="8" t="str">
        <f t="shared" ca="1" si="350"/>
        <v/>
      </c>
      <c r="AG706" s="8" t="str">
        <f ca="1">IFERROR(IF(C706=0,"",IF(AND(VLOOKUP(PlayerGameData[[#This Row],[Opponent]],WYTeamInfo,2,FALSE)=Roster!$D$1,VLOOKUP(PlayerGameData[[#This Row],[Opponent]],WYTeamInfo,3,FALSE)=Roster!$D$2),"SR","")),"")</f>
        <v/>
      </c>
      <c r="AH706" s="8" t="str">
        <f>CONCATENATE(Roster!$D$1," ",Roster!$D$5)</f>
        <v>1A BB</v>
      </c>
      <c r="AI706" s="8" t="str">
        <f t="shared" ca="1" si="332"/>
        <v>Blank</v>
      </c>
      <c r="AJ706" s="8">
        <f ca="1">IFERROR(VLOOKUP(PlayerGameData[[#This Row],[School, Opponent,Game'#]],Table3[],2,FALSE),0)</f>
        <v>0</v>
      </c>
      <c r="AK706" s="8">
        <f ca="1">IF(PlayerGameData[[#This Row],[Visible]]=1,1,1000)</f>
        <v>1000</v>
      </c>
      <c r="AL706" s="8">
        <f ca="1">RANK(PlayerGameData[[#This Row],[TL PTS]],PlayerGameData[TL PTS],0)+PlayerGameData[[#This Row],[VisibleOrder]]</f>
        <v>1184</v>
      </c>
      <c r="AM706" s="8">
        <f ca="1">IF(COUNTIF(PlayerGameData[PointOrder],PlayerGameData[[#This Row],[PointOrder]])&gt;1,RANK(PlayerGameData[[#This Row],[FGA]],PlayerGameData[FGA],0)/100,0)+PlayerGameData[[#This Row],[PointOrder]]</f>
        <v>1186.1400000000001</v>
      </c>
      <c r="AN706" s="8">
        <f ca="1">RANK(PlayerGameData[[#This Row],[PointTieBreak]],PlayerGameData[PointTieBreak],1)</f>
        <v>625</v>
      </c>
      <c r="AO706" s="8">
        <f ca="1">RANK(PlayerGameData[[#This Row],[REB]],PlayerGameData[REB],0)+PlayerGameData[[#This Row],[VisibleOrder]]</f>
        <v>1191</v>
      </c>
      <c r="AP706" s="8">
        <f ca="1">IF(COUNTIF(PlayerGameData[REBOrder],PlayerGameData[[#This Row],[REBOrder]])&gt;1,PlayerGameData[[#This Row],[PointRank]]/100+PlayerGameData[[#This Row],[REBOrder]],PlayerGameData[[#This Row],[REBOrder]])</f>
        <v>1197.25</v>
      </c>
      <c r="AQ706" s="8">
        <f ca="1">RANK(PlayerGameData[[#This Row],[REBTieBreak]],PlayerGameData[REBTieBreak],1)</f>
        <v>625</v>
      </c>
      <c r="AR706" s="8">
        <f ca="1">RANK(PlayerGameData[[#This Row],[AST]],PlayerGameData[AST],0)+PlayerGameData[[#This Row],[VisibleOrder]]</f>
        <v>1157</v>
      </c>
      <c r="AS706" s="8">
        <f ca="1">IF(COUNTIF(PlayerGameData[ASTOrder],PlayerGameData[[#This Row],[ASTOrder]])&gt;1,PlayerGameData[[#This Row],[PointRank]]/100+PlayerGameData[[#This Row],[ASTOrder]],PlayerGameData[[#This Row],[ASTOrder]])</f>
        <v>1163.25</v>
      </c>
      <c r="AT706" s="8">
        <f ca="1">RANK(PlayerGameData[[#This Row],[ASTTieBreak]],PlayerGameData[ASTTieBreak],1)</f>
        <v>625</v>
      </c>
      <c r="AU706" s="8">
        <f ca="1">RANK(PlayerGameData[[#This Row],[STL]],PlayerGameData[STL],0)+PlayerGameData[[#This Row],[VisibleOrder]]</f>
        <v>1142</v>
      </c>
      <c r="AV706" s="8">
        <f ca="1">IF(COUNTIF(PlayerGameData[STLOrder],PlayerGameData[[#This Row],[STLOrder]])&gt;1,PlayerGameData[[#This Row],[PointRank]]/100+PlayerGameData[[#This Row],[STLOrder]],PlayerGameData[[#This Row],[STLOrder]])</f>
        <v>1148.25</v>
      </c>
      <c r="AW706" s="8">
        <f ca="1">RANK(PlayerGameData[[#This Row],[STLTieBreak]],PlayerGameData[STLTieBreak],1)</f>
        <v>625</v>
      </c>
      <c r="AX706" s="8">
        <f ca="1">RANK(PlayerGameData[[#This Row],[BLK]],PlayerGameData[BLK],0)+PlayerGameData[[#This Row],[VisibleOrder]]</f>
        <v>1031</v>
      </c>
      <c r="AY706" s="8">
        <f ca="1">IF(COUNTIF(PlayerGameData[BLKOrder],PlayerGameData[[#This Row],[BLKOrder]])&gt;1,PlayerGameData[[#This Row],[PointRank]]/100+PlayerGameData[[#This Row],[BLKOrder]],PlayerGameData[[#This Row],[BLKOrder]])</f>
        <v>1037.25</v>
      </c>
      <c r="AZ706" s="8">
        <f ca="1">RANK(PlayerGameData[[#This Row],[BLKTieBreak]],PlayerGameData[BLKTieBreak],1)</f>
        <v>625</v>
      </c>
      <c r="BA706" s="11">
        <f ca="1">IFERROR(IF(PlayerGameData[[#This Row],[FGA]]&gt;$AA$5,PlayerGameData[[#This Row],[FG%*]],PlayerGameData[[#This Row],[FG%*]]*-1),-2)</f>
        <v>-2</v>
      </c>
      <c r="BB706" s="8">
        <f ca="1">RANK(PlayerGameData[[#This Row],[EligFG]],PlayerGameData[EligFG],0)+PlayerGameData[[#This Row],[VisibleOrder]]</f>
        <v>1214</v>
      </c>
      <c r="BC706" s="8">
        <f ca="1">IF(COUNTIF(PlayerGameData[EligFGOrder],PlayerGameData[[#This Row],[EligFGOrder]])&gt;1,PlayerGameData[[#This Row],[PointRank]]/100+PlayerGameData[[#This Row],[EligFGOrder]],PlayerGameData[[#This Row],[EligFGOrder]])</f>
        <v>1220.25</v>
      </c>
      <c r="BD706" s="8">
        <f ca="1">RANK(PlayerGameData[[#This Row],[EligFGTieBreak]],PlayerGameData[EligFGTieBreak],1)</f>
        <v>625</v>
      </c>
      <c r="BE706" s="8" t="str">
        <f>Roster!$D$3</f>
        <v>East</v>
      </c>
      <c r="BF706" s="8" t="str">
        <f>Roster!$D$2</f>
        <v>Northeast</v>
      </c>
      <c r="BG706" s="8" t="str">
        <f>Roster!$D$4</f>
        <v>North</v>
      </c>
      <c r="BH706" s="197">
        <f ca="1">IFERROR(VLOOKUP(CONCATENATE(PlayerGameData[[#This Row],[Opponent]]," ",MONTH(PlayerGameData[[#This Row],[Date]]),"/",DAY(PlayerGameData[[#This Row],[Date]]),"/",YEAR(PlayerGameData[[#This Row],[Date]])),Table35[],2,FALSE),0)</f>
        <v>0</v>
      </c>
      <c r="BI706" s="197">
        <f ca="1">IF(PlayerGameData[[#This Row],[Visible]]=1,1,1000)</f>
        <v>1000</v>
      </c>
      <c r="BJ706" s="197" t="e">
        <f ca="1">_xlfn.MAXIFS(TeamGameData[Win],TeamGameData[School, Opponent,Game'#],PlayerGameData[[#This Row],[School, Opponent,Game'#]])</f>
        <v>#NAME?</v>
      </c>
      <c r="BK706" s="197" t="e">
        <f ca="1">_xlfn.MAXIFS(TeamGameData[Loss],TeamGameData[School, Opponent,Game'#],PlayerGameData[[#This Row],[School, Opponent,Game'#]])</f>
        <v>#NAME?</v>
      </c>
    </row>
    <row r="707" spans="1:63" x14ac:dyDescent="0.25">
      <c r="A707" s="8" t="str">
        <f t="shared" ca="1" si="333"/>
        <v>Keith Coburn, 11</v>
      </c>
      <c r="B707" s="8" t="str">
        <f>Roster!$B$1</f>
        <v>Upton</v>
      </c>
      <c r="C707" s="8">
        <f t="shared" ca="1" si="321"/>
        <v>0</v>
      </c>
      <c r="D707" s="10">
        <f t="shared" ca="1" si="322"/>
        <v>0</v>
      </c>
      <c r="E707" s="8">
        <f t="shared" ca="1" si="323"/>
        <v>0</v>
      </c>
      <c r="F707" s="8">
        <f t="shared" ca="1" si="324"/>
        <v>0</v>
      </c>
      <c r="G707" s="8">
        <f t="shared" ca="1" si="325"/>
        <v>0</v>
      </c>
      <c r="H707" s="8">
        <f t="shared" ca="1" si="326"/>
        <v>0</v>
      </c>
      <c r="I707" s="8">
        <f t="shared" ca="1" si="327"/>
        <v>0</v>
      </c>
      <c r="J707" s="8">
        <f t="shared" ca="1" si="328"/>
        <v>0</v>
      </c>
      <c r="K707" s="8">
        <f t="shared" ca="1" si="329"/>
        <v>0</v>
      </c>
      <c r="L707" s="8">
        <f t="shared" ca="1" si="334"/>
        <v>0</v>
      </c>
      <c r="M707" s="8">
        <f t="shared" ca="1" si="335"/>
        <v>0</v>
      </c>
      <c r="N707" s="8">
        <f t="shared" ca="1" si="336"/>
        <v>0</v>
      </c>
      <c r="O707" s="8">
        <f t="shared" ca="1" si="337"/>
        <v>0</v>
      </c>
      <c r="P707" s="8">
        <f t="shared" ca="1" si="338"/>
        <v>0</v>
      </c>
      <c r="Q707" s="8">
        <f t="shared" ca="1" si="339"/>
        <v>0</v>
      </c>
      <c r="R707" s="8">
        <f t="shared" ca="1" si="340"/>
        <v>0</v>
      </c>
      <c r="S707" s="8">
        <f t="shared" ca="1" si="341"/>
        <v>0</v>
      </c>
      <c r="T707" s="8">
        <f t="shared" ca="1" si="342"/>
        <v>0</v>
      </c>
      <c r="U707" s="8">
        <f t="shared" ca="1" si="343"/>
        <v>0</v>
      </c>
      <c r="V707" s="8">
        <f t="shared" ca="1" si="344"/>
        <v>0</v>
      </c>
      <c r="W707" s="11" t="str">
        <f t="shared" ca="1" si="345"/>
        <v/>
      </c>
      <c r="X707" s="11" t="str">
        <f t="shared" ca="1" si="346"/>
        <v/>
      </c>
      <c r="Y707" s="11" t="str">
        <f t="shared" ca="1" si="347"/>
        <v/>
      </c>
      <c r="Z707" s="11" t="str">
        <f t="shared" ca="1" si="348"/>
        <v/>
      </c>
      <c r="AA707" s="11" t="str">
        <f t="shared" ca="1" si="349"/>
        <v/>
      </c>
      <c r="AB707" s="47">
        <f ca="1">PlayerGameData[[#This Row],[3FGA]]+PlayerGameData[[#This Row],[2FGA]]</f>
        <v>0</v>
      </c>
      <c r="AC707" s="47">
        <f ca="1">PlayerGameData[[#This Row],[OFF REB]]+PlayerGameData[[#This Row],[DEF REB]]</f>
        <v>0</v>
      </c>
      <c r="AD707" s="8">
        <f t="shared" si="330"/>
        <v>30</v>
      </c>
      <c r="AE707" s="8" t="str">
        <f t="shared" ca="1" si="331"/>
        <v>Keith Coburn, 11 - 0 1/0/1900</v>
      </c>
      <c r="AF707" s="8" t="str">
        <f t="shared" ca="1" si="350"/>
        <v/>
      </c>
      <c r="AG707" s="8" t="str">
        <f ca="1">IFERROR(IF(C707=0,"",IF(AND(VLOOKUP(PlayerGameData[[#This Row],[Opponent]],WYTeamInfo,2,FALSE)=Roster!$D$1,VLOOKUP(PlayerGameData[[#This Row],[Opponent]],WYTeamInfo,3,FALSE)=Roster!$D$2),"SR","")),"")</f>
        <v/>
      </c>
      <c r="AH707" s="8" t="str">
        <f>CONCATENATE(Roster!$D$1," ",Roster!$D$5)</f>
        <v>1A BB</v>
      </c>
      <c r="AI707" s="8" t="str">
        <f t="shared" ca="1" si="332"/>
        <v>Blank</v>
      </c>
      <c r="AJ707" s="8">
        <f ca="1">IFERROR(VLOOKUP(PlayerGameData[[#This Row],[School, Opponent,Game'#]],Table3[],2,FALSE),0)</f>
        <v>0</v>
      </c>
      <c r="AK707" s="8">
        <f ca="1">IF(PlayerGameData[[#This Row],[Visible]]=1,1,1000)</f>
        <v>1000</v>
      </c>
      <c r="AL707" s="8">
        <f ca="1">RANK(PlayerGameData[[#This Row],[TL PTS]],PlayerGameData[TL PTS],0)+PlayerGameData[[#This Row],[VisibleOrder]]</f>
        <v>1184</v>
      </c>
      <c r="AM707" s="8">
        <f ca="1">IF(COUNTIF(PlayerGameData[PointOrder],PlayerGameData[[#This Row],[PointOrder]])&gt;1,RANK(PlayerGameData[[#This Row],[FGA]],PlayerGameData[FGA],0)/100,0)+PlayerGameData[[#This Row],[PointOrder]]</f>
        <v>1186.1400000000001</v>
      </c>
      <c r="AN707" s="8">
        <f ca="1">RANK(PlayerGameData[[#This Row],[PointTieBreak]],PlayerGameData[PointTieBreak],1)</f>
        <v>625</v>
      </c>
      <c r="AO707" s="8">
        <f ca="1">RANK(PlayerGameData[[#This Row],[REB]],PlayerGameData[REB],0)+PlayerGameData[[#This Row],[VisibleOrder]]</f>
        <v>1191</v>
      </c>
      <c r="AP707" s="8">
        <f ca="1">IF(COUNTIF(PlayerGameData[REBOrder],PlayerGameData[[#This Row],[REBOrder]])&gt;1,PlayerGameData[[#This Row],[PointRank]]/100+PlayerGameData[[#This Row],[REBOrder]],PlayerGameData[[#This Row],[REBOrder]])</f>
        <v>1197.25</v>
      </c>
      <c r="AQ707" s="8">
        <f ca="1">RANK(PlayerGameData[[#This Row],[REBTieBreak]],PlayerGameData[REBTieBreak],1)</f>
        <v>625</v>
      </c>
      <c r="AR707" s="8">
        <f ca="1">RANK(PlayerGameData[[#This Row],[AST]],PlayerGameData[AST],0)+PlayerGameData[[#This Row],[VisibleOrder]]</f>
        <v>1157</v>
      </c>
      <c r="AS707" s="8">
        <f ca="1">IF(COUNTIF(PlayerGameData[ASTOrder],PlayerGameData[[#This Row],[ASTOrder]])&gt;1,PlayerGameData[[#This Row],[PointRank]]/100+PlayerGameData[[#This Row],[ASTOrder]],PlayerGameData[[#This Row],[ASTOrder]])</f>
        <v>1163.25</v>
      </c>
      <c r="AT707" s="8">
        <f ca="1">RANK(PlayerGameData[[#This Row],[ASTTieBreak]],PlayerGameData[ASTTieBreak],1)</f>
        <v>625</v>
      </c>
      <c r="AU707" s="8">
        <f ca="1">RANK(PlayerGameData[[#This Row],[STL]],PlayerGameData[STL],0)+PlayerGameData[[#This Row],[VisibleOrder]]</f>
        <v>1142</v>
      </c>
      <c r="AV707" s="8">
        <f ca="1">IF(COUNTIF(PlayerGameData[STLOrder],PlayerGameData[[#This Row],[STLOrder]])&gt;1,PlayerGameData[[#This Row],[PointRank]]/100+PlayerGameData[[#This Row],[STLOrder]],PlayerGameData[[#This Row],[STLOrder]])</f>
        <v>1148.25</v>
      </c>
      <c r="AW707" s="8">
        <f ca="1">RANK(PlayerGameData[[#This Row],[STLTieBreak]],PlayerGameData[STLTieBreak],1)</f>
        <v>625</v>
      </c>
      <c r="AX707" s="8">
        <f ca="1">RANK(PlayerGameData[[#This Row],[BLK]],PlayerGameData[BLK],0)+PlayerGameData[[#This Row],[VisibleOrder]]</f>
        <v>1031</v>
      </c>
      <c r="AY707" s="8">
        <f ca="1">IF(COUNTIF(PlayerGameData[BLKOrder],PlayerGameData[[#This Row],[BLKOrder]])&gt;1,PlayerGameData[[#This Row],[PointRank]]/100+PlayerGameData[[#This Row],[BLKOrder]],PlayerGameData[[#This Row],[BLKOrder]])</f>
        <v>1037.25</v>
      </c>
      <c r="AZ707" s="8">
        <f ca="1">RANK(PlayerGameData[[#This Row],[BLKTieBreak]],PlayerGameData[BLKTieBreak],1)</f>
        <v>625</v>
      </c>
      <c r="BA707" s="11">
        <f ca="1">IFERROR(IF(PlayerGameData[[#This Row],[FGA]]&gt;$AA$5,PlayerGameData[[#This Row],[FG%*]],PlayerGameData[[#This Row],[FG%*]]*-1),-2)</f>
        <v>-2</v>
      </c>
      <c r="BB707" s="8">
        <f ca="1">RANK(PlayerGameData[[#This Row],[EligFG]],PlayerGameData[EligFG],0)+PlayerGameData[[#This Row],[VisibleOrder]]</f>
        <v>1214</v>
      </c>
      <c r="BC707" s="8">
        <f ca="1">IF(COUNTIF(PlayerGameData[EligFGOrder],PlayerGameData[[#This Row],[EligFGOrder]])&gt;1,PlayerGameData[[#This Row],[PointRank]]/100+PlayerGameData[[#This Row],[EligFGOrder]],PlayerGameData[[#This Row],[EligFGOrder]])</f>
        <v>1220.25</v>
      </c>
      <c r="BD707" s="8">
        <f ca="1">RANK(PlayerGameData[[#This Row],[EligFGTieBreak]],PlayerGameData[EligFGTieBreak],1)</f>
        <v>625</v>
      </c>
      <c r="BE707" s="8" t="str">
        <f>Roster!$D$3</f>
        <v>East</v>
      </c>
      <c r="BF707" s="8" t="str">
        <f>Roster!$D$2</f>
        <v>Northeast</v>
      </c>
      <c r="BG707" s="8" t="str">
        <f>Roster!$D$4</f>
        <v>North</v>
      </c>
      <c r="BH707" s="197">
        <f ca="1">IFERROR(VLOOKUP(CONCATENATE(PlayerGameData[[#This Row],[Opponent]]," ",MONTH(PlayerGameData[[#This Row],[Date]]),"/",DAY(PlayerGameData[[#This Row],[Date]]),"/",YEAR(PlayerGameData[[#This Row],[Date]])),Table35[],2,FALSE),0)</f>
        <v>0</v>
      </c>
      <c r="BI707" s="197">
        <f ca="1">IF(PlayerGameData[[#This Row],[Visible]]=1,1,1000)</f>
        <v>1000</v>
      </c>
      <c r="BJ707" s="197" t="e">
        <f ca="1">_xlfn.MAXIFS(TeamGameData[Win],TeamGameData[School, Opponent,Game'#],PlayerGameData[[#This Row],[School, Opponent,Game'#]])</f>
        <v>#NAME?</v>
      </c>
      <c r="BK707" s="197" t="e">
        <f ca="1">_xlfn.MAXIFS(TeamGameData[Loss],TeamGameData[School, Opponent,Game'#],PlayerGameData[[#This Row],[School, Opponent,Game'#]])</f>
        <v>#NAME?</v>
      </c>
    </row>
    <row r="708" spans="1:63" x14ac:dyDescent="0.25">
      <c r="A708" s="8" t="str">
        <f t="shared" ca="1" si="333"/>
        <v>Carson Barritt, 14</v>
      </c>
      <c r="B708" s="8" t="str">
        <f>Roster!$B$1</f>
        <v>Upton</v>
      </c>
      <c r="C708" s="8">
        <f t="shared" ca="1" si="321"/>
        <v>0</v>
      </c>
      <c r="D708" s="10">
        <f t="shared" ca="1" si="322"/>
        <v>0</v>
      </c>
      <c r="E708" s="8">
        <f t="shared" ca="1" si="323"/>
        <v>0</v>
      </c>
      <c r="F708" s="8">
        <f t="shared" ca="1" si="324"/>
        <v>0</v>
      </c>
      <c r="G708" s="8">
        <f t="shared" ca="1" si="325"/>
        <v>0</v>
      </c>
      <c r="H708" s="8">
        <f t="shared" ca="1" si="326"/>
        <v>0</v>
      </c>
      <c r="I708" s="8">
        <f t="shared" ca="1" si="327"/>
        <v>0</v>
      </c>
      <c r="J708" s="8">
        <f t="shared" ca="1" si="328"/>
        <v>0</v>
      </c>
      <c r="K708" s="8">
        <f t="shared" ca="1" si="329"/>
        <v>0</v>
      </c>
      <c r="L708" s="8">
        <f t="shared" ca="1" si="334"/>
        <v>0</v>
      </c>
      <c r="M708" s="8">
        <f t="shared" ca="1" si="335"/>
        <v>0</v>
      </c>
      <c r="N708" s="8">
        <f t="shared" ca="1" si="336"/>
        <v>0</v>
      </c>
      <c r="O708" s="8">
        <f t="shared" ca="1" si="337"/>
        <v>0</v>
      </c>
      <c r="P708" s="8">
        <f t="shared" ca="1" si="338"/>
        <v>0</v>
      </c>
      <c r="Q708" s="8">
        <f t="shared" ca="1" si="339"/>
        <v>0</v>
      </c>
      <c r="R708" s="8">
        <f t="shared" ca="1" si="340"/>
        <v>0</v>
      </c>
      <c r="S708" s="8">
        <f t="shared" ca="1" si="341"/>
        <v>0</v>
      </c>
      <c r="T708" s="8">
        <f t="shared" ca="1" si="342"/>
        <v>0</v>
      </c>
      <c r="U708" s="8">
        <f t="shared" ca="1" si="343"/>
        <v>0</v>
      </c>
      <c r="V708" s="8">
        <f t="shared" ca="1" si="344"/>
        <v>0</v>
      </c>
      <c r="W708" s="11" t="str">
        <f t="shared" ca="1" si="345"/>
        <v/>
      </c>
      <c r="X708" s="11" t="str">
        <f t="shared" ca="1" si="346"/>
        <v/>
      </c>
      <c r="Y708" s="11" t="str">
        <f t="shared" ca="1" si="347"/>
        <v/>
      </c>
      <c r="Z708" s="11" t="str">
        <f t="shared" ca="1" si="348"/>
        <v/>
      </c>
      <c r="AA708" s="11" t="str">
        <f t="shared" ca="1" si="349"/>
        <v/>
      </c>
      <c r="AB708" s="47">
        <f ca="1">PlayerGameData[[#This Row],[3FGA]]+PlayerGameData[[#This Row],[2FGA]]</f>
        <v>0</v>
      </c>
      <c r="AC708" s="47">
        <f ca="1">PlayerGameData[[#This Row],[OFF REB]]+PlayerGameData[[#This Row],[DEF REB]]</f>
        <v>0</v>
      </c>
      <c r="AD708" s="8">
        <f t="shared" si="330"/>
        <v>30</v>
      </c>
      <c r="AE708" s="8" t="str">
        <f t="shared" ca="1" si="331"/>
        <v>Carson Barritt, 14 - 0 1/0/1900</v>
      </c>
      <c r="AF708" s="8" t="str">
        <f t="shared" ca="1" si="350"/>
        <v/>
      </c>
      <c r="AG708" s="8" t="str">
        <f ca="1">IFERROR(IF(C708=0,"",IF(AND(VLOOKUP(PlayerGameData[[#This Row],[Opponent]],WYTeamInfo,2,FALSE)=Roster!$D$1,VLOOKUP(PlayerGameData[[#This Row],[Opponent]],WYTeamInfo,3,FALSE)=Roster!$D$2),"SR","")),"")</f>
        <v/>
      </c>
      <c r="AH708" s="8" t="str">
        <f>CONCATENATE(Roster!$D$1," ",Roster!$D$5)</f>
        <v>1A BB</v>
      </c>
      <c r="AI708" s="8" t="str">
        <f t="shared" ca="1" si="332"/>
        <v>Blank</v>
      </c>
      <c r="AJ708" s="8">
        <f ca="1">IFERROR(VLOOKUP(PlayerGameData[[#This Row],[School, Opponent,Game'#]],Table3[],2,FALSE),0)</f>
        <v>0</v>
      </c>
      <c r="AK708" s="8">
        <f ca="1">IF(PlayerGameData[[#This Row],[Visible]]=1,1,1000)</f>
        <v>1000</v>
      </c>
      <c r="AL708" s="8">
        <f ca="1">RANK(PlayerGameData[[#This Row],[TL PTS]],PlayerGameData[TL PTS],0)+PlayerGameData[[#This Row],[VisibleOrder]]</f>
        <v>1184</v>
      </c>
      <c r="AM708" s="8">
        <f ca="1">IF(COUNTIF(PlayerGameData[PointOrder],PlayerGameData[[#This Row],[PointOrder]])&gt;1,RANK(PlayerGameData[[#This Row],[FGA]],PlayerGameData[FGA],0)/100,0)+PlayerGameData[[#This Row],[PointOrder]]</f>
        <v>1186.1400000000001</v>
      </c>
      <c r="AN708" s="8">
        <f ca="1">RANK(PlayerGameData[[#This Row],[PointTieBreak]],PlayerGameData[PointTieBreak],1)</f>
        <v>625</v>
      </c>
      <c r="AO708" s="8">
        <f ca="1">RANK(PlayerGameData[[#This Row],[REB]],PlayerGameData[REB],0)+PlayerGameData[[#This Row],[VisibleOrder]]</f>
        <v>1191</v>
      </c>
      <c r="AP708" s="8">
        <f ca="1">IF(COUNTIF(PlayerGameData[REBOrder],PlayerGameData[[#This Row],[REBOrder]])&gt;1,PlayerGameData[[#This Row],[PointRank]]/100+PlayerGameData[[#This Row],[REBOrder]],PlayerGameData[[#This Row],[REBOrder]])</f>
        <v>1197.25</v>
      </c>
      <c r="AQ708" s="8">
        <f ca="1">RANK(PlayerGameData[[#This Row],[REBTieBreak]],PlayerGameData[REBTieBreak],1)</f>
        <v>625</v>
      </c>
      <c r="AR708" s="8">
        <f ca="1">RANK(PlayerGameData[[#This Row],[AST]],PlayerGameData[AST],0)+PlayerGameData[[#This Row],[VisibleOrder]]</f>
        <v>1157</v>
      </c>
      <c r="AS708" s="8">
        <f ca="1">IF(COUNTIF(PlayerGameData[ASTOrder],PlayerGameData[[#This Row],[ASTOrder]])&gt;1,PlayerGameData[[#This Row],[PointRank]]/100+PlayerGameData[[#This Row],[ASTOrder]],PlayerGameData[[#This Row],[ASTOrder]])</f>
        <v>1163.25</v>
      </c>
      <c r="AT708" s="8">
        <f ca="1">RANK(PlayerGameData[[#This Row],[ASTTieBreak]],PlayerGameData[ASTTieBreak],1)</f>
        <v>625</v>
      </c>
      <c r="AU708" s="8">
        <f ca="1">RANK(PlayerGameData[[#This Row],[STL]],PlayerGameData[STL],0)+PlayerGameData[[#This Row],[VisibleOrder]]</f>
        <v>1142</v>
      </c>
      <c r="AV708" s="8">
        <f ca="1">IF(COUNTIF(PlayerGameData[STLOrder],PlayerGameData[[#This Row],[STLOrder]])&gt;1,PlayerGameData[[#This Row],[PointRank]]/100+PlayerGameData[[#This Row],[STLOrder]],PlayerGameData[[#This Row],[STLOrder]])</f>
        <v>1148.25</v>
      </c>
      <c r="AW708" s="8">
        <f ca="1">RANK(PlayerGameData[[#This Row],[STLTieBreak]],PlayerGameData[STLTieBreak],1)</f>
        <v>625</v>
      </c>
      <c r="AX708" s="8">
        <f ca="1">RANK(PlayerGameData[[#This Row],[BLK]],PlayerGameData[BLK],0)+PlayerGameData[[#This Row],[VisibleOrder]]</f>
        <v>1031</v>
      </c>
      <c r="AY708" s="8">
        <f ca="1">IF(COUNTIF(PlayerGameData[BLKOrder],PlayerGameData[[#This Row],[BLKOrder]])&gt;1,PlayerGameData[[#This Row],[PointRank]]/100+PlayerGameData[[#This Row],[BLKOrder]],PlayerGameData[[#This Row],[BLKOrder]])</f>
        <v>1037.25</v>
      </c>
      <c r="AZ708" s="8">
        <f ca="1">RANK(PlayerGameData[[#This Row],[BLKTieBreak]],PlayerGameData[BLKTieBreak],1)</f>
        <v>625</v>
      </c>
      <c r="BA708" s="11">
        <f ca="1">IFERROR(IF(PlayerGameData[[#This Row],[FGA]]&gt;$AA$5,PlayerGameData[[#This Row],[FG%*]],PlayerGameData[[#This Row],[FG%*]]*-1),-2)</f>
        <v>-2</v>
      </c>
      <c r="BB708" s="8">
        <f ca="1">RANK(PlayerGameData[[#This Row],[EligFG]],PlayerGameData[EligFG],0)+PlayerGameData[[#This Row],[VisibleOrder]]</f>
        <v>1214</v>
      </c>
      <c r="BC708" s="8">
        <f ca="1">IF(COUNTIF(PlayerGameData[EligFGOrder],PlayerGameData[[#This Row],[EligFGOrder]])&gt;1,PlayerGameData[[#This Row],[PointRank]]/100+PlayerGameData[[#This Row],[EligFGOrder]],PlayerGameData[[#This Row],[EligFGOrder]])</f>
        <v>1220.25</v>
      </c>
      <c r="BD708" s="8">
        <f ca="1">RANK(PlayerGameData[[#This Row],[EligFGTieBreak]],PlayerGameData[EligFGTieBreak],1)</f>
        <v>625</v>
      </c>
      <c r="BE708" s="8" t="str">
        <f>Roster!$D$3</f>
        <v>East</v>
      </c>
      <c r="BF708" s="8" t="str">
        <f>Roster!$D$2</f>
        <v>Northeast</v>
      </c>
      <c r="BG708" s="8" t="str">
        <f>Roster!$D$4</f>
        <v>North</v>
      </c>
      <c r="BH708" s="197">
        <f ca="1">IFERROR(VLOOKUP(CONCATENATE(PlayerGameData[[#This Row],[Opponent]]," ",MONTH(PlayerGameData[[#This Row],[Date]]),"/",DAY(PlayerGameData[[#This Row],[Date]]),"/",YEAR(PlayerGameData[[#This Row],[Date]])),Table35[],2,FALSE),0)</f>
        <v>0</v>
      </c>
      <c r="BI708" s="197">
        <f ca="1">IF(PlayerGameData[[#This Row],[Visible]]=1,1,1000)</f>
        <v>1000</v>
      </c>
      <c r="BJ708" s="197" t="e">
        <f ca="1">_xlfn.MAXIFS(TeamGameData[Win],TeamGameData[School, Opponent,Game'#],PlayerGameData[[#This Row],[School, Opponent,Game'#]])</f>
        <v>#NAME?</v>
      </c>
      <c r="BK708" s="197" t="e">
        <f ca="1">_xlfn.MAXIFS(TeamGameData[Loss],TeamGameData[School, Opponent,Game'#],PlayerGameData[[#This Row],[School, Opponent,Game'#]])</f>
        <v>#NAME?</v>
      </c>
    </row>
    <row r="709" spans="1:63" x14ac:dyDescent="0.25">
      <c r="A709" s="8" t="str">
        <f t="shared" ca="1" si="333"/>
        <v>Ben Carpenter, 21</v>
      </c>
      <c r="B709" s="8" t="str">
        <f>Roster!$B$1</f>
        <v>Upton</v>
      </c>
      <c r="C709" s="8">
        <f t="shared" ca="1" si="321"/>
        <v>0</v>
      </c>
      <c r="D709" s="10">
        <f t="shared" ca="1" si="322"/>
        <v>0</v>
      </c>
      <c r="E709" s="8">
        <f t="shared" ca="1" si="323"/>
        <v>0</v>
      </c>
      <c r="F709" s="8">
        <f t="shared" ca="1" si="324"/>
        <v>0</v>
      </c>
      <c r="G709" s="8">
        <f t="shared" ca="1" si="325"/>
        <v>0</v>
      </c>
      <c r="H709" s="8">
        <f t="shared" ca="1" si="326"/>
        <v>0</v>
      </c>
      <c r="I709" s="8">
        <f t="shared" ca="1" si="327"/>
        <v>0</v>
      </c>
      <c r="J709" s="8">
        <f t="shared" ca="1" si="328"/>
        <v>0</v>
      </c>
      <c r="K709" s="8">
        <f t="shared" ca="1" si="329"/>
        <v>0</v>
      </c>
      <c r="L709" s="8">
        <f t="shared" ca="1" si="334"/>
        <v>0</v>
      </c>
      <c r="M709" s="8">
        <f t="shared" ca="1" si="335"/>
        <v>0</v>
      </c>
      <c r="N709" s="8">
        <f t="shared" ca="1" si="336"/>
        <v>0</v>
      </c>
      <c r="O709" s="8">
        <f t="shared" ca="1" si="337"/>
        <v>0</v>
      </c>
      <c r="P709" s="8">
        <f t="shared" ca="1" si="338"/>
        <v>0</v>
      </c>
      <c r="Q709" s="8">
        <f t="shared" ca="1" si="339"/>
        <v>0</v>
      </c>
      <c r="R709" s="8">
        <f t="shared" ca="1" si="340"/>
        <v>0</v>
      </c>
      <c r="S709" s="8">
        <f t="shared" ca="1" si="341"/>
        <v>0</v>
      </c>
      <c r="T709" s="8">
        <f t="shared" ca="1" si="342"/>
        <v>0</v>
      </c>
      <c r="U709" s="8">
        <f t="shared" ca="1" si="343"/>
        <v>0</v>
      </c>
      <c r="V709" s="8">
        <f t="shared" ca="1" si="344"/>
        <v>0</v>
      </c>
      <c r="W709" s="11" t="str">
        <f t="shared" ca="1" si="345"/>
        <v/>
      </c>
      <c r="X709" s="11" t="str">
        <f t="shared" ca="1" si="346"/>
        <v/>
      </c>
      <c r="Y709" s="11" t="str">
        <f t="shared" ca="1" si="347"/>
        <v/>
      </c>
      <c r="Z709" s="11" t="str">
        <f t="shared" ca="1" si="348"/>
        <v/>
      </c>
      <c r="AA709" s="11" t="str">
        <f t="shared" ca="1" si="349"/>
        <v/>
      </c>
      <c r="AB709" s="47">
        <f ca="1">PlayerGameData[[#This Row],[3FGA]]+PlayerGameData[[#This Row],[2FGA]]</f>
        <v>0</v>
      </c>
      <c r="AC709" s="47">
        <f ca="1">PlayerGameData[[#This Row],[OFF REB]]+PlayerGameData[[#This Row],[DEF REB]]</f>
        <v>0</v>
      </c>
      <c r="AD709" s="8">
        <f t="shared" si="330"/>
        <v>30</v>
      </c>
      <c r="AE709" s="8" t="str">
        <f t="shared" ca="1" si="331"/>
        <v>Ben Carpenter, 21 - 0 1/0/1900</v>
      </c>
      <c r="AF709" s="8" t="str">
        <f t="shared" ca="1" si="350"/>
        <v/>
      </c>
      <c r="AG709" s="8" t="str">
        <f ca="1">IFERROR(IF(C709=0,"",IF(AND(VLOOKUP(PlayerGameData[[#This Row],[Opponent]],WYTeamInfo,2,FALSE)=Roster!$D$1,VLOOKUP(PlayerGameData[[#This Row],[Opponent]],WYTeamInfo,3,FALSE)=Roster!$D$2),"SR","")),"")</f>
        <v/>
      </c>
      <c r="AH709" s="8" t="str">
        <f>CONCATENATE(Roster!$D$1," ",Roster!$D$5)</f>
        <v>1A BB</v>
      </c>
      <c r="AI709" s="8" t="str">
        <f t="shared" ca="1" si="332"/>
        <v>Blank</v>
      </c>
      <c r="AJ709" s="8">
        <f ca="1">IFERROR(VLOOKUP(PlayerGameData[[#This Row],[School, Opponent,Game'#]],Table3[],2,FALSE),0)</f>
        <v>0</v>
      </c>
      <c r="AK709" s="8">
        <f ca="1">IF(PlayerGameData[[#This Row],[Visible]]=1,1,1000)</f>
        <v>1000</v>
      </c>
      <c r="AL709" s="8">
        <f ca="1">RANK(PlayerGameData[[#This Row],[TL PTS]],PlayerGameData[TL PTS],0)+PlayerGameData[[#This Row],[VisibleOrder]]</f>
        <v>1184</v>
      </c>
      <c r="AM709" s="8">
        <f ca="1">IF(COUNTIF(PlayerGameData[PointOrder],PlayerGameData[[#This Row],[PointOrder]])&gt;1,RANK(PlayerGameData[[#This Row],[FGA]],PlayerGameData[FGA],0)/100,0)+PlayerGameData[[#This Row],[PointOrder]]</f>
        <v>1186.1400000000001</v>
      </c>
      <c r="AN709" s="8">
        <f ca="1">RANK(PlayerGameData[[#This Row],[PointTieBreak]],PlayerGameData[PointTieBreak],1)</f>
        <v>625</v>
      </c>
      <c r="AO709" s="8">
        <f ca="1">RANK(PlayerGameData[[#This Row],[REB]],PlayerGameData[REB],0)+PlayerGameData[[#This Row],[VisibleOrder]]</f>
        <v>1191</v>
      </c>
      <c r="AP709" s="8">
        <f ca="1">IF(COUNTIF(PlayerGameData[REBOrder],PlayerGameData[[#This Row],[REBOrder]])&gt;1,PlayerGameData[[#This Row],[PointRank]]/100+PlayerGameData[[#This Row],[REBOrder]],PlayerGameData[[#This Row],[REBOrder]])</f>
        <v>1197.25</v>
      </c>
      <c r="AQ709" s="8">
        <f ca="1">RANK(PlayerGameData[[#This Row],[REBTieBreak]],PlayerGameData[REBTieBreak],1)</f>
        <v>625</v>
      </c>
      <c r="AR709" s="8">
        <f ca="1">RANK(PlayerGameData[[#This Row],[AST]],PlayerGameData[AST],0)+PlayerGameData[[#This Row],[VisibleOrder]]</f>
        <v>1157</v>
      </c>
      <c r="AS709" s="8">
        <f ca="1">IF(COUNTIF(PlayerGameData[ASTOrder],PlayerGameData[[#This Row],[ASTOrder]])&gt;1,PlayerGameData[[#This Row],[PointRank]]/100+PlayerGameData[[#This Row],[ASTOrder]],PlayerGameData[[#This Row],[ASTOrder]])</f>
        <v>1163.25</v>
      </c>
      <c r="AT709" s="8">
        <f ca="1">RANK(PlayerGameData[[#This Row],[ASTTieBreak]],PlayerGameData[ASTTieBreak],1)</f>
        <v>625</v>
      </c>
      <c r="AU709" s="8">
        <f ca="1">RANK(PlayerGameData[[#This Row],[STL]],PlayerGameData[STL],0)+PlayerGameData[[#This Row],[VisibleOrder]]</f>
        <v>1142</v>
      </c>
      <c r="AV709" s="8">
        <f ca="1">IF(COUNTIF(PlayerGameData[STLOrder],PlayerGameData[[#This Row],[STLOrder]])&gt;1,PlayerGameData[[#This Row],[PointRank]]/100+PlayerGameData[[#This Row],[STLOrder]],PlayerGameData[[#This Row],[STLOrder]])</f>
        <v>1148.25</v>
      </c>
      <c r="AW709" s="8">
        <f ca="1">RANK(PlayerGameData[[#This Row],[STLTieBreak]],PlayerGameData[STLTieBreak],1)</f>
        <v>625</v>
      </c>
      <c r="AX709" s="8">
        <f ca="1">RANK(PlayerGameData[[#This Row],[BLK]],PlayerGameData[BLK],0)+PlayerGameData[[#This Row],[VisibleOrder]]</f>
        <v>1031</v>
      </c>
      <c r="AY709" s="8">
        <f ca="1">IF(COUNTIF(PlayerGameData[BLKOrder],PlayerGameData[[#This Row],[BLKOrder]])&gt;1,PlayerGameData[[#This Row],[PointRank]]/100+PlayerGameData[[#This Row],[BLKOrder]],PlayerGameData[[#This Row],[BLKOrder]])</f>
        <v>1037.25</v>
      </c>
      <c r="AZ709" s="8">
        <f ca="1">RANK(PlayerGameData[[#This Row],[BLKTieBreak]],PlayerGameData[BLKTieBreak],1)</f>
        <v>625</v>
      </c>
      <c r="BA709" s="11">
        <f ca="1">IFERROR(IF(PlayerGameData[[#This Row],[FGA]]&gt;$AA$5,PlayerGameData[[#This Row],[FG%*]],PlayerGameData[[#This Row],[FG%*]]*-1),-2)</f>
        <v>-2</v>
      </c>
      <c r="BB709" s="8">
        <f ca="1">RANK(PlayerGameData[[#This Row],[EligFG]],PlayerGameData[EligFG],0)+PlayerGameData[[#This Row],[VisibleOrder]]</f>
        <v>1214</v>
      </c>
      <c r="BC709" s="8">
        <f ca="1">IF(COUNTIF(PlayerGameData[EligFGOrder],PlayerGameData[[#This Row],[EligFGOrder]])&gt;1,PlayerGameData[[#This Row],[PointRank]]/100+PlayerGameData[[#This Row],[EligFGOrder]],PlayerGameData[[#This Row],[EligFGOrder]])</f>
        <v>1220.25</v>
      </c>
      <c r="BD709" s="8">
        <f ca="1">RANK(PlayerGameData[[#This Row],[EligFGTieBreak]],PlayerGameData[EligFGTieBreak],1)</f>
        <v>625</v>
      </c>
      <c r="BE709" s="8" t="str">
        <f>Roster!$D$3</f>
        <v>East</v>
      </c>
      <c r="BF709" s="8" t="str">
        <f>Roster!$D$2</f>
        <v>Northeast</v>
      </c>
      <c r="BG709" s="8" t="str">
        <f>Roster!$D$4</f>
        <v>North</v>
      </c>
      <c r="BH709" s="197">
        <f ca="1">IFERROR(VLOOKUP(CONCATENATE(PlayerGameData[[#This Row],[Opponent]]," ",MONTH(PlayerGameData[[#This Row],[Date]]),"/",DAY(PlayerGameData[[#This Row],[Date]]),"/",YEAR(PlayerGameData[[#This Row],[Date]])),Table35[],2,FALSE),0)</f>
        <v>0</v>
      </c>
      <c r="BI709" s="197">
        <f ca="1">IF(PlayerGameData[[#This Row],[Visible]]=1,1,1000)</f>
        <v>1000</v>
      </c>
      <c r="BJ709" s="197" t="e">
        <f ca="1">_xlfn.MAXIFS(TeamGameData[Win],TeamGameData[School, Opponent,Game'#],PlayerGameData[[#This Row],[School, Opponent,Game'#]])</f>
        <v>#NAME?</v>
      </c>
      <c r="BK709" s="197" t="e">
        <f ca="1">_xlfn.MAXIFS(TeamGameData[Loss],TeamGameData[School, Opponent,Game'#],PlayerGameData[[#This Row],[School, Opponent,Game'#]])</f>
        <v>#NAME?</v>
      </c>
    </row>
    <row r="710" spans="1:63" x14ac:dyDescent="0.25">
      <c r="A710" s="8" t="str">
        <f t="shared" ca="1" si="333"/>
        <v>Ethan Schiller, 23</v>
      </c>
      <c r="B710" s="8" t="str">
        <f>Roster!$B$1</f>
        <v>Upton</v>
      </c>
      <c r="C710" s="8">
        <f t="shared" ca="1" si="321"/>
        <v>0</v>
      </c>
      <c r="D710" s="10">
        <f t="shared" ca="1" si="322"/>
        <v>0</v>
      </c>
      <c r="E710" s="8">
        <f t="shared" ca="1" si="323"/>
        <v>0</v>
      </c>
      <c r="F710" s="8">
        <f t="shared" ca="1" si="324"/>
        <v>0</v>
      </c>
      <c r="G710" s="8">
        <f t="shared" ca="1" si="325"/>
        <v>0</v>
      </c>
      <c r="H710" s="8">
        <f t="shared" ca="1" si="326"/>
        <v>0</v>
      </c>
      <c r="I710" s="8">
        <f t="shared" ca="1" si="327"/>
        <v>0</v>
      </c>
      <c r="J710" s="8">
        <f t="shared" ca="1" si="328"/>
        <v>0</v>
      </c>
      <c r="K710" s="8">
        <f t="shared" ca="1" si="329"/>
        <v>0</v>
      </c>
      <c r="L710" s="8">
        <f t="shared" ca="1" si="334"/>
        <v>0</v>
      </c>
      <c r="M710" s="8">
        <f t="shared" ca="1" si="335"/>
        <v>0</v>
      </c>
      <c r="N710" s="8">
        <f t="shared" ca="1" si="336"/>
        <v>0</v>
      </c>
      <c r="O710" s="8">
        <f t="shared" ca="1" si="337"/>
        <v>0</v>
      </c>
      <c r="P710" s="8">
        <f t="shared" ca="1" si="338"/>
        <v>0</v>
      </c>
      <c r="Q710" s="8">
        <f t="shared" ca="1" si="339"/>
        <v>0</v>
      </c>
      <c r="R710" s="8">
        <f t="shared" ca="1" si="340"/>
        <v>0</v>
      </c>
      <c r="S710" s="8">
        <f t="shared" ca="1" si="341"/>
        <v>0</v>
      </c>
      <c r="T710" s="8">
        <f t="shared" ca="1" si="342"/>
        <v>0</v>
      </c>
      <c r="U710" s="8">
        <f t="shared" ca="1" si="343"/>
        <v>0</v>
      </c>
      <c r="V710" s="8">
        <f t="shared" ca="1" si="344"/>
        <v>0</v>
      </c>
      <c r="W710" s="11" t="str">
        <f t="shared" ca="1" si="345"/>
        <v/>
      </c>
      <c r="X710" s="11" t="str">
        <f t="shared" ca="1" si="346"/>
        <v/>
      </c>
      <c r="Y710" s="11" t="str">
        <f t="shared" ca="1" si="347"/>
        <v/>
      </c>
      <c r="Z710" s="11" t="str">
        <f t="shared" ca="1" si="348"/>
        <v/>
      </c>
      <c r="AA710" s="11" t="str">
        <f t="shared" ca="1" si="349"/>
        <v/>
      </c>
      <c r="AB710" s="47">
        <f ca="1">PlayerGameData[[#This Row],[3FGA]]+PlayerGameData[[#This Row],[2FGA]]</f>
        <v>0</v>
      </c>
      <c r="AC710" s="47">
        <f ca="1">PlayerGameData[[#This Row],[OFF REB]]+PlayerGameData[[#This Row],[DEF REB]]</f>
        <v>0</v>
      </c>
      <c r="AD710" s="8">
        <f t="shared" si="330"/>
        <v>30</v>
      </c>
      <c r="AE710" s="8" t="str">
        <f t="shared" ca="1" si="331"/>
        <v>Ethan Schiller, 23 - 0 1/0/1900</v>
      </c>
      <c r="AF710" s="8" t="str">
        <f t="shared" ca="1" si="350"/>
        <v/>
      </c>
      <c r="AG710" s="8" t="str">
        <f ca="1">IFERROR(IF(C710=0,"",IF(AND(VLOOKUP(PlayerGameData[[#This Row],[Opponent]],WYTeamInfo,2,FALSE)=Roster!$D$1,VLOOKUP(PlayerGameData[[#This Row],[Opponent]],WYTeamInfo,3,FALSE)=Roster!$D$2),"SR","")),"")</f>
        <v/>
      </c>
      <c r="AH710" s="8" t="str">
        <f>CONCATENATE(Roster!$D$1," ",Roster!$D$5)</f>
        <v>1A BB</v>
      </c>
      <c r="AI710" s="8" t="str">
        <f t="shared" ca="1" si="332"/>
        <v>Blank</v>
      </c>
      <c r="AJ710" s="8">
        <f ca="1">IFERROR(VLOOKUP(PlayerGameData[[#This Row],[School, Opponent,Game'#]],Table3[],2,FALSE),0)</f>
        <v>0</v>
      </c>
      <c r="AK710" s="8">
        <f ca="1">IF(PlayerGameData[[#This Row],[Visible]]=1,1,1000)</f>
        <v>1000</v>
      </c>
      <c r="AL710" s="8">
        <f ca="1">RANK(PlayerGameData[[#This Row],[TL PTS]],PlayerGameData[TL PTS],0)+PlayerGameData[[#This Row],[VisibleOrder]]</f>
        <v>1184</v>
      </c>
      <c r="AM710" s="8">
        <f ca="1">IF(COUNTIF(PlayerGameData[PointOrder],PlayerGameData[[#This Row],[PointOrder]])&gt;1,RANK(PlayerGameData[[#This Row],[FGA]],PlayerGameData[FGA],0)/100,0)+PlayerGameData[[#This Row],[PointOrder]]</f>
        <v>1186.1400000000001</v>
      </c>
      <c r="AN710" s="8">
        <f ca="1">RANK(PlayerGameData[[#This Row],[PointTieBreak]],PlayerGameData[PointTieBreak],1)</f>
        <v>625</v>
      </c>
      <c r="AO710" s="8">
        <f ca="1">RANK(PlayerGameData[[#This Row],[REB]],PlayerGameData[REB],0)+PlayerGameData[[#This Row],[VisibleOrder]]</f>
        <v>1191</v>
      </c>
      <c r="AP710" s="8">
        <f ca="1">IF(COUNTIF(PlayerGameData[REBOrder],PlayerGameData[[#This Row],[REBOrder]])&gt;1,PlayerGameData[[#This Row],[PointRank]]/100+PlayerGameData[[#This Row],[REBOrder]],PlayerGameData[[#This Row],[REBOrder]])</f>
        <v>1197.25</v>
      </c>
      <c r="AQ710" s="8">
        <f ca="1">RANK(PlayerGameData[[#This Row],[REBTieBreak]],PlayerGameData[REBTieBreak],1)</f>
        <v>625</v>
      </c>
      <c r="AR710" s="8">
        <f ca="1">RANK(PlayerGameData[[#This Row],[AST]],PlayerGameData[AST],0)+PlayerGameData[[#This Row],[VisibleOrder]]</f>
        <v>1157</v>
      </c>
      <c r="AS710" s="8">
        <f ca="1">IF(COUNTIF(PlayerGameData[ASTOrder],PlayerGameData[[#This Row],[ASTOrder]])&gt;1,PlayerGameData[[#This Row],[PointRank]]/100+PlayerGameData[[#This Row],[ASTOrder]],PlayerGameData[[#This Row],[ASTOrder]])</f>
        <v>1163.25</v>
      </c>
      <c r="AT710" s="8">
        <f ca="1">RANK(PlayerGameData[[#This Row],[ASTTieBreak]],PlayerGameData[ASTTieBreak],1)</f>
        <v>625</v>
      </c>
      <c r="AU710" s="8">
        <f ca="1">RANK(PlayerGameData[[#This Row],[STL]],PlayerGameData[STL],0)+PlayerGameData[[#This Row],[VisibleOrder]]</f>
        <v>1142</v>
      </c>
      <c r="AV710" s="8">
        <f ca="1">IF(COUNTIF(PlayerGameData[STLOrder],PlayerGameData[[#This Row],[STLOrder]])&gt;1,PlayerGameData[[#This Row],[PointRank]]/100+PlayerGameData[[#This Row],[STLOrder]],PlayerGameData[[#This Row],[STLOrder]])</f>
        <v>1148.25</v>
      </c>
      <c r="AW710" s="8">
        <f ca="1">RANK(PlayerGameData[[#This Row],[STLTieBreak]],PlayerGameData[STLTieBreak],1)</f>
        <v>625</v>
      </c>
      <c r="AX710" s="8">
        <f ca="1">RANK(PlayerGameData[[#This Row],[BLK]],PlayerGameData[BLK],0)+PlayerGameData[[#This Row],[VisibleOrder]]</f>
        <v>1031</v>
      </c>
      <c r="AY710" s="8">
        <f ca="1">IF(COUNTIF(PlayerGameData[BLKOrder],PlayerGameData[[#This Row],[BLKOrder]])&gt;1,PlayerGameData[[#This Row],[PointRank]]/100+PlayerGameData[[#This Row],[BLKOrder]],PlayerGameData[[#This Row],[BLKOrder]])</f>
        <v>1037.25</v>
      </c>
      <c r="AZ710" s="8">
        <f ca="1">RANK(PlayerGameData[[#This Row],[BLKTieBreak]],PlayerGameData[BLKTieBreak],1)</f>
        <v>625</v>
      </c>
      <c r="BA710" s="11">
        <f ca="1">IFERROR(IF(PlayerGameData[[#This Row],[FGA]]&gt;$AA$5,PlayerGameData[[#This Row],[FG%*]],PlayerGameData[[#This Row],[FG%*]]*-1),-2)</f>
        <v>-2</v>
      </c>
      <c r="BB710" s="8">
        <f ca="1">RANK(PlayerGameData[[#This Row],[EligFG]],PlayerGameData[EligFG],0)+PlayerGameData[[#This Row],[VisibleOrder]]</f>
        <v>1214</v>
      </c>
      <c r="BC710" s="8">
        <f ca="1">IF(COUNTIF(PlayerGameData[EligFGOrder],PlayerGameData[[#This Row],[EligFGOrder]])&gt;1,PlayerGameData[[#This Row],[PointRank]]/100+PlayerGameData[[#This Row],[EligFGOrder]],PlayerGameData[[#This Row],[EligFGOrder]])</f>
        <v>1220.25</v>
      </c>
      <c r="BD710" s="8">
        <f ca="1">RANK(PlayerGameData[[#This Row],[EligFGTieBreak]],PlayerGameData[EligFGTieBreak],1)</f>
        <v>625</v>
      </c>
      <c r="BE710" s="8" t="str">
        <f>Roster!$D$3</f>
        <v>East</v>
      </c>
      <c r="BF710" s="8" t="str">
        <f>Roster!$D$2</f>
        <v>Northeast</v>
      </c>
      <c r="BG710" s="8" t="str">
        <f>Roster!$D$4</f>
        <v>North</v>
      </c>
      <c r="BH710" s="197">
        <f ca="1">IFERROR(VLOOKUP(CONCATENATE(PlayerGameData[[#This Row],[Opponent]]," ",MONTH(PlayerGameData[[#This Row],[Date]]),"/",DAY(PlayerGameData[[#This Row],[Date]]),"/",YEAR(PlayerGameData[[#This Row],[Date]])),Table35[],2,FALSE),0)</f>
        <v>0</v>
      </c>
      <c r="BI710" s="197">
        <f ca="1">IF(PlayerGameData[[#This Row],[Visible]]=1,1,1000)</f>
        <v>1000</v>
      </c>
      <c r="BJ710" s="197" t="e">
        <f ca="1">_xlfn.MAXIFS(TeamGameData[Win],TeamGameData[School, Opponent,Game'#],PlayerGameData[[#This Row],[School, Opponent,Game'#]])</f>
        <v>#NAME?</v>
      </c>
      <c r="BK710" s="197" t="e">
        <f ca="1">_xlfn.MAXIFS(TeamGameData[Loss],TeamGameData[School, Opponent,Game'#],PlayerGameData[[#This Row],[School, Opponent,Game'#]])</f>
        <v>#NAME?</v>
      </c>
    </row>
    <row r="711" spans="1:63" x14ac:dyDescent="0.25">
      <c r="A711" s="8" t="str">
        <f t="shared" ca="1" si="333"/>
        <v>Bridger Bruce, 25</v>
      </c>
      <c r="B711" s="8" t="str">
        <f>Roster!$B$1</f>
        <v>Upton</v>
      </c>
      <c r="C711" s="8">
        <f t="shared" ref="C711:C774" ca="1" si="351">INDIRECT("'game1 ("&amp;$AD711&amp;")'!$b$3")</f>
        <v>0</v>
      </c>
      <c r="D711" s="10">
        <f t="shared" ref="D711:D774" ca="1" si="352">INDIRECT("'game1 ("&amp;$AD711&amp;")'!$m$4")</f>
        <v>0</v>
      </c>
      <c r="E711" s="8">
        <f t="shared" ref="E711:E774" ca="1" si="353">INDIRECT("'game1 ("&amp;$AD711&amp;")'!"&amp;ADDRESS(ROW(A$7)+MOD(ROW(A711)-7,24),COLUMN(D711)))</f>
        <v>0</v>
      </c>
      <c r="F711" s="8">
        <f t="shared" ref="F711:F774" ca="1" si="354">IF(INDIRECT("'game1 ("&amp;$AD711&amp;")'!"&amp;ADDRESS(ROW(B$7)+MOD(ROW(B711)-7,24),COLUMN(C711)))="s",1,0)</f>
        <v>0</v>
      </c>
      <c r="G711" s="8">
        <f t="shared" ref="G711:G774" ca="1" si="355">INDIRECT("'game1 ("&amp;$AD711&amp;")'!"&amp;ADDRESS(ROW(B$7)+MOD(ROW(B711)-7,24),COLUMN(E711)))</f>
        <v>0</v>
      </c>
      <c r="H711" s="8">
        <f t="shared" ref="H711:H774" ca="1" si="356">INDIRECT("'game1 ("&amp;$AD711&amp;")'!"&amp;ADDRESS(ROW(B$7)+MOD(ROW(B711)-7,24),COLUMN(F711)))</f>
        <v>0</v>
      </c>
      <c r="I711" s="8">
        <f t="shared" ref="I711:I774" ca="1" si="357">INDIRECT("'game1 ("&amp;$AD711&amp;")'!"&amp;ADDRESS(ROW(C$7)+MOD(ROW(C711)-7,24),COLUMN(G711)))</f>
        <v>0</v>
      </c>
      <c r="J711" s="8">
        <f t="shared" ref="J711:J774" ca="1" si="358">INDIRECT("'game1 ("&amp;$AD711&amp;")'!"&amp;ADDRESS(ROW(D$7)+MOD(ROW(D711)-7,24),COLUMN(H711)))</f>
        <v>0</v>
      </c>
      <c r="K711" s="8">
        <f t="shared" ref="K711:K774" ca="1" si="359">INDIRECT("'game1 ("&amp;$AD711&amp;")'!"&amp;ADDRESS(ROW(E$7)+MOD(ROW(E711)-7,24),COLUMN(I711)))</f>
        <v>0</v>
      </c>
      <c r="L711" s="8">
        <f t="shared" ca="1" si="334"/>
        <v>0</v>
      </c>
      <c r="M711" s="8">
        <f t="shared" ca="1" si="335"/>
        <v>0</v>
      </c>
      <c r="N711" s="8">
        <f t="shared" ca="1" si="336"/>
        <v>0</v>
      </c>
      <c r="O711" s="8">
        <f t="shared" ca="1" si="337"/>
        <v>0</v>
      </c>
      <c r="P711" s="8">
        <f t="shared" ca="1" si="338"/>
        <v>0</v>
      </c>
      <c r="Q711" s="8">
        <f t="shared" ca="1" si="339"/>
        <v>0</v>
      </c>
      <c r="R711" s="8">
        <f t="shared" ca="1" si="340"/>
        <v>0</v>
      </c>
      <c r="S711" s="8">
        <f t="shared" ca="1" si="341"/>
        <v>0</v>
      </c>
      <c r="T711" s="8">
        <f t="shared" ca="1" si="342"/>
        <v>0</v>
      </c>
      <c r="U711" s="8">
        <f t="shared" ca="1" si="343"/>
        <v>0</v>
      </c>
      <c r="V711" s="8">
        <f t="shared" ca="1" si="344"/>
        <v>0</v>
      </c>
      <c r="W711" s="11" t="str">
        <f t="shared" ca="1" si="345"/>
        <v/>
      </c>
      <c r="X711" s="11" t="str">
        <f t="shared" ca="1" si="346"/>
        <v/>
      </c>
      <c r="Y711" s="11" t="str">
        <f t="shared" ca="1" si="347"/>
        <v/>
      </c>
      <c r="Z711" s="11" t="str">
        <f t="shared" ca="1" si="348"/>
        <v/>
      </c>
      <c r="AA711" s="11" t="str">
        <f t="shared" ca="1" si="349"/>
        <v/>
      </c>
      <c r="AB711" s="47">
        <f ca="1">PlayerGameData[[#This Row],[3FGA]]+PlayerGameData[[#This Row],[2FGA]]</f>
        <v>0</v>
      </c>
      <c r="AC711" s="47">
        <f ca="1">PlayerGameData[[#This Row],[OFF REB]]+PlayerGameData[[#This Row],[DEF REB]]</f>
        <v>0</v>
      </c>
      <c r="AD711" s="8">
        <f t="shared" ref="AD711:AD774" si="360">INT((ROW(A711)-7)/24)+1</f>
        <v>30</v>
      </c>
      <c r="AE711" s="8" t="str">
        <f t="shared" ref="AE711:AE774" ca="1" si="361">CONCATENATE(A711," - ",C711," ",MONTH(D711),"/",DAY(D711),"/",YEAR(D711))</f>
        <v>Bridger Bruce, 25 - 0 1/0/1900</v>
      </c>
      <c r="AF711" s="8" t="str">
        <f t="shared" ca="1" si="350"/>
        <v/>
      </c>
      <c r="AG711" s="8" t="str">
        <f ca="1">IFERROR(IF(C711=0,"",IF(AND(VLOOKUP(PlayerGameData[[#This Row],[Opponent]],WYTeamInfo,2,FALSE)=Roster!$D$1,VLOOKUP(PlayerGameData[[#This Row],[Opponent]],WYTeamInfo,3,FALSE)=Roster!$D$2),"SR","")),"")</f>
        <v/>
      </c>
      <c r="AH711" s="8" t="str">
        <f>CONCATENATE(Roster!$D$1," ",Roster!$D$5)</f>
        <v>1A BB</v>
      </c>
      <c r="AI711" s="8" t="str">
        <f t="shared" ref="AI711:AI774" ca="1" si="362">IF($C711&lt;&gt;0,CONCATENATE($B711," - ",$C711," ",MONTH($D711),"/",DAY($D711),"/",YEAR($D711)),"Blank")</f>
        <v>Blank</v>
      </c>
      <c r="AJ711" s="8">
        <f ca="1">IFERROR(VLOOKUP(PlayerGameData[[#This Row],[School, Opponent,Game'#]],Table3[],2,FALSE),0)</f>
        <v>0</v>
      </c>
      <c r="AK711" s="8">
        <f ca="1">IF(PlayerGameData[[#This Row],[Visible]]=1,1,1000)</f>
        <v>1000</v>
      </c>
      <c r="AL711" s="8">
        <f ca="1">RANK(PlayerGameData[[#This Row],[TL PTS]],PlayerGameData[TL PTS],0)+PlayerGameData[[#This Row],[VisibleOrder]]</f>
        <v>1184</v>
      </c>
      <c r="AM711" s="8">
        <f ca="1">IF(COUNTIF(PlayerGameData[PointOrder],PlayerGameData[[#This Row],[PointOrder]])&gt;1,RANK(PlayerGameData[[#This Row],[FGA]],PlayerGameData[FGA],0)/100,0)+PlayerGameData[[#This Row],[PointOrder]]</f>
        <v>1186.1400000000001</v>
      </c>
      <c r="AN711" s="8">
        <f ca="1">RANK(PlayerGameData[[#This Row],[PointTieBreak]],PlayerGameData[PointTieBreak],1)</f>
        <v>625</v>
      </c>
      <c r="AO711" s="8">
        <f ca="1">RANK(PlayerGameData[[#This Row],[REB]],PlayerGameData[REB],0)+PlayerGameData[[#This Row],[VisibleOrder]]</f>
        <v>1191</v>
      </c>
      <c r="AP711" s="8">
        <f ca="1">IF(COUNTIF(PlayerGameData[REBOrder],PlayerGameData[[#This Row],[REBOrder]])&gt;1,PlayerGameData[[#This Row],[PointRank]]/100+PlayerGameData[[#This Row],[REBOrder]],PlayerGameData[[#This Row],[REBOrder]])</f>
        <v>1197.25</v>
      </c>
      <c r="AQ711" s="8">
        <f ca="1">RANK(PlayerGameData[[#This Row],[REBTieBreak]],PlayerGameData[REBTieBreak],1)</f>
        <v>625</v>
      </c>
      <c r="AR711" s="8">
        <f ca="1">RANK(PlayerGameData[[#This Row],[AST]],PlayerGameData[AST],0)+PlayerGameData[[#This Row],[VisibleOrder]]</f>
        <v>1157</v>
      </c>
      <c r="AS711" s="8">
        <f ca="1">IF(COUNTIF(PlayerGameData[ASTOrder],PlayerGameData[[#This Row],[ASTOrder]])&gt;1,PlayerGameData[[#This Row],[PointRank]]/100+PlayerGameData[[#This Row],[ASTOrder]],PlayerGameData[[#This Row],[ASTOrder]])</f>
        <v>1163.25</v>
      </c>
      <c r="AT711" s="8">
        <f ca="1">RANK(PlayerGameData[[#This Row],[ASTTieBreak]],PlayerGameData[ASTTieBreak],1)</f>
        <v>625</v>
      </c>
      <c r="AU711" s="8">
        <f ca="1">RANK(PlayerGameData[[#This Row],[STL]],PlayerGameData[STL],0)+PlayerGameData[[#This Row],[VisibleOrder]]</f>
        <v>1142</v>
      </c>
      <c r="AV711" s="8">
        <f ca="1">IF(COUNTIF(PlayerGameData[STLOrder],PlayerGameData[[#This Row],[STLOrder]])&gt;1,PlayerGameData[[#This Row],[PointRank]]/100+PlayerGameData[[#This Row],[STLOrder]],PlayerGameData[[#This Row],[STLOrder]])</f>
        <v>1148.25</v>
      </c>
      <c r="AW711" s="8">
        <f ca="1">RANK(PlayerGameData[[#This Row],[STLTieBreak]],PlayerGameData[STLTieBreak],1)</f>
        <v>625</v>
      </c>
      <c r="AX711" s="8">
        <f ca="1">RANK(PlayerGameData[[#This Row],[BLK]],PlayerGameData[BLK],0)+PlayerGameData[[#This Row],[VisibleOrder]]</f>
        <v>1031</v>
      </c>
      <c r="AY711" s="8">
        <f ca="1">IF(COUNTIF(PlayerGameData[BLKOrder],PlayerGameData[[#This Row],[BLKOrder]])&gt;1,PlayerGameData[[#This Row],[PointRank]]/100+PlayerGameData[[#This Row],[BLKOrder]],PlayerGameData[[#This Row],[BLKOrder]])</f>
        <v>1037.25</v>
      </c>
      <c r="AZ711" s="8">
        <f ca="1">RANK(PlayerGameData[[#This Row],[BLKTieBreak]],PlayerGameData[BLKTieBreak],1)</f>
        <v>625</v>
      </c>
      <c r="BA711" s="11">
        <f ca="1">IFERROR(IF(PlayerGameData[[#This Row],[FGA]]&gt;$AA$5,PlayerGameData[[#This Row],[FG%*]],PlayerGameData[[#This Row],[FG%*]]*-1),-2)</f>
        <v>-2</v>
      </c>
      <c r="BB711" s="8">
        <f ca="1">RANK(PlayerGameData[[#This Row],[EligFG]],PlayerGameData[EligFG],0)+PlayerGameData[[#This Row],[VisibleOrder]]</f>
        <v>1214</v>
      </c>
      <c r="BC711" s="8">
        <f ca="1">IF(COUNTIF(PlayerGameData[EligFGOrder],PlayerGameData[[#This Row],[EligFGOrder]])&gt;1,PlayerGameData[[#This Row],[PointRank]]/100+PlayerGameData[[#This Row],[EligFGOrder]],PlayerGameData[[#This Row],[EligFGOrder]])</f>
        <v>1220.25</v>
      </c>
      <c r="BD711" s="8">
        <f ca="1">RANK(PlayerGameData[[#This Row],[EligFGTieBreak]],PlayerGameData[EligFGTieBreak],1)</f>
        <v>625</v>
      </c>
      <c r="BE711" s="8" t="str">
        <f>Roster!$D$3</f>
        <v>East</v>
      </c>
      <c r="BF711" s="8" t="str">
        <f>Roster!$D$2</f>
        <v>Northeast</v>
      </c>
      <c r="BG711" s="8" t="str">
        <f>Roster!$D$4</f>
        <v>North</v>
      </c>
      <c r="BH711" s="197">
        <f ca="1">IFERROR(VLOOKUP(CONCATENATE(PlayerGameData[[#This Row],[Opponent]]," ",MONTH(PlayerGameData[[#This Row],[Date]]),"/",DAY(PlayerGameData[[#This Row],[Date]]),"/",YEAR(PlayerGameData[[#This Row],[Date]])),Table35[],2,FALSE),0)</f>
        <v>0</v>
      </c>
      <c r="BI711" s="197">
        <f ca="1">IF(PlayerGameData[[#This Row],[Visible]]=1,1,1000)</f>
        <v>1000</v>
      </c>
      <c r="BJ711" s="197" t="e">
        <f ca="1">_xlfn.MAXIFS(TeamGameData[Win],TeamGameData[School, Opponent,Game'#],PlayerGameData[[#This Row],[School, Opponent,Game'#]])</f>
        <v>#NAME?</v>
      </c>
      <c r="BK711" s="197" t="e">
        <f ca="1">_xlfn.MAXIFS(TeamGameData[Loss],TeamGameData[School, Opponent,Game'#],PlayerGameData[[#This Row],[School, Opponent,Game'#]])</f>
        <v>#NAME?</v>
      </c>
    </row>
    <row r="712" spans="1:63" x14ac:dyDescent="0.25">
      <c r="A712" s="8" t="str">
        <f t="shared" ref="A712:A775" ca="1" si="363">CONCATENATE(INDIRECT("Roster!B"&amp;ROW(A$7)+MOD(ROW(A712)-7,24)),", ",INDIRECT("Roster!a"&amp;ROW(A$7)+MOD(ROW(A712)-7,24)))</f>
        <v>Kailer Duarte, 31</v>
      </c>
      <c r="B712" s="8" t="str">
        <f>Roster!$B$1</f>
        <v>Upton</v>
      </c>
      <c r="C712" s="8">
        <f t="shared" ca="1" si="351"/>
        <v>0</v>
      </c>
      <c r="D712" s="10">
        <f t="shared" ca="1" si="352"/>
        <v>0</v>
      </c>
      <c r="E712" s="8">
        <f t="shared" ca="1" si="353"/>
        <v>0</v>
      </c>
      <c r="F712" s="8">
        <f t="shared" ca="1" si="354"/>
        <v>0</v>
      </c>
      <c r="G712" s="8">
        <f t="shared" ca="1" si="355"/>
        <v>0</v>
      </c>
      <c r="H712" s="8">
        <f t="shared" ca="1" si="356"/>
        <v>0</v>
      </c>
      <c r="I712" s="8">
        <f t="shared" ca="1" si="357"/>
        <v>0</v>
      </c>
      <c r="J712" s="8">
        <f t="shared" ca="1" si="358"/>
        <v>0</v>
      </c>
      <c r="K712" s="8">
        <f t="shared" ca="1" si="359"/>
        <v>0</v>
      </c>
      <c r="L712" s="8">
        <f t="shared" ref="L712:L775" ca="1" si="364">INDIRECT("'game1 ("&amp;$AD712&amp;")'!"&amp;ADDRESS(ROW(G$7)+MOD(ROW(G712)-7,24),COLUMN(J712)))</f>
        <v>0</v>
      </c>
      <c r="M712" s="8">
        <f t="shared" ref="M712:M775" ca="1" si="365">INDIRECT("'game1 ("&amp;$AD712&amp;")'!"&amp;ADDRESS(ROW(H$7)+MOD(ROW(H712)-7,24),COLUMN(K712)))</f>
        <v>0</v>
      </c>
      <c r="N712" s="8">
        <f t="shared" ref="N712:N775" ca="1" si="366">INDIRECT("'game1 ("&amp;$AD712&amp;")'!"&amp;ADDRESS(ROW(I$7)+MOD(ROW(I712)-7,24),COLUMN(L712)))</f>
        <v>0</v>
      </c>
      <c r="O712" s="8">
        <f t="shared" ref="O712:O775" ca="1" si="367">INDIRECT("'game1 ("&amp;$AD712&amp;")'!"&amp;ADDRESS(ROW(J$7)+MOD(ROW(J712)-7,24),COLUMN(M712)))</f>
        <v>0</v>
      </c>
      <c r="P712" s="8">
        <f t="shared" ref="P712:P775" ca="1" si="368">INDIRECT("'game1 ("&amp;$AD712&amp;")'!"&amp;ADDRESS(ROW(K$7)+MOD(ROW(K712)-7,24),COLUMN(N712)))</f>
        <v>0</v>
      </c>
      <c r="Q712" s="8">
        <f t="shared" ref="Q712:Q775" ca="1" si="369">INDIRECT("'game1 ("&amp;$AD712&amp;")'!"&amp;ADDRESS(ROW(L$7)+MOD(ROW(L712)-7,24),COLUMN(O712)))</f>
        <v>0</v>
      </c>
      <c r="R712" s="8">
        <f t="shared" ref="R712:R775" ca="1" si="370">INDIRECT("'game1 ("&amp;$AD712&amp;")'!"&amp;ADDRESS(ROW(M$7)+MOD(ROW(M712)-7,24),COLUMN(P712)))</f>
        <v>0</v>
      </c>
      <c r="S712" s="8">
        <f t="shared" ref="S712:S775" ca="1" si="371">INDIRECT("'game1 ("&amp;$AD712&amp;")'!"&amp;ADDRESS(ROW(N$7)+MOD(ROW(N712)-7,24),COLUMN(Q712)))</f>
        <v>0</v>
      </c>
      <c r="T712" s="8">
        <f t="shared" ref="T712:T775" ca="1" si="372">INDIRECT("'game1 ("&amp;$AD712&amp;")'!"&amp;ADDRESS(ROW(O$7)+MOD(ROW(O712)-7,24),COLUMN(R712)))</f>
        <v>0</v>
      </c>
      <c r="U712" s="8">
        <f t="shared" ref="U712:U775" ca="1" si="373">INDIRECT("'game1 ("&amp;$AD712&amp;")'!"&amp;ADDRESS(ROW(P$7)+MOD(ROW(P712)-7,24),COLUMN(S712)))</f>
        <v>0</v>
      </c>
      <c r="V712" s="8">
        <f t="shared" ref="V712:V775" ca="1" si="374">INDIRECT("'game1 ("&amp;$AD712&amp;")'!"&amp;ADDRESS(ROW(Q$7)+MOD(ROW(Q712)-7,24),COLUMN(T712)))</f>
        <v>0</v>
      </c>
      <c r="W712" s="11" t="str">
        <f t="shared" ref="W712:W775" ca="1" si="375">INDIRECT("'game1 ("&amp;$AD712&amp;")'!"&amp;ADDRESS(ROW(R$7)+MOD(ROW(R712)-7,24),COLUMN(U712)))</f>
        <v/>
      </c>
      <c r="X712" s="11" t="str">
        <f t="shared" ref="X712:X775" ca="1" si="376">INDIRECT("'game1 ("&amp;$AD712&amp;")'!"&amp;ADDRESS(ROW(S$7)+MOD(ROW(S712)-7,24),COLUMN(V712)))</f>
        <v/>
      </c>
      <c r="Y712" s="11" t="str">
        <f t="shared" ref="Y712:Y775" ca="1" si="377">INDIRECT("'game1 ("&amp;$AD712&amp;")'!"&amp;ADDRESS(ROW(T$7)+MOD(ROW(T712)-7,24),COLUMN(W712)))</f>
        <v/>
      </c>
      <c r="Z712" s="11" t="str">
        <f t="shared" ref="Z712:Z775" ca="1" si="378">INDIRECT("'game1 ("&amp;$AD712&amp;")'!"&amp;ADDRESS(ROW(U$7)+MOD(ROW(U712)-7,24),COLUMN(X712)))</f>
        <v/>
      </c>
      <c r="AA712" s="11" t="str">
        <f t="shared" ref="AA712:AA775" ca="1" si="379">INDIRECT("'game1 ("&amp;$AD712&amp;")'!"&amp;ADDRESS(ROW(V$7)+MOD(ROW(V712)-7,24),COLUMN(Y712)))</f>
        <v/>
      </c>
      <c r="AB712" s="47">
        <f ca="1">PlayerGameData[[#This Row],[3FGA]]+PlayerGameData[[#This Row],[2FGA]]</f>
        <v>0</v>
      </c>
      <c r="AC712" s="47">
        <f ca="1">PlayerGameData[[#This Row],[OFF REB]]+PlayerGameData[[#This Row],[DEF REB]]</f>
        <v>0</v>
      </c>
      <c r="AD712" s="8">
        <f t="shared" si="360"/>
        <v>30</v>
      </c>
      <c r="AE712" s="8" t="str">
        <f t="shared" ca="1" si="361"/>
        <v>Kailer Duarte, 31 - 0 1/0/1900</v>
      </c>
      <c r="AF712" s="8" t="str">
        <f t="shared" ref="AF712:AF775" ca="1" si="380">IFERROR(INDIRECT("'game1 ("&amp;$AD712&amp;")'!$a$2"),"")</f>
        <v/>
      </c>
      <c r="AG712" s="8" t="str">
        <f ca="1">IFERROR(IF(C712=0,"",IF(AND(VLOOKUP(PlayerGameData[[#This Row],[Opponent]],WYTeamInfo,2,FALSE)=Roster!$D$1,VLOOKUP(PlayerGameData[[#This Row],[Opponent]],WYTeamInfo,3,FALSE)=Roster!$D$2),"SR","")),"")</f>
        <v/>
      </c>
      <c r="AH712" s="8" t="str">
        <f>CONCATENATE(Roster!$D$1," ",Roster!$D$5)</f>
        <v>1A BB</v>
      </c>
      <c r="AI712" s="8" t="str">
        <f t="shared" ca="1" si="362"/>
        <v>Blank</v>
      </c>
      <c r="AJ712" s="8">
        <f ca="1">IFERROR(VLOOKUP(PlayerGameData[[#This Row],[School, Opponent,Game'#]],Table3[],2,FALSE),0)</f>
        <v>0</v>
      </c>
      <c r="AK712" s="8">
        <f ca="1">IF(PlayerGameData[[#This Row],[Visible]]=1,1,1000)</f>
        <v>1000</v>
      </c>
      <c r="AL712" s="8">
        <f ca="1">RANK(PlayerGameData[[#This Row],[TL PTS]],PlayerGameData[TL PTS],0)+PlayerGameData[[#This Row],[VisibleOrder]]</f>
        <v>1184</v>
      </c>
      <c r="AM712" s="8">
        <f ca="1">IF(COUNTIF(PlayerGameData[PointOrder],PlayerGameData[[#This Row],[PointOrder]])&gt;1,RANK(PlayerGameData[[#This Row],[FGA]],PlayerGameData[FGA],0)/100,0)+PlayerGameData[[#This Row],[PointOrder]]</f>
        <v>1186.1400000000001</v>
      </c>
      <c r="AN712" s="8">
        <f ca="1">RANK(PlayerGameData[[#This Row],[PointTieBreak]],PlayerGameData[PointTieBreak],1)</f>
        <v>625</v>
      </c>
      <c r="AO712" s="8">
        <f ca="1">RANK(PlayerGameData[[#This Row],[REB]],PlayerGameData[REB],0)+PlayerGameData[[#This Row],[VisibleOrder]]</f>
        <v>1191</v>
      </c>
      <c r="AP712" s="8">
        <f ca="1">IF(COUNTIF(PlayerGameData[REBOrder],PlayerGameData[[#This Row],[REBOrder]])&gt;1,PlayerGameData[[#This Row],[PointRank]]/100+PlayerGameData[[#This Row],[REBOrder]],PlayerGameData[[#This Row],[REBOrder]])</f>
        <v>1197.25</v>
      </c>
      <c r="AQ712" s="8">
        <f ca="1">RANK(PlayerGameData[[#This Row],[REBTieBreak]],PlayerGameData[REBTieBreak],1)</f>
        <v>625</v>
      </c>
      <c r="AR712" s="8">
        <f ca="1">RANK(PlayerGameData[[#This Row],[AST]],PlayerGameData[AST],0)+PlayerGameData[[#This Row],[VisibleOrder]]</f>
        <v>1157</v>
      </c>
      <c r="AS712" s="8">
        <f ca="1">IF(COUNTIF(PlayerGameData[ASTOrder],PlayerGameData[[#This Row],[ASTOrder]])&gt;1,PlayerGameData[[#This Row],[PointRank]]/100+PlayerGameData[[#This Row],[ASTOrder]],PlayerGameData[[#This Row],[ASTOrder]])</f>
        <v>1163.25</v>
      </c>
      <c r="AT712" s="8">
        <f ca="1">RANK(PlayerGameData[[#This Row],[ASTTieBreak]],PlayerGameData[ASTTieBreak],1)</f>
        <v>625</v>
      </c>
      <c r="AU712" s="8">
        <f ca="1">RANK(PlayerGameData[[#This Row],[STL]],PlayerGameData[STL],0)+PlayerGameData[[#This Row],[VisibleOrder]]</f>
        <v>1142</v>
      </c>
      <c r="AV712" s="8">
        <f ca="1">IF(COUNTIF(PlayerGameData[STLOrder],PlayerGameData[[#This Row],[STLOrder]])&gt;1,PlayerGameData[[#This Row],[PointRank]]/100+PlayerGameData[[#This Row],[STLOrder]],PlayerGameData[[#This Row],[STLOrder]])</f>
        <v>1148.25</v>
      </c>
      <c r="AW712" s="8">
        <f ca="1">RANK(PlayerGameData[[#This Row],[STLTieBreak]],PlayerGameData[STLTieBreak],1)</f>
        <v>625</v>
      </c>
      <c r="AX712" s="8">
        <f ca="1">RANK(PlayerGameData[[#This Row],[BLK]],PlayerGameData[BLK],0)+PlayerGameData[[#This Row],[VisibleOrder]]</f>
        <v>1031</v>
      </c>
      <c r="AY712" s="8">
        <f ca="1">IF(COUNTIF(PlayerGameData[BLKOrder],PlayerGameData[[#This Row],[BLKOrder]])&gt;1,PlayerGameData[[#This Row],[PointRank]]/100+PlayerGameData[[#This Row],[BLKOrder]],PlayerGameData[[#This Row],[BLKOrder]])</f>
        <v>1037.25</v>
      </c>
      <c r="AZ712" s="8">
        <f ca="1">RANK(PlayerGameData[[#This Row],[BLKTieBreak]],PlayerGameData[BLKTieBreak],1)</f>
        <v>625</v>
      </c>
      <c r="BA712" s="11">
        <f ca="1">IFERROR(IF(PlayerGameData[[#This Row],[FGA]]&gt;$AA$5,PlayerGameData[[#This Row],[FG%*]],PlayerGameData[[#This Row],[FG%*]]*-1),-2)</f>
        <v>-2</v>
      </c>
      <c r="BB712" s="8">
        <f ca="1">RANK(PlayerGameData[[#This Row],[EligFG]],PlayerGameData[EligFG],0)+PlayerGameData[[#This Row],[VisibleOrder]]</f>
        <v>1214</v>
      </c>
      <c r="BC712" s="8">
        <f ca="1">IF(COUNTIF(PlayerGameData[EligFGOrder],PlayerGameData[[#This Row],[EligFGOrder]])&gt;1,PlayerGameData[[#This Row],[PointRank]]/100+PlayerGameData[[#This Row],[EligFGOrder]],PlayerGameData[[#This Row],[EligFGOrder]])</f>
        <v>1220.25</v>
      </c>
      <c r="BD712" s="8">
        <f ca="1">RANK(PlayerGameData[[#This Row],[EligFGTieBreak]],PlayerGameData[EligFGTieBreak],1)</f>
        <v>625</v>
      </c>
      <c r="BE712" s="8" t="str">
        <f>Roster!$D$3</f>
        <v>East</v>
      </c>
      <c r="BF712" s="8" t="str">
        <f>Roster!$D$2</f>
        <v>Northeast</v>
      </c>
      <c r="BG712" s="8" t="str">
        <f>Roster!$D$4</f>
        <v>North</v>
      </c>
      <c r="BH712" s="197">
        <f ca="1">IFERROR(VLOOKUP(CONCATENATE(PlayerGameData[[#This Row],[Opponent]]," ",MONTH(PlayerGameData[[#This Row],[Date]]),"/",DAY(PlayerGameData[[#This Row],[Date]]),"/",YEAR(PlayerGameData[[#This Row],[Date]])),Table35[],2,FALSE),0)</f>
        <v>0</v>
      </c>
      <c r="BI712" s="197">
        <f ca="1">IF(PlayerGameData[[#This Row],[Visible]]=1,1,1000)</f>
        <v>1000</v>
      </c>
      <c r="BJ712" s="197" t="e">
        <f ca="1">_xlfn.MAXIFS(TeamGameData[Win],TeamGameData[School, Opponent,Game'#],PlayerGameData[[#This Row],[School, Opponent,Game'#]])</f>
        <v>#NAME?</v>
      </c>
      <c r="BK712" s="197" t="e">
        <f ca="1">_xlfn.MAXIFS(TeamGameData[Loss],TeamGameData[School, Opponent,Game'#],PlayerGameData[[#This Row],[School, Opponent,Game'#]])</f>
        <v>#NAME?</v>
      </c>
    </row>
    <row r="713" spans="1:63" x14ac:dyDescent="0.25">
      <c r="A713" s="8" t="str">
        <f t="shared" ca="1" si="363"/>
        <v>Matt Stirmel, 33</v>
      </c>
      <c r="B713" s="8" t="str">
        <f>Roster!$B$1</f>
        <v>Upton</v>
      </c>
      <c r="C713" s="8">
        <f t="shared" ca="1" si="351"/>
        <v>0</v>
      </c>
      <c r="D713" s="10">
        <f t="shared" ca="1" si="352"/>
        <v>0</v>
      </c>
      <c r="E713" s="8">
        <f t="shared" ca="1" si="353"/>
        <v>0</v>
      </c>
      <c r="F713" s="8">
        <f t="shared" ca="1" si="354"/>
        <v>0</v>
      </c>
      <c r="G713" s="8">
        <f t="shared" ca="1" si="355"/>
        <v>0</v>
      </c>
      <c r="H713" s="8">
        <f t="shared" ca="1" si="356"/>
        <v>0</v>
      </c>
      <c r="I713" s="8">
        <f t="shared" ca="1" si="357"/>
        <v>0</v>
      </c>
      <c r="J713" s="8">
        <f t="shared" ca="1" si="358"/>
        <v>0</v>
      </c>
      <c r="K713" s="8">
        <f t="shared" ca="1" si="359"/>
        <v>0</v>
      </c>
      <c r="L713" s="8">
        <f t="shared" ca="1" si="364"/>
        <v>0</v>
      </c>
      <c r="M713" s="8">
        <f t="shared" ca="1" si="365"/>
        <v>0</v>
      </c>
      <c r="N713" s="8">
        <f t="shared" ca="1" si="366"/>
        <v>0</v>
      </c>
      <c r="O713" s="8">
        <f t="shared" ca="1" si="367"/>
        <v>0</v>
      </c>
      <c r="P713" s="8">
        <f t="shared" ca="1" si="368"/>
        <v>0</v>
      </c>
      <c r="Q713" s="8">
        <f t="shared" ca="1" si="369"/>
        <v>0</v>
      </c>
      <c r="R713" s="8">
        <f t="shared" ca="1" si="370"/>
        <v>0</v>
      </c>
      <c r="S713" s="8">
        <f t="shared" ca="1" si="371"/>
        <v>0</v>
      </c>
      <c r="T713" s="8">
        <f t="shared" ca="1" si="372"/>
        <v>0</v>
      </c>
      <c r="U713" s="8">
        <f t="shared" ca="1" si="373"/>
        <v>0</v>
      </c>
      <c r="V713" s="8">
        <f t="shared" ca="1" si="374"/>
        <v>0</v>
      </c>
      <c r="W713" s="11" t="str">
        <f t="shared" ca="1" si="375"/>
        <v/>
      </c>
      <c r="X713" s="11" t="str">
        <f t="shared" ca="1" si="376"/>
        <v/>
      </c>
      <c r="Y713" s="11" t="str">
        <f t="shared" ca="1" si="377"/>
        <v/>
      </c>
      <c r="Z713" s="11" t="str">
        <f t="shared" ca="1" si="378"/>
        <v/>
      </c>
      <c r="AA713" s="11" t="str">
        <f t="shared" ca="1" si="379"/>
        <v/>
      </c>
      <c r="AB713" s="47">
        <f ca="1">PlayerGameData[[#This Row],[3FGA]]+PlayerGameData[[#This Row],[2FGA]]</f>
        <v>0</v>
      </c>
      <c r="AC713" s="47">
        <f ca="1">PlayerGameData[[#This Row],[OFF REB]]+PlayerGameData[[#This Row],[DEF REB]]</f>
        <v>0</v>
      </c>
      <c r="AD713" s="8">
        <f t="shared" si="360"/>
        <v>30</v>
      </c>
      <c r="AE713" s="8" t="str">
        <f t="shared" ca="1" si="361"/>
        <v>Matt Stirmel, 33 - 0 1/0/1900</v>
      </c>
      <c r="AF713" s="8" t="str">
        <f t="shared" ca="1" si="380"/>
        <v/>
      </c>
      <c r="AG713" s="8" t="str">
        <f ca="1">IFERROR(IF(C713=0,"",IF(AND(VLOOKUP(PlayerGameData[[#This Row],[Opponent]],WYTeamInfo,2,FALSE)=Roster!$D$1,VLOOKUP(PlayerGameData[[#This Row],[Opponent]],WYTeamInfo,3,FALSE)=Roster!$D$2),"SR","")),"")</f>
        <v/>
      </c>
      <c r="AH713" s="8" t="str">
        <f>CONCATENATE(Roster!$D$1," ",Roster!$D$5)</f>
        <v>1A BB</v>
      </c>
      <c r="AI713" s="8" t="str">
        <f t="shared" ca="1" si="362"/>
        <v>Blank</v>
      </c>
      <c r="AJ713" s="8">
        <f ca="1">IFERROR(VLOOKUP(PlayerGameData[[#This Row],[School, Opponent,Game'#]],Table3[],2,FALSE),0)</f>
        <v>0</v>
      </c>
      <c r="AK713" s="8">
        <f ca="1">IF(PlayerGameData[[#This Row],[Visible]]=1,1,1000)</f>
        <v>1000</v>
      </c>
      <c r="AL713" s="8">
        <f ca="1">RANK(PlayerGameData[[#This Row],[TL PTS]],PlayerGameData[TL PTS],0)+PlayerGameData[[#This Row],[VisibleOrder]]</f>
        <v>1184</v>
      </c>
      <c r="AM713" s="8">
        <f ca="1">IF(COUNTIF(PlayerGameData[PointOrder],PlayerGameData[[#This Row],[PointOrder]])&gt;1,RANK(PlayerGameData[[#This Row],[FGA]],PlayerGameData[FGA],0)/100,0)+PlayerGameData[[#This Row],[PointOrder]]</f>
        <v>1186.1400000000001</v>
      </c>
      <c r="AN713" s="8">
        <f ca="1">RANK(PlayerGameData[[#This Row],[PointTieBreak]],PlayerGameData[PointTieBreak],1)</f>
        <v>625</v>
      </c>
      <c r="AO713" s="8">
        <f ca="1">RANK(PlayerGameData[[#This Row],[REB]],PlayerGameData[REB],0)+PlayerGameData[[#This Row],[VisibleOrder]]</f>
        <v>1191</v>
      </c>
      <c r="AP713" s="8">
        <f ca="1">IF(COUNTIF(PlayerGameData[REBOrder],PlayerGameData[[#This Row],[REBOrder]])&gt;1,PlayerGameData[[#This Row],[PointRank]]/100+PlayerGameData[[#This Row],[REBOrder]],PlayerGameData[[#This Row],[REBOrder]])</f>
        <v>1197.25</v>
      </c>
      <c r="AQ713" s="8">
        <f ca="1">RANK(PlayerGameData[[#This Row],[REBTieBreak]],PlayerGameData[REBTieBreak],1)</f>
        <v>625</v>
      </c>
      <c r="AR713" s="8">
        <f ca="1">RANK(PlayerGameData[[#This Row],[AST]],PlayerGameData[AST],0)+PlayerGameData[[#This Row],[VisibleOrder]]</f>
        <v>1157</v>
      </c>
      <c r="AS713" s="8">
        <f ca="1">IF(COUNTIF(PlayerGameData[ASTOrder],PlayerGameData[[#This Row],[ASTOrder]])&gt;1,PlayerGameData[[#This Row],[PointRank]]/100+PlayerGameData[[#This Row],[ASTOrder]],PlayerGameData[[#This Row],[ASTOrder]])</f>
        <v>1163.25</v>
      </c>
      <c r="AT713" s="8">
        <f ca="1">RANK(PlayerGameData[[#This Row],[ASTTieBreak]],PlayerGameData[ASTTieBreak],1)</f>
        <v>625</v>
      </c>
      <c r="AU713" s="8">
        <f ca="1">RANK(PlayerGameData[[#This Row],[STL]],PlayerGameData[STL],0)+PlayerGameData[[#This Row],[VisibleOrder]]</f>
        <v>1142</v>
      </c>
      <c r="AV713" s="8">
        <f ca="1">IF(COUNTIF(PlayerGameData[STLOrder],PlayerGameData[[#This Row],[STLOrder]])&gt;1,PlayerGameData[[#This Row],[PointRank]]/100+PlayerGameData[[#This Row],[STLOrder]],PlayerGameData[[#This Row],[STLOrder]])</f>
        <v>1148.25</v>
      </c>
      <c r="AW713" s="8">
        <f ca="1">RANK(PlayerGameData[[#This Row],[STLTieBreak]],PlayerGameData[STLTieBreak],1)</f>
        <v>625</v>
      </c>
      <c r="AX713" s="8">
        <f ca="1">RANK(PlayerGameData[[#This Row],[BLK]],PlayerGameData[BLK],0)+PlayerGameData[[#This Row],[VisibleOrder]]</f>
        <v>1031</v>
      </c>
      <c r="AY713" s="8">
        <f ca="1">IF(COUNTIF(PlayerGameData[BLKOrder],PlayerGameData[[#This Row],[BLKOrder]])&gt;1,PlayerGameData[[#This Row],[PointRank]]/100+PlayerGameData[[#This Row],[BLKOrder]],PlayerGameData[[#This Row],[BLKOrder]])</f>
        <v>1037.25</v>
      </c>
      <c r="AZ713" s="8">
        <f ca="1">RANK(PlayerGameData[[#This Row],[BLKTieBreak]],PlayerGameData[BLKTieBreak],1)</f>
        <v>625</v>
      </c>
      <c r="BA713" s="11">
        <f ca="1">IFERROR(IF(PlayerGameData[[#This Row],[FGA]]&gt;$AA$5,PlayerGameData[[#This Row],[FG%*]],PlayerGameData[[#This Row],[FG%*]]*-1),-2)</f>
        <v>-2</v>
      </c>
      <c r="BB713" s="8">
        <f ca="1">RANK(PlayerGameData[[#This Row],[EligFG]],PlayerGameData[EligFG],0)+PlayerGameData[[#This Row],[VisibleOrder]]</f>
        <v>1214</v>
      </c>
      <c r="BC713" s="8">
        <f ca="1">IF(COUNTIF(PlayerGameData[EligFGOrder],PlayerGameData[[#This Row],[EligFGOrder]])&gt;1,PlayerGameData[[#This Row],[PointRank]]/100+PlayerGameData[[#This Row],[EligFGOrder]],PlayerGameData[[#This Row],[EligFGOrder]])</f>
        <v>1220.25</v>
      </c>
      <c r="BD713" s="8">
        <f ca="1">RANK(PlayerGameData[[#This Row],[EligFGTieBreak]],PlayerGameData[EligFGTieBreak],1)</f>
        <v>625</v>
      </c>
      <c r="BE713" s="8" t="str">
        <f>Roster!$D$3</f>
        <v>East</v>
      </c>
      <c r="BF713" s="8" t="str">
        <f>Roster!$D$2</f>
        <v>Northeast</v>
      </c>
      <c r="BG713" s="8" t="str">
        <f>Roster!$D$4</f>
        <v>North</v>
      </c>
      <c r="BH713" s="197">
        <f ca="1">IFERROR(VLOOKUP(CONCATENATE(PlayerGameData[[#This Row],[Opponent]]," ",MONTH(PlayerGameData[[#This Row],[Date]]),"/",DAY(PlayerGameData[[#This Row],[Date]]),"/",YEAR(PlayerGameData[[#This Row],[Date]])),Table35[],2,FALSE),0)</f>
        <v>0</v>
      </c>
      <c r="BI713" s="197">
        <f ca="1">IF(PlayerGameData[[#This Row],[Visible]]=1,1,1000)</f>
        <v>1000</v>
      </c>
      <c r="BJ713" s="197" t="e">
        <f ca="1">_xlfn.MAXIFS(TeamGameData[Win],TeamGameData[School, Opponent,Game'#],PlayerGameData[[#This Row],[School, Opponent,Game'#]])</f>
        <v>#NAME?</v>
      </c>
      <c r="BK713" s="197" t="e">
        <f ca="1">_xlfn.MAXIFS(TeamGameData[Loss],TeamGameData[School, Opponent,Game'#],PlayerGameData[[#This Row],[School, Opponent,Game'#]])</f>
        <v>#NAME?</v>
      </c>
    </row>
    <row r="714" spans="1:63" x14ac:dyDescent="0.25">
      <c r="A714" s="8" t="str">
        <f t="shared" ca="1" si="363"/>
        <v>Jacob McNutt, 34</v>
      </c>
      <c r="B714" s="8" t="str">
        <f>Roster!$B$1</f>
        <v>Upton</v>
      </c>
      <c r="C714" s="8">
        <f t="shared" ca="1" si="351"/>
        <v>0</v>
      </c>
      <c r="D714" s="10">
        <f t="shared" ca="1" si="352"/>
        <v>0</v>
      </c>
      <c r="E714" s="8">
        <f t="shared" ca="1" si="353"/>
        <v>0</v>
      </c>
      <c r="F714" s="8">
        <f t="shared" ca="1" si="354"/>
        <v>0</v>
      </c>
      <c r="G714" s="8">
        <f t="shared" ca="1" si="355"/>
        <v>0</v>
      </c>
      <c r="H714" s="8">
        <f t="shared" ca="1" si="356"/>
        <v>0</v>
      </c>
      <c r="I714" s="8">
        <f t="shared" ca="1" si="357"/>
        <v>0</v>
      </c>
      <c r="J714" s="8">
        <f t="shared" ca="1" si="358"/>
        <v>0</v>
      </c>
      <c r="K714" s="8">
        <f t="shared" ca="1" si="359"/>
        <v>0</v>
      </c>
      <c r="L714" s="8">
        <f t="shared" ca="1" si="364"/>
        <v>0</v>
      </c>
      <c r="M714" s="8">
        <f t="shared" ca="1" si="365"/>
        <v>0</v>
      </c>
      <c r="N714" s="8">
        <f t="shared" ca="1" si="366"/>
        <v>0</v>
      </c>
      <c r="O714" s="8">
        <f t="shared" ca="1" si="367"/>
        <v>0</v>
      </c>
      <c r="P714" s="8">
        <f t="shared" ca="1" si="368"/>
        <v>0</v>
      </c>
      <c r="Q714" s="8">
        <f t="shared" ca="1" si="369"/>
        <v>0</v>
      </c>
      <c r="R714" s="8">
        <f t="shared" ca="1" si="370"/>
        <v>0</v>
      </c>
      <c r="S714" s="8">
        <f t="shared" ca="1" si="371"/>
        <v>0</v>
      </c>
      <c r="T714" s="8">
        <f t="shared" ca="1" si="372"/>
        <v>0</v>
      </c>
      <c r="U714" s="8">
        <f t="shared" ca="1" si="373"/>
        <v>0</v>
      </c>
      <c r="V714" s="8">
        <f t="shared" ca="1" si="374"/>
        <v>0</v>
      </c>
      <c r="W714" s="11" t="str">
        <f t="shared" ca="1" si="375"/>
        <v/>
      </c>
      <c r="X714" s="11" t="str">
        <f t="shared" ca="1" si="376"/>
        <v/>
      </c>
      <c r="Y714" s="11" t="str">
        <f t="shared" ca="1" si="377"/>
        <v/>
      </c>
      <c r="Z714" s="11" t="str">
        <f t="shared" ca="1" si="378"/>
        <v/>
      </c>
      <c r="AA714" s="11" t="str">
        <f t="shared" ca="1" si="379"/>
        <v/>
      </c>
      <c r="AB714" s="47">
        <f ca="1">PlayerGameData[[#This Row],[3FGA]]+PlayerGameData[[#This Row],[2FGA]]</f>
        <v>0</v>
      </c>
      <c r="AC714" s="47">
        <f ca="1">PlayerGameData[[#This Row],[OFF REB]]+PlayerGameData[[#This Row],[DEF REB]]</f>
        <v>0</v>
      </c>
      <c r="AD714" s="8">
        <f t="shared" si="360"/>
        <v>30</v>
      </c>
      <c r="AE714" s="8" t="str">
        <f t="shared" ca="1" si="361"/>
        <v>Jacob McNutt, 34 - 0 1/0/1900</v>
      </c>
      <c r="AF714" s="8" t="str">
        <f t="shared" ca="1" si="380"/>
        <v/>
      </c>
      <c r="AG714" s="8" t="str">
        <f ca="1">IFERROR(IF(C714=0,"",IF(AND(VLOOKUP(PlayerGameData[[#This Row],[Opponent]],WYTeamInfo,2,FALSE)=Roster!$D$1,VLOOKUP(PlayerGameData[[#This Row],[Opponent]],WYTeamInfo,3,FALSE)=Roster!$D$2),"SR","")),"")</f>
        <v/>
      </c>
      <c r="AH714" s="8" t="str">
        <f>CONCATENATE(Roster!$D$1," ",Roster!$D$5)</f>
        <v>1A BB</v>
      </c>
      <c r="AI714" s="8" t="str">
        <f t="shared" ca="1" si="362"/>
        <v>Blank</v>
      </c>
      <c r="AJ714" s="8">
        <f ca="1">IFERROR(VLOOKUP(PlayerGameData[[#This Row],[School, Opponent,Game'#]],Table3[],2,FALSE),0)</f>
        <v>0</v>
      </c>
      <c r="AK714" s="8">
        <f ca="1">IF(PlayerGameData[[#This Row],[Visible]]=1,1,1000)</f>
        <v>1000</v>
      </c>
      <c r="AL714" s="8">
        <f ca="1">RANK(PlayerGameData[[#This Row],[TL PTS]],PlayerGameData[TL PTS],0)+PlayerGameData[[#This Row],[VisibleOrder]]</f>
        <v>1184</v>
      </c>
      <c r="AM714" s="8">
        <f ca="1">IF(COUNTIF(PlayerGameData[PointOrder],PlayerGameData[[#This Row],[PointOrder]])&gt;1,RANK(PlayerGameData[[#This Row],[FGA]],PlayerGameData[FGA],0)/100,0)+PlayerGameData[[#This Row],[PointOrder]]</f>
        <v>1186.1400000000001</v>
      </c>
      <c r="AN714" s="8">
        <f ca="1">RANK(PlayerGameData[[#This Row],[PointTieBreak]],PlayerGameData[PointTieBreak],1)</f>
        <v>625</v>
      </c>
      <c r="AO714" s="8">
        <f ca="1">RANK(PlayerGameData[[#This Row],[REB]],PlayerGameData[REB],0)+PlayerGameData[[#This Row],[VisibleOrder]]</f>
        <v>1191</v>
      </c>
      <c r="AP714" s="8">
        <f ca="1">IF(COUNTIF(PlayerGameData[REBOrder],PlayerGameData[[#This Row],[REBOrder]])&gt;1,PlayerGameData[[#This Row],[PointRank]]/100+PlayerGameData[[#This Row],[REBOrder]],PlayerGameData[[#This Row],[REBOrder]])</f>
        <v>1197.25</v>
      </c>
      <c r="AQ714" s="8">
        <f ca="1">RANK(PlayerGameData[[#This Row],[REBTieBreak]],PlayerGameData[REBTieBreak],1)</f>
        <v>625</v>
      </c>
      <c r="AR714" s="8">
        <f ca="1">RANK(PlayerGameData[[#This Row],[AST]],PlayerGameData[AST],0)+PlayerGameData[[#This Row],[VisibleOrder]]</f>
        <v>1157</v>
      </c>
      <c r="AS714" s="8">
        <f ca="1">IF(COUNTIF(PlayerGameData[ASTOrder],PlayerGameData[[#This Row],[ASTOrder]])&gt;1,PlayerGameData[[#This Row],[PointRank]]/100+PlayerGameData[[#This Row],[ASTOrder]],PlayerGameData[[#This Row],[ASTOrder]])</f>
        <v>1163.25</v>
      </c>
      <c r="AT714" s="8">
        <f ca="1">RANK(PlayerGameData[[#This Row],[ASTTieBreak]],PlayerGameData[ASTTieBreak],1)</f>
        <v>625</v>
      </c>
      <c r="AU714" s="8">
        <f ca="1">RANK(PlayerGameData[[#This Row],[STL]],PlayerGameData[STL],0)+PlayerGameData[[#This Row],[VisibleOrder]]</f>
        <v>1142</v>
      </c>
      <c r="AV714" s="8">
        <f ca="1">IF(COUNTIF(PlayerGameData[STLOrder],PlayerGameData[[#This Row],[STLOrder]])&gt;1,PlayerGameData[[#This Row],[PointRank]]/100+PlayerGameData[[#This Row],[STLOrder]],PlayerGameData[[#This Row],[STLOrder]])</f>
        <v>1148.25</v>
      </c>
      <c r="AW714" s="8">
        <f ca="1">RANK(PlayerGameData[[#This Row],[STLTieBreak]],PlayerGameData[STLTieBreak],1)</f>
        <v>625</v>
      </c>
      <c r="AX714" s="8">
        <f ca="1">RANK(PlayerGameData[[#This Row],[BLK]],PlayerGameData[BLK],0)+PlayerGameData[[#This Row],[VisibleOrder]]</f>
        <v>1031</v>
      </c>
      <c r="AY714" s="8">
        <f ca="1">IF(COUNTIF(PlayerGameData[BLKOrder],PlayerGameData[[#This Row],[BLKOrder]])&gt;1,PlayerGameData[[#This Row],[PointRank]]/100+PlayerGameData[[#This Row],[BLKOrder]],PlayerGameData[[#This Row],[BLKOrder]])</f>
        <v>1037.25</v>
      </c>
      <c r="AZ714" s="8">
        <f ca="1">RANK(PlayerGameData[[#This Row],[BLKTieBreak]],PlayerGameData[BLKTieBreak],1)</f>
        <v>625</v>
      </c>
      <c r="BA714" s="11">
        <f ca="1">IFERROR(IF(PlayerGameData[[#This Row],[FGA]]&gt;$AA$5,PlayerGameData[[#This Row],[FG%*]],PlayerGameData[[#This Row],[FG%*]]*-1),-2)</f>
        <v>-2</v>
      </c>
      <c r="BB714" s="8">
        <f ca="1">RANK(PlayerGameData[[#This Row],[EligFG]],PlayerGameData[EligFG],0)+PlayerGameData[[#This Row],[VisibleOrder]]</f>
        <v>1214</v>
      </c>
      <c r="BC714" s="8">
        <f ca="1">IF(COUNTIF(PlayerGameData[EligFGOrder],PlayerGameData[[#This Row],[EligFGOrder]])&gt;1,PlayerGameData[[#This Row],[PointRank]]/100+PlayerGameData[[#This Row],[EligFGOrder]],PlayerGameData[[#This Row],[EligFGOrder]])</f>
        <v>1220.25</v>
      </c>
      <c r="BD714" s="8">
        <f ca="1">RANK(PlayerGameData[[#This Row],[EligFGTieBreak]],PlayerGameData[EligFGTieBreak],1)</f>
        <v>625</v>
      </c>
      <c r="BE714" s="8" t="str">
        <f>Roster!$D$3</f>
        <v>East</v>
      </c>
      <c r="BF714" s="8" t="str">
        <f>Roster!$D$2</f>
        <v>Northeast</v>
      </c>
      <c r="BG714" s="8" t="str">
        <f>Roster!$D$4</f>
        <v>North</v>
      </c>
      <c r="BH714" s="197">
        <f ca="1">IFERROR(VLOOKUP(CONCATENATE(PlayerGameData[[#This Row],[Opponent]]," ",MONTH(PlayerGameData[[#This Row],[Date]]),"/",DAY(PlayerGameData[[#This Row],[Date]]),"/",YEAR(PlayerGameData[[#This Row],[Date]])),Table35[],2,FALSE),0)</f>
        <v>0</v>
      </c>
      <c r="BI714" s="197">
        <f ca="1">IF(PlayerGameData[[#This Row],[Visible]]=1,1,1000)</f>
        <v>1000</v>
      </c>
      <c r="BJ714" s="197" t="e">
        <f ca="1">_xlfn.MAXIFS(TeamGameData[Win],TeamGameData[School, Opponent,Game'#],PlayerGameData[[#This Row],[School, Opponent,Game'#]])</f>
        <v>#NAME?</v>
      </c>
      <c r="BK714" s="197" t="e">
        <f ca="1">_xlfn.MAXIFS(TeamGameData[Loss],TeamGameData[School, Opponent,Game'#],PlayerGameData[[#This Row],[School, Opponent,Game'#]])</f>
        <v>#NAME?</v>
      </c>
    </row>
    <row r="715" spans="1:63" x14ac:dyDescent="0.25">
      <c r="A715" s="8" t="str">
        <f t="shared" ca="1" si="363"/>
        <v>Ryan Baker, 35</v>
      </c>
      <c r="B715" s="8" t="str">
        <f>Roster!$B$1</f>
        <v>Upton</v>
      </c>
      <c r="C715" s="8">
        <f t="shared" ca="1" si="351"/>
        <v>0</v>
      </c>
      <c r="D715" s="10">
        <f t="shared" ca="1" si="352"/>
        <v>0</v>
      </c>
      <c r="E715" s="8">
        <f t="shared" ca="1" si="353"/>
        <v>0</v>
      </c>
      <c r="F715" s="8">
        <f t="shared" ca="1" si="354"/>
        <v>0</v>
      </c>
      <c r="G715" s="8">
        <f t="shared" ca="1" si="355"/>
        <v>0</v>
      </c>
      <c r="H715" s="8">
        <f t="shared" ca="1" si="356"/>
        <v>0</v>
      </c>
      <c r="I715" s="8">
        <f t="shared" ca="1" si="357"/>
        <v>0</v>
      </c>
      <c r="J715" s="8">
        <f t="shared" ca="1" si="358"/>
        <v>0</v>
      </c>
      <c r="K715" s="8">
        <f t="shared" ca="1" si="359"/>
        <v>0</v>
      </c>
      <c r="L715" s="8">
        <f t="shared" ca="1" si="364"/>
        <v>0</v>
      </c>
      <c r="M715" s="8">
        <f t="shared" ca="1" si="365"/>
        <v>0</v>
      </c>
      <c r="N715" s="8">
        <f t="shared" ca="1" si="366"/>
        <v>0</v>
      </c>
      <c r="O715" s="8">
        <f t="shared" ca="1" si="367"/>
        <v>0</v>
      </c>
      <c r="P715" s="8">
        <f t="shared" ca="1" si="368"/>
        <v>0</v>
      </c>
      <c r="Q715" s="8">
        <f t="shared" ca="1" si="369"/>
        <v>0</v>
      </c>
      <c r="R715" s="8">
        <f t="shared" ca="1" si="370"/>
        <v>0</v>
      </c>
      <c r="S715" s="8">
        <f t="shared" ca="1" si="371"/>
        <v>0</v>
      </c>
      <c r="T715" s="8">
        <f t="shared" ca="1" si="372"/>
        <v>0</v>
      </c>
      <c r="U715" s="8">
        <f t="shared" ca="1" si="373"/>
        <v>0</v>
      </c>
      <c r="V715" s="8">
        <f t="shared" ca="1" si="374"/>
        <v>0</v>
      </c>
      <c r="W715" s="11" t="str">
        <f t="shared" ca="1" si="375"/>
        <v/>
      </c>
      <c r="X715" s="11" t="str">
        <f t="shared" ca="1" si="376"/>
        <v/>
      </c>
      <c r="Y715" s="11" t="str">
        <f t="shared" ca="1" si="377"/>
        <v/>
      </c>
      <c r="Z715" s="11" t="str">
        <f t="shared" ca="1" si="378"/>
        <v/>
      </c>
      <c r="AA715" s="11" t="str">
        <f t="shared" ca="1" si="379"/>
        <v/>
      </c>
      <c r="AB715" s="47">
        <f ca="1">PlayerGameData[[#This Row],[3FGA]]+PlayerGameData[[#This Row],[2FGA]]</f>
        <v>0</v>
      </c>
      <c r="AC715" s="47">
        <f ca="1">PlayerGameData[[#This Row],[OFF REB]]+PlayerGameData[[#This Row],[DEF REB]]</f>
        <v>0</v>
      </c>
      <c r="AD715" s="8">
        <f t="shared" si="360"/>
        <v>30</v>
      </c>
      <c r="AE715" s="8" t="str">
        <f t="shared" ca="1" si="361"/>
        <v>Ryan Baker, 35 - 0 1/0/1900</v>
      </c>
      <c r="AF715" s="8" t="str">
        <f t="shared" ca="1" si="380"/>
        <v/>
      </c>
      <c r="AG715" s="8" t="str">
        <f ca="1">IFERROR(IF(C715=0,"",IF(AND(VLOOKUP(PlayerGameData[[#This Row],[Opponent]],WYTeamInfo,2,FALSE)=Roster!$D$1,VLOOKUP(PlayerGameData[[#This Row],[Opponent]],WYTeamInfo,3,FALSE)=Roster!$D$2),"SR","")),"")</f>
        <v/>
      </c>
      <c r="AH715" s="8" t="str">
        <f>CONCATENATE(Roster!$D$1," ",Roster!$D$5)</f>
        <v>1A BB</v>
      </c>
      <c r="AI715" s="8" t="str">
        <f t="shared" ca="1" si="362"/>
        <v>Blank</v>
      </c>
      <c r="AJ715" s="8">
        <f ca="1">IFERROR(VLOOKUP(PlayerGameData[[#This Row],[School, Opponent,Game'#]],Table3[],2,FALSE),0)</f>
        <v>0</v>
      </c>
      <c r="AK715" s="8">
        <f ca="1">IF(PlayerGameData[[#This Row],[Visible]]=1,1,1000)</f>
        <v>1000</v>
      </c>
      <c r="AL715" s="8">
        <f ca="1">RANK(PlayerGameData[[#This Row],[TL PTS]],PlayerGameData[TL PTS],0)+PlayerGameData[[#This Row],[VisibleOrder]]</f>
        <v>1184</v>
      </c>
      <c r="AM715" s="8">
        <f ca="1">IF(COUNTIF(PlayerGameData[PointOrder],PlayerGameData[[#This Row],[PointOrder]])&gt;1,RANK(PlayerGameData[[#This Row],[FGA]],PlayerGameData[FGA],0)/100,0)+PlayerGameData[[#This Row],[PointOrder]]</f>
        <v>1186.1400000000001</v>
      </c>
      <c r="AN715" s="8">
        <f ca="1">RANK(PlayerGameData[[#This Row],[PointTieBreak]],PlayerGameData[PointTieBreak],1)</f>
        <v>625</v>
      </c>
      <c r="AO715" s="8">
        <f ca="1">RANK(PlayerGameData[[#This Row],[REB]],PlayerGameData[REB],0)+PlayerGameData[[#This Row],[VisibleOrder]]</f>
        <v>1191</v>
      </c>
      <c r="AP715" s="8">
        <f ca="1">IF(COUNTIF(PlayerGameData[REBOrder],PlayerGameData[[#This Row],[REBOrder]])&gt;1,PlayerGameData[[#This Row],[PointRank]]/100+PlayerGameData[[#This Row],[REBOrder]],PlayerGameData[[#This Row],[REBOrder]])</f>
        <v>1197.25</v>
      </c>
      <c r="AQ715" s="8">
        <f ca="1">RANK(PlayerGameData[[#This Row],[REBTieBreak]],PlayerGameData[REBTieBreak],1)</f>
        <v>625</v>
      </c>
      <c r="AR715" s="8">
        <f ca="1">RANK(PlayerGameData[[#This Row],[AST]],PlayerGameData[AST],0)+PlayerGameData[[#This Row],[VisibleOrder]]</f>
        <v>1157</v>
      </c>
      <c r="AS715" s="8">
        <f ca="1">IF(COUNTIF(PlayerGameData[ASTOrder],PlayerGameData[[#This Row],[ASTOrder]])&gt;1,PlayerGameData[[#This Row],[PointRank]]/100+PlayerGameData[[#This Row],[ASTOrder]],PlayerGameData[[#This Row],[ASTOrder]])</f>
        <v>1163.25</v>
      </c>
      <c r="AT715" s="8">
        <f ca="1">RANK(PlayerGameData[[#This Row],[ASTTieBreak]],PlayerGameData[ASTTieBreak],1)</f>
        <v>625</v>
      </c>
      <c r="AU715" s="8">
        <f ca="1">RANK(PlayerGameData[[#This Row],[STL]],PlayerGameData[STL],0)+PlayerGameData[[#This Row],[VisibleOrder]]</f>
        <v>1142</v>
      </c>
      <c r="AV715" s="8">
        <f ca="1">IF(COUNTIF(PlayerGameData[STLOrder],PlayerGameData[[#This Row],[STLOrder]])&gt;1,PlayerGameData[[#This Row],[PointRank]]/100+PlayerGameData[[#This Row],[STLOrder]],PlayerGameData[[#This Row],[STLOrder]])</f>
        <v>1148.25</v>
      </c>
      <c r="AW715" s="8">
        <f ca="1">RANK(PlayerGameData[[#This Row],[STLTieBreak]],PlayerGameData[STLTieBreak],1)</f>
        <v>625</v>
      </c>
      <c r="AX715" s="8">
        <f ca="1">RANK(PlayerGameData[[#This Row],[BLK]],PlayerGameData[BLK],0)+PlayerGameData[[#This Row],[VisibleOrder]]</f>
        <v>1031</v>
      </c>
      <c r="AY715" s="8">
        <f ca="1">IF(COUNTIF(PlayerGameData[BLKOrder],PlayerGameData[[#This Row],[BLKOrder]])&gt;1,PlayerGameData[[#This Row],[PointRank]]/100+PlayerGameData[[#This Row],[BLKOrder]],PlayerGameData[[#This Row],[BLKOrder]])</f>
        <v>1037.25</v>
      </c>
      <c r="AZ715" s="8">
        <f ca="1">RANK(PlayerGameData[[#This Row],[BLKTieBreak]],PlayerGameData[BLKTieBreak],1)</f>
        <v>625</v>
      </c>
      <c r="BA715" s="11">
        <f ca="1">IFERROR(IF(PlayerGameData[[#This Row],[FGA]]&gt;$AA$5,PlayerGameData[[#This Row],[FG%*]],PlayerGameData[[#This Row],[FG%*]]*-1),-2)</f>
        <v>-2</v>
      </c>
      <c r="BB715" s="8">
        <f ca="1">RANK(PlayerGameData[[#This Row],[EligFG]],PlayerGameData[EligFG],0)+PlayerGameData[[#This Row],[VisibleOrder]]</f>
        <v>1214</v>
      </c>
      <c r="BC715" s="8">
        <f ca="1">IF(COUNTIF(PlayerGameData[EligFGOrder],PlayerGameData[[#This Row],[EligFGOrder]])&gt;1,PlayerGameData[[#This Row],[PointRank]]/100+PlayerGameData[[#This Row],[EligFGOrder]],PlayerGameData[[#This Row],[EligFGOrder]])</f>
        <v>1220.25</v>
      </c>
      <c r="BD715" s="8">
        <f ca="1">RANK(PlayerGameData[[#This Row],[EligFGTieBreak]],PlayerGameData[EligFGTieBreak],1)</f>
        <v>625</v>
      </c>
      <c r="BE715" s="8" t="str">
        <f>Roster!$D$3</f>
        <v>East</v>
      </c>
      <c r="BF715" s="8" t="str">
        <f>Roster!$D$2</f>
        <v>Northeast</v>
      </c>
      <c r="BG715" s="8" t="str">
        <f>Roster!$D$4</f>
        <v>North</v>
      </c>
      <c r="BH715" s="197">
        <f ca="1">IFERROR(VLOOKUP(CONCATENATE(PlayerGameData[[#This Row],[Opponent]]," ",MONTH(PlayerGameData[[#This Row],[Date]]),"/",DAY(PlayerGameData[[#This Row],[Date]]),"/",YEAR(PlayerGameData[[#This Row],[Date]])),Table35[],2,FALSE),0)</f>
        <v>0</v>
      </c>
      <c r="BI715" s="197">
        <f ca="1">IF(PlayerGameData[[#This Row],[Visible]]=1,1,1000)</f>
        <v>1000</v>
      </c>
      <c r="BJ715" s="197" t="e">
        <f ca="1">_xlfn.MAXIFS(TeamGameData[Win],TeamGameData[School, Opponent,Game'#],PlayerGameData[[#This Row],[School, Opponent,Game'#]])</f>
        <v>#NAME?</v>
      </c>
      <c r="BK715" s="197" t="e">
        <f ca="1">_xlfn.MAXIFS(TeamGameData[Loss],TeamGameData[School, Opponent,Game'#],PlayerGameData[[#This Row],[School, Opponent,Game'#]])</f>
        <v>#NAME?</v>
      </c>
    </row>
    <row r="716" spans="1:63" x14ac:dyDescent="0.25">
      <c r="A716" s="8" t="str">
        <f t="shared" ca="1" si="363"/>
        <v xml:space="preserve">, </v>
      </c>
      <c r="B716" s="8" t="str">
        <f>Roster!$B$1</f>
        <v>Upton</v>
      </c>
      <c r="C716" s="8">
        <f t="shared" ca="1" si="351"/>
        <v>0</v>
      </c>
      <c r="D716" s="10">
        <f t="shared" ca="1" si="352"/>
        <v>0</v>
      </c>
      <c r="E716" s="8">
        <f t="shared" ca="1" si="353"/>
        <v>0</v>
      </c>
      <c r="F716" s="8">
        <f t="shared" ca="1" si="354"/>
        <v>0</v>
      </c>
      <c r="G716" s="8">
        <f t="shared" ca="1" si="355"/>
        <v>0</v>
      </c>
      <c r="H716" s="8">
        <f t="shared" ca="1" si="356"/>
        <v>0</v>
      </c>
      <c r="I716" s="8">
        <f t="shared" ca="1" si="357"/>
        <v>0</v>
      </c>
      <c r="J716" s="8">
        <f t="shared" ca="1" si="358"/>
        <v>0</v>
      </c>
      <c r="K716" s="8">
        <f t="shared" ca="1" si="359"/>
        <v>0</v>
      </c>
      <c r="L716" s="8">
        <f t="shared" ca="1" si="364"/>
        <v>0</v>
      </c>
      <c r="M716" s="8">
        <f t="shared" ca="1" si="365"/>
        <v>0</v>
      </c>
      <c r="N716" s="8">
        <f t="shared" ca="1" si="366"/>
        <v>0</v>
      </c>
      <c r="O716" s="8">
        <f t="shared" ca="1" si="367"/>
        <v>0</v>
      </c>
      <c r="P716" s="8">
        <f t="shared" ca="1" si="368"/>
        <v>0</v>
      </c>
      <c r="Q716" s="8">
        <f t="shared" ca="1" si="369"/>
        <v>0</v>
      </c>
      <c r="R716" s="8">
        <f t="shared" ca="1" si="370"/>
        <v>0</v>
      </c>
      <c r="S716" s="8">
        <f t="shared" ca="1" si="371"/>
        <v>0</v>
      </c>
      <c r="T716" s="8">
        <f t="shared" ca="1" si="372"/>
        <v>0</v>
      </c>
      <c r="U716" s="8">
        <f t="shared" ca="1" si="373"/>
        <v>0</v>
      </c>
      <c r="V716" s="8">
        <f t="shared" ca="1" si="374"/>
        <v>0</v>
      </c>
      <c r="W716" s="11" t="str">
        <f t="shared" ca="1" si="375"/>
        <v/>
      </c>
      <c r="X716" s="11" t="str">
        <f t="shared" ca="1" si="376"/>
        <v/>
      </c>
      <c r="Y716" s="11" t="str">
        <f t="shared" ca="1" si="377"/>
        <v/>
      </c>
      <c r="Z716" s="11" t="str">
        <f t="shared" ca="1" si="378"/>
        <v/>
      </c>
      <c r="AA716" s="11" t="str">
        <f t="shared" ca="1" si="379"/>
        <v/>
      </c>
      <c r="AB716" s="47">
        <f ca="1">PlayerGameData[[#This Row],[3FGA]]+PlayerGameData[[#This Row],[2FGA]]</f>
        <v>0</v>
      </c>
      <c r="AC716" s="47">
        <f ca="1">PlayerGameData[[#This Row],[OFF REB]]+PlayerGameData[[#This Row],[DEF REB]]</f>
        <v>0</v>
      </c>
      <c r="AD716" s="8">
        <f t="shared" si="360"/>
        <v>30</v>
      </c>
      <c r="AE716" s="8" t="str">
        <f t="shared" ca="1" si="361"/>
        <v>,  - 0 1/0/1900</v>
      </c>
      <c r="AF716" s="8" t="str">
        <f t="shared" ca="1" si="380"/>
        <v/>
      </c>
      <c r="AG716" s="8" t="str">
        <f ca="1">IFERROR(IF(C716=0,"",IF(AND(VLOOKUP(PlayerGameData[[#This Row],[Opponent]],WYTeamInfo,2,FALSE)=Roster!$D$1,VLOOKUP(PlayerGameData[[#This Row],[Opponent]],WYTeamInfo,3,FALSE)=Roster!$D$2),"SR","")),"")</f>
        <v/>
      </c>
      <c r="AH716" s="8" t="str">
        <f>CONCATENATE(Roster!$D$1," ",Roster!$D$5)</f>
        <v>1A BB</v>
      </c>
      <c r="AI716" s="8" t="str">
        <f t="shared" ca="1" si="362"/>
        <v>Blank</v>
      </c>
      <c r="AJ716" s="8">
        <f ca="1">IFERROR(VLOOKUP(PlayerGameData[[#This Row],[School, Opponent,Game'#]],Table3[],2,FALSE),0)</f>
        <v>0</v>
      </c>
      <c r="AK716" s="8">
        <f ca="1">IF(PlayerGameData[[#This Row],[Visible]]=1,1,1000)</f>
        <v>1000</v>
      </c>
      <c r="AL716" s="8">
        <f ca="1">RANK(PlayerGameData[[#This Row],[TL PTS]],PlayerGameData[TL PTS],0)+PlayerGameData[[#This Row],[VisibleOrder]]</f>
        <v>1184</v>
      </c>
      <c r="AM716" s="8">
        <f ca="1">IF(COUNTIF(PlayerGameData[PointOrder],PlayerGameData[[#This Row],[PointOrder]])&gt;1,RANK(PlayerGameData[[#This Row],[FGA]],PlayerGameData[FGA],0)/100,0)+PlayerGameData[[#This Row],[PointOrder]]</f>
        <v>1186.1400000000001</v>
      </c>
      <c r="AN716" s="8">
        <f ca="1">RANK(PlayerGameData[[#This Row],[PointTieBreak]],PlayerGameData[PointTieBreak],1)</f>
        <v>625</v>
      </c>
      <c r="AO716" s="8">
        <f ca="1">RANK(PlayerGameData[[#This Row],[REB]],PlayerGameData[REB],0)+PlayerGameData[[#This Row],[VisibleOrder]]</f>
        <v>1191</v>
      </c>
      <c r="AP716" s="8">
        <f ca="1">IF(COUNTIF(PlayerGameData[REBOrder],PlayerGameData[[#This Row],[REBOrder]])&gt;1,PlayerGameData[[#This Row],[PointRank]]/100+PlayerGameData[[#This Row],[REBOrder]],PlayerGameData[[#This Row],[REBOrder]])</f>
        <v>1197.25</v>
      </c>
      <c r="AQ716" s="8">
        <f ca="1">RANK(PlayerGameData[[#This Row],[REBTieBreak]],PlayerGameData[REBTieBreak],1)</f>
        <v>625</v>
      </c>
      <c r="AR716" s="8">
        <f ca="1">RANK(PlayerGameData[[#This Row],[AST]],PlayerGameData[AST],0)+PlayerGameData[[#This Row],[VisibleOrder]]</f>
        <v>1157</v>
      </c>
      <c r="AS716" s="8">
        <f ca="1">IF(COUNTIF(PlayerGameData[ASTOrder],PlayerGameData[[#This Row],[ASTOrder]])&gt;1,PlayerGameData[[#This Row],[PointRank]]/100+PlayerGameData[[#This Row],[ASTOrder]],PlayerGameData[[#This Row],[ASTOrder]])</f>
        <v>1163.25</v>
      </c>
      <c r="AT716" s="8">
        <f ca="1">RANK(PlayerGameData[[#This Row],[ASTTieBreak]],PlayerGameData[ASTTieBreak],1)</f>
        <v>625</v>
      </c>
      <c r="AU716" s="8">
        <f ca="1">RANK(PlayerGameData[[#This Row],[STL]],PlayerGameData[STL],0)+PlayerGameData[[#This Row],[VisibleOrder]]</f>
        <v>1142</v>
      </c>
      <c r="AV716" s="8">
        <f ca="1">IF(COUNTIF(PlayerGameData[STLOrder],PlayerGameData[[#This Row],[STLOrder]])&gt;1,PlayerGameData[[#This Row],[PointRank]]/100+PlayerGameData[[#This Row],[STLOrder]],PlayerGameData[[#This Row],[STLOrder]])</f>
        <v>1148.25</v>
      </c>
      <c r="AW716" s="8">
        <f ca="1">RANK(PlayerGameData[[#This Row],[STLTieBreak]],PlayerGameData[STLTieBreak],1)</f>
        <v>625</v>
      </c>
      <c r="AX716" s="8">
        <f ca="1">RANK(PlayerGameData[[#This Row],[BLK]],PlayerGameData[BLK],0)+PlayerGameData[[#This Row],[VisibleOrder]]</f>
        <v>1031</v>
      </c>
      <c r="AY716" s="8">
        <f ca="1">IF(COUNTIF(PlayerGameData[BLKOrder],PlayerGameData[[#This Row],[BLKOrder]])&gt;1,PlayerGameData[[#This Row],[PointRank]]/100+PlayerGameData[[#This Row],[BLKOrder]],PlayerGameData[[#This Row],[BLKOrder]])</f>
        <v>1037.25</v>
      </c>
      <c r="AZ716" s="8">
        <f ca="1">RANK(PlayerGameData[[#This Row],[BLKTieBreak]],PlayerGameData[BLKTieBreak],1)</f>
        <v>625</v>
      </c>
      <c r="BA716" s="11">
        <f ca="1">IFERROR(IF(PlayerGameData[[#This Row],[FGA]]&gt;$AA$5,PlayerGameData[[#This Row],[FG%*]],PlayerGameData[[#This Row],[FG%*]]*-1),-2)</f>
        <v>-2</v>
      </c>
      <c r="BB716" s="8">
        <f ca="1">RANK(PlayerGameData[[#This Row],[EligFG]],PlayerGameData[EligFG],0)+PlayerGameData[[#This Row],[VisibleOrder]]</f>
        <v>1214</v>
      </c>
      <c r="BC716" s="8">
        <f ca="1">IF(COUNTIF(PlayerGameData[EligFGOrder],PlayerGameData[[#This Row],[EligFGOrder]])&gt;1,PlayerGameData[[#This Row],[PointRank]]/100+PlayerGameData[[#This Row],[EligFGOrder]],PlayerGameData[[#This Row],[EligFGOrder]])</f>
        <v>1220.25</v>
      </c>
      <c r="BD716" s="8">
        <f ca="1">RANK(PlayerGameData[[#This Row],[EligFGTieBreak]],PlayerGameData[EligFGTieBreak],1)</f>
        <v>625</v>
      </c>
      <c r="BE716" s="8" t="str">
        <f>Roster!$D$3</f>
        <v>East</v>
      </c>
      <c r="BF716" s="8" t="str">
        <f>Roster!$D$2</f>
        <v>Northeast</v>
      </c>
      <c r="BG716" s="8" t="str">
        <f>Roster!$D$4</f>
        <v>North</v>
      </c>
      <c r="BH716" s="197">
        <f ca="1">IFERROR(VLOOKUP(CONCATENATE(PlayerGameData[[#This Row],[Opponent]]," ",MONTH(PlayerGameData[[#This Row],[Date]]),"/",DAY(PlayerGameData[[#This Row],[Date]]),"/",YEAR(PlayerGameData[[#This Row],[Date]])),Table35[],2,FALSE),0)</f>
        <v>0</v>
      </c>
      <c r="BI716" s="197">
        <f ca="1">IF(PlayerGameData[[#This Row],[Visible]]=1,1,1000)</f>
        <v>1000</v>
      </c>
      <c r="BJ716" s="197" t="e">
        <f ca="1">_xlfn.MAXIFS(TeamGameData[Win],TeamGameData[School, Opponent,Game'#],PlayerGameData[[#This Row],[School, Opponent,Game'#]])</f>
        <v>#NAME?</v>
      </c>
      <c r="BK716" s="197" t="e">
        <f ca="1">_xlfn.MAXIFS(TeamGameData[Loss],TeamGameData[School, Opponent,Game'#],PlayerGameData[[#This Row],[School, Opponent,Game'#]])</f>
        <v>#NAME?</v>
      </c>
    </row>
    <row r="717" spans="1:63" x14ac:dyDescent="0.25">
      <c r="A717" s="8" t="str">
        <f t="shared" ca="1" si="363"/>
        <v xml:space="preserve">, </v>
      </c>
      <c r="B717" s="8" t="str">
        <f>Roster!$B$1</f>
        <v>Upton</v>
      </c>
      <c r="C717" s="8">
        <f t="shared" ca="1" si="351"/>
        <v>0</v>
      </c>
      <c r="D717" s="10">
        <f t="shared" ca="1" si="352"/>
        <v>0</v>
      </c>
      <c r="E717" s="8">
        <f t="shared" ca="1" si="353"/>
        <v>0</v>
      </c>
      <c r="F717" s="8">
        <f t="shared" ca="1" si="354"/>
        <v>0</v>
      </c>
      <c r="G717" s="8">
        <f t="shared" ca="1" si="355"/>
        <v>0</v>
      </c>
      <c r="H717" s="8">
        <f t="shared" ca="1" si="356"/>
        <v>0</v>
      </c>
      <c r="I717" s="8">
        <f t="shared" ca="1" si="357"/>
        <v>0</v>
      </c>
      <c r="J717" s="8">
        <f t="shared" ca="1" si="358"/>
        <v>0</v>
      </c>
      <c r="K717" s="8">
        <f t="shared" ca="1" si="359"/>
        <v>0</v>
      </c>
      <c r="L717" s="8">
        <f t="shared" ca="1" si="364"/>
        <v>0</v>
      </c>
      <c r="M717" s="8">
        <f t="shared" ca="1" si="365"/>
        <v>0</v>
      </c>
      <c r="N717" s="8">
        <f t="shared" ca="1" si="366"/>
        <v>0</v>
      </c>
      <c r="O717" s="8">
        <f t="shared" ca="1" si="367"/>
        <v>0</v>
      </c>
      <c r="P717" s="8">
        <f t="shared" ca="1" si="368"/>
        <v>0</v>
      </c>
      <c r="Q717" s="8">
        <f t="shared" ca="1" si="369"/>
        <v>0</v>
      </c>
      <c r="R717" s="8">
        <f t="shared" ca="1" si="370"/>
        <v>0</v>
      </c>
      <c r="S717" s="8">
        <f t="shared" ca="1" si="371"/>
        <v>0</v>
      </c>
      <c r="T717" s="8">
        <f t="shared" ca="1" si="372"/>
        <v>0</v>
      </c>
      <c r="U717" s="8">
        <f t="shared" ca="1" si="373"/>
        <v>0</v>
      </c>
      <c r="V717" s="8">
        <f t="shared" ca="1" si="374"/>
        <v>0</v>
      </c>
      <c r="W717" s="11" t="str">
        <f t="shared" ca="1" si="375"/>
        <v/>
      </c>
      <c r="X717" s="11" t="str">
        <f t="shared" ca="1" si="376"/>
        <v/>
      </c>
      <c r="Y717" s="11" t="str">
        <f t="shared" ca="1" si="377"/>
        <v/>
      </c>
      <c r="Z717" s="11" t="str">
        <f t="shared" ca="1" si="378"/>
        <v/>
      </c>
      <c r="AA717" s="11" t="str">
        <f t="shared" ca="1" si="379"/>
        <v/>
      </c>
      <c r="AB717" s="47">
        <f ca="1">PlayerGameData[[#This Row],[3FGA]]+PlayerGameData[[#This Row],[2FGA]]</f>
        <v>0</v>
      </c>
      <c r="AC717" s="47">
        <f ca="1">PlayerGameData[[#This Row],[OFF REB]]+PlayerGameData[[#This Row],[DEF REB]]</f>
        <v>0</v>
      </c>
      <c r="AD717" s="8">
        <f t="shared" si="360"/>
        <v>30</v>
      </c>
      <c r="AE717" s="8" t="str">
        <f t="shared" ca="1" si="361"/>
        <v>,  - 0 1/0/1900</v>
      </c>
      <c r="AF717" s="8" t="str">
        <f t="shared" ca="1" si="380"/>
        <v/>
      </c>
      <c r="AG717" s="8" t="str">
        <f ca="1">IFERROR(IF(C717=0,"",IF(AND(VLOOKUP(PlayerGameData[[#This Row],[Opponent]],WYTeamInfo,2,FALSE)=Roster!$D$1,VLOOKUP(PlayerGameData[[#This Row],[Opponent]],WYTeamInfo,3,FALSE)=Roster!$D$2),"SR","")),"")</f>
        <v/>
      </c>
      <c r="AH717" s="8" t="str">
        <f>CONCATENATE(Roster!$D$1," ",Roster!$D$5)</f>
        <v>1A BB</v>
      </c>
      <c r="AI717" s="8" t="str">
        <f t="shared" ca="1" si="362"/>
        <v>Blank</v>
      </c>
      <c r="AJ717" s="8">
        <f ca="1">IFERROR(VLOOKUP(PlayerGameData[[#This Row],[School, Opponent,Game'#]],Table3[],2,FALSE),0)</f>
        <v>0</v>
      </c>
      <c r="AK717" s="8">
        <f ca="1">IF(PlayerGameData[[#This Row],[Visible]]=1,1,1000)</f>
        <v>1000</v>
      </c>
      <c r="AL717" s="8">
        <f ca="1">RANK(PlayerGameData[[#This Row],[TL PTS]],PlayerGameData[TL PTS],0)+PlayerGameData[[#This Row],[VisibleOrder]]</f>
        <v>1184</v>
      </c>
      <c r="AM717" s="8">
        <f ca="1">IF(COUNTIF(PlayerGameData[PointOrder],PlayerGameData[[#This Row],[PointOrder]])&gt;1,RANK(PlayerGameData[[#This Row],[FGA]],PlayerGameData[FGA],0)/100,0)+PlayerGameData[[#This Row],[PointOrder]]</f>
        <v>1186.1400000000001</v>
      </c>
      <c r="AN717" s="8">
        <f ca="1">RANK(PlayerGameData[[#This Row],[PointTieBreak]],PlayerGameData[PointTieBreak],1)</f>
        <v>625</v>
      </c>
      <c r="AO717" s="8">
        <f ca="1">RANK(PlayerGameData[[#This Row],[REB]],PlayerGameData[REB],0)+PlayerGameData[[#This Row],[VisibleOrder]]</f>
        <v>1191</v>
      </c>
      <c r="AP717" s="8">
        <f ca="1">IF(COUNTIF(PlayerGameData[REBOrder],PlayerGameData[[#This Row],[REBOrder]])&gt;1,PlayerGameData[[#This Row],[PointRank]]/100+PlayerGameData[[#This Row],[REBOrder]],PlayerGameData[[#This Row],[REBOrder]])</f>
        <v>1197.25</v>
      </c>
      <c r="AQ717" s="8">
        <f ca="1">RANK(PlayerGameData[[#This Row],[REBTieBreak]],PlayerGameData[REBTieBreak],1)</f>
        <v>625</v>
      </c>
      <c r="AR717" s="8">
        <f ca="1">RANK(PlayerGameData[[#This Row],[AST]],PlayerGameData[AST],0)+PlayerGameData[[#This Row],[VisibleOrder]]</f>
        <v>1157</v>
      </c>
      <c r="AS717" s="8">
        <f ca="1">IF(COUNTIF(PlayerGameData[ASTOrder],PlayerGameData[[#This Row],[ASTOrder]])&gt;1,PlayerGameData[[#This Row],[PointRank]]/100+PlayerGameData[[#This Row],[ASTOrder]],PlayerGameData[[#This Row],[ASTOrder]])</f>
        <v>1163.25</v>
      </c>
      <c r="AT717" s="8">
        <f ca="1">RANK(PlayerGameData[[#This Row],[ASTTieBreak]],PlayerGameData[ASTTieBreak],1)</f>
        <v>625</v>
      </c>
      <c r="AU717" s="8">
        <f ca="1">RANK(PlayerGameData[[#This Row],[STL]],PlayerGameData[STL],0)+PlayerGameData[[#This Row],[VisibleOrder]]</f>
        <v>1142</v>
      </c>
      <c r="AV717" s="8">
        <f ca="1">IF(COUNTIF(PlayerGameData[STLOrder],PlayerGameData[[#This Row],[STLOrder]])&gt;1,PlayerGameData[[#This Row],[PointRank]]/100+PlayerGameData[[#This Row],[STLOrder]],PlayerGameData[[#This Row],[STLOrder]])</f>
        <v>1148.25</v>
      </c>
      <c r="AW717" s="8">
        <f ca="1">RANK(PlayerGameData[[#This Row],[STLTieBreak]],PlayerGameData[STLTieBreak],1)</f>
        <v>625</v>
      </c>
      <c r="AX717" s="8">
        <f ca="1">RANK(PlayerGameData[[#This Row],[BLK]],PlayerGameData[BLK],0)+PlayerGameData[[#This Row],[VisibleOrder]]</f>
        <v>1031</v>
      </c>
      <c r="AY717" s="8">
        <f ca="1">IF(COUNTIF(PlayerGameData[BLKOrder],PlayerGameData[[#This Row],[BLKOrder]])&gt;1,PlayerGameData[[#This Row],[PointRank]]/100+PlayerGameData[[#This Row],[BLKOrder]],PlayerGameData[[#This Row],[BLKOrder]])</f>
        <v>1037.25</v>
      </c>
      <c r="AZ717" s="8">
        <f ca="1">RANK(PlayerGameData[[#This Row],[BLKTieBreak]],PlayerGameData[BLKTieBreak],1)</f>
        <v>625</v>
      </c>
      <c r="BA717" s="11">
        <f ca="1">IFERROR(IF(PlayerGameData[[#This Row],[FGA]]&gt;$AA$5,PlayerGameData[[#This Row],[FG%*]],PlayerGameData[[#This Row],[FG%*]]*-1),-2)</f>
        <v>-2</v>
      </c>
      <c r="BB717" s="8">
        <f ca="1">RANK(PlayerGameData[[#This Row],[EligFG]],PlayerGameData[EligFG],0)+PlayerGameData[[#This Row],[VisibleOrder]]</f>
        <v>1214</v>
      </c>
      <c r="BC717" s="8">
        <f ca="1">IF(COUNTIF(PlayerGameData[EligFGOrder],PlayerGameData[[#This Row],[EligFGOrder]])&gt;1,PlayerGameData[[#This Row],[PointRank]]/100+PlayerGameData[[#This Row],[EligFGOrder]],PlayerGameData[[#This Row],[EligFGOrder]])</f>
        <v>1220.25</v>
      </c>
      <c r="BD717" s="8">
        <f ca="1">RANK(PlayerGameData[[#This Row],[EligFGTieBreak]],PlayerGameData[EligFGTieBreak],1)</f>
        <v>625</v>
      </c>
      <c r="BE717" s="8" t="str">
        <f>Roster!$D$3</f>
        <v>East</v>
      </c>
      <c r="BF717" s="8" t="str">
        <f>Roster!$D$2</f>
        <v>Northeast</v>
      </c>
      <c r="BG717" s="8" t="str">
        <f>Roster!$D$4</f>
        <v>North</v>
      </c>
      <c r="BH717" s="197">
        <f ca="1">IFERROR(VLOOKUP(CONCATENATE(PlayerGameData[[#This Row],[Opponent]]," ",MONTH(PlayerGameData[[#This Row],[Date]]),"/",DAY(PlayerGameData[[#This Row],[Date]]),"/",YEAR(PlayerGameData[[#This Row],[Date]])),Table35[],2,FALSE),0)</f>
        <v>0</v>
      </c>
      <c r="BI717" s="197">
        <f ca="1">IF(PlayerGameData[[#This Row],[Visible]]=1,1,1000)</f>
        <v>1000</v>
      </c>
      <c r="BJ717" s="197" t="e">
        <f ca="1">_xlfn.MAXIFS(TeamGameData[Win],TeamGameData[School, Opponent,Game'#],PlayerGameData[[#This Row],[School, Opponent,Game'#]])</f>
        <v>#NAME?</v>
      </c>
      <c r="BK717" s="197" t="e">
        <f ca="1">_xlfn.MAXIFS(TeamGameData[Loss],TeamGameData[School, Opponent,Game'#],PlayerGameData[[#This Row],[School, Opponent,Game'#]])</f>
        <v>#NAME?</v>
      </c>
    </row>
    <row r="718" spans="1:63" x14ac:dyDescent="0.25">
      <c r="A718" s="8" t="str">
        <f t="shared" ca="1" si="363"/>
        <v xml:space="preserve">, </v>
      </c>
      <c r="B718" s="8" t="str">
        <f>Roster!$B$1</f>
        <v>Upton</v>
      </c>
      <c r="C718" s="8">
        <f t="shared" ca="1" si="351"/>
        <v>0</v>
      </c>
      <c r="D718" s="10">
        <f t="shared" ca="1" si="352"/>
        <v>0</v>
      </c>
      <c r="E718" s="8">
        <f t="shared" ca="1" si="353"/>
        <v>0</v>
      </c>
      <c r="F718" s="8">
        <f t="shared" ca="1" si="354"/>
        <v>0</v>
      </c>
      <c r="G718" s="8">
        <f t="shared" ca="1" si="355"/>
        <v>0</v>
      </c>
      <c r="H718" s="8">
        <f t="shared" ca="1" si="356"/>
        <v>0</v>
      </c>
      <c r="I718" s="8">
        <f t="shared" ca="1" si="357"/>
        <v>0</v>
      </c>
      <c r="J718" s="8">
        <f t="shared" ca="1" si="358"/>
        <v>0</v>
      </c>
      <c r="K718" s="8">
        <f t="shared" ca="1" si="359"/>
        <v>0</v>
      </c>
      <c r="L718" s="8">
        <f t="shared" ca="1" si="364"/>
        <v>0</v>
      </c>
      <c r="M718" s="8">
        <f t="shared" ca="1" si="365"/>
        <v>0</v>
      </c>
      <c r="N718" s="8">
        <f t="shared" ca="1" si="366"/>
        <v>0</v>
      </c>
      <c r="O718" s="8">
        <f t="shared" ca="1" si="367"/>
        <v>0</v>
      </c>
      <c r="P718" s="8">
        <f t="shared" ca="1" si="368"/>
        <v>0</v>
      </c>
      <c r="Q718" s="8">
        <f t="shared" ca="1" si="369"/>
        <v>0</v>
      </c>
      <c r="R718" s="8">
        <f t="shared" ca="1" si="370"/>
        <v>0</v>
      </c>
      <c r="S718" s="8">
        <f t="shared" ca="1" si="371"/>
        <v>0</v>
      </c>
      <c r="T718" s="8">
        <f t="shared" ca="1" si="372"/>
        <v>0</v>
      </c>
      <c r="U718" s="8">
        <f t="shared" ca="1" si="373"/>
        <v>0</v>
      </c>
      <c r="V718" s="8">
        <f t="shared" ca="1" si="374"/>
        <v>0</v>
      </c>
      <c r="W718" s="11" t="str">
        <f t="shared" ca="1" si="375"/>
        <v/>
      </c>
      <c r="X718" s="11" t="str">
        <f t="shared" ca="1" si="376"/>
        <v/>
      </c>
      <c r="Y718" s="11" t="str">
        <f t="shared" ca="1" si="377"/>
        <v/>
      </c>
      <c r="Z718" s="11" t="str">
        <f t="shared" ca="1" si="378"/>
        <v/>
      </c>
      <c r="AA718" s="11" t="str">
        <f t="shared" ca="1" si="379"/>
        <v/>
      </c>
      <c r="AB718" s="47">
        <f ca="1">PlayerGameData[[#This Row],[3FGA]]+PlayerGameData[[#This Row],[2FGA]]</f>
        <v>0</v>
      </c>
      <c r="AC718" s="47">
        <f ca="1">PlayerGameData[[#This Row],[OFF REB]]+PlayerGameData[[#This Row],[DEF REB]]</f>
        <v>0</v>
      </c>
      <c r="AD718" s="8">
        <f t="shared" si="360"/>
        <v>30</v>
      </c>
      <c r="AE718" s="8" t="str">
        <f t="shared" ca="1" si="361"/>
        <v>,  - 0 1/0/1900</v>
      </c>
      <c r="AF718" s="8" t="str">
        <f t="shared" ca="1" si="380"/>
        <v/>
      </c>
      <c r="AG718" s="8" t="str">
        <f ca="1">IFERROR(IF(C718=0,"",IF(AND(VLOOKUP(PlayerGameData[[#This Row],[Opponent]],WYTeamInfo,2,FALSE)=Roster!$D$1,VLOOKUP(PlayerGameData[[#This Row],[Opponent]],WYTeamInfo,3,FALSE)=Roster!$D$2),"SR","")),"")</f>
        <v/>
      </c>
      <c r="AH718" s="8" t="str">
        <f>CONCATENATE(Roster!$D$1," ",Roster!$D$5)</f>
        <v>1A BB</v>
      </c>
      <c r="AI718" s="8" t="str">
        <f t="shared" ca="1" si="362"/>
        <v>Blank</v>
      </c>
      <c r="AJ718" s="8">
        <f ca="1">IFERROR(VLOOKUP(PlayerGameData[[#This Row],[School, Opponent,Game'#]],Table3[],2,FALSE),0)</f>
        <v>0</v>
      </c>
      <c r="AK718" s="8">
        <f ca="1">IF(PlayerGameData[[#This Row],[Visible]]=1,1,1000)</f>
        <v>1000</v>
      </c>
      <c r="AL718" s="8">
        <f ca="1">RANK(PlayerGameData[[#This Row],[TL PTS]],PlayerGameData[TL PTS],0)+PlayerGameData[[#This Row],[VisibleOrder]]</f>
        <v>1184</v>
      </c>
      <c r="AM718" s="8">
        <f ca="1">IF(COUNTIF(PlayerGameData[PointOrder],PlayerGameData[[#This Row],[PointOrder]])&gt;1,RANK(PlayerGameData[[#This Row],[FGA]],PlayerGameData[FGA],0)/100,0)+PlayerGameData[[#This Row],[PointOrder]]</f>
        <v>1186.1400000000001</v>
      </c>
      <c r="AN718" s="8">
        <f ca="1">RANK(PlayerGameData[[#This Row],[PointTieBreak]],PlayerGameData[PointTieBreak],1)</f>
        <v>625</v>
      </c>
      <c r="AO718" s="8">
        <f ca="1">RANK(PlayerGameData[[#This Row],[REB]],PlayerGameData[REB],0)+PlayerGameData[[#This Row],[VisibleOrder]]</f>
        <v>1191</v>
      </c>
      <c r="AP718" s="8">
        <f ca="1">IF(COUNTIF(PlayerGameData[REBOrder],PlayerGameData[[#This Row],[REBOrder]])&gt;1,PlayerGameData[[#This Row],[PointRank]]/100+PlayerGameData[[#This Row],[REBOrder]],PlayerGameData[[#This Row],[REBOrder]])</f>
        <v>1197.25</v>
      </c>
      <c r="AQ718" s="8">
        <f ca="1">RANK(PlayerGameData[[#This Row],[REBTieBreak]],PlayerGameData[REBTieBreak],1)</f>
        <v>625</v>
      </c>
      <c r="AR718" s="8">
        <f ca="1">RANK(PlayerGameData[[#This Row],[AST]],PlayerGameData[AST],0)+PlayerGameData[[#This Row],[VisibleOrder]]</f>
        <v>1157</v>
      </c>
      <c r="AS718" s="8">
        <f ca="1">IF(COUNTIF(PlayerGameData[ASTOrder],PlayerGameData[[#This Row],[ASTOrder]])&gt;1,PlayerGameData[[#This Row],[PointRank]]/100+PlayerGameData[[#This Row],[ASTOrder]],PlayerGameData[[#This Row],[ASTOrder]])</f>
        <v>1163.25</v>
      </c>
      <c r="AT718" s="8">
        <f ca="1">RANK(PlayerGameData[[#This Row],[ASTTieBreak]],PlayerGameData[ASTTieBreak],1)</f>
        <v>625</v>
      </c>
      <c r="AU718" s="8">
        <f ca="1">RANK(PlayerGameData[[#This Row],[STL]],PlayerGameData[STL],0)+PlayerGameData[[#This Row],[VisibleOrder]]</f>
        <v>1142</v>
      </c>
      <c r="AV718" s="8">
        <f ca="1">IF(COUNTIF(PlayerGameData[STLOrder],PlayerGameData[[#This Row],[STLOrder]])&gt;1,PlayerGameData[[#This Row],[PointRank]]/100+PlayerGameData[[#This Row],[STLOrder]],PlayerGameData[[#This Row],[STLOrder]])</f>
        <v>1148.25</v>
      </c>
      <c r="AW718" s="8">
        <f ca="1">RANK(PlayerGameData[[#This Row],[STLTieBreak]],PlayerGameData[STLTieBreak],1)</f>
        <v>625</v>
      </c>
      <c r="AX718" s="8">
        <f ca="1">RANK(PlayerGameData[[#This Row],[BLK]],PlayerGameData[BLK],0)+PlayerGameData[[#This Row],[VisibleOrder]]</f>
        <v>1031</v>
      </c>
      <c r="AY718" s="8">
        <f ca="1">IF(COUNTIF(PlayerGameData[BLKOrder],PlayerGameData[[#This Row],[BLKOrder]])&gt;1,PlayerGameData[[#This Row],[PointRank]]/100+PlayerGameData[[#This Row],[BLKOrder]],PlayerGameData[[#This Row],[BLKOrder]])</f>
        <v>1037.25</v>
      </c>
      <c r="AZ718" s="8">
        <f ca="1">RANK(PlayerGameData[[#This Row],[BLKTieBreak]],PlayerGameData[BLKTieBreak],1)</f>
        <v>625</v>
      </c>
      <c r="BA718" s="11">
        <f ca="1">IFERROR(IF(PlayerGameData[[#This Row],[FGA]]&gt;$AA$5,PlayerGameData[[#This Row],[FG%*]],PlayerGameData[[#This Row],[FG%*]]*-1),-2)</f>
        <v>-2</v>
      </c>
      <c r="BB718" s="8">
        <f ca="1">RANK(PlayerGameData[[#This Row],[EligFG]],PlayerGameData[EligFG],0)+PlayerGameData[[#This Row],[VisibleOrder]]</f>
        <v>1214</v>
      </c>
      <c r="BC718" s="8">
        <f ca="1">IF(COUNTIF(PlayerGameData[EligFGOrder],PlayerGameData[[#This Row],[EligFGOrder]])&gt;1,PlayerGameData[[#This Row],[PointRank]]/100+PlayerGameData[[#This Row],[EligFGOrder]],PlayerGameData[[#This Row],[EligFGOrder]])</f>
        <v>1220.25</v>
      </c>
      <c r="BD718" s="8">
        <f ca="1">RANK(PlayerGameData[[#This Row],[EligFGTieBreak]],PlayerGameData[EligFGTieBreak],1)</f>
        <v>625</v>
      </c>
      <c r="BE718" s="8" t="str">
        <f>Roster!$D$3</f>
        <v>East</v>
      </c>
      <c r="BF718" s="8" t="str">
        <f>Roster!$D$2</f>
        <v>Northeast</v>
      </c>
      <c r="BG718" s="8" t="str">
        <f>Roster!$D$4</f>
        <v>North</v>
      </c>
      <c r="BH718" s="197">
        <f ca="1">IFERROR(VLOOKUP(CONCATENATE(PlayerGameData[[#This Row],[Opponent]]," ",MONTH(PlayerGameData[[#This Row],[Date]]),"/",DAY(PlayerGameData[[#This Row],[Date]]),"/",YEAR(PlayerGameData[[#This Row],[Date]])),Table35[],2,FALSE),0)</f>
        <v>0</v>
      </c>
      <c r="BI718" s="197">
        <f ca="1">IF(PlayerGameData[[#This Row],[Visible]]=1,1,1000)</f>
        <v>1000</v>
      </c>
      <c r="BJ718" s="197" t="e">
        <f ca="1">_xlfn.MAXIFS(TeamGameData[Win],TeamGameData[School, Opponent,Game'#],PlayerGameData[[#This Row],[School, Opponent,Game'#]])</f>
        <v>#NAME?</v>
      </c>
      <c r="BK718" s="197" t="e">
        <f ca="1">_xlfn.MAXIFS(TeamGameData[Loss],TeamGameData[School, Opponent,Game'#],PlayerGameData[[#This Row],[School, Opponent,Game'#]])</f>
        <v>#NAME?</v>
      </c>
    </row>
    <row r="719" spans="1:63" x14ac:dyDescent="0.25">
      <c r="A719" s="8" t="str">
        <f t="shared" ca="1" si="363"/>
        <v xml:space="preserve">, </v>
      </c>
      <c r="B719" s="8" t="str">
        <f>Roster!$B$1</f>
        <v>Upton</v>
      </c>
      <c r="C719" s="8">
        <f t="shared" ca="1" si="351"/>
        <v>0</v>
      </c>
      <c r="D719" s="10">
        <f t="shared" ca="1" si="352"/>
        <v>0</v>
      </c>
      <c r="E719" s="8">
        <f t="shared" ca="1" si="353"/>
        <v>0</v>
      </c>
      <c r="F719" s="8">
        <f t="shared" ca="1" si="354"/>
        <v>0</v>
      </c>
      <c r="G719" s="8">
        <f t="shared" ca="1" si="355"/>
        <v>0</v>
      </c>
      <c r="H719" s="8">
        <f t="shared" ca="1" si="356"/>
        <v>0</v>
      </c>
      <c r="I719" s="8">
        <f t="shared" ca="1" si="357"/>
        <v>0</v>
      </c>
      <c r="J719" s="8">
        <f t="shared" ca="1" si="358"/>
        <v>0</v>
      </c>
      <c r="K719" s="8">
        <f t="shared" ca="1" si="359"/>
        <v>0</v>
      </c>
      <c r="L719" s="8">
        <f t="shared" ca="1" si="364"/>
        <v>0</v>
      </c>
      <c r="M719" s="8">
        <f t="shared" ca="1" si="365"/>
        <v>0</v>
      </c>
      <c r="N719" s="8">
        <f t="shared" ca="1" si="366"/>
        <v>0</v>
      </c>
      <c r="O719" s="8">
        <f t="shared" ca="1" si="367"/>
        <v>0</v>
      </c>
      <c r="P719" s="8">
        <f t="shared" ca="1" si="368"/>
        <v>0</v>
      </c>
      <c r="Q719" s="8">
        <f t="shared" ca="1" si="369"/>
        <v>0</v>
      </c>
      <c r="R719" s="8">
        <f t="shared" ca="1" si="370"/>
        <v>0</v>
      </c>
      <c r="S719" s="8">
        <f t="shared" ca="1" si="371"/>
        <v>0</v>
      </c>
      <c r="T719" s="8">
        <f t="shared" ca="1" si="372"/>
        <v>0</v>
      </c>
      <c r="U719" s="8">
        <f t="shared" ca="1" si="373"/>
        <v>0</v>
      </c>
      <c r="V719" s="8">
        <f t="shared" ca="1" si="374"/>
        <v>0</v>
      </c>
      <c r="W719" s="11" t="str">
        <f t="shared" ca="1" si="375"/>
        <v/>
      </c>
      <c r="X719" s="11" t="str">
        <f t="shared" ca="1" si="376"/>
        <v/>
      </c>
      <c r="Y719" s="11" t="str">
        <f t="shared" ca="1" si="377"/>
        <v/>
      </c>
      <c r="Z719" s="11" t="str">
        <f t="shared" ca="1" si="378"/>
        <v/>
      </c>
      <c r="AA719" s="11" t="str">
        <f t="shared" ca="1" si="379"/>
        <v/>
      </c>
      <c r="AB719" s="47">
        <f ca="1">PlayerGameData[[#This Row],[3FGA]]+PlayerGameData[[#This Row],[2FGA]]</f>
        <v>0</v>
      </c>
      <c r="AC719" s="47">
        <f ca="1">PlayerGameData[[#This Row],[OFF REB]]+PlayerGameData[[#This Row],[DEF REB]]</f>
        <v>0</v>
      </c>
      <c r="AD719" s="8">
        <f t="shared" si="360"/>
        <v>30</v>
      </c>
      <c r="AE719" s="8" t="str">
        <f t="shared" ca="1" si="361"/>
        <v>,  - 0 1/0/1900</v>
      </c>
      <c r="AF719" s="8" t="str">
        <f t="shared" ca="1" si="380"/>
        <v/>
      </c>
      <c r="AG719" s="8" t="str">
        <f ca="1">IFERROR(IF(C719=0,"",IF(AND(VLOOKUP(PlayerGameData[[#This Row],[Opponent]],WYTeamInfo,2,FALSE)=Roster!$D$1,VLOOKUP(PlayerGameData[[#This Row],[Opponent]],WYTeamInfo,3,FALSE)=Roster!$D$2),"SR","")),"")</f>
        <v/>
      </c>
      <c r="AH719" s="8" t="str">
        <f>CONCATENATE(Roster!$D$1," ",Roster!$D$5)</f>
        <v>1A BB</v>
      </c>
      <c r="AI719" s="8" t="str">
        <f t="shared" ca="1" si="362"/>
        <v>Blank</v>
      </c>
      <c r="AJ719" s="8">
        <f ca="1">IFERROR(VLOOKUP(PlayerGameData[[#This Row],[School, Opponent,Game'#]],Table3[],2,FALSE),0)</f>
        <v>0</v>
      </c>
      <c r="AK719" s="8">
        <f ca="1">IF(PlayerGameData[[#This Row],[Visible]]=1,1,1000)</f>
        <v>1000</v>
      </c>
      <c r="AL719" s="8">
        <f ca="1">RANK(PlayerGameData[[#This Row],[TL PTS]],PlayerGameData[TL PTS],0)+PlayerGameData[[#This Row],[VisibleOrder]]</f>
        <v>1184</v>
      </c>
      <c r="AM719" s="8">
        <f ca="1">IF(COUNTIF(PlayerGameData[PointOrder],PlayerGameData[[#This Row],[PointOrder]])&gt;1,RANK(PlayerGameData[[#This Row],[FGA]],PlayerGameData[FGA],0)/100,0)+PlayerGameData[[#This Row],[PointOrder]]</f>
        <v>1186.1400000000001</v>
      </c>
      <c r="AN719" s="8">
        <f ca="1">RANK(PlayerGameData[[#This Row],[PointTieBreak]],PlayerGameData[PointTieBreak],1)</f>
        <v>625</v>
      </c>
      <c r="AO719" s="8">
        <f ca="1">RANK(PlayerGameData[[#This Row],[REB]],PlayerGameData[REB],0)+PlayerGameData[[#This Row],[VisibleOrder]]</f>
        <v>1191</v>
      </c>
      <c r="AP719" s="8">
        <f ca="1">IF(COUNTIF(PlayerGameData[REBOrder],PlayerGameData[[#This Row],[REBOrder]])&gt;1,PlayerGameData[[#This Row],[PointRank]]/100+PlayerGameData[[#This Row],[REBOrder]],PlayerGameData[[#This Row],[REBOrder]])</f>
        <v>1197.25</v>
      </c>
      <c r="AQ719" s="8">
        <f ca="1">RANK(PlayerGameData[[#This Row],[REBTieBreak]],PlayerGameData[REBTieBreak],1)</f>
        <v>625</v>
      </c>
      <c r="AR719" s="8">
        <f ca="1">RANK(PlayerGameData[[#This Row],[AST]],PlayerGameData[AST],0)+PlayerGameData[[#This Row],[VisibleOrder]]</f>
        <v>1157</v>
      </c>
      <c r="AS719" s="8">
        <f ca="1">IF(COUNTIF(PlayerGameData[ASTOrder],PlayerGameData[[#This Row],[ASTOrder]])&gt;1,PlayerGameData[[#This Row],[PointRank]]/100+PlayerGameData[[#This Row],[ASTOrder]],PlayerGameData[[#This Row],[ASTOrder]])</f>
        <v>1163.25</v>
      </c>
      <c r="AT719" s="8">
        <f ca="1">RANK(PlayerGameData[[#This Row],[ASTTieBreak]],PlayerGameData[ASTTieBreak],1)</f>
        <v>625</v>
      </c>
      <c r="AU719" s="8">
        <f ca="1">RANK(PlayerGameData[[#This Row],[STL]],PlayerGameData[STL],0)+PlayerGameData[[#This Row],[VisibleOrder]]</f>
        <v>1142</v>
      </c>
      <c r="AV719" s="8">
        <f ca="1">IF(COUNTIF(PlayerGameData[STLOrder],PlayerGameData[[#This Row],[STLOrder]])&gt;1,PlayerGameData[[#This Row],[PointRank]]/100+PlayerGameData[[#This Row],[STLOrder]],PlayerGameData[[#This Row],[STLOrder]])</f>
        <v>1148.25</v>
      </c>
      <c r="AW719" s="8">
        <f ca="1">RANK(PlayerGameData[[#This Row],[STLTieBreak]],PlayerGameData[STLTieBreak],1)</f>
        <v>625</v>
      </c>
      <c r="AX719" s="8">
        <f ca="1">RANK(PlayerGameData[[#This Row],[BLK]],PlayerGameData[BLK],0)+PlayerGameData[[#This Row],[VisibleOrder]]</f>
        <v>1031</v>
      </c>
      <c r="AY719" s="8">
        <f ca="1">IF(COUNTIF(PlayerGameData[BLKOrder],PlayerGameData[[#This Row],[BLKOrder]])&gt;1,PlayerGameData[[#This Row],[PointRank]]/100+PlayerGameData[[#This Row],[BLKOrder]],PlayerGameData[[#This Row],[BLKOrder]])</f>
        <v>1037.25</v>
      </c>
      <c r="AZ719" s="8">
        <f ca="1">RANK(PlayerGameData[[#This Row],[BLKTieBreak]],PlayerGameData[BLKTieBreak],1)</f>
        <v>625</v>
      </c>
      <c r="BA719" s="11">
        <f ca="1">IFERROR(IF(PlayerGameData[[#This Row],[FGA]]&gt;$AA$5,PlayerGameData[[#This Row],[FG%*]],PlayerGameData[[#This Row],[FG%*]]*-1),-2)</f>
        <v>-2</v>
      </c>
      <c r="BB719" s="8">
        <f ca="1">RANK(PlayerGameData[[#This Row],[EligFG]],PlayerGameData[EligFG],0)+PlayerGameData[[#This Row],[VisibleOrder]]</f>
        <v>1214</v>
      </c>
      <c r="BC719" s="8">
        <f ca="1">IF(COUNTIF(PlayerGameData[EligFGOrder],PlayerGameData[[#This Row],[EligFGOrder]])&gt;1,PlayerGameData[[#This Row],[PointRank]]/100+PlayerGameData[[#This Row],[EligFGOrder]],PlayerGameData[[#This Row],[EligFGOrder]])</f>
        <v>1220.25</v>
      </c>
      <c r="BD719" s="8">
        <f ca="1">RANK(PlayerGameData[[#This Row],[EligFGTieBreak]],PlayerGameData[EligFGTieBreak],1)</f>
        <v>625</v>
      </c>
      <c r="BE719" s="8" t="str">
        <f>Roster!$D$3</f>
        <v>East</v>
      </c>
      <c r="BF719" s="8" t="str">
        <f>Roster!$D$2</f>
        <v>Northeast</v>
      </c>
      <c r="BG719" s="8" t="str">
        <f>Roster!$D$4</f>
        <v>North</v>
      </c>
      <c r="BH719" s="197">
        <f ca="1">IFERROR(VLOOKUP(CONCATENATE(PlayerGameData[[#This Row],[Opponent]]," ",MONTH(PlayerGameData[[#This Row],[Date]]),"/",DAY(PlayerGameData[[#This Row],[Date]]),"/",YEAR(PlayerGameData[[#This Row],[Date]])),Table35[],2,FALSE),0)</f>
        <v>0</v>
      </c>
      <c r="BI719" s="197">
        <f ca="1">IF(PlayerGameData[[#This Row],[Visible]]=1,1,1000)</f>
        <v>1000</v>
      </c>
      <c r="BJ719" s="197" t="e">
        <f ca="1">_xlfn.MAXIFS(TeamGameData[Win],TeamGameData[School, Opponent,Game'#],PlayerGameData[[#This Row],[School, Opponent,Game'#]])</f>
        <v>#NAME?</v>
      </c>
      <c r="BK719" s="197" t="e">
        <f ca="1">_xlfn.MAXIFS(TeamGameData[Loss],TeamGameData[School, Opponent,Game'#],PlayerGameData[[#This Row],[School, Opponent,Game'#]])</f>
        <v>#NAME?</v>
      </c>
    </row>
    <row r="720" spans="1:63" x14ac:dyDescent="0.25">
      <c r="A720" s="8" t="str">
        <f t="shared" ca="1" si="363"/>
        <v xml:space="preserve">, </v>
      </c>
      <c r="B720" s="8" t="str">
        <f>Roster!$B$1</f>
        <v>Upton</v>
      </c>
      <c r="C720" s="8">
        <f t="shared" ca="1" si="351"/>
        <v>0</v>
      </c>
      <c r="D720" s="10">
        <f t="shared" ca="1" si="352"/>
        <v>0</v>
      </c>
      <c r="E720" s="8">
        <f t="shared" ca="1" si="353"/>
        <v>0</v>
      </c>
      <c r="F720" s="8">
        <f t="shared" ca="1" si="354"/>
        <v>0</v>
      </c>
      <c r="G720" s="8">
        <f t="shared" ca="1" si="355"/>
        <v>0</v>
      </c>
      <c r="H720" s="8">
        <f t="shared" ca="1" si="356"/>
        <v>0</v>
      </c>
      <c r="I720" s="8">
        <f t="shared" ca="1" si="357"/>
        <v>0</v>
      </c>
      <c r="J720" s="8">
        <f t="shared" ca="1" si="358"/>
        <v>0</v>
      </c>
      <c r="K720" s="8">
        <f t="shared" ca="1" si="359"/>
        <v>0</v>
      </c>
      <c r="L720" s="8">
        <f t="shared" ca="1" si="364"/>
        <v>0</v>
      </c>
      <c r="M720" s="8">
        <f t="shared" ca="1" si="365"/>
        <v>0</v>
      </c>
      <c r="N720" s="8">
        <f t="shared" ca="1" si="366"/>
        <v>0</v>
      </c>
      <c r="O720" s="8">
        <f t="shared" ca="1" si="367"/>
        <v>0</v>
      </c>
      <c r="P720" s="8">
        <f t="shared" ca="1" si="368"/>
        <v>0</v>
      </c>
      <c r="Q720" s="8">
        <f t="shared" ca="1" si="369"/>
        <v>0</v>
      </c>
      <c r="R720" s="8">
        <f t="shared" ca="1" si="370"/>
        <v>0</v>
      </c>
      <c r="S720" s="8">
        <f t="shared" ca="1" si="371"/>
        <v>0</v>
      </c>
      <c r="T720" s="8">
        <f t="shared" ca="1" si="372"/>
        <v>0</v>
      </c>
      <c r="U720" s="8">
        <f t="shared" ca="1" si="373"/>
        <v>0</v>
      </c>
      <c r="V720" s="8">
        <f t="shared" ca="1" si="374"/>
        <v>0</v>
      </c>
      <c r="W720" s="11" t="str">
        <f t="shared" ca="1" si="375"/>
        <v/>
      </c>
      <c r="X720" s="11" t="str">
        <f t="shared" ca="1" si="376"/>
        <v/>
      </c>
      <c r="Y720" s="11" t="str">
        <f t="shared" ca="1" si="377"/>
        <v/>
      </c>
      <c r="Z720" s="11" t="str">
        <f t="shared" ca="1" si="378"/>
        <v/>
      </c>
      <c r="AA720" s="11" t="str">
        <f t="shared" ca="1" si="379"/>
        <v/>
      </c>
      <c r="AB720" s="47">
        <f ca="1">PlayerGameData[[#This Row],[3FGA]]+PlayerGameData[[#This Row],[2FGA]]</f>
        <v>0</v>
      </c>
      <c r="AC720" s="47">
        <f ca="1">PlayerGameData[[#This Row],[OFF REB]]+PlayerGameData[[#This Row],[DEF REB]]</f>
        <v>0</v>
      </c>
      <c r="AD720" s="8">
        <f t="shared" si="360"/>
        <v>30</v>
      </c>
      <c r="AE720" s="8" t="str">
        <f t="shared" ca="1" si="361"/>
        <v>,  - 0 1/0/1900</v>
      </c>
      <c r="AF720" s="8" t="str">
        <f t="shared" ca="1" si="380"/>
        <v/>
      </c>
      <c r="AG720" s="8" t="str">
        <f ca="1">IFERROR(IF(C720=0,"",IF(AND(VLOOKUP(PlayerGameData[[#This Row],[Opponent]],WYTeamInfo,2,FALSE)=Roster!$D$1,VLOOKUP(PlayerGameData[[#This Row],[Opponent]],WYTeamInfo,3,FALSE)=Roster!$D$2),"SR","")),"")</f>
        <v/>
      </c>
      <c r="AH720" s="8" t="str">
        <f>CONCATENATE(Roster!$D$1," ",Roster!$D$5)</f>
        <v>1A BB</v>
      </c>
      <c r="AI720" s="8" t="str">
        <f t="shared" ca="1" si="362"/>
        <v>Blank</v>
      </c>
      <c r="AJ720" s="8">
        <f ca="1">IFERROR(VLOOKUP(PlayerGameData[[#This Row],[School, Opponent,Game'#]],Table3[],2,FALSE),0)</f>
        <v>0</v>
      </c>
      <c r="AK720" s="8">
        <f ca="1">IF(PlayerGameData[[#This Row],[Visible]]=1,1,1000)</f>
        <v>1000</v>
      </c>
      <c r="AL720" s="8">
        <f ca="1">RANK(PlayerGameData[[#This Row],[TL PTS]],PlayerGameData[TL PTS],0)+PlayerGameData[[#This Row],[VisibleOrder]]</f>
        <v>1184</v>
      </c>
      <c r="AM720" s="8">
        <f ca="1">IF(COUNTIF(PlayerGameData[PointOrder],PlayerGameData[[#This Row],[PointOrder]])&gt;1,RANK(PlayerGameData[[#This Row],[FGA]],PlayerGameData[FGA],0)/100,0)+PlayerGameData[[#This Row],[PointOrder]]</f>
        <v>1186.1400000000001</v>
      </c>
      <c r="AN720" s="8">
        <f ca="1">RANK(PlayerGameData[[#This Row],[PointTieBreak]],PlayerGameData[PointTieBreak],1)</f>
        <v>625</v>
      </c>
      <c r="AO720" s="8">
        <f ca="1">RANK(PlayerGameData[[#This Row],[REB]],PlayerGameData[REB],0)+PlayerGameData[[#This Row],[VisibleOrder]]</f>
        <v>1191</v>
      </c>
      <c r="AP720" s="8">
        <f ca="1">IF(COUNTIF(PlayerGameData[REBOrder],PlayerGameData[[#This Row],[REBOrder]])&gt;1,PlayerGameData[[#This Row],[PointRank]]/100+PlayerGameData[[#This Row],[REBOrder]],PlayerGameData[[#This Row],[REBOrder]])</f>
        <v>1197.25</v>
      </c>
      <c r="AQ720" s="8">
        <f ca="1">RANK(PlayerGameData[[#This Row],[REBTieBreak]],PlayerGameData[REBTieBreak],1)</f>
        <v>625</v>
      </c>
      <c r="AR720" s="8">
        <f ca="1">RANK(PlayerGameData[[#This Row],[AST]],PlayerGameData[AST],0)+PlayerGameData[[#This Row],[VisibleOrder]]</f>
        <v>1157</v>
      </c>
      <c r="AS720" s="8">
        <f ca="1">IF(COUNTIF(PlayerGameData[ASTOrder],PlayerGameData[[#This Row],[ASTOrder]])&gt;1,PlayerGameData[[#This Row],[PointRank]]/100+PlayerGameData[[#This Row],[ASTOrder]],PlayerGameData[[#This Row],[ASTOrder]])</f>
        <v>1163.25</v>
      </c>
      <c r="AT720" s="8">
        <f ca="1">RANK(PlayerGameData[[#This Row],[ASTTieBreak]],PlayerGameData[ASTTieBreak],1)</f>
        <v>625</v>
      </c>
      <c r="AU720" s="8">
        <f ca="1">RANK(PlayerGameData[[#This Row],[STL]],PlayerGameData[STL],0)+PlayerGameData[[#This Row],[VisibleOrder]]</f>
        <v>1142</v>
      </c>
      <c r="AV720" s="8">
        <f ca="1">IF(COUNTIF(PlayerGameData[STLOrder],PlayerGameData[[#This Row],[STLOrder]])&gt;1,PlayerGameData[[#This Row],[PointRank]]/100+PlayerGameData[[#This Row],[STLOrder]],PlayerGameData[[#This Row],[STLOrder]])</f>
        <v>1148.25</v>
      </c>
      <c r="AW720" s="8">
        <f ca="1">RANK(PlayerGameData[[#This Row],[STLTieBreak]],PlayerGameData[STLTieBreak],1)</f>
        <v>625</v>
      </c>
      <c r="AX720" s="8">
        <f ca="1">RANK(PlayerGameData[[#This Row],[BLK]],PlayerGameData[BLK],0)+PlayerGameData[[#This Row],[VisibleOrder]]</f>
        <v>1031</v>
      </c>
      <c r="AY720" s="8">
        <f ca="1">IF(COUNTIF(PlayerGameData[BLKOrder],PlayerGameData[[#This Row],[BLKOrder]])&gt;1,PlayerGameData[[#This Row],[PointRank]]/100+PlayerGameData[[#This Row],[BLKOrder]],PlayerGameData[[#This Row],[BLKOrder]])</f>
        <v>1037.25</v>
      </c>
      <c r="AZ720" s="8">
        <f ca="1">RANK(PlayerGameData[[#This Row],[BLKTieBreak]],PlayerGameData[BLKTieBreak],1)</f>
        <v>625</v>
      </c>
      <c r="BA720" s="11">
        <f ca="1">IFERROR(IF(PlayerGameData[[#This Row],[FGA]]&gt;$AA$5,PlayerGameData[[#This Row],[FG%*]],PlayerGameData[[#This Row],[FG%*]]*-1),-2)</f>
        <v>-2</v>
      </c>
      <c r="BB720" s="8">
        <f ca="1">RANK(PlayerGameData[[#This Row],[EligFG]],PlayerGameData[EligFG],0)+PlayerGameData[[#This Row],[VisibleOrder]]</f>
        <v>1214</v>
      </c>
      <c r="BC720" s="8">
        <f ca="1">IF(COUNTIF(PlayerGameData[EligFGOrder],PlayerGameData[[#This Row],[EligFGOrder]])&gt;1,PlayerGameData[[#This Row],[PointRank]]/100+PlayerGameData[[#This Row],[EligFGOrder]],PlayerGameData[[#This Row],[EligFGOrder]])</f>
        <v>1220.25</v>
      </c>
      <c r="BD720" s="8">
        <f ca="1">RANK(PlayerGameData[[#This Row],[EligFGTieBreak]],PlayerGameData[EligFGTieBreak],1)</f>
        <v>625</v>
      </c>
      <c r="BE720" s="8" t="str">
        <f>Roster!$D$3</f>
        <v>East</v>
      </c>
      <c r="BF720" s="8" t="str">
        <f>Roster!$D$2</f>
        <v>Northeast</v>
      </c>
      <c r="BG720" s="8" t="str">
        <f>Roster!$D$4</f>
        <v>North</v>
      </c>
      <c r="BH720" s="197">
        <f ca="1">IFERROR(VLOOKUP(CONCATENATE(PlayerGameData[[#This Row],[Opponent]]," ",MONTH(PlayerGameData[[#This Row],[Date]]),"/",DAY(PlayerGameData[[#This Row],[Date]]),"/",YEAR(PlayerGameData[[#This Row],[Date]])),Table35[],2,FALSE),0)</f>
        <v>0</v>
      </c>
      <c r="BI720" s="197">
        <f ca="1">IF(PlayerGameData[[#This Row],[Visible]]=1,1,1000)</f>
        <v>1000</v>
      </c>
      <c r="BJ720" s="197" t="e">
        <f ca="1">_xlfn.MAXIFS(TeamGameData[Win],TeamGameData[School, Opponent,Game'#],PlayerGameData[[#This Row],[School, Opponent,Game'#]])</f>
        <v>#NAME?</v>
      </c>
      <c r="BK720" s="197" t="e">
        <f ca="1">_xlfn.MAXIFS(TeamGameData[Loss],TeamGameData[School, Opponent,Game'#],PlayerGameData[[#This Row],[School, Opponent,Game'#]])</f>
        <v>#NAME?</v>
      </c>
    </row>
    <row r="721" spans="1:63" x14ac:dyDescent="0.25">
      <c r="A721" s="8" t="str">
        <f t="shared" ca="1" si="363"/>
        <v xml:space="preserve">, </v>
      </c>
      <c r="B721" s="8" t="str">
        <f>Roster!$B$1</f>
        <v>Upton</v>
      </c>
      <c r="C721" s="8">
        <f t="shared" ca="1" si="351"/>
        <v>0</v>
      </c>
      <c r="D721" s="10">
        <f t="shared" ca="1" si="352"/>
        <v>0</v>
      </c>
      <c r="E721" s="8">
        <f t="shared" ca="1" si="353"/>
        <v>0</v>
      </c>
      <c r="F721" s="8">
        <f t="shared" ca="1" si="354"/>
        <v>0</v>
      </c>
      <c r="G721" s="8">
        <f t="shared" ca="1" si="355"/>
        <v>0</v>
      </c>
      <c r="H721" s="8">
        <f t="shared" ca="1" si="356"/>
        <v>0</v>
      </c>
      <c r="I721" s="8">
        <f t="shared" ca="1" si="357"/>
        <v>0</v>
      </c>
      <c r="J721" s="8">
        <f t="shared" ca="1" si="358"/>
        <v>0</v>
      </c>
      <c r="K721" s="8">
        <f t="shared" ca="1" si="359"/>
        <v>0</v>
      </c>
      <c r="L721" s="8">
        <f t="shared" ca="1" si="364"/>
        <v>0</v>
      </c>
      <c r="M721" s="8">
        <f t="shared" ca="1" si="365"/>
        <v>0</v>
      </c>
      <c r="N721" s="8">
        <f t="shared" ca="1" si="366"/>
        <v>0</v>
      </c>
      <c r="O721" s="8">
        <f t="shared" ca="1" si="367"/>
        <v>0</v>
      </c>
      <c r="P721" s="8">
        <f t="shared" ca="1" si="368"/>
        <v>0</v>
      </c>
      <c r="Q721" s="8">
        <f t="shared" ca="1" si="369"/>
        <v>0</v>
      </c>
      <c r="R721" s="8">
        <f t="shared" ca="1" si="370"/>
        <v>0</v>
      </c>
      <c r="S721" s="8">
        <f t="shared" ca="1" si="371"/>
        <v>0</v>
      </c>
      <c r="T721" s="8">
        <f t="shared" ca="1" si="372"/>
        <v>0</v>
      </c>
      <c r="U721" s="8">
        <f t="shared" ca="1" si="373"/>
        <v>0</v>
      </c>
      <c r="V721" s="8">
        <f t="shared" ca="1" si="374"/>
        <v>0</v>
      </c>
      <c r="W721" s="11" t="str">
        <f t="shared" ca="1" si="375"/>
        <v/>
      </c>
      <c r="X721" s="11" t="str">
        <f t="shared" ca="1" si="376"/>
        <v/>
      </c>
      <c r="Y721" s="11" t="str">
        <f t="shared" ca="1" si="377"/>
        <v/>
      </c>
      <c r="Z721" s="11" t="str">
        <f t="shared" ca="1" si="378"/>
        <v/>
      </c>
      <c r="AA721" s="11" t="str">
        <f t="shared" ca="1" si="379"/>
        <v/>
      </c>
      <c r="AB721" s="47">
        <f ca="1">PlayerGameData[[#This Row],[3FGA]]+PlayerGameData[[#This Row],[2FGA]]</f>
        <v>0</v>
      </c>
      <c r="AC721" s="47">
        <f ca="1">PlayerGameData[[#This Row],[OFF REB]]+PlayerGameData[[#This Row],[DEF REB]]</f>
        <v>0</v>
      </c>
      <c r="AD721" s="8">
        <f t="shared" si="360"/>
        <v>30</v>
      </c>
      <c r="AE721" s="8" t="str">
        <f t="shared" ca="1" si="361"/>
        <v>,  - 0 1/0/1900</v>
      </c>
      <c r="AF721" s="8" t="str">
        <f t="shared" ca="1" si="380"/>
        <v/>
      </c>
      <c r="AG721" s="8" t="str">
        <f ca="1">IFERROR(IF(C721=0,"",IF(AND(VLOOKUP(PlayerGameData[[#This Row],[Opponent]],WYTeamInfo,2,FALSE)=Roster!$D$1,VLOOKUP(PlayerGameData[[#This Row],[Opponent]],WYTeamInfo,3,FALSE)=Roster!$D$2),"SR","")),"")</f>
        <v/>
      </c>
      <c r="AH721" s="8" t="str">
        <f>CONCATENATE(Roster!$D$1," ",Roster!$D$5)</f>
        <v>1A BB</v>
      </c>
      <c r="AI721" s="8" t="str">
        <f t="shared" ca="1" si="362"/>
        <v>Blank</v>
      </c>
      <c r="AJ721" s="8">
        <f ca="1">IFERROR(VLOOKUP(PlayerGameData[[#This Row],[School, Opponent,Game'#]],Table3[],2,FALSE),0)</f>
        <v>0</v>
      </c>
      <c r="AK721" s="8">
        <f ca="1">IF(PlayerGameData[[#This Row],[Visible]]=1,1,1000)</f>
        <v>1000</v>
      </c>
      <c r="AL721" s="8">
        <f ca="1">RANK(PlayerGameData[[#This Row],[TL PTS]],PlayerGameData[TL PTS],0)+PlayerGameData[[#This Row],[VisibleOrder]]</f>
        <v>1184</v>
      </c>
      <c r="AM721" s="8">
        <f ca="1">IF(COUNTIF(PlayerGameData[PointOrder],PlayerGameData[[#This Row],[PointOrder]])&gt;1,RANK(PlayerGameData[[#This Row],[FGA]],PlayerGameData[FGA],0)/100,0)+PlayerGameData[[#This Row],[PointOrder]]</f>
        <v>1186.1400000000001</v>
      </c>
      <c r="AN721" s="8">
        <f ca="1">RANK(PlayerGameData[[#This Row],[PointTieBreak]],PlayerGameData[PointTieBreak],1)</f>
        <v>625</v>
      </c>
      <c r="AO721" s="8">
        <f ca="1">RANK(PlayerGameData[[#This Row],[REB]],PlayerGameData[REB],0)+PlayerGameData[[#This Row],[VisibleOrder]]</f>
        <v>1191</v>
      </c>
      <c r="AP721" s="8">
        <f ca="1">IF(COUNTIF(PlayerGameData[REBOrder],PlayerGameData[[#This Row],[REBOrder]])&gt;1,PlayerGameData[[#This Row],[PointRank]]/100+PlayerGameData[[#This Row],[REBOrder]],PlayerGameData[[#This Row],[REBOrder]])</f>
        <v>1197.25</v>
      </c>
      <c r="AQ721" s="8">
        <f ca="1">RANK(PlayerGameData[[#This Row],[REBTieBreak]],PlayerGameData[REBTieBreak],1)</f>
        <v>625</v>
      </c>
      <c r="AR721" s="8">
        <f ca="1">RANK(PlayerGameData[[#This Row],[AST]],PlayerGameData[AST],0)+PlayerGameData[[#This Row],[VisibleOrder]]</f>
        <v>1157</v>
      </c>
      <c r="AS721" s="8">
        <f ca="1">IF(COUNTIF(PlayerGameData[ASTOrder],PlayerGameData[[#This Row],[ASTOrder]])&gt;1,PlayerGameData[[#This Row],[PointRank]]/100+PlayerGameData[[#This Row],[ASTOrder]],PlayerGameData[[#This Row],[ASTOrder]])</f>
        <v>1163.25</v>
      </c>
      <c r="AT721" s="8">
        <f ca="1">RANK(PlayerGameData[[#This Row],[ASTTieBreak]],PlayerGameData[ASTTieBreak],1)</f>
        <v>625</v>
      </c>
      <c r="AU721" s="8">
        <f ca="1">RANK(PlayerGameData[[#This Row],[STL]],PlayerGameData[STL],0)+PlayerGameData[[#This Row],[VisibleOrder]]</f>
        <v>1142</v>
      </c>
      <c r="AV721" s="8">
        <f ca="1">IF(COUNTIF(PlayerGameData[STLOrder],PlayerGameData[[#This Row],[STLOrder]])&gt;1,PlayerGameData[[#This Row],[PointRank]]/100+PlayerGameData[[#This Row],[STLOrder]],PlayerGameData[[#This Row],[STLOrder]])</f>
        <v>1148.25</v>
      </c>
      <c r="AW721" s="8">
        <f ca="1">RANK(PlayerGameData[[#This Row],[STLTieBreak]],PlayerGameData[STLTieBreak],1)</f>
        <v>625</v>
      </c>
      <c r="AX721" s="8">
        <f ca="1">RANK(PlayerGameData[[#This Row],[BLK]],PlayerGameData[BLK],0)+PlayerGameData[[#This Row],[VisibleOrder]]</f>
        <v>1031</v>
      </c>
      <c r="AY721" s="8">
        <f ca="1">IF(COUNTIF(PlayerGameData[BLKOrder],PlayerGameData[[#This Row],[BLKOrder]])&gt;1,PlayerGameData[[#This Row],[PointRank]]/100+PlayerGameData[[#This Row],[BLKOrder]],PlayerGameData[[#This Row],[BLKOrder]])</f>
        <v>1037.25</v>
      </c>
      <c r="AZ721" s="8">
        <f ca="1">RANK(PlayerGameData[[#This Row],[BLKTieBreak]],PlayerGameData[BLKTieBreak],1)</f>
        <v>625</v>
      </c>
      <c r="BA721" s="11">
        <f ca="1">IFERROR(IF(PlayerGameData[[#This Row],[FGA]]&gt;$AA$5,PlayerGameData[[#This Row],[FG%*]],PlayerGameData[[#This Row],[FG%*]]*-1),-2)</f>
        <v>-2</v>
      </c>
      <c r="BB721" s="8">
        <f ca="1">RANK(PlayerGameData[[#This Row],[EligFG]],PlayerGameData[EligFG],0)+PlayerGameData[[#This Row],[VisibleOrder]]</f>
        <v>1214</v>
      </c>
      <c r="BC721" s="8">
        <f ca="1">IF(COUNTIF(PlayerGameData[EligFGOrder],PlayerGameData[[#This Row],[EligFGOrder]])&gt;1,PlayerGameData[[#This Row],[PointRank]]/100+PlayerGameData[[#This Row],[EligFGOrder]],PlayerGameData[[#This Row],[EligFGOrder]])</f>
        <v>1220.25</v>
      </c>
      <c r="BD721" s="8">
        <f ca="1">RANK(PlayerGameData[[#This Row],[EligFGTieBreak]],PlayerGameData[EligFGTieBreak],1)</f>
        <v>625</v>
      </c>
      <c r="BE721" s="8" t="str">
        <f>Roster!$D$3</f>
        <v>East</v>
      </c>
      <c r="BF721" s="8" t="str">
        <f>Roster!$D$2</f>
        <v>Northeast</v>
      </c>
      <c r="BG721" s="8" t="str">
        <f>Roster!$D$4</f>
        <v>North</v>
      </c>
      <c r="BH721" s="197">
        <f ca="1">IFERROR(VLOOKUP(CONCATENATE(PlayerGameData[[#This Row],[Opponent]]," ",MONTH(PlayerGameData[[#This Row],[Date]]),"/",DAY(PlayerGameData[[#This Row],[Date]]),"/",YEAR(PlayerGameData[[#This Row],[Date]])),Table35[],2,FALSE),0)</f>
        <v>0</v>
      </c>
      <c r="BI721" s="197">
        <f ca="1">IF(PlayerGameData[[#This Row],[Visible]]=1,1,1000)</f>
        <v>1000</v>
      </c>
      <c r="BJ721" s="197" t="e">
        <f ca="1">_xlfn.MAXIFS(TeamGameData[Win],TeamGameData[School, Opponent,Game'#],PlayerGameData[[#This Row],[School, Opponent,Game'#]])</f>
        <v>#NAME?</v>
      </c>
      <c r="BK721" s="197" t="e">
        <f ca="1">_xlfn.MAXIFS(TeamGameData[Loss],TeamGameData[School, Opponent,Game'#],PlayerGameData[[#This Row],[School, Opponent,Game'#]])</f>
        <v>#NAME?</v>
      </c>
    </row>
    <row r="722" spans="1:63" x14ac:dyDescent="0.25">
      <c r="A722" s="8" t="str">
        <f t="shared" ca="1" si="363"/>
        <v xml:space="preserve">, </v>
      </c>
      <c r="B722" s="8" t="str">
        <f>Roster!$B$1</f>
        <v>Upton</v>
      </c>
      <c r="C722" s="8">
        <f t="shared" ca="1" si="351"/>
        <v>0</v>
      </c>
      <c r="D722" s="10">
        <f t="shared" ca="1" si="352"/>
        <v>0</v>
      </c>
      <c r="E722" s="8">
        <f t="shared" ca="1" si="353"/>
        <v>0</v>
      </c>
      <c r="F722" s="8">
        <f t="shared" ca="1" si="354"/>
        <v>0</v>
      </c>
      <c r="G722" s="8">
        <f t="shared" ca="1" si="355"/>
        <v>0</v>
      </c>
      <c r="H722" s="8">
        <f t="shared" ca="1" si="356"/>
        <v>0</v>
      </c>
      <c r="I722" s="8">
        <f t="shared" ca="1" si="357"/>
        <v>0</v>
      </c>
      <c r="J722" s="8">
        <f t="shared" ca="1" si="358"/>
        <v>0</v>
      </c>
      <c r="K722" s="8">
        <f t="shared" ca="1" si="359"/>
        <v>0</v>
      </c>
      <c r="L722" s="8">
        <f t="shared" ca="1" si="364"/>
        <v>0</v>
      </c>
      <c r="M722" s="8">
        <f t="shared" ca="1" si="365"/>
        <v>0</v>
      </c>
      <c r="N722" s="8">
        <f t="shared" ca="1" si="366"/>
        <v>0</v>
      </c>
      <c r="O722" s="8">
        <f t="shared" ca="1" si="367"/>
        <v>0</v>
      </c>
      <c r="P722" s="8">
        <f t="shared" ca="1" si="368"/>
        <v>0</v>
      </c>
      <c r="Q722" s="8">
        <f t="shared" ca="1" si="369"/>
        <v>0</v>
      </c>
      <c r="R722" s="8">
        <f t="shared" ca="1" si="370"/>
        <v>0</v>
      </c>
      <c r="S722" s="8">
        <f t="shared" ca="1" si="371"/>
        <v>0</v>
      </c>
      <c r="T722" s="8">
        <f t="shared" ca="1" si="372"/>
        <v>0</v>
      </c>
      <c r="U722" s="8">
        <f t="shared" ca="1" si="373"/>
        <v>0</v>
      </c>
      <c r="V722" s="8">
        <f t="shared" ca="1" si="374"/>
        <v>0</v>
      </c>
      <c r="W722" s="11" t="str">
        <f t="shared" ca="1" si="375"/>
        <v/>
      </c>
      <c r="X722" s="11" t="str">
        <f t="shared" ca="1" si="376"/>
        <v/>
      </c>
      <c r="Y722" s="11" t="str">
        <f t="shared" ca="1" si="377"/>
        <v/>
      </c>
      <c r="Z722" s="11" t="str">
        <f t="shared" ca="1" si="378"/>
        <v/>
      </c>
      <c r="AA722" s="11" t="str">
        <f t="shared" ca="1" si="379"/>
        <v/>
      </c>
      <c r="AB722" s="47">
        <f ca="1">PlayerGameData[[#This Row],[3FGA]]+PlayerGameData[[#This Row],[2FGA]]</f>
        <v>0</v>
      </c>
      <c r="AC722" s="47">
        <f ca="1">PlayerGameData[[#This Row],[OFF REB]]+PlayerGameData[[#This Row],[DEF REB]]</f>
        <v>0</v>
      </c>
      <c r="AD722" s="8">
        <f t="shared" si="360"/>
        <v>30</v>
      </c>
      <c r="AE722" s="8" t="str">
        <f t="shared" ca="1" si="361"/>
        <v>,  - 0 1/0/1900</v>
      </c>
      <c r="AF722" s="8" t="str">
        <f t="shared" ca="1" si="380"/>
        <v/>
      </c>
      <c r="AG722" s="8" t="str">
        <f ca="1">IFERROR(IF(C722=0,"",IF(AND(VLOOKUP(PlayerGameData[[#This Row],[Opponent]],WYTeamInfo,2,FALSE)=Roster!$D$1,VLOOKUP(PlayerGameData[[#This Row],[Opponent]],WYTeamInfo,3,FALSE)=Roster!$D$2),"SR","")),"")</f>
        <v/>
      </c>
      <c r="AH722" s="8" t="str">
        <f>CONCATENATE(Roster!$D$1," ",Roster!$D$5)</f>
        <v>1A BB</v>
      </c>
      <c r="AI722" s="8" t="str">
        <f t="shared" ca="1" si="362"/>
        <v>Blank</v>
      </c>
      <c r="AJ722" s="8">
        <f ca="1">IFERROR(VLOOKUP(PlayerGameData[[#This Row],[School, Opponent,Game'#]],Table3[],2,FALSE),0)</f>
        <v>0</v>
      </c>
      <c r="AK722" s="8">
        <f ca="1">IF(PlayerGameData[[#This Row],[Visible]]=1,1,1000)</f>
        <v>1000</v>
      </c>
      <c r="AL722" s="8">
        <f ca="1">RANK(PlayerGameData[[#This Row],[TL PTS]],PlayerGameData[TL PTS],0)+PlayerGameData[[#This Row],[VisibleOrder]]</f>
        <v>1184</v>
      </c>
      <c r="AM722" s="8">
        <f ca="1">IF(COUNTIF(PlayerGameData[PointOrder],PlayerGameData[[#This Row],[PointOrder]])&gt;1,RANK(PlayerGameData[[#This Row],[FGA]],PlayerGameData[FGA],0)/100,0)+PlayerGameData[[#This Row],[PointOrder]]</f>
        <v>1186.1400000000001</v>
      </c>
      <c r="AN722" s="8">
        <f ca="1">RANK(PlayerGameData[[#This Row],[PointTieBreak]],PlayerGameData[PointTieBreak],1)</f>
        <v>625</v>
      </c>
      <c r="AO722" s="8">
        <f ca="1">RANK(PlayerGameData[[#This Row],[REB]],PlayerGameData[REB],0)+PlayerGameData[[#This Row],[VisibleOrder]]</f>
        <v>1191</v>
      </c>
      <c r="AP722" s="8">
        <f ca="1">IF(COUNTIF(PlayerGameData[REBOrder],PlayerGameData[[#This Row],[REBOrder]])&gt;1,PlayerGameData[[#This Row],[PointRank]]/100+PlayerGameData[[#This Row],[REBOrder]],PlayerGameData[[#This Row],[REBOrder]])</f>
        <v>1197.25</v>
      </c>
      <c r="AQ722" s="8">
        <f ca="1">RANK(PlayerGameData[[#This Row],[REBTieBreak]],PlayerGameData[REBTieBreak],1)</f>
        <v>625</v>
      </c>
      <c r="AR722" s="8">
        <f ca="1">RANK(PlayerGameData[[#This Row],[AST]],PlayerGameData[AST],0)+PlayerGameData[[#This Row],[VisibleOrder]]</f>
        <v>1157</v>
      </c>
      <c r="AS722" s="8">
        <f ca="1">IF(COUNTIF(PlayerGameData[ASTOrder],PlayerGameData[[#This Row],[ASTOrder]])&gt;1,PlayerGameData[[#This Row],[PointRank]]/100+PlayerGameData[[#This Row],[ASTOrder]],PlayerGameData[[#This Row],[ASTOrder]])</f>
        <v>1163.25</v>
      </c>
      <c r="AT722" s="8">
        <f ca="1">RANK(PlayerGameData[[#This Row],[ASTTieBreak]],PlayerGameData[ASTTieBreak],1)</f>
        <v>625</v>
      </c>
      <c r="AU722" s="8">
        <f ca="1">RANK(PlayerGameData[[#This Row],[STL]],PlayerGameData[STL],0)+PlayerGameData[[#This Row],[VisibleOrder]]</f>
        <v>1142</v>
      </c>
      <c r="AV722" s="8">
        <f ca="1">IF(COUNTIF(PlayerGameData[STLOrder],PlayerGameData[[#This Row],[STLOrder]])&gt;1,PlayerGameData[[#This Row],[PointRank]]/100+PlayerGameData[[#This Row],[STLOrder]],PlayerGameData[[#This Row],[STLOrder]])</f>
        <v>1148.25</v>
      </c>
      <c r="AW722" s="8">
        <f ca="1">RANK(PlayerGameData[[#This Row],[STLTieBreak]],PlayerGameData[STLTieBreak],1)</f>
        <v>625</v>
      </c>
      <c r="AX722" s="8">
        <f ca="1">RANK(PlayerGameData[[#This Row],[BLK]],PlayerGameData[BLK],0)+PlayerGameData[[#This Row],[VisibleOrder]]</f>
        <v>1031</v>
      </c>
      <c r="AY722" s="8">
        <f ca="1">IF(COUNTIF(PlayerGameData[BLKOrder],PlayerGameData[[#This Row],[BLKOrder]])&gt;1,PlayerGameData[[#This Row],[PointRank]]/100+PlayerGameData[[#This Row],[BLKOrder]],PlayerGameData[[#This Row],[BLKOrder]])</f>
        <v>1037.25</v>
      </c>
      <c r="AZ722" s="8">
        <f ca="1">RANK(PlayerGameData[[#This Row],[BLKTieBreak]],PlayerGameData[BLKTieBreak],1)</f>
        <v>625</v>
      </c>
      <c r="BA722" s="11">
        <f ca="1">IFERROR(IF(PlayerGameData[[#This Row],[FGA]]&gt;$AA$5,PlayerGameData[[#This Row],[FG%*]],PlayerGameData[[#This Row],[FG%*]]*-1),-2)</f>
        <v>-2</v>
      </c>
      <c r="BB722" s="8">
        <f ca="1">RANK(PlayerGameData[[#This Row],[EligFG]],PlayerGameData[EligFG],0)+PlayerGameData[[#This Row],[VisibleOrder]]</f>
        <v>1214</v>
      </c>
      <c r="BC722" s="8">
        <f ca="1">IF(COUNTIF(PlayerGameData[EligFGOrder],PlayerGameData[[#This Row],[EligFGOrder]])&gt;1,PlayerGameData[[#This Row],[PointRank]]/100+PlayerGameData[[#This Row],[EligFGOrder]],PlayerGameData[[#This Row],[EligFGOrder]])</f>
        <v>1220.25</v>
      </c>
      <c r="BD722" s="8">
        <f ca="1">RANK(PlayerGameData[[#This Row],[EligFGTieBreak]],PlayerGameData[EligFGTieBreak],1)</f>
        <v>625</v>
      </c>
      <c r="BE722" s="8" t="str">
        <f>Roster!$D$3</f>
        <v>East</v>
      </c>
      <c r="BF722" s="8" t="str">
        <f>Roster!$D$2</f>
        <v>Northeast</v>
      </c>
      <c r="BG722" s="8" t="str">
        <f>Roster!$D$4</f>
        <v>North</v>
      </c>
      <c r="BH722" s="197">
        <f ca="1">IFERROR(VLOOKUP(CONCATENATE(PlayerGameData[[#This Row],[Opponent]]," ",MONTH(PlayerGameData[[#This Row],[Date]]),"/",DAY(PlayerGameData[[#This Row],[Date]]),"/",YEAR(PlayerGameData[[#This Row],[Date]])),Table35[],2,FALSE),0)</f>
        <v>0</v>
      </c>
      <c r="BI722" s="197">
        <f ca="1">IF(PlayerGameData[[#This Row],[Visible]]=1,1,1000)</f>
        <v>1000</v>
      </c>
      <c r="BJ722" s="197" t="e">
        <f ca="1">_xlfn.MAXIFS(TeamGameData[Win],TeamGameData[School, Opponent,Game'#],PlayerGameData[[#This Row],[School, Opponent,Game'#]])</f>
        <v>#NAME?</v>
      </c>
      <c r="BK722" s="197" t="e">
        <f ca="1">_xlfn.MAXIFS(TeamGameData[Loss],TeamGameData[School, Opponent,Game'#],PlayerGameData[[#This Row],[School, Opponent,Game'#]])</f>
        <v>#NAME?</v>
      </c>
    </row>
    <row r="723" spans="1:63" x14ac:dyDescent="0.25">
      <c r="A723" s="8" t="str">
        <f t="shared" ca="1" si="363"/>
        <v xml:space="preserve">, </v>
      </c>
      <c r="B723" s="8" t="str">
        <f>Roster!$B$1</f>
        <v>Upton</v>
      </c>
      <c r="C723" s="8">
        <f t="shared" ca="1" si="351"/>
        <v>0</v>
      </c>
      <c r="D723" s="10">
        <f t="shared" ca="1" si="352"/>
        <v>0</v>
      </c>
      <c r="E723" s="8">
        <f t="shared" ca="1" si="353"/>
        <v>0</v>
      </c>
      <c r="F723" s="8">
        <f t="shared" ca="1" si="354"/>
        <v>0</v>
      </c>
      <c r="G723" s="8">
        <f t="shared" ca="1" si="355"/>
        <v>0</v>
      </c>
      <c r="H723" s="8">
        <f t="shared" ca="1" si="356"/>
        <v>0</v>
      </c>
      <c r="I723" s="8">
        <f t="shared" ca="1" si="357"/>
        <v>0</v>
      </c>
      <c r="J723" s="8">
        <f t="shared" ca="1" si="358"/>
        <v>0</v>
      </c>
      <c r="K723" s="8">
        <f t="shared" ca="1" si="359"/>
        <v>0</v>
      </c>
      <c r="L723" s="8">
        <f t="shared" ca="1" si="364"/>
        <v>0</v>
      </c>
      <c r="M723" s="8">
        <f t="shared" ca="1" si="365"/>
        <v>0</v>
      </c>
      <c r="N723" s="8">
        <f t="shared" ca="1" si="366"/>
        <v>0</v>
      </c>
      <c r="O723" s="8">
        <f t="shared" ca="1" si="367"/>
        <v>0</v>
      </c>
      <c r="P723" s="8">
        <f t="shared" ca="1" si="368"/>
        <v>0</v>
      </c>
      <c r="Q723" s="8">
        <f t="shared" ca="1" si="369"/>
        <v>0</v>
      </c>
      <c r="R723" s="8">
        <f t="shared" ca="1" si="370"/>
        <v>0</v>
      </c>
      <c r="S723" s="8">
        <f t="shared" ca="1" si="371"/>
        <v>0</v>
      </c>
      <c r="T723" s="8">
        <f t="shared" ca="1" si="372"/>
        <v>0</v>
      </c>
      <c r="U723" s="8">
        <f t="shared" ca="1" si="373"/>
        <v>0</v>
      </c>
      <c r="V723" s="8">
        <f t="shared" ca="1" si="374"/>
        <v>0</v>
      </c>
      <c r="W723" s="11" t="str">
        <f t="shared" ca="1" si="375"/>
        <v/>
      </c>
      <c r="X723" s="11" t="str">
        <f t="shared" ca="1" si="376"/>
        <v/>
      </c>
      <c r="Y723" s="11" t="str">
        <f t="shared" ca="1" si="377"/>
        <v/>
      </c>
      <c r="Z723" s="11" t="str">
        <f t="shared" ca="1" si="378"/>
        <v/>
      </c>
      <c r="AA723" s="11" t="str">
        <f t="shared" ca="1" si="379"/>
        <v/>
      </c>
      <c r="AB723" s="47">
        <f ca="1">PlayerGameData[[#This Row],[3FGA]]+PlayerGameData[[#This Row],[2FGA]]</f>
        <v>0</v>
      </c>
      <c r="AC723" s="47">
        <f ca="1">PlayerGameData[[#This Row],[OFF REB]]+PlayerGameData[[#This Row],[DEF REB]]</f>
        <v>0</v>
      </c>
      <c r="AD723" s="8">
        <f t="shared" si="360"/>
        <v>30</v>
      </c>
      <c r="AE723" s="8" t="str">
        <f t="shared" ca="1" si="361"/>
        <v>,  - 0 1/0/1900</v>
      </c>
      <c r="AF723" s="8" t="str">
        <f t="shared" ca="1" si="380"/>
        <v/>
      </c>
      <c r="AG723" s="8" t="str">
        <f ca="1">IFERROR(IF(C723=0,"",IF(AND(VLOOKUP(PlayerGameData[[#This Row],[Opponent]],WYTeamInfo,2,FALSE)=Roster!$D$1,VLOOKUP(PlayerGameData[[#This Row],[Opponent]],WYTeamInfo,3,FALSE)=Roster!$D$2),"SR","")),"")</f>
        <v/>
      </c>
      <c r="AH723" s="8" t="str">
        <f>CONCATENATE(Roster!$D$1," ",Roster!$D$5)</f>
        <v>1A BB</v>
      </c>
      <c r="AI723" s="8" t="str">
        <f t="shared" ca="1" si="362"/>
        <v>Blank</v>
      </c>
      <c r="AJ723" s="8">
        <f ca="1">IFERROR(VLOOKUP(PlayerGameData[[#This Row],[School, Opponent,Game'#]],Table3[],2,FALSE),0)</f>
        <v>0</v>
      </c>
      <c r="AK723" s="8">
        <f ca="1">IF(PlayerGameData[[#This Row],[Visible]]=1,1,1000)</f>
        <v>1000</v>
      </c>
      <c r="AL723" s="8">
        <f ca="1">RANK(PlayerGameData[[#This Row],[TL PTS]],PlayerGameData[TL PTS],0)+PlayerGameData[[#This Row],[VisibleOrder]]</f>
        <v>1184</v>
      </c>
      <c r="AM723" s="8">
        <f ca="1">IF(COUNTIF(PlayerGameData[PointOrder],PlayerGameData[[#This Row],[PointOrder]])&gt;1,RANK(PlayerGameData[[#This Row],[FGA]],PlayerGameData[FGA],0)/100,0)+PlayerGameData[[#This Row],[PointOrder]]</f>
        <v>1186.1400000000001</v>
      </c>
      <c r="AN723" s="8">
        <f ca="1">RANK(PlayerGameData[[#This Row],[PointTieBreak]],PlayerGameData[PointTieBreak],1)</f>
        <v>625</v>
      </c>
      <c r="AO723" s="8">
        <f ca="1">RANK(PlayerGameData[[#This Row],[REB]],PlayerGameData[REB],0)+PlayerGameData[[#This Row],[VisibleOrder]]</f>
        <v>1191</v>
      </c>
      <c r="AP723" s="8">
        <f ca="1">IF(COUNTIF(PlayerGameData[REBOrder],PlayerGameData[[#This Row],[REBOrder]])&gt;1,PlayerGameData[[#This Row],[PointRank]]/100+PlayerGameData[[#This Row],[REBOrder]],PlayerGameData[[#This Row],[REBOrder]])</f>
        <v>1197.25</v>
      </c>
      <c r="AQ723" s="8">
        <f ca="1">RANK(PlayerGameData[[#This Row],[REBTieBreak]],PlayerGameData[REBTieBreak],1)</f>
        <v>625</v>
      </c>
      <c r="AR723" s="8">
        <f ca="1">RANK(PlayerGameData[[#This Row],[AST]],PlayerGameData[AST],0)+PlayerGameData[[#This Row],[VisibleOrder]]</f>
        <v>1157</v>
      </c>
      <c r="AS723" s="8">
        <f ca="1">IF(COUNTIF(PlayerGameData[ASTOrder],PlayerGameData[[#This Row],[ASTOrder]])&gt;1,PlayerGameData[[#This Row],[PointRank]]/100+PlayerGameData[[#This Row],[ASTOrder]],PlayerGameData[[#This Row],[ASTOrder]])</f>
        <v>1163.25</v>
      </c>
      <c r="AT723" s="8">
        <f ca="1">RANK(PlayerGameData[[#This Row],[ASTTieBreak]],PlayerGameData[ASTTieBreak],1)</f>
        <v>625</v>
      </c>
      <c r="AU723" s="8">
        <f ca="1">RANK(PlayerGameData[[#This Row],[STL]],PlayerGameData[STL],0)+PlayerGameData[[#This Row],[VisibleOrder]]</f>
        <v>1142</v>
      </c>
      <c r="AV723" s="8">
        <f ca="1">IF(COUNTIF(PlayerGameData[STLOrder],PlayerGameData[[#This Row],[STLOrder]])&gt;1,PlayerGameData[[#This Row],[PointRank]]/100+PlayerGameData[[#This Row],[STLOrder]],PlayerGameData[[#This Row],[STLOrder]])</f>
        <v>1148.25</v>
      </c>
      <c r="AW723" s="8">
        <f ca="1">RANK(PlayerGameData[[#This Row],[STLTieBreak]],PlayerGameData[STLTieBreak],1)</f>
        <v>625</v>
      </c>
      <c r="AX723" s="8">
        <f ca="1">RANK(PlayerGameData[[#This Row],[BLK]],PlayerGameData[BLK],0)+PlayerGameData[[#This Row],[VisibleOrder]]</f>
        <v>1031</v>
      </c>
      <c r="AY723" s="8">
        <f ca="1">IF(COUNTIF(PlayerGameData[BLKOrder],PlayerGameData[[#This Row],[BLKOrder]])&gt;1,PlayerGameData[[#This Row],[PointRank]]/100+PlayerGameData[[#This Row],[BLKOrder]],PlayerGameData[[#This Row],[BLKOrder]])</f>
        <v>1037.25</v>
      </c>
      <c r="AZ723" s="8">
        <f ca="1">RANK(PlayerGameData[[#This Row],[BLKTieBreak]],PlayerGameData[BLKTieBreak],1)</f>
        <v>625</v>
      </c>
      <c r="BA723" s="11">
        <f ca="1">IFERROR(IF(PlayerGameData[[#This Row],[FGA]]&gt;$AA$5,PlayerGameData[[#This Row],[FG%*]],PlayerGameData[[#This Row],[FG%*]]*-1),-2)</f>
        <v>-2</v>
      </c>
      <c r="BB723" s="8">
        <f ca="1">RANK(PlayerGameData[[#This Row],[EligFG]],PlayerGameData[EligFG],0)+PlayerGameData[[#This Row],[VisibleOrder]]</f>
        <v>1214</v>
      </c>
      <c r="BC723" s="8">
        <f ca="1">IF(COUNTIF(PlayerGameData[EligFGOrder],PlayerGameData[[#This Row],[EligFGOrder]])&gt;1,PlayerGameData[[#This Row],[PointRank]]/100+PlayerGameData[[#This Row],[EligFGOrder]],PlayerGameData[[#This Row],[EligFGOrder]])</f>
        <v>1220.25</v>
      </c>
      <c r="BD723" s="8">
        <f ca="1">RANK(PlayerGameData[[#This Row],[EligFGTieBreak]],PlayerGameData[EligFGTieBreak],1)</f>
        <v>625</v>
      </c>
      <c r="BE723" s="8" t="str">
        <f>Roster!$D$3</f>
        <v>East</v>
      </c>
      <c r="BF723" s="8" t="str">
        <f>Roster!$D$2</f>
        <v>Northeast</v>
      </c>
      <c r="BG723" s="8" t="str">
        <f>Roster!$D$4</f>
        <v>North</v>
      </c>
      <c r="BH723" s="197">
        <f ca="1">IFERROR(VLOOKUP(CONCATENATE(PlayerGameData[[#This Row],[Opponent]]," ",MONTH(PlayerGameData[[#This Row],[Date]]),"/",DAY(PlayerGameData[[#This Row],[Date]]),"/",YEAR(PlayerGameData[[#This Row],[Date]])),Table35[],2,FALSE),0)</f>
        <v>0</v>
      </c>
      <c r="BI723" s="197">
        <f ca="1">IF(PlayerGameData[[#This Row],[Visible]]=1,1,1000)</f>
        <v>1000</v>
      </c>
      <c r="BJ723" s="197" t="e">
        <f ca="1">_xlfn.MAXIFS(TeamGameData[Win],TeamGameData[School, Opponent,Game'#],PlayerGameData[[#This Row],[School, Opponent,Game'#]])</f>
        <v>#NAME?</v>
      </c>
      <c r="BK723" s="197" t="e">
        <f ca="1">_xlfn.MAXIFS(TeamGameData[Loss],TeamGameData[School, Opponent,Game'#],PlayerGameData[[#This Row],[School, Opponent,Game'#]])</f>
        <v>#NAME?</v>
      </c>
    </row>
    <row r="724" spans="1:63" x14ac:dyDescent="0.25">
      <c r="A724" s="8" t="str">
        <f t="shared" ca="1" si="363"/>
        <v xml:space="preserve">, </v>
      </c>
      <c r="B724" s="8" t="str">
        <f>Roster!$B$1</f>
        <v>Upton</v>
      </c>
      <c r="C724" s="8">
        <f t="shared" ca="1" si="351"/>
        <v>0</v>
      </c>
      <c r="D724" s="10">
        <f t="shared" ca="1" si="352"/>
        <v>0</v>
      </c>
      <c r="E724" s="8">
        <f t="shared" ca="1" si="353"/>
        <v>0</v>
      </c>
      <c r="F724" s="8">
        <f t="shared" ca="1" si="354"/>
        <v>0</v>
      </c>
      <c r="G724" s="8">
        <f t="shared" ca="1" si="355"/>
        <v>0</v>
      </c>
      <c r="H724" s="8">
        <f t="shared" ca="1" si="356"/>
        <v>0</v>
      </c>
      <c r="I724" s="8">
        <f t="shared" ca="1" si="357"/>
        <v>0</v>
      </c>
      <c r="J724" s="8">
        <f t="shared" ca="1" si="358"/>
        <v>0</v>
      </c>
      <c r="K724" s="8">
        <f t="shared" ca="1" si="359"/>
        <v>0</v>
      </c>
      <c r="L724" s="8">
        <f t="shared" ca="1" si="364"/>
        <v>0</v>
      </c>
      <c r="M724" s="8">
        <f t="shared" ca="1" si="365"/>
        <v>0</v>
      </c>
      <c r="N724" s="8">
        <f t="shared" ca="1" si="366"/>
        <v>0</v>
      </c>
      <c r="O724" s="8">
        <f t="shared" ca="1" si="367"/>
        <v>0</v>
      </c>
      <c r="P724" s="8">
        <f t="shared" ca="1" si="368"/>
        <v>0</v>
      </c>
      <c r="Q724" s="8">
        <f t="shared" ca="1" si="369"/>
        <v>0</v>
      </c>
      <c r="R724" s="8">
        <f t="shared" ca="1" si="370"/>
        <v>0</v>
      </c>
      <c r="S724" s="8">
        <f t="shared" ca="1" si="371"/>
        <v>0</v>
      </c>
      <c r="T724" s="8">
        <f t="shared" ca="1" si="372"/>
        <v>0</v>
      </c>
      <c r="U724" s="8">
        <f t="shared" ca="1" si="373"/>
        <v>0</v>
      </c>
      <c r="V724" s="8">
        <f t="shared" ca="1" si="374"/>
        <v>0</v>
      </c>
      <c r="W724" s="11" t="str">
        <f t="shared" ca="1" si="375"/>
        <v/>
      </c>
      <c r="X724" s="11" t="str">
        <f t="shared" ca="1" si="376"/>
        <v/>
      </c>
      <c r="Y724" s="11" t="str">
        <f t="shared" ca="1" si="377"/>
        <v/>
      </c>
      <c r="Z724" s="11" t="str">
        <f t="shared" ca="1" si="378"/>
        <v/>
      </c>
      <c r="AA724" s="11" t="str">
        <f t="shared" ca="1" si="379"/>
        <v/>
      </c>
      <c r="AB724" s="47">
        <f ca="1">PlayerGameData[[#This Row],[3FGA]]+PlayerGameData[[#This Row],[2FGA]]</f>
        <v>0</v>
      </c>
      <c r="AC724" s="47">
        <f ca="1">PlayerGameData[[#This Row],[OFF REB]]+PlayerGameData[[#This Row],[DEF REB]]</f>
        <v>0</v>
      </c>
      <c r="AD724" s="8">
        <f t="shared" si="360"/>
        <v>30</v>
      </c>
      <c r="AE724" s="8" t="str">
        <f t="shared" ca="1" si="361"/>
        <v>,  - 0 1/0/1900</v>
      </c>
      <c r="AF724" s="8" t="str">
        <f t="shared" ca="1" si="380"/>
        <v/>
      </c>
      <c r="AG724" s="8" t="str">
        <f ca="1">IFERROR(IF(C724=0,"",IF(AND(VLOOKUP(PlayerGameData[[#This Row],[Opponent]],WYTeamInfo,2,FALSE)=Roster!$D$1,VLOOKUP(PlayerGameData[[#This Row],[Opponent]],WYTeamInfo,3,FALSE)=Roster!$D$2),"SR","")),"")</f>
        <v/>
      </c>
      <c r="AH724" s="8" t="str">
        <f>CONCATENATE(Roster!$D$1," ",Roster!$D$5)</f>
        <v>1A BB</v>
      </c>
      <c r="AI724" s="8" t="str">
        <f t="shared" ca="1" si="362"/>
        <v>Blank</v>
      </c>
      <c r="AJ724" s="8">
        <f ca="1">IFERROR(VLOOKUP(PlayerGameData[[#This Row],[School, Opponent,Game'#]],Table3[],2,FALSE),0)</f>
        <v>0</v>
      </c>
      <c r="AK724" s="8">
        <f ca="1">IF(PlayerGameData[[#This Row],[Visible]]=1,1,1000)</f>
        <v>1000</v>
      </c>
      <c r="AL724" s="8">
        <f ca="1">RANK(PlayerGameData[[#This Row],[TL PTS]],PlayerGameData[TL PTS],0)+PlayerGameData[[#This Row],[VisibleOrder]]</f>
        <v>1184</v>
      </c>
      <c r="AM724" s="8">
        <f ca="1">IF(COUNTIF(PlayerGameData[PointOrder],PlayerGameData[[#This Row],[PointOrder]])&gt;1,RANK(PlayerGameData[[#This Row],[FGA]],PlayerGameData[FGA],0)/100,0)+PlayerGameData[[#This Row],[PointOrder]]</f>
        <v>1186.1400000000001</v>
      </c>
      <c r="AN724" s="8">
        <f ca="1">RANK(PlayerGameData[[#This Row],[PointTieBreak]],PlayerGameData[PointTieBreak],1)</f>
        <v>625</v>
      </c>
      <c r="AO724" s="8">
        <f ca="1">RANK(PlayerGameData[[#This Row],[REB]],PlayerGameData[REB],0)+PlayerGameData[[#This Row],[VisibleOrder]]</f>
        <v>1191</v>
      </c>
      <c r="AP724" s="8">
        <f ca="1">IF(COUNTIF(PlayerGameData[REBOrder],PlayerGameData[[#This Row],[REBOrder]])&gt;1,PlayerGameData[[#This Row],[PointRank]]/100+PlayerGameData[[#This Row],[REBOrder]],PlayerGameData[[#This Row],[REBOrder]])</f>
        <v>1197.25</v>
      </c>
      <c r="AQ724" s="8">
        <f ca="1">RANK(PlayerGameData[[#This Row],[REBTieBreak]],PlayerGameData[REBTieBreak],1)</f>
        <v>625</v>
      </c>
      <c r="AR724" s="8">
        <f ca="1">RANK(PlayerGameData[[#This Row],[AST]],PlayerGameData[AST],0)+PlayerGameData[[#This Row],[VisibleOrder]]</f>
        <v>1157</v>
      </c>
      <c r="AS724" s="8">
        <f ca="1">IF(COUNTIF(PlayerGameData[ASTOrder],PlayerGameData[[#This Row],[ASTOrder]])&gt;1,PlayerGameData[[#This Row],[PointRank]]/100+PlayerGameData[[#This Row],[ASTOrder]],PlayerGameData[[#This Row],[ASTOrder]])</f>
        <v>1163.25</v>
      </c>
      <c r="AT724" s="8">
        <f ca="1">RANK(PlayerGameData[[#This Row],[ASTTieBreak]],PlayerGameData[ASTTieBreak],1)</f>
        <v>625</v>
      </c>
      <c r="AU724" s="8">
        <f ca="1">RANK(PlayerGameData[[#This Row],[STL]],PlayerGameData[STL],0)+PlayerGameData[[#This Row],[VisibleOrder]]</f>
        <v>1142</v>
      </c>
      <c r="AV724" s="8">
        <f ca="1">IF(COUNTIF(PlayerGameData[STLOrder],PlayerGameData[[#This Row],[STLOrder]])&gt;1,PlayerGameData[[#This Row],[PointRank]]/100+PlayerGameData[[#This Row],[STLOrder]],PlayerGameData[[#This Row],[STLOrder]])</f>
        <v>1148.25</v>
      </c>
      <c r="AW724" s="8">
        <f ca="1">RANK(PlayerGameData[[#This Row],[STLTieBreak]],PlayerGameData[STLTieBreak],1)</f>
        <v>625</v>
      </c>
      <c r="AX724" s="8">
        <f ca="1">RANK(PlayerGameData[[#This Row],[BLK]],PlayerGameData[BLK],0)+PlayerGameData[[#This Row],[VisibleOrder]]</f>
        <v>1031</v>
      </c>
      <c r="AY724" s="8">
        <f ca="1">IF(COUNTIF(PlayerGameData[BLKOrder],PlayerGameData[[#This Row],[BLKOrder]])&gt;1,PlayerGameData[[#This Row],[PointRank]]/100+PlayerGameData[[#This Row],[BLKOrder]],PlayerGameData[[#This Row],[BLKOrder]])</f>
        <v>1037.25</v>
      </c>
      <c r="AZ724" s="8">
        <f ca="1">RANK(PlayerGameData[[#This Row],[BLKTieBreak]],PlayerGameData[BLKTieBreak],1)</f>
        <v>625</v>
      </c>
      <c r="BA724" s="11">
        <f ca="1">IFERROR(IF(PlayerGameData[[#This Row],[FGA]]&gt;$AA$5,PlayerGameData[[#This Row],[FG%*]],PlayerGameData[[#This Row],[FG%*]]*-1),-2)</f>
        <v>-2</v>
      </c>
      <c r="BB724" s="8">
        <f ca="1">RANK(PlayerGameData[[#This Row],[EligFG]],PlayerGameData[EligFG],0)+PlayerGameData[[#This Row],[VisibleOrder]]</f>
        <v>1214</v>
      </c>
      <c r="BC724" s="8">
        <f ca="1">IF(COUNTIF(PlayerGameData[EligFGOrder],PlayerGameData[[#This Row],[EligFGOrder]])&gt;1,PlayerGameData[[#This Row],[PointRank]]/100+PlayerGameData[[#This Row],[EligFGOrder]],PlayerGameData[[#This Row],[EligFGOrder]])</f>
        <v>1220.25</v>
      </c>
      <c r="BD724" s="8">
        <f ca="1">RANK(PlayerGameData[[#This Row],[EligFGTieBreak]],PlayerGameData[EligFGTieBreak],1)</f>
        <v>625</v>
      </c>
      <c r="BE724" s="8" t="str">
        <f>Roster!$D$3</f>
        <v>East</v>
      </c>
      <c r="BF724" s="8" t="str">
        <f>Roster!$D$2</f>
        <v>Northeast</v>
      </c>
      <c r="BG724" s="8" t="str">
        <f>Roster!$D$4</f>
        <v>North</v>
      </c>
      <c r="BH724" s="197">
        <f ca="1">IFERROR(VLOOKUP(CONCATENATE(PlayerGameData[[#This Row],[Opponent]]," ",MONTH(PlayerGameData[[#This Row],[Date]]),"/",DAY(PlayerGameData[[#This Row],[Date]]),"/",YEAR(PlayerGameData[[#This Row],[Date]])),Table35[],2,FALSE),0)</f>
        <v>0</v>
      </c>
      <c r="BI724" s="197">
        <f ca="1">IF(PlayerGameData[[#This Row],[Visible]]=1,1,1000)</f>
        <v>1000</v>
      </c>
      <c r="BJ724" s="197" t="e">
        <f ca="1">_xlfn.MAXIFS(TeamGameData[Win],TeamGameData[School, Opponent,Game'#],PlayerGameData[[#This Row],[School, Opponent,Game'#]])</f>
        <v>#NAME?</v>
      </c>
      <c r="BK724" s="197" t="e">
        <f ca="1">_xlfn.MAXIFS(TeamGameData[Loss],TeamGameData[School, Opponent,Game'#],PlayerGameData[[#This Row],[School, Opponent,Game'#]])</f>
        <v>#NAME?</v>
      </c>
    </row>
    <row r="725" spans="1:63" x14ac:dyDescent="0.25">
      <c r="A725" s="8" t="str">
        <f t="shared" ca="1" si="363"/>
        <v xml:space="preserve">, </v>
      </c>
      <c r="B725" s="8" t="str">
        <f>Roster!$B$1</f>
        <v>Upton</v>
      </c>
      <c r="C725" s="8">
        <f t="shared" ca="1" si="351"/>
        <v>0</v>
      </c>
      <c r="D725" s="10">
        <f t="shared" ca="1" si="352"/>
        <v>0</v>
      </c>
      <c r="E725" s="8">
        <f t="shared" ca="1" si="353"/>
        <v>0</v>
      </c>
      <c r="F725" s="8">
        <f t="shared" ca="1" si="354"/>
        <v>0</v>
      </c>
      <c r="G725" s="8">
        <f t="shared" ca="1" si="355"/>
        <v>0</v>
      </c>
      <c r="H725" s="8">
        <f t="shared" ca="1" si="356"/>
        <v>0</v>
      </c>
      <c r="I725" s="8">
        <f t="shared" ca="1" si="357"/>
        <v>0</v>
      </c>
      <c r="J725" s="8">
        <f t="shared" ca="1" si="358"/>
        <v>0</v>
      </c>
      <c r="K725" s="8">
        <f t="shared" ca="1" si="359"/>
        <v>0</v>
      </c>
      <c r="L725" s="8">
        <f t="shared" ca="1" si="364"/>
        <v>0</v>
      </c>
      <c r="M725" s="8">
        <f t="shared" ca="1" si="365"/>
        <v>0</v>
      </c>
      <c r="N725" s="8">
        <f t="shared" ca="1" si="366"/>
        <v>0</v>
      </c>
      <c r="O725" s="8">
        <f t="shared" ca="1" si="367"/>
        <v>0</v>
      </c>
      <c r="P725" s="8">
        <f t="shared" ca="1" si="368"/>
        <v>0</v>
      </c>
      <c r="Q725" s="8">
        <f t="shared" ca="1" si="369"/>
        <v>0</v>
      </c>
      <c r="R725" s="8">
        <f t="shared" ca="1" si="370"/>
        <v>0</v>
      </c>
      <c r="S725" s="8">
        <f t="shared" ca="1" si="371"/>
        <v>0</v>
      </c>
      <c r="T725" s="8">
        <f t="shared" ca="1" si="372"/>
        <v>0</v>
      </c>
      <c r="U725" s="8">
        <f t="shared" ca="1" si="373"/>
        <v>0</v>
      </c>
      <c r="V725" s="8">
        <f t="shared" ca="1" si="374"/>
        <v>0</v>
      </c>
      <c r="W725" s="11" t="str">
        <f t="shared" ca="1" si="375"/>
        <v/>
      </c>
      <c r="X725" s="11" t="str">
        <f t="shared" ca="1" si="376"/>
        <v/>
      </c>
      <c r="Y725" s="11" t="str">
        <f t="shared" ca="1" si="377"/>
        <v/>
      </c>
      <c r="Z725" s="11" t="str">
        <f t="shared" ca="1" si="378"/>
        <v/>
      </c>
      <c r="AA725" s="11" t="str">
        <f t="shared" ca="1" si="379"/>
        <v/>
      </c>
      <c r="AB725" s="47">
        <f ca="1">PlayerGameData[[#This Row],[3FGA]]+PlayerGameData[[#This Row],[2FGA]]</f>
        <v>0</v>
      </c>
      <c r="AC725" s="47">
        <f ca="1">PlayerGameData[[#This Row],[OFF REB]]+PlayerGameData[[#This Row],[DEF REB]]</f>
        <v>0</v>
      </c>
      <c r="AD725" s="8">
        <f t="shared" si="360"/>
        <v>30</v>
      </c>
      <c r="AE725" s="8" t="str">
        <f t="shared" ca="1" si="361"/>
        <v>,  - 0 1/0/1900</v>
      </c>
      <c r="AF725" s="8" t="str">
        <f t="shared" ca="1" si="380"/>
        <v/>
      </c>
      <c r="AG725" s="8" t="str">
        <f ca="1">IFERROR(IF(C725=0,"",IF(AND(VLOOKUP(PlayerGameData[[#This Row],[Opponent]],WYTeamInfo,2,FALSE)=Roster!$D$1,VLOOKUP(PlayerGameData[[#This Row],[Opponent]],WYTeamInfo,3,FALSE)=Roster!$D$2),"SR","")),"")</f>
        <v/>
      </c>
      <c r="AH725" s="8" t="str">
        <f>CONCATENATE(Roster!$D$1," ",Roster!$D$5)</f>
        <v>1A BB</v>
      </c>
      <c r="AI725" s="8" t="str">
        <f t="shared" ca="1" si="362"/>
        <v>Blank</v>
      </c>
      <c r="AJ725" s="8">
        <f ca="1">IFERROR(VLOOKUP(PlayerGameData[[#This Row],[School, Opponent,Game'#]],Table3[],2,FALSE),0)</f>
        <v>0</v>
      </c>
      <c r="AK725" s="8">
        <f ca="1">IF(PlayerGameData[[#This Row],[Visible]]=1,1,1000)</f>
        <v>1000</v>
      </c>
      <c r="AL725" s="8">
        <f ca="1">RANK(PlayerGameData[[#This Row],[TL PTS]],PlayerGameData[TL PTS],0)+PlayerGameData[[#This Row],[VisibleOrder]]</f>
        <v>1184</v>
      </c>
      <c r="AM725" s="8">
        <f ca="1">IF(COUNTIF(PlayerGameData[PointOrder],PlayerGameData[[#This Row],[PointOrder]])&gt;1,RANK(PlayerGameData[[#This Row],[FGA]],PlayerGameData[FGA],0)/100,0)+PlayerGameData[[#This Row],[PointOrder]]</f>
        <v>1186.1400000000001</v>
      </c>
      <c r="AN725" s="8">
        <f ca="1">RANK(PlayerGameData[[#This Row],[PointTieBreak]],PlayerGameData[PointTieBreak],1)</f>
        <v>625</v>
      </c>
      <c r="AO725" s="8">
        <f ca="1">RANK(PlayerGameData[[#This Row],[REB]],PlayerGameData[REB],0)+PlayerGameData[[#This Row],[VisibleOrder]]</f>
        <v>1191</v>
      </c>
      <c r="AP725" s="8">
        <f ca="1">IF(COUNTIF(PlayerGameData[REBOrder],PlayerGameData[[#This Row],[REBOrder]])&gt;1,PlayerGameData[[#This Row],[PointRank]]/100+PlayerGameData[[#This Row],[REBOrder]],PlayerGameData[[#This Row],[REBOrder]])</f>
        <v>1197.25</v>
      </c>
      <c r="AQ725" s="8">
        <f ca="1">RANK(PlayerGameData[[#This Row],[REBTieBreak]],PlayerGameData[REBTieBreak],1)</f>
        <v>625</v>
      </c>
      <c r="AR725" s="8">
        <f ca="1">RANK(PlayerGameData[[#This Row],[AST]],PlayerGameData[AST],0)+PlayerGameData[[#This Row],[VisibleOrder]]</f>
        <v>1157</v>
      </c>
      <c r="AS725" s="8">
        <f ca="1">IF(COUNTIF(PlayerGameData[ASTOrder],PlayerGameData[[#This Row],[ASTOrder]])&gt;1,PlayerGameData[[#This Row],[PointRank]]/100+PlayerGameData[[#This Row],[ASTOrder]],PlayerGameData[[#This Row],[ASTOrder]])</f>
        <v>1163.25</v>
      </c>
      <c r="AT725" s="8">
        <f ca="1">RANK(PlayerGameData[[#This Row],[ASTTieBreak]],PlayerGameData[ASTTieBreak],1)</f>
        <v>625</v>
      </c>
      <c r="AU725" s="8">
        <f ca="1">RANK(PlayerGameData[[#This Row],[STL]],PlayerGameData[STL],0)+PlayerGameData[[#This Row],[VisibleOrder]]</f>
        <v>1142</v>
      </c>
      <c r="AV725" s="8">
        <f ca="1">IF(COUNTIF(PlayerGameData[STLOrder],PlayerGameData[[#This Row],[STLOrder]])&gt;1,PlayerGameData[[#This Row],[PointRank]]/100+PlayerGameData[[#This Row],[STLOrder]],PlayerGameData[[#This Row],[STLOrder]])</f>
        <v>1148.25</v>
      </c>
      <c r="AW725" s="8">
        <f ca="1">RANK(PlayerGameData[[#This Row],[STLTieBreak]],PlayerGameData[STLTieBreak],1)</f>
        <v>625</v>
      </c>
      <c r="AX725" s="8">
        <f ca="1">RANK(PlayerGameData[[#This Row],[BLK]],PlayerGameData[BLK],0)+PlayerGameData[[#This Row],[VisibleOrder]]</f>
        <v>1031</v>
      </c>
      <c r="AY725" s="8">
        <f ca="1">IF(COUNTIF(PlayerGameData[BLKOrder],PlayerGameData[[#This Row],[BLKOrder]])&gt;1,PlayerGameData[[#This Row],[PointRank]]/100+PlayerGameData[[#This Row],[BLKOrder]],PlayerGameData[[#This Row],[BLKOrder]])</f>
        <v>1037.25</v>
      </c>
      <c r="AZ725" s="8">
        <f ca="1">RANK(PlayerGameData[[#This Row],[BLKTieBreak]],PlayerGameData[BLKTieBreak],1)</f>
        <v>625</v>
      </c>
      <c r="BA725" s="11">
        <f ca="1">IFERROR(IF(PlayerGameData[[#This Row],[FGA]]&gt;$AA$5,PlayerGameData[[#This Row],[FG%*]],PlayerGameData[[#This Row],[FG%*]]*-1),-2)</f>
        <v>-2</v>
      </c>
      <c r="BB725" s="8">
        <f ca="1">RANK(PlayerGameData[[#This Row],[EligFG]],PlayerGameData[EligFG],0)+PlayerGameData[[#This Row],[VisibleOrder]]</f>
        <v>1214</v>
      </c>
      <c r="BC725" s="8">
        <f ca="1">IF(COUNTIF(PlayerGameData[EligFGOrder],PlayerGameData[[#This Row],[EligFGOrder]])&gt;1,PlayerGameData[[#This Row],[PointRank]]/100+PlayerGameData[[#This Row],[EligFGOrder]],PlayerGameData[[#This Row],[EligFGOrder]])</f>
        <v>1220.25</v>
      </c>
      <c r="BD725" s="8">
        <f ca="1">RANK(PlayerGameData[[#This Row],[EligFGTieBreak]],PlayerGameData[EligFGTieBreak],1)</f>
        <v>625</v>
      </c>
      <c r="BE725" s="8" t="str">
        <f>Roster!$D$3</f>
        <v>East</v>
      </c>
      <c r="BF725" s="8" t="str">
        <f>Roster!$D$2</f>
        <v>Northeast</v>
      </c>
      <c r="BG725" s="8" t="str">
        <f>Roster!$D$4</f>
        <v>North</v>
      </c>
      <c r="BH725" s="197">
        <f ca="1">IFERROR(VLOOKUP(CONCATENATE(PlayerGameData[[#This Row],[Opponent]]," ",MONTH(PlayerGameData[[#This Row],[Date]]),"/",DAY(PlayerGameData[[#This Row],[Date]]),"/",YEAR(PlayerGameData[[#This Row],[Date]])),Table35[],2,FALSE),0)</f>
        <v>0</v>
      </c>
      <c r="BI725" s="197">
        <f ca="1">IF(PlayerGameData[[#This Row],[Visible]]=1,1,1000)</f>
        <v>1000</v>
      </c>
      <c r="BJ725" s="197" t="e">
        <f ca="1">_xlfn.MAXIFS(TeamGameData[Win],TeamGameData[School, Opponent,Game'#],PlayerGameData[[#This Row],[School, Opponent,Game'#]])</f>
        <v>#NAME?</v>
      </c>
      <c r="BK725" s="197" t="e">
        <f ca="1">_xlfn.MAXIFS(TeamGameData[Loss],TeamGameData[School, Opponent,Game'#],PlayerGameData[[#This Row],[School, Opponent,Game'#]])</f>
        <v>#NAME?</v>
      </c>
    </row>
    <row r="726" spans="1:63" x14ac:dyDescent="0.25">
      <c r="A726" s="8" t="str">
        <f t="shared" ca="1" si="363"/>
        <v xml:space="preserve">Team, </v>
      </c>
      <c r="B726" s="8" t="str">
        <f>Roster!$B$1</f>
        <v>Upton</v>
      </c>
      <c r="C726" s="8">
        <f t="shared" ca="1" si="351"/>
        <v>0</v>
      </c>
      <c r="D726" s="10">
        <f t="shared" ca="1" si="352"/>
        <v>0</v>
      </c>
      <c r="E726" s="8">
        <f t="shared" ca="1" si="353"/>
        <v>0</v>
      </c>
      <c r="F726" s="8">
        <f t="shared" ca="1" si="354"/>
        <v>0</v>
      </c>
      <c r="G726" s="8">
        <f t="shared" ca="1" si="355"/>
        <v>0</v>
      </c>
      <c r="H726" s="8">
        <f t="shared" ca="1" si="356"/>
        <v>0</v>
      </c>
      <c r="I726" s="8">
        <f t="shared" ca="1" si="357"/>
        <v>0</v>
      </c>
      <c r="J726" s="8">
        <f t="shared" ca="1" si="358"/>
        <v>0</v>
      </c>
      <c r="K726" s="8">
        <f t="shared" ca="1" si="359"/>
        <v>0</v>
      </c>
      <c r="L726" s="8">
        <f t="shared" ca="1" si="364"/>
        <v>0</v>
      </c>
      <c r="M726" s="8">
        <f t="shared" ca="1" si="365"/>
        <v>0</v>
      </c>
      <c r="N726" s="8">
        <f t="shared" ca="1" si="366"/>
        <v>0</v>
      </c>
      <c r="O726" s="8">
        <f t="shared" ca="1" si="367"/>
        <v>0</v>
      </c>
      <c r="P726" s="8">
        <f t="shared" ca="1" si="368"/>
        <v>0</v>
      </c>
      <c r="Q726" s="8">
        <f t="shared" ca="1" si="369"/>
        <v>0</v>
      </c>
      <c r="R726" s="8">
        <f t="shared" ca="1" si="370"/>
        <v>0</v>
      </c>
      <c r="S726" s="8">
        <f t="shared" ca="1" si="371"/>
        <v>0</v>
      </c>
      <c r="T726" s="8">
        <f t="shared" ca="1" si="372"/>
        <v>0</v>
      </c>
      <c r="U726" s="8">
        <f t="shared" ca="1" si="373"/>
        <v>0</v>
      </c>
      <c r="V726" s="8">
        <f t="shared" ca="1" si="374"/>
        <v>0</v>
      </c>
      <c r="W726" s="11" t="str">
        <f t="shared" ca="1" si="375"/>
        <v/>
      </c>
      <c r="X726" s="11" t="str">
        <f t="shared" ca="1" si="376"/>
        <v/>
      </c>
      <c r="Y726" s="11" t="str">
        <f t="shared" ca="1" si="377"/>
        <v/>
      </c>
      <c r="Z726" s="11" t="str">
        <f t="shared" ca="1" si="378"/>
        <v/>
      </c>
      <c r="AA726" s="11" t="str">
        <f t="shared" ca="1" si="379"/>
        <v/>
      </c>
      <c r="AB726" s="47">
        <f ca="1">PlayerGameData[[#This Row],[3FGA]]+PlayerGameData[[#This Row],[2FGA]]</f>
        <v>0</v>
      </c>
      <c r="AC726" s="47">
        <f ca="1">PlayerGameData[[#This Row],[OFF REB]]+PlayerGameData[[#This Row],[DEF REB]]</f>
        <v>0</v>
      </c>
      <c r="AD726" s="8">
        <f t="shared" si="360"/>
        <v>30</v>
      </c>
      <c r="AE726" s="8" t="str">
        <f t="shared" ca="1" si="361"/>
        <v>Team,  - 0 1/0/1900</v>
      </c>
      <c r="AF726" s="8" t="str">
        <f t="shared" ca="1" si="380"/>
        <v/>
      </c>
      <c r="AG726" s="8" t="str">
        <f ca="1">IFERROR(IF(C726=0,"",IF(AND(VLOOKUP(PlayerGameData[[#This Row],[Opponent]],WYTeamInfo,2,FALSE)=Roster!$D$1,VLOOKUP(PlayerGameData[[#This Row],[Opponent]],WYTeamInfo,3,FALSE)=Roster!$D$2),"SR","")),"")</f>
        <v/>
      </c>
      <c r="AH726" s="8" t="str">
        <f>CONCATENATE(Roster!$D$1," ",Roster!$D$5)</f>
        <v>1A BB</v>
      </c>
      <c r="AI726" s="8" t="str">
        <f t="shared" ca="1" si="362"/>
        <v>Blank</v>
      </c>
      <c r="AJ726" s="8">
        <f ca="1">IFERROR(VLOOKUP(PlayerGameData[[#This Row],[School, Opponent,Game'#]],Table3[],2,FALSE),0)</f>
        <v>0</v>
      </c>
      <c r="AK726" s="8">
        <f ca="1">IF(PlayerGameData[[#This Row],[Visible]]=1,1,1000)</f>
        <v>1000</v>
      </c>
      <c r="AL726" s="8">
        <f ca="1">RANK(PlayerGameData[[#This Row],[TL PTS]],PlayerGameData[TL PTS],0)+PlayerGameData[[#This Row],[VisibleOrder]]</f>
        <v>1184</v>
      </c>
      <c r="AM726" s="8">
        <f ca="1">IF(COUNTIF(PlayerGameData[PointOrder],PlayerGameData[[#This Row],[PointOrder]])&gt;1,RANK(PlayerGameData[[#This Row],[FGA]],PlayerGameData[FGA],0)/100,0)+PlayerGameData[[#This Row],[PointOrder]]</f>
        <v>1186.1400000000001</v>
      </c>
      <c r="AN726" s="8">
        <f ca="1">RANK(PlayerGameData[[#This Row],[PointTieBreak]],PlayerGameData[PointTieBreak],1)</f>
        <v>625</v>
      </c>
      <c r="AO726" s="8">
        <f ca="1">RANK(PlayerGameData[[#This Row],[REB]],PlayerGameData[REB],0)+PlayerGameData[[#This Row],[VisibleOrder]]</f>
        <v>1191</v>
      </c>
      <c r="AP726" s="8">
        <f ca="1">IF(COUNTIF(PlayerGameData[REBOrder],PlayerGameData[[#This Row],[REBOrder]])&gt;1,PlayerGameData[[#This Row],[PointRank]]/100+PlayerGameData[[#This Row],[REBOrder]],PlayerGameData[[#This Row],[REBOrder]])</f>
        <v>1197.25</v>
      </c>
      <c r="AQ726" s="8">
        <f ca="1">RANK(PlayerGameData[[#This Row],[REBTieBreak]],PlayerGameData[REBTieBreak],1)</f>
        <v>625</v>
      </c>
      <c r="AR726" s="8">
        <f ca="1">RANK(PlayerGameData[[#This Row],[AST]],PlayerGameData[AST],0)+PlayerGameData[[#This Row],[VisibleOrder]]</f>
        <v>1157</v>
      </c>
      <c r="AS726" s="8">
        <f ca="1">IF(COUNTIF(PlayerGameData[ASTOrder],PlayerGameData[[#This Row],[ASTOrder]])&gt;1,PlayerGameData[[#This Row],[PointRank]]/100+PlayerGameData[[#This Row],[ASTOrder]],PlayerGameData[[#This Row],[ASTOrder]])</f>
        <v>1163.25</v>
      </c>
      <c r="AT726" s="8">
        <f ca="1">RANK(PlayerGameData[[#This Row],[ASTTieBreak]],PlayerGameData[ASTTieBreak],1)</f>
        <v>625</v>
      </c>
      <c r="AU726" s="8">
        <f ca="1">RANK(PlayerGameData[[#This Row],[STL]],PlayerGameData[STL],0)+PlayerGameData[[#This Row],[VisibleOrder]]</f>
        <v>1142</v>
      </c>
      <c r="AV726" s="8">
        <f ca="1">IF(COUNTIF(PlayerGameData[STLOrder],PlayerGameData[[#This Row],[STLOrder]])&gt;1,PlayerGameData[[#This Row],[PointRank]]/100+PlayerGameData[[#This Row],[STLOrder]],PlayerGameData[[#This Row],[STLOrder]])</f>
        <v>1148.25</v>
      </c>
      <c r="AW726" s="8">
        <f ca="1">RANK(PlayerGameData[[#This Row],[STLTieBreak]],PlayerGameData[STLTieBreak],1)</f>
        <v>625</v>
      </c>
      <c r="AX726" s="8">
        <f ca="1">RANK(PlayerGameData[[#This Row],[BLK]],PlayerGameData[BLK],0)+PlayerGameData[[#This Row],[VisibleOrder]]</f>
        <v>1031</v>
      </c>
      <c r="AY726" s="8">
        <f ca="1">IF(COUNTIF(PlayerGameData[BLKOrder],PlayerGameData[[#This Row],[BLKOrder]])&gt;1,PlayerGameData[[#This Row],[PointRank]]/100+PlayerGameData[[#This Row],[BLKOrder]],PlayerGameData[[#This Row],[BLKOrder]])</f>
        <v>1037.25</v>
      </c>
      <c r="AZ726" s="8">
        <f ca="1">RANK(PlayerGameData[[#This Row],[BLKTieBreak]],PlayerGameData[BLKTieBreak],1)</f>
        <v>625</v>
      </c>
      <c r="BA726" s="11">
        <f ca="1">IFERROR(IF(PlayerGameData[[#This Row],[FGA]]&gt;$AA$5,PlayerGameData[[#This Row],[FG%*]],PlayerGameData[[#This Row],[FG%*]]*-1),-2)</f>
        <v>-2</v>
      </c>
      <c r="BB726" s="8">
        <f ca="1">RANK(PlayerGameData[[#This Row],[EligFG]],PlayerGameData[EligFG],0)+PlayerGameData[[#This Row],[VisibleOrder]]</f>
        <v>1214</v>
      </c>
      <c r="BC726" s="8">
        <f ca="1">IF(COUNTIF(PlayerGameData[EligFGOrder],PlayerGameData[[#This Row],[EligFGOrder]])&gt;1,PlayerGameData[[#This Row],[PointRank]]/100+PlayerGameData[[#This Row],[EligFGOrder]],PlayerGameData[[#This Row],[EligFGOrder]])</f>
        <v>1220.25</v>
      </c>
      <c r="BD726" s="8">
        <f ca="1">RANK(PlayerGameData[[#This Row],[EligFGTieBreak]],PlayerGameData[EligFGTieBreak],1)</f>
        <v>625</v>
      </c>
      <c r="BE726" s="8" t="str">
        <f>Roster!$D$3</f>
        <v>East</v>
      </c>
      <c r="BF726" s="8" t="str">
        <f>Roster!$D$2</f>
        <v>Northeast</v>
      </c>
      <c r="BG726" s="8" t="str">
        <f>Roster!$D$4</f>
        <v>North</v>
      </c>
      <c r="BH726" s="197">
        <f ca="1">IFERROR(VLOOKUP(CONCATENATE(PlayerGameData[[#This Row],[Opponent]]," ",MONTH(PlayerGameData[[#This Row],[Date]]),"/",DAY(PlayerGameData[[#This Row],[Date]]),"/",YEAR(PlayerGameData[[#This Row],[Date]])),Table35[],2,FALSE),0)</f>
        <v>0</v>
      </c>
      <c r="BI726" s="197">
        <f ca="1">IF(PlayerGameData[[#This Row],[Visible]]=1,1,1000)</f>
        <v>1000</v>
      </c>
      <c r="BJ726" s="197" t="e">
        <f ca="1">_xlfn.MAXIFS(TeamGameData[Win],TeamGameData[School, Opponent,Game'#],PlayerGameData[[#This Row],[School, Opponent,Game'#]])</f>
        <v>#NAME?</v>
      </c>
      <c r="BK726" s="197" t="e">
        <f ca="1">_xlfn.MAXIFS(TeamGameData[Loss],TeamGameData[School, Opponent,Game'#],PlayerGameData[[#This Row],[School, Opponent,Game'#]])</f>
        <v>#NAME?</v>
      </c>
    </row>
    <row r="727" spans="1:63" x14ac:dyDescent="0.25">
      <c r="A727" s="8" t="str">
        <f t="shared" ca="1" si="363"/>
        <v>Landon Butler, 1</v>
      </c>
      <c r="B727" s="8" t="str">
        <f>Roster!$B$1</f>
        <v>Upton</v>
      </c>
      <c r="C727" s="8">
        <f t="shared" ca="1" si="351"/>
        <v>0</v>
      </c>
      <c r="D727" s="10">
        <f t="shared" ca="1" si="352"/>
        <v>0</v>
      </c>
      <c r="E727" s="8">
        <f t="shared" ca="1" si="353"/>
        <v>0</v>
      </c>
      <c r="F727" s="8">
        <f t="shared" ca="1" si="354"/>
        <v>0</v>
      </c>
      <c r="G727" s="8">
        <f t="shared" ca="1" si="355"/>
        <v>0</v>
      </c>
      <c r="H727" s="8">
        <f t="shared" ca="1" si="356"/>
        <v>0</v>
      </c>
      <c r="I727" s="8">
        <f t="shared" ca="1" si="357"/>
        <v>0</v>
      </c>
      <c r="J727" s="8">
        <f t="shared" ca="1" si="358"/>
        <v>0</v>
      </c>
      <c r="K727" s="8">
        <f t="shared" ca="1" si="359"/>
        <v>0</v>
      </c>
      <c r="L727" s="8">
        <f t="shared" ca="1" si="364"/>
        <v>0</v>
      </c>
      <c r="M727" s="8">
        <f t="shared" ca="1" si="365"/>
        <v>0</v>
      </c>
      <c r="N727" s="8">
        <f t="shared" ca="1" si="366"/>
        <v>0</v>
      </c>
      <c r="O727" s="8">
        <f t="shared" ca="1" si="367"/>
        <v>0</v>
      </c>
      <c r="P727" s="8">
        <f t="shared" ca="1" si="368"/>
        <v>0</v>
      </c>
      <c r="Q727" s="8">
        <f t="shared" ca="1" si="369"/>
        <v>0</v>
      </c>
      <c r="R727" s="8">
        <f t="shared" ca="1" si="370"/>
        <v>0</v>
      </c>
      <c r="S727" s="8">
        <f t="shared" ca="1" si="371"/>
        <v>0</v>
      </c>
      <c r="T727" s="8">
        <f t="shared" ca="1" si="372"/>
        <v>0</v>
      </c>
      <c r="U727" s="8">
        <f t="shared" ca="1" si="373"/>
        <v>0</v>
      </c>
      <c r="V727" s="8">
        <f t="shared" ca="1" si="374"/>
        <v>0</v>
      </c>
      <c r="W727" s="11" t="str">
        <f t="shared" ca="1" si="375"/>
        <v/>
      </c>
      <c r="X727" s="11" t="str">
        <f t="shared" ca="1" si="376"/>
        <v/>
      </c>
      <c r="Y727" s="11" t="str">
        <f t="shared" ca="1" si="377"/>
        <v/>
      </c>
      <c r="Z727" s="11" t="str">
        <f t="shared" ca="1" si="378"/>
        <v/>
      </c>
      <c r="AA727" s="11" t="str">
        <f t="shared" ca="1" si="379"/>
        <v/>
      </c>
      <c r="AB727" s="47">
        <f ca="1">PlayerGameData[[#This Row],[3FGA]]+PlayerGameData[[#This Row],[2FGA]]</f>
        <v>0</v>
      </c>
      <c r="AC727" s="47">
        <f ca="1">PlayerGameData[[#This Row],[OFF REB]]+PlayerGameData[[#This Row],[DEF REB]]</f>
        <v>0</v>
      </c>
      <c r="AD727" s="8">
        <f t="shared" si="360"/>
        <v>31</v>
      </c>
      <c r="AE727" s="8" t="str">
        <f t="shared" ca="1" si="361"/>
        <v>Landon Butler, 1 - 0 1/0/1900</v>
      </c>
      <c r="AF727" s="8" t="str">
        <f t="shared" ca="1" si="380"/>
        <v/>
      </c>
      <c r="AG727" s="8" t="str">
        <f ca="1">IFERROR(IF(C727=0,"",IF(AND(VLOOKUP(PlayerGameData[[#This Row],[Opponent]],WYTeamInfo,2,FALSE)=Roster!$D$1,VLOOKUP(PlayerGameData[[#This Row],[Opponent]],WYTeamInfo,3,FALSE)=Roster!$D$2),"SR","")),"")</f>
        <v/>
      </c>
      <c r="AH727" s="8" t="str">
        <f>CONCATENATE(Roster!$D$1," ",Roster!$D$5)</f>
        <v>1A BB</v>
      </c>
      <c r="AI727" s="8" t="str">
        <f t="shared" ca="1" si="362"/>
        <v>Blank</v>
      </c>
      <c r="AJ727" s="8">
        <f ca="1">IFERROR(VLOOKUP(PlayerGameData[[#This Row],[School, Opponent,Game'#]],Table3[],2,FALSE),0)</f>
        <v>0</v>
      </c>
      <c r="AK727" s="8">
        <f ca="1">IF(PlayerGameData[[#This Row],[Visible]]=1,1,1000)</f>
        <v>1000</v>
      </c>
      <c r="AL727" s="8">
        <f ca="1">RANK(PlayerGameData[[#This Row],[TL PTS]],PlayerGameData[TL PTS],0)+PlayerGameData[[#This Row],[VisibleOrder]]</f>
        <v>1184</v>
      </c>
      <c r="AM727" s="8">
        <f ca="1">IF(COUNTIF(PlayerGameData[PointOrder],PlayerGameData[[#This Row],[PointOrder]])&gt;1,RANK(PlayerGameData[[#This Row],[FGA]],PlayerGameData[FGA],0)/100,0)+PlayerGameData[[#This Row],[PointOrder]]</f>
        <v>1186.1400000000001</v>
      </c>
      <c r="AN727" s="8">
        <f ca="1">RANK(PlayerGameData[[#This Row],[PointTieBreak]],PlayerGameData[PointTieBreak],1)</f>
        <v>625</v>
      </c>
      <c r="AO727" s="8">
        <f ca="1">RANK(PlayerGameData[[#This Row],[REB]],PlayerGameData[REB],0)+PlayerGameData[[#This Row],[VisibleOrder]]</f>
        <v>1191</v>
      </c>
      <c r="AP727" s="8">
        <f ca="1">IF(COUNTIF(PlayerGameData[REBOrder],PlayerGameData[[#This Row],[REBOrder]])&gt;1,PlayerGameData[[#This Row],[PointRank]]/100+PlayerGameData[[#This Row],[REBOrder]],PlayerGameData[[#This Row],[REBOrder]])</f>
        <v>1197.25</v>
      </c>
      <c r="AQ727" s="8">
        <f ca="1">RANK(PlayerGameData[[#This Row],[REBTieBreak]],PlayerGameData[REBTieBreak],1)</f>
        <v>625</v>
      </c>
      <c r="AR727" s="8">
        <f ca="1">RANK(PlayerGameData[[#This Row],[AST]],PlayerGameData[AST],0)+PlayerGameData[[#This Row],[VisibleOrder]]</f>
        <v>1157</v>
      </c>
      <c r="AS727" s="8">
        <f ca="1">IF(COUNTIF(PlayerGameData[ASTOrder],PlayerGameData[[#This Row],[ASTOrder]])&gt;1,PlayerGameData[[#This Row],[PointRank]]/100+PlayerGameData[[#This Row],[ASTOrder]],PlayerGameData[[#This Row],[ASTOrder]])</f>
        <v>1163.25</v>
      </c>
      <c r="AT727" s="8">
        <f ca="1">RANK(PlayerGameData[[#This Row],[ASTTieBreak]],PlayerGameData[ASTTieBreak],1)</f>
        <v>625</v>
      </c>
      <c r="AU727" s="8">
        <f ca="1">RANK(PlayerGameData[[#This Row],[STL]],PlayerGameData[STL],0)+PlayerGameData[[#This Row],[VisibleOrder]]</f>
        <v>1142</v>
      </c>
      <c r="AV727" s="8">
        <f ca="1">IF(COUNTIF(PlayerGameData[STLOrder],PlayerGameData[[#This Row],[STLOrder]])&gt;1,PlayerGameData[[#This Row],[PointRank]]/100+PlayerGameData[[#This Row],[STLOrder]],PlayerGameData[[#This Row],[STLOrder]])</f>
        <v>1148.25</v>
      </c>
      <c r="AW727" s="8">
        <f ca="1">RANK(PlayerGameData[[#This Row],[STLTieBreak]],PlayerGameData[STLTieBreak],1)</f>
        <v>625</v>
      </c>
      <c r="AX727" s="8">
        <f ca="1">RANK(PlayerGameData[[#This Row],[BLK]],PlayerGameData[BLK],0)+PlayerGameData[[#This Row],[VisibleOrder]]</f>
        <v>1031</v>
      </c>
      <c r="AY727" s="8">
        <f ca="1">IF(COUNTIF(PlayerGameData[BLKOrder],PlayerGameData[[#This Row],[BLKOrder]])&gt;1,PlayerGameData[[#This Row],[PointRank]]/100+PlayerGameData[[#This Row],[BLKOrder]],PlayerGameData[[#This Row],[BLKOrder]])</f>
        <v>1037.25</v>
      </c>
      <c r="AZ727" s="8">
        <f ca="1">RANK(PlayerGameData[[#This Row],[BLKTieBreak]],PlayerGameData[BLKTieBreak],1)</f>
        <v>625</v>
      </c>
      <c r="BA727" s="11">
        <f ca="1">IFERROR(IF(PlayerGameData[[#This Row],[FGA]]&gt;$AA$5,PlayerGameData[[#This Row],[FG%*]],PlayerGameData[[#This Row],[FG%*]]*-1),-2)</f>
        <v>-2</v>
      </c>
      <c r="BB727" s="8">
        <f ca="1">RANK(PlayerGameData[[#This Row],[EligFG]],PlayerGameData[EligFG],0)+PlayerGameData[[#This Row],[VisibleOrder]]</f>
        <v>1214</v>
      </c>
      <c r="BC727" s="8">
        <f ca="1">IF(COUNTIF(PlayerGameData[EligFGOrder],PlayerGameData[[#This Row],[EligFGOrder]])&gt;1,PlayerGameData[[#This Row],[PointRank]]/100+PlayerGameData[[#This Row],[EligFGOrder]],PlayerGameData[[#This Row],[EligFGOrder]])</f>
        <v>1220.25</v>
      </c>
      <c r="BD727" s="8">
        <f ca="1">RANK(PlayerGameData[[#This Row],[EligFGTieBreak]],PlayerGameData[EligFGTieBreak],1)</f>
        <v>625</v>
      </c>
      <c r="BE727" s="8" t="str">
        <f>Roster!$D$3</f>
        <v>East</v>
      </c>
      <c r="BF727" s="8" t="str">
        <f>Roster!$D$2</f>
        <v>Northeast</v>
      </c>
      <c r="BG727" s="8" t="str">
        <f>Roster!$D$4</f>
        <v>North</v>
      </c>
      <c r="BH727" s="197">
        <f ca="1">IFERROR(VLOOKUP(CONCATENATE(PlayerGameData[[#This Row],[Opponent]]," ",MONTH(PlayerGameData[[#This Row],[Date]]),"/",DAY(PlayerGameData[[#This Row],[Date]]),"/",YEAR(PlayerGameData[[#This Row],[Date]])),Table35[],2,FALSE),0)</f>
        <v>0</v>
      </c>
      <c r="BI727" s="197">
        <f ca="1">IF(PlayerGameData[[#This Row],[Visible]]=1,1,1000)</f>
        <v>1000</v>
      </c>
      <c r="BJ727" s="197" t="e">
        <f ca="1">_xlfn.MAXIFS(TeamGameData[Win],TeamGameData[School, Opponent,Game'#],PlayerGameData[[#This Row],[School, Opponent,Game'#]])</f>
        <v>#NAME?</v>
      </c>
      <c r="BK727" s="197" t="e">
        <f ca="1">_xlfn.MAXIFS(TeamGameData[Loss],TeamGameData[School, Opponent,Game'#],PlayerGameData[[#This Row],[School, Opponent,Game'#]])</f>
        <v>#NAME?</v>
      </c>
    </row>
    <row r="728" spans="1:63" x14ac:dyDescent="0.25">
      <c r="A728" s="8" t="str">
        <f t="shared" ca="1" si="363"/>
        <v>Logan Timberman, 3</v>
      </c>
      <c r="B728" s="8" t="str">
        <f>Roster!$B$1</f>
        <v>Upton</v>
      </c>
      <c r="C728" s="8">
        <f t="shared" ca="1" si="351"/>
        <v>0</v>
      </c>
      <c r="D728" s="10">
        <f t="shared" ca="1" si="352"/>
        <v>0</v>
      </c>
      <c r="E728" s="8">
        <f t="shared" ca="1" si="353"/>
        <v>0</v>
      </c>
      <c r="F728" s="8">
        <f t="shared" ca="1" si="354"/>
        <v>0</v>
      </c>
      <c r="G728" s="8">
        <f t="shared" ca="1" si="355"/>
        <v>0</v>
      </c>
      <c r="H728" s="8">
        <f t="shared" ca="1" si="356"/>
        <v>0</v>
      </c>
      <c r="I728" s="8">
        <f t="shared" ca="1" si="357"/>
        <v>0</v>
      </c>
      <c r="J728" s="8">
        <f t="shared" ca="1" si="358"/>
        <v>0</v>
      </c>
      <c r="K728" s="8">
        <f t="shared" ca="1" si="359"/>
        <v>0</v>
      </c>
      <c r="L728" s="8">
        <f t="shared" ca="1" si="364"/>
        <v>0</v>
      </c>
      <c r="M728" s="8">
        <f t="shared" ca="1" si="365"/>
        <v>0</v>
      </c>
      <c r="N728" s="8">
        <f t="shared" ca="1" si="366"/>
        <v>0</v>
      </c>
      <c r="O728" s="8">
        <f t="shared" ca="1" si="367"/>
        <v>0</v>
      </c>
      <c r="P728" s="8">
        <f t="shared" ca="1" si="368"/>
        <v>0</v>
      </c>
      <c r="Q728" s="8">
        <f t="shared" ca="1" si="369"/>
        <v>0</v>
      </c>
      <c r="R728" s="8">
        <f t="shared" ca="1" si="370"/>
        <v>0</v>
      </c>
      <c r="S728" s="8">
        <f t="shared" ca="1" si="371"/>
        <v>0</v>
      </c>
      <c r="T728" s="8">
        <f t="shared" ca="1" si="372"/>
        <v>0</v>
      </c>
      <c r="U728" s="8">
        <f t="shared" ca="1" si="373"/>
        <v>0</v>
      </c>
      <c r="V728" s="8">
        <f t="shared" ca="1" si="374"/>
        <v>0</v>
      </c>
      <c r="W728" s="11" t="str">
        <f t="shared" ca="1" si="375"/>
        <v/>
      </c>
      <c r="X728" s="11" t="str">
        <f t="shared" ca="1" si="376"/>
        <v/>
      </c>
      <c r="Y728" s="11" t="str">
        <f t="shared" ca="1" si="377"/>
        <v/>
      </c>
      <c r="Z728" s="11" t="str">
        <f t="shared" ca="1" si="378"/>
        <v/>
      </c>
      <c r="AA728" s="11" t="str">
        <f t="shared" ca="1" si="379"/>
        <v/>
      </c>
      <c r="AB728" s="47">
        <f ca="1">PlayerGameData[[#This Row],[3FGA]]+PlayerGameData[[#This Row],[2FGA]]</f>
        <v>0</v>
      </c>
      <c r="AC728" s="47">
        <f ca="1">PlayerGameData[[#This Row],[OFF REB]]+PlayerGameData[[#This Row],[DEF REB]]</f>
        <v>0</v>
      </c>
      <c r="AD728" s="8">
        <f t="shared" si="360"/>
        <v>31</v>
      </c>
      <c r="AE728" s="8" t="str">
        <f t="shared" ca="1" si="361"/>
        <v>Logan Timberman, 3 - 0 1/0/1900</v>
      </c>
      <c r="AF728" s="8" t="str">
        <f t="shared" ca="1" si="380"/>
        <v/>
      </c>
      <c r="AG728" s="8" t="str">
        <f ca="1">IFERROR(IF(C728=0,"",IF(AND(VLOOKUP(PlayerGameData[[#This Row],[Opponent]],WYTeamInfo,2,FALSE)=Roster!$D$1,VLOOKUP(PlayerGameData[[#This Row],[Opponent]],WYTeamInfo,3,FALSE)=Roster!$D$2),"SR","")),"")</f>
        <v/>
      </c>
      <c r="AH728" s="8" t="str">
        <f>CONCATENATE(Roster!$D$1," ",Roster!$D$5)</f>
        <v>1A BB</v>
      </c>
      <c r="AI728" s="8" t="str">
        <f t="shared" ca="1" si="362"/>
        <v>Blank</v>
      </c>
      <c r="AJ728" s="8">
        <f ca="1">IFERROR(VLOOKUP(PlayerGameData[[#This Row],[School, Opponent,Game'#]],Table3[],2,FALSE),0)</f>
        <v>0</v>
      </c>
      <c r="AK728" s="8">
        <f ca="1">IF(PlayerGameData[[#This Row],[Visible]]=1,1,1000)</f>
        <v>1000</v>
      </c>
      <c r="AL728" s="8">
        <f ca="1">RANK(PlayerGameData[[#This Row],[TL PTS]],PlayerGameData[TL PTS],0)+PlayerGameData[[#This Row],[VisibleOrder]]</f>
        <v>1184</v>
      </c>
      <c r="AM728" s="8">
        <f ca="1">IF(COUNTIF(PlayerGameData[PointOrder],PlayerGameData[[#This Row],[PointOrder]])&gt;1,RANK(PlayerGameData[[#This Row],[FGA]],PlayerGameData[FGA],0)/100,0)+PlayerGameData[[#This Row],[PointOrder]]</f>
        <v>1186.1400000000001</v>
      </c>
      <c r="AN728" s="8">
        <f ca="1">RANK(PlayerGameData[[#This Row],[PointTieBreak]],PlayerGameData[PointTieBreak],1)</f>
        <v>625</v>
      </c>
      <c r="AO728" s="8">
        <f ca="1">RANK(PlayerGameData[[#This Row],[REB]],PlayerGameData[REB],0)+PlayerGameData[[#This Row],[VisibleOrder]]</f>
        <v>1191</v>
      </c>
      <c r="AP728" s="8">
        <f ca="1">IF(COUNTIF(PlayerGameData[REBOrder],PlayerGameData[[#This Row],[REBOrder]])&gt;1,PlayerGameData[[#This Row],[PointRank]]/100+PlayerGameData[[#This Row],[REBOrder]],PlayerGameData[[#This Row],[REBOrder]])</f>
        <v>1197.25</v>
      </c>
      <c r="AQ728" s="8">
        <f ca="1">RANK(PlayerGameData[[#This Row],[REBTieBreak]],PlayerGameData[REBTieBreak],1)</f>
        <v>625</v>
      </c>
      <c r="AR728" s="8">
        <f ca="1">RANK(PlayerGameData[[#This Row],[AST]],PlayerGameData[AST],0)+PlayerGameData[[#This Row],[VisibleOrder]]</f>
        <v>1157</v>
      </c>
      <c r="AS728" s="8">
        <f ca="1">IF(COUNTIF(PlayerGameData[ASTOrder],PlayerGameData[[#This Row],[ASTOrder]])&gt;1,PlayerGameData[[#This Row],[PointRank]]/100+PlayerGameData[[#This Row],[ASTOrder]],PlayerGameData[[#This Row],[ASTOrder]])</f>
        <v>1163.25</v>
      </c>
      <c r="AT728" s="8">
        <f ca="1">RANK(PlayerGameData[[#This Row],[ASTTieBreak]],PlayerGameData[ASTTieBreak],1)</f>
        <v>625</v>
      </c>
      <c r="AU728" s="8">
        <f ca="1">RANK(PlayerGameData[[#This Row],[STL]],PlayerGameData[STL],0)+PlayerGameData[[#This Row],[VisibleOrder]]</f>
        <v>1142</v>
      </c>
      <c r="AV728" s="8">
        <f ca="1">IF(COUNTIF(PlayerGameData[STLOrder],PlayerGameData[[#This Row],[STLOrder]])&gt;1,PlayerGameData[[#This Row],[PointRank]]/100+PlayerGameData[[#This Row],[STLOrder]],PlayerGameData[[#This Row],[STLOrder]])</f>
        <v>1148.25</v>
      </c>
      <c r="AW728" s="8">
        <f ca="1">RANK(PlayerGameData[[#This Row],[STLTieBreak]],PlayerGameData[STLTieBreak],1)</f>
        <v>625</v>
      </c>
      <c r="AX728" s="8">
        <f ca="1">RANK(PlayerGameData[[#This Row],[BLK]],PlayerGameData[BLK],0)+PlayerGameData[[#This Row],[VisibleOrder]]</f>
        <v>1031</v>
      </c>
      <c r="AY728" s="8">
        <f ca="1">IF(COUNTIF(PlayerGameData[BLKOrder],PlayerGameData[[#This Row],[BLKOrder]])&gt;1,PlayerGameData[[#This Row],[PointRank]]/100+PlayerGameData[[#This Row],[BLKOrder]],PlayerGameData[[#This Row],[BLKOrder]])</f>
        <v>1037.25</v>
      </c>
      <c r="AZ728" s="8">
        <f ca="1">RANK(PlayerGameData[[#This Row],[BLKTieBreak]],PlayerGameData[BLKTieBreak],1)</f>
        <v>625</v>
      </c>
      <c r="BA728" s="11">
        <f ca="1">IFERROR(IF(PlayerGameData[[#This Row],[FGA]]&gt;$AA$5,PlayerGameData[[#This Row],[FG%*]],PlayerGameData[[#This Row],[FG%*]]*-1),-2)</f>
        <v>-2</v>
      </c>
      <c r="BB728" s="8">
        <f ca="1">RANK(PlayerGameData[[#This Row],[EligFG]],PlayerGameData[EligFG],0)+PlayerGameData[[#This Row],[VisibleOrder]]</f>
        <v>1214</v>
      </c>
      <c r="BC728" s="8">
        <f ca="1">IF(COUNTIF(PlayerGameData[EligFGOrder],PlayerGameData[[#This Row],[EligFGOrder]])&gt;1,PlayerGameData[[#This Row],[PointRank]]/100+PlayerGameData[[#This Row],[EligFGOrder]],PlayerGameData[[#This Row],[EligFGOrder]])</f>
        <v>1220.25</v>
      </c>
      <c r="BD728" s="8">
        <f ca="1">RANK(PlayerGameData[[#This Row],[EligFGTieBreak]],PlayerGameData[EligFGTieBreak],1)</f>
        <v>625</v>
      </c>
      <c r="BE728" s="8" t="str">
        <f>Roster!$D$3</f>
        <v>East</v>
      </c>
      <c r="BF728" s="8" t="str">
        <f>Roster!$D$2</f>
        <v>Northeast</v>
      </c>
      <c r="BG728" s="8" t="str">
        <f>Roster!$D$4</f>
        <v>North</v>
      </c>
      <c r="BH728" s="197">
        <f ca="1">IFERROR(VLOOKUP(CONCATENATE(PlayerGameData[[#This Row],[Opponent]]," ",MONTH(PlayerGameData[[#This Row],[Date]]),"/",DAY(PlayerGameData[[#This Row],[Date]]),"/",YEAR(PlayerGameData[[#This Row],[Date]])),Table35[],2,FALSE),0)</f>
        <v>0</v>
      </c>
      <c r="BI728" s="197">
        <f ca="1">IF(PlayerGameData[[#This Row],[Visible]]=1,1,1000)</f>
        <v>1000</v>
      </c>
      <c r="BJ728" s="197" t="e">
        <f ca="1">_xlfn.MAXIFS(TeamGameData[Win],TeamGameData[School, Opponent,Game'#],PlayerGameData[[#This Row],[School, Opponent,Game'#]])</f>
        <v>#NAME?</v>
      </c>
      <c r="BK728" s="197" t="e">
        <f ca="1">_xlfn.MAXIFS(TeamGameData[Loss],TeamGameData[School, Opponent,Game'#],PlayerGameData[[#This Row],[School, Opponent,Game'#]])</f>
        <v>#NAME?</v>
      </c>
    </row>
    <row r="729" spans="1:63" x14ac:dyDescent="0.25">
      <c r="A729" s="8" t="str">
        <f t="shared" ca="1" si="363"/>
        <v>Chase Mills, 5</v>
      </c>
      <c r="B729" s="8" t="str">
        <f>Roster!$B$1</f>
        <v>Upton</v>
      </c>
      <c r="C729" s="8">
        <f t="shared" ca="1" si="351"/>
        <v>0</v>
      </c>
      <c r="D729" s="10">
        <f t="shared" ca="1" si="352"/>
        <v>0</v>
      </c>
      <c r="E729" s="8">
        <f t="shared" ca="1" si="353"/>
        <v>0</v>
      </c>
      <c r="F729" s="8">
        <f t="shared" ca="1" si="354"/>
        <v>0</v>
      </c>
      <c r="G729" s="8">
        <f t="shared" ca="1" si="355"/>
        <v>0</v>
      </c>
      <c r="H729" s="8">
        <f t="shared" ca="1" si="356"/>
        <v>0</v>
      </c>
      <c r="I729" s="8">
        <f t="shared" ca="1" si="357"/>
        <v>0</v>
      </c>
      <c r="J729" s="8">
        <f t="shared" ca="1" si="358"/>
        <v>0</v>
      </c>
      <c r="K729" s="8">
        <f t="shared" ca="1" si="359"/>
        <v>0</v>
      </c>
      <c r="L729" s="8">
        <f t="shared" ca="1" si="364"/>
        <v>0</v>
      </c>
      <c r="M729" s="8">
        <f t="shared" ca="1" si="365"/>
        <v>0</v>
      </c>
      <c r="N729" s="8">
        <f t="shared" ca="1" si="366"/>
        <v>0</v>
      </c>
      <c r="O729" s="8">
        <f t="shared" ca="1" si="367"/>
        <v>0</v>
      </c>
      <c r="P729" s="8">
        <f t="shared" ca="1" si="368"/>
        <v>0</v>
      </c>
      <c r="Q729" s="8">
        <f t="shared" ca="1" si="369"/>
        <v>0</v>
      </c>
      <c r="R729" s="8">
        <f t="shared" ca="1" si="370"/>
        <v>0</v>
      </c>
      <c r="S729" s="8">
        <f t="shared" ca="1" si="371"/>
        <v>0</v>
      </c>
      <c r="T729" s="8">
        <f t="shared" ca="1" si="372"/>
        <v>0</v>
      </c>
      <c r="U729" s="8">
        <f t="shared" ca="1" si="373"/>
        <v>0</v>
      </c>
      <c r="V729" s="8">
        <f t="shared" ca="1" si="374"/>
        <v>0</v>
      </c>
      <c r="W729" s="11" t="str">
        <f t="shared" ca="1" si="375"/>
        <v/>
      </c>
      <c r="X729" s="11" t="str">
        <f t="shared" ca="1" si="376"/>
        <v/>
      </c>
      <c r="Y729" s="11" t="str">
        <f t="shared" ca="1" si="377"/>
        <v/>
      </c>
      <c r="Z729" s="11" t="str">
        <f t="shared" ca="1" si="378"/>
        <v/>
      </c>
      <c r="AA729" s="11" t="str">
        <f t="shared" ca="1" si="379"/>
        <v/>
      </c>
      <c r="AB729" s="47">
        <f ca="1">PlayerGameData[[#This Row],[3FGA]]+PlayerGameData[[#This Row],[2FGA]]</f>
        <v>0</v>
      </c>
      <c r="AC729" s="47">
        <f ca="1">PlayerGameData[[#This Row],[OFF REB]]+PlayerGameData[[#This Row],[DEF REB]]</f>
        <v>0</v>
      </c>
      <c r="AD729" s="8">
        <f t="shared" si="360"/>
        <v>31</v>
      </c>
      <c r="AE729" s="8" t="str">
        <f t="shared" ca="1" si="361"/>
        <v>Chase Mills, 5 - 0 1/0/1900</v>
      </c>
      <c r="AF729" s="8" t="str">
        <f t="shared" ca="1" si="380"/>
        <v/>
      </c>
      <c r="AG729" s="8" t="str">
        <f ca="1">IFERROR(IF(C729=0,"",IF(AND(VLOOKUP(PlayerGameData[[#This Row],[Opponent]],WYTeamInfo,2,FALSE)=Roster!$D$1,VLOOKUP(PlayerGameData[[#This Row],[Opponent]],WYTeamInfo,3,FALSE)=Roster!$D$2),"SR","")),"")</f>
        <v/>
      </c>
      <c r="AH729" s="8" t="str">
        <f>CONCATENATE(Roster!$D$1," ",Roster!$D$5)</f>
        <v>1A BB</v>
      </c>
      <c r="AI729" s="8" t="str">
        <f t="shared" ca="1" si="362"/>
        <v>Blank</v>
      </c>
      <c r="AJ729" s="8">
        <f ca="1">IFERROR(VLOOKUP(PlayerGameData[[#This Row],[School, Opponent,Game'#]],Table3[],2,FALSE),0)</f>
        <v>0</v>
      </c>
      <c r="AK729" s="8">
        <f ca="1">IF(PlayerGameData[[#This Row],[Visible]]=1,1,1000)</f>
        <v>1000</v>
      </c>
      <c r="AL729" s="8">
        <f ca="1">RANK(PlayerGameData[[#This Row],[TL PTS]],PlayerGameData[TL PTS],0)+PlayerGameData[[#This Row],[VisibleOrder]]</f>
        <v>1184</v>
      </c>
      <c r="AM729" s="8">
        <f ca="1">IF(COUNTIF(PlayerGameData[PointOrder],PlayerGameData[[#This Row],[PointOrder]])&gt;1,RANK(PlayerGameData[[#This Row],[FGA]],PlayerGameData[FGA],0)/100,0)+PlayerGameData[[#This Row],[PointOrder]]</f>
        <v>1186.1400000000001</v>
      </c>
      <c r="AN729" s="8">
        <f ca="1">RANK(PlayerGameData[[#This Row],[PointTieBreak]],PlayerGameData[PointTieBreak],1)</f>
        <v>625</v>
      </c>
      <c r="AO729" s="8">
        <f ca="1">RANK(PlayerGameData[[#This Row],[REB]],PlayerGameData[REB],0)+PlayerGameData[[#This Row],[VisibleOrder]]</f>
        <v>1191</v>
      </c>
      <c r="AP729" s="8">
        <f ca="1">IF(COUNTIF(PlayerGameData[REBOrder],PlayerGameData[[#This Row],[REBOrder]])&gt;1,PlayerGameData[[#This Row],[PointRank]]/100+PlayerGameData[[#This Row],[REBOrder]],PlayerGameData[[#This Row],[REBOrder]])</f>
        <v>1197.25</v>
      </c>
      <c r="AQ729" s="8">
        <f ca="1">RANK(PlayerGameData[[#This Row],[REBTieBreak]],PlayerGameData[REBTieBreak],1)</f>
        <v>625</v>
      </c>
      <c r="AR729" s="8">
        <f ca="1">RANK(PlayerGameData[[#This Row],[AST]],PlayerGameData[AST],0)+PlayerGameData[[#This Row],[VisibleOrder]]</f>
        <v>1157</v>
      </c>
      <c r="AS729" s="8">
        <f ca="1">IF(COUNTIF(PlayerGameData[ASTOrder],PlayerGameData[[#This Row],[ASTOrder]])&gt;1,PlayerGameData[[#This Row],[PointRank]]/100+PlayerGameData[[#This Row],[ASTOrder]],PlayerGameData[[#This Row],[ASTOrder]])</f>
        <v>1163.25</v>
      </c>
      <c r="AT729" s="8">
        <f ca="1">RANK(PlayerGameData[[#This Row],[ASTTieBreak]],PlayerGameData[ASTTieBreak],1)</f>
        <v>625</v>
      </c>
      <c r="AU729" s="8">
        <f ca="1">RANK(PlayerGameData[[#This Row],[STL]],PlayerGameData[STL],0)+PlayerGameData[[#This Row],[VisibleOrder]]</f>
        <v>1142</v>
      </c>
      <c r="AV729" s="8">
        <f ca="1">IF(COUNTIF(PlayerGameData[STLOrder],PlayerGameData[[#This Row],[STLOrder]])&gt;1,PlayerGameData[[#This Row],[PointRank]]/100+PlayerGameData[[#This Row],[STLOrder]],PlayerGameData[[#This Row],[STLOrder]])</f>
        <v>1148.25</v>
      </c>
      <c r="AW729" s="8">
        <f ca="1">RANK(PlayerGameData[[#This Row],[STLTieBreak]],PlayerGameData[STLTieBreak],1)</f>
        <v>625</v>
      </c>
      <c r="AX729" s="8">
        <f ca="1">RANK(PlayerGameData[[#This Row],[BLK]],PlayerGameData[BLK],0)+PlayerGameData[[#This Row],[VisibleOrder]]</f>
        <v>1031</v>
      </c>
      <c r="AY729" s="8">
        <f ca="1">IF(COUNTIF(PlayerGameData[BLKOrder],PlayerGameData[[#This Row],[BLKOrder]])&gt;1,PlayerGameData[[#This Row],[PointRank]]/100+PlayerGameData[[#This Row],[BLKOrder]],PlayerGameData[[#This Row],[BLKOrder]])</f>
        <v>1037.25</v>
      </c>
      <c r="AZ729" s="8">
        <f ca="1">RANK(PlayerGameData[[#This Row],[BLKTieBreak]],PlayerGameData[BLKTieBreak],1)</f>
        <v>625</v>
      </c>
      <c r="BA729" s="11">
        <f ca="1">IFERROR(IF(PlayerGameData[[#This Row],[FGA]]&gt;$AA$5,PlayerGameData[[#This Row],[FG%*]],PlayerGameData[[#This Row],[FG%*]]*-1),-2)</f>
        <v>-2</v>
      </c>
      <c r="BB729" s="8">
        <f ca="1">RANK(PlayerGameData[[#This Row],[EligFG]],PlayerGameData[EligFG],0)+PlayerGameData[[#This Row],[VisibleOrder]]</f>
        <v>1214</v>
      </c>
      <c r="BC729" s="8">
        <f ca="1">IF(COUNTIF(PlayerGameData[EligFGOrder],PlayerGameData[[#This Row],[EligFGOrder]])&gt;1,PlayerGameData[[#This Row],[PointRank]]/100+PlayerGameData[[#This Row],[EligFGOrder]],PlayerGameData[[#This Row],[EligFGOrder]])</f>
        <v>1220.25</v>
      </c>
      <c r="BD729" s="8">
        <f ca="1">RANK(PlayerGameData[[#This Row],[EligFGTieBreak]],PlayerGameData[EligFGTieBreak],1)</f>
        <v>625</v>
      </c>
      <c r="BE729" s="8" t="str">
        <f>Roster!$D$3</f>
        <v>East</v>
      </c>
      <c r="BF729" s="8" t="str">
        <f>Roster!$D$2</f>
        <v>Northeast</v>
      </c>
      <c r="BG729" s="8" t="str">
        <f>Roster!$D$4</f>
        <v>North</v>
      </c>
      <c r="BH729" s="197">
        <f ca="1">IFERROR(VLOOKUP(CONCATENATE(PlayerGameData[[#This Row],[Opponent]]," ",MONTH(PlayerGameData[[#This Row],[Date]]),"/",DAY(PlayerGameData[[#This Row],[Date]]),"/",YEAR(PlayerGameData[[#This Row],[Date]])),Table35[],2,FALSE),0)</f>
        <v>0</v>
      </c>
      <c r="BI729" s="197">
        <f ca="1">IF(PlayerGameData[[#This Row],[Visible]]=1,1,1000)</f>
        <v>1000</v>
      </c>
      <c r="BJ729" s="197" t="e">
        <f ca="1">_xlfn.MAXIFS(TeamGameData[Win],TeamGameData[School, Opponent,Game'#],PlayerGameData[[#This Row],[School, Opponent,Game'#]])</f>
        <v>#NAME?</v>
      </c>
      <c r="BK729" s="197" t="e">
        <f ca="1">_xlfn.MAXIFS(TeamGameData[Loss],TeamGameData[School, Opponent,Game'#],PlayerGameData[[#This Row],[School, Opponent,Game'#]])</f>
        <v>#NAME?</v>
      </c>
    </row>
    <row r="730" spans="1:63" x14ac:dyDescent="0.25">
      <c r="A730" s="8" t="str">
        <f t="shared" ca="1" si="363"/>
        <v>Rhett Watt, 10</v>
      </c>
      <c r="B730" s="8" t="str">
        <f>Roster!$B$1</f>
        <v>Upton</v>
      </c>
      <c r="C730" s="8">
        <f t="shared" ca="1" si="351"/>
        <v>0</v>
      </c>
      <c r="D730" s="10">
        <f t="shared" ca="1" si="352"/>
        <v>0</v>
      </c>
      <c r="E730" s="8">
        <f t="shared" ca="1" si="353"/>
        <v>0</v>
      </c>
      <c r="F730" s="8">
        <f t="shared" ca="1" si="354"/>
        <v>0</v>
      </c>
      <c r="G730" s="8">
        <f t="shared" ca="1" si="355"/>
        <v>0</v>
      </c>
      <c r="H730" s="8">
        <f t="shared" ca="1" si="356"/>
        <v>0</v>
      </c>
      <c r="I730" s="8">
        <f t="shared" ca="1" si="357"/>
        <v>0</v>
      </c>
      <c r="J730" s="8">
        <f t="shared" ca="1" si="358"/>
        <v>0</v>
      </c>
      <c r="K730" s="8">
        <f t="shared" ca="1" si="359"/>
        <v>0</v>
      </c>
      <c r="L730" s="8">
        <f t="shared" ca="1" si="364"/>
        <v>0</v>
      </c>
      <c r="M730" s="8">
        <f t="shared" ca="1" si="365"/>
        <v>0</v>
      </c>
      <c r="N730" s="8">
        <f t="shared" ca="1" si="366"/>
        <v>0</v>
      </c>
      <c r="O730" s="8">
        <f t="shared" ca="1" si="367"/>
        <v>0</v>
      </c>
      <c r="P730" s="8">
        <f t="shared" ca="1" si="368"/>
        <v>0</v>
      </c>
      <c r="Q730" s="8">
        <f t="shared" ca="1" si="369"/>
        <v>0</v>
      </c>
      <c r="R730" s="8">
        <f t="shared" ca="1" si="370"/>
        <v>0</v>
      </c>
      <c r="S730" s="8">
        <f t="shared" ca="1" si="371"/>
        <v>0</v>
      </c>
      <c r="T730" s="8">
        <f t="shared" ca="1" si="372"/>
        <v>0</v>
      </c>
      <c r="U730" s="8">
        <f t="shared" ca="1" si="373"/>
        <v>0</v>
      </c>
      <c r="V730" s="8">
        <f t="shared" ca="1" si="374"/>
        <v>0</v>
      </c>
      <c r="W730" s="11" t="str">
        <f t="shared" ca="1" si="375"/>
        <v/>
      </c>
      <c r="X730" s="11" t="str">
        <f t="shared" ca="1" si="376"/>
        <v/>
      </c>
      <c r="Y730" s="11" t="str">
        <f t="shared" ca="1" si="377"/>
        <v/>
      </c>
      <c r="Z730" s="11" t="str">
        <f t="shared" ca="1" si="378"/>
        <v/>
      </c>
      <c r="AA730" s="11" t="str">
        <f t="shared" ca="1" si="379"/>
        <v/>
      </c>
      <c r="AB730" s="47">
        <f ca="1">PlayerGameData[[#This Row],[3FGA]]+PlayerGameData[[#This Row],[2FGA]]</f>
        <v>0</v>
      </c>
      <c r="AC730" s="47">
        <f ca="1">PlayerGameData[[#This Row],[OFF REB]]+PlayerGameData[[#This Row],[DEF REB]]</f>
        <v>0</v>
      </c>
      <c r="AD730" s="8">
        <f t="shared" si="360"/>
        <v>31</v>
      </c>
      <c r="AE730" s="8" t="str">
        <f t="shared" ca="1" si="361"/>
        <v>Rhett Watt, 10 - 0 1/0/1900</v>
      </c>
      <c r="AF730" s="8" t="str">
        <f t="shared" ca="1" si="380"/>
        <v/>
      </c>
      <c r="AG730" s="8" t="str">
        <f ca="1">IFERROR(IF(C730=0,"",IF(AND(VLOOKUP(PlayerGameData[[#This Row],[Opponent]],WYTeamInfo,2,FALSE)=Roster!$D$1,VLOOKUP(PlayerGameData[[#This Row],[Opponent]],WYTeamInfo,3,FALSE)=Roster!$D$2),"SR","")),"")</f>
        <v/>
      </c>
      <c r="AH730" s="8" t="str">
        <f>CONCATENATE(Roster!$D$1," ",Roster!$D$5)</f>
        <v>1A BB</v>
      </c>
      <c r="AI730" s="8" t="str">
        <f t="shared" ca="1" si="362"/>
        <v>Blank</v>
      </c>
      <c r="AJ730" s="8">
        <f ca="1">IFERROR(VLOOKUP(PlayerGameData[[#This Row],[School, Opponent,Game'#]],Table3[],2,FALSE),0)</f>
        <v>0</v>
      </c>
      <c r="AK730" s="8">
        <f ca="1">IF(PlayerGameData[[#This Row],[Visible]]=1,1,1000)</f>
        <v>1000</v>
      </c>
      <c r="AL730" s="8">
        <f ca="1">RANK(PlayerGameData[[#This Row],[TL PTS]],PlayerGameData[TL PTS],0)+PlayerGameData[[#This Row],[VisibleOrder]]</f>
        <v>1184</v>
      </c>
      <c r="AM730" s="8">
        <f ca="1">IF(COUNTIF(PlayerGameData[PointOrder],PlayerGameData[[#This Row],[PointOrder]])&gt;1,RANK(PlayerGameData[[#This Row],[FGA]],PlayerGameData[FGA],0)/100,0)+PlayerGameData[[#This Row],[PointOrder]]</f>
        <v>1186.1400000000001</v>
      </c>
      <c r="AN730" s="8">
        <f ca="1">RANK(PlayerGameData[[#This Row],[PointTieBreak]],PlayerGameData[PointTieBreak],1)</f>
        <v>625</v>
      </c>
      <c r="AO730" s="8">
        <f ca="1">RANK(PlayerGameData[[#This Row],[REB]],PlayerGameData[REB],0)+PlayerGameData[[#This Row],[VisibleOrder]]</f>
        <v>1191</v>
      </c>
      <c r="AP730" s="8">
        <f ca="1">IF(COUNTIF(PlayerGameData[REBOrder],PlayerGameData[[#This Row],[REBOrder]])&gt;1,PlayerGameData[[#This Row],[PointRank]]/100+PlayerGameData[[#This Row],[REBOrder]],PlayerGameData[[#This Row],[REBOrder]])</f>
        <v>1197.25</v>
      </c>
      <c r="AQ730" s="8">
        <f ca="1">RANK(PlayerGameData[[#This Row],[REBTieBreak]],PlayerGameData[REBTieBreak],1)</f>
        <v>625</v>
      </c>
      <c r="AR730" s="8">
        <f ca="1">RANK(PlayerGameData[[#This Row],[AST]],PlayerGameData[AST],0)+PlayerGameData[[#This Row],[VisibleOrder]]</f>
        <v>1157</v>
      </c>
      <c r="AS730" s="8">
        <f ca="1">IF(COUNTIF(PlayerGameData[ASTOrder],PlayerGameData[[#This Row],[ASTOrder]])&gt;1,PlayerGameData[[#This Row],[PointRank]]/100+PlayerGameData[[#This Row],[ASTOrder]],PlayerGameData[[#This Row],[ASTOrder]])</f>
        <v>1163.25</v>
      </c>
      <c r="AT730" s="8">
        <f ca="1">RANK(PlayerGameData[[#This Row],[ASTTieBreak]],PlayerGameData[ASTTieBreak],1)</f>
        <v>625</v>
      </c>
      <c r="AU730" s="8">
        <f ca="1">RANK(PlayerGameData[[#This Row],[STL]],PlayerGameData[STL],0)+PlayerGameData[[#This Row],[VisibleOrder]]</f>
        <v>1142</v>
      </c>
      <c r="AV730" s="8">
        <f ca="1">IF(COUNTIF(PlayerGameData[STLOrder],PlayerGameData[[#This Row],[STLOrder]])&gt;1,PlayerGameData[[#This Row],[PointRank]]/100+PlayerGameData[[#This Row],[STLOrder]],PlayerGameData[[#This Row],[STLOrder]])</f>
        <v>1148.25</v>
      </c>
      <c r="AW730" s="8">
        <f ca="1">RANK(PlayerGameData[[#This Row],[STLTieBreak]],PlayerGameData[STLTieBreak],1)</f>
        <v>625</v>
      </c>
      <c r="AX730" s="8">
        <f ca="1">RANK(PlayerGameData[[#This Row],[BLK]],PlayerGameData[BLK],0)+PlayerGameData[[#This Row],[VisibleOrder]]</f>
        <v>1031</v>
      </c>
      <c r="AY730" s="8">
        <f ca="1">IF(COUNTIF(PlayerGameData[BLKOrder],PlayerGameData[[#This Row],[BLKOrder]])&gt;1,PlayerGameData[[#This Row],[PointRank]]/100+PlayerGameData[[#This Row],[BLKOrder]],PlayerGameData[[#This Row],[BLKOrder]])</f>
        <v>1037.25</v>
      </c>
      <c r="AZ730" s="8">
        <f ca="1">RANK(PlayerGameData[[#This Row],[BLKTieBreak]],PlayerGameData[BLKTieBreak],1)</f>
        <v>625</v>
      </c>
      <c r="BA730" s="11">
        <f ca="1">IFERROR(IF(PlayerGameData[[#This Row],[FGA]]&gt;$AA$5,PlayerGameData[[#This Row],[FG%*]],PlayerGameData[[#This Row],[FG%*]]*-1),-2)</f>
        <v>-2</v>
      </c>
      <c r="BB730" s="8">
        <f ca="1">RANK(PlayerGameData[[#This Row],[EligFG]],PlayerGameData[EligFG],0)+PlayerGameData[[#This Row],[VisibleOrder]]</f>
        <v>1214</v>
      </c>
      <c r="BC730" s="8">
        <f ca="1">IF(COUNTIF(PlayerGameData[EligFGOrder],PlayerGameData[[#This Row],[EligFGOrder]])&gt;1,PlayerGameData[[#This Row],[PointRank]]/100+PlayerGameData[[#This Row],[EligFGOrder]],PlayerGameData[[#This Row],[EligFGOrder]])</f>
        <v>1220.25</v>
      </c>
      <c r="BD730" s="8">
        <f ca="1">RANK(PlayerGameData[[#This Row],[EligFGTieBreak]],PlayerGameData[EligFGTieBreak],1)</f>
        <v>625</v>
      </c>
      <c r="BE730" s="8" t="str">
        <f>Roster!$D$3</f>
        <v>East</v>
      </c>
      <c r="BF730" s="8" t="str">
        <f>Roster!$D$2</f>
        <v>Northeast</v>
      </c>
      <c r="BG730" s="8" t="str">
        <f>Roster!$D$4</f>
        <v>North</v>
      </c>
      <c r="BH730" s="197">
        <f ca="1">IFERROR(VLOOKUP(CONCATENATE(PlayerGameData[[#This Row],[Opponent]]," ",MONTH(PlayerGameData[[#This Row],[Date]]),"/",DAY(PlayerGameData[[#This Row],[Date]]),"/",YEAR(PlayerGameData[[#This Row],[Date]])),Table35[],2,FALSE),0)</f>
        <v>0</v>
      </c>
      <c r="BI730" s="197">
        <f ca="1">IF(PlayerGameData[[#This Row],[Visible]]=1,1,1000)</f>
        <v>1000</v>
      </c>
      <c r="BJ730" s="197" t="e">
        <f ca="1">_xlfn.MAXIFS(TeamGameData[Win],TeamGameData[School, Opponent,Game'#],PlayerGameData[[#This Row],[School, Opponent,Game'#]])</f>
        <v>#NAME?</v>
      </c>
      <c r="BK730" s="197" t="e">
        <f ca="1">_xlfn.MAXIFS(TeamGameData[Loss],TeamGameData[School, Opponent,Game'#],PlayerGameData[[#This Row],[School, Opponent,Game'#]])</f>
        <v>#NAME?</v>
      </c>
    </row>
    <row r="731" spans="1:63" x14ac:dyDescent="0.25">
      <c r="A731" s="8" t="str">
        <f t="shared" ca="1" si="363"/>
        <v>Keith Coburn, 11</v>
      </c>
      <c r="B731" s="8" t="str">
        <f>Roster!$B$1</f>
        <v>Upton</v>
      </c>
      <c r="C731" s="8">
        <f t="shared" ca="1" si="351"/>
        <v>0</v>
      </c>
      <c r="D731" s="10">
        <f t="shared" ca="1" si="352"/>
        <v>0</v>
      </c>
      <c r="E731" s="8">
        <f t="shared" ca="1" si="353"/>
        <v>0</v>
      </c>
      <c r="F731" s="8">
        <f t="shared" ca="1" si="354"/>
        <v>0</v>
      </c>
      <c r="G731" s="8">
        <f t="shared" ca="1" si="355"/>
        <v>0</v>
      </c>
      <c r="H731" s="8">
        <f t="shared" ca="1" si="356"/>
        <v>0</v>
      </c>
      <c r="I731" s="8">
        <f t="shared" ca="1" si="357"/>
        <v>0</v>
      </c>
      <c r="J731" s="8">
        <f t="shared" ca="1" si="358"/>
        <v>0</v>
      </c>
      <c r="K731" s="8">
        <f t="shared" ca="1" si="359"/>
        <v>0</v>
      </c>
      <c r="L731" s="8">
        <f t="shared" ca="1" si="364"/>
        <v>0</v>
      </c>
      <c r="M731" s="8">
        <f t="shared" ca="1" si="365"/>
        <v>0</v>
      </c>
      <c r="N731" s="8">
        <f t="shared" ca="1" si="366"/>
        <v>0</v>
      </c>
      <c r="O731" s="8">
        <f t="shared" ca="1" si="367"/>
        <v>0</v>
      </c>
      <c r="P731" s="8">
        <f t="shared" ca="1" si="368"/>
        <v>0</v>
      </c>
      <c r="Q731" s="8">
        <f t="shared" ca="1" si="369"/>
        <v>0</v>
      </c>
      <c r="R731" s="8">
        <f t="shared" ca="1" si="370"/>
        <v>0</v>
      </c>
      <c r="S731" s="8">
        <f t="shared" ca="1" si="371"/>
        <v>0</v>
      </c>
      <c r="T731" s="8">
        <f t="shared" ca="1" si="372"/>
        <v>0</v>
      </c>
      <c r="U731" s="8">
        <f t="shared" ca="1" si="373"/>
        <v>0</v>
      </c>
      <c r="V731" s="8">
        <f t="shared" ca="1" si="374"/>
        <v>0</v>
      </c>
      <c r="W731" s="11" t="str">
        <f t="shared" ca="1" si="375"/>
        <v/>
      </c>
      <c r="X731" s="11" t="str">
        <f t="shared" ca="1" si="376"/>
        <v/>
      </c>
      <c r="Y731" s="11" t="str">
        <f t="shared" ca="1" si="377"/>
        <v/>
      </c>
      <c r="Z731" s="11" t="str">
        <f t="shared" ca="1" si="378"/>
        <v/>
      </c>
      <c r="AA731" s="11" t="str">
        <f t="shared" ca="1" si="379"/>
        <v/>
      </c>
      <c r="AB731" s="47">
        <f ca="1">PlayerGameData[[#This Row],[3FGA]]+PlayerGameData[[#This Row],[2FGA]]</f>
        <v>0</v>
      </c>
      <c r="AC731" s="47">
        <f ca="1">PlayerGameData[[#This Row],[OFF REB]]+PlayerGameData[[#This Row],[DEF REB]]</f>
        <v>0</v>
      </c>
      <c r="AD731" s="8">
        <f t="shared" si="360"/>
        <v>31</v>
      </c>
      <c r="AE731" s="8" t="str">
        <f t="shared" ca="1" si="361"/>
        <v>Keith Coburn, 11 - 0 1/0/1900</v>
      </c>
      <c r="AF731" s="8" t="str">
        <f t="shared" ca="1" si="380"/>
        <v/>
      </c>
      <c r="AG731" s="8" t="str">
        <f ca="1">IFERROR(IF(C731=0,"",IF(AND(VLOOKUP(PlayerGameData[[#This Row],[Opponent]],WYTeamInfo,2,FALSE)=Roster!$D$1,VLOOKUP(PlayerGameData[[#This Row],[Opponent]],WYTeamInfo,3,FALSE)=Roster!$D$2),"SR","")),"")</f>
        <v/>
      </c>
      <c r="AH731" s="8" t="str">
        <f>CONCATENATE(Roster!$D$1," ",Roster!$D$5)</f>
        <v>1A BB</v>
      </c>
      <c r="AI731" s="8" t="str">
        <f t="shared" ca="1" si="362"/>
        <v>Blank</v>
      </c>
      <c r="AJ731" s="8">
        <f ca="1">IFERROR(VLOOKUP(PlayerGameData[[#This Row],[School, Opponent,Game'#]],Table3[],2,FALSE),0)</f>
        <v>0</v>
      </c>
      <c r="AK731" s="8">
        <f ca="1">IF(PlayerGameData[[#This Row],[Visible]]=1,1,1000)</f>
        <v>1000</v>
      </c>
      <c r="AL731" s="8">
        <f ca="1">RANK(PlayerGameData[[#This Row],[TL PTS]],PlayerGameData[TL PTS],0)+PlayerGameData[[#This Row],[VisibleOrder]]</f>
        <v>1184</v>
      </c>
      <c r="AM731" s="8">
        <f ca="1">IF(COUNTIF(PlayerGameData[PointOrder],PlayerGameData[[#This Row],[PointOrder]])&gt;1,RANK(PlayerGameData[[#This Row],[FGA]],PlayerGameData[FGA],0)/100,0)+PlayerGameData[[#This Row],[PointOrder]]</f>
        <v>1186.1400000000001</v>
      </c>
      <c r="AN731" s="8">
        <f ca="1">RANK(PlayerGameData[[#This Row],[PointTieBreak]],PlayerGameData[PointTieBreak],1)</f>
        <v>625</v>
      </c>
      <c r="AO731" s="8">
        <f ca="1">RANK(PlayerGameData[[#This Row],[REB]],PlayerGameData[REB],0)+PlayerGameData[[#This Row],[VisibleOrder]]</f>
        <v>1191</v>
      </c>
      <c r="AP731" s="8">
        <f ca="1">IF(COUNTIF(PlayerGameData[REBOrder],PlayerGameData[[#This Row],[REBOrder]])&gt;1,PlayerGameData[[#This Row],[PointRank]]/100+PlayerGameData[[#This Row],[REBOrder]],PlayerGameData[[#This Row],[REBOrder]])</f>
        <v>1197.25</v>
      </c>
      <c r="AQ731" s="8">
        <f ca="1">RANK(PlayerGameData[[#This Row],[REBTieBreak]],PlayerGameData[REBTieBreak],1)</f>
        <v>625</v>
      </c>
      <c r="AR731" s="8">
        <f ca="1">RANK(PlayerGameData[[#This Row],[AST]],PlayerGameData[AST],0)+PlayerGameData[[#This Row],[VisibleOrder]]</f>
        <v>1157</v>
      </c>
      <c r="AS731" s="8">
        <f ca="1">IF(COUNTIF(PlayerGameData[ASTOrder],PlayerGameData[[#This Row],[ASTOrder]])&gt;1,PlayerGameData[[#This Row],[PointRank]]/100+PlayerGameData[[#This Row],[ASTOrder]],PlayerGameData[[#This Row],[ASTOrder]])</f>
        <v>1163.25</v>
      </c>
      <c r="AT731" s="8">
        <f ca="1">RANK(PlayerGameData[[#This Row],[ASTTieBreak]],PlayerGameData[ASTTieBreak],1)</f>
        <v>625</v>
      </c>
      <c r="AU731" s="8">
        <f ca="1">RANK(PlayerGameData[[#This Row],[STL]],PlayerGameData[STL],0)+PlayerGameData[[#This Row],[VisibleOrder]]</f>
        <v>1142</v>
      </c>
      <c r="AV731" s="8">
        <f ca="1">IF(COUNTIF(PlayerGameData[STLOrder],PlayerGameData[[#This Row],[STLOrder]])&gt;1,PlayerGameData[[#This Row],[PointRank]]/100+PlayerGameData[[#This Row],[STLOrder]],PlayerGameData[[#This Row],[STLOrder]])</f>
        <v>1148.25</v>
      </c>
      <c r="AW731" s="8">
        <f ca="1">RANK(PlayerGameData[[#This Row],[STLTieBreak]],PlayerGameData[STLTieBreak],1)</f>
        <v>625</v>
      </c>
      <c r="AX731" s="8">
        <f ca="1">RANK(PlayerGameData[[#This Row],[BLK]],PlayerGameData[BLK],0)+PlayerGameData[[#This Row],[VisibleOrder]]</f>
        <v>1031</v>
      </c>
      <c r="AY731" s="8">
        <f ca="1">IF(COUNTIF(PlayerGameData[BLKOrder],PlayerGameData[[#This Row],[BLKOrder]])&gt;1,PlayerGameData[[#This Row],[PointRank]]/100+PlayerGameData[[#This Row],[BLKOrder]],PlayerGameData[[#This Row],[BLKOrder]])</f>
        <v>1037.25</v>
      </c>
      <c r="AZ731" s="8">
        <f ca="1">RANK(PlayerGameData[[#This Row],[BLKTieBreak]],PlayerGameData[BLKTieBreak],1)</f>
        <v>625</v>
      </c>
      <c r="BA731" s="11">
        <f ca="1">IFERROR(IF(PlayerGameData[[#This Row],[FGA]]&gt;$AA$5,PlayerGameData[[#This Row],[FG%*]],PlayerGameData[[#This Row],[FG%*]]*-1),-2)</f>
        <v>-2</v>
      </c>
      <c r="BB731" s="8">
        <f ca="1">RANK(PlayerGameData[[#This Row],[EligFG]],PlayerGameData[EligFG],0)+PlayerGameData[[#This Row],[VisibleOrder]]</f>
        <v>1214</v>
      </c>
      <c r="BC731" s="8">
        <f ca="1">IF(COUNTIF(PlayerGameData[EligFGOrder],PlayerGameData[[#This Row],[EligFGOrder]])&gt;1,PlayerGameData[[#This Row],[PointRank]]/100+PlayerGameData[[#This Row],[EligFGOrder]],PlayerGameData[[#This Row],[EligFGOrder]])</f>
        <v>1220.25</v>
      </c>
      <c r="BD731" s="8">
        <f ca="1">RANK(PlayerGameData[[#This Row],[EligFGTieBreak]],PlayerGameData[EligFGTieBreak],1)</f>
        <v>625</v>
      </c>
      <c r="BE731" s="8" t="str">
        <f>Roster!$D$3</f>
        <v>East</v>
      </c>
      <c r="BF731" s="8" t="str">
        <f>Roster!$D$2</f>
        <v>Northeast</v>
      </c>
      <c r="BG731" s="8" t="str">
        <f>Roster!$D$4</f>
        <v>North</v>
      </c>
      <c r="BH731" s="197">
        <f ca="1">IFERROR(VLOOKUP(CONCATENATE(PlayerGameData[[#This Row],[Opponent]]," ",MONTH(PlayerGameData[[#This Row],[Date]]),"/",DAY(PlayerGameData[[#This Row],[Date]]),"/",YEAR(PlayerGameData[[#This Row],[Date]])),Table35[],2,FALSE),0)</f>
        <v>0</v>
      </c>
      <c r="BI731" s="197">
        <f ca="1">IF(PlayerGameData[[#This Row],[Visible]]=1,1,1000)</f>
        <v>1000</v>
      </c>
      <c r="BJ731" s="197" t="e">
        <f ca="1">_xlfn.MAXIFS(TeamGameData[Win],TeamGameData[School, Opponent,Game'#],PlayerGameData[[#This Row],[School, Opponent,Game'#]])</f>
        <v>#NAME?</v>
      </c>
      <c r="BK731" s="197" t="e">
        <f ca="1">_xlfn.MAXIFS(TeamGameData[Loss],TeamGameData[School, Opponent,Game'#],PlayerGameData[[#This Row],[School, Opponent,Game'#]])</f>
        <v>#NAME?</v>
      </c>
    </row>
    <row r="732" spans="1:63" x14ac:dyDescent="0.25">
      <c r="A732" s="8" t="str">
        <f t="shared" ca="1" si="363"/>
        <v>Carson Barritt, 14</v>
      </c>
      <c r="B732" s="8" t="str">
        <f>Roster!$B$1</f>
        <v>Upton</v>
      </c>
      <c r="C732" s="8">
        <f t="shared" ca="1" si="351"/>
        <v>0</v>
      </c>
      <c r="D732" s="10">
        <f t="shared" ca="1" si="352"/>
        <v>0</v>
      </c>
      <c r="E732" s="8">
        <f t="shared" ca="1" si="353"/>
        <v>0</v>
      </c>
      <c r="F732" s="8">
        <f t="shared" ca="1" si="354"/>
        <v>0</v>
      </c>
      <c r="G732" s="8">
        <f t="shared" ca="1" si="355"/>
        <v>0</v>
      </c>
      <c r="H732" s="8">
        <f t="shared" ca="1" si="356"/>
        <v>0</v>
      </c>
      <c r="I732" s="8">
        <f t="shared" ca="1" si="357"/>
        <v>0</v>
      </c>
      <c r="J732" s="8">
        <f t="shared" ca="1" si="358"/>
        <v>0</v>
      </c>
      <c r="K732" s="8">
        <f t="shared" ca="1" si="359"/>
        <v>0</v>
      </c>
      <c r="L732" s="8">
        <f t="shared" ca="1" si="364"/>
        <v>0</v>
      </c>
      <c r="M732" s="8">
        <f t="shared" ca="1" si="365"/>
        <v>0</v>
      </c>
      <c r="N732" s="8">
        <f t="shared" ca="1" si="366"/>
        <v>0</v>
      </c>
      <c r="O732" s="8">
        <f t="shared" ca="1" si="367"/>
        <v>0</v>
      </c>
      <c r="P732" s="8">
        <f t="shared" ca="1" si="368"/>
        <v>0</v>
      </c>
      <c r="Q732" s="8">
        <f t="shared" ca="1" si="369"/>
        <v>0</v>
      </c>
      <c r="R732" s="8">
        <f t="shared" ca="1" si="370"/>
        <v>0</v>
      </c>
      <c r="S732" s="8">
        <f t="shared" ca="1" si="371"/>
        <v>0</v>
      </c>
      <c r="T732" s="8">
        <f t="shared" ca="1" si="372"/>
        <v>0</v>
      </c>
      <c r="U732" s="8">
        <f t="shared" ca="1" si="373"/>
        <v>0</v>
      </c>
      <c r="V732" s="8">
        <f t="shared" ca="1" si="374"/>
        <v>0</v>
      </c>
      <c r="W732" s="11" t="str">
        <f t="shared" ca="1" si="375"/>
        <v/>
      </c>
      <c r="X732" s="11" t="str">
        <f t="shared" ca="1" si="376"/>
        <v/>
      </c>
      <c r="Y732" s="11" t="str">
        <f t="shared" ca="1" si="377"/>
        <v/>
      </c>
      <c r="Z732" s="11" t="str">
        <f t="shared" ca="1" si="378"/>
        <v/>
      </c>
      <c r="AA732" s="11" t="str">
        <f t="shared" ca="1" si="379"/>
        <v/>
      </c>
      <c r="AB732" s="47">
        <f ca="1">PlayerGameData[[#This Row],[3FGA]]+PlayerGameData[[#This Row],[2FGA]]</f>
        <v>0</v>
      </c>
      <c r="AC732" s="47">
        <f ca="1">PlayerGameData[[#This Row],[OFF REB]]+PlayerGameData[[#This Row],[DEF REB]]</f>
        <v>0</v>
      </c>
      <c r="AD732" s="8">
        <f t="shared" si="360"/>
        <v>31</v>
      </c>
      <c r="AE732" s="8" t="str">
        <f t="shared" ca="1" si="361"/>
        <v>Carson Barritt, 14 - 0 1/0/1900</v>
      </c>
      <c r="AF732" s="8" t="str">
        <f t="shared" ca="1" si="380"/>
        <v/>
      </c>
      <c r="AG732" s="8" t="str">
        <f ca="1">IFERROR(IF(C732=0,"",IF(AND(VLOOKUP(PlayerGameData[[#This Row],[Opponent]],WYTeamInfo,2,FALSE)=Roster!$D$1,VLOOKUP(PlayerGameData[[#This Row],[Opponent]],WYTeamInfo,3,FALSE)=Roster!$D$2),"SR","")),"")</f>
        <v/>
      </c>
      <c r="AH732" s="8" t="str">
        <f>CONCATENATE(Roster!$D$1," ",Roster!$D$5)</f>
        <v>1A BB</v>
      </c>
      <c r="AI732" s="8" t="str">
        <f t="shared" ca="1" si="362"/>
        <v>Blank</v>
      </c>
      <c r="AJ732" s="8">
        <f ca="1">IFERROR(VLOOKUP(PlayerGameData[[#This Row],[School, Opponent,Game'#]],Table3[],2,FALSE),0)</f>
        <v>0</v>
      </c>
      <c r="AK732" s="8">
        <f ca="1">IF(PlayerGameData[[#This Row],[Visible]]=1,1,1000)</f>
        <v>1000</v>
      </c>
      <c r="AL732" s="8">
        <f ca="1">RANK(PlayerGameData[[#This Row],[TL PTS]],PlayerGameData[TL PTS],0)+PlayerGameData[[#This Row],[VisibleOrder]]</f>
        <v>1184</v>
      </c>
      <c r="AM732" s="8">
        <f ca="1">IF(COUNTIF(PlayerGameData[PointOrder],PlayerGameData[[#This Row],[PointOrder]])&gt;1,RANK(PlayerGameData[[#This Row],[FGA]],PlayerGameData[FGA],0)/100,0)+PlayerGameData[[#This Row],[PointOrder]]</f>
        <v>1186.1400000000001</v>
      </c>
      <c r="AN732" s="8">
        <f ca="1">RANK(PlayerGameData[[#This Row],[PointTieBreak]],PlayerGameData[PointTieBreak],1)</f>
        <v>625</v>
      </c>
      <c r="AO732" s="8">
        <f ca="1">RANK(PlayerGameData[[#This Row],[REB]],PlayerGameData[REB],0)+PlayerGameData[[#This Row],[VisibleOrder]]</f>
        <v>1191</v>
      </c>
      <c r="AP732" s="8">
        <f ca="1">IF(COUNTIF(PlayerGameData[REBOrder],PlayerGameData[[#This Row],[REBOrder]])&gt;1,PlayerGameData[[#This Row],[PointRank]]/100+PlayerGameData[[#This Row],[REBOrder]],PlayerGameData[[#This Row],[REBOrder]])</f>
        <v>1197.25</v>
      </c>
      <c r="AQ732" s="8">
        <f ca="1">RANK(PlayerGameData[[#This Row],[REBTieBreak]],PlayerGameData[REBTieBreak],1)</f>
        <v>625</v>
      </c>
      <c r="AR732" s="8">
        <f ca="1">RANK(PlayerGameData[[#This Row],[AST]],PlayerGameData[AST],0)+PlayerGameData[[#This Row],[VisibleOrder]]</f>
        <v>1157</v>
      </c>
      <c r="AS732" s="8">
        <f ca="1">IF(COUNTIF(PlayerGameData[ASTOrder],PlayerGameData[[#This Row],[ASTOrder]])&gt;1,PlayerGameData[[#This Row],[PointRank]]/100+PlayerGameData[[#This Row],[ASTOrder]],PlayerGameData[[#This Row],[ASTOrder]])</f>
        <v>1163.25</v>
      </c>
      <c r="AT732" s="8">
        <f ca="1">RANK(PlayerGameData[[#This Row],[ASTTieBreak]],PlayerGameData[ASTTieBreak],1)</f>
        <v>625</v>
      </c>
      <c r="AU732" s="8">
        <f ca="1">RANK(PlayerGameData[[#This Row],[STL]],PlayerGameData[STL],0)+PlayerGameData[[#This Row],[VisibleOrder]]</f>
        <v>1142</v>
      </c>
      <c r="AV732" s="8">
        <f ca="1">IF(COUNTIF(PlayerGameData[STLOrder],PlayerGameData[[#This Row],[STLOrder]])&gt;1,PlayerGameData[[#This Row],[PointRank]]/100+PlayerGameData[[#This Row],[STLOrder]],PlayerGameData[[#This Row],[STLOrder]])</f>
        <v>1148.25</v>
      </c>
      <c r="AW732" s="8">
        <f ca="1">RANK(PlayerGameData[[#This Row],[STLTieBreak]],PlayerGameData[STLTieBreak],1)</f>
        <v>625</v>
      </c>
      <c r="AX732" s="8">
        <f ca="1">RANK(PlayerGameData[[#This Row],[BLK]],PlayerGameData[BLK],0)+PlayerGameData[[#This Row],[VisibleOrder]]</f>
        <v>1031</v>
      </c>
      <c r="AY732" s="8">
        <f ca="1">IF(COUNTIF(PlayerGameData[BLKOrder],PlayerGameData[[#This Row],[BLKOrder]])&gt;1,PlayerGameData[[#This Row],[PointRank]]/100+PlayerGameData[[#This Row],[BLKOrder]],PlayerGameData[[#This Row],[BLKOrder]])</f>
        <v>1037.25</v>
      </c>
      <c r="AZ732" s="8">
        <f ca="1">RANK(PlayerGameData[[#This Row],[BLKTieBreak]],PlayerGameData[BLKTieBreak],1)</f>
        <v>625</v>
      </c>
      <c r="BA732" s="11">
        <f ca="1">IFERROR(IF(PlayerGameData[[#This Row],[FGA]]&gt;$AA$5,PlayerGameData[[#This Row],[FG%*]],PlayerGameData[[#This Row],[FG%*]]*-1),-2)</f>
        <v>-2</v>
      </c>
      <c r="BB732" s="8">
        <f ca="1">RANK(PlayerGameData[[#This Row],[EligFG]],PlayerGameData[EligFG],0)+PlayerGameData[[#This Row],[VisibleOrder]]</f>
        <v>1214</v>
      </c>
      <c r="BC732" s="8">
        <f ca="1">IF(COUNTIF(PlayerGameData[EligFGOrder],PlayerGameData[[#This Row],[EligFGOrder]])&gt;1,PlayerGameData[[#This Row],[PointRank]]/100+PlayerGameData[[#This Row],[EligFGOrder]],PlayerGameData[[#This Row],[EligFGOrder]])</f>
        <v>1220.25</v>
      </c>
      <c r="BD732" s="8">
        <f ca="1">RANK(PlayerGameData[[#This Row],[EligFGTieBreak]],PlayerGameData[EligFGTieBreak],1)</f>
        <v>625</v>
      </c>
      <c r="BE732" s="8" t="str">
        <f>Roster!$D$3</f>
        <v>East</v>
      </c>
      <c r="BF732" s="8" t="str">
        <f>Roster!$D$2</f>
        <v>Northeast</v>
      </c>
      <c r="BG732" s="8" t="str">
        <f>Roster!$D$4</f>
        <v>North</v>
      </c>
      <c r="BH732" s="197">
        <f ca="1">IFERROR(VLOOKUP(CONCATENATE(PlayerGameData[[#This Row],[Opponent]]," ",MONTH(PlayerGameData[[#This Row],[Date]]),"/",DAY(PlayerGameData[[#This Row],[Date]]),"/",YEAR(PlayerGameData[[#This Row],[Date]])),Table35[],2,FALSE),0)</f>
        <v>0</v>
      </c>
      <c r="BI732" s="197">
        <f ca="1">IF(PlayerGameData[[#This Row],[Visible]]=1,1,1000)</f>
        <v>1000</v>
      </c>
      <c r="BJ732" s="197" t="e">
        <f ca="1">_xlfn.MAXIFS(TeamGameData[Win],TeamGameData[School, Opponent,Game'#],PlayerGameData[[#This Row],[School, Opponent,Game'#]])</f>
        <v>#NAME?</v>
      </c>
      <c r="BK732" s="197" t="e">
        <f ca="1">_xlfn.MAXIFS(TeamGameData[Loss],TeamGameData[School, Opponent,Game'#],PlayerGameData[[#This Row],[School, Opponent,Game'#]])</f>
        <v>#NAME?</v>
      </c>
    </row>
    <row r="733" spans="1:63" x14ac:dyDescent="0.25">
      <c r="A733" s="8" t="str">
        <f t="shared" ca="1" si="363"/>
        <v>Ben Carpenter, 21</v>
      </c>
      <c r="B733" s="8" t="str">
        <f>Roster!$B$1</f>
        <v>Upton</v>
      </c>
      <c r="C733" s="8">
        <f t="shared" ca="1" si="351"/>
        <v>0</v>
      </c>
      <c r="D733" s="10">
        <f t="shared" ca="1" si="352"/>
        <v>0</v>
      </c>
      <c r="E733" s="8">
        <f t="shared" ca="1" si="353"/>
        <v>0</v>
      </c>
      <c r="F733" s="8">
        <f t="shared" ca="1" si="354"/>
        <v>0</v>
      </c>
      <c r="G733" s="8">
        <f t="shared" ca="1" si="355"/>
        <v>0</v>
      </c>
      <c r="H733" s="8">
        <f t="shared" ca="1" si="356"/>
        <v>0</v>
      </c>
      <c r="I733" s="8">
        <f t="shared" ca="1" si="357"/>
        <v>0</v>
      </c>
      <c r="J733" s="8">
        <f t="shared" ca="1" si="358"/>
        <v>0</v>
      </c>
      <c r="K733" s="8">
        <f t="shared" ca="1" si="359"/>
        <v>0</v>
      </c>
      <c r="L733" s="8">
        <f t="shared" ca="1" si="364"/>
        <v>0</v>
      </c>
      <c r="M733" s="8">
        <f t="shared" ca="1" si="365"/>
        <v>0</v>
      </c>
      <c r="N733" s="8">
        <f t="shared" ca="1" si="366"/>
        <v>0</v>
      </c>
      <c r="O733" s="8">
        <f t="shared" ca="1" si="367"/>
        <v>0</v>
      </c>
      <c r="P733" s="8">
        <f t="shared" ca="1" si="368"/>
        <v>0</v>
      </c>
      <c r="Q733" s="8">
        <f t="shared" ca="1" si="369"/>
        <v>0</v>
      </c>
      <c r="R733" s="8">
        <f t="shared" ca="1" si="370"/>
        <v>0</v>
      </c>
      <c r="S733" s="8">
        <f t="shared" ca="1" si="371"/>
        <v>0</v>
      </c>
      <c r="T733" s="8">
        <f t="shared" ca="1" si="372"/>
        <v>0</v>
      </c>
      <c r="U733" s="8">
        <f t="shared" ca="1" si="373"/>
        <v>0</v>
      </c>
      <c r="V733" s="8">
        <f t="shared" ca="1" si="374"/>
        <v>0</v>
      </c>
      <c r="W733" s="11" t="str">
        <f t="shared" ca="1" si="375"/>
        <v/>
      </c>
      <c r="X733" s="11" t="str">
        <f t="shared" ca="1" si="376"/>
        <v/>
      </c>
      <c r="Y733" s="11" t="str">
        <f t="shared" ca="1" si="377"/>
        <v/>
      </c>
      <c r="Z733" s="11" t="str">
        <f t="shared" ca="1" si="378"/>
        <v/>
      </c>
      <c r="AA733" s="11" t="str">
        <f t="shared" ca="1" si="379"/>
        <v/>
      </c>
      <c r="AB733" s="47">
        <f ca="1">PlayerGameData[[#This Row],[3FGA]]+PlayerGameData[[#This Row],[2FGA]]</f>
        <v>0</v>
      </c>
      <c r="AC733" s="47">
        <f ca="1">PlayerGameData[[#This Row],[OFF REB]]+PlayerGameData[[#This Row],[DEF REB]]</f>
        <v>0</v>
      </c>
      <c r="AD733" s="8">
        <f t="shared" si="360"/>
        <v>31</v>
      </c>
      <c r="AE733" s="8" t="str">
        <f t="shared" ca="1" si="361"/>
        <v>Ben Carpenter, 21 - 0 1/0/1900</v>
      </c>
      <c r="AF733" s="8" t="str">
        <f t="shared" ca="1" si="380"/>
        <v/>
      </c>
      <c r="AG733" s="8" t="str">
        <f ca="1">IFERROR(IF(C733=0,"",IF(AND(VLOOKUP(PlayerGameData[[#This Row],[Opponent]],WYTeamInfo,2,FALSE)=Roster!$D$1,VLOOKUP(PlayerGameData[[#This Row],[Opponent]],WYTeamInfo,3,FALSE)=Roster!$D$2),"SR","")),"")</f>
        <v/>
      </c>
      <c r="AH733" s="8" t="str">
        <f>CONCATENATE(Roster!$D$1," ",Roster!$D$5)</f>
        <v>1A BB</v>
      </c>
      <c r="AI733" s="8" t="str">
        <f t="shared" ca="1" si="362"/>
        <v>Blank</v>
      </c>
      <c r="AJ733" s="8">
        <f ca="1">IFERROR(VLOOKUP(PlayerGameData[[#This Row],[School, Opponent,Game'#]],Table3[],2,FALSE),0)</f>
        <v>0</v>
      </c>
      <c r="AK733" s="8">
        <f ca="1">IF(PlayerGameData[[#This Row],[Visible]]=1,1,1000)</f>
        <v>1000</v>
      </c>
      <c r="AL733" s="8">
        <f ca="1">RANK(PlayerGameData[[#This Row],[TL PTS]],PlayerGameData[TL PTS],0)+PlayerGameData[[#This Row],[VisibleOrder]]</f>
        <v>1184</v>
      </c>
      <c r="AM733" s="8">
        <f ca="1">IF(COUNTIF(PlayerGameData[PointOrder],PlayerGameData[[#This Row],[PointOrder]])&gt;1,RANK(PlayerGameData[[#This Row],[FGA]],PlayerGameData[FGA],0)/100,0)+PlayerGameData[[#This Row],[PointOrder]]</f>
        <v>1186.1400000000001</v>
      </c>
      <c r="AN733" s="8">
        <f ca="1">RANK(PlayerGameData[[#This Row],[PointTieBreak]],PlayerGameData[PointTieBreak],1)</f>
        <v>625</v>
      </c>
      <c r="AO733" s="8">
        <f ca="1">RANK(PlayerGameData[[#This Row],[REB]],PlayerGameData[REB],0)+PlayerGameData[[#This Row],[VisibleOrder]]</f>
        <v>1191</v>
      </c>
      <c r="AP733" s="8">
        <f ca="1">IF(COUNTIF(PlayerGameData[REBOrder],PlayerGameData[[#This Row],[REBOrder]])&gt;1,PlayerGameData[[#This Row],[PointRank]]/100+PlayerGameData[[#This Row],[REBOrder]],PlayerGameData[[#This Row],[REBOrder]])</f>
        <v>1197.25</v>
      </c>
      <c r="AQ733" s="8">
        <f ca="1">RANK(PlayerGameData[[#This Row],[REBTieBreak]],PlayerGameData[REBTieBreak],1)</f>
        <v>625</v>
      </c>
      <c r="AR733" s="8">
        <f ca="1">RANK(PlayerGameData[[#This Row],[AST]],PlayerGameData[AST],0)+PlayerGameData[[#This Row],[VisibleOrder]]</f>
        <v>1157</v>
      </c>
      <c r="AS733" s="8">
        <f ca="1">IF(COUNTIF(PlayerGameData[ASTOrder],PlayerGameData[[#This Row],[ASTOrder]])&gt;1,PlayerGameData[[#This Row],[PointRank]]/100+PlayerGameData[[#This Row],[ASTOrder]],PlayerGameData[[#This Row],[ASTOrder]])</f>
        <v>1163.25</v>
      </c>
      <c r="AT733" s="8">
        <f ca="1">RANK(PlayerGameData[[#This Row],[ASTTieBreak]],PlayerGameData[ASTTieBreak],1)</f>
        <v>625</v>
      </c>
      <c r="AU733" s="8">
        <f ca="1">RANK(PlayerGameData[[#This Row],[STL]],PlayerGameData[STL],0)+PlayerGameData[[#This Row],[VisibleOrder]]</f>
        <v>1142</v>
      </c>
      <c r="AV733" s="8">
        <f ca="1">IF(COUNTIF(PlayerGameData[STLOrder],PlayerGameData[[#This Row],[STLOrder]])&gt;1,PlayerGameData[[#This Row],[PointRank]]/100+PlayerGameData[[#This Row],[STLOrder]],PlayerGameData[[#This Row],[STLOrder]])</f>
        <v>1148.25</v>
      </c>
      <c r="AW733" s="8">
        <f ca="1">RANK(PlayerGameData[[#This Row],[STLTieBreak]],PlayerGameData[STLTieBreak],1)</f>
        <v>625</v>
      </c>
      <c r="AX733" s="8">
        <f ca="1">RANK(PlayerGameData[[#This Row],[BLK]],PlayerGameData[BLK],0)+PlayerGameData[[#This Row],[VisibleOrder]]</f>
        <v>1031</v>
      </c>
      <c r="AY733" s="8">
        <f ca="1">IF(COUNTIF(PlayerGameData[BLKOrder],PlayerGameData[[#This Row],[BLKOrder]])&gt;1,PlayerGameData[[#This Row],[PointRank]]/100+PlayerGameData[[#This Row],[BLKOrder]],PlayerGameData[[#This Row],[BLKOrder]])</f>
        <v>1037.25</v>
      </c>
      <c r="AZ733" s="8">
        <f ca="1">RANK(PlayerGameData[[#This Row],[BLKTieBreak]],PlayerGameData[BLKTieBreak],1)</f>
        <v>625</v>
      </c>
      <c r="BA733" s="11">
        <f ca="1">IFERROR(IF(PlayerGameData[[#This Row],[FGA]]&gt;$AA$5,PlayerGameData[[#This Row],[FG%*]],PlayerGameData[[#This Row],[FG%*]]*-1),-2)</f>
        <v>-2</v>
      </c>
      <c r="BB733" s="8">
        <f ca="1">RANK(PlayerGameData[[#This Row],[EligFG]],PlayerGameData[EligFG],0)+PlayerGameData[[#This Row],[VisibleOrder]]</f>
        <v>1214</v>
      </c>
      <c r="BC733" s="8">
        <f ca="1">IF(COUNTIF(PlayerGameData[EligFGOrder],PlayerGameData[[#This Row],[EligFGOrder]])&gt;1,PlayerGameData[[#This Row],[PointRank]]/100+PlayerGameData[[#This Row],[EligFGOrder]],PlayerGameData[[#This Row],[EligFGOrder]])</f>
        <v>1220.25</v>
      </c>
      <c r="BD733" s="8">
        <f ca="1">RANK(PlayerGameData[[#This Row],[EligFGTieBreak]],PlayerGameData[EligFGTieBreak],1)</f>
        <v>625</v>
      </c>
      <c r="BE733" s="8" t="str">
        <f>Roster!$D$3</f>
        <v>East</v>
      </c>
      <c r="BF733" s="8" t="str">
        <f>Roster!$D$2</f>
        <v>Northeast</v>
      </c>
      <c r="BG733" s="8" t="str">
        <f>Roster!$D$4</f>
        <v>North</v>
      </c>
      <c r="BH733" s="197">
        <f ca="1">IFERROR(VLOOKUP(CONCATENATE(PlayerGameData[[#This Row],[Opponent]]," ",MONTH(PlayerGameData[[#This Row],[Date]]),"/",DAY(PlayerGameData[[#This Row],[Date]]),"/",YEAR(PlayerGameData[[#This Row],[Date]])),Table35[],2,FALSE),0)</f>
        <v>0</v>
      </c>
      <c r="BI733" s="197">
        <f ca="1">IF(PlayerGameData[[#This Row],[Visible]]=1,1,1000)</f>
        <v>1000</v>
      </c>
      <c r="BJ733" s="197" t="e">
        <f ca="1">_xlfn.MAXIFS(TeamGameData[Win],TeamGameData[School, Opponent,Game'#],PlayerGameData[[#This Row],[School, Opponent,Game'#]])</f>
        <v>#NAME?</v>
      </c>
      <c r="BK733" s="197" t="e">
        <f ca="1">_xlfn.MAXIFS(TeamGameData[Loss],TeamGameData[School, Opponent,Game'#],PlayerGameData[[#This Row],[School, Opponent,Game'#]])</f>
        <v>#NAME?</v>
      </c>
    </row>
    <row r="734" spans="1:63" x14ac:dyDescent="0.25">
      <c r="A734" s="8" t="str">
        <f t="shared" ca="1" si="363"/>
        <v>Ethan Schiller, 23</v>
      </c>
      <c r="B734" s="8" t="str">
        <f>Roster!$B$1</f>
        <v>Upton</v>
      </c>
      <c r="C734" s="8">
        <f t="shared" ca="1" si="351"/>
        <v>0</v>
      </c>
      <c r="D734" s="10">
        <f t="shared" ca="1" si="352"/>
        <v>0</v>
      </c>
      <c r="E734" s="8">
        <f t="shared" ca="1" si="353"/>
        <v>0</v>
      </c>
      <c r="F734" s="8">
        <f t="shared" ca="1" si="354"/>
        <v>0</v>
      </c>
      <c r="G734" s="8">
        <f t="shared" ca="1" si="355"/>
        <v>0</v>
      </c>
      <c r="H734" s="8">
        <f t="shared" ca="1" si="356"/>
        <v>0</v>
      </c>
      <c r="I734" s="8">
        <f t="shared" ca="1" si="357"/>
        <v>0</v>
      </c>
      <c r="J734" s="8">
        <f t="shared" ca="1" si="358"/>
        <v>0</v>
      </c>
      <c r="K734" s="8">
        <f t="shared" ca="1" si="359"/>
        <v>0</v>
      </c>
      <c r="L734" s="8">
        <f t="shared" ca="1" si="364"/>
        <v>0</v>
      </c>
      <c r="M734" s="8">
        <f t="shared" ca="1" si="365"/>
        <v>0</v>
      </c>
      <c r="N734" s="8">
        <f t="shared" ca="1" si="366"/>
        <v>0</v>
      </c>
      <c r="O734" s="8">
        <f t="shared" ca="1" si="367"/>
        <v>0</v>
      </c>
      <c r="P734" s="8">
        <f t="shared" ca="1" si="368"/>
        <v>0</v>
      </c>
      <c r="Q734" s="8">
        <f t="shared" ca="1" si="369"/>
        <v>0</v>
      </c>
      <c r="R734" s="8">
        <f t="shared" ca="1" si="370"/>
        <v>0</v>
      </c>
      <c r="S734" s="8">
        <f t="shared" ca="1" si="371"/>
        <v>0</v>
      </c>
      <c r="T734" s="8">
        <f t="shared" ca="1" si="372"/>
        <v>0</v>
      </c>
      <c r="U734" s="8">
        <f t="shared" ca="1" si="373"/>
        <v>0</v>
      </c>
      <c r="V734" s="8">
        <f t="shared" ca="1" si="374"/>
        <v>0</v>
      </c>
      <c r="W734" s="11" t="str">
        <f t="shared" ca="1" si="375"/>
        <v/>
      </c>
      <c r="X734" s="11" t="str">
        <f t="shared" ca="1" si="376"/>
        <v/>
      </c>
      <c r="Y734" s="11" t="str">
        <f t="shared" ca="1" si="377"/>
        <v/>
      </c>
      <c r="Z734" s="11" t="str">
        <f t="shared" ca="1" si="378"/>
        <v/>
      </c>
      <c r="AA734" s="11" t="str">
        <f t="shared" ca="1" si="379"/>
        <v/>
      </c>
      <c r="AB734" s="47">
        <f ca="1">PlayerGameData[[#This Row],[3FGA]]+PlayerGameData[[#This Row],[2FGA]]</f>
        <v>0</v>
      </c>
      <c r="AC734" s="47">
        <f ca="1">PlayerGameData[[#This Row],[OFF REB]]+PlayerGameData[[#This Row],[DEF REB]]</f>
        <v>0</v>
      </c>
      <c r="AD734" s="8">
        <f t="shared" si="360"/>
        <v>31</v>
      </c>
      <c r="AE734" s="8" t="str">
        <f t="shared" ca="1" si="361"/>
        <v>Ethan Schiller, 23 - 0 1/0/1900</v>
      </c>
      <c r="AF734" s="8" t="str">
        <f t="shared" ca="1" si="380"/>
        <v/>
      </c>
      <c r="AG734" s="8" t="str">
        <f ca="1">IFERROR(IF(C734=0,"",IF(AND(VLOOKUP(PlayerGameData[[#This Row],[Opponent]],WYTeamInfo,2,FALSE)=Roster!$D$1,VLOOKUP(PlayerGameData[[#This Row],[Opponent]],WYTeamInfo,3,FALSE)=Roster!$D$2),"SR","")),"")</f>
        <v/>
      </c>
      <c r="AH734" s="8" t="str">
        <f>CONCATENATE(Roster!$D$1," ",Roster!$D$5)</f>
        <v>1A BB</v>
      </c>
      <c r="AI734" s="8" t="str">
        <f t="shared" ca="1" si="362"/>
        <v>Blank</v>
      </c>
      <c r="AJ734" s="8">
        <f ca="1">IFERROR(VLOOKUP(PlayerGameData[[#This Row],[School, Opponent,Game'#]],Table3[],2,FALSE),0)</f>
        <v>0</v>
      </c>
      <c r="AK734" s="8">
        <f ca="1">IF(PlayerGameData[[#This Row],[Visible]]=1,1,1000)</f>
        <v>1000</v>
      </c>
      <c r="AL734" s="8">
        <f ca="1">RANK(PlayerGameData[[#This Row],[TL PTS]],PlayerGameData[TL PTS],0)+PlayerGameData[[#This Row],[VisibleOrder]]</f>
        <v>1184</v>
      </c>
      <c r="AM734" s="8">
        <f ca="1">IF(COUNTIF(PlayerGameData[PointOrder],PlayerGameData[[#This Row],[PointOrder]])&gt;1,RANK(PlayerGameData[[#This Row],[FGA]],PlayerGameData[FGA],0)/100,0)+PlayerGameData[[#This Row],[PointOrder]]</f>
        <v>1186.1400000000001</v>
      </c>
      <c r="AN734" s="8">
        <f ca="1">RANK(PlayerGameData[[#This Row],[PointTieBreak]],PlayerGameData[PointTieBreak],1)</f>
        <v>625</v>
      </c>
      <c r="AO734" s="8">
        <f ca="1">RANK(PlayerGameData[[#This Row],[REB]],PlayerGameData[REB],0)+PlayerGameData[[#This Row],[VisibleOrder]]</f>
        <v>1191</v>
      </c>
      <c r="AP734" s="8">
        <f ca="1">IF(COUNTIF(PlayerGameData[REBOrder],PlayerGameData[[#This Row],[REBOrder]])&gt;1,PlayerGameData[[#This Row],[PointRank]]/100+PlayerGameData[[#This Row],[REBOrder]],PlayerGameData[[#This Row],[REBOrder]])</f>
        <v>1197.25</v>
      </c>
      <c r="AQ734" s="8">
        <f ca="1">RANK(PlayerGameData[[#This Row],[REBTieBreak]],PlayerGameData[REBTieBreak],1)</f>
        <v>625</v>
      </c>
      <c r="AR734" s="8">
        <f ca="1">RANK(PlayerGameData[[#This Row],[AST]],PlayerGameData[AST],0)+PlayerGameData[[#This Row],[VisibleOrder]]</f>
        <v>1157</v>
      </c>
      <c r="AS734" s="8">
        <f ca="1">IF(COUNTIF(PlayerGameData[ASTOrder],PlayerGameData[[#This Row],[ASTOrder]])&gt;1,PlayerGameData[[#This Row],[PointRank]]/100+PlayerGameData[[#This Row],[ASTOrder]],PlayerGameData[[#This Row],[ASTOrder]])</f>
        <v>1163.25</v>
      </c>
      <c r="AT734" s="8">
        <f ca="1">RANK(PlayerGameData[[#This Row],[ASTTieBreak]],PlayerGameData[ASTTieBreak],1)</f>
        <v>625</v>
      </c>
      <c r="AU734" s="8">
        <f ca="1">RANK(PlayerGameData[[#This Row],[STL]],PlayerGameData[STL],0)+PlayerGameData[[#This Row],[VisibleOrder]]</f>
        <v>1142</v>
      </c>
      <c r="AV734" s="8">
        <f ca="1">IF(COUNTIF(PlayerGameData[STLOrder],PlayerGameData[[#This Row],[STLOrder]])&gt;1,PlayerGameData[[#This Row],[PointRank]]/100+PlayerGameData[[#This Row],[STLOrder]],PlayerGameData[[#This Row],[STLOrder]])</f>
        <v>1148.25</v>
      </c>
      <c r="AW734" s="8">
        <f ca="1">RANK(PlayerGameData[[#This Row],[STLTieBreak]],PlayerGameData[STLTieBreak],1)</f>
        <v>625</v>
      </c>
      <c r="AX734" s="8">
        <f ca="1">RANK(PlayerGameData[[#This Row],[BLK]],PlayerGameData[BLK],0)+PlayerGameData[[#This Row],[VisibleOrder]]</f>
        <v>1031</v>
      </c>
      <c r="AY734" s="8">
        <f ca="1">IF(COUNTIF(PlayerGameData[BLKOrder],PlayerGameData[[#This Row],[BLKOrder]])&gt;1,PlayerGameData[[#This Row],[PointRank]]/100+PlayerGameData[[#This Row],[BLKOrder]],PlayerGameData[[#This Row],[BLKOrder]])</f>
        <v>1037.25</v>
      </c>
      <c r="AZ734" s="8">
        <f ca="1">RANK(PlayerGameData[[#This Row],[BLKTieBreak]],PlayerGameData[BLKTieBreak],1)</f>
        <v>625</v>
      </c>
      <c r="BA734" s="11">
        <f ca="1">IFERROR(IF(PlayerGameData[[#This Row],[FGA]]&gt;$AA$5,PlayerGameData[[#This Row],[FG%*]],PlayerGameData[[#This Row],[FG%*]]*-1),-2)</f>
        <v>-2</v>
      </c>
      <c r="BB734" s="8">
        <f ca="1">RANK(PlayerGameData[[#This Row],[EligFG]],PlayerGameData[EligFG],0)+PlayerGameData[[#This Row],[VisibleOrder]]</f>
        <v>1214</v>
      </c>
      <c r="BC734" s="8">
        <f ca="1">IF(COUNTIF(PlayerGameData[EligFGOrder],PlayerGameData[[#This Row],[EligFGOrder]])&gt;1,PlayerGameData[[#This Row],[PointRank]]/100+PlayerGameData[[#This Row],[EligFGOrder]],PlayerGameData[[#This Row],[EligFGOrder]])</f>
        <v>1220.25</v>
      </c>
      <c r="BD734" s="8">
        <f ca="1">RANK(PlayerGameData[[#This Row],[EligFGTieBreak]],PlayerGameData[EligFGTieBreak],1)</f>
        <v>625</v>
      </c>
      <c r="BE734" s="8" t="str">
        <f>Roster!$D$3</f>
        <v>East</v>
      </c>
      <c r="BF734" s="8" t="str">
        <f>Roster!$D$2</f>
        <v>Northeast</v>
      </c>
      <c r="BG734" s="8" t="str">
        <f>Roster!$D$4</f>
        <v>North</v>
      </c>
      <c r="BH734" s="197">
        <f ca="1">IFERROR(VLOOKUP(CONCATENATE(PlayerGameData[[#This Row],[Opponent]]," ",MONTH(PlayerGameData[[#This Row],[Date]]),"/",DAY(PlayerGameData[[#This Row],[Date]]),"/",YEAR(PlayerGameData[[#This Row],[Date]])),Table35[],2,FALSE),0)</f>
        <v>0</v>
      </c>
      <c r="BI734" s="197">
        <f ca="1">IF(PlayerGameData[[#This Row],[Visible]]=1,1,1000)</f>
        <v>1000</v>
      </c>
      <c r="BJ734" s="197" t="e">
        <f ca="1">_xlfn.MAXIFS(TeamGameData[Win],TeamGameData[School, Opponent,Game'#],PlayerGameData[[#This Row],[School, Opponent,Game'#]])</f>
        <v>#NAME?</v>
      </c>
      <c r="BK734" s="197" t="e">
        <f ca="1">_xlfn.MAXIFS(TeamGameData[Loss],TeamGameData[School, Opponent,Game'#],PlayerGameData[[#This Row],[School, Opponent,Game'#]])</f>
        <v>#NAME?</v>
      </c>
    </row>
    <row r="735" spans="1:63" x14ac:dyDescent="0.25">
      <c r="A735" s="8" t="str">
        <f t="shared" ca="1" si="363"/>
        <v>Bridger Bruce, 25</v>
      </c>
      <c r="B735" s="8" t="str">
        <f>Roster!$B$1</f>
        <v>Upton</v>
      </c>
      <c r="C735" s="8">
        <f t="shared" ca="1" si="351"/>
        <v>0</v>
      </c>
      <c r="D735" s="10">
        <f t="shared" ca="1" si="352"/>
        <v>0</v>
      </c>
      <c r="E735" s="8">
        <f t="shared" ca="1" si="353"/>
        <v>0</v>
      </c>
      <c r="F735" s="8">
        <f t="shared" ca="1" si="354"/>
        <v>0</v>
      </c>
      <c r="G735" s="8">
        <f t="shared" ca="1" si="355"/>
        <v>0</v>
      </c>
      <c r="H735" s="8">
        <f t="shared" ca="1" si="356"/>
        <v>0</v>
      </c>
      <c r="I735" s="8">
        <f t="shared" ca="1" si="357"/>
        <v>0</v>
      </c>
      <c r="J735" s="8">
        <f t="shared" ca="1" si="358"/>
        <v>0</v>
      </c>
      <c r="K735" s="8">
        <f t="shared" ca="1" si="359"/>
        <v>0</v>
      </c>
      <c r="L735" s="8">
        <f t="shared" ca="1" si="364"/>
        <v>0</v>
      </c>
      <c r="M735" s="8">
        <f t="shared" ca="1" si="365"/>
        <v>0</v>
      </c>
      <c r="N735" s="8">
        <f t="shared" ca="1" si="366"/>
        <v>0</v>
      </c>
      <c r="O735" s="8">
        <f t="shared" ca="1" si="367"/>
        <v>0</v>
      </c>
      <c r="P735" s="8">
        <f t="shared" ca="1" si="368"/>
        <v>0</v>
      </c>
      <c r="Q735" s="8">
        <f t="shared" ca="1" si="369"/>
        <v>0</v>
      </c>
      <c r="R735" s="8">
        <f t="shared" ca="1" si="370"/>
        <v>0</v>
      </c>
      <c r="S735" s="8">
        <f t="shared" ca="1" si="371"/>
        <v>0</v>
      </c>
      <c r="T735" s="8">
        <f t="shared" ca="1" si="372"/>
        <v>0</v>
      </c>
      <c r="U735" s="8">
        <f t="shared" ca="1" si="373"/>
        <v>0</v>
      </c>
      <c r="V735" s="8">
        <f t="shared" ca="1" si="374"/>
        <v>0</v>
      </c>
      <c r="W735" s="11" t="str">
        <f t="shared" ca="1" si="375"/>
        <v/>
      </c>
      <c r="X735" s="11" t="str">
        <f t="shared" ca="1" si="376"/>
        <v/>
      </c>
      <c r="Y735" s="11" t="str">
        <f t="shared" ca="1" si="377"/>
        <v/>
      </c>
      <c r="Z735" s="11" t="str">
        <f t="shared" ca="1" si="378"/>
        <v/>
      </c>
      <c r="AA735" s="11" t="str">
        <f t="shared" ca="1" si="379"/>
        <v/>
      </c>
      <c r="AB735" s="47">
        <f ca="1">PlayerGameData[[#This Row],[3FGA]]+PlayerGameData[[#This Row],[2FGA]]</f>
        <v>0</v>
      </c>
      <c r="AC735" s="47">
        <f ca="1">PlayerGameData[[#This Row],[OFF REB]]+PlayerGameData[[#This Row],[DEF REB]]</f>
        <v>0</v>
      </c>
      <c r="AD735" s="8">
        <f t="shared" si="360"/>
        <v>31</v>
      </c>
      <c r="AE735" s="8" t="str">
        <f t="shared" ca="1" si="361"/>
        <v>Bridger Bruce, 25 - 0 1/0/1900</v>
      </c>
      <c r="AF735" s="8" t="str">
        <f t="shared" ca="1" si="380"/>
        <v/>
      </c>
      <c r="AG735" s="8" t="str">
        <f ca="1">IFERROR(IF(C735=0,"",IF(AND(VLOOKUP(PlayerGameData[[#This Row],[Opponent]],WYTeamInfo,2,FALSE)=Roster!$D$1,VLOOKUP(PlayerGameData[[#This Row],[Opponent]],WYTeamInfo,3,FALSE)=Roster!$D$2),"SR","")),"")</f>
        <v/>
      </c>
      <c r="AH735" s="8" t="str">
        <f>CONCATENATE(Roster!$D$1," ",Roster!$D$5)</f>
        <v>1A BB</v>
      </c>
      <c r="AI735" s="8" t="str">
        <f t="shared" ca="1" si="362"/>
        <v>Blank</v>
      </c>
      <c r="AJ735" s="8">
        <f ca="1">IFERROR(VLOOKUP(PlayerGameData[[#This Row],[School, Opponent,Game'#]],Table3[],2,FALSE),0)</f>
        <v>0</v>
      </c>
      <c r="AK735" s="8">
        <f ca="1">IF(PlayerGameData[[#This Row],[Visible]]=1,1,1000)</f>
        <v>1000</v>
      </c>
      <c r="AL735" s="8">
        <f ca="1">RANK(PlayerGameData[[#This Row],[TL PTS]],PlayerGameData[TL PTS],0)+PlayerGameData[[#This Row],[VisibleOrder]]</f>
        <v>1184</v>
      </c>
      <c r="AM735" s="8">
        <f ca="1">IF(COUNTIF(PlayerGameData[PointOrder],PlayerGameData[[#This Row],[PointOrder]])&gt;1,RANK(PlayerGameData[[#This Row],[FGA]],PlayerGameData[FGA],0)/100,0)+PlayerGameData[[#This Row],[PointOrder]]</f>
        <v>1186.1400000000001</v>
      </c>
      <c r="AN735" s="8">
        <f ca="1">RANK(PlayerGameData[[#This Row],[PointTieBreak]],PlayerGameData[PointTieBreak],1)</f>
        <v>625</v>
      </c>
      <c r="AO735" s="8">
        <f ca="1">RANK(PlayerGameData[[#This Row],[REB]],PlayerGameData[REB],0)+PlayerGameData[[#This Row],[VisibleOrder]]</f>
        <v>1191</v>
      </c>
      <c r="AP735" s="8">
        <f ca="1">IF(COUNTIF(PlayerGameData[REBOrder],PlayerGameData[[#This Row],[REBOrder]])&gt;1,PlayerGameData[[#This Row],[PointRank]]/100+PlayerGameData[[#This Row],[REBOrder]],PlayerGameData[[#This Row],[REBOrder]])</f>
        <v>1197.25</v>
      </c>
      <c r="AQ735" s="8">
        <f ca="1">RANK(PlayerGameData[[#This Row],[REBTieBreak]],PlayerGameData[REBTieBreak],1)</f>
        <v>625</v>
      </c>
      <c r="AR735" s="8">
        <f ca="1">RANK(PlayerGameData[[#This Row],[AST]],PlayerGameData[AST],0)+PlayerGameData[[#This Row],[VisibleOrder]]</f>
        <v>1157</v>
      </c>
      <c r="AS735" s="8">
        <f ca="1">IF(COUNTIF(PlayerGameData[ASTOrder],PlayerGameData[[#This Row],[ASTOrder]])&gt;1,PlayerGameData[[#This Row],[PointRank]]/100+PlayerGameData[[#This Row],[ASTOrder]],PlayerGameData[[#This Row],[ASTOrder]])</f>
        <v>1163.25</v>
      </c>
      <c r="AT735" s="8">
        <f ca="1">RANK(PlayerGameData[[#This Row],[ASTTieBreak]],PlayerGameData[ASTTieBreak],1)</f>
        <v>625</v>
      </c>
      <c r="AU735" s="8">
        <f ca="1">RANK(PlayerGameData[[#This Row],[STL]],PlayerGameData[STL],0)+PlayerGameData[[#This Row],[VisibleOrder]]</f>
        <v>1142</v>
      </c>
      <c r="AV735" s="8">
        <f ca="1">IF(COUNTIF(PlayerGameData[STLOrder],PlayerGameData[[#This Row],[STLOrder]])&gt;1,PlayerGameData[[#This Row],[PointRank]]/100+PlayerGameData[[#This Row],[STLOrder]],PlayerGameData[[#This Row],[STLOrder]])</f>
        <v>1148.25</v>
      </c>
      <c r="AW735" s="8">
        <f ca="1">RANK(PlayerGameData[[#This Row],[STLTieBreak]],PlayerGameData[STLTieBreak],1)</f>
        <v>625</v>
      </c>
      <c r="AX735" s="8">
        <f ca="1">RANK(PlayerGameData[[#This Row],[BLK]],PlayerGameData[BLK],0)+PlayerGameData[[#This Row],[VisibleOrder]]</f>
        <v>1031</v>
      </c>
      <c r="AY735" s="8">
        <f ca="1">IF(COUNTIF(PlayerGameData[BLKOrder],PlayerGameData[[#This Row],[BLKOrder]])&gt;1,PlayerGameData[[#This Row],[PointRank]]/100+PlayerGameData[[#This Row],[BLKOrder]],PlayerGameData[[#This Row],[BLKOrder]])</f>
        <v>1037.25</v>
      </c>
      <c r="AZ735" s="8">
        <f ca="1">RANK(PlayerGameData[[#This Row],[BLKTieBreak]],PlayerGameData[BLKTieBreak],1)</f>
        <v>625</v>
      </c>
      <c r="BA735" s="11">
        <f ca="1">IFERROR(IF(PlayerGameData[[#This Row],[FGA]]&gt;$AA$5,PlayerGameData[[#This Row],[FG%*]],PlayerGameData[[#This Row],[FG%*]]*-1),-2)</f>
        <v>-2</v>
      </c>
      <c r="BB735" s="8">
        <f ca="1">RANK(PlayerGameData[[#This Row],[EligFG]],PlayerGameData[EligFG],0)+PlayerGameData[[#This Row],[VisibleOrder]]</f>
        <v>1214</v>
      </c>
      <c r="BC735" s="8">
        <f ca="1">IF(COUNTIF(PlayerGameData[EligFGOrder],PlayerGameData[[#This Row],[EligFGOrder]])&gt;1,PlayerGameData[[#This Row],[PointRank]]/100+PlayerGameData[[#This Row],[EligFGOrder]],PlayerGameData[[#This Row],[EligFGOrder]])</f>
        <v>1220.25</v>
      </c>
      <c r="BD735" s="8">
        <f ca="1">RANK(PlayerGameData[[#This Row],[EligFGTieBreak]],PlayerGameData[EligFGTieBreak],1)</f>
        <v>625</v>
      </c>
      <c r="BE735" s="8" t="str">
        <f>Roster!$D$3</f>
        <v>East</v>
      </c>
      <c r="BF735" s="8" t="str">
        <f>Roster!$D$2</f>
        <v>Northeast</v>
      </c>
      <c r="BG735" s="8" t="str">
        <f>Roster!$D$4</f>
        <v>North</v>
      </c>
      <c r="BH735" s="197">
        <f ca="1">IFERROR(VLOOKUP(CONCATENATE(PlayerGameData[[#This Row],[Opponent]]," ",MONTH(PlayerGameData[[#This Row],[Date]]),"/",DAY(PlayerGameData[[#This Row],[Date]]),"/",YEAR(PlayerGameData[[#This Row],[Date]])),Table35[],2,FALSE),0)</f>
        <v>0</v>
      </c>
      <c r="BI735" s="197">
        <f ca="1">IF(PlayerGameData[[#This Row],[Visible]]=1,1,1000)</f>
        <v>1000</v>
      </c>
      <c r="BJ735" s="197" t="e">
        <f ca="1">_xlfn.MAXIFS(TeamGameData[Win],TeamGameData[School, Opponent,Game'#],PlayerGameData[[#This Row],[School, Opponent,Game'#]])</f>
        <v>#NAME?</v>
      </c>
      <c r="BK735" s="197" t="e">
        <f ca="1">_xlfn.MAXIFS(TeamGameData[Loss],TeamGameData[School, Opponent,Game'#],PlayerGameData[[#This Row],[School, Opponent,Game'#]])</f>
        <v>#NAME?</v>
      </c>
    </row>
    <row r="736" spans="1:63" x14ac:dyDescent="0.25">
      <c r="A736" s="8" t="str">
        <f t="shared" ca="1" si="363"/>
        <v>Kailer Duarte, 31</v>
      </c>
      <c r="B736" s="8" t="str">
        <f>Roster!$B$1</f>
        <v>Upton</v>
      </c>
      <c r="C736" s="8">
        <f t="shared" ca="1" si="351"/>
        <v>0</v>
      </c>
      <c r="D736" s="10">
        <f t="shared" ca="1" si="352"/>
        <v>0</v>
      </c>
      <c r="E736" s="8">
        <f t="shared" ca="1" si="353"/>
        <v>0</v>
      </c>
      <c r="F736" s="8">
        <f t="shared" ca="1" si="354"/>
        <v>0</v>
      </c>
      <c r="G736" s="8">
        <f t="shared" ca="1" si="355"/>
        <v>0</v>
      </c>
      <c r="H736" s="8">
        <f t="shared" ca="1" si="356"/>
        <v>0</v>
      </c>
      <c r="I736" s="8">
        <f t="shared" ca="1" si="357"/>
        <v>0</v>
      </c>
      <c r="J736" s="8">
        <f t="shared" ca="1" si="358"/>
        <v>0</v>
      </c>
      <c r="K736" s="8">
        <f t="shared" ca="1" si="359"/>
        <v>0</v>
      </c>
      <c r="L736" s="8">
        <f t="shared" ca="1" si="364"/>
        <v>0</v>
      </c>
      <c r="M736" s="8">
        <f t="shared" ca="1" si="365"/>
        <v>0</v>
      </c>
      <c r="N736" s="8">
        <f t="shared" ca="1" si="366"/>
        <v>0</v>
      </c>
      <c r="O736" s="8">
        <f t="shared" ca="1" si="367"/>
        <v>0</v>
      </c>
      <c r="P736" s="8">
        <f t="shared" ca="1" si="368"/>
        <v>0</v>
      </c>
      <c r="Q736" s="8">
        <f t="shared" ca="1" si="369"/>
        <v>0</v>
      </c>
      <c r="R736" s="8">
        <f t="shared" ca="1" si="370"/>
        <v>0</v>
      </c>
      <c r="S736" s="8">
        <f t="shared" ca="1" si="371"/>
        <v>0</v>
      </c>
      <c r="T736" s="8">
        <f t="shared" ca="1" si="372"/>
        <v>0</v>
      </c>
      <c r="U736" s="8">
        <f t="shared" ca="1" si="373"/>
        <v>0</v>
      </c>
      <c r="V736" s="8">
        <f t="shared" ca="1" si="374"/>
        <v>0</v>
      </c>
      <c r="W736" s="11" t="str">
        <f t="shared" ca="1" si="375"/>
        <v/>
      </c>
      <c r="X736" s="11" t="str">
        <f t="shared" ca="1" si="376"/>
        <v/>
      </c>
      <c r="Y736" s="11" t="str">
        <f t="shared" ca="1" si="377"/>
        <v/>
      </c>
      <c r="Z736" s="11" t="str">
        <f t="shared" ca="1" si="378"/>
        <v/>
      </c>
      <c r="AA736" s="11" t="str">
        <f t="shared" ca="1" si="379"/>
        <v/>
      </c>
      <c r="AB736" s="47">
        <f ca="1">PlayerGameData[[#This Row],[3FGA]]+PlayerGameData[[#This Row],[2FGA]]</f>
        <v>0</v>
      </c>
      <c r="AC736" s="47">
        <f ca="1">PlayerGameData[[#This Row],[OFF REB]]+PlayerGameData[[#This Row],[DEF REB]]</f>
        <v>0</v>
      </c>
      <c r="AD736" s="8">
        <f t="shared" si="360"/>
        <v>31</v>
      </c>
      <c r="AE736" s="8" t="str">
        <f t="shared" ca="1" si="361"/>
        <v>Kailer Duarte, 31 - 0 1/0/1900</v>
      </c>
      <c r="AF736" s="8" t="str">
        <f t="shared" ca="1" si="380"/>
        <v/>
      </c>
      <c r="AG736" s="8" t="str">
        <f ca="1">IFERROR(IF(C736=0,"",IF(AND(VLOOKUP(PlayerGameData[[#This Row],[Opponent]],WYTeamInfo,2,FALSE)=Roster!$D$1,VLOOKUP(PlayerGameData[[#This Row],[Opponent]],WYTeamInfo,3,FALSE)=Roster!$D$2),"SR","")),"")</f>
        <v/>
      </c>
      <c r="AH736" s="8" t="str">
        <f>CONCATENATE(Roster!$D$1," ",Roster!$D$5)</f>
        <v>1A BB</v>
      </c>
      <c r="AI736" s="8" t="str">
        <f t="shared" ca="1" si="362"/>
        <v>Blank</v>
      </c>
      <c r="AJ736" s="8">
        <f ca="1">IFERROR(VLOOKUP(PlayerGameData[[#This Row],[School, Opponent,Game'#]],Table3[],2,FALSE),0)</f>
        <v>0</v>
      </c>
      <c r="AK736" s="8">
        <f ca="1">IF(PlayerGameData[[#This Row],[Visible]]=1,1,1000)</f>
        <v>1000</v>
      </c>
      <c r="AL736" s="8">
        <f ca="1">RANK(PlayerGameData[[#This Row],[TL PTS]],PlayerGameData[TL PTS],0)+PlayerGameData[[#This Row],[VisibleOrder]]</f>
        <v>1184</v>
      </c>
      <c r="AM736" s="8">
        <f ca="1">IF(COUNTIF(PlayerGameData[PointOrder],PlayerGameData[[#This Row],[PointOrder]])&gt;1,RANK(PlayerGameData[[#This Row],[FGA]],PlayerGameData[FGA],0)/100,0)+PlayerGameData[[#This Row],[PointOrder]]</f>
        <v>1186.1400000000001</v>
      </c>
      <c r="AN736" s="8">
        <f ca="1">RANK(PlayerGameData[[#This Row],[PointTieBreak]],PlayerGameData[PointTieBreak],1)</f>
        <v>625</v>
      </c>
      <c r="AO736" s="8">
        <f ca="1">RANK(PlayerGameData[[#This Row],[REB]],PlayerGameData[REB],0)+PlayerGameData[[#This Row],[VisibleOrder]]</f>
        <v>1191</v>
      </c>
      <c r="AP736" s="8">
        <f ca="1">IF(COUNTIF(PlayerGameData[REBOrder],PlayerGameData[[#This Row],[REBOrder]])&gt;1,PlayerGameData[[#This Row],[PointRank]]/100+PlayerGameData[[#This Row],[REBOrder]],PlayerGameData[[#This Row],[REBOrder]])</f>
        <v>1197.25</v>
      </c>
      <c r="AQ736" s="8">
        <f ca="1">RANK(PlayerGameData[[#This Row],[REBTieBreak]],PlayerGameData[REBTieBreak],1)</f>
        <v>625</v>
      </c>
      <c r="AR736" s="8">
        <f ca="1">RANK(PlayerGameData[[#This Row],[AST]],PlayerGameData[AST],0)+PlayerGameData[[#This Row],[VisibleOrder]]</f>
        <v>1157</v>
      </c>
      <c r="AS736" s="8">
        <f ca="1">IF(COUNTIF(PlayerGameData[ASTOrder],PlayerGameData[[#This Row],[ASTOrder]])&gt;1,PlayerGameData[[#This Row],[PointRank]]/100+PlayerGameData[[#This Row],[ASTOrder]],PlayerGameData[[#This Row],[ASTOrder]])</f>
        <v>1163.25</v>
      </c>
      <c r="AT736" s="8">
        <f ca="1">RANK(PlayerGameData[[#This Row],[ASTTieBreak]],PlayerGameData[ASTTieBreak],1)</f>
        <v>625</v>
      </c>
      <c r="AU736" s="8">
        <f ca="1">RANK(PlayerGameData[[#This Row],[STL]],PlayerGameData[STL],0)+PlayerGameData[[#This Row],[VisibleOrder]]</f>
        <v>1142</v>
      </c>
      <c r="AV736" s="8">
        <f ca="1">IF(COUNTIF(PlayerGameData[STLOrder],PlayerGameData[[#This Row],[STLOrder]])&gt;1,PlayerGameData[[#This Row],[PointRank]]/100+PlayerGameData[[#This Row],[STLOrder]],PlayerGameData[[#This Row],[STLOrder]])</f>
        <v>1148.25</v>
      </c>
      <c r="AW736" s="8">
        <f ca="1">RANK(PlayerGameData[[#This Row],[STLTieBreak]],PlayerGameData[STLTieBreak],1)</f>
        <v>625</v>
      </c>
      <c r="AX736" s="8">
        <f ca="1">RANK(PlayerGameData[[#This Row],[BLK]],PlayerGameData[BLK],0)+PlayerGameData[[#This Row],[VisibleOrder]]</f>
        <v>1031</v>
      </c>
      <c r="AY736" s="8">
        <f ca="1">IF(COUNTIF(PlayerGameData[BLKOrder],PlayerGameData[[#This Row],[BLKOrder]])&gt;1,PlayerGameData[[#This Row],[PointRank]]/100+PlayerGameData[[#This Row],[BLKOrder]],PlayerGameData[[#This Row],[BLKOrder]])</f>
        <v>1037.25</v>
      </c>
      <c r="AZ736" s="8">
        <f ca="1">RANK(PlayerGameData[[#This Row],[BLKTieBreak]],PlayerGameData[BLKTieBreak],1)</f>
        <v>625</v>
      </c>
      <c r="BA736" s="11">
        <f ca="1">IFERROR(IF(PlayerGameData[[#This Row],[FGA]]&gt;$AA$5,PlayerGameData[[#This Row],[FG%*]],PlayerGameData[[#This Row],[FG%*]]*-1),-2)</f>
        <v>-2</v>
      </c>
      <c r="BB736" s="8">
        <f ca="1">RANK(PlayerGameData[[#This Row],[EligFG]],PlayerGameData[EligFG],0)+PlayerGameData[[#This Row],[VisibleOrder]]</f>
        <v>1214</v>
      </c>
      <c r="BC736" s="8">
        <f ca="1">IF(COUNTIF(PlayerGameData[EligFGOrder],PlayerGameData[[#This Row],[EligFGOrder]])&gt;1,PlayerGameData[[#This Row],[PointRank]]/100+PlayerGameData[[#This Row],[EligFGOrder]],PlayerGameData[[#This Row],[EligFGOrder]])</f>
        <v>1220.25</v>
      </c>
      <c r="BD736" s="8">
        <f ca="1">RANK(PlayerGameData[[#This Row],[EligFGTieBreak]],PlayerGameData[EligFGTieBreak],1)</f>
        <v>625</v>
      </c>
      <c r="BE736" s="8" t="str">
        <f>Roster!$D$3</f>
        <v>East</v>
      </c>
      <c r="BF736" s="8" t="str">
        <f>Roster!$D$2</f>
        <v>Northeast</v>
      </c>
      <c r="BG736" s="8" t="str">
        <f>Roster!$D$4</f>
        <v>North</v>
      </c>
      <c r="BH736" s="197">
        <f ca="1">IFERROR(VLOOKUP(CONCATENATE(PlayerGameData[[#This Row],[Opponent]]," ",MONTH(PlayerGameData[[#This Row],[Date]]),"/",DAY(PlayerGameData[[#This Row],[Date]]),"/",YEAR(PlayerGameData[[#This Row],[Date]])),Table35[],2,FALSE),0)</f>
        <v>0</v>
      </c>
      <c r="BI736" s="197">
        <f ca="1">IF(PlayerGameData[[#This Row],[Visible]]=1,1,1000)</f>
        <v>1000</v>
      </c>
      <c r="BJ736" s="197" t="e">
        <f ca="1">_xlfn.MAXIFS(TeamGameData[Win],TeamGameData[School, Opponent,Game'#],PlayerGameData[[#This Row],[School, Opponent,Game'#]])</f>
        <v>#NAME?</v>
      </c>
      <c r="BK736" s="197" t="e">
        <f ca="1">_xlfn.MAXIFS(TeamGameData[Loss],TeamGameData[School, Opponent,Game'#],PlayerGameData[[#This Row],[School, Opponent,Game'#]])</f>
        <v>#NAME?</v>
      </c>
    </row>
    <row r="737" spans="1:63" x14ac:dyDescent="0.25">
      <c r="A737" s="8" t="str">
        <f t="shared" ca="1" si="363"/>
        <v>Matt Stirmel, 33</v>
      </c>
      <c r="B737" s="8" t="str">
        <f>Roster!$B$1</f>
        <v>Upton</v>
      </c>
      <c r="C737" s="8">
        <f t="shared" ca="1" si="351"/>
        <v>0</v>
      </c>
      <c r="D737" s="10">
        <f t="shared" ca="1" si="352"/>
        <v>0</v>
      </c>
      <c r="E737" s="8">
        <f t="shared" ca="1" si="353"/>
        <v>0</v>
      </c>
      <c r="F737" s="8">
        <f t="shared" ca="1" si="354"/>
        <v>0</v>
      </c>
      <c r="G737" s="8">
        <f t="shared" ca="1" si="355"/>
        <v>0</v>
      </c>
      <c r="H737" s="8">
        <f t="shared" ca="1" si="356"/>
        <v>0</v>
      </c>
      <c r="I737" s="8">
        <f t="shared" ca="1" si="357"/>
        <v>0</v>
      </c>
      <c r="J737" s="8">
        <f t="shared" ca="1" si="358"/>
        <v>0</v>
      </c>
      <c r="K737" s="8">
        <f t="shared" ca="1" si="359"/>
        <v>0</v>
      </c>
      <c r="L737" s="8">
        <f t="shared" ca="1" si="364"/>
        <v>0</v>
      </c>
      <c r="M737" s="8">
        <f t="shared" ca="1" si="365"/>
        <v>0</v>
      </c>
      <c r="N737" s="8">
        <f t="shared" ca="1" si="366"/>
        <v>0</v>
      </c>
      <c r="O737" s="8">
        <f t="shared" ca="1" si="367"/>
        <v>0</v>
      </c>
      <c r="P737" s="8">
        <f t="shared" ca="1" si="368"/>
        <v>0</v>
      </c>
      <c r="Q737" s="8">
        <f t="shared" ca="1" si="369"/>
        <v>0</v>
      </c>
      <c r="R737" s="8">
        <f t="shared" ca="1" si="370"/>
        <v>0</v>
      </c>
      <c r="S737" s="8">
        <f t="shared" ca="1" si="371"/>
        <v>0</v>
      </c>
      <c r="T737" s="8">
        <f t="shared" ca="1" si="372"/>
        <v>0</v>
      </c>
      <c r="U737" s="8">
        <f t="shared" ca="1" si="373"/>
        <v>0</v>
      </c>
      <c r="V737" s="8">
        <f t="shared" ca="1" si="374"/>
        <v>0</v>
      </c>
      <c r="W737" s="11" t="str">
        <f t="shared" ca="1" si="375"/>
        <v/>
      </c>
      <c r="X737" s="11" t="str">
        <f t="shared" ca="1" si="376"/>
        <v/>
      </c>
      <c r="Y737" s="11" t="str">
        <f t="shared" ca="1" si="377"/>
        <v/>
      </c>
      <c r="Z737" s="11" t="str">
        <f t="shared" ca="1" si="378"/>
        <v/>
      </c>
      <c r="AA737" s="11" t="str">
        <f t="shared" ca="1" si="379"/>
        <v/>
      </c>
      <c r="AB737" s="47">
        <f ca="1">PlayerGameData[[#This Row],[3FGA]]+PlayerGameData[[#This Row],[2FGA]]</f>
        <v>0</v>
      </c>
      <c r="AC737" s="47">
        <f ca="1">PlayerGameData[[#This Row],[OFF REB]]+PlayerGameData[[#This Row],[DEF REB]]</f>
        <v>0</v>
      </c>
      <c r="AD737" s="8">
        <f t="shared" si="360"/>
        <v>31</v>
      </c>
      <c r="AE737" s="8" t="str">
        <f t="shared" ca="1" si="361"/>
        <v>Matt Stirmel, 33 - 0 1/0/1900</v>
      </c>
      <c r="AF737" s="8" t="str">
        <f t="shared" ca="1" si="380"/>
        <v/>
      </c>
      <c r="AG737" s="8" t="str">
        <f ca="1">IFERROR(IF(C737=0,"",IF(AND(VLOOKUP(PlayerGameData[[#This Row],[Opponent]],WYTeamInfo,2,FALSE)=Roster!$D$1,VLOOKUP(PlayerGameData[[#This Row],[Opponent]],WYTeamInfo,3,FALSE)=Roster!$D$2),"SR","")),"")</f>
        <v/>
      </c>
      <c r="AH737" s="8" t="str">
        <f>CONCATENATE(Roster!$D$1," ",Roster!$D$5)</f>
        <v>1A BB</v>
      </c>
      <c r="AI737" s="8" t="str">
        <f t="shared" ca="1" si="362"/>
        <v>Blank</v>
      </c>
      <c r="AJ737" s="8">
        <f ca="1">IFERROR(VLOOKUP(PlayerGameData[[#This Row],[School, Opponent,Game'#]],Table3[],2,FALSE),0)</f>
        <v>0</v>
      </c>
      <c r="AK737" s="8">
        <f ca="1">IF(PlayerGameData[[#This Row],[Visible]]=1,1,1000)</f>
        <v>1000</v>
      </c>
      <c r="AL737" s="8">
        <f ca="1">RANK(PlayerGameData[[#This Row],[TL PTS]],PlayerGameData[TL PTS],0)+PlayerGameData[[#This Row],[VisibleOrder]]</f>
        <v>1184</v>
      </c>
      <c r="AM737" s="8">
        <f ca="1">IF(COUNTIF(PlayerGameData[PointOrder],PlayerGameData[[#This Row],[PointOrder]])&gt;1,RANK(PlayerGameData[[#This Row],[FGA]],PlayerGameData[FGA],0)/100,0)+PlayerGameData[[#This Row],[PointOrder]]</f>
        <v>1186.1400000000001</v>
      </c>
      <c r="AN737" s="8">
        <f ca="1">RANK(PlayerGameData[[#This Row],[PointTieBreak]],PlayerGameData[PointTieBreak],1)</f>
        <v>625</v>
      </c>
      <c r="AO737" s="8">
        <f ca="1">RANK(PlayerGameData[[#This Row],[REB]],PlayerGameData[REB],0)+PlayerGameData[[#This Row],[VisibleOrder]]</f>
        <v>1191</v>
      </c>
      <c r="AP737" s="8">
        <f ca="1">IF(COUNTIF(PlayerGameData[REBOrder],PlayerGameData[[#This Row],[REBOrder]])&gt;1,PlayerGameData[[#This Row],[PointRank]]/100+PlayerGameData[[#This Row],[REBOrder]],PlayerGameData[[#This Row],[REBOrder]])</f>
        <v>1197.25</v>
      </c>
      <c r="AQ737" s="8">
        <f ca="1">RANK(PlayerGameData[[#This Row],[REBTieBreak]],PlayerGameData[REBTieBreak],1)</f>
        <v>625</v>
      </c>
      <c r="AR737" s="8">
        <f ca="1">RANK(PlayerGameData[[#This Row],[AST]],PlayerGameData[AST],0)+PlayerGameData[[#This Row],[VisibleOrder]]</f>
        <v>1157</v>
      </c>
      <c r="AS737" s="8">
        <f ca="1">IF(COUNTIF(PlayerGameData[ASTOrder],PlayerGameData[[#This Row],[ASTOrder]])&gt;1,PlayerGameData[[#This Row],[PointRank]]/100+PlayerGameData[[#This Row],[ASTOrder]],PlayerGameData[[#This Row],[ASTOrder]])</f>
        <v>1163.25</v>
      </c>
      <c r="AT737" s="8">
        <f ca="1">RANK(PlayerGameData[[#This Row],[ASTTieBreak]],PlayerGameData[ASTTieBreak],1)</f>
        <v>625</v>
      </c>
      <c r="AU737" s="8">
        <f ca="1">RANK(PlayerGameData[[#This Row],[STL]],PlayerGameData[STL],0)+PlayerGameData[[#This Row],[VisibleOrder]]</f>
        <v>1142</v>
      </c>
      <c r="AV737" s="8">
        <f ca="1">IF(COUNTIF(PlayerGameData[STLOrder],PlayerGameData[[#This Row],[STLOrder]])&gt;1,PlayerGameData[[#This Row],[PointRank]]/100+PlayerGameData[[#This Row],[STLOrder]],PlayerGameData[[#This Row],[STLOrder]])</f>
        <v>1148.25</v>
      </c>
      <c r="AW737" s="8">
        <f ca="1">RANK(PlayerGameData[[#This Row],[STLTieBreak]],PlayerGameData[STLTieBreak],1)</f>
        <v>625</v>
      </c>
      <c r="AX737" s="8">
        <f ca="1">RANK(PlayerGameData[[#This Row],[BLK]],PlayerGameData[BLK],0)+PlayerGameData[[#This Row],[VisibleOrder]]</f>
        <v>1031</v>
      </c>
      <c r="AY737" s="8">
        <f ca="1">IF(COUNTIF(PlayerGameData[BLKOrder],PlayerGameData[[#This Row],[BLKOrder]])&gt;1,PlayerGameData[[#This Row],[PointRank]]/100+PlayerGameData[[#This Row],[BLKOrder]],PlayerGameData[[#This Row],[BLKOrder]])</f>
        <v>1037.25</v>
      </c>
      <c r="AZ737" s="8">
        <f ca="1">RANK(PlayerGameData[[#This Row],[BLKTieBreak]],PlayerGameData[BLKTieBreak],1)</f>
        <v>625</v>
      </c>
      <c r="BA737" s="11">
        <f ca="1">IFERROR(IF(PlayerGameData[[#This Row],[FGA]]&gt;$AA$5,PlayerGameData[[#This Row],[FG%*]],PlayerGameData[[#This Row],[FG%*]]*-1),-2)</f>
        <v>-2</v>
      </c>
      <c r="BB737" s="8">
        <f ca="1">RANK(PlayerGameData[[#This Row],[EligFG]],PlayerGameData[EligFG],0)+PlayerGameData[[#This Row],[VisibleOrder]]</f>
        <v>1214</v>
      </c>
      <c r="BC737" s="8">
        <f ca="1">IF(COUNTIF(PlayerGameData[EligFGOrder],PlayerGameData[[#This Row],[EligFGOrder]])&gt;1,PlayerGameData[[#This Row],[PointRank]]/100+PlayerGameData[[#This Row],[EligFGOrder]],PlayerGameData[[#This Row],[EligFGOrder]])</f>
        <v>1220.25</v>
      </c>
      <c r="BD737" s="8">
        <f ca="1">RANK(PlayerGameData[[#This Row],[EligFGTieBreak]],PlayerGameData[EligFGTieBreak],1)</f>
        <v>625</v>
      </c>
      <c r="BE737" s="8" t="str">
        <f>Roster!$D$3</f>
        <v>East</v>
      </c>
      <c r="BF737" s="8" t="str">
        <f>Roster!$D$2</f>
        <v>Northeast</v>
      </c>
      <c r="BG737" s="8" t="str">
        <f>Roster!$D$4</f>
        <v>North</v>
      </c>
      <c r="BH737" s="197">
        <f ca="1">IFERROR(VLOOKUP(CONCATENATE(PlayerGameData[[#This Row],[Opponent]]," ",MONTH(PlayerGameData[[#This Row],[Date]]),"/",DAY(PlayerGameData[[#This Row],[Date]]),"/",YEAR(PlayerGameData[[#This Row],[Date]])),Table35[],2,FALSE),0)</f>
        <v>0</v>
      </c>
      <c r="BI737" s="197">
        <f ca="1">IF(PlayerGameData[[#This Row],[Visible]]=1,1,1000)</f>
        <v>1000</v>
      </c>
      <c r="BJ737" s="197" t="e">
        <f ca="1">_xlfn.MAXIFS(TeamGameData[Win],TeamGameData[School, Opponent,Game'#],PlayerGameData[[#This Row],[School, Opponent,Game'#]])</f>
        <v>#NAME?</v>
      </c>
      <c r="BK737" s="197" t="e">
        <f ca="1">_xlfn.MAXIFS(TeamGameData[Loss],TeamGameData[School, Opponent,Game'#],PlayerGameData[[#This Row],[School, Opponent,Game'#]])</f>
        <v>#NAME?</v>
      </c>
    </row>
    <row r="738" spans="1:63" x14ac:dyDescent="0.25">
      <c r="A738" s="8" t="str">
        <f t="shared" ca="1" si="363"/>
        <v>Jacob McNutt, 34</v>
      </c>
      <c r="B738" s="8" t="str">
        <f>Roster!$B$1</f>
        <v>Upton</v>
      </c>
      <c r="C738" s="8">
        <f t="shared" ca="1" si="351"/>
        <v>0</v>
      </c>
      <c r="D738" s="10">
        <f t="shared" ca="1" si="352"/>
        <v>0</v>
      </c>
      <c r="E738" s="8">
        <f t="shared" ca="1" si="353"/>
        <v>0</v>
      </c>
      <c r="F738" s="8">
        <f t="shared" ca="1" si="354"/>
        <v>0</v>
      </c>
      <c r="G738" s="8">
        <f t="shared" ca="1" si="355"/>
        <v>0</v>
      </c>
      <c r="H738" s="8">
        <f t="shared" ca="1" si="356"/>
        <v>0</v>
      </c>
      <c r="I738" s="8">
        <f t="shared" ca="1" si="357"/>
        <v>0</v>
      </c>
      <c r="J738" s="8">
        <f t="shared" ca="1" si="358"/>
        <v>0</v>
      </c>
      <c r="K738" s="8">
        <f t="shared" ca="1" si="359"/>
        <v>0</v>
      </c>
      <c r="L738" s="8">
        <f t="shared" ca="1" si="364"/>
        <v>0</v>
      </c>
      <c r="M738" s="8">
        <f t="shared" ca="1" si="365"/>
        <v>0</v>
      </c>
      <c r="N738" s="8">
        <f t="shared" ca="1" si="366"/>
        <v>0</v>
      </c>
      <c r="O738" s="8">
        <f t="shared" ca="1" si="367"/>
        <v>0</v>
      </c>
      <c r="P738" s="8">
        <f t="shared" ca="1" si="368"/>
        <v>0</v>
      </c>
      <c r="Q738" s="8">
        <f t="shared" ca="1" si="369"/>
        <v>0</v>
      </c>
      <c r="R738" s="8">
        <f t="shared" ca="1" si="370"/>
        <v>0</v>
      </c>
      <c r="S738" s="8">
        <f t="shared" ca="1" si="371"/>
        <v>0</v>
      </c>
      <c r="T738" s="8">
        <f t="shared" ca="1" si="372"/>
        <v>0</v>
      </c>
      <c r="U738" s="8">
        <f t="shared" ca="1" si="373"/>
        <v>0</v>
      </c>
      <c r="V738" s="8">
        <f t="shared" ca="1" si="374"/>
        <v>0</v>
      </c>
      <c r="W738" s="11" t="str">
        <f t="shared" ca="1" si="375"/>
        <v/>
      </c>
      <c r="X738" s="11" t="str">
        <f t="shared" ca="1" si="376"/>
        <v/>
      </c>
      <c r="Y738" s="11" t="str">
        <f t="shared" ca="1" si="377"/>
        <v/>
      </c>
      <c r="Z738" s="11" t="str">
        <f t="shared" ca="1" si="378"/>
        <v/>
      </c>
      <c r="AA738" s="11" t="str">
        <f t="shared" ca="1" si="379"/>
        <v/>
      </c>
      <c r="AB738" s="47">
        <f ca="1">PlayerGameData[[#This Row],[3FGA]]+PlayerGameData[[#This Row],[2FGA]]</f>
        <v>0</v>
      </c>
      <c r="AC738" s="47">
        <f ca="1">PlayerGameData[[#This Row],[OFF REB]]+PlayerGameData[[#This Row],[DEF REB]]</f>
        <v>0</v>
      </c>
      <c r="AD738" s="8">
        <f t="shared" si="360"/>
        <v>31</v>
      </c>
      <c r="AE738" s="8" t="str">
        <f t="shared" ca="1" si="361"/>
        <v>Jacob McNutt, 34 - 0 1/0/1900</v>
      </c>
      <c r="AF738" s="8" t="str">
        <f t="shared" ca="1" si="380"/>
        <v/>
      </c>
      <c r="AG738" s="8" t="str">
        <f ca="1">IFERROR(IF(C738=0,"",IF(AND(VLOOKUP(PlayerGameData[[#This Row],[Opponent]],WYTeamInfo,2,FALSE)=Roster!$D$1,VLOOKUP(PlayerGameData[[#This Row],[Opponent]],WYTeamInfo,3,FALSE)=Roster!$D$2),"SR","")),"")</f>
        <v/>
      </c>
      <c r="AH738" s="8" t="str">
        <f>CONCATENATE(Roster!$D$1," ",Roster!$D$5)</f>
        <v>1A BB</v>
      </c>
      <c r="AI738" s="8" t="str">
        <f t="shared" ca="1" si="362"/>
        <v>Blank</v>
      </c>
      <c r="AJ738" s="8">
        <f ca="1">IFERROR(VLOOKUP(PlayerGameData[[#This Row],[School, Opponent,Game'#]],Table3[],2,FALSE),0)</f>
        <v>0</v>
      </c>
      <c r="AK738" s="8">
        <f ca="1">IF(PlayerGameData[[#This Row],[Visible]]=1,1,1000)</f>
        <v>1000</v>
      </c>
      <c r="AL738" s="8">
        <f ca="1">RANK(PlayerGameData[[#This Row],[TL PTS]],PlayerGameData[TL PTS],0)+PlayerGameData[[#This Row],[VisibleOrder]]</f>
        <v>1184</v>
      </c>
      <c r="AM738" s="8">
        <f ca="1">IF(COUNTIF(PlayerGameData[PointOrder],PlayerGameData[[#This Row],[PointOrder]])&gt;1,RANK(PlayerGameData[[#This Row],[FGA]],PlayerGameData[FGA],0)/100,0)+PlayerGameData[[#This Row],[PointOrder]]</f>
        <v>1186.1400000000001</v>
      </c>
      <c r="AN738" s="8">
        <f ca="1">RANK(PlayerGameData[[#This Row],[PointTieBreak]],PlayerGameData[PointTieBreak],1)</f>
        <v>625</v>
      </c>
      <c r="AO738" s="8">
        <f ca="1">RANK(PlayerGameData[[#This Row],[REB]],PlayerGameData[REB],0)+PlayerGameData[[#This Row],[VisibleOrder]]</f>
        <v>1191</v>
      </c>
      <c r="AP738" s="8">
        <f ca="1">IF(COUNTIF(PlayerGameData[REBOrder],PlayerGameData[[#This Row],[REBOrder]])&gt;1,PlayerGameData[[#This Row],[PointRank]]/100+PlayerGameData[[#This Row],[REBOrder]],PlayerGameData[[#This Row],[REBOrder]])</f>
        <v>1197.25</v>
      </c>
      <c r="AQ738" s="8">
        <f ca="1">RANK(PlayerGameData[[#This Row],[REBTieBreak]],PlayerGameData[REBTieBreak],1)</f>
        <v>625</v>
      </c>
      <c r="AR738" s="8">
        <f ca="1">RANK(PlayerGameData[[#This Row],[AST]],PlayerGameData[AST],0)+PlayerGameData[[#This Row],[VisibleOrder]]</f>
        <v>1157</v>
      </c>
      <c r="AS738" s="8">
        <f ca="1">IF(COUNTIF(PlayerGameData[ASTOrder],PlayerGameData[[#This Row],[ASTOrder]])&gt;1,PlayerGameData[[#This Row],[PointRank]]/100+PlayerGameData[[#This Row],[ASTOrder]],PlayerGameData[[#This Row],[ASTOrder]])</f>
        <v>1163.25</v>
      </c>
      <c r="AT738" s="8">
        <f ca="1">RANK(PlayerGameData[[#This Row],[ASTTieBreak]],PlayerGameData[ASTTieBreak],1)</f>
        <v>625</v>
      </c>
      <c r="AU738" s="8">
        <f ca="1">RANK(PlayerGameData[[#This Row],[STL]],PlayerGameData[STL],0)+PlayerGameData[[#This Row],[VisibleOrder]]</f>
        <v>1142</v>
      </c>
      <c r="AV738" s="8">
        <f ca="1">IF(COUNTIF(PlayerGameData[STLOrder],PlayerGameData[[#This Row],[STLOrder]])&gt;1,PlayerGameData[[#This Row],[PointRank]]/100+PlayerGameData[[#This Row],[STLOrder]],PlayerGameData[[#This Row],[STLOrder]])</f>
        <v>1148.25</v>
      </c>
      <c r="AW738" s="8">
        <f ca="1">RANK(PlayerGameData[[#This Row],[STLTieBreak]],PlayerGameData[STLTieBreak],1)</f>
        <v>625</v>
      </c>
      <c r="AX738" s="8">
        <f ca="1">RANK(PlayerGameData[[#This Row],[BLK]],PlayerGameData[BLK],0)+PlayerGameData[[#This Row],[VisibleOrder]]</f>
        <v>1031</v>
      </c>
      <c r="AY738" s="8">
        <f ca="1">IF(COUNTIF(PlayerGameData[BLKOrder],PlayerGameData[[#This Row],[BLKOrder]])&gt;1,PlayerGameData[[#This Row],[PointRank]]/100+PlayerGameData[[#This Row],[BLKOrder]],PlayerGameData[[#This Row],[BLKOrder]])</f>
        <v>1037.25</v>
      </c>
      <c r="AZ738" s="8">
        <f ca="1">RANK(PlayerGameData[[#This Row],[BLKTieBreak]],PlayerGameData[BLKTieBreak],1)</f>
        <v>625</v>
      </c>
      <c r="BA738" s="11">
        <f ca="1">IFERROR(IF(PlayerGameData[[#This Row],[FGA]]&gt;$AA$5,PlayerGameData[[#This Row],[FG%*]],PlayerGameData[[#This Row],[FG%*]]*-1),-2)</f>
        <v>-2</v>
      </c>
      <c r="BB738" s="8">
        <f ca="1">RANK(PlayerGameData[[#This Row],[EligFG]],PlayerGameData[EligFG],0)+PlayerGameData[[#This Row],[VisibleOrder]]</f>
        <v>1214</v>
      </c>
      <c r="BC738" s="8">
        <f ca="1">IF(COUNTIF(PlayerGameData[EligFGOrder],PlayerGameData[[#This Row],[EligFGOrder]])&gt;1,PlayerGameData[[#This Row],[PointRank]]/100+PlayerGameData[[#This Row],[EligFGOrder]],PlayerGameData[[#This Row],[EligFGOrder]])</f>
        <v>1220.25</v>
      </c>
      <c r="BD738" s="8">
        <f ca="1">RANK(PlayerGameData[[#This Row],[EligFGTieBreak]],PlayerGameData[EligFGTieBreak],1)</f>
        <v>625</v>
      </c>
      <c r="BE738" s="8" t="str">
        <f>Roster!$D$3</f>
        <v>East</v>
      </c>
      <c r="BF738" s="8" t="str">
        <f>Roster!$D$2</f>
        <v>Northeast</v>
      </c>
      <c r="BG738" s="8" t="str">
        <f>Roster!$D$4</f>
        <v>North</v>
      </c>
      <c r="BH738" s="197">
        <f ca="1">IFERROR(VLOOKUP(CONCATENATE(PlayerGameData[[#This Row],[Opponent]]," ",MONTH(PlayerGameData[[#This Row],[Date]]),"/",DAY(PlayerGameData[[#This Row],[Date]]),"/",YEAR(PlayerGameData[[#This Row],[Date]])),Table35[],2,FALSE),0)</f>
        <v>0</v>
      </c>
      <c r="BI738" s="197">
        <f ca="1">IF(PlayerGameData[[#This Row],[Visible]]=1,1,1000)</f>
        <v>1000</v>
      </c>
      <c r="BJ738" s="197" t="e">
        <f ca="1">_xlfn.MAXIFS(TeamGameData[Win],TeamGameData[School, Opponent,Game'#],PlayerGameData[[#This Row],[School, Opponent,Game'#]])</f>
        <v>#NAME?</v>
      </c>
      <c r="BK738" s="197" t="e">
        <f ca="1">_xlfn.MAXIFS(TeamGameData[Loss],TeamGameData[School, Opponent,Game'#],PlayerGameData[[#This Row],[School, Opponent,Game'#]])</f>
        <v>#NAME?</v>
      </c>
    </row>
    <row r="739" spans="1:63" x14ac:dyDescent="0.25">
      <c r="A739" s="8" t="str">
        <f t="shared" ca="1" si="363"/>
        <v>Ryan Baker, 35</v>
      </c>
      <c r="B739" s="8" t="str">
        <f>Roster!$B$1</f>
        <v>Upton</v>
      </c>
      <c r="C739" s="8">
        <f t="shared" ca="1" si="351"/>
        <v>0</v>
      </c>
      <c r="D739" s="10">
        <f t="shared" ca="1" si="352"/>
        <v>0</v>
      </c>
      <c r="E739" s="8">
        <f t="shared" ca="1" si="353"/>
        <v>0</v>
      </c>
      <c r="F739" s="8">
        <f t="shared" ca="1" si="354"/>
        <v>0</v>
      </c>
      <c r="G739" s="8">
        <f t="shared" ca="1" si="355"/>
        <v>0</v>
      </c>
      <c r="H739" s="8">
        <f t="shared" ca="1" si="356"/>
        <v>0</v>
      </c>
      <c r="I739" s="8">
        <f t="shared" ca="1" si="357"/>
        <v>0</v>
      </c>
      <c r="J739" s="8">
        <f t="shared" ca="1" si="358"/>
        <v>0</v>
      </c>
      <c r="K739" s="8">
        <f t="shared" ca="1" si="359"/>
        <v>0</v>
      </c>
      <c r="L739" s="8">
        <f t="shared" ca="1" si="364"/>
        <v>0</v>
      </c>
      <c r="M739" s="8">
        <f t="shared" ca="1" si="365"/>
        <v>0</v>
      </c>
      <c r="N739" s="8">
        <f t="shared" ca="1" si="366"/>
        <v>0</v>
      </c>
      <c r="O739" s="8">
        <f t="shared" ca="1" si="367"/>
        <v>0</v>
      </c>
      <c r="P739" s="8">
        <f t="shared" ca="1" si="368"/>
        <v>0</v>
      </c>
      <c r="Q739" s="8">
        <f t="shared" ca="1" si="369"/>
        <v>0</v>
      </c>
      <c r="R739" s="8">
        <f t="shared" ca="1" si="370"/>
        <v>0</v>
      </c>
      <c r="S739" s="8">
        <f t="shared" ca="1" si="371"/>
        <v>0</v>
      </c>
      <c r="T739" s="8">
        <f t="shared" ca="1" si="372"/>
        <v>0</v>
      </c>
      <c r="U739" s="8">
        <f t="shared" ca="1" si="373"/>
        <v>0</v>
      </c>
      <c r="V739" s="8">
        <f t="shared" ca="1" si="374"/>
        <v>0</v>
      </c>
      <c r="W739" s="11" t="str">
        <f t="shared" ca="1" si="375"/>
        <v/>
      </c>
      <c r="X739" s="11" t="str">
        <f t="shared" ca="1" si="376"/>
        <v/>
      </c>
      <c r="Y739" s="11" t="str">
        <f t="shared" ca="1" si="377"/>
        <v/>
      </c>
      <c r="Z739" s="11" t="str">
        <f t="shared" ca="1" si="378"/>
        <v/>
      </c>
      <c r="AA739" s="11" t="str">
        <f t="shared" ca="1" si="379"/>
        <v/>
      </c>
      <c r="AB739" s="47">
        <f ca="1">PlayerGameData[[#This Row],[3FGA]]+PlayerGameData[[#This Row],[2FGA]]</f>
        <v>0</v>
      </c>
      <c r="AC739" s="47">
        <f ca="1">PlayerGameData[[#This Row],[OFF REB]]+PlayerGameData[[#This Row],[DEF REB]]</f>
        <v>0</v>
      </c>
      <c r="AD739" s="8">
        <f t="shared" si="360"/>
        <v>31</v>
      </c>
      <c r="AE739" s="8" t="str">
        <f t="shared" ca="1" si="361"/>
        <v>Ryan Baker, 35 - 0 1/0/1900</v>
      </c>
      <c r="AF739" s="8" t="str">
        <f t="shared" ca="1" si="380"/>
        <v/>
      </c>
      <c r="AG739" s="8" t="str">
        <f ca="1">IFERROR(IF(C739=0,"",IF(AND(VLOOKUP(PlayerGameData[[#This Row],[Opponent]],WYTeamInfo,2,FALSE)=Roster!$D$1,VLOOKUP(PlayerGameData[[#This Row],[Opponent]],WYTeamInfo,3,FALSE)=Roster!$D$2),"SR","")),"")</f>
        <v/>
      </c>
      <c r="AH739" s="8" t="str">
        <f>CONCATENATE(Roster!$D$1," ",Roster!$D$5)</f>
        <v>1A BB</v>
      </c>
      <c r="AI739" s="8" t="str">
        <f t="shared" ca="1" si="362"/>
        <v>Blank</v>
      </c>
      <c r="AJ739" s="8">
        <f ca="1">IFERROR(VLOOKUP(PlayerGameData[[#This Row],[School, Opponent,Game'#]],Table3[],2,FALSE),0)</f>
        <v>0</v>
      </c>
      <c r="AK739" s="8">
        <f ca="1">IF(PlayerGameData[[#This Row],[Visible]]=1,1,1000)</f>
        <v>1000</v>
      </c>
      <c r="AL739" s="8">
        <f ca="1">RANK(PlayerGameData[[#This Row],[TL PTS]],PlayerGameData[TL PTS],0)+PlayerGameData[[#This Row],[VisibleOrder]]</f>
        <v>1184</v>
      </c>
      <c r="AM739" s="8">
        <f ca="1">IF(COUNTIF(PlayerGameData[PointOrder],PlayerGameData[[#This Row],[PointOrder]])&gt;1,RANK(PlayerGameData[[#This Row],[FGA]],PlayerGameData[FGA],0)/100,0)+PlayerGameData[[#This Row],[PointOrder]]</f>
        <v>1186.1400000000001</v>
      </c>
      <c r="AN739" s="8">
        <f ca="1">RANK(PlayerGameData[[#This Row],[PointTieBreak]],PlayerGameData[PointTieBreak],1)</f>
        <v>625</v>
      </c>
      <c r="AO739" s="8">
        <f ca="1">RANK(PlayerGameData[[#This Row],[REB]],PlayerGameData[REB],0)+PlayerGameData[[#This Row],[VisibleOrder]]</f>
        <v>1191</v>
      </c>
      <c r="AP739" s="8">
        <f ca="1">IF(COUNTIF(PlayerGameData[REBOrder],PlayerGameData[[#This Row],[REBOrder]])&gt;1,PlayerGameData[[#This Row],[PointRank]]/100+PlayerGameData[[#This Row],[REBOrder]],PlayerGameData[[#This Row],[REBOrder]])</f>
        <v>1197.25</v>
      </c>
      <c r="AQ739" s="8">
        <f ca="1">RANK(PlayerGameData[[#This Row],[REBTieBreak]],PlayerGameData[REBTieBreak],1)</f>
        <v>625</v>
      </c>
      <c r="AR739" s="8">
        <f ca="1">RANK(PlayerGameData[[#This Row],[AST]],PlayerGameData[AST],0)+PlayerGameData[[#This Row],[VisibleOrder]]</f>
        <v>1157</v>
      </c>
      <c r="AS739" s="8">
        <f ca="1">IF(COUNTIF(PlayerGameData[ASTOrder],PlayerGameData[[#This Row],[ASTOrder]])&gt;1,PlayerGameData[[#This Row],[PointRank]]/100+PlayerGameData[[#This Row],[ASTOrder]],PlayerGameData[[#This Row],[ASTOrder]])</f>
        <v>1163.25</v>
      </c>
      <c r="AT739" s="8">
        <f ca="1">RANK(PlayerGameData[[#This Row],[ASTTieBreak]],PlayerGameData[ASTTieBreak],1)</f>
        <v>625</v>
      </c>
      <c r="AU739" s="8">
        <f ca="1">RANK(PlayerGameData[[#This Row],[STL]],PlayerGameData[STL],0)+PlayerGameData[[#This Row],[VisibleOrder]]</f>
        <v>1142</v>
      </c>
      <c r="AV739" s="8">
        <f ca="1">IF(COUNTIF(PlayerGameData[STLOrder],PlayerGameData[[#This Row],[STLOrder]])&gt;1,PlayerGameData[[#This Row],[PointRank]]/100+PlayerGameData[[#This Row],[STLOrder]],PlayerGameData[[#This Row],[STLOrder]])</f>
        <v>1148.25</v>
      </c>
      <c r="AW739" s="8">
        <f ca="1">RANK(PlayerGameData[[#This Row],[STLTieBreak]],PlayerGameData[STLTieBreak],1)</f>
        <v>625</v>
      </c>
      <c r="AX739" s="8">
        <f ca="1">RANK(PlayerGameData[[#This Row],[BLK]],PlayerGameData[BLK],0)+PlayerGameData[[#This Row],[VisibleOrder]]</f>
        <v>1031</v>
      </c>
      <c r="AY739" s="8">
        <f ca="1">IF(COUNTIF(PlayerGameData[BLKOrder],PlayerGameData[[#This Row],[BLKOrder]])&gt;1,PlayerGameData[[#This Row],[PointRank]]/100+PlayerGameData[[#This Row],[BLKOrder]],PlayerGameData[[#This Row],[BLKOrder]])</f>
        <v>1037.25</v>
      </c>
      <c r="AZ739" s="8">
        <f ca="1">RANK(PlayerGameData[[#This Row],[BLKTieBreak]],PlayerGameData[BLKTieBreak],1)</f>
        <v>625</v>
      </c>
      <c r="BA739" s="11">
        <f ca="1">IFERROR(IF(PlayerGameData[[#This Row],[FGA]]&gt;$AA$5,PlayerGameData[[#This Row],[FG%*]],PlayerGameData[[#This Row],[FG%*]]*-1),-2)</f>
        <v>-2</v>
      </c>
      <c r="BB739" s="8">
        <f ca="1">RANK(PlayerGameData[[#This Row],[EligFG]],PlayerGameData[EligFG],0)+PlayerGameData[[#This Row],[VisibleOrder]]</f>
        <v>1214</v>
      </c>
      <c r="BC739" s="8">
        <f ca="1">IF(COUNTIF(PlayerGameData[EligFGOrder],PlayerGameData[[#This Row],[EligFGOrder]])&gt;1,PlayerGameData[[#This Row],[PointRank]]/100+PlayerGameData[[#This Row],[EligFGOrder]],PlayerGameData[[#This Row],[EligFGOrder]])</f>
        <v>1220.25</v>
      </c>
      <c r="BD739" s="8">
        <f ca="1">RANK(PlayerGameData[[#This Row],[EligFGTieBreak]],PlayerGameData[EligFGTieBreak],1)</f>
        <v>625</v>
      </c>
      <c r="BE739" s="8" t="str">
        <f>Roster!$D$3</f>
        <v>East</v>
      </c>
      <c r="BF739" s="8" t="str">
        <f>Roster!$D$2</f>
        <v>Northeast</v>
      </c>
      <c r="BG739" s="8" t="str">
        <f>Roster!$D$4</f>
        <v>North</v>
      </c>
      <c r="BH739" s="197">
        <f ca="1">IFERROR(VLOOKUP(CONCATENATE(PlayerGameData[[#This Row],[Opponent]]," ",MONTH(PlayerGameData[[#This Row],[Date]]),"/",DAY(PlayerGameData[[#This Row],[Date]]),"/",YEAR(PlayerGameData[[#This Row],[Date]])),Table35[],2,FALSE),0)</f>
        <v>0</v>
      </c>
      <c r="BI739" s="197">
        <f ca="1">IF(PlayerGameData[[#This Row],[Visible]]=1,1,1000)</f>
        <v>1000</v>
      </c>
      <c r="BJ739" s="197" t="e">
        <f ca="1">_xlfn.MAXIFS(TeamGameData[Win],TeamGameData[School, Opponent,Game'#],PlayerGameData[[#This Row],[School, Opponent,Game'#]])</f>
        <v>#NAME?</v>
      </c>
      <c r="BK739" s="197" t="e">
        <f ca="1">_xlfn.MAXIFS(TeamGameData[Loss],TeamGameData[School, Opponent,Game'#],PlayerGameData[[#This Row],[School, Opponent,Game'#]])</f>
        <v>#NAME?</v>
      </c>
    </row>
    <row r="740" spans="1:63" x14ac:dyDescent="0.25">
      <c r="A740" s="8" t="str">
        <f t="shared" ca="1" si="363"/>
        <v xml:space="preserve">, </v>
      </c>
      <c r="B740" s="8" t="str">
        <f>Roster!$B$1</f>
        <v>Upton</v>
      </c>
      <c r="C740" s="8">
        <f t="shared" ca="1" si="351"/>
        <v>0</v>
      </c>
      <c r="D740" s="10">
        <f t="shared" ca="1" si="352"/>
        <v>0</v>
      </c>
      <c r="E740" s="8">
        <f t="shared" ca="1" si="353"/>
        <v>0</v>
      </c>
      <c r="F740" s="8">
        <f t="shared" ca="1" si="354"/>
        <v>0</v>
      </c>
      <c r="G740" s="8">
        <f t="shared" ca="1" si="355"/>
        <v>0</v>
      </c>
      <c r="H740" s="8">
        <f t="shared" ca="1" si="356"/>
        <v>0</v>
      </c>
      <c r="I740" s="8">
        <f t="shared" ca="1" si="357"/>
        <v>0</v>
      </c>
      <c r="J740" s="8">
        <f t="shared" ca="1" si="358"/>
        <v>0</v>
      </c>
      <c r="K740" s="8">
        <f t="shared" ca="1" si="359"/>
        <v>0</v>
      </c>
      <c r="L740" s="8">
        <f t="shared" ca="1" si="364"/>
        <v>0</v>
      </c>
      <c r="M740" s="8">
        <f t="shared" ca="1" si="365"/>
        <v>0</v>
      </c>
      <c r="N740" s="8">
        <f t="shared" ca="1" si="366"/>
        <v>0</v>
      </c>
      <c r="O740" s="8">
        <f t="shared" ca="1" si="367"/>
        <v>0</v>
      </c>
      <c r="P740" s="8">
        <f t="shared" ca="1" si="368"/>
        <v>0</v>
      </c>
      <c r="Q740" s="8">
        <f t="shared" ca="1" si="369"/>
        <v>0</v>
      </c>
      <c r="R740" s="8">
        <f t="shared" ca="1" si="370"/>
        <v>0</v>
      </c>
      <c r="S740" s="8">
        <f t="shared" ca="1" si="371"/>
        <v>0</v>
      </c>
      <c r="T740" s="8">
        <f t="shared" ca="1" si="372"/>
        <v>0</v>
      </c>
      <c r="U740" s="8">
        <f t="shared" ca="1" si="373"/>
        <v>0</v>
      </c>
      <c r="V740" s="8">
        <f t="shared" ca="1" si="374"/>
        <v>0</v>
      </c>
      <c r="W740" s="11" t="str">
        <f t="shared" ca="1" si="375"/>
        <v/>
      </c>
      <c r="X740" s="11" t="str">
        <f t="shared" ca="1" si="376"/>
        <v/>
      </c>
      <c r="Y740" s="11" t="str">
        <f t="shared" ca="1" si="377"/>
        <v/>
      </c>
      <c r="Z740" s="11" t="str">
        <f t="shared" ca="1" si="378"/>
        <v/>
      </c>
      <c r="AA740" s="11" t="str">
        <f t="shared" ca="1" si="379"/>
        <v/>
      </c>
      <c r="AB740" s="47">
        <f ca="1">PlayerGameData[[#This Row],[3FGA]]+PlayerGameData[[#This Row],[2FGA]]</f>
        <v>0</v>
      </c>
      <c r="AC740" s="47">
        <f ca="1">PlayerGameData[[#This Row],[OFF REB]]+PlayerGameData[[#This Row],[DEF REB]]</f>
        <v>0</v>
      </c>
      <c r="AD740" s="8">
        <f t="shared" si="360"/>
        <v>31</v>
      </c>
      <c r="AE740" s="8" t="str">
        <f t="shared" ca="1" si="361"/>
        <v>,  - 0 1/0/1900</v>
      </c>
      <c r="AF740" s="8" t="str">
        <f t="shared" ca="1" si="380"/>
        <v/>
      </c>
      <c r="AG740" s="8" t="str">
        <f ca="1">IFERROR(IF(C740=0,"",IF(AND(VLOOKUP(PlayerGameData[[#This Row],[Opponent]],WYTeamInfo,2,FALSE)=Roster!$D$1,VLOOKUP(PlayerGameData[[#This Row],[Opponent]],WYTeamInfo,3,FALSE)=Roster!$D$2),"SR","")),"")</f>
        <v/>
      </c>
      <c r="AH740" s="8" t="str">
        <f>CONCATENATE(Roster!$D$1," ",Roster!$D$5)</f>
        <v>1A BB</v>
      </c>
      <c r="AI740" s="8" t="str">
        <f t="shared" ca="1" si="362"/>
        <v>Blank</v>
      </c>
      <c r="AJ740" s="8">
        <f ca="1">IFERROR(VLOOKUP(PlayerGameData[[#This Row],[School, Opponent,Game'#]],Table3[],2,FALSE),0)</f>
        <v>0</v>
      </c>
      <c r="AK740" s="8">
        <f ca="1">IF(PlayerGameData[[#This Row],[Visible]]=1,1,1000)</f>
        <v>1000</v>
      </c>
      <c r="AL740" s="8">
        <f ca="1">RANK(PlayerGameData[[#This Row],[TL PTS]],PlayerGameData[TL PTS],0)+PlayerGameData[[#This Row],[VisibleOrder]]</f>
        <v>1184</v>
      </c>
      <c r="AM740" s="8">
        <f ca="1">IF(COUNTIF(PlayerGameData[PointOrder],PlayerGameData[[#This Row],[PointOrder]])&gt;1,RANK(PlayerGameData[[#This Row],[FGA]],PlayerGameData[FGA],0)/100,0)+PlayerGameData[[#This Row],[PointOrder]]</f>
        <v>1186.1400000000001</v>
      </c>
      <c r="AN740" s="8">
        <f ca="1">RANK(PlayerGameData[[#This Row],[PointTieBreak]],PlayerGameData[PointTieBreak],1)</f>
        <v>625</v>
      </c>
      <c r="AO740" s="8">
        <f ca="1">RANK(PlayerGameData[[#This Row],[REB]],PlayerGameData[REB],0)+PlayerGameData[[#This Row],[VisibleOrder]]</f>
        <v>1191</v>
      </c>
      <c r="AP740" s="8">
        <f ca="1">IF(COUNTIF(PlayerGameData[REBOrder],PlayerGameData[[#This Row],[REBOrder]])&gt;1,PlayerGameData[[#This Row],[PointRank]]/100+PlayerGameData[[#This Row],[REBOrder]],PlayerGameData[[#This Row],[REBOrder]])</f>
        <v>1197.25</v>
      </c>
      <c r="AQ740" s="8">
        <f ca="1">RANK(PlayerGameData[[#This Row],[REBTieBreak]],PlayerGameData[REBTieBreak],1)</f>
        <v>625</v>
      </c>
      <c r="AR740" s="8">
        <f ca="1">RANK(PlayerGameData[[#This Row],[AST]],PlayerGameData[AST],0)+PlayerGameData[[#This Row],[VisibleOrder]]</f>
        <v>1157</v>
      </c>
      <c r="AS740" s="8">
        <f ca="1">IF(COUNTIF(PlayerGameData[ASTOrder],PlayerGameData[[#This Row],[ASTOrder]])&gt;1,PlayerGameData[[#This Row],[PointRank]]/100+PlayerGameData[[#This Row],[ASTOrder]],PlayerGameData[[#This Row],[ASTOrder]])</f>
        <v>1163.25</v>
      </c>
      <c r="AT740" s="8">
        <f ca="1">RANK(PlayerGameData[[#This Row],[ASTTieBreak]],PlayerGameData[ASTTieBreak],1)</f>
        <v>625</v>
      </c>
      <c r="AU740" s="8">
        <f ca="1">RANK(PlayerGameData[[#This Row],[STL]],PlayerGameData[STL],0)+PlayerGameData[[#This Row],[VisibleOrder]]</f>
        <v>1142</v>
      </c>
      <c r="AV740" s="8">
        <f ca="1">IF(COUNTIF(PlayerGameData[STLOrder],PlayerGameData[[#This Row],[STLOrder]])&gt;1,PlayerGameData[[#This Row],[PointRank]]/100+PlayerGameData[[#This Row],[STLOrder]],PlayerGameData[[#This Row],[STLOrder]])</f>
        <v>1148.25</v>
      </c>
      <c r="AW740" s="8">
        <f ca="1">RANK(PlayerGameData[[#This Row],[STLTieBreak]],PlayerGameData[STLTieBreak],1)</f>
        <v>625</v>
      </c>
      <c r="AX740" s="8">
        <f ca="1">RANK(PlayerGameData[[#This Row],[BLK]],PlayerGameData[BLK],0)+PlayerGameData[[#This Row],[VisibleOrder]]</f>
        <v>1031</v>
      </c>
      <c r="AY740" s="8">
        <f ca="1">IF(COUNTIF(PlayerGameData[BLKOrder],PlayerGameData[[#This Row],[BLKOrder]])&gt;1,PlayerGameData[[#This Row],[PointRank]]/100+PlayerGameData[[#This Row],[BLKOrder]],PlayerGameData[[#This Row],[BLKOrder]])</f>
        <v>1037.25</v>
      </c>
      <c r="AZ740" s="8">
        <f ca="1">RANK(PlayerGameData[[#This Row],[BLKTieBreak]],PlayerGameData[BLKTieBreak],1)</f>
        <v>625</v>
      </c>
      <c r="BA740" s="11">
        <f ca="1">IFERROR(IF(PlayerGameData[[#This Row],[FGA]]&gt;$AA$5,PlayerGameData[[#This Row],[FG%*]],PlayerGameData[[#This Row],[FG%*]]*-1),-2)</f>
        <v>-2</v>
      </c>
      <c r="BB740" s="8">
        <f ca="1">RANK(PlayerGameData[[#This Row],[EligFG]],PlayerGameData[EligFG],0)+PlayerGameData[[#This Row],[VisibleOrder]]</f>
        <v>1214</v>
      </c>
      <c r="BC740" s="8">
        <f ca="1">IF(COUNTIF(PlayerGameData[EligFGOrder],PlayerGameData[[#This Row],[EligFGOrder]])&gt;1,PlayerGameData[[#This Row],[PointRank]]/100+PlayerGameData[[#This Row],[EligFGOrder]],PlayerGameData[[#This Row],[EligFGOrder]])</f>
        <v>1220.25</v>
      </c>
      <c r="BD740" s="8">
        <f ca="1">RANK(PlayerGameData[[#This Row],[EligFGTieBreak]],PlayerGameData[EligFGTieBreak],1)</f>
        <v>625</v>
      </c>
      <c r="BE740" s="8" t="str">
        <f>Roster!$D$3</f>
        <v>East</v>
      </c>
      <c r="BF740" s="8" t="str">
        <f>Roster!$D$2</f>
        <v>Northeast</v>
      </c>
      <c r="BG740" s="8" t="str">
        <f>Roster!$D$4</f>
        <v>North</v>
      </c>
      <c r="BH740" s="197">
        <f ca="1">IFERROR(VLOOKUP(CONCATENATE(PlayerGameData[[#This Row],[Opponent]]," ",MONTH(PlayerGameData[[#This Row],[Date]]),"/",DAY(PlayerGameData[[#This Row],[Date]]),"/",YEAR(PlayerGameData[[#This Row],[Date]])),Table35[],2,FALSE),0)</f>
        <v>0</v>
      </c>
      <c r="BI740" s="197">
        <f ca="1">IF(PlayerGameData[[#This Row],[Visible]]=1,1,1000)</f>
        <v>1000</v>
      </c>
      <c r="BJ740" s="197" t="e">
        <f ca="1">_xlfn.MAXIFS(TeamGameData[Win],TeamGameData[School, Opponent,Game'#],PlayerGameData[[#This Row],[School, Opponent,Game'#]])</f>
        <v>#NAME?</v>
      </c>
      <c r="BK740" s="197" t="e">
        <f ca="1">_xlfn.MAXIFS(TeamGameData[Loss],TeamGameData[School, Opponent,Game'#],PlayerGameData[[#This Row],[School, Opponent,Game'#]])</f>
        <v>#NAME?</v>
      </c>
    </row>
    <row r="741" spans="1:63" x14ac:dyDescent="0.25">
      <c r="A741" s="8" t="str">
        <f t="shared" ca="1" si="363"/>
        <v xml:space="preserve">, </v>
      </c>
      <c r="B741" s="8" t="str">
        <f>Roster!$B$1</f>
        <v>Upton</v>
      </c>
      <c r="C741" s="8">
        <f t="shared" ca="1" si="351"/>
        <v>0</v>
      </c>
      <c r="D741" s="10">
        <f t="shared" ca="1" si="352"/>
        <v>0</v>
      </c>
      <c r="E741" s="8">
        <f t="shared" ca="1" si="353"/>
        <v>0</v>
      </c>
      <c r="F741" s="8">
        <f t="shared" ca="1" si="354"/>
        <v>0</v>
      </c>
      <c r="G741" s="8">
        <f t="shared" ca="1" si="355"/>
        <v>0</v>
      </c>
      <c r="H741" s="8">
        <f t="shared" ca="1" si="356"/>
        <v>0</v>
      </c>
      <c r="I741" s="8">
        <f t="shared" ca="1" si="357"/>
        <v>0</v>
      </c>
      <c r="J741" s="8">
        <f t="shared" ca="1" si="358"/>
        <v>0</v>
      </c>
      <c r="K741" s="8">
        <f t="shared" ca="1" si="359"/>
        <v>0</v>
      </c>
      <c r="L741" s="8">
        <f t="shared" ca="1" si="364"/>
        <v>0</v>
      </c>
      <c r="M741" s="8">
        <f t="shared" ca="1" si="365"/>
        <v>0</v>
      </c>
      <c r="N741" s="8">
        <f t="shared" ca="1" si="366"/>
        <v>0</v>
      </c>
      <c r="O741" s="8">
        <f t="shared" ca="1" si="367"/>
        <v>0</v>
      </c>
      <c r="P741" s="8">
        <f t="shared" ca="1" si="368"/>
        <v>0</v>
      </c>
      <c r="Q741" s="8">
        <f t="shared" ca="1" si="369"/>
        <v>0</v>
      </c>
      <c r="R741" s="8">
        <f t="shared" ca="1" si="370"/>
        <v>0</v>
      </c>
      <c r="S741" s="8">
        <f t="shared" ca="1" si="371"/>
        <v>0</v>
      </c>
      <c r="T741" s="8">
        <f t="shared" ca="1" si="372"/>
        <v>0</v>
      </c>
      <c r="U741" s="8">
        <f t="shared" ca="1" si="373"/>
        <v>0</v>
      </c>
      <c r="V741" s="8">
        <f t="shared" ca="1" si="374"/>
        <v>0</v>
      </c>
      <c r="W741" s="11" t="str">
        <f t="shared" ca="1" si="375"/>
        <v/>
      </c>
      <c r="X741" s="11" t="str">
        <f t="shared" ca="1" si="376"/>
        <v/>
      </c>
      <c r="Y741" s="11" t="str">
        <f t="shared" ca="1" si="377"/>
        <v/>
      </c>
      <c r="Z741" s="11" t="str">
        <f t="shared" ca="1" si="378"/>
        <v/>
      </c>
      <c r="AA741" s="11" t="str">
        <f t="shared" ca="1" si="379"/>
        <v/>
      </c>
      <c r="AB741" s="47">
        <f ca="1">PlayerGameData[[#This Row],[3FGA]]+PlayerGameData[[#This Row],[2FGA]]</f>
        <v>0</v>
      </c>
      <c r="AC741" s="47">
        <f ca="1">PlayerGameData[[#This Row],[OFF REB]]+PlayerGameData[[#This Row],[DEF REB]]</f>
        <v>0</v>
      </c>
      <c r="AD741" s="8">
        <f t="shared" si="360"/>
        <v>31</v>
      </c>
      <c r="AE741" s="8" t="str">
        <f t="shared" ca="1" si="361"/>
        <v>,  - 0 1/0/1900</v>
      </c>
      <c r="AF741" s="8" t="str">
        <f t="shared" ca="1" si="380"/>
        <v/>
      </c>
      <c r="AG741" s="8" t="str">
        <f ca="1">IFERROR(IF(C741=0,"",IF(AND(VLOOKUP(PlayerGameData[[#This Row],[Opponent]],WYTeamInfo,2,FALSE)=Roster!$D$1,VLOOKUP(PlayerGameData[[#This Row],[Opponent]],WYTeamInfo,3,FALSE)=Roster!$D$2),"SR","")),"")</f>
        <v/>
      </c>
      <c r="AH741" s="8" t="str">
        <f>CONCATENATE(Roster!$D$1," ",Roster!$D$5)</f>
        <v>1A BB</v>
      </c>
      <c r="AI741" s="8" t="str">
        <f t="shared" ca="1" si="362"/>
        <v>Blank</v>
      </c>
      <c r="AJ741" s="8">
        <f ca="1">IFERROR(VLOOKUP(PlayerGameData[[#This Row],[School, Opponent,Game'#]],Table3[],2,FALSE),0)</f>
        <v>0</v>
      </c>
      <c r="AK741" s="8">
        <f ca="1">IF(PlayerGameData[[#This Row],[Visible]]=1,1,1000)</f>
        <v>1000</v>
      </c>
      <c r="AL741" s="8">
        <f ca="1">RANK(PlayerGameData[[#This Row],[TL PTS]],PlayerGameData[TL PTS],0)+PlayerGameData[[#This Row],[VisibleOrder]]</f>
        <v>1184</v>
      </c>
      <c r="AM741" s="8">
        <f ca="1">IF(COUNTIF(PlayerGameData[PointOrder],PlayerGameData[[#This Row],[PointOrder]])&gt;1,RANK(PlayerGameData[[#This Row],[FGA]],PlayerGameData[FGA],0)/100,0)+PlayerGameData[[#This Row],[PointOrder]]</f>
        <v>1186.1400000000001</v>
      </c>
      <c r="AN741" s="8">
        <f ca="1">RANK(PlayerGameData[[#This Row],[PointTieBreak]],PlayerGameData[PointTieBreak],1)</f>
        <v>625</v>
      </c>
      <c r="AO741" s="8">
        <f ca="1">RANK(PlayerGameData[[#This Row],[REB]],PlayerGameData[REB],0)+PlayerGameData[[#This Row],[VisibleOrder]]</f>
        <v>1191</v>
      </c>
      <c r="AP741" s="8">
        <f ca="1">IF(COUNTIF(PlayerGameData[REBOrder],PlayerGameData[[#This Row],[REBOrder]])&gt;1,PlayerGameData[[#This Row],[PointRank]]/100+PlayerGameData[[#This Row],[REBOrder]],PlayerGameData[[#This Row],[REBOrder]])</f>
        <v>1197.25</v>
      </c>
      <c r="AQ741" s="8">
        <f ca="1">RANK(PlayerGameData[[#This Row],[REBTieBreak]],PlayerGameData[REBTieBreak],1)</f>
        <v>625</v>
      </c>
      <c r="AR741" s="8">
        <f ca="1">RANK(PlayerGameData[[#This Row],[AST]],PlayerGameData[AST],0)+PlayerGameData[[#This Row],[VisibleOrder]]</f>
        <v>1157</v>
      </c>
      <c r="AS741" s="8">
        <f ca="1">IF(COUNTIF(PlayerGameData[ASTOrder],PlayerGameData[[#This Row],[ASTOrder]])&gt;1,PlayerGameData[[#This Row],[PointRank]]/100+PlayerGameData[[#This Row],[ASTOrder]],PlayerGameData[[#This Row],[ASTOrder]])</f>
        <v>1163.25</v>
      </c>
      <c r="AT741" s="8">
        <f ca="1">RANK(PlayerGameData[[#This Row],[ASTTieBreak]],PlayerGameData[ASTTieBreak],1)</f>
        <v>625</v>
      </c>
      <c r="AU741" s="8">
        <f ca="1">RANK(PlayerGameData[[#This Row],[STL]],PlayerGameData[STL],0)+PlayerGameData[[#This Row],[VisibleOrder]]</f>
        <v>1142</v>
      </c>
      <c r="AV741" s="8">
        <f ca="1">IF(COUNTIF(PlayerGameData[STLOrder],PlayerGameData[[#This Row],[STLOrder]])&gt;1,PlayerGameData[[#This Row],[PointRank]]/100+PlayerGameData[[#This Row],[STLOrder]],PlayerGameData[[#This Row],[STLOrder]])</f>
        <v>1148.25</v>
      </c>
      <c r="AW741" s="8">
        <f ca="1">RANK(PlayerGameData[[#This Row],[STLTieBreak]],PlayerGameData[STLTieBreak],1)</f>
        <v>625</v>
      </c>
      <c r="AX741" s="8">
        <f ca="1">RANK(PlayerGameData[[#This Row],[BLK]],PlayerGameData[BLK],0)+PlayerGameData[[#This Row],[VisibleOrder]]</f>
        <v>1031</v>
      </c>
      <c r="AY741" s="8">
        <f ca="1">IF(COUNTIF(PlayerGameData[BLKOrder],PlayerGameData[[#This Row],[BLKOrder]])&gt;1,PlayerGameData[[#This Row],[PointRank]]/100+PlayerGameData[[#This Row],[BLKOrder]],PlayerGameData[[#This Row],[BLKOrder]])</f>
        <v>1037.25</v>
      </c>
      <c r="AZ741" s="8">
        <f ca="1">RANK(PlayerGameData[[#This Row],[BLKTieBreak]],PlayerGameData[BLKTieBreak],1)</f>
        <v>625</v>
      </c>
      <c r="BA741" s="11">
        <f ca="1">IFERROR(IF(PlayerGameData[[#This Row],[FGA]]&gt;$AA$5,PlayerGameData[[#This Row],[FG%*]],PlayerGameData[[#This Row],[FG%*]]*-1),-2)</f>
        <v>-2</v>
      </c>
      <c r="BB741" s="8">
        <f ca="1">RANK(PlayerGameData[[#This Row],[EligFG]],PlayerGameData[EligFG],0)+PlayerGameData[[#This Row],[VisibleOrder]]</f>
        <v>1214</v>
      </c>
      <c r="BC741" s="8">
        <f ca="1">IF(COUNTIF(PlayerGameData[EligFGOrder],PlayerGameData[[#This Row],[EligFGOrder]])&gt;1,PlayerGameData[[#This Row],[PointRank]]/100+PlayerGameData[[#This Row],[EligFGOrder]],PlayerGameData[[#This Row],[EligFGOrder]])</f>
        <v>1220.25</v>
      </c>
      <c r="BD741" s="8">
        <f ca="1">RANK(PlayerGameData[[#This Row],[EligFGTieBreak]],PlayerGameData[EligFGTieBreak],1)</f>
        <v>625</v>
      </c>
      <c r="BE741" s="8" t="str">
        <f>Roster!$D$3</f>
        <v>East</v>
      </c>
      <c r="BF741" s="8" t="str">
        <f>Roster!$D$2</f>
        <v>Northeast</v>
      </c>
      <c r="BG741" s="8" t="str">
        <f>Roster!$D$4</f>
        <v>North</v>
      </c>
      <c r="BH741" s="197">
        <f ca="1">IFERROR(VLOOKUP(CONCATENATE(PlayerGameData[[#This Row],[Opponent]]," ",MONTH(PlayerGameData[[#This Row],[Date]]),"/",DAY(PlayerGameData[[#This Row],[Date]]),"/",YEAR(PlayerGameData[[#This Row],[Date]])),Table35[],2,FALSE),0)</f>
        <v>0</v>
      </c>
      <c r="BI741" s="197">
        <f ca="1">IF(PlayerGameData[[#This Row],[Visible]]=1,1,1000)</f>
        <v>1000</v>
      </c>
      <c r="BJ741" s="197" t="e">
        <f ca="1">_xlfn.MAXIFS(TeamGameData[Win],TeamGameData[School, Opponent,Game'#],PlayerGameData[[#This Row],[School, Opponent,Game'#]])</f>
        <v>#NAME?</v>
      </c>
      <c r="BK741" s="197" t="e">
        <f ca="1">_xlfn.MAXIFS(TeamGameData[Loss],TeamGameData[School, Opponent,Game'#],PlayerGameData[[#This Row],[School, Opponent,Game'#]])</f>
        <v>#NAME?</v>
      </c>
    </row>
    <row r="742" spans="1:63" x14ac:dyDescent="0.25">
      <c r="A742" s="8" t="str">
        <f t="shared" ca="1" si="363"/>
        <v xml:space="preserve">, </v>
      </c>
      <c r="B742" s="8" t="str">
        <f>Roster!$B$1</f>
        <v>Upton</v>
      </c>
      <c r="C742" s="8">
        <f t="shared" ca="1" si="351"/>
        <v>0</v>
      </c>
      <c r="D742" s="10">
        <f t="shared" ca="1" si="352"/>
        <v>0</v>
      </c>
      <c r="E742" s="8">
        <f t="shared" ca="1" si="353"/>
        <v>0</v>
      </c>
      <c r="F742" s="8">
        <f t="shared" ca="1" si="354"/>
        <v>0</v>
      </c>
      <c r="G742" s="8">
        <f t="shared" ca="1" si="355"/>
        <v>0</v>
      </c>
      <c r="H742" s="8">
        <f t="shared" ca="1" si="356"/>
        <v>0</v>
      </c>
      <c r="I742" s="8">
        <f t="shared" ca="1" si="357"/>
        <v>0</v>
      </c>
      <c r="J742" s="8">
        <f t="shared" ca="1" si="358"/>
        <v>0</v>
      </c>
      <c r="K742" s="8">
        <f t="shared" ca="1" si="359"/>
        <v>0</v>
      </c>
      <c r="L742" s="8">
        <f t="shared" ca="1" si="364"/>
        <v>0</v>
      </c>
      <c r="M742" s="8">
        <f t="shared" ca="1" si="365"/>
        <v>0</v>
      </c>
      <c r="N742" s="8">
        <f t="shared" ca="1" si="366"/>
        <v>0</v>
      </c>
      <c r="O742" s="8">
        <f t="shared" ca="1" si="367"/>
        <v>0</v>
      </c>
      <c r="P742" s="8">
        <f t="shared" ca="1" si="368"/>
        <v>0</v>
      </c>
      <c r="Q742" s="8">
        <f t="shared" ca="1" si="369"/>
        <v>0</v>
      </c>
      <c r="R742" s="8">
        <f t="shared" ca="1" si="370"/>
        <v>0</v>
      </c>
      <c r="S742" s="8">
        <f t="shared" ca="1" si="371"/>
        <v>0</v>
      </c>
      <c r="T742" s="8">
        <f t="shared" ca="1" si="372"/>
        <v>0</v>
      </c>
      <c r="U742" s="8">
        <f t="shared" ca="1" si="373"/>
        <v>0</v>
      </c>
      <c r="V742" s="8">
        <f t="shared" ca="1" si="374"/>
        <v>0</v>
      </c>
      <c r="W742" s="11" t="str">
        <f t="shared" ca="1" si="375"/>
        <v/>
      </c>
      <c r="X742" s="11" t="str">
        <f t="shared" ca="1" si="376"/>
        <v/>
      </c>
      <c r="Y742" s="11" t="str">
        <f t="shared" ca="1" si="377"/>
        <v/>
      </c>
      <c r="Z742" s="11" t="str">
        <f t="shared" ca="1" si="378"/>
        <v/>
      </c>
      <c r="AA742" s="11" t="str">
        <f t="shared" ca="1" si="379"/>
        <v/>
      </c>
      <c r="AB742" s="47">
        <f ca="1">PlayerGameData[[#This Row],[3FGA]]+PlayerGameData[[#This Row],[2FGA]]</f>
        <v>0</v>
      </c>
      <c r="AC742" s="47">
        <f ca="1">PlayerGameData[[#This Row],[OFF REB]]+PlayerGameData[[#This Row],[DEF REB]]</f>
        <v>0</v>
      </c>
      <c r="AD742" s="8">
        <f t="shared" si="360"/>
        <v>31</v>
      </c>
      <c r="AE742" s="8" t="str">
        <f t="shared" ca="1" si="361"/>
        <v>,  - 0 1/0/1900</v>
      </c>
      <c r="AF742" s="8" t="str">
        <f t="shared" ca="1" si="380"/>
        <v/>
      </c>
      <c r="AG742" s="8" t="str">
        <f ca="1">IFERROR(IF(C742=0,"",IF(AND(VLOOKUP(PlayerGameData[[#This Row],[Opponent]],WYTeamInfo,2,FALSE)=Roster!$D$1,VLOOKUP(PlayerGameData[[#This Row],[Opponent]],WYTeamInfo,3,FALSE)=Roster!$D$2),"SR","")),"")</f>
        <v/>
      </c>
      <c r="AH742" s="8" t="str">
        <f>CONCATENATE(Roster!$D$1," ",Roster!$D$5)</f>
        <v>1A BB</v>
      </c>
      <c r="AI742" s="8" t="str">
        <f t="shared" ca="1" si="362"/>
        <v>Blank</v>
      </c>
      <c r="AJ742" s="8">
        <f ca="1">IFERROR(VLOOKUP(PlayerGameData[[#This Row],[School, Opponent,Game'#]],Table3[],2,FALSE),0)</f>
        <v>0</v>
      </c>
      <c r="AK742" s="8">
        <f ca="1">IF(PlayerGameData[[#This Row],[Visible]]=1,1,1000)</f>
        <v>1000</v>
      </c>
      <c r="AL742" s="8">
        <f ca="1">RANK(PlayerGameData[[#This Row],[TL PTS]],PlayerGameData[TL PTS],0)+PlayerGameData[[#This Row],[VisibleOrder]]</f>
        <v>1184</v>
      </c>
      <c r="AM742" s="8">
        <f ca="1">IF(COUNTIF(PlayerGameData[PointOrder],PlayerGameData[[#This Row],[PointOrder]])&gt;1,RANK(PlayerGameData[[#This Row],[FGA]],PlayerGameData[FGA],0)/100,0)+PlayerGameData[[#This Row],[PointOrder]]</f>
        <v>1186.1400000000001</v>
      </c>
      <c r="AN742" s="8">
        <f ca="1">RANK(PlayerGameData[[#This Row],[PointTieBreak]],PlayerGameData[PointTieBreak],1)</f>
        <v>625</v>
      </c>
      <c r="AO742" s="8">
        <f ca="1">RANK(PlayerGameData[[#This Row],[REB]],PlayerGameData[REB],0)+PlayerGameData[[#This Row],[VisibleOrder]]</f>
        <v>1191</v>
      </c>
      <c r="AP742" s="8">
        <f ca="1">IF(COUNTIF(PlayerGameData[REBOrder],PlayerGameData[[#This Row],[REBOrder]])&gt;1,PlayerGameData[[#This Row],[PointRank]]/100+PlayerGameData[[#This Row],[REBOrder]],PlayerGameData[[#This Row],[REBOrder]])</f>
        <v>1197.25</v>
      </c>
      <c r="AQ742" s="8">
        <f ca="1">RANK(PlayerGameData[[#This Row],[REBTieBreak]],PlayerGameData[REBTieBreak],1)</f>
        <v>625</v>
      </c>
      <c r="AR742" s="8">
        <f ca="1">RANK(PlayerGameData[[#This Row],[AST]],PlayerGameData[AST],0)+PlayerGameData[[#This Row],[VisibleOrder]]</f>
        <v>1157</v>
      </c>
      <c r="AS742" s="8">
        <f ca="1">IF(COUNTIF(PlayerGameData[ASTOrder],PlayerGameData[[#This Row],[ASTOrder]])&gt;1,PlayerGameData[[#This Row],[PointRank]]/100+PlayerGameData[[#This Row],[ASTOrder]],PlayerGameData[[#This Row],[ASTOrder]])</f>
        <v>1163.25</v>
      </c>
      <c r="AT742" s="8">
        <f ca="1">RANK(PlayerGameData[[#This Row],[ASTTieBreak]],PlayerGameData[ASTTieBreak],1)</f>
        <v>625</v>
      </c>
      <c r="AU742" s="8">
        <f ca="1">RANK(PlayerGameData[[#This Row],[STL]],PlayerGameData[STL],0)+PlayerGameData[[#This Row],[VisibleOrder]]</f>
        <v>1142</v>
      </c>
      <c r="AV742" s="8">
        <f ca="1">IF(COUNTIF(PlayerGameData[STLOrder],PlayerGameData[[#This Row],[STLOrder]])&gt;1,PlayerGameData[[#This Row],[PointRank]]/100+PlayerGameData[[#This Row],[STLOrder]],PlayerGameData[[#This Row],[STLOrder]])</f>
        <v>1148.25</v>
      </c>
      <c r="AW742" s="8">
        <f ca="1">RANK(PlayerGameData[[#This Row],[STLTieBreak]],PlayerGameData[STLTieBreak],1)</f>
        <v>625</v>
      </c>
      <c r="AX742" s="8">
        <f ca="1">RANK(PlayerGameData[[#This Row],[BLK]],PlayerGameData[BLK],0)+PlayerGameData[[#This Row],[VisibleOrder]]</f>
        <v>1031</v>
      </c>
      <c r="AY742" s="8">
        <f ca="1">IF(COUNTIF(PlayerGameData[BLKOrder],PlayerGameData[[#This Row],[BLKOrder]])&gt;1,PlayerGameData[[#This Row],[PointRank]]/100+PlayerGameData[[#This Row],[BLKOrder]],PlayerGameData[[#This Row],[BLKOrder]])</f>
        <v>1037.25</v>
      </c>
      <c r="AZ742" s="8">
        <f ca="1">RANK(PlayerGameData[[#This Row],[BLKTieBreak]],PlayerGameData[BLKTieBreak],1)</f>
        <v>625</v>
      </c>
      <c r="BA742" s="11">
        <f ca="1">IFERROR(IF(PlayerGameData[[#This Row],[FGA]]&gt;$AA$5,PlayerGameData[[#This Row],[FG%*]],PlayerGameData[[#This Row],[FG%*]]*-1),-2)</f>
        <v>-2</v>
      </c>
      <c r="BB742" s="8">
        <f ca="1">RANK(PlayerGameData[[#This Row],[EligFG]],PlayerGameData[EligFG],0)+PlayerGameData[[#This Row],[VisibleOrder]]</f>
        <v>1214</v>
      </c>
      <c r="BC742" s="8">
        <f ca="1">IF(COUNTIF(PlayerGameData[EligFGOrder],PlayerGameData[[#This Row],[EligFGOrder]])&gt;1,PlayerGameData[[#This Row],[PointRank]]/100+PlayerGameData[[#This Row],[EligFGOrder]],PlayerGameData[[#This Row],[EligFGOrder]])</f>
        <v>1220.25</v>
      </c>
      <c r="BD742" s="8">
        <f ca="1">RANK(PlayerGameData[[#This Row],[EligFGTieBreak]],PlayerGameData[EligFGTieBreak],1)</f>
        <v>625</v>
      </c>
      <c r="BE742" s="8" t="str">
        <f>Roster!$D$3</f>
        <v>East</v>
      </c>
      <c r="BF742" s="8" t="str">
        <f>Roster!$D$2</f>
        <v>Northeast</v>
      </c>
      <c r="BG742" s="8" t="str">
        <f>Roster!$D$4</f>
        <v>North</v>
      </c>
      <c r="BH742" s="197">
        <f ca="1">IFERROR(VLOOKUP(CONCATENATE(PlayerGameData[[#This Row],[Opponent]]," ",MONTH(PlayerGameData[[#This Row],[Date]]),"/",DAY(PlayerGameData[[#This Row],[Date]]),"/",YEAR(PlayerGameData[[#This Row],[Date]])),Table35[],2,FALSE),0)</f>
        <v>0</v>
      </c>
      <c r="BI742" s="197">
        <f ca="1">IF(PlayerGameData[[#This Row],[Visible]]=1,1,1000)</f>
        <v>1000</v>
      </c>
      <c r="BJ742" s="197" t="e">
        <f ca="1">_xlfn.MAXIFS(TeamGameData[Win],TeamGameData[School, Opponent,Game'#],PlayerGameData[[#This Row],[School, Opponent,Game'#]])</f>
        <v>#NAME?</v>
      </c>
      <c r="BK742" s="197" t="e">
        <f ca="1">_xlfn.MAXIFS(TeamGameData[Loss],TeamGameData[School, Opponent,Game'#],PlayerGameData[[#This Row],[School, Opponent,Game'#]])</f>
        <v>#NAME?</v>
      </c>
    </row>
    <row r="743" spans="1:63" x14ac:dyDescent="0.25">
      <c r="A743" s="8" t="str">
        <f t="shared" ca="1" si="363"/>
        <v xml:space="preserve">, </v>
      </c>
      <c r="B743" s="8" t="str">
        <f>Roster!$B$1</f>
        <v>Upton</v>
      </c>
      <c r="C743" s="8">
        <f t="shared" ca="1" si="351"/>
        <v>0</v>
      </c>
      <c r="D743" s="10">
        <f t="shared" ca="1" si="352"/>
        <v>0</v>
      </c>
      <c r="E743" s="8">
        <f t="shared" ca="1" si="353"/>
        <v>0</v>
      </c>
      <c r="F743" s="8">
        <f t="shared" ca="1" si="354"/>
        <v>0</v>
      </c>
      <c r="G743" s="8">
        <f t="shared" ca="1" si="355"/>
        <v>0</v>
      </c>
      <c r="H743" s="8">
        <f t="shared" ca="1" si="356"/>
        <v>0</v>
      </c>
      <c r="I743" s="8">
        <f t="shared" ca="1" si="357"/>
        <v>0</v>
      </c>
      <c r="J743" s="8">
        <f t="shared" ca="1" si="358"/>
        <v>0</v>
      </c>
      <c r="K743" s="8">
        <f t="shared" ca="1" si="359"/>
        <v>0</v>
      </c>
      <c r="L743" s="8">
        <f t="shared" ca="1" si="364"/>
        <v>0</v>
      </c>
      <c r="M743" s="8">
        <f t="shared" ca="1" si="365"/>
        <v>0</v>
      </c>
      <c r="N743" s="8">
        <f t="shared" ca="1" si="366"/>
        <v>0</v>
      </c>
      <c r="O743" s="8">
        <f t="shared" ca="1" si="367"/>
        <v>0</v>
      </c>
      <c r="P743" s="8">
        <f t="shared" ca="1" si="368"/>
        <v>0</v>
      </c>
      <c r="Q743" s="8">
        <f t="shared" ca="1" si="369"/>
        <v>0</v>
      </c>
      <c r="R743" s="8">
        <f t="shared" ca="1" si="370"/>
        <v>0</v>
      </c>
      <c r="S743" s="8">
        <f t="shared" ca="1" si="371"/>
        <v>0</v>
      </c>
      <c r="T743" s="8">
        <f t="shared" ca="1" si="372"/>
        <v>0</v>
      </c>
      <c r="U743" s="8">
        <f t="shared" ca="1" si="373"/>
        <v>0</v>
      </c>
      <c r="V743" s="8">
        <f t="shared" ca="1" si="374"/>
        <v>0</v>
      </c>
      <c r="W743" s="11" t="str">
        <f t="shared" ca="1" si="375"/>
        <v/>
      </c>
      <c r="X743" s="11" t="str">
        <f t="shared" ca="1" si="376"/>
        <v/>
      </c>
      <c r="Y743" s="11" t="str">
        <f t="shared" ca="1" si="377"/>
        <v/>
      </c>
      <c r="Z743" s="11" t="str">
        <f t="shared" ca="1" si="378"/>
        <v/>
      </c>
      <c r="AA743" s="11" t="str">
        <f t="shared" ca="1" si="379"/>
        <v/>
      </c>
      <c r="AB743" s="47">
        <f ca="1">PlayerGameData[[#This Row],[3FGA]]+PlayerGameData[[#This Row],[2FGA]]</f>
        <v>0</v>
      </c>
      <c r="AC743" s="47">
        <f ca="1">PlayerGameData[[#This Row],[OFF REB]]+PlayerGameData[[#This Row],[DEF REB]]</f>
        <v>0</v>
      </c>
      <c r="AD743" s="8">
        <f t="shared" si="360"/>
        <v>31</v>
      </c>
      <c r="AE743" s="8" t="str">
        <f t="shared" ca="1" si="361"/>
        <v>,  - 0 1/0/1900</v>
      </c>
      <c r="AF743" s="8" t="str">
        <f t="shared" ca="1" si="380"/>
        <v/>
      </c>
      <c r="AG743" s="8" t="str">
        <f ca="1">IFERROR(IF(C743=0,"",IF(AND(VLOOKUP(PlayerGameData[[#This Row],[Opponent]],WYTeamInfo,2,FALSE)=Roster!$D$1,VLOOKUP(PlayerGameData[[#This Row],[Opponent]],WYTeamInfo,3,FALSE)=Roster!$D$2),"SR","")),"")</f>
        <v/>
      </c>
      <c r="AH743" s="8" t="str">
        <f>CONCATENATE(Roster!$D$1," ",Roster!$D$5)</f>
        <v>1A BB</v>
      </c>
      <c r="AI743" s="8" t="str">
        <f t="shared" ca="1" si="362"/>
        <v>Blank</v>
      </c>
      <c r="AJ743" s="8">
        <f ca="1">IFERROR(VLOOKUP(PlayerGameData[[#This Row],[School, Opponent,Game'#]],Table3[],2,FALSE),0)</f>
        <v>0</v>
      </c>
      <c r="AK743" s="8">
        <f ca="1">IF(PlayerGameData[[#This Row],[Visible]]=1,1,1000)</f>
        <v>1000</v>
      </c>
      <c r="AL743" s="8">
        <f ca="1">RANK(PlayerGameData[[#This Row],[TL PTS]],PlayerGameData[TL PTS],0)+PlayerGameData[[#This Row],[VisibleOrder]]</f>
        <v>1184</v>
      </c>
      <c r="AM743" s="8">
        <f ca="1">IF(COUNTIF(PlayerGameData[PointOrder],PlayerGameData[[#This Row],[PointOrder]])&gt;1,RANK(PlayerGameData[[#This Row],[FGA]],PlayerGameData[FGA],0)/100,0)+PlayerGameData[[#This Row],[PointOrder]]</f>
        <v>1186.1400000000001</v>
      </c>
      <c r="AN743" s="8">
        <f ca="1">RANK(PlayerGameData[[#This Row],[PointTieBreak]],PlayerGameData[PointTieBreak],1)</f>
        <v>625</v>
      </c>
      <c r="AO743" s="8">
        <f ca="1">RANK(PlayerGameData[[#This Row],[REB]],PlayerGameData[REB],0)+PlayerGameData[[#This Row],[VisibleOrder]]</f>
        <v>1191</v>
      </c>
      <c r="AP743" s="8">
        <f ca="1">IF(COUNTIF(PlayerGameData[REBOrder],PlayerGameData[[#This Row],[REBOrder]])&gt;1,PlayerGameData[[#This Row],[PointRank]]/100+PlayerGameData[[#This Row],[REBOrder]],PlayerGameData[[#This Row],[REBOrder]])</f>
        <v>1197.25</v>
      </c>
      <c r="AQ743" s="8">
        <f ca="1">RANK(PlayerGameData[[#This Row],[REBTieBreak]],PlayerGameData[REBTieBreak],1)</f>
        <v>625</v>
      </c>
      <c r="AR743" s="8">
        <f ca="1">RANK(PlayerGameData[[#This Row],[AST]],PlayerGameData[AST],0)+PlayerGameData[[#This Row],[VisibleOrder]]</f>
        <v>1157</v>
      </c>
      <c r="AS743" s="8">
        <f ca="1">IF(COUNTIF(PlayerGameData[ASTOrder],PlayerGameData[[#This Row],[ASTOrder]])&gt;1,PlayerGameData[[#This Row],[PointRank]]/100+PlayerGameData[[#This Row],[ASTOrder]],PlayerGameData[[#This Row],[ASTOrder]])</f>
        <v>1163.25</v>
      </c>
      <c r="AT743" s="8">
        <f ca="1">RANK(PlayerGameData[[#This Row],[ASTTieBreak]],PlayerGameData[ASTTieBreak],1)</f>
        <v>625</v>
      </c>
      <c r="AU743" s="8">
        <f ca="1">RANK(PlayerGameData[[#This Row],[STL]],PlayerGameData[STL],0)+PlayerGameData[[#This Row],[VisibleOrder]]</f>
        <v>1142</v>
      </c>
      <c r="AV743" s="8">
        <f ca="1">IF(COUNTIF(PlayerGameData[STLOrder],PlayerGameData[[#This Row],[STLOrder]])&gt;1,PlayerGameData[[#This Row],[PointRank]]/100+PlayerGameData[[#This Row],[STLOrder]],PlayerGameData[[#This Row],[STLOrder]])</f>
        <v>1148.25</v>
      </c>
      <c r="AW743" s="8">
        <f ca="1">RANK(PlayerGameData[[#This Row],[STLTieBreak]],PlayerGameData[STLTieBreak],1)</f>
        <v>625</v>
      </c>
      <c r="AX743" s="8">
        <f ca="1">RANK(PlayerGameData[[#This Row],[BLK]],PlayerGameData[BLK],0)+PlayerGameData[[#This Row],[VisibleOrder]]</f>
        <v>1031</v>
      </c>
      <c r="AY743" s="8">
        <f ca="1">IF(COUNTIF(PlayerGameData[BLKOrder],PlayerGameData[[#This Row],[BLKOrder]])&gt;1,PlayerGameData[[#This Row],[PointRank]]/100+PlayerGameData[[#This Row],[BLKOrder]],PlayerGameData[[#This Row],[BLKOrder]])</f>
        <v>1037.25</v>
      </c>
      <c r="AZ743" s="8">
        <f ca="1">RANK(PlayerGameData[[#This Row],[BLKTieBreak]],PlayerGameData[BLKTieBreak],1)</f>
        <v>625</v>
      </c>
      <c r="BA743" s="11">
        <f ca="1">IFERROR(IF(PlayerGameData[[#This Row],[FGA]]&gt;$AA$5,PlayerGameData[[#This Row],[FG%*]],PlayerGameData[[#This Row],[FG%*]]*-1),-2)</f>
        <v>-2</v>
      </c>
      <c r="BB743" s="8">
        <f ca="1">RANK(PlayerGameData[[#This Row],[EligFG]],PlayerGameData[EligFG],0)+PlayerGameData[[#This Row],[VisibleOrder]]</f>
        <v>1214</v>
      </c>
      <c r="BC743" s="8">
        <f ca="1">IF(COUNTIF(PlayerGameData[EligFGOrder],PlayerGameData[[#This Row],[EligFGOrder]])&gt;1,PlayerGameData[[#This Row],[PointRank]]/100+PlayerGameData[[#This Row],[EligFGOrder]],PlayerGameData[[#This Row],[EligFGOrder]])</f>
        <v>1220.25</v>
      </c>
      <c r="BD743" s="8">
        <f ca="1">RANK(PlayerGameData[[#This Row],[EligFGTieBreak]],PlayerGameData[EligFGTieBreak],1)</f>
        <v>625</v>
      </c>
      <c r="BE743" s="8" t="str">
        <f>Roster!$D$3</f>
        <v>East</v>
      </c>
      <c r="BF743" s="8" t="str">
        <f>Roster!$D$2</f>
        <v>Northeast</v>
      </c>
      <c r="BG743" s="8" t="str">
        <f>Roster!$D$4</f>
        <v>North</v>
      </c>
      <c r="BH743" s="197">
        <f ca="1">IFERROR(VLOOKUP(CONCATENATE(PlayerGameData[[#This Row],[Opponent]]," ",MONTH(PlayerGameData[[#This Row],[Date]]),"/",DAY(PlayerGameData[[#This Row],[Date]]),"/",YEAR(PlayerGameData[[#This Row],[Date]])),Table35[],2,FALSE),0)</f>
        <v>0</v>
      </c>
      <c r="BI743" s="197">
        <f ca="1">IF(PlayerGameData[[#This Row],[Visible]]=1,1,1000)</f>
        <v>1000</v>
      </c>
      <c r="BJ743" s="197" t="e">
        <f ca="1">_xlfn.MAXIFS(TeamGameData[Win],TeamGameData[School, Opponent,Game'#],PlayerGameData[[#This Row],[School, Opponent,Game'#]])</f>
        <v>#NAME?</v>
      </c>
      <c r="BK743" s="197" t="e">
        <f ca="1">_xlfn.MAXIFS(TeamGameData[Loss],TeamGameData[School, Opponent,Game'#],PlayerGameData[[#This Row],[School, Opponent,Game'#]])</f>
        <v>#NAME?</v>
      </c>
    </row>
    <row r="744" spans="1:63" x14ac:dyDescent="0.25">
      <c r="A744" s="8" t="str">
        <f t="shared" ca="1" si="363"/>
        <v xml:space="preserve">, </v>
      </c>
      <c r="B744" s="8" t="str">
        <f>Roster!$B$1</f>
        <v>Upton</v>
      </c>
      <c r="C744" s="8">
        <f t="shared" ca="1" si="351"/>
        <v>0</v>
      </c>
      <c r="D744" s="10">
        <f t="shared" ca="1" si="352"/>
        <v>0</v>
      </c>
      <c r="E744" s="8">
        <f t="shared" ca="1" si="353"/>
        <v>0</v>
      </c>
      <c r="F744" s="8">
        <f t="shared" ca="1" si="354"/>
        <v>0</v>
      </c>
      <c r="G744" s="8">
        <f t="shared" ca="1" si="355"/>
        <v>0</v>
      </c>
      <c r="H744" s="8">
        <f t="shared" ca="1" si="356"/>
        <v>0</v>
      </c>
      <c r="I744" s="8">
        <f t="shared" ca="1" si="357"/>
        <v>0</v>
      </c>
      <c r="J744" s="8">
        <f t="shared" ca="1" si="358"/>
        <v>0</v>
      </c>
      <c r="K744" s="8">
        <f t="shared" ca="1" si="359"/>
        <v>0</v>
      </c>
      <c r="L744" s="8">
        <f t="shared" ca="1" si="364"/>
        <v>0</v>
      </c>
      <c r="M744" s="8">
        <f t="shared" ca="1" si="365"/>
        <v>0</v>
      </c>
      <c r="N744" s="8">
        <f t="shared" ca="1" si="366"/>
        <v>0</v>
      </c>
      <c r="O744" s="8">
        <f t="shared" ca="1" si="367"/>
        <v>0</v>
      </c>
      <c r="P744" s="8">
        <f t="shared" ca="1" si="368"/>
        <v>0</v>
      </c>
      <c r="Q744" s="8">
        <f t="shared" ca="1" si="369"/>
        <v>0</v>
      </c>
      <c r="R744" s="8">
        <f t="shared" ca="1" si="370"/>
        <v>0</v>
      </c>
      <c r="S744" s="8">
        <f t="shared" ca="1" si="371"/>
        <v>0</v>
      </c>
      <c r="T744" s="8">
        <f t="shared" ca="1" si="372"/>
        <v>0</v>
      </c>
      <c r="U744" s="8">
        <f t="shared" ca="1" si="373"/>
        <v>0</v>
      </c>
      <c r="V744" s="8">
        <f t="shared" ca="1" si="374"/>
        <v>0</v>
      </c>
      <c r="W744" s="11" t="str">
        <f t="shared" ca="1" si="375"/>
        <v/>
      </c>
      <c r="X744" s="11" t="str">
        <f t="shared" ca="1" si="376"/>
        <v/>
      </c>
      <c r="Y744" s="11" t="str">
        <f t="shared" ca="1" si="377"/>
        <v/>
      </c>
      <c r="Z744" s="11" t="str">
        <f t="shared" ca="1" si="378"/>
        <v/>
      </c>
      <c r="AA744" s="11" t="str">
        <f t="shared" ca="1" si="379"/>
        <v/>
      </c>
      <c r="AB744" s="47">
        <f ca="1">PlayerGameData[[#This Row],[3FGA]]+PlayerGameData[[#This Row],[2FGA]]</f>
        <v>0</v>
      </c>
      <c r="AC744" s="47">
        <f ca="1">PlayerGameData[[#This Row],[OFF REB]]+PlayerGameData[[#This Row],[DEF REB]]</f>
        <v>0</v>
      </c>
      <c r="AD744" s="8">
        <f t="shared" si="360"/>
        <v>31</v>
      </c>
      <c r="AE744" s="8" t="str">
        <f t="shared" ca="1" si="361"/>
        <v>,  - 0 1/0/1900</v>
      </c>
      <c r="AF744" s="8" t="str">
        <f t="shared" ca="1" si="380"/>
        <v/>
      </c>
      <c r="AG744" s="8" t="str">
        <f ca="1">IFERROR(IF(C744=0,"",IF(AND(VLOOKUP(PlayerGameData[[#This Row],[Opponent]],WYTeamInfo,2,FALSE)=Roster!$D$1,VLOOKUP(PlayerGameData[[#This Row],[Opponent]],WYTeamInfo,3,FALSE)=Roster!$D$2),"SR","")),"")</f>
        <v/>
      </c>
      <c r="AH744" s="8" t="str">
        <f>CONCATENATE(Roster!$D$1," ",Roster!$D$5)</f>
        <v>1A BB</v>
      </c>
      <c r="AI744" s="8" t="str">
        <f t="shared" ca="1" si="362"/>
        <v>Blank</v>
      </c>
      <c r="AJ744" s="8">
        <f ca="1">IFERROR(VLOOKUP(PlayerGameData[[#This Row],[School, Opponent,Game'#]],Table3[],2,FALSE),0)</f>
        <v>0</v>
      </c>
      <c r="AK744" s="8">
        <f ca="1">IF(PlayerGameData[[#This Row],[Visible]]=1,1,1000)</f>
        <v>1000</v>
      </c>
      <c r="AL744" s="8">
        <f ca="1">RANK(PlayerGameData[[#This Row],[TL PTS]],PlayerGameData[TL PTS],0)+PlayerGameData[[#This Row],[VisibleOrder]]</f>
        <v>1184</v>
      </c>
      <c r="AM744" s="8">
        <f ca="1">IF(COUNTIF(PlayerGameData[PointOrder],PlayerGameData[[#This Row],[PointOrder]])&gt;1,RANK(PlayerGameData[[#This Row],[FGA]],PlayerGameData[FGA],0)/100,0)+PlayerGameData[[#This Row],[PointOrder]]</f>
        <v>1186.1400000000001</v>
      </c>
      <c r="AN744" s="8">
        <f ca="1">RANK(PlayerGameData[[#This Row],[PointTieBreak]],PlayerGameData[PointTieBreak],1)</f>
        <v>625</v>
      </c>
      <c r="AO744" s="8">
        <f ca="1">RANK(PlayerGameData[[#This Row],[REB]],PlayerGameData[REB],0)+PlayerGameData[[#This Row],[VisibleOrder]]</f>
        <v>1191</v>
      </c>
      <c r="AP744" s="8">
        <f ca="1">IF(COUNTIF(PlayerGameData[REBOrder],PlayerGameData[[#This Row],[REBOrder]])&gt;1,PlayerGameData[[#This Row],[PointRank]]/100+PlayerGameData[[#This Row],[REBOrder]],PlayerGameData[[#This Row],[REBOrder]])</f>
        <v>1197.25</v>
      </c>
      <c r="AQ744" s="8">
        <f ca="1">RANK(PlayerGameData[[#This Row],[REBTieBreak]],PlayerGameData[REBTieBreak],1)</f>
        <v>625</v>
      </c>
      <c r="AR744" s="8">
        <f ca="1">RANK(PlayerGameData[[#This Row],[AST]],PlayerGameData[AST],0)+PlayerGameData[[#This Row],[VisibleOrder]]</f>
        <v>1157</v>
      </c>
      <c r="AS744" s="8">
        <f ca="1">IF(COUNTIF(PlayerGameData[ASTOrder],PlayerGameData[[#This Row],[ASTOrder]])&gt;1,PlayerGameData[[#This Row],[PointRank]]/100+PlayerGameData[[#This Row],[ASTOrder]],PlayerGameData[[#This Row],[ASTOrder]])</f>
        <v>1163.25</v>
      </c>
      <c r="AT744" s="8">
        <f ca="1">RANK(PlayerGameData[[#This Row],[ASTTieBreak]],PlayerGameData[ASTTieBreak],1)</f>
        <v>625</v>
      </c>
      <c r="AU744" s="8">
        <f ca="1">RANK(PlayerGameData[[#This Row],[STL]],PlayerGameData[STL],0)+PlayerGameData[[#This Row],[VisibleOrder]]</f>
        <v>1142</v>
      </c>
      <c r="AV744" s="8">
        <f ca="1">IF(COUNTIF(PlayerGameData[STLOrder],PlayerGameData[[#This Row],[STLOrder]])&gt;1,PlayerGameData[[#This Row],[PointRank]]/100+PlayerGameData[[#This Row],[STLOrder]],PlayerGameData[[#This Row],[STLOrder]])</f>
        <v>1148.25</v>
      </c>
      <c r="AW744" s="8">
        <f ca="1">RANK(PlayerGameData[[#This Row],[STLTieBreak]],PlayerGameData[STLTieBreak],1)</f>
        <v>625</v>
      </c>
      <c r="AX744" s="8">
        <f ca="1">RANK(PlayerGameData[[#This Row],[BLK]],PlayerGameData[BLK],0)+PlayerGameData[[#This Row],[VisibleOrder]]</f>
        <v>1031</v>
      </c>
      <c r="AY744" s="8">
        <f ca="1">IF(COUNTIF(PlayerGameData[BLKOrder],PlayerGameData[[#This Row],[BLKOrder]])&gt;1,PlayerGameData[[#This Row],[PointRank]]/100+PlayerGameData[[#This Row],[BLKOrder]],PlayerGameData[[#This Row],[BLKOrder]])</f>
        <v>1037.25</v>
      </c>
      <c r="AZ744" s="8">
        <f ca="1">RANK(PlayerGameData[[#This Row],[BLKTieBreak]],PlayerGameData[BLKTieBreak],1)</f>
        <v>625</v>
      </c>
      <c r="BA744" s="11">
        <f ca="1">IFERROR(IF(PlayerGameData[[#This Row],[FGA]]&gt;$AA$5,PlayerGameData[[#This Row],[FG%*]],PlayerGameData[[#This Row],[FG%*]]*-1),-2)</f>
        <v>-2</v>
      </c>
      <c r="BB744" s="8">
        <f ca="1">RANK(PlayerGameData[[#This Row],[EligFG]],PlayerGameData[EligFG],0)+PlayerGameData[[#This Row],[VisibleOrder]]</f>
        <v>1214</v>
      </c>
      <c r="BC744" s="8">
        <f ca="1">IF(COUNTIF(PlayerGameData[EligFGOrder],PlayerGameData[[#This Row],[EligFGOrder]])&gt;1,PlayerGameData[[#This Row],[PointRank]]/100+PlayerGameData[[#This Row],[EligFGOrder]],PlayerGameData[[#This Row],[EligFGOrder]])</f>
        <v>1220.25</v>
      </c>
      <c r="BD744" s="8">
        <f ca="1">RANK(PlayerGameData[[#This Row],[EligFGTieBreak]],PlayerGameData[EligFGTieBreak],1)</f>
        <v>625</v>
      </c>
      <c r="BE744" s="8" t="str">
        <f>Roster!$D$3</f>
        <v>East</v>
      </c>
      <c r="BF744" s="8" t="str">
        <f>Roster!$D$2</f>
        <v>Northeast</v>
      </c>
      <c r="BG744" s="8" t="str">
        <f>Roster!$D$4</f>
        <v>North</v>
      </c>
      <c r="BH744" s="197">
        <f ca="1">IFERROR(VLOOKUP(CONCATENATE(PlayerGameData[[#This Row],[Opponent]]," ",MONTH(PlayerGameData[[#This Row],[Date]]),"/",DAY(PlayerGameData[[#This Row],[Date]]),"/",YEAR(PlayerGameData[[#This Row],[Date]])),Table35[],2,FALSE),0)</f>
        <v>0</v>
      </c>
      <c r="BI744" s="197">
        <f ca="1">IF(PlayerGameData[[#This Row],[Visible]]=1,1,1000)</f>
        <v>1000</v>
      </c>
      <c r="BJ744" s="197" t="e">
        <f ca="1">_xlfn.MAXIFS(TeamGameData[Win],TeamGameData[School, Opponent,Game'#],PlayerGameData[[#This Row],[School, Opponent,Game'#]])</f>
        <v>#NAME?</v>
      </c>
      <c r="BK744" s="197" t="e">
        <f ca="1">_xlfn.MAXIFS(TeamGameData[Loss],TeamGameData[School, Opponent,Game'#],PlayerGameData[[#This Row],[School, Opponent,Game'#]])</f>
        <v>#NAME?</v>
      </c>
    </row>
    <row r="745" spans="1:63" x14ac:dyDescent="0.25">
      <c r="A745" s="8" t="str">
        <f t="shared" ca="1" si="363"/>
        <v xml:space="preserve">, </v>
      </c>
      <c r="B745" s="8" t="str">
        <f>Roster!$B$1</f>
        <v>Upton</v>
      </c>
      <c r="C745" s="8">
        <f t="shared" ca="1" si="351"/>
        <v>0</v>
      </c>
      <c r="D745" s="10">
        <f t="shared" ca="1" si="352"/>
        <v>0</v>
      </c>
      <c r="E745" s="8">
        <f t="shared" ca="1" si="353"/>
        <v>0</v>
      </c>
      <c r="F745" s="8">
        <f t="shared" ca="1" si="354"/>
        <v>0</v>
      </c>
      <c r="G745" s="8">
        <f t="shared" ca="1" si="355"/>
        <v>0</v>
      </c>
      <c r="H745" s="8">
        <f t="shared" ca="1" si="356"/>
        <v>0</v>
      </c>
      <c r="I745" s="8">
        <f t="shared" ca="1" si="357"/>
        <v>0</v>
      </c>
      <c r="J745" s="8">
        <f t="shared" ca="1" si="358"/>
        <v>0</v>
      </c>
      <c r="K745" s="8">
        <f t="shared" ca="1" si="359"/>
        <v>0</v>
      </c>
      <c r="L745" s="8">
        <f t="shared" ca="1" si="364"/>
        <v>0</v>
      </c>
      <c r="M745" s="8">
        <f t="shared" ca="1" si="365"/>
        <v>0</v>
      </c>
      <c r="N745" s="8">
        <f t="shared" ca="1" si="366"/>
        <v>0</v>
      </c>
      <c r="O745" s="8">
        <f t="shared" ca="1" si="367"/>
        <v>0</v>
      </c>
      <c r="P745" s="8">
        <f t="shared" ca="1" si="368"/>
        <v>0</v>
      </c>
      <c r="Q745" s="8">
        <f t="shared" ca="1" si="369"/>
        <v>0</v>
      </c>
      <c r="R745" s="8">
        <f t="shared" ca="1" si="370"/>
        <v>0</v>
      </c>
      <c r="S745" s="8">
        <f t="shared" ca="1" si="371"/>
        <v>0</v>
      </c>
      <c r="T745" s="8">
        <f t="shared" ca="1" si="372"/>
        <v>0</v>
      </c>
      <c r="U745" s="8">
        <f t="shared" ca="1" si="373"/>
        <v>0</v>
      </c>
      <c r="V745" s="8">
        <f t="shared" ca="1" si="374"/>
        <v>0</v>
      </c>
      <c r="W745" s="11" t="str">
        <f t="shared" ca="1" si="375"/>
        <v/>
      </c>
      <c r="X745" s="11" t="str">
        <f t="shared" ca="1" si="376"/>
        <v/>
      </c>
      <c r="Y745" s="11" t="str">
        <f t="shared" ca="1" si="377"/>
        <v/>
      </c>
      <c r="Z745" s="11" t="str">
        <f t="shared" ca="1" si="378"/>
        <v/>
      </c>
      <c r="AA745" s="11" t="str">
        <f t="shared" ca="1" si="379"/>
        <v/>
      </c>
      <c r="AB745" s="47">
        <f ca="1">PlayerGameData[[#This Row],[3FGA]]+PlayerGameData[[#This Row],[2FGA]]</f>
        <v>0</v>
      </c>
      <c r="AC745" s="47">
        <f ca="1">PlayerGameData[[#This Row],[OFF REB]]+PlayerGameData[[#This Row],[DEF REB]]</f>
        <v>0</v>
      </c>
      <c r="AD745" s="8">
        <f t="shared" si="360"/>
        <v>31</v>
      </c>
      <c r="AE745" s="8" t="str">
        <f t="shared" ca="1" si="361"/>
        <v>,  - 0 1/0/1900</v>
      </c>
      <c r="AF745" s="8" t="str">
        <f t="shared" ca="1" si="380"/>
        <v/>
      </c>
      <c r="AG745" s="8" t="str">
        <f ca="1">IFERROR(IF(C745=0,"",IF(AND(VLOOKUP(PlayerGameData[[#This Row],[Opponent]],WYTeamInfo,2,FALSE)=Roster!$D$1,VLOOKUP(PlayerGameData[[#This Row],[Opponent]],WYTeamInfo,3,FALSE)=Roster!$D$2),"SR","")),"")</f>
        <v/>
      </c>
      <c r="AH745" s="8" t="str">
        <f>CONCATENATE(Roster!$D$1," ",Roster!$D$5)</f>
        <v>1A BB</v>
      </c>
      <c r="AI745" s="8" t="str">
        <f t="shared" ca="1" si="362"/>
        <v>Blank</v>
      </c>
      <c r="AJ745" s="8">
        <f ca="1">IFERROR(VLOOKUP(PlayerGameData[[#This Row],[School, Opponent,Game'#]],Table3[],2,FALSE),0)</f>
        <v>0</v>
      </c>
      <c r="AK745" s="8">
        <f ca="1">IF(PlayerGameData[[#This Row],[Visible]]=1,1,1000)</f>
        <v>1000</v>
      </c>
      <c r="AL745" s="8">
        <f ca="1">RANK(PlayerGameData[[#This Row],[TL PTS]],PlayerGameData[TL PTS],0)+PlayerGameData[[#This Row],[VisibleOrder]]</f>
        <v>1184</v>
      </c>
      <c r="AM745" s="8">
        <f ca="1">IF(COUNTIF(PlayerGameData[PointOrder],PlayerGameData[[#This Row],[PointOrder]])&gt;1,RANK(PlayerGameData[[#This Row],[FGA]],PlayerGameData[FGA],0)/100,0)+PlayerGameData[[#This Row],[PointOrder]]</f>
        <v>1186.1400000000001</v>
      </c>
      <c r="AN745" s="8">
        <f ca="1">RANK(PlayerGameData[[#This Row],[PointTieBreak]],PlayerGameData[PointTieBreak],1)</f>
        <v>625</v>
      </c>
      <c r="AO745" s="8">
        <f ca="1">RANK(PlayerGameData[[#This Row],[REB]],PlayerGameData[REB],0)+PlayerGameData[[#This Row],[VisibleOrder]]</f>
        <v>1191</v>
      </c>
      <c r="AP745" s="8">
        <f ca="1">IF(COUNTIF(PlayerGameData[REBOrder],PlayerGameData[[#This Row],[REBOrder]])&gt;1,PlayerGameData[[#This Row],[PointRank]]/100+PlayerGameData[[#This Row],[REBOrder]],PlayerGameData[[#This Row],[REBOrder]])</f>
        <v>1197.25</v>
      </c>
      <c r="AQ745" s="8">
        <f ca="1">RANK(PlayerGameData[[#This Row],[REBTieBreak]],PlayerGameData[REBTieBreak],1)</f>
        <v>625</v>
      </c>
      <c r="AR745" s="8">
        <f ca="1">RANK(PlayerGameData[[#This Row],[AST]],PlayerGameData[AST],0)+PlayerGameData[[#This Row],[VisibleOrder]]</f>
        <v>1157</v>
      </c>
      <c r="AS745" s="8">
        <f ca="1">IF(COUNTIF(PlayerGameData[ASTOrder],PlayerGameData[[#This Row],[ASTOrder]])&gt;1,PlayerGameData[[#This Row],[PointRank]]/100+PlayerGameData[[#This Row],[ASTOrder]],PlayerGameData[[#This Row],[ASTOrder]])</f>
        <v>1163.25</v>
      </c>
      <c r="AT745" s="8">
        <f ca="1">RANK(PlayerGameData[[#This Row],[ASTTieBreak]],PlayerGameData[ASTTieBreak],1)</f>
        <v>625</v>
      </c>
      <c r="AU745" s="8">
        <f ca="1">RANK(PlayerGameData[[#This Row],[STL]],PlayerGameData[STL],0)+PlayerGameData[[#This Row],[VisibleOrder]]</f>
        <v>1142</v>
      </c>
      <c r="AV745" s="8">
        <f ca="1">IF(COUNTIF(PlayerGameData[STLOrder],PlayerGameData[[#This Row],[STLOrder]])&gt;1,PlayerGameData[[#This Row],[PointRank]]/100+PlayerGameData[[#This Row],[STLOrder]],PlayerGameData[[#This Row],[STLOrder]])</f>
        <v>1148.25</v>
      </c>
      <c r="AW745" s="8">
        <f ca="1">RANK(PlayerGameData[[#This Row],[STLTieBreak]],PlayerGameData[STLTieBreak],1)</f>
        <v>625</v>
      </c>
      <c r="AX745" s="8">
        <f ca="1">RANK(PlayerGameData[[#This Row],[BLK]],PlayerGameData[BLK],0)+PlayerGameData[[#This Row],[VisibleOrder]]</f>
        <v>1031</v>
      </c>
      <c r="AY745" s="8">
        <f ca="1">IF(COUNTIF(PlayerGameData[BLKOrder],PlayerGameData[[#This Row],[BLKOrder]])&gt;1,PlayerGameData[[#This Row],[PointRank]]/100+PlayerGameData[[#This Row],[BLKOrder]],PlayerGameData[[#This Row],[BLKOrder]])</f>
        <v>1037.25</v>
      </c>
      <c r="AZ745" s="8">
        <f ca="1">RANK(PlayerGameData[[#This Row],[BLKTieBreak]],PlayerGameData[BLKTieBreak],1)</f>
        <v>625</v>
      </c>
      <c r="BA745" s="11">
        <f ca="1">IFERROR(IF(PlayerGameData[[#This Row],[FGA]]&gt;$AA$5,PlayerGameData[[#This Row],[FG%*]],PlayerGameData[[#This Row],[FG%*]]*-1),-2)</f>
        <v>-2</v>
      </c>
      <c r="BB745" s="8">
        <f ca="1">RANK(PlayerGameData[[#This Row],[EligFG]],PlayerGameData[EligFG],0)+PlayerGameData[[#This Row],[VisibleOrder]]</f>
        <v>1214</v>
      </c>
      <c r="BC745" s="8">
        <f ca="1">IF(COUNTIF(PlayerGameData[EligFGOrder],PlayerGameData[[#This Row],[EligFGOrder]])&gt;1,PlayerGameData[[#This Row],[PointRank]]/100+PlayerGameData[[#This Row],[EligFGOrder]],PlayerGameData[[#This Row],[EligFGOrder]])</f>
        <v>1220.25</v>
      </c>
      <c r="BD745" s="8">
        <f ca="1">RANK(PlayerGameData[[#This Row],[EligFGTieBreak]],PlayerGameData[EligFGTieBreak],1)</f>
        <v>625</v>
      </c>
      <c r="BE745" s="8" t="str">
        <f>Roster!$D$3</f>
        <v>East</v>
      </c>
      <c r="BF745" s="8" t="str">
        <f>Roster!$D$2</f>
        <v>Northeast</v>
      </c>
      <c r="BG745" s="8" t="str">
        <f>Roster!$D$4</f>
        <v>North</v>
      </c>
      <c r="BH745" s="197">
        <f ca="1">IFERROR(VLOOKUP(CONCATENATE(PlayerGameData[[#This Row],[Opponent]]," ",MONTH(PlayerGameData[[#This Row],[Date]]),"/",DAY(PlayerGameData[[#This Row],[Date]]),"/",YEAR(PlayerGameData[[#This Row],[Date]])),Table35[],2,FALSE),0)</f>
        <v>0</v>
      </c>
      <c r="BI745" s="197">
        <f ca="1">IF(PlayerGameData[[#This Row],[Visible]]=1,1,1000)</f>
        <v>1000</v>
      </c>
      <c r="BJ745" s="197" t="e">
        <f ca="1">_xlfn.MAXIFS(TeamGameData[Win],TeamGameData[School, Opponent,Game'#],PlayerGameData[[#This Row],[School, Opponent,Game'#]])</f>
        <v>#NAME?</v>
      </c>
      <c r="BK745" s="197" t="e">
        <f ca="1">_xlfn.MAXIFS(TeamGameData[Loss],TeamGameData[School, Opponent,Game'#],PlayerGameData[[#This Row],[School, Opponent,Game'#]])</f>
        <v>#NAME?</v>
      </c>
    </row>
    <row r="746" spans="1:63" x14ac:dyDescent="0.25">
      <c r="A746" s="8" t="str">
        <f t="shared" ca="1" si="363"/>
        <v xml:space="preserve">, </v>
      </c>
      <c r="B746" s="8" t="str">
        <f>Roster!$B$1</f>
        <v>Upton</v>
      </c>
      <c r="C746" s="8">
        <f t="shared" ca="1" si="351"/>
        <v>0</v>
      </c>
      <c r="D746" s="10">
        <f t="shared" ca="1" si="352"/>
        <v>0</v>
      </c>
      <c r="E746" s="8">
        <f t="shared" ca="1" si="353"/>
        <v>0</v>
      </c>
      <c r="F746" s="8">
        <f t="shared" ca="1" si="354"/>
        <v>0</v>
      </c>
      <c r="G746" s="8">
        <f t="shared" ca="1" si="355"/>
        <v>0</v>
      </c>
      <c r="H746" s="8">
        <f t="shared" ca="1" si="356"/>
        <v>0</v>
      </c>
      <c r="I746" s="8">
        <f t="shared" ca="1" si="357"/>
        <v>0</v>
      </c>
      <c r="J746" s="8">
        <f t="shared" ca="1" si="358"/>
        <v>0</v>
      </c>
      <c r="K746" s="8">
        <f t="shared" ca="1" si="359"/>
        <v>0</v>
      </c>
      <c r="L746" s="8">
        <f t="shared" ca="1" si="364"/>
        <v>0</v>
      </c>
      <c r="M746" s="8">
        <f t="shared" ca="1" si="365"/>
        <v>0</v>
      </c>
      <c r="N746" s="8">
        <f t="shared" ca="1" si="366"/>
        <v>0</v>
      </c>
      <c r="O746" s="8">
        <f t="shared" ca="1" si="367"/>
        <v>0</v>
      </c>
      <c r="P746" s="8">
        <f t="shared" ca="1" si="368"/>
        <v>0</v>
      </c>
      <c r="Q746" s="8">
        <f t="shared" ca="1" si="369"/>
        <v>0</v>
      </c>
      <c r="R746" s="8">
        <f t="shared" ca="1" si="370"/>
        <v>0</v>
      </c>
      <c r="S746" s="8">
        <f t="shared" ca="1" si="371"/>
        <v>0</v>
      </c>
      <c r="T746" s="8">
        <f t="shared" ca="1" si="372"/>
        <v>0</v>
      </c>
      <c r="U746" s="8">
        <f t="shared" ca="1" si="373"/>
        <v>0</v>
      </c>
      <c r="V746" s="8">
        <f t="shared" ca="1" si="374"/>
        <v>0</v>
      </c>
      <c r="W746" s="11" t="str">
        <f t="shared" ca="1" si="375"/>
        <v/>
      </c>
      <c r="X746" s="11" t="str">
        <f t="shared" ca="1" si="376"/>
        <v/>
      </c>
      <c r="Y746" s="11" t="str">
        <f t="shared" ca="1" si="377"/>
        <v/>
      </c>
      <c r="Z746" s="11" t="str">
        <f t="shared" ca="1" si="378"/>
        <v/>
      </c>
      <c r="AA746" s="11" t="str">
        <f t="shared" ca="1" si="379"/>
        <v/>
      </c>
      <c r="AB746" s="47">
        <f ca="1">PlayerGameData[[#This Row],[3FGA]]+PlayerGameData[[#This Row],[2FGA]]</f>
        <v>0</v>
      </c>
      <c r="AC746" s="47">
        <f ca="1">PlayerGameData[[#This Row],[OFF REB]]+PlayerGameData[[#This Row],[DEF REB]]</f>
        <v>0</v>
      </c>
      <c r="AD746" s="8">
        <f t="shared" si="360"/>
        <v>31</v>
      </c>
      <c r="AE746" s="8" t="str">
        <f t="shared" ca="1" si="361"/>
        <v>,  - 0 1/0/1900</v>
      </c>
      <c r="AF746" s="8" t="str">
        <f t="shared" ca="1" si="380"/>
        <v/>
      </c>
      <c r="AG746" s="8" t="str">
        <f ca="1">IFERROR(IF(C746=0,"",IF(AND(VLOOKUP(PlayerGameData[[#This Row],[Opponent]],WYTeamInfo,2,FALSE)=Roster!$D$1,VLOOKUP(PlayerGameData[[#This Row],[Opponent]],WYTeamInfo,3,FALSE)=Roster!$D$2),"SR","")),"")</f>
        <v/>
      </c>
      <c r="AH746" s="8" t="str">
        <f>CONCATENATE(Roster!$D$1," ",Roster!$D$5)</f>
        <v>1A BB</v>
      </c>
      <c r="AI746" s="8" t="str">
        <f t="shared" ca="1" si="362"/>
        <v>Blank</v>
      </c>
      <c r="AJ746" s="8">
        <f ca="1">IFERROR(VLOOKUP(PlayerGameData[[#This Row],[School, Opponent,Game'#]],Table3[],2,FALSE),0)</f>
        <v>0</v>
      </c>
      <c r="AK746" s="8">
        <f ca="1">IF(PlayerGameData[[#This Row],[Visible]]=1,1,1000)</f>
        <v>1000</v>
      </c>
      <c r="AL746" s="8">
        <f ca="1">RANK(PlayerGameData[[#This Row],[TL PTS]],PlayerGameData[TL PTS],0)+PlayerGameData[[#This Row],[VisibleOrder]]</f>
        <v>1184</v>
      </c>
      <c r="AM746" s="8">
        <f ca="1">IF(COUNTIF(PlayerGameData[PointOrder],PlayerGameData[[#This Row],[PointOrder]])&gt;1,RANK(PlayerGameData[[#This Row],[FGA]],PlayerGameData[FGA],0)/100,0)+PlayerGameData[[#This Row],[PointOrder]]</f>
        <v>1186.1400000000001</v>
      </c>
      <c r="AN746" s="8">
        <f ca="1">RANK(PlayerGameData[[#This Row],[PointTieBreak]],PlayerGameData[PointTieBreak],1)</f>
        <v>625</v>
      </c>
      <c r="AO746" s="8">
        <f ca="1">RANK(PlayerGameData[[#This Row],[REB]],PlayerGameData[REB],0)+PlayerGameData[[#This Row],[VisibleOrder]]</f>
        <v>1191</v>
      </c>
      <c r="AP746" s="8">
        <f ca="1">IF(COUNTIF(PlayerGameData[REBOrder],PlayerGameData[[#This Row],[REBOrder]])&gt;1,PlayerGameData[[#This Row],[PointRank]]/100+PlayerGameData[[#This Row],[REBOrder]],PlayerGameData[[#This Row],[REBOrder]])</f>
        <v>1197.25</v>
      </c>
      <c r="AQ746" s="8">
        <f ca="1">RANK(PlayerGameData[[#This Row],[REBTieBreak]],PlayerGameData[REBTieBreak],1)</f>
        <v>625</v>
      </c>
      <c r="AR746" s="8">
        <f ca="1">RANK(PlayerGameData[[#This Row],[AST]],PlayerGameData[AST],0)+PlayerGameData[[#This Row],[VisibleOrder]]</f>
        <v>1157</v>
      </c>
      <c r="AS746" s="8">
        <f ca="1">IF(COUNTIF(PlayerGameData[ASTOrder],PlayerGameData[[#This Row],[ASTOrder]])&gt;1,PlayerGameData[[#This Row],[PointRank]]/100+PlayerGameData[[#This Row],[ASTOrder]],PlayerGameData[[#This Row],[ASTOrder]])</f>
        <v>1163.25</v>
      </c>
      <c r="AT746" s="8">
        <f ca="1">RANK(PlayerGameData[[#This Row],[ASTTieBreak]],PlayerGameData[ASTTieBreak],1)</f>
        <v>625</v>
      </c>
      <c r="AU746" s="8">
        <f ca="1">RANK(PlayerGameData[[#This Row],[STL]],PlayerGameData[STL],0)+PlayerGameData[[#This Row],[VisibleOrder]]</f>
        <v>1142</v>
      </c>
      <c r="AV746" s="8">
        <f ca="1">IF(COUNTIF(PlayerGameData[STLOrder],PlayerGameData[[#This Row],[STLOrder]])&gt;1,PlayerGameData[[#This Row],[PointRank]]/100+PlayerGameData[[#This Row],[STLOrder]],PlayerGameData[[#This Row],[STLOrder]])</f>
        <v>1148.25</v>
      </c>
      <c r="AW746" s="8">
        <f ca="1">RANK(PlayerGameData[[#This Row],[STLTieBreak]],PlayerGameData[STLTieBreak],1)</f>
        <v>625</v>
      </c>
      <c r="AX746" s="8">
        <f ca="1">RANK(PlayerGameData[[#This Row],[BLK]],PlayerGameData[BLK],0)+PlayerGameData[[#This Row],[VisibleOrder]]</f>
        <v>1031</v>
      </c>
      <c r="AY746" s="8">
        <f ca="1">IF(COUNTIF(PlayerGameData[BLKOrder],PlayerGameData[[#This Row],[BLKOrder]])&gt;1,PlayerGameData[[#This Row],[PointRank]]/100+PlayerGameData[[#This Row],[BLKOrder]],PlayerGameData[[#This Row],[BLKOrder]])</f>
        <v>1037.25</v>
      </c>
      <c r="AZ746" s="8">
        <f ca="1">RANK(PlayerGameData[[#This Row],[BLKTieBreak]],PlayerGameData[BLKTieBreak],1)</f>
        <v>625</v>
      </c>
      <c r="BA746" s="11">
        <f ca="1">IFERROR(IF(PlayerGameData[[#This Row],[FGA]]&gt;$AA$5,PlayerGameData[[#This Row],[FG%*]],PlayerGameData[[#This Row],[FG%*]]*-1),-2)</f>
        <v>-2</v>
      </c>
      <c r="BB746" s="8">
        <f ca="1">RANK(PlayerGameData[[#This Row],[EligFG]],PlayerGameData[EligFG],0)+PlayerGameData[[#This Row],[VisibleOrder]]</f>
        <v>1214</v>
      </c>
      <c r="BC746" s="8">
        <f ca="1">IF(COUNTIF(PlayerGameData[EligFGOrder],PlayerGameData[[#This Row],[EligFGOrder]])&gt;1,PlayerGameData[[#This Row],[PointRank]]/100+PlayerGameData[[#This Row],[EligFGOrder]],PlayerGameData[[#This Row],[EligFGOrder]])</f>
        <v>1220.25</v>
      </c>
      <c r="BD746" s="8">
        <f ca="1">RANK(PlayerGameData[[#This Row],[EligFGTieBreak]],PlayerGameData[EligFGTieBreak],1)</f>
        <v>625</v>
      </c>
      <c r="BE746" s="8" t="str">
        <f>Roster!$D$3</f>
        <v>East</v>
      </c>
      <c r="BF746" s="8" t="str">
        <f>Roster!$D$2</f>
        <v>Northeast</v>
      </c>
      <c r="BG746" s="8" t="str">
        <f>Roster!$D$4</f>
        <v>North</v>
      </c>
      <c r="BH746" s="197">
        <f ca="1">IFERROR(VLOOKUP(CONCATENATE(PlayerGameData[[#This Row],[Opponent]]," ",MONTH(PlayerGameData[[#This Row],[Date]]),"/",DAY(PlayerGameData[[#This Row],[Date]]),"/",YEAR(PlayerGameData[[#This Row],[Date]])),Table35[],2,FALSE),0)</f>
        <v>0</v>
      </c>
      <c r="BI746" s="197">
        <f ca="1">IF(PlayerGameData[[#This Row],[Visible]]=1,1,1000)</f>
        <v>1000</v>
      </c>
      <c r="BJ746" s="197" t="e">
        <f ca="1">_xlfn.MAXIFS(TeamGameData[Win],TeamGameData[School, Opponent,Game'#],PlayerGameData[[#This Row],[School, Opponent,Game'#]])</f>
        <v>#NAME?</v>
      </c>
      <c r="BK746" s="197" t="e">
        <f ca="1">_xlfn.MAXIFS(TeamGameData[Loss],TeamGameData[School, Opponent,Game'#],PlayerGameData[[#This Row],[School, Opponent,Game'#]])</f>
        <v>#NAME?</v>
      </c>
    </row>
    <row r="747" spans="1:63" x14ac:dyDescent="0.25">
      <c r="A747" s="8" t="str">
        <f t="shared" ca="1" si="363"/>
        <v xml:space="preserve">, </v>
      </c>
      <c r="B747" s="8" t="str">
        <f>Roster!$B$1</f>
        <v>Upton</v>
      </c>
      <c r="C747" s="8">
        <f t="shared" ca="1" si="351"/>
        <v>0</v>
      </c>
      <c r="D747" s="10">
        <f t="shared" ca="1" si="352"/>
        <v>0</v>
      </c>
      <c r="E747" s="8">
        <f t="shared" ca="1" si="353"/>
        <v>0</v>
      </c>
      <c r="F747" s="8">
        <f t="shared" ca="1" si="354"/>
        <v>0</v>
      </c>
      <c r="G747" s="8">
        <f t="shared" ca="1" si="355"/>
        <v>0</v>
      </c>
      <c r="H747" s="8">
        <f t="shared" ca="1" si="356"/>
        <v>0</v>
      </c>
      <c r="I747" s="8">
        <f t="shared" ca="1" si="357"/>
        <v>0</v>
      </c>
      <c r="J747" s="8">
        <f t="shared" ca="1" si="358"/>
        <v>0</v>
      </c>
      <c r="K747" s="8">
        <f t="shared" ca="1" si="359"/>
        <v>0</v>
      </c>
      <c r="L747" s="8">
        <f t="shared" ca="1" si="364"/>
        <v>0</v>
      </c>
      <c r="M747" s="8">
        <f t="shared" ca="1" si="365"/>
        <v>0</v>
      </c>
      <c r="N747" s="8">
        <f t="shared" ca="1" si="366"/>
        <v>0</v>
      </c>
      <c r="O747" s="8">
        <f t="shared" ca="1" si="367"/>
        <v>0</v>
      </c>
      <c r="P747" s="8">
        <f t="shared" ca="1" si="368"/>
        <v>0</v>
      </c>
      <c r="Q747" s="8">
        <f t="shared" ca="1" si="369"/>
        <v>0</v>
      </c>
      <c r="R747" s="8">
        <f t="shared" ca="1" si="370"/>
        <v>0</v>
      </c>
      <c r="S747" s="8">
        <f t="shared" ca="1" si="371"/>
        <v>0</v>
      </c>
      <c r="T747" s="8">
        <f t="shared" ca="1" si="372"/>
        <v>0</v>
      </c>
      <c r="U747" s="8">
        <f t="shared" ca="1" si="373"/>
        <v>0</v>
      </c>
      <c r="V747" s="8">
        <f t="shared" ca="1" si="374"/>
        <v>0</v>
      </c>
      <c r="W747" s="11" t="str">
        <f t="shared" ca="1" si="375"/>
        <v/>
      </c>
      <c r="X747" s="11" t="str">
        <f t="shared" ca="1" si="376"/>
        <v/>
      </c>
      <c r="Y747" s="11" t="str">
        <f t="shared" ca="1" si="377"/>
        <v/>
      </c>
      <c r="Z747" s="11" t="str">
        <f t="shared" ca="1" si="378"/>
        <v/>
      </c>
      <c r="AA747" s="11" t="str">
        <f t="shared" ca="1" si="379"/>
        <v/>
      </c>
      <c r="AB747" s="47">
        <f ca="1">PlayerGameData[[#This Row],[3FGA]]+PlayerGameData[[#This Row],[2FGA]]</f>
        <v>0</v>
      </c>
      <c r="AC747" s="47">
        <f ca="1">PlayerGameData[[#This Row],[OFF REB]]+PlayerGameData[[#This Row],[DEF REB]]</f>
        <v>0</v>
      </c>
      <c r="AD747" s="8">
        <f t="shared" si="360"/>
        <v>31</v>
      </c>
      <c r="AE747" s="8" t="str">
        <f t="shared" ca="1" si="361"/>
        <v>,  - 0 1/0/1900</v>
      </c>
      <c r="AF747" s="8" t="str">
        <f t="shared" ca="1" si="380"/>
        <v/>
      </c>
      <c r="AG747" s="8" t="str">
        <f ca="1">IFERROR(IF(C747=0,"",IF(AND(VLOOKUP(PlayerGameData[[#This Row],[Opponent]],WYTeamInfo,2,FALSE)=Roster!$D$1,VLOOKUP(PlayerGameData[[#This Row],[Opponent]],WYTeamInfo,3,FALSE)=Roster!$D$2),"SR","")),"")</f>
        <v/>
      </c>
      <c r="AH747" s="8" t="str">
        <f>CONCATENATE(Roster!$D$1," ",Roster!$D$5)</f>
        <v>1A BB</v>
      </c>
      <c r="AI747" s="8" t="str">
        <f t="shared" ca="1" si="362"/>
        <v>Blank</v>
      </c>
      <c r="AJ747" s="8">
        <f ca="1">IFERROR(VLOOKUP(PlayerGameData[[#This Row],[School, Opponent,Game'#]],Table3[],2,FALSE),0)</f>
        <v>0</v>
      </c>
      <c r="AK747" s="8">
        <f ca="1">IF(PlayerGameData[[#This Row],[Visible]]=1,1,1000)</f>
        <v>1000</v>
      </c>
      <c r="AL747" s="8">
        <f ca="1">RANK(PlayerGameData[[#This Row],[TL PTS]],PlayerGameData[TL PTS],0)+PlayerGameData[[#This Row],[VisibleOrder]]</f>
        <v>1184</v>
      </c>
      <c r="AM747" s="8">
        <f ca="1">IF(COUNTIF(PlayerGameData[PointOrder],PlayerGameData[[#This Row],[PointOrder]])&gt;1,RANK(PlayerGameData[[#This Row],[FGA]],PlayerGameData[FGA],0)/100,0)+PlayerGameData[[#This Row],[PointOrder]]</f>
        <v>1186.1400000000001</v>
      </c>
      <c r="AN747" s="8">
        <f ca="1">RANK(PlayerGameData[[#This Row],[PointTieBreak]],PlayerGameData[PointTieBreak],1)</f>
        <v>625</v>
      </c>
      <c r="AO747" s="8">
        <f ca="1">RANK(PlayerGameData[[#This Row],[REB]],PlayerGameData[REB],0)+PlayerGameData[[#This Row],[VisibleOrder]]</f>
        <v>1191</v>
      </c>
      <c r="AP747" s="8">
        <f ca="1">IF(COUNTIF(PlayerGameData[REBOrder],PlayerGameData[[#This Row],[REBOrder]])&gt;1,PlayerGameData[[#This Row],[PointRank]]/100+PlayerGameData[[#This Row],[REBOrder]],PlayerGameData[[#This Row],[REBOrder]])</f>
        <v>1197.25</v>
      </c>
      <c r="AQ747" s="8">
        <f ca="1">RANK(PlayerGameData[[#This Row],[REBTieBreak]],PlayerGameData[REBTieBreak],1)</f>
        <v>625</v>
      </c>
      <c r="AR747" s="8">
        <f ca="1">RANK(PlayerGameData[[#This Row],[AST]],PlayerGameData[AST],0)+PlayerGameData[[#This Row],[VisibleOrder]]</f>
        <v>1157</v>
      </c>
      <c r="AS747" s="8">
        <f ca="1">IF(COUNTIF(PlayerGameData[ASTOrder],PlayerGameData[[#This Row],[ASTOrder]])&gt;1,PlayerGameData[[#This Row],[PointRank]]/100+PlayerGameData[[#This Row],[ASTOrder]],PlayerGameData[[#This Row],[ASTOrder]])</f>
        <v>1163.25</v>
      </c>
      <c r="AT747" s="8">
        <f ca="1">RANK(PlayerGameData[[#This Row],[ASTTieBreak]],PlayerGameData[ASTTieBreak],1)</f>
        <v>625</v>
      </c>
      <c r="AU747" s="8">
        <f ca="1">RANK(PlayerGameData[[#This Row],[STL]],PlayerGameData[STL],0)+PlayerGameData[[#This Row],[VisibleOrder]]</f>
        <v>1142</v>
      </c>
      <c r="AV747" s="8">
        <f ca="1">IF(COUNTIF(PlayerGameData[STLOrder],PlayerGameData[[#This Row],[STLOrder]])&gt;1,PlayerGameData[[#This Row],[PointRank]]/100+PlayerGameData[[#This Row],[STLOrder]],PlayerGameData[[#This Row],[STLOrder]])</f>
        <v>1148.25</v>
      </c>
      <c r="AW747" s="8">
        <f ca="1">RANK(PlayerGameData[[#This Row],[STLTieBreak]],PlayerGameData[STLTieBreak],1)</f>
        <v>625</v>
      </c>
      <c r="AX747" s="8">
        <f ca="1">RANK(PlayerGameData[[#This Row],[BLK]],PlayerGameData[BLK],0)+PlayerGameData[[#This Row],[VisibleOrder]]</f>
        <v>1031</v>
      </c>
      <c r="AY747" s="8">
        <f ca="1">IF(COUNTIF(PlayerGameData[BLKOrder],PlayerGameData[[#This Row],[BLKOrder]])&gt;1,PlayerGameData[[#This Row],[PointRank]]/100+PlayerGameData[[#This Row],[BLKOrder]],PlayerGameData[[#This Row],[BLKOrder]])</f>
        <v>1037.25</v>
      </c>
      <c r="AZ747" s="8">
        <f ca="1">RANK(PlayerGameData[[#This Row],[BLKTieBreak]],PlayerGameData[BLKTieBreak],1)</f>
        <v>625</v>
      </c>
      <c r="BA747" s="11">
        <f ca="1">IFERROR(IF(PlayerGameData[[#This Row],[FGA]]&gt;$AA$5,PlayerGameData[[#This Row],[FG%*]],PlayerGameData[[#This Row],[FG%*]]*-1),-2)</f>
        <v>-2</v>
      </c>
      <c r="BB747" s="8">
        <f ca="1">RANK(PlayerGameData[[#This Row],[EligFG]],PlayerGameData[EligFG],0)+PlayerGameData[[#This Row],[VisibleOrder]]</f>
        <v>1214</v>
      </c>
      <c r="BC747" s="8">
        <f ca="1">IF(COUNTIF(PlayerGameData[EligFGOrder],PlayerGameData[[#This Row],[EligFGOrder]])&gt;1,PlayerGameData[[#This Row],[PointRank]]/100+PlayerGameData[[#This Row],[EligFGOrder]],PlayerGameData[[#This Row],[EligFGOrder]])</f>
        <v>1220.25</v>
      </c>
      <c r="BD747" s="8">
        <f ca="1">RANK(PlayerGameData[[#This Row],[EligFGTieBreak]],PlayerGameData[EligFGTieBreak],1)</f>
        <v>625</v>
      </c>
      <c r="BE747" s="8" t="str">
        <f>Roster!$D$3</f>
        <v>East</v>
      </c>
      <c r="BF747" s="8" t="str">
        <f>Roster!$D$2</f>
        <v>Northeast</v>
      </c>
      <c r="BG747" s="8" t="str">
        <f>Roster!$D$4</f>
        <v>North</v>
      </c>
      <c r="BH747" s="197">
        <f ca="1">IFERROR(VLOOKUP(CONCATENATE(PlayerGameData[[#This Row],[Opponent]]," ",MONTH(PlayerGameData[[#This Row],[Date]]),"/",DAY(PlayerGameData[[#This Row],[Date]]),"/",YEAR(PlayerGameData[[#This Row],[Date]])),Table35[],2,FALSE),0)</f>
        <v>0</v>
      </c>
      <c r="BI747" s="197">
        <f ca="1">IF(PlayerGameData[[#This Row],[Visible]]=1,1,1000)</f>
        <v>1000</v>
      </c>
      <c r="BJ747" s="197" t="e">
        <f ca="1">_xlfn.MAXIFS(TeamGameData[Win],TeamGameData[School, Opponent,Game'#],PlayerGameData[[#This Row],[School, Opponent,Game'#]])</f>
        <v>#NAME?</v>
      </c>
      <c r="BK747" s="197" t="e">
        <f ca="1">_xlfn.MAXIFS(TeamGameData[Loss],TeamGameData[School, Opponent,Game'#],PlayerGameData[[#This Row],[School, Opponent,Game'#]])</f>
        <v>#NAME?</v>
      </c>
    </row>
    <row r="748" spans="1:63" x14ac:dyDescent="0.25">
      <c r="A748" s="8" t="str">
        <f t="shared" ca="1" si="363"/>
        <v xml:space="preserve">, </v>
      </c>
      <c r="B748" s="8" t="str">
        <f>Roster!$B$1</f>
        <v>Upton</v>
      </c>
      <c r="C748" s="8">
        <f t="shared" ca="1" si="351"/>
        <v>0</v>
      </c>
      <c r="D748" s="10">
        <f t="shared" ca="1" si="352"/>
        <v>0</v>
      </c>
      <c r="E748" s="8">
        <f t="shared" ca="1" si="353"/>
        <v>0</v>
      </c>
      <c r="F748" s="8">
        <f t="shared" ca="1" si="354"/>
        <v>0</v>
      </c>
      <c r="G748" s="8">
        <f t="shared" ca="1" si="355"/>
        <v>0</v>
      </c>
      <c r="H748" s="8">
        <f t="shared" ca="1" si="356"/>
        <v>0</v>
      </c>
      <c r="I748" s="8">
        <f t="shared" ca="1" si="357"/>
        <v>0</v>
      </c>
      <c r="J748" s="8">
        <f t="shared" ca="1" si="358"/>
        <v>0</v>
      </c>
      <c r="K748" s="8">
        <f t="shared" ca="1" si="359"/>
        <v>0</v>
      </c>
      <c r="L748" s="8">
        <f t="shared" ca="1" si="364"/>
        <v>0</v>
      </c>
      <c r="M748" s="8">
        <f t="shared" ca="1" si="365"/>
        <v>0</v>
      </c>
      <c r="N748" s="8">
        <f t="shared" ca="1" si="366"/>
        <v>0</v>
      </c>
      <c r="O748" s="8">
        <f t="shared" ca="1" si="367"/>
        <v>0</v>
      </c>
      <c r="P748" s="8">
        <f t="shared" ca="1" si="368"/>
        <v>0</v>
      </c>
      <c r="Q748" s="8">
        <f t="shared" ca="1" si="369"/>
        <v>0</v>
      </c>
      <c r="R748" s="8">
        <f t="shared" ca="1" si="370"/>
        <v>0</v>
      </c>
      <c r="S748" s="8">
        <f t="shared" ca="1" si="371"/>
        <v>0</v>
      </c>
      <c r="T748" s="8">
        <f t="shared" ca="1" si="372"/>
        <v>0</v>
      </c>
      <c r="U748" s="8">
        <f t="shared" ca="1" si="373"/>
        <v>0</v>
      </c>
      <c r="V748" s="8">
        <f t="shared" ca="1" si="374"/>
        <v>0</v>
      </c>
      <c r="W748" s="11" t="str">
        <f t="shared" ca="1" si="375"/>
        <v/>
      </c>
      <c r="X748" s="11" t="str">
        <f t="shared" ca="1" si="376"/>
        <v/>
      </c>
      <c r="Y748" s="11" t="str">
        <f t="shared" ca="1" si="377"/>
        <v/>
      </c>
      <c r="Z748" s="11" t="str">
        <f t="shared" ca="1" si="378"/>
        <v/>
      </c>
      <c r="AA748" s="11" t="str">
        <f t="shared" ca="1" si="379"/>
        <v/>
      </c>
      <c r="AB748" s="47">
        <f ca="1">PlayerGameData[[#This Row],[3FGA]]+PlayerGameData[[#This Row],[2FGA]]</f>
        <v>0</v>
      </c>
      <c r="AC748" s="47">
        <f ca="1">PlayerGameData[[#This Row],[OFF REB]]+PlayerGameData[[#This Row],[DEF REB]]</f>
        <v>0</v>
      </c>
      <c r="AD748" s="8">
        <f t="shared" si="360"/>
        <v>31</v>
      </c>
      <c r="AE748" s="8" t="str">
        <f t="shared" ca="1" si="361"/>
        <v>,  - 0 1/0/1900</v>
      </c>
      <c r="AF748" s="8" t="str">
        <f t="shared" ca="1" si="380"/>
        <v/>
      </c>
      <c r="AG748" s="8" t="str">
        <f ca="1">IFERROR(IF(C748=0,"",IF(AND(VLOOKUP(PlayerGameData[[#This Row],[Opponent]],WYTeamInfo,2,FALSE)=Roster!$D$1,VLOOKUP(PlayerGameData[[#This Row],[Opponent]],WYTeamInfo,3,FALSE)=Roster!$D$2),"SR","")),"")</f>
        <v/>
      </c>
      <c r="AH748" s="8" t="str">
        <f>CONCATENATE(Roster!$D$1," ",Roster!$D$5)</f>
        <v>1A BB</v>
      </c>
      <c r="AI748" s="8" t="str">
        <f t="shared" ca="1" si="362"/>
        <v>Blank</v>
      </c>
      <c r="AJ748" s="8">
        <f ca="1">IFERROR(VLOOKUP(PlayerGameData[[#This Row],[School, Opponent,Game'#]],Table3[],2,FALSE),0)</f>
        <v>0</v>
      </c>
      <c r="AK748" s="8">
        <f ca="1">IF(PlayerGameData[[#This Row],[Visible]]=1,1,1000)</f>
        <v>1000</v>
      </c>
      <c r="AL748" s="8">
        <f ca="1">RANK(PlayerGameData[[#This Row],[TL PTS]],PlayerGameData[TL PTS],0)+PlayerGameData[[#This Row],[VisibleOrder]]</f>
        <v>1184</v>
      </c>
      <c r="AM748" s="8">
        <f ca="1">IF(COUNTIF(PlayerGameData[PointOrder],PlayerGameData[[#This Row],[PointOrder]])&gt;1,RANK(PlayerGameData[[#This Row],[FGA]],PlayerGameData[FGA],0)/100,0)+PlayerGameData[[#This Row],[PointOrder]]</f>
        <v>1186.1400000000001</v>
      </c>
      <c r="AN748" s="8">
        <f ca="1">RANK(PlayerGameData[[#This Row],[PointTieBreak]],PlayerGameData[PointTieBreak],1)</f>
        <v>625</v>
      </c>
      <c r="AO748" s="8">
        <f ca="1">RANK(PlayerGameData[[#This Row],[REB]],PlayerGameData[REB],0)+PlayerGameData[[#This Row],[VisibleOrder]]</f>
        <v>1191</v>
      </c>
      <c r="AP748" s="8">
        <f ca="1">IF(COUNTIF(PlayerGameData[REBOrder],PlayerGameData[[#This Row],[REBOrder]])&gt;1,PlayerGameData[[#This Row],[PointRank]]/100+PlayerGameData[[#This Row],[REBOrder]],PlayerGameData[[#This Row],[REBOrder]])</f>
        <v>1197.25</v>
      </c>
      <c r="AQ748" s="8">
        <f ca="1">RANK(PlayerGameData[[#This Row],[REBTieBreak]],PlayerGameData[REBTieBreak],1)</f>
        <v>625</v>
      </c>
      <c r="AR748" s="8">
        <f ca="1">RANK(PlayerGameData[[#This Row],[AST]],PlayerGameData[AST],0)+PlayerGameData[[#This Row],[VisibleOrder]]</f>
        <v>1157</v>
      </c>
      <c r="AS748" s="8">
        <f ca="1">IF(COUNTIF(PlayerGameData[ASTOrder],PlayerGameData[[#This Row],[ASTOrder]])&gt;1,PlayerGameData[[#This Row],[PointRank]]/100+PlayerGameData[[#This Row],[ASTOrder]],PlayerGameData[[#This Row],[ASTOrder]])</f>
        <v>1163.25</v>
      </c>
      <c r="AT748" s="8">
        <f ca="1">RANK(PlayerGameData[[#This Row],[ASTTieBreak]],PlayerGameData[ASTTieBreak],1)</f>
        <v>625</v>
      </c>
      <c r="AU748" s="8">
        <f ca="1">RANK(PlayerGameData[[#This Row],[STL]],PlayerGameData[STL],0)+PlayerGameData[[#This Row],[VisibleOrder]]</f>
        <v>1142</v>
      </c>
      <c r="AV748" s="8">
        <f ca="1">IF(COUNTIF(PlayerGameData[STLOrder],PlayerGameData[[#This Row],[STLOrder]])&gt;1,PlayerGameData[[#This Row],[PointRank]]/100+PlayerGameData[[#This Row],[STLOrder]],PlayerGameData[[#This Row],[STLOrder]])</f>
        <v>1148.25</v>
      </c>
      <c r="AW748" s="8">
        <f ca="1">RANK(PlayerGameData[[#This Row],[STLTieBreak]],PlayerGameData[STLTieBreak],1)</f>
        <v>625</v>
      </c>
      <c r="AX748" s="8">
        <f ca="1">RANK(PlayerGameData[[#This Row],[BLK]],PlayerGameData[BLK],0)+PlayerGameData[[#This Row],[VisibleOrder]]</f>
        <v>1031</v>
      </c>
      <c r="AY748" s="8">
        <f ca="1">IF(COUNTIF(PlayerGameData[BLKOrder],PlayerGameData[[#This Row],[BLKOrder]])&gt;1,PlayerGameData[[#This Row],[PointRank]]/100+PlayerGameData[[#This Row],[BLKOrder]],PlayerGameData[[#This Row],[BLKOrder]])</f>
        <v>1037.25</v>
      </c>
      <c r="AZ748" s="8">
        <f ca="1">RANK(PlayerGameData[[#This Row],[BLKTieBreak]],PlayerGameData[BLKTieBreak],1)</f>
        <v>625</v>
      </c>
      <c r="BA748" s="11">
        <f ca="1">IFERROR(IF(PlayerGameData[[#This Row],[FGA]]&gt;$AA$5,PlayerGameData[[#This Row],[FG%*]],PlayerGameData[[#This Row],[FG%*]]*-1),-2)</f>
        <v>-2</v>
      </c>
      <c r="BB748" s="8">
        <f ca="1">RANK(PlayerGameData[[#This Row],[EligFG]],PlayerGameData[EligFG],0)+PlayerGameData[[#This Row],[VisibleOrder]]</f>
        <v>1214</v>
      </c>
      <c r="BC748" s="8">
        <f ca="1">IF(COUNTIF(PlayerGameData[EligFGOrder],PlayerGameData[[#This Row],[EligFGOrder]])&gt;1,PlayerGameData[[#This Row],[PointRank]]/100+PlayerGameData[[#This Row],[EligFGOrder]],PlayerGameData[[#This Row],[EligFGOrder]])</f>
        <v>1220.25</v>
      </c>
      <c r="BD748" s="8">
        <f ca="1">RANK(PlayerGameData[[#This Row],[EligFGTieBreak]],PlayerGameData[EligFGTieBreak],1)</f>
        <v>625</v>
      </c>
      <c r="BE748" s="8" t="str">
        <f>Roster!$D$3</f>
        <v>East</v>
      </c>
      <c r="BF748" s="8" t="str">
        <f>Roster!$D$2</f>
        <v>Northeast</v>
      </c>
      <c r="BG748" s="8" t="str">
        <f>Roster!$D$4</f>
        <v>North</v>
      </c>
      <c r="BH748" s="197">
        <f ca="1">IFERROR(VLOOKUP(CONCATENATE(PlayerGameData[[#This Row],[Opponent]]," ",MONTH(PlayerGameData[[#This Row],[Date]]),"/",DAY(PlayerGameData[[#This Row],[Date]]),"/",YEAR(PlayerGameData[[#This Row],[Date]])),Table35[],2,FALSE),0)</f>
        <v>0</v>
      </c>
      <c r="BI748" s="197">
        <f ca="1">IF(PlayerGameData[[#This Row],[Visible]]=1,1,1000)</f>
        <v>1000</v>
      </c>
      <c r="BJ748" s="197" t="e">
        <f ca="1">_xlfn.MAXIFS(TeamGameData[Win],TeamGameData[School, Opponent,Game'#],PlayerGameData[[#This Row],[School, Opponent,Game'#]])</f>
        <v>#NAME?</v>
      </c>
      <c r="BK748" s="197" t="e">
        <f ca="1">_xlfn.MAXIFS(TeamGameData[Loss],TeamGameData[School, Opponent,Game'#],PlayerGameData[[#This Row],[School, Opponent,Game'#]])</f>
        <v>#NAME?</v>
      </c>
    </row>
    <row r="749" spans="1:63" x14ac:dyDescent="0.25">
      <c r="A749" s="8" t="str">
        <f t="shared" ca="1" si="363"/>
        <v xml:space="preserve">, </v>
      </c>
      <c r="B749" s="8" t="str">
        <f>Roster!$B$1</f>
        <v>Upton</v>
      </c>
      <c r="C749" s="8">
        <f t="shared" ca="1" si="351"/>
        <v>0</v>
      </c>
      <c r="D749" s="10">
        <f t="shared" ca="1" si="352"/>
        <v>0</v>
      </c>
      <c r="E749" s="8">
        <f t="shared" ca="1" si="353"/>
        <v>0</v>
      </c>
      <c r="F749" s="8">
        <f t="shared" ca="1" si="354"/>
        <v>0</v>
      </c>
      <c r="G749" s="8">
        <f t="shared" ca="1" si="355"/>
        <v>0</v>
      </c>
      <c r="H749" s="8">
        <f t="shared" ca="1" si="356"/>
        <v>0</v>
      </c>
      <c r="I749" s="8">
        <f t="shared" ca="1" si="357"/>
        <v>0</v>
      </c>
      <c r="J749" s="8">
        <f t="shared" ca="1" si="358"/>
        <v>0</v>
      </c>
      <c r="K749" s="8">
        <f t="shared" ca="1" si="359"/>
        <v>0</v>
      </c>
      <c r="L749" s="8">
        <f t="shared" ca="1" si="364"/>
        <v>0</v>
      </c>
      <c r="M749" s="8">
        <f t="shared" ca="1" si="365"/>
        <v>0</v>
      </c>
      <c r="N749" s="8">
        <f t="shared" ca="1" si="366"/>
        <v>0</v>
      </c>
      <c r="O749" s="8">
        <f t="shared" ca="1" si="367"/>
        <v>0</v>
      </c>
      <c r="P749" s="8">
        <f t="shared" ca="1" si="368"/>
        <v>0</v>
      </c>
      <c r="Q749" s="8">
        <f t="shared" ca="1" si="369"/>
        <v>0</v>
      </c>
      <c r="R749" s="8">
        <f t="shared" ca="1" si="370"/>
        <v>0</v>
      </c>
      <c r="S749" s="8">
        <f t="shared" ca="1" si="371"/>
        <v>0</v>
      </c>
      <c r="T749" s="8">
        <f t="shared" ca="1" si="372"/>
        <v>0</v>
      </c>
      <c r="U749" s="8">
        <f t="shared" ca="1" si="373"/>
        <v>0</v>
      </c>
      <c r="V749" s="8">
        <f t="shared" ca="1" si="374"/>
        <v>0</v>
      </c>
      <c r="W749" s="11" t="str">
        <f t="shared" ca="1" si="375"/>
        <v/>
      </c>
      <c r="X749" s="11" t="str">
        <f t="shared" ca="1" si="376"/>
        <v/>
      </c>
      <c r="Y749" s="11" t="str">
        <f t="shared" ca="1" si="377"/>
        <v/>
      </c>
      <c r="Z749" s="11" t="str">
        <f t="shared" ca="1" si="378"/>
        <v/>
      </c>
      <c r="AA749" s="11" t="str">
        <f t="shared" ca="1" si="379"/>
        <v/>
      </c>
      <c r="AB749" s="47">
        <f ca="1">PlayerGameData[[#This Row],[3FGA]]+PlayerGameData[[#This Row],[2FGA]]</f>
        <v>0</v>
      </c>
      <c r="AC749" s="47">
        <f ca="1">PlayerGameData[[#This Row],[OFF REB]]+PlayerGameData[[#This Row],[DEF REB]]</f>
        <v>0</v>
      </c>
      <c r="AD749" s="8">
        <f t="shared" si="360"/>
        <v>31</v>
      </c>
      <c r="AE749" s="8" t="str">
        <f t="shared" ca="1" si="361"/>
        <v>,  - 0 1/0/1900</v>
      </c>
      <c r="AF749" s="8" t="str">
        <f t="shared" ca="1" si="380"/>
        <v/>
      </c>
      <c r="AG749" s="8" t="str">
        <f ca="1">IFERROR(IF(C749=0,"",IF(AND(VLOOKUP(PlayerGameData[[#This Row],[Opponent]],WYTeamInfo,2,FALSE)=Roster!$D$1,VLOOKUP(PlayerGameData[[#This Row],[Opponent]],WYTeamInfo,3,FALSE)=Roster!$D$2),"SR","")),"")</f>
        <v/>
      </c>
      <c r="AH749" s="8" t="str">
        <f>CONCATENATE(Roster!$D$1," ",Roster!$D$5)</f>
        <v>1A BB</v>
      </c>
      <c r="AI749" s="8" t="str">
        <f t="shared" ca="1" si="362"/>
        <v>Blank</v>
      </c>
      <c r="AJ749" s="8">
        <f ca="1">IFERROR(VLOOKUP(PlayerGameData[[#This Row],[School, Opponent,Game'#]],Table3[],2,FALSE),0)</f>
        <v>0</v>
      </c>
      <c r="AK749" s="8">
        <f ca="1">IF(PlayerGameData[[#This Row],[Visible]]=1,1,1000)</f>
        <v>1000</v>
      </c>
      <c r="AL749" s="8">
        <f ca="1">RANK(PlayerGameData[[#This Row],[TL PTS]],PlayerGameData[TL PTS],0)+PlayerGameData[[#This Row],[VisibleOrder]]</f>
        <v>1184</v>
      </c>
      <c r="AM749" s="8">
        <f ca="1">IF(COUNTIF(PlayerGameData[PointOrder],PlayerGameData[[#This Row],[PointOrder]])&gt;1,RANK(PlayerGameData[[#This Row],[FGA]],PlayerGameData[FGA],0)/100,0)+PlayerGameData[[#This Row],[PointOrder]]</f>
        <v>1186.1400000000001</v>
      </c>
      <c r="AN749" s="8">
        <f ca="1">RANK(PlayerGameData[[#This Row],[PointTieBreak]],PlayerGameData[PointTieBreak],1)</f>
        <v>625</v>
      </c>
      <c r="AO749" s="8">
        <f ca="1">RANK(PlayerGameData[[#This Row],[REB]],PlayerGameData[REB],0)+PlayerGameData[[#This Row],[VisibleOrder]]</f>
        <v>1191</v>
      </c>
      <c r="AP749" s="8">
        <f ca="1">IF(COUNTIF(PlayerGameData[REBOrder],PlayerGameData[[#This Row],[REBOrder]])&gt;1,PlayerGameData[[#This Row],[PointRank]]/100+PlayerGameData[[#This Row],[REBOrder]],PlayerGameData[[#This Row],[REBOrder]])</f>
        <v>1197.25</v>
      </c>
      <c r="AQ749" s="8">
        <f ca="1">RANK(PlayerGameData[[#This Row],[REBTieBreak]],PlayerGameData[REBTieBreak],1)</f>
        <v>625</v>
      </c>
      <c r="AR749" s="8">
        <f ca="1">RANK(PlayerGameData[[#This Row],[AST]],PlayerGameData[AST],0)+PlayerGameData[[#This Row],[VisibleOrder]]</f>
        <v>1157</v>
      </c>
      <c r="AS749" s="8">
        <f ca="1">IF(COUNTIF(PlayerGameData[ASTOrder],PlayerGameData[[#This Row],[ASTOrder]])&gt;1,PlayerGameData[[#This Row],[PointRank]]/100+PlayerGameData[[#This Row],[ASTOrder]],PlayerGameData[[#This Row],[ASTOrder]])</f>
        <v>1163.25</v>
      </c>
      <c r="AT749" s="8">
        <f ca="1">RANK(PlayerGameData[[#This Row],[ASTTieBreak]],PlayerGameData[ASTTieBreak],1)</f>
        <v>625</v>
      </c>
      <c r="AU749" s="8">
        <f ca="1">RANK(PlayerGameData[[#This Row],[STL]],PlayerGameData[STL],0)+PlayerGameData[[#This Row],[VisibleOrder]]</f>
        <v>1142</v>
      </c>
      <c r="AV749" s="8">
        <f ca="1">IF(COUNTIF(PlayerGameData[STLOrder],PlayerGameData[[#This Row],[STLOrder]])&gt;1,PlayerGameData[[#This Row],[PointRank]]/100+PlayerGameData[[#This Row],[STLOrder]],PlayerGameData[[#This Row],[STLOrder]])</f>
        <v>1148.25</v>
      </c>
      <c r="AW749" s="8">
        <f ca="1">RANK(PlayerGameData[[#This Row],[STLTieBreak]],PlayerGameData[STLTieBreak],1)</f>
        <v>625</v>
      </c>
      <c r="AX749" s="8">
        <f ca="1">RANK(PlayerGameData[[#This Row],[BLK]],PlayerGameData[BLK],0)+PlayerGameData[[#This Row],[VisibleOrder]]</f>
        <v>1031</v>
      </c>
      <c r="AY749" s="8">
        <f ca="1">IF(COUNTIF(PlayerGameData[BLKOrder],PlayerGameData[[#This Row],[BLKOrder]])&gt;1,PlayerGameData[[#This Row],[PointRank]]/100+PlayerGameData[[#This Row],[BLKOrder]],PlayerGameData[[#This Row],[BLKOrder]])</f>
        <v>1037.25</v>
      </c>
      <c r="AZ749" s="8">
        <f ca="1">RANK(PlayerGameData[[#This Row],[BLKTieBreak]],PlayerGameData[BLKTieBreak],1)</f>
        <v>625</v>
      </c>
      <c r="BA749" s="11">
        <f ca="1">IFERROR(IF(PlayerGameData[[#This Row],[FGA]]&gt;$AA$5,PlayerGameData[[#This Row],[FG%*]],PlayerGameData[[#This Row],[FG%*]]*-1),-2)</f>
        <v>-2</v>
      </c>
      <c r="BB749" s="8">
        <f ca="1">RANK(PlayerGameData[[#This Row],[EligFG]],PlayerGameData[EligFG],0)+PlayerGameData[[#This Row],[VisibleOrder]]</f>
        <v>1214</v>
      </c>
      <c r="BC749" s="8">
        <f ca="1">IF(COUNTIF(PlayerGameData[EligFGOrder],PlayerGameData[[#This Row],[EligFGOrder]])&gt;1,PlayerGameData[[#This Row],[PointRank]]/100+PlayerGameData[[#This Row],[EligFGOrder]],PlayerGameData[[#This Row],[EligFGOrder]])</f>
        <v>1220.25</v>
      </c>
      <c r="BD749" s="8">
        <f ca="1">RANK(PlayerGameData[[#This Row],[EligFGTieBreak]],PlayerGameData[EligFGTieBreak],1)</f>
        <v>625</v>
      </c>
      <c r="BE749" s="8" t="str">
        <f>Roster!$D$3</f>
        <v>East</v>
      </c>
      <c r="BF749" s="8" t="str">
        <f>Roster!$D$2</f>
        <v>Northeast</v>
      </c>
      <c r="BG749" s="8" t="str">
        <f>Roster!$D$4</f>
        <v>North</v>
      </c>
      <c r="BH749" s="197">
        <f ca="1">IFERROR(VLOOKUP(CONCATENATE(PlayerGameData[[#This Row],[Opponent]]," ",MONTH(PlayerGameData[[#This Row],[Date]]),"/",DAY(PlayerGameData[[#This Row],[Date]]),"/",YEAR(PlayerGameData[[#This Row],[Date]])),Table35[],2,FALSE),0)</f>
        <v>0</v>
      </c>
      <c r="BI749" s="197">
        <f ca="1">IF(PlayerGameData[[#This Row],[Visible]]=1,1,1000)</f>
        <v>1000</v>
      </c>
      <c r="BJ749" s="197" t="e">
        <f ca="1">_xlfn.MAXIFS(TeamGameData[Win],TeamGameData[School, Opponent,Game'#],PlayerGameData[[#This Row],[School, Opponent,Game'#]])</f>
        <v>#NAME?</v>
      </c>
      <c r="BK749" s="197" t="e">
        <f ca="1">_xlfn.MAXIFS(TeamGameData[Loss],TeamGameData[School, Opponent,Game'#],PlayerGameData[[#This Row],[School, Opponent,Game'#]])</f>
        <v>#NAME?</v>
      </c>
    </row>
    <row r="750" spans="1:63" x14ac:dyDescent="0.25">
      <c r="A750" s="8" t="str">
        <f t="shared" ca="1" si="363"/>
        <v xml:space="preserve">Team, </v>
      </c>
      <c r="B750" s="8" t="str">
        <f>Roster!$B$1</f>
        <v>Upton</v>
      </c>
      <c r="C750" s="8">
        <f t="shared" ca="1" si="351"/>
        <v>0</v>
      </c>
      <c r="D750" s="10">
        <f t="shared" ca="1" si="352"/>
        <v>0</v>
      </c>
      <c r="E750" s="8">
        <f t="shared" ca="1" si="353"/>
        <v>0</v>
      </c>
      <c r="F750" s="8">
        <f t="shared" ca="1" si="354"/>
        <v>0</v>
      </c>
      <c r="G750" s="8">
        <f t="shared" ca="1" si="355"/>
        <v>0</v>
      </c>
      <c r="H750" s="8">
        <f t="shared" ca="1" si="356"/>
        <v>0</v>
      </c>
      <c r="I750" s="8">
        <f t="shared" ca="1" si="357"/>
        <v>0</v>
      </c>
      <c r="J750" s="8">
        <f t="shared" ca="1" si="358"/>
        <v>0</v>
      </c>
      <c r="K750" s="8">
        <f t="shared" ca="1" si="359"/>
        <v>0</v>
      </c>
      <c r="L750" s="8">
        <f t="shared" ca="1" si="364"/>
        <v>0</v>
      </c>
      <c r="M750" s="8">
        <f t="shared" ca="1" si="365"/>
        <v>0</v>
      </c>
      <c r="N750" s="8">
        <f t="shared" ca="1" si="366"/>
        <v>0</v>
      </c>
      <c r="O750" s="8">
        <f t="shared" ca="1" si="367"/>
        <v>0</v>
      </c>
      <c r="P750" s="8">
        <f t="shared" ca="1" si="368"/>
        <v>0</v>
      </c>
      <c r="Q750" s="8">
        <f t="shared" ca="1" si="369"/>
        <v>0</v>
      </c>
      <c r="R750" s="8">
        <f t="shared" ca="1" si="370"/>
        <v>0</v>
      </c>
      <c r="S750" s="8">
        <f t="shared" ca="1" si="371"/>
        <v>0</v>
      </c>
      <c r="T750" s="8">
        <f t="shared" ca="1" si="372"/>
        <v>0</v>
      </c>
      <c r="U750" s="8">
        <f t="shared" ca="1" si="373"/>
        <v>0</v>
      </c>
      <c r="V750" s="8">
        <f t="shared" ca="1" si="374"/>
        <v>0</v>
      </c>
      <c r="W750" s="11" t="str">
        <f t="shared" ca="1" si="375"/>
        <v/>
      </c>
      <c r="X750" s="11" t="str">
        <f t="shared" ca="1" si="376"/>
        <v/>
      </c>
      <c r="Y750" s="11" t="str">
        <f t="shared" ca="1" si="377"/>
        <v/>
      </c>
      <c r="Z750" s="11" t="str">
        <f t="shared" ca="1" si="378"/>
        <v/>
      </c>
      <c r="AA750" s="11" t="str">
        <f t="shared" ca="1" si="379"/>
        <v/>
      </c>
      <c r="AB750" s="47">
        <f ca="1">PlayerGameData[[#This Row],[3FGA]]+PlayerGameData[[#This Row],[2FGA]]</f>
        <v>0</v>
      </c>
      <c r="AC750" s="47">
        <f ca="1">PlayerGameData[[#This Row],[OFF REB]]+PlayerGameData[[#This Row],[DEF REB]]</f>
        <v>0</v>
      </c>
      <c r="AD750" s="8">
        <f t="shared" si="360"/>
        <v>31</v>
      </c>
      <c r="AE750" s="8" t="str">
        <f t="shared" ca="1" si="361"/>
        <v>Team,  - 0 1/0/1900</v>
      </c>
      <c r="AF750" s="8" t="str">
        <f t="shared" ca="1" si="380"/>
        <v/>
      </c>
      <c r="AG750" s="8" t="str">
        <f ca="1">IFERROR(IF(C750=0,"",IF(AND(VLOOKUP(PlayerGameData[[#This Row],[Opponent]],WYTeamInfo,2,FALSE)=Roster!$D$1,VLOOKUP(PlayerGameData[[#This Row],[Opponent]],WYTeamInfo,3,FALSE)=Roster!$D$2),"SR","")),"")</f>
        <v/>
      </c>
      <c r="AH750" s="8" t="str">
        <f>CONCATENATE(Roster!$D$1," ",Roster!$D$5)</f>
        <v>1A BB</v>
      </c>
      <c r="AI750" s="8" t="str">
        <f t="shared" ca="1" si="362"/>
        <v>Blank</v>
      </c>
      <c r="AJ750" s="8">
        <f ca="1">IFERROR(VLOOKUP(PlayerGameData[[#This Row],[School, Opponent,Game'#]],Table3[],2,FALSE),0)</f>
        <v>0</v>
      </c>
      <c r="AK750" s="8">
        <f ca="1">IF(PlayerGameData[[#This Row],[Visible]]=1,1,1000)</f>
        <v>1000</v>
      </c>
      <c r="AL750" s="8">
        <f ca="1">RANK(PlayerGameData[[#This Row],[TL PTS]],PlayerGameData[TL PTS],0)+PlayerGameData[[#This Row],[VisibleOrder]]</f>
        <v>1184</v>
      </c>
      <c r="AM750" s="8">
        <f ca="1">IF(COUNTIF(PlayerGameData[PointOrder],PlayerGameData[[#This Row],[PointOrder]])&gt;1,RANK(PlayerGameData[[#This Row],[FGA]],PlayerGameData[FGA],0)/100,0)+PlayerGameData[[#This Row],[PointOrder]]</f>
        <v>1186.1400000000001</v>
      </c>
      <c r="AN750" s="8">
        <f ca="1">RANK(PlayerGameData[[#This Row],[PointTieBreak]],PlayerGameData[PointTieBreak],1)</f>
        <v>625</v>
      </c>
      <c r="AO750" s="8">
        <f ca="1">RANK(PlayerGameData[[#This Row],[REB]],PlayerGameData[REB],0)+PlayerGameData[[#This Row],[VisibleOrder]]</f>
        <v>1191</v>
      </c>
      <c r="AP750" s="8">
        <f ca="1">IF(COUNTIF(PlayerGameData[REBOrder],PlayerGameData[[#This Row],[REBOrder]])&gt;1,PlayerGameData[[#This Row],[PointRank]]/100+PlayerGameData[[#This Row],[REBOrder]],PlayerGameData[[#This Row],[REBOrder]])</f>
        <v>1197.25</v>
      </c>
      <c r="AQ750" s="8">
        <f ca="1">RANK(PlayerGameData[[#This Row],[REBTieBreak]],PlayerGameData[REBTieBreak],1)</f>
        <v>625</v>
      </c>
      <c r="AR750" s="8">
        <f ca="1">RANK(PlayerGameData[[#This Row],[AST]],PlayerGameData[AST],0)+PlayerGameData[[#This Row],[VisibleOrder]]</f>
        <v>1157</v>
      </c>
      <c r="AS750" s="8">
        <f ca="1">IF(COUNTIF(PlayerGameData[ASTOrder],PlayerGameData[[#This Row],[ASTOrder]])&gt;1,PlayerGameData[[#This Row],[PointRank]]/100+PlayerGameData[[#This Row],[ASTOrder]],PlayerGameData[[#This Row],[ASTOrder]])</f>
        <v>1163.25</v>
      </c>
      <c r="AT750" s="8">
        <f ca="1">RANK(PlayerGameData[[#This Row],[ASTTieBreak]],PlayerGameData[ASTTieBreak],1)</f>
        <v>625</v>
      </c>
      <c r="AU750" s="8">
        <f ca="1">RANK(PlayerGameData[[#This Row],[STL]],PlayerGameData[STL],0)+PlayerGameData[[#This Row],[VisibleOrder]]</f>
        <v>1142</v>
      </c>
      <c r="AV750" s="8">
        <f ca="1">IF(COUNTIF(PlayerGameData[STLOrder],PlayerGameData[[#This Row],[STLOrder]])&gt;1,PlayerGameData[[#This Row],[PointRank]]/100+PlayerGameData[[#This Row],[STLOrder]],PlayerGameData[[#This Row],[STLOrder]])</f>
        <v>1148.25</v>
      </c>
      <c r="AW750" s="8">
        <f ca="1">RANK(PlayerGameData[[#This Row],[STLTieBreak]],PlayerGameData[STLTieBreak],1)</f>
        <v>625</v>
      </c>
      <c r="AX750" s="8">
        <f ca="1">RANK(PlayerGameData[[#This Row],[BLK]],PlayerGameData[BLK],0)+PlayerGameData[[#This Row],[VisibleOrder]]</f>
        <v>1031</v>
      </c>
      <c r="AY750" s="8">
        <f ca="1">IF(COUNTIF(PlayerGameData[BLKOrder],PlayerGameData[[#This Row],[BLKOrder]])&gt;1,PlayerGameData[[#This Row],[PointRank]]/100+PlayerGameData[[#This Row],[BLKOrder]],PlayerGameData[[#This Row],[BLKOrder]])</f>
        <v>1037.25</v>
      </c>
      <c r="AZ750" s="8">
        <f ca="1">RANK(PlayerGameData[[#This Row],[BLKTieBreak]],PlayerGameData[BLKTieBreak],1)</f>
        <v>625</v>
      </c>
      <c r="BA750" s="11">
        <f ca="1">IFERROR(IF(PlayerGameData[[#This Row],[FGA]]&gt;$AA$5,PlayerGameData[[#This Row],[FG%*]],PlayerGameData[[#This Row],[FG%*]]*-1),-2)</f>
        <v>-2</v>
      </c>
      <c r="BB750" s="8">
        <f ca="1">RANK(PlayerGameData[[#This Row],[EligFG]],PlayerGameData[EligFG],0)+PlayerGameData[[#This Row],[VisibleOrder]]</f>
        <v>1214</v>
      </c>
      <c r="BC750" s="8">
        <f ca="1">IF(COUNTIF(PlayerGameData[EligFGOrder],PlayerGameData[[#This Row],[EligFGOrder]])&gt;1,PlayerGameData[[#This Row],[PointRank]]/100+PlayerGameData[[#This Row],[EligFGOrder]],PlayerGameData[[#This Row],[EligFGOrder]])</f>
        <v>1220.25</v>
      </c>
      <c r="BD750" s="8">
        <f ca="1">RANK(PlayerGameData[[#This Row],[EligFGTieBreak]],PlayerGameData[EligFGTieBreak],1)</f>
        <v>625</v>
      </c>
      <c r="BE750" s="8" t="str">
        <f>Roster!$D$3</f>
        <v>East</v>
      </c>
      <c r="BF750" s="8" t="str">
        <f>Roster!$D$2</f>
        <v>Northeast</v>
      </c>
      <c r="BG750" s="8" t="str">
        <f>Roster!$D$4</f>
        <v>North</v>
      </c>
      <c r="BH750" s="197">
        <f ca="1">IFERROR(VLOOKUP(CONCATENATE(PlayerGameData[[#This Row],[Opponent]]," ",MONTH(PlayerGameData[[#This Row],[Date]]),"/",DAY(PlayerGameData[[#This Row],[Date]]),"/",YEAR(PlayerGameData[[#This Row],[Date]])),Table35[],2,FALSE),0)</f>
        <v>0</v>
      </c>
      <c r="BI750" s="197">
        <f ca="1">IF(PlayerGameData[[#This Row],[Visible]]=1,1,1000)</f>
        <v>1000</v>
      </c>
      <c r="BJ750" s="197" t="e">
        <f ca="1">_xlfn.MAXIFS(TeamGameData[Win],TeamGameData[School, Opponent,Game'#],PlayerGameData[[#This Row],[School, Opponent,Game'#]])</f>
        <v>#NAME?</v>
      </c>
      <c r="BK750" s="197" t="e">
        <f ca="1">_xlfn.MAXIFS(TeamGameData[Loss],TeamGameData[School, Opponent,Game'#],PlayerGameData[[#This Row],[School, Opponent,Game'#]])</f>
        <v>#NAME?</v>
      </c>
    </row>
    <row r="751" spans="1:63" x14ac:dyDescent="0.25">
      <c r="A751" s="8" t="str">
        <f t="shared" ca="1" si="363"/>
        <v>Landon Butler, 1</v>
      </c>
      <c r="B751" s="8" t="str">
        <f>Roster!$B$1</f>
        <v>Upton</v>
      </c>
      <c r="C751" s="8">
        <f t="shared" ca="1" si="351"/>
        <v>0</v>
      </c>
      <c r="D751" s="10">
        <f t="shared" ca="1" si="352"/>
        <v>0</v>
      </c>
      <c r="E751" s="8">
        <f t="shared" ca="1" si="353"/>
        <v>0</v>
      </c>
      <c r="F751" s="8">
        <f t="shared" ca="1" si="354"/>
        <v>0</v>
      </c>
      <c r="G751" s="8">
        <f t="shared" ca="1" si="355"/>
        <v>0</v>
      </c>
      <c r="H751" s="8">
        <f t="shared" ca="1" si="356"/>
        <v>0</v>
      </c>
      <c r="I751" s="8">
        <f t="shared" ca="1" si="357"/>
        <v>0</v>
      </c>
      <c r="J751" s="8">
        <f t="shared" ca="1" si="358"/>
        <v>0</v>
      </c>
      <c r="K751" s="8">
        <f t="shared" ca="1" si="359"/>
        <v>0</v>
      </c>
      <c r="L751" s="8">
        <f t="shared" ca="1" si="364"/>
        <v>0</v>
      </c>
      <c r="M751" s="8">
        <f t="shared" ca="1" si="365"/>
        <v>0</v>
      </c>
      <c r="N751" s="8">
        <f t="shared" ca="1" si="366"/>
        <v>0</v>
      </c>
      <c r="O751" s="8">
        <f t="shared" ca="1" si="367"/>
        <v>0</v>
      </c>
      <c r="P751" s="8">
        <f t="shared" ca="1" si="368"/>
        <v>0</v>
      </c>
      <c r="Q751" s="8">
        <f t="shared" ca="1" si="369"/>
        <v>0</v>
      </c>
      <c r="R751" s="8">
        <f t="shared" ca="1" si="370"/>
        <v>0</v>
      </c>
      <c r="S751" s="8">
        <f t="shared" ca="1" si="371"/>
        <v>0</v>
      </c>
      <c r="T751" s="8">
        <f t="shared" ca="1" si="372"/>
        <v>0</v>
      </c>
      <c r="U751" s="8">
        <f t="shared" ca="1" si="373"/>
        <v>0</v>
      </c>
      <c r="V751" s="8">
        <f t="shared" ca="1" si="374"/>
        <v>0</v>
      </c>
      <c r="W751" s="11" t="str">
        <f t="shared" ca="1" si="375"/>
        <v/>
      </c>
      <c r="X751" s="11" t="str">
        <f t="shared" ca="1" si="376"/>
        <v/>
      </c>
      <c r="Y751" s="11" t="str">
        <f t="shared" ca="1" si="377"/>
        <v/>
      </c>
      <c r="Z751" s="11" t="str">
        <f t="shared" ca="1" si="378"/>
        <v/>
      </c>
      <c r="AA751" s="11" t="str">
        <f t="shared" ca="1" si="379"/>
        <v/>
      </c>
      <c r="AB751" s="47">
        <f ca="1">PlayerGameData[[#This Row],[3FGA]]+PlayerGameData[[#This Row],[2FGA]]</f>
        <v>0</v>
      </c>
      <c r="AC751" s="47">
        <f ca="1">PlayerGameData[[#This Row],[OFF REB]]+PlayerGameData[[#This Row],[DEF REB]]</f>
        <v>0</v>
      </c>
      <c r="AD751" s="8">
        <f t="shared" si="360"/>
        <v>32</v>
      </c>
      <c r="AE751" s="8" t="str">
        <f t="shared" ca="1" si="361"/>
        <v>Landon Butler, 1 - 0 1/0/1900</v>
      </c>
      <c r="AF751" s="8" t="str">
        <f t="shared" ca="1" si="380"/>
        <v/>
      </c>
      <c r="AG751" s="8" t="str">
        <f ca="1">IFERROR(IF(C751=0,"",IF(AND(VLOOKUP(PlayerGameData[[#This Row],[Opponent]],WYTeamInfo,2,FALSE)=Roster!$D$1,VLOOKUP(PlayerGameData[[#This Row],[Opponent]],WYTeamInfo,3,FALSE)=Roster!$D$2),"SR","")),"")</f>
        <v/>
      </c>
      <c r="AH751" s="8" t="str">
        <f>CONCATENATE(Roster!$D$1," ",Roster!$D$5)</f>
        <v>1A BB</v>
      </c>
      <c r="AI751" s="8" t="str">
        <f t="shared" ca="1" si="362"/>
        <v>Blank</v>
      </c>
      <c r="AJ751" s="8">
        <f ca="1">IFERROR(VLOOKUP(PlayerGameData[[#This Row],[School, Opponent,Game'#]],Table3[],2,FALSE),0)</f>
        <v>0</v>
      </c>
      <c r="AK751" s="8">
        <f ca="1">IF(PlayerGameData[[#This Row],[Visible]]=1,1,1000)</f>
        <v>1000</v>
      </c>
      <c r="AL751" s="8">
        <f ca="1">RANK(PlayerGameData[[#This Row],[TL PTS]],PlayerGameData[TL PTS],0)+PlayerGameData[[#This Row],[VisibleOrder]]</f>
        <v>1184</v>
      </c>
      <c r="AM751" s="8">
        <f ca="1">IF(COUNTIF(PlayerGameData[PointOrder],PlayerGameData[[#This Row],[PointOrder]])&gt;1,RANK(PlayerGameData[[#This Row],[FGA]],PlayerGameData[FGA],0)/100,0)+PlayerGameData[[#This Row],[PointOrder]]</f>
        <v>1186.1400000000001</v>
      </c>
      <c r="AN751" s="8">
        <f ca="1">RANK(PlayerGameData[[#This Row],[PointTieBreak]],PlayerGameData[PointTieBreak],1)</f>
        <v>625</v>
      </c>
      <c r="AO751" s="8">
        <f ca="1">RANK(PlayerGameData[[#This Row],[REB]],PlayerGameData[REB],0)+PlayerGameData[[#This Row],[VisibleOrder]]</f>
        <v>1191</v>
      </c>
      <c r="AP751" s="8">
        <f ca="1">IF(COUNTIF(PlayerGameData[REBOrder],PlayerGameData[[#This Row],[REBOrder]])&gt;1,PlayerGameData[[#This Row],[PointRank]]/100+PlayerGameData[[#This Row],[REBOrder]],PlayerGameData[[#This Row],[REBOrder]])</f>
        <v>1197.25</v>
      </c>
      <c r="AQ751" s="8">
        <f ca="1">RANK(PlayerGameData[[#This Row],[REBTieBreak]],PlayerGameData[REBTieBreak],1)</f>
        <v>625</v>
      </c>
      <c r="AR751" s="8">
        <f ca="1">RANK(PlayerGameData[[#This Row],[AST]],PlayerGameData[AST],0)+PlayerGameData[[#This Row],[VisibleOrder]]</f>
        <v>1157</v>
      </c>
      <c r="AS751" s="8">
        <f ca="1">IF(COUNTIF(PlayerGameData[ASTOrder],PlayerGameData[[#This Row],[ASTOrder]])&gt;1,PlayerGameData[[#This Row],[PointRank]]/100+PlayerGameData[[#This Row],[ASTOrder]],PlayerGameData[[#This Row],[ASTOrder]])</f>
        <v>1163.25</v>
      </c>
      <c r="AT751" s="8">
        <f ca="1">RANK(PlayerGameData[[#This Row],[ASTTieBreak]],PlayerGameData[ASTTieBreak],1)</f>
        <v>625</v>
      </c>
      <c r="AU751" s="8">
        <f ca="1">RANK(PlayerGameData[[#This Row],[STL]],PlayerGameData[STL],0)+PlayerGameData[[#This Row],[VisibleOrder]]</f>
        <v>1142</v>
      </c>
      <c r="AV751" s="8">
        <f ca="1">IF(COUNTIF(PlayerGameData[STLOrder],PlayerGameData[[#This Row],[STLOrder]])&gt;1,PlayerGameData[[#This Row],[PointRank]]/100+PlayerGameData[[#This Row],[STLOrder]],PlayerGameData[[#This Row],[STLOrder]])</f>
        <v>1148.25</v>
      </c>
      <c r="AW751" s="8">
        <f ca="1">RANK(PlayerGameData[[#This Row],[STLTieBreak]],PlayerGameData[STLTieBreak],1)</f>
        <v>625</v>
      </c>
      <c r="AX751" s="8">
        <f ca="1">RANK(PlayerGameData[[#This Row],[BLK]],PlayerGameData[BLK],0)+PlayerGameData[[#This Row],[VisibleOrder]]</f>
        <v>1031</v>
      </c>
      <c r="AY751" s="8">
        <f ca="1">IF(COUNTIF(PlayerGameData[BLKOrder],PlayerGameData[[#This Row],[BLKOrder]])&gt;1,PlayerGameData[[#This Row],[PointRank]]/100+PlayerGameData[[#This Row],[BLKOrder]],PlayerGameData[[#This Row],[BLKOrder]])</f>
        <v>1037.25</v>
      </c>
      <c r="AZ751" s="8">
        <f ca="1">RANK(PlayerGameData[[#This Row],[BLKTieBreak]],PlayerGameData[BLKTieBreak],1)</f>
        <v>625</v>
      </c>
      <c r="BA751" s="11">
        <f ca="1">IFERROR(IF(PlayerGameData[[#This Row],[FGA]]&gt;$AA$5,PlayerGameData[[#This Row],[FG%*]],PlayerGameData[[#This Row],[FG%*]]*-1),-2)</f>
        <v>-2</v>
      </c>
      <c r="BB751" s="8">
        <f ca="1">RANK(PlayerGameData[[#This Row],[EligFG]],PlayerGameData[EligFG],0)+PlayerGameData[[#This Row],[VisibleOrder]]</f>
        <v>1214</v>
      </c>
      <c r="BC751" s="8">
        <f ca="1">IF(COUNTIF(PlayerGameData[EligFGOrder],PlayerGameData[[#This Row],[EligFGOrder]])&gt;1,PlayerGameData[[#This Row],[PointRank]]/100+PlayerGameData[[#This Row],[EligFGOrder]],PlayerGameData[[#This Row],[EligFGOrder]])</f>
        <v>1220.25</v>
      </c>
      <c r="BD751" s="8">
        <f ca="1">RANK(PlayerGameData[[#This Row],[EligFGTieBreak]],PlayerGameData[EligFGTieBreak],1)</f>
        <v>625</v>
      </c>
      <c r="BE751" s="8" t="str">
        <f>Roster!$D$3</f>
        <v>East</v>
      </c>
      <c r="BF751" s="8" t="str">
        <f>Roster!$D$2</f>
        <v>Northeast</v>
      </c>
      <c r="BG751" s="8" t="str">
        <f>Roster!$D$4</f>
        <v>North</v>
      </c>
      <c r="BH751" s="197">
        <f ca="1">IFERROR(VLOOKUP(CONCATENATE(PlayerGameData[[#This Row],[Opponent]]," ",MONTH(PlayerGameData[[#This Row],[Date]]),"/",DAY(PlayerGameData[[#This Row],[Date]]),"/",YEAR(PlayerGameData[[#This Row],[Date]])),Table35[],2,FALSE),0)</f>
        <v>0</v>
      </c>
      <c r="BI751" s="197">
        <f ca="1">IF(PlayerGameData[[#This Row],[Visible]]=1,1,1000)</f>
        <v>1000</v>
      </c>
      <c r="BJ751" s="197" t="e">
        <f ca="1">_xlfn.MAXIFS(TeamGameData[Win],TeamGameData[School, Opponent,Game'#],PlayerGameData[[#This Row],[School, Opponent,Game'#]])</f>
        <v>#NAME?</v>
      </c>
      <c r="BK751" s="197" t="e">
        <f ca="1">_xlfn.MAXIFS(TeamGameData[Loss],TeamGameData[School, Opponent,Game'#],PlayerGameData[[#This Row],[School, Opponent,Game'#]])</f>
        <v>#NAME?</v>
      </c>
    </row>
    <row r="752" spans="1:63" x14ac:dyDescent="0.25">
      <c r="A752" s="8" t="str">
        <f t="shared" ca="1" si="363"/>
        <v>Logan Timberman, 3</v>
      </c>
      <c r="B752" s="8" t="str">
        <f>Roster!$B$1</f>
        <v>Upton</v>
      </c>
      <c r="C752" s="8">
        <f t="shared" ca="1" si="351"/>
        <v>0</v>
      </c>
      <c r="D752" s="10">
        <f t="shared" ca="1" si="352"/>
        <v>0</v>
      </c>
      <c r="E752" s="8">
        <f t="shared" ca="1" si="353"/>
        <v>0</v>
      </c>
      <c r="F752" s="8">
        <f t="shared" ca="1" si="354"/>
        <v>0</v>
      </c>
      <c r="G752" s="8">
        <f t="shared" ca="1" si="355"/>
        <v>0</v>
      </c>
      <c r="H752" s="8">
        <f t="shared" ca="1" si="356"/>
        <v>0</v>
      </c>
      <c r="I752" s="8">
        <f t="shared" ca="1" si="357"/>
        <v>0</v>
      </c>
      <c r="J752" s="8">
        <f t="shared" ca="1" si="358"/>
        <v>0</v>
      </c>
      <c r="K752" s="8">
        <f t="shared" ca="1" si="359"/>
        <v>0</v>
      </c>
      <c r="L752" s="8">
        <f t="shared" ca="1" si="364"/>
        <v>0</v>
      </c>
      <c r="M752" s="8">
        <f t="shared" ca="1" si="365"/>
        <v>0</v>
      </c>
      <c r="N752" s="8">
        <f t="shared" ca="1" si="366"/>
        <v>0</v>
      </c>
      <c r="O752" s="8">
        <f t="shared" ca="1" si="367"/>
        <v>0</v>
      </c>
      <c r="P752" s="8">
        <f t="shared" ca="1" si="368"/>
        <v>0</v>
      </c>
      <c r="Q752" s="8">
        <f t="shared" ca="1" si="369"/>
        <v>0</v>
      </c>
      <c r="R752" s="8">
        <f t="shared" ca="1" si="370"/>
        <v>0</v>
      </c>
      <c r="S752" s="8">
        <f t="shared" ca="1" si="371"/>
        <v>0</v>
      </c>
      <c r="T752" s="8">
        <f t="shared" ca="1" si="372"/>
        <v>0</v>
      </c>
      <c r="U752" s="8">
        <f t="shared" ca="1" si="373"/>
        <v>0</v>
      </c>
      <c r="V752" s="8">
        <f t="shared" ca="1" si="374"/>
        <v>0</v>
      </c>
      <c r="W752" s="11" t="str">
        <f t="shared" ca="1" si="375"/>
        <v/>
      </c>
      <c r="X752" s="11" t="str">
        <f t="shared" ca="1" si="376"/>
        <v/>
      </c>
      <c r="Y752" s="11" t="str">
        <f t="shared" ca="1" si="377"/>
        <v/>
      </c>
      <c r="Z752" s="11" t="str">
        <f t="shared" ca="1" si="378"/>
        <v/>
      </c>
      <c r="AA752" s="11" t="str">
        <f t="shared" ca="1" si="379"/>
        <v/>
      </c>
      <c r="AB752" s="47">
        <f ca="1">PlayerGameData[[#This Row],[3FGA]]+PlayerGameData[[#This Row],[2FGA]]</f>
        <v>0</v>
      </c>
      <c r="AC752" s="47">
        <f ca="1">PlayerGameData[[#This Row],[OFF REB]]+PlayerGameData[[#This Row],[DEF REB]]</f>
        <v>0</v>
      </c>
      <c r="AD752" s="8">
        <f t="shared" si="360"/>
        <v>32</v>
      </c>
      <c r="AE752" s="8" t="str">
        <f t="shared" ca="1" si="361"/>
        <v>Logan Timberman, 3 - 0 1/0/1900</v>
      </c>
      <c r="AF752" s="8" t="str">
        <f t="shared" ca="1" si="380"/>
        <v/>
      </c>
      <c r="AG752" s="8" t="str">
        <f ca="1">IFERROR(IF(C752=0,"",IF(AND(VLOOKUP(PlayerGameData[[#This Row],[Opponent]],WYTeamInfo,2,FALSE)=Roster!$D$1,VLOOKUP(PlayerGameData[[#This Row],[Opponent]],WYTeamInfo,3,FALSE)=Roster!$D$2),"SR","")),"")</f>
        <v/>
      </c>
      <c r="AH752" s="8" t="str">
        <f>CONCATENATE(Roster!$D$1," ",Roster!$D$5)</f>
        <v>1A BB</v>
      </c>
      <c r="AI752" s="8" t="str">
        <f t="shared" ca="1" si="362"/>
        <v>Blank</v>
      </c>
      <c r="AJ752" s="8">
        <f ca="1">IFERROR(VLOOKUP(PlayerGameData[[#This Row],[School, Opponent,Game'#]],Table3[],2,FALSE),0)</f>
        <v>0</v>
      </c>
      <c r="AK752" s="8">
        <f ca="1">IF(PlayerGameData[[#This Row],[Visible]]=1,1,1000)</f>
        <v>1000</v>
      </c>
      <c r="AL752" s="8">
        <f ca="1">RANK(PlayerGameData[[#This Row],[TL PTS]],PlayerGameData[TL PTS],0)+PlayerGameData[[#This Row],[VisibleOrder]]</f>
        <v>1184</v>
      </c>
      <c r="AM752" s="8">
        <f ca="1">IF(COUNTIF(PlayerGameData[PointOrder],PlayerGameData[[#This Row],[PointOrder]])&gt;1,RANK(PlayerGameData[[#This Row],[FGA]],PlayerGameData[FGA],0)/100,0)+PlayerGameData[[#This Row],[PointOrder]]</f>
        <v>1186.1400000000001</v>
      </c>
      <c r="AN752" s="8">
        <f ca="1">RANK(PlayerGameData[[#This Row],[PointTieBreak]],PlayerGameData[PointTieBreak],1)</f>
        <v>625</v>
      </c>
      <c r="AO752" s="8">
        <f ca="1">RANK(PlayerGameData[[#This Row],[REB]],PlayerGameData[REB],0)+PlayerGameData[[#This Row],[VisibleOrder]]</f>
        <v>1191</v>
      </c>
      <c r="AP752" s="8">
        <f ca="1">IF(COUNTIF(PlayerGameData[REBOrder],PlayerGameData[[#This Row],[REBOrder]])&gt;1,PlayerGameData[[#This Row],[PointRank]]/100+PlayerGameData[[#This Row],[REBOrder]],PlayerGameData[[#This Row],[REBOrder]])</f>
        <v>1197.25</v>
      </c>
      <c r="AQ752" s="8">
        <f ca="1">RANK(PlayerGameData[[#This Row],[REBTieBreak]],PlayerGameData[REBTieBreak],1)</f>
        <v>625</v>
      </c>
      <c r="AR752" s="8">
        <f ca="1">RANK(PlayerGameData[[#This Row],[AST]],PlayerGameData[AST],0)+PlayerGameData[[#This Row],[VisibleOrder]]</f>
        <v>1157</v>
      </c>
      <c r="AS752" s="8">
        <f ca="1">IF(COUNTIF(PlayerGameData[ASTOrder],PlayerGameData[[#This Row],[ASTOrder]])&gt;1,PlayerGameData[[#This Row],[PointRank]]/100+PlayerGameData[[#This Row],[ASTOrder]],PlayerGameData[[#This Row],[ASTOrder]])</f>
        <v>1163.25</v>
      </c>
      <c r="AT752" s="8">
        <f ca="1">RANK(PlayerGameData[[#This Row],[ASTTieBreak]],PlayerGameData[ASTTieBreak],1)</f>
        <v>625</v>
      </c>
      <c r="AU752" s="8">
        <f ca="1">RANK(PlayerGameData[[#This Row],[STL]],PlayerGameData[STL],0)+PlayerGameData[[#This Row],[VisibleOrder]]</f>
        <v>1142</v>
      </c>
      <c r="AV752" s="8">
        <f ca="1">IF(COUNTIF(PlayerGameData[STLOrder],PlayerGameData[[#This Row],[STLOrder]])&gt;1,PlayerGameData[[#This Row],[PointRank]]/100+PlayerGameData[[#This Row],[STLOrder]],PlayerGameData[[#This Row],[STLOrder]])</f>
        <v>1148.25</v>
      </c>
      <c r="AW752" s="8">
        <f ca="1">RANK(PlayerGameData[[#This Row],[STLTieBreak]],PlayerGameData[STLTieBreak],1)</f>
        <v>625</v>
      </c>
      <c r="AX752" s="8">
        <f ca="1">RANK(PlayerGameData[[#This Row],[BLK]],PlayerGameData[BLK],0)+PlayerGameData[[#This Row],[VisibleOrder]]</f>
        <v>1031</v>
      </c>
      <c r="AY752" s="8">
        <f ca="1">IF(COUNTIF(PlayerGameData[BLKOrder],PlayerGameData[[#This Row],[BLKOrder]])&gt;1,PlayerGameData[[#This Row],[PointRank]]/100+PlayerGameData[[#This Row],[BLKOrder]],PlayerGameData[[#This Row],[BLKOrder]])</f>
        <v>1037.25</v>
      </c>
      <c r="AZ752" s="8">
        <f ca="1">RANK(PlayerGameData[[#This Row],[BLKTieBreak]],PlayerGameData[BLKTieBreak],1)</f>
        <v>625</v>
      </c>
      <c r="BA752" s="11">
        <f ca="1">IFERROR(IF(PlayerGameData[[#This Row],[FGA]]&gt;$AA$5,PlayerGameData[[#This Row],[FG%*]],PlayerGameData[[#This Row],[FG%*]]*-1),-2)</f>
        <v>-2</v>
      </c>
      <c r="BB752" s="8">
        <f ca="1">RANK(PlayerGameData[[#This Row],[EligFG]],PlayerGameData[EligFG],0)+PlayerGameData[[#This Row],[VisibleOrder]]</f>
        <v>1214</v>
      </c>
      <c r="BC752" s="8">
        <f ca="1">IF(COUNTIF(PlayerGameData[EligFGOrder],PlayerGameData[[#This Row],[EligFGOrder]])&gt;1,PlayerGameData[[#This Row],[PointRank]]/100+PlayerGameData[[#This Row],[EligFGOrder]],PlayerGameData[[#This Row],[EligFGOrder]])</f>
        <v>1220.25</v>
      </c>
      <c r="BD752" s="8">
        <f ca="1">RANK(PlayerGameData[[#This Row],[EligFGTieBreak]],PlayerGameData[EligFGTieBreak],1)</f>
        <v>625</v>
      </c>
      <c r="BE752" s="8" t="str">
        <f>Roster!$D$3</f>
        <v>East</v>
      </c>
      <c r="BF752" s="8" t="str">
        <f>Roster!$D$2</f>
        <v>Northeast</v>
      </c>
      <c r="BG752" s="8" t="str">
        <f>Roster!$D$4</f>
        <v>North</v>
      </c>
      <c r="BH752" s="197">
        <f ca="1">IFERROR(VLOOKUP(CONCATENATE(PlayerGameData[[#This Row],[Opponent]]," ",MONTH(PlayerGameData[[#This Row],[Date]]),"/",DAY(PlayerGameData[[#This Row],[Date]]),"/",YEAR(PlayerGameData[[#This Row],[Date]])),Table35[],2,FALSE),0)</f>
        <v>0</v>
      </c>
      <c r="BI752" s="197">
        <f ca="1">IF(PlayerGameData[[#This Row],[Visible]]=1,1,1000)</f>
        <v>1000</v>
      </c>
      <c r="BJ752" s="197" t="e">
        <f ca="1">_xlfn.MAXIFS(TeamGameData[Win],TeamGameData[School, Opponent,Game'#],PlayerGameData[[#This Row],[School, Opponent,Game'#]])</f>
        <v>#NAME?</v>
      </c>
      <c r="BK752" s="197" t="e">
        <f ca="1">_xlfn.MAXIFS(TeamGameData[Loss],TeamGameData[School, Opponent,Game'#],PlayerGameData[[#This Row],[School, Opponent,Game'#]])</f>
        <v>#NAME?</v>
      </c>
    </row>
    <row r="753" spans="1:63" x14ac:dyDescent="0.25">
      <c r="A753" s="8" t="str">
        <f t="shared" ca="1" si="363"/>
        <v>Chase Mills, 5</v>
      </c>
      <c r="B753" s="8" t="str">
        <f>Roster!$B$1</f>
        <v>Upton</v>
      </c>
      <c r="C753" s="8">
        <f t="shared" ca="1" si="351"/>
        <v>0</v>
      </c>
      <c r="D753" s="10">
        <f t="shared" ca="1" si="352"/>
        <v>0</v>
      </c>
      <c r="E753" s="8">
        <f t="shared" ca="1" si="353"/>
        <v>0</v>
      </c>
      <c r="F753" s="8">
        <f t="shared" ca="1" si="354"/>
        <v>0</v>
      </c>
      <c r="G753" s="8">
        <f t="shared" ca="1" si="355"/>
        <v>0</v>
      </c>
      <c r="H753" s="8">
        <f t="shared" ca="1" si="356"/>
        <v>0</v>
      </c>
      <c r="I753" s="8">
        <f t="shared" ca="1" si="357"/>
        <v>0</v>
      </c>
      <c r="J753" s="8">
        <f t="shared" ca="1" si="358"/>
        <v>0</v>
      </c>
      <c r="K753" s="8">
        <f t="shared" ca="1" si="359"/>
        <v>0</v>
      </c>
      <c r="L753" s="8">
        <f t="shared" ca="1" si="364"/>
        <v>0</v>
      </c>
      <c r="M753" s="8">
        <f t="shared" ca="1" si="365"/>
        <v>0</v>
      </c>
      <c r="N753" s="8">
        <f t="shared" ca="1" si="366"/>
        <v>0</v>
      </c>
      <c r="O753" s="8">
        <f t="shared" ca="1" si="367"/>
        <v>0</v>
      </c>
      <c r="P753" s="8">
        <f t="shared" ca="1" si="368"/>
        <v>0</v>
      </c>
      <c r="Q753" s="8">
        <f t="shared" ca="1" si="369"/>
        <v>0</v>
      </c>
      <c r="R753" s="8">
        <f t="shared" ca="1" si="370"/>
        <v>0</v>
      </c>
      <c r="S753" s="8">
        <f t="shared" ca="1" si="371"/>
        <v>0</v>
      </c>
      <c r="T753" s="8">
        <f t="shared" ca="1" si="372"/>
        <v>0</v>
      </c>
      <c r="U753" s="8">
        <f t="shared" ca="1" si="373"/>
        <v>0</v>
      </c>
      <c r="V753" s="8">
        <f t="shared" ca="1" si="374"/>
        <v>0</v>
      </c>
      <c r="W753" s="11" t="str">
        <f t="shared" ca="1" si="375"/>
        <v/>
      </c>
      <c r="X753" s="11" t="str">
        <f t="shared" ca="1" si="376"/>
        <v/>
      </c>
      <c r="Y753" s="11" t="str">
        <f t="shared" ca="1" si="377"/>
        <v/>
      </c>
      <c r="Z753" s="11" t="str">
        <f t="shared" ca="1" si="378"/>
        <v/>
      </c>
      <c r="AA753" s="11" t="str">
        <f t="shared" ca="1" si="379"/>
        <v/>
      </c>
      <c r="AB753" s="47">
        <f ca="1">PlayerGameData[[#This Row],[3FGA]]+PlayerGameData[[#This Row],[2FGA]]</f>
        <v>0</v>
      </c>
      <c r="AC753" s="47">
        <f ca="1">PlayerGameData[[#This Row],[OFF REB]]+PlayerGameData[[#This Row],[DEF REB]]</f>
        <v>0</v>
      </c>
      <c r="AD753" s="8">
        <f t="shared" si="360"/>
        <v>32</v>
      </c>
      <c r="AE753" s="8" t="str">
        <f t="shared" ca="1" si="361"/>
        <v>Chase Mills, 5 - 0 1/0/1900</v>
      </c>
      <c r="AF753" s="8" t="str">
        <f t="shared" ca="1" si="380"/>
        <v/>
      </c>
      <c r="AG753" s="8" t="str">
        <f ca="1">IFERROR(IF(C753=0,"",IF(AND(VLOOKUP(PlayerGameData[[#This Row],[Opponent]],WYTeamInfo,2,FALSE)=Roster!$D$1,VLOOKUP(PlayerGameData[[#This Row],[Opponent]],WYTeamInfo,3,FALSE)=Roster!$D$2),"SR","")),"")</f>
        <v/>
      </c>
      <c r="AH753" s="8" t="str">
        <f>CONCATENATE(Roster!$D$1," ",Roster!$D$5)</f>
        <v>1A BB</v>
      </c>
      <c r="AI753" s="8" t="str">
        <f t="shared" ca="1" si="362"/>
        <v>Blank</v>
      </c>
      <c r="AJ753" s="8">
        <f ca="1">IFERROR(VLOOKUP(PlayerGameData[[#This Row],[School, Opponent,Game'#]],Table3[],2,FALSE),0)</f>
        <v>0</v>
      </c>
      <c r="AK753" s="8">
        <f ca="1">IF(PlayerGameData[[#This Row],[Visible]]=1,1,1000)</f>
        <v>1000</v>
      </c>
      <c r="AL753" s="8">
        <f ca="1">RANK(PlayerGameData[[#This Row],[TL PTS]],PlayerGameData[TL PTS],0)+PlayerGameData[[#This Row],[VisibleOrder]]</f>
        <v>1184</v>
      </c>
      <c r="AM753" s="8">
        <f ca="1">IF(COUNTIF(PlayerGameData[PointOrder],PlayerGameData[[#This Row],[PointOrder]])&gt;1,RANK(PlayerGameData[[#This Row],[FGA]],PlayerGameData[FGA],0)/100,0)+PlayerGameData[[#This Row],[PointOrder]]</f>
        <v>1186.1400000000001</v>
      </c>
      <c r="AN753" s="8">
        <f ca="1">RANK(PlayerGameData[[#This Row],[PointTieBreak]],PlayerGameData[PointTieBreak],1)</f>
        <v>625</v>
      </c>
      <c r="AO753" s="8">
        <f ca="1">RANK(PlayerGameData[[#This Row],[REB]],PlayerGameData[REB],0)+PlayerGameData[[#This Row],[VisibleOrder]]</f>
        <v>1191</v>
      </c>
      <c r="AP753" s="8">
        <f ca="1">IF(COUNTIF(PlayerGameData[REBOrder],PlayerGameData[[#This Row],[REBOrder]])&gt;1,PlayerGameData[[#This Row],[PointRank]]/100+PlayerGameData[[#This Row],[REBOrder]],PlayerGameData[[#This Row],[REBOrder]])</f>
        <v>1197.25</v>
      </c>
      <c r="AQ753" s="8">
        <f ca="1">RANK(PlayerGameData[[#This Row],[REBTieBreak]],PlayerGameData[REBTieBreak],1)</f>
        <v>625</v>
      </c>
      <c r="AR753" s="8">
        <f ca="1">RANK(PlayerGameData[[#This Row],[AST]],PlayerGameData[AST],0)+PlayerGameData[[#This Row],[VisibleOrder]]</f>
        <v>1157</v>
      </c>
      <c r="AS753" s="8">
        <f ca="1">IF(COUNTIF(PlayerGameData[ASTOrder],PlayerGameData[[#This Row],[ASTOrder]])&gt;1,PlayerGameData[[#This Row],[PointRank]]/100+PlayerGameData[[#This Row],[ASTOrder]],PlayerGameData[[#This Row],[ASTOrder]])</f>
        <v>1163.25</v>
      </c>
      <c r="AT753" s="8">
        <f ca="1">RANK(PlayerGameData[[#This Row],[ASTTieBreak]],PlayerGameData[ASTTieBreak],1)</f>
        <v>625</v>
      </c>
      <c r="AU753" s="8">
        <f ca="1">RANK(PlayerGameData[[#This Row],[STL]],PlayerGameData[STL],0)+PlayerGameData[[#This Row],[VisibleOrder]]</f>
        <v>1142</v>
      </c>
      <c r="AV753" s="8">
        <f ca="1">IF(COUNTIF(PlayerGameData[STLOrder],PlayerGameData[[#This Row],[STLOrder]])&gt;1,PlayerGameData[[#This Row],[PointRank]]/100+PlayerGameData[[#This Row],[STLOrder]],PlayerGameData[[#This Row],[STLOrder]])</f>
        <v>1148.25</v>
      </c>
      <c r="AW753" s="8">
        <f ca="1">RANK(PlayerGameData[[#This Row],[STLTieBreak]],PlayerGameData[STLTieBreak],1)</f>
        <v>625</v>
      </c>
      <c r="AX753" s="8">
        <f ca="1">RANK(PlayerGameData[[#This Row],[BLK]],PlayerGameData[BLK],0)+PlayerGameData[[#This Row],[VisibleOrder]]</f>
        <v>1031</v>
      </c>
      <c r="AY753" s="8">
        <f ca="1">IF(COUNTIF(PlayerGameData[BLKOrder],PlayerGameData[[#This Row],[BLKOrder]])&gt;1,PlayerGameData[[#This Row],[PointRank]]/100+PlayerGameData[[#This Row],[BLKOrder]],PlayerGameData[[#This Row],[BLKOrder]])</f>
        <v>1037.25</v>
      </c>
      <c r="AZ753" s="8">
        <f ca="1">RANK(PlayerGameData[[#This Row],[BLKTieBreak]],PlayerGameData[BLKTieBreak],1)</f>
        <v>625</v>
      </c>
      <c r="BA753" s="11">
        <f ca="1">IFERROR(IF(PlayerGameData[[#This Row],[FGA]]&gt;$AA$5,PlayerGameData[[#This Row],[FG%*]],PlayerGameData[[#This Row],[FG%*]]*-1),-2)</f>
        <v>-2</v>
      </c>
      <c r="BB753" s="8">
        <f ca="1">RANK(PlayerGameData[[#This Row],[EligFG]],PlayerGameData[EligFG],0)+PlayerGameData[[#This Row],[VisibleOrder]]</f>
        <v>1214</v>
      </c>
      <c r="BC753" s="8">
        <f ca="1">IF(COUNTIF(PlayerGameData[EligFGOrder],PlayerGameData[[#This Row],[EligFGOrder]])&gt;1,PlayerGameData[[#This Row],[PointRank]]/100+PlayerGameData[[#This Row],[EligFGOrder]],PlayerGameData[[#This Row],[EligFGOrder]])</f>
        <v>1220.25</v>
      </c>
      <c r="BD753" s="8">
        <f ca="1">RANK(PlayerGameData[[#This Row],[EligFGTieBreak]],PlayerGameData[EligFGTieBreak],1)</f>
        <v>625</v>
      </c>
      <c r="BE753" s="8" t="str">
        <f>Roster!$D$3</f>
        <v>East</v>
      </c>
      <c r="BF753" s="8" t="str">
        <f>Roster!$D$2</f>
        <v>Northeast</v>
      </c>
      <c r="BG753" s="8" t="str">
        <f>Roster!$D$4</f>
        <v>North</v>
      </c>
      <c r="BH753" s="197">
        <f ca="1">IFERROR(VLOOKUP(CONCATENATE(PlayerGameData[[#This Row],[Opponent]]," ",MONTH(PlayerGameData[[#This Row],[Date]]),"/",DAY(PlayerGameData[[#This Row],[Date]]),"/",YEAR(PlayerGameData[[#This Row],[Date]])),Table35[],2,FALSE),0)</f>
        <v>0</v>
      </c>
      <c r="BI753" s="197">
        <f ca="1">IF(PlayerGameData[[#This Row],[Visible]]=1,1,1000)</f>
        <v>1000</v>
      </c>
      <c r="BJ753" s="197" t="e">
        <f ca="1">_xlfn.MAXIFS(TeamGameData[Win],TeamGameData[School, Opponent,Game'#],PlayerGameData[[#This Row],[School, Opponent,Game'#]])</f>
        <v>#NAME?</v>
      </c>
      <c r="BK753" s="197" t="e">
        <f ca="1">_xlfn.MAXIFS(TeamGameData[Loss],TeamGameData[School, Opponent,Game'#],PlayerGameData[[#This Row],[School, Opponent,Game'#]])</f>
        <v>#NAME?</v>
      </c>
    </row>
    <row r="754" spans="1:63" x14ac:dyDescent="0.25">
      <c r="A754" s="8" t="str">
        <f t="shared" ca="1" si="363"/>
        <v>Rhett Watt, 10</v>
      </c>
      <c r="B754" s="8" t="str">
        <f>Roster!$B$1</f>
        <v>Upton</v>
      </c>
      <c r="C754" s="8">
        <f t="shared" ca="1" si="351"/>
        <v>0</v>
      </c>
      <c r="D754" s="10">
        <f t="shared" ca="1" si="352"/>
        <v>0</v>
      </c>
      <c r="E754" s="8">
        <f t="shared" ca="1" si="353"/>
        <v>0</v>
      </c>
      <c r="F754" s="8">
        <f t="shared" ca="1" si="354"/>
        <v>0</v>
      </c>
      <c r="G754" s="8">
        <f t="shared" ca="1" si="355"/>
        <v>0</v>
      </c>
      <c r="H754" s="8">
        <f t="shared" ca="1" si="356"/>
        <v>0</v>
      </c>
      <c r="I754" s="8">
        <f t="shared" ca="1" si="357"/>
        <v>0</v>
      </c>
      <c r="J754" s="8">
        <f t="shared" ca="1" si="358"/>
        <v>0</v>
      </c>
      <c r="K754" s="8">
        <f t="shared" ca="1" si="359"/>
        <v>0</v>
      </c>
      <c r="L754" s="8">
        <f t="shared" ca="1" si="364"/>
        <v>0</v>
      </c>
      <c r="M754" s="8">
        <f t="shared" ca="1" si="365"/>
        <v>0</v>
      </c>
      <c r="N754" s="8">
        <f t="shared" ca="1" si="366"/>
        <v>0</v>
      </c>
      <c r="O754" s="8">
        <f t="shared" ca="1" si="367"/>
        <v>0</v>
      </c>
      <c r="P754" s="8">
        <f t="shared" ca="1" si="368"/>
        <v>0</v>
      </c>
      <c r="Q754" s="8">
        <f t="shared" ca="1" si="369"/>
        <v>0</v>
      </c>
      <c r="R754" s="8">
        <f t="shared" ca="1" si="370"/>
        <v>0</v>
      </c>
      <c r="S754" s="8">
        <f t="shared" ca="1" si="371"/>
        <v>0</v>
      </c>
      <c r="T754" s="8">
        <f t="shared" ca="1" si="372"/>
        <v>0</v>
      </c>
      <c r="U754" s="8">
        <f t="shared" ca="1" si="373"/>
        <v>0</v>
      </c>
      <c r="V754" s="8">
        <f t="shared" ca="1" si="374"/>
        <v>0</v>
      </c>
      <c r="W754" s="11" t="str">
        <f t="shared" ca="1" si="375"/>
        <v/>
      </c>
      <c r="X754" s="11" t="str">
        <f t="shared" ca="1" si="376"/>
        <v/>
      </c>
      <c r="Y754" s="11" t="str">
        <f t="shared" ca="1" si="377"/>
        <v/>
      </c>
      <c r="Z754" s="11" t="str">
        <f t="shared" ca="1" si="378"/>
        <v/>
      </c>
      <c r="AA754" s="11" t="str">
        <f t="shared" ca="1" si="379"/>
        <v/>
      </c>
      <c r="AB754" s="47">
        <f ca="1">PlayerGameData[[#This Row],[3FGA]]+PlayerGameData[[#This Row],[2FGA]]</f>
        <v>0</v>
      </c>
      <c r="AC754" s="47">
        <f ca="1">PlayerGameData[[#This Row],[OFF REB]]+PlayerGameData[[#This Row],[DEF REB]]</f>
        <v>0</v>
      </c>
      <c r="AD754" s="8">
        <f t="shared" si="360"/>
        <v>32</v>
      </c>
      <c r="AE754" s="8" t="str">
        <f t="shared" ca="1" si="361"/>
        <v>Rhett Watt, 10 - 0 1/0/1900</v>
      </c>
      <c r="AF754" s="8" t="str">
        <f t="shared" ca="1" si="380"/>
        <v/>
      </c>
      <c r="AG754" s="8" t="str">
        <f ca="1">IFERROR(IF(C754=0,"",IF(AND(VLOOKUP(PlayerGameData[[#This Row],[Opponent]],WYTeamInfo,2,FALSE)=Roster!$D$1,VLOOKUP(PlayerGameData[[#This Row],[Opponent]],WYTeamInfo,3,FALSE)=Roster!$D$2),"SR","")),"")</f>
        <v/>
      </c>
      <c r="AH754" s="8" t="str">
        <f>CONCATENATE(Roster!$D$1," ",Roster!$D$5)</f>
        <v>1A BB</v>
      </c>
      <c r="AI754" s="8" t="str">
        <f t="shared" ca="1" si="362"/>
        <v>Blank</v>
      </c>
      <c r="AJ754" s="8">
        <f ca="1">IFERROR(VLOOKUP(PlayerGameData[[#This Row],[School, Opponent,Game'#]],Table3[],2,FALSE),0)</f>
        <v>0</v>
      </c>
      <c r="AK754" s="8">
        <f ca="1">IF(PlayerGameData[[#This Row],[Visible]]=1,1,1000)</f>
        <v>1000</v>
      </c>
      <c r="AL754" s="8">
        <f ca="1">RANK(PlayerGameData[[#This Row],[TL PTS]],PlayerGameData[TL PTS],0)+PlayerGameData[[#This Row],[VisibleOrder]]</f>
        <v>1184</v>
      </c>
      <c r="AM754" s="8">
        <f ca="1">IF(COUNTIF(PlayerGameData[PointOrder],PlayerGameData[[#This Row],[PointOrder]])&gt;1,RANK(PlayerGameData[[#This Row],[FGA]],PlayerGameData[FGA],0)/100,0)+PlayerGameData[[#This Row],[PointOrder]]</f>
        <v>1186.1400000000001</v>
      </c>
      <c r="AN754" s="8">
        <f ca="1">RANK(PlayerGameData[[#This Row],[PointTieBreak]],PlayerGameData[PointTieBreak],1)</f>
        <v>625</v>
      </c>
      <c r="AO754" s="8">
        <f ca="1">RANK(PlayerGameData[[#This Row],[REB]],PlayerGameData[REB],0)+PlayerGameData[[#This Row],[VisibleOrder]]</f>
        <v>1191</v>
      </c>
      <c r="AP754" s="8">
        <f ca="1">IF(COUNTIF(PlayerGameData[REBOrder],PlayerGameData[[#This Row],[REBOrder]])&gt;1,PlayerGameData[[#This Row],[PointRank]]/100+PlayerGameData[[#This Row],[REBOrder]],PlayerGameData[[#This Row],[REBOrder]])</f>
        <v>1197.25</v>
      </c>
      <c r="AQ754" s="8">
        <f ca="1">RANK(PlayerGameData[[#This Row],[REBTieBreak]],PlayerGameData[REBTieBreak],1)</f>
        <v>625</v>
      </c>
      <c r="AR754" s="8">
        <f ca="1">RANK(PlayerGameData[[#This Row],[AST]],PlayerGameData[AST],0)+PlayerGameData[[#This Row],[VisibleOrder]]</f>
        <v>1157</v>
      </c>
      <c r="AS754" s="8">
        <f ca="1">IF(COUNTIF(PlayerGameData[ASTOrder],PlayerGameData[[#This Row],[ASTOrder]])&gt;1,PlayerGameData[[#This Row],[PointRank]]/100+PlayerGameData[[#This Row],[ASTOrder]],PlayerGameData[[#This Row],[ASTOrder]])</f>
        <v>1163.25</v>
      </c>
      <c r="AT754" s="8">
        <f ca="1">RANK(PlayerGameData[[#This Row],[ASTTieBreak]],PlayerGameData[ASTTieBreak],1)</f>
        <v>625</v>
      </c>
      <c r="AU754" s="8">
        <f ca="1">RANK(PlayerGameData[[#This Row],[STL]],PlayerGameData[STL],0)+PlayerGameData[[#This Row],[VisibleOrder]]</f>
        <v>1142</v>
      </c>
      <c r="AV754" s="8">
        <f ca="1">IF(COUNTIF(PlayerGameData[STLOrder],PlayerGameData[[#This Row],[STLOrder]])&gt;1,PlayerGameData[[#This Row],[PointRank]]/100+PlayerGameData[[#This Row],[STLOrder]],PlayerGameData[[#This Row],[STLOrder]])</f>
        <v>1148.25</v>
      </c>
      <c r="AW754" s="8">
        <f ca="1">RANK(PlayerGameData[[#This Row],[STLTieBreak]],PlayerGameData[STLTieBreak],1)</f>
        <v>625</v>
      </c>
      <c r="AX754" s="8">
        <f ca="1">RANK(PlayerGameData[[#This Row],[BLK]],PlayerGameData[BLK],0)+PlayerGameData[[#This Row],[VisibleOrder]]</f>
        <v>1031</v>
      </c>
      <c r="AY754" s="8">
        <f ca="1">IF(COUNTIF(PlayerGameData[BLKOrder],PlayerGameData[[#This Row],[BLKOrder]])&gt;1,PlayerGameData[[#This Row],[PointRank]]/100+PlayerGameData[[#This Row],[BLKOrder]],PlayerGameData[[#This Row],[BLKOrder]])</f>
        <v>1037.25</v>
      </c>
      <c r="AZ754" s="8">
        <f ca="1">RANK(PlayerGameData[[#This Row],[BLKTieBreak]],PlayerGameData[BLKTieBreak],1)</f>
        <v>625</v>
      </c>
      <c r="BA754" s="11">
        <f ca="1">IFERROR(IF(PlayerGameData[[#This Row],[FGA]]&gt;$AA$5,PlayerGameData[[#This Row],[FG%*]],PlayerGameData[[#This Row],[FG%*]]*-1),-2)</f>
        <v>-2</v>
      </c>
      <c r="BB754" s="8">
        <f ca="1">RANK(PlayerGameData[[#This Row],[EligFG]],PlayerGameData[EligFG],0)+PlayerGameData[[#This Row],[VisibleOrder]]</f>
        <v>1214</v>
      </c>
      <c r="BC754" s="8">
        <f ca="1">IF(COUNTIF(PlayerGameData[EligFGOrder],PlayerGameData[[#This Row],[EligFGOrder]])&gt;1,PlayerGameData[[#This Row],[PointRank]]/100+PlayerGameData[[#This Row],[EligFGOrder]],PlayerGameData[[#This Row],[EligFGOrder]])</f>
        <v>1220.25</v>
      </c>
      <c r="BD754" s="8">
        <f ca="1">RANK(PlayerGameData[[#This Row],[EligFGTieBreak]],PlayerGameData[EligFGTieBreak],1)</f>
        <v>625</v>
      </c>
      <c r="BE754" s="8" t="str">
        <f>Roster!$D$3</f>
        <v>East</v>
      </c>
      <c r="BF754" s="8" t="str">
        <f>Roster!$D$2</f>
        <v>Northeast</v>
      </c>
      <c r="BG754" s="8" t="str">
        <f>Roster!$D$4</f>
        <v>North</v>
      </c>
      <c r="BH754" s="197">
        <f ca="1">IFERROR(VLOOKUP(CONCATENATE(PlayerGameData[[#This Row],[Opponent]]," ",MONTH(PlayerGameData[[#This Row],[Date]]),"/",DAY(PlayerGameData[[#This Row],[Date]]),"/",YEAR(PlayerGameData[[#This Row],[Date]])),Table35[],2,FALSE),0)</f>
        <v>0</v>
      </c>
      <c r="BI754" s="197">
        <f ca="1">IF(PlayerGameData[[#This Row],[Visible]]=1,1,1000)</f>
        <v>1000</v>
      </c>
      <c r="BJ754" s="197" t="e">
        <f ca="1">_xlfn.MAXIFS(TeamGameData[Win],TeamGameData[School, Opponent,Game'#],PlayerGameData[[#This Row],[School, Opponent,Game'#]])</f>
        <v>#NAME?</v>
      </c>
      <c r="BK754" s="197" t="e">
        <f ca="1">_xlfn.MAXIFS(TeamGameData[Loss],TeamGameData[School, Opponent,Game'#],PlayerGameData[[#This Row],[School, Opponent,Game'#]])</f>
        <v>#NAME?</v>
      </c>
    </row>
    <row r="755" spans="1:63" x14ac:dyDescent="0.25">
      <c r="A755" s="8" t="str">
        <f t="shared" ca="1" si="363"/>
        <v>Keith Coburn, 11</v>
      </c>
      <c r="B755" s="8" t="str">
        <f>Roster!$B$1</f>
        <v>Upton</v>
      </c>
      <c r="C755" s="8">
        <f t="shared" ca="1" si="351"/>
        <v>0</v>
      </c>
      <c r="D755" s="10">
        <f t="shared" ca="1" si="352"/>
        <v>0</v>
      </c>
      <c r="E755" s="8">
        <f t="shared" ca="1" si="353"/>
        <v>0</v>
      </c>
      <c r="F755" s="8">
        <f t="shared" ca="1" si="354"/>
        <v>0</v>
      </c>
      <c r="G755" s="8">
        <f t="shared" ca="1" si="355"/>
        <v>0</v>
      </c>
      <c r="H755" s="8">
        <f t="shared" ca="1" si="356"/>
        <v>0</v>
      </c>
      <c r="I755" s="8">
        <f t="shared" ca="1" si="357"/>
        <v>0</v>
      </c>
      <c r="J755" s="8">
        <f t="shared" ca="1" si="358"/>
        <v>0</v>
      </c>
      <c r="K755" s="8">
        <f t="shared" ca="1" si="359"/>
        <v>0</v>
      </c>
      <c r="L755" s="8">
        <f t="shared" ca="1" si="364"/>
        <v>0</v>
      </c>
      <c r="M755" s="8">
        <f t="shared" ca="1" si="365"/>
        <v>0</v>
      </c>
      <c r="N755" s="8">
        <f t="shared" ca="1" si="366"/>
        <v>0</v>
      </c>
      <c r="O755" s="8">
        <f t="shared" ca="1" si="367"/>
        <v>0</v>
      </c>
      <c r="P755" s="8">
        <f t="shared" ca="1" si="368"/>
        <v>0</v>
      </c>
      <c r="Q755" s="8">
        <f t="shared" ca="1" si="369"/>
        <v>0</v>
      </c>
      <c r="R755" s="8">
        <f t="shared" ca="1" si="370"/>
        <v>0</v>
      </c>
      <c r="S755" s="8">
        <f t="shared" ca="1" si="371"/>
        <v>0</v>
      </c>
      <c r="T755" s="8">
        <f t="shared" ca="1" si="372"/>
        <v>0</v>
      </c>
      <c r="U755" s="8">
        <f t="shared" ca="1" si="373"/>
        <v>0</v>
      </c>
      <c r="V755" s="8">
        <f t="shared" ca="1" si="374"/>
        <v>0</v>
      </c>
      <c r="W755" s="11" t="str">
        <f t="shared" ca="1" si="375"/>
        <v/>
      </c>
      <c r="X755" s="11" t="str">
        <f t="shared" ca="1" si="376"/>
        <v/>
      </c>
      <c r="Y755" s="11" t="str">
        <f t="shared" ca="1" si="377"/>
        <v/>
      </c>
      <c r="Z755" s="11" t="str">
        <f t="shared" ca="1" si="378"/>
        <v/>
      </c>
      <c r="AA755" s="11" t="str">
        <f t="shared" ca="1" si="379"/>
        <v/>
      </c>
      <c r="AB755" s="47">
        <f ca="1">PlayerGameData[[#This Row],[3FGA]]+PlayerGameData[[#This Row],[2FGA]]</f>
        <v>0</v>
      </c>
      <c r="AC755" s="47">
        <f ca="1">PlayerGameData[[#This Row],[OFF REB]]+PlayerGameData[[#This Row],[DEF REB]]</f>
        <v>0</v>
      </c>
      <c r="AD755" s="8">
        <f t="shared" si="360"/>
        <v>32</v>
      </c>
      <c r="AE755" s="8" t="str">
        <f t="shared" ca="1" si="361"/>
        <v>Keith Coburn, 11 - 0 1/0/1900</v>
      </c>
      <c r="AF755" s="8" t="str">
        <f t="shared" ca="1" si="380"/>
        <v/>
      </c>
      <c r="AG755" s="8" t="str">
        <f ca="1">IFERROR(IF(C755=0,"",IF(AND(VLOOKUP(PlayerGameData[[#This Row],[Opponent]],WYTeamInfo,2,FALSE)=Roster!$D$1,VLOOKUP(PlayerGameData[[#This Row],[Opponent]],WYTeamInfo,3,FALSE)=Roster!$D$2),"SR","")),"")</f>
        <v/>
      </c>
      <c r="AH755" s="8" t="str">
        <f>CONCATENATE(Roster!$D$1," ",Roster!$D$5)</f>
        <v>1A BB</v>
      </c>
      <c r="AI755" s="8" t="str">
        <f t="shared" ca="1" si="362"/>
        <v>Blank</v>
      </c>
      <c r="AJ755" s="8">
        <f ca="1">IFERROR(VLOOKUP(PlayerGameData[[#This Row],[School, Opponent,Game'#]],Table3[],2,FALSE),0)</f>
        <v>0</v>
      </c>
      <c r="AK755" s="8">
        <f ca="1">IF(PlayerGameData[[#This Row],[Visible]]=1,1,1000)</f>
        <v>1000</v>
      </c>
      <c r="AL755" s="8">
        <f ca="1">RANK(PlayerGameData[[#This Row],[TL PTS]],PlayerGameData[TL PTS],0)+PlayerGameData[[#This Row],[VisibleOrder]]</f>
        <v>1184</v>
      </c>
      <c r="AM755" s="8">
        <f ca="1">IF(COUNTIF(PlayerGameData[PointOrder],PlayerGameData[[#This Row],[PointOrder]])&gt;1,RANK(PlayerGameData[[#This Row],[FGA]],PlayerGameData[FGA],0)/100,0)+PlayerGameData[[#This Row],[PointOrder]]</f>
        <v>1186.1400000000001</v>
      </c>
      <c r="AN755" s="8">
        <f ca="1">RANK(PlayerGameData[[#This Row],[PointTieBreak]],PlayerGameData[PointTieBreak],1)</f>
        <v>625</v>
      </c>
      <c r="AO755" s="8">
        <f ca="1">RANK(PlayerGameData[[#This Row],[REB]],PlayerGameData[REB],0)+PlayerGameData[[#This Row],[VisibleOrder]]</f>
        <v>1191</v>
      </c>
      <c r="AP755" s="8">
        <f ca="1">IF(COUNTIF(PlayerGameData[REBOrder],PlayerGameData[[#This Row],[REBOrder]])&gt;1,PlayerGameData[[#This Row],[PointRank]]/100+PlayerGameData[[#This Row],[REBOrder]],PlayerGameData[[#This Row],[REBOrder]])</f>
        <v>1197.25</v>
      </c>
      <c r="AQ755" s="8">
        <f ca="1">RANK(PlayerGameData[[#This Row],[REBTieBreak]],PlayerGameData[REBTieBreak],1)</f>
        <v>625</v>
      </c>
      <c r="AR755" s="8">
        <f ca="1">RANK(PlayerGameData[[#This Row],[AST]],PlayerGameData[AST],0)+PlayerGameData[[#This Row],[VisibleOrder]]</f>
        <v>1157</v>
      </c>
      <c r="AS755" s="8">
        <f ca="1">IF(COUNTIF(PlayerGameData[ASTOrder],PlayerGameData[[#This Row],[ASTOrder]])&gt;1,PlayerGameData[[#This Row],[PointRank]]/100+PlayerGameData[[#This Row],[ASTOrder]],PlayerGameData[[#This Row],[ASTOrder]])</f>
        <v>1163.25</v>
      </c>
      <c r="AT755" s="8">
        <f ca="1">RANK(PlayerGameData[[#This Row],[ASTTieBreak]],PlayerGameData[ASTTieBreak],1)</f>
        <v>625</v>
      </c>
      <c r="AU755" s="8">
        <f ca="1">RANK(PlayerGameData[[#This Row],[STL]],PlayerGameData[STL],0)+PlayerGameData[[#This Row],[VisibleOrder]]</f>
        <v>1142</v>
      </c>
      <c r="AV755" s="8">
        <f ca="1">IF(COUNTIF(PlayerGameData[STLOrder],PlayerGameData[[#This Row],[STLOrder]])&gt;1,PlayerGameData[[#This Row],[PointRank]]/100+PlayerGameData[[#This Row],[STLOrder]],PlayerGameData[[#This Row],[STLOrder]])</f>
        <v>1148.25</v>
      </c>
      <c r="AW755" s="8">
        <f ca="1">RANK(PlayerGameData[[#This Row],[STLTieBreak]],PlayerGameData[STLTieBreak],1)</f>
        <v>625</v>
      </c>
      <c r="AX755" s="8">
        <f ca="1">RANK(PlayerGameData[[#This Row],[BLK]],PlayerGameData[BLK],0)+PlayerGameData[[#This Row],[VisibleOrder]]</f>
        <v>1031</v>
      </c>
      <c r="AY755" s="8">
        <f ca="1">IF(COUNTIF(PlayerGameData[BLKOrder],PlayerGameData[[#This Row],[BLKOrder]])&gt;1,PlayerGameData[[#This Row],[PointRank]]/100+PlayerGameData[[#This Row],[BLKOrder]],PlayerGameData[[#This Row],[BLKOrder]])</f>
        <v>1037.25</v>
      </c>
      <c r="AZ755" s="8">
        <f ca="1">RANK(PlayerGameData[[#This Row],[BLKTieBreak]],PlayerGameData[BLKTieBreak],1)</f>
        <v>625</v>
      </c>
      <c r="BA755" s="11">
        <f ca="1">IFERROR(IF(PlayerGameData[[#This Row],[FGA]]&gt;$AA$5,PlayerGameData[[#This Row],[FG%*]],PlayerGameData[[#This Row],[FG%*]]*-1),-2)</f>
        <v>-2</v>
      </c>
      <c r="BB755" s="8">
        <f ca="1">RANK(PlayerGameData[[#This Row],[EligFG]],PlayerGameData[EligFG],0)+PlayerGameData[[#This Row],[VisibleOrder]]</f>
        <v>1214</v>
      </c>
      <c r="BC755" s="8">
        <f ca="1">IF(COUNTIF(PlayerGameData[EligFGOrder],PlayerGameData[[#This Row],[EligFGOrder]])&gt;1,PlayerGameData[[#This Row],[PointRank]]/100+PlayerGameData[[#This Row],[EligFGOrder]],PlayerGameData[[#This Row],[EligFGOrder]])</f>
        <v>1220.25</v>
      </c>
      <c r="BD755" s="8">
        <f ca="1">RANK(PlayerGameData[[#This Row],[EligFGTieBreak]],PlayerGameData[EligFGTieBreak],1)</f>
        <v>625</v>
      </c>
      <c r="BE755" s="8" t="str">
        <f>Roster!$D$3</f>
        <v>East</v>
      </c>
      <c r="BF755" s="8" t="str">
        <f>Roster!$D$2</f>
        <v>Northeast</v>
      </c>
      <c r="BG755" s="8" t="str">
        <f>Roster!$D$4</f>
        <v>North</v>
      </c>
      <c r="BH755" s="197">
        <f ca="1">IFERROR(VLOOKUP(CONCATENATE(PlayerGameData[[#This Row],[Opponent]]," ",MONTH(PlayerGameData[[#This Row],[Date]]),"/",DAY(PlayerGameData[[#This Row],[Date]]),"/",YEAR(PlayerGameData[[#This Row],[Date]])),Table35[],2,FALSE),0)</f>
        <v>0</v>
      </c>
      <c r="BI755" s="197">
        <f ca="1">IF(PlayerGameData[[#This Row],[Visible]]=1,1,1000)</f>
        <v>1000</v>
      </c>
      <c r="BJ755" s="197" t="e">
        <f ca="1">_xlfn.MAXIFS(TeamGameData[Win],TeamGameData[School, Opponent,Game'#],PlayerGameData[[#This Row],[School, Opponent,Game'#]])</f>
        <v>#NAME?</v>
      </c>
      <c r="BK755" s="197" t="e">
        <f ca="1">_xlfn.MAXIFS(TeamGameData[Loss],TeamGameData[School, Opponent,Game'#],PlayerGameData[[#This Row],[School, Opponent,Game'#]])</f>
        <v>#NAME?</v>
      </c>
    </row>
    <row r="756" spans="1:63" x14ac:dyDescent="0.25">
      <c r="A756" s="8" t="str">
        <f t="shared" ca="1" si="363"/>
        <v>Carson Barritt, 14</v>
      </c>
      <c r="B756" s="8" t="str">
        <f>Roster!$B$1</f>
        <v>Upton</v>
      </c>
      <c r="C756" s="8">
        <f t="shared" ca="1" si="351"/>
        <v>0</v>
      </c>
      <c r="D756" s="10">
        <f t="shared" ca="1" si="352"/>
        <v>0</v>
      </c>
      <c r="E756" s="8">
        <f t="shared" ca="1" si="353"/>
        <v>0</v>
      </c>
      <c r="F756" s="8">
        <f t="shared" ca="1" si="354"/>
        <v>0</v>
      </c>
      <c r="G756" s="8">
        <f t="shared" ca="1" si="355"/>
        <v>0</v>
      </c>
      <c r="H756" s="8">
        <f t="shared" ca="1" si="356"/>
        <v>0</v>
      </c>
      <c r="I756" s="8">
        <f t="shared" ca="1" si="357"/>
        <v>0</v>
      </c>
      <c r="J756" s="8">
        <f t="shared" ca="1" si="358"/>
        <v>0</v>
      </c>
      <c r="K756" s="8">
        <f t="shared" ca="1" si="359"/>
        <v>0</v>
      </c>
      <c r="L756" s="8">
        <f t="shared" ca="1" si="364"/>
        <v>0</v>
      </c>
      <c r="M756" s="8">
        <f t="shared" ca="1" si="365"/>
        <v>0</v>
      </c>
      <c r="N756" s="8">
        <f t="shared" ca="1" si="366"/>
        <v>0</v>
      </c>
      <c r="O756" s="8">
        <f t="shared" ca="1" si="367"/>
        <v>0</v>
      </c>
      <c r="P756" s="8">
        <f t="shared" ca="1" si="368"/>
        <v>0</v>
      </c>
      <c r="Q756" s="8">
        <f t="shared" ca="1" si="369"/>
        <v>0</v>
      </c>
      <c r="R756" s="8">
        <f t="shared" ca="1" si="370"/>
        <v>0</v>
      </c>
      <c r="S756" s="8">
        <f t="shared" ca="1" si="371"/>
        <v>0</v>
      </c>
      <c r="T756" s="8">
        <f t="shared" ca="1" si="372"/>
        <v>0</v>
      </c>
      <c r="U756" s="8">
        <f t="shared" ca="1" si="373"/>
        <v>0</v>
      </c>
      <c r="V756" s="8">
        <f t="shared" ca="1" si="374"/>
        <v>0</v>
      </c>
      <c r="W756" s="11" t="str">
        <f t="shared" ca="1" si="375"/>
        <v/>
      </c>
      <c r="X756" s="11" t="str">
        <f t="shared" ca="1" si="376"/>
        <v/>
      </c>
      <c r="Y756" s="11" t="str">
        <f t="shared" ca="1" si="377"/>
        <v/>
      </c>
      <c r="Z756" s="11" t="str">
        <f t="shared" ca="1" si="378"/>
        <v/>
      </c>
      <c r="AA756" s="11" t="str">
        <f t="shared" ca="1" si="379"/>
        <v/>
      </c>
      <c r="AB756" s="47">
        <f ca="1">PlayerGameData[[#This Row],[3FGA]]+PlayerGameData[[#This Row],[2FGA]]</f>
        <v>0</v>
      </c>
      <c r="AC756" s="47">
        <f ca="1">PlayerGameData[[#This Row],[OFF REB]]+PlayerGameData[[#This Row],[DEF REB]]</f>
        <v>0</v>
      </c>
      <c r="AD756" s="8">
        <f t="shared" si="360"/>
        <v>32</v>
      </c>
      <c r="AE756" s="8" t="str">
        <f t="shared" ca="1" si="361"/>
        <v>Carson Barritt, 14 - 0 1/0/1900</v>
      </c>
      <c r="AF756" s="8" t="str">
        <f t="shared" ca="1" si="380"/>
        <v/>
      </c>
      <c r="AG756" s="8" t="str">
        <f ca="1">IFERROR(IF(C756=0,"",IF(AND(VLOOKUP(PlayerGameData[[#This Row],[Opponent]],WYTeamInfo,2,FALSE)=Roster!$D$1,VLOOKUP(PlayerGameData[[#This Row],[Opponent]],WYTeamInfo,3,FALSE)=Roster!$D$2),"SR","")),"")</f>
        <v/>
      </c>
      <c r="AH756" s="8" t="str">
        <f>CONCATENATE(Roster!$D$1," ",Roster!$D$5)</f>
        <v>1A BB</v>
      </c>
      <c r="AI756" s="8" t="str">
        <f t="shared" ca="1" si="362"/>
        <v>Blank</v>
      </c>
      <c r="AJ756" s="8">
        <f ca="1">IFERROR(VLOOKUP(PlayerGameData[[#This Row],[School, Opponent,Game'#]],Table3[],2,FALSE),0)</f>
        <v>0</v>
      </c>
      <c r="AK756" s="8">
        <f ca="1">IF(PlayerGameData[[#This Row],[Visible]]=1,1,1000)</f>
        <v>1000</v>
      </c>
      <c r="AL756" s="8">
        <f ca="1">RANK(PlayerGameData[[#This Row],[TL PTS]],PlayerGameData[TL PTS],0)+PlayerGameData[[#This Row],[VisibleOrder]]</f>
        <v>1184</v>
      </c>
      <c r="AM756" s="8">
        <f ca="1">IF(COUNTIF(PlayerGameData[PointOrder],PlayerGameData[[#This Row],[PointOrder]])&gt;1,RANK(PlayerGameData[[#This Row],[FGA]],PlayerGameData[FGA],0)/100,0)+PlayerGameData[[#This Row],[PointOrder]]</f>
        <v>1186.1400000000001</v>
      </c>
      <c r="AN756" s="8">
        <f ca="1">RANK(PlayerGameData[[#This Row],[PointTieBreak]],PlayerGameData[PointTieBreak],1)</f>
        <v>625</v>
      </c>
      <c r="AO756" s="8">
        <f ca="1">RANK(PlayerGameData[[#This Row],[REB]],PlayerGameData[REB],0)+PlayerGameData[[#This Row],[VisibleOrder]]</f>
        <v>1191</v>
      </c>
      <c r="AP756" s="8">
        <f ca="1">IF(COUNTIF(PlayerGameData[REBOrder],PlayerGameData[[#This Row],[REBOrder]])&gt;1,PlayerGameData[[#This Row],[PointRank]]/100+PlayerGameData[[#This Row],[REBOrder]],PlayerGameData[[#This Row],[REBOrder]])</f>
        <v>1197.25</v>
      </c>
      <c r="AQ756" s="8">
        <f ca="1">RANK(PlayerGameData[[#This Row],[REBTieBreak]],PlayerGameData[REBTieBreak],1)</f>
        <v>625</v>
      </c>
      <c r="AR756" s="8">
        <f ca="1">RANK(PlayerGameData[[#This Row],[AST]],PlayerGameData[AST],0)+PlayerGameData[[#This Row],[VisibleOrder]]</f>
        <v>1157</v>
      </c>
      <c r="AS756" s="8">
        <f ca="1">IF(COUNTIF(PlayerGameData[ASTOrder],PlayerGameData[[#This Row],[ASTOrder]])&gt;1,PlayerGameData[[#This Row],[PointRank]]/100+PlayerGameData[[#This Row],[ASTOrder]],PlayerGameData[[#This Row],[ASTOrder]])</f>
        <v>1163.25</v>
      </c>
      <c r="AT756" s="8">
        <f ca="1">RANK(PlayerGameData[[#This Row],[ASTTieBreak]],PlayerGameData[ASTTieBreak],1)</f>
        <v>625</v>
      </c>
      <c r="AU756" s="8">
        <f ca="1">RANK(PlayerGameData[[#This Row],[STL]],PlayerGameData[STL],0)+PlayerGameData[[#This Row],[VisibleOrder]]</f>
        <v>1142</v>
      </c>
      <c r="AV756" s="8">
        <f ca="1">IF(COUNTIF(PlayerGameData[STLOrder],PlayerGameData[[#This Row],[STLOrder]])&gt;1,PlayerGameData[[#This Row],[PointRank]]/100+PlayerGameData[[#This Row],[STLOrder]],PlayerGameData[[#This Row],[STLOrder]])</f>
        <v>1148.25</v>
      </c>
      <c r="AW756" s="8">
        <f ca="1">RANK(PlayerGameData[[#This Row],[STLTieBreak]],PlayerGameData[STLTieBreak],1)</f>
        <v>625</v>
      </c>
      <c r="AX756" s="8">
        <f ca="1">RANK(PlayerGameData[[#This Row],[BLK]],PlayerGameData[BLK],0)+PlayerGameData[[#This Row],[VisibleOrder]]</f>
        <v>1031</v>
      </c>
      <c r="AY756" s="8">
        <f ca="1">IF(COUNTIF(PlayerGameData[BLKOrder],PlayerGameData[[#This Row],[BLKOrder]])&gt;1,PlayerGameData[[#This Row],[PointRank]]/100+PlayerGameData[[#This Row],[BLKOrder]],PlayerGameData[[#This Row],[BLKOrder]])</f>
        <v>1037.25</v>
      </c>
      <c r="AZ756" s="8">
        <f ca="1">RANK(PlayerGameData[[#This Row],[BLKTieBreak]],PlayerGameData[BLKTieBreak],1)</f>
        <v>625</v>
      </c>
      <c r="BA756" s="11">
        <f ca="1">IFERROR(IF(PlayerGameData[[#This Row],[FGA]]&gt;$AA$5,PlayerGameData[[#This Row],[FG%*]],PlayerGameData[[#This Row],[FG%*]]*-1),-2)</f>
        <v>-2</v>
      </c>
      <c r="BB756" s="8">
        <f ca="1">RANK(PlayerGameData[[#This Row],[EligFG]],PlayerGameData[EligFG],0)+PlayerGameData[[#This Row],[VisibleOrder]]</f>
        <v>1214</v>
      </c>
      <c r="BC756" s="8">
        <f ca="1">IF(COUNTIF(PlayerGameData[EligFGOrder],PlayerGameData[[#This Row],[EligFGOrder]])&gt;1,PlayerGameData[[#This Row],[PointRank]]/100+PlayerGameData[[#This Row],[EligFGOrder]],PlayerGameData[[#This Row],[EligFGOrder]])</f>
        <v>1220.25</v>
      </c>
      <c r="BD756" s="8">
        <f ca="1">RANK(PlayerGameData[[#This Row],[EligFGTieBreak]],PlayerGameData[EligFGTieBreak],1)</f>
        <v>625</v>
      </c>
      <c r="BE756" s="8" t="str">
        <f>Roster!$D$3</f>
        <v>East</v>
      </c>
      <c r="BF756" s="8" t="str">
        <f>Roster!$D$2</f>
        <v>Northeast</v>
      </c>
      <c r="BG756" s="8" t="str">
        <f>Roster!$D$4</f>
        <v>North</v>
      </c>
      <c r="BH756" s="197">
        <f ca="1">IFERROR(VLOOKUP(CONCATENATE(PlayerGameData[[#This Row],[Opponent]]," ",MONTH(PlayerGameData[[#This Row],[Date]]),"/",DAY(PlayerGameData[[#This Row],[Date]]),"/",YEAR(PlayerGameData[[#This Row],[Date]])),Table35[],2,FALSE),0)</f>
        <v>0</v>
      </c>
      <c r="BI756" s="197">
        <f ca="1">IF(PlayerGameData[[#This Row],[Visible]]=1,1,1000)</f>
        <v>1000</v>
      </c>
      <c r="BJ756" s="197" t="e">
        <f ca="1">_xlfn.MAXIFS(TeamGameData[Win],TeamGameData[School, Opponent,Game'#],PlayerGameData[[#This Row],[School, Opponent,Game'#]])</f>
        <v>#NAME?</v>
      </c>
      <c r="BK756" s="197" t="e">
        <f ca="1">_xlfn.MAXIFS(TeamGameData[Loss],TeamGameData[School, Opponent,Game'#],PlayerGameData[[#This Row],[School, Opponent,Game'#]])</f>
        <v>#NAME?</v>
      </c>
    </row>
    <row r="757" spans="1:63" x14ac:dyDescent="0.25">
      <c r="A757" s="8" t="str">
        <f t="shared" ca="1" si="363"/>
        <v>Ben Carpenter, 21</v>
      </c>
      <c r="B757" s="8" t="str">
        <f>Roster!$B$1</f>
        <v>Upton</v>
      </c>
      <c r="C757" s="8">
        <f t="shared" ca="1" si="351"/>
        <v>0</v>
      </c>
      <c r="D757" s="10">
        <f t="shared" ca="1" si="352"/>
        <v>0</v>
      </c>
      <c r="E757" s="8">
        <f t="shared" ca="1" si="353"/>
        <v>0</v>
      </c>
      <c r="F757" s="8">
        <f t="shared" ca="1" si="354"/>
        <v>0</v>
      </c>
      <c r="G757" s="8">
        <f t="shared" ca="1" si="355"/>
        <v>0</v>
      </c>
      <c r="H757" s="8">
        <f t="shared" ca="1" si="356"/>
        <v>0</v>
      </c>
      <c r="I757" s="8">
        <f t="shared" ca="1" si="357"/>
        <v>0</v>
      </c>
      <c r="J757" s="8">
        <f t="shared" ca="1" si="358"/>
        <v>0</v>
      </c>
      <c r="K757" s="8">
        <f t="shared" ca="1" si="359"/>
        <v>0</v>
      </c>
      <c r="L757" s="8">
        <f t="shared" ca="1" si="364"/>
        <v>0</v>
      </c>
      <c r="M757" s="8">
        <f t="shared" ca="1" si="365"/>
        <v>0</v>
      </c>
      <c r="N757" s="8">
        <f t="shared" ca="1" si="366"/>
        <v>0</v>
      </c>
      <c r="O757" s="8">
        <f t="shared" ca="1" si="367"/>
        <v>0</v>
      </c>
      <c r="P757" s="8">
        <f t="shared" ca="1" si="368"/>
        <v>0</v>
      </c>
      <c r="Q757" s="8">
        <f t="shared" ca="1" si="369"/>
        <v>0</v>
      </c>
      <c r="R757" s="8">
        <f t="shared" ca="1" si="370"/>
        <v>0</v>
      </c>
      <c r="S757" s="8">
        <f t="shared" ca="1" si="371"/>
        <v>0</v>
      </c>
      <c r="T757" s="8">
        <f t="shared" ca="1" si="372"/>
        <v>0</v>
      </c>
      <c r="U757" s="8">
        <f t="shared" ca="1" si="373"/>
        <v>0</v>
      </c>
      <c r="V757" s="8">
        <f t="shared" ca="1" si="374"/>
        <v>0</v>
      </c>
      <c r="W757" s="11" t="str">
        <f t="shared" ca="1" si="375"/>
        <v/>
      </c>
      <c r="X757" s="11" t="str">
        <f t="shared" ca="1" si="376"/>
        <v/>
      </c>
      <c r="Y757" s="11" t="str">
        <f t="shared" ca="1" si="377"/>
        <v/>
      </c>
      <c r="Z757" s="11" t="str">
        <f t="shared" ca="1" si="378"/>
        <v/>
      </c>
      <c r="AA757" s="11" t="str">
        <f t="shared" ca="1" si="379"/>
        <v/>
      </c>
      <c r="AB757" s="47">
        <f ca="1">PlayerGameData[[#This Row],[3FGA]]+PlayerGameData[[#This Row],[2FGA]]</f>
        <v>0</v>
      </c>
      <c r="AC757" s="47">
        <f ca="1">PlayerGameData[[#This Row],[OFF REB]]+PlayerGameData[[#This Row],[DEF REB]]</f>
        <v>0</v>
      </c>
      <c r="AD757" s="8">
        <f t="shared" si="360"/>
        <v>32</v>
      </c>
      <c r="AE757" s="8" t="str">
        <f t="shared" ca="1" si="361"/>
        <v>Ben Carpenter, 21 - 0 1/0/1900</v>
      </c>
      <c r="AF757" s="8" t="str">
        <f t="shared" ca="1" si="380"/>
        <v/>
      </c>
      <c r="AG757" s="8" t="str">
        <f ca="1">IFERROR(IF(C757=0,"",IF(AND(VLOOKUP(PlayerGameData[[#This Row],[Opponent]],WYTeamInfo,2,FALSE)=Roster!$D$1,VLOOKUP(PlayerGameData[[#This Row],[Opponent]],WYTeamInfo,3,FALSE)=Roster!$D$2),"SR","")),"")</f>
        <v/>
      </c>
      <c r="AH757" s="8" t="str">
        <f>CONCATENATE(Roster!$D$1," ",Roster!$D$5)</f>
        <v>1A BB</v>
      </c>
      <c r="AI757" s="8" t="str">
        <f t="shared" ca="1" si="362"/>
        <v>Blank</v>
      </c>
      <c r="AJ757" s="8">
        <f ca="1">IFERROR(VLOOKUP(PlayerGameData[[#This Row],[School, Opponent,Game'#]],Table3[],2,FALSE),0)</f>
        <v>0</v>
      </c>
      <c r="AK757" s="8">
        <f ca="1">IF(PlayerGameData[[#This Row],[Visible]]=1,1,1000)</f>
        <v>1000</v>
      </c>
      <c r="AL757" s="8">
        <f ca="1">RANK(PlayerGameData[[#This Row],[TL PTS]],PlayerGameData[TL PTS],0)+PlayerGameData[[#This Row],[VisibleOrder]]</f>
        <v>1184</v>
      </c>
      <c r="AM757" s="8">
        <f ca="1">IF(COUNTIF(PlayerGameData[PointOrder],PlayerGameData[[#This Row],[PointOrder]])&gt;1,RANK(PlayerGameData[[#This Row],[FGA]],PlayerGameData[FGA],0)/100,0)+PlayerGameData[[#This Row],[PointOrder]]</f>
        <v>1186.1400000000001</v>
      </c>
      <c r="AN757" s="8">
        <f ca="1">RANK(PlayerGameData[[#This Row],[PointTieBreak]],PlayerGameData[PointTieBreak],1)</f>
        <v>625</v>
      </c>
      <c r="AO757" s="8">
        <f ca="1">RANK(PlayerGameData[[#This Row],[REB]],PlayerGameData[REB],0)+PlayerGameData[[#This Row],[VisibleOrder]]</f>
        <v>1191</v>
      </c>
      <c r="AP757" s="8">
        <f ca="1">IF(COUNTIF(PlayerGameData[REBOrder],PlayerGameData[[#This Row],[REBOrder]])&gt;1,PlayerGameData[[#This Row],[PointRank]]/100+PlayerGameData[[#This Row],[REBOrder]],PlayerGameData[[#This Row],[REBOrder]])</f>
        <v>1197.25</v>
      </c>
      <c r="AQ757" s="8">
        <f ca="1">RANK(PlayerGameData[[#This Row],[REBTieBreak]],PlayerGameData[REBTieBreak],1)</f>
        <v>625</v>
      </c>
      <c r="AR757" s="8">
        <f ca="1">RANK(PlayerGameData[[#This Row],[AST]],PlayerGameData[AST],0)+PlayerGameData[[#This Row],[VisibleOrder]]</f>
        <v>1157</v>
      </c>
      <c r="AS757" s="8">
        <f ca="1">IF(COUNTIF(PlayerGameData[ASTOrder],PlayerGameData[[#This Row],[ASTOrder]])&gt;1,PlayerGameData[[#This Row],[PointRank]]/100+PlayerGameData[[#This Row],[ASTOrder]],PlayerGameData[[#This Row],[ASTOrder]])</f>
        <v>1163.25</v>
      </c>
      <c r="AT757" s="8">
        <f ca="1">RANK(PlayerGameData[[#This Row],[ASTTieBreak]],PlayerGameData[ASTTieBreak],1)</f>
        <v>625</v>
      </c>
      <c r="AU757" s="8">
        <f ca="1">RANK(PlayerGameData[[#This Row],[STL]],PlayerGameData[STL],0)+PlayerGameData[[#This Row],[VisibleOrder]]</f>
        <v>1142</v>
      </c>
      <c r="AV757" s="8">
        <f ca="1">IF(COUNTIF(PlayerGameData[STLOrder],PlayerGameData[[#This Row],[STLOrder]])&gt;1,PlayerGameData[[#This Row],[PointRank]]/100+PlayerGameData[[#This Row],[STLOrder]],PlayerGameData[[#This Row],[STLOrder]])</f>
        <v>1148.25</v>
      </c>
      <c r="AW757" s="8">
        <f ca="1">RANK(PlayerGameData[[#This Row],[STLTieBreak]],PlayerGameData[STLTieBreak],1)</f>
        <v>625</v>
      </c>
      <c r="AX757" s="8">
        <f ca="1">RANK(PlayerGameData[[#This Row],[BLK]],PlayerGameData[BLK],0)+PlayerGameData[[#This Row],[VisibleOrder]]</f>
        <v>1031</v>
      </c>
      <c r="AY757" s="8">
        <f ca="1">IF(COUNTIF(PlayerGameData[BLKOrder],PlayerGameData[[#This Row],[BLKOrder]])&gt;1,PlayerGameData[[#This Row],[PointRank]]/100+PlayerGameData[[#This Row],[BLKOrder]],PlayerGameData[[#This Row],[BLKOrder]])</f>
        <v>1037.25</v>
      </c>
      <c r="AZ757" s="8">
        <f ca="1">RANK(PlayerGameData[[#This Row],[BLKTieBreak]],PlayerGameData[BLKTieBreak],1)</f>
        <v>625</v>
      </c>
      <c r="BA757" s="11">
        <f ca="1">IFERROR(IF(PlayerGameData[[#This Row],[FGA]]&gt;$AA$5,PlayerGameData[[#This Row],[FG%*]],PlayerGameData[[#This Row],[FG%*]]*-1),-2)</f>
        <v>-2</v>
      </c>
      <c r="BB757" s="8">
        <f ca="1">RANK(PlayerGameData[[#This Row],[EligFG]],PlayerGameData[EligFG],0)+PlayerGameData[[#This Row],[VisibleOrder]]</f>
        <v>1214</v>
      </c>
      <c r="BC757" s="8">
        <f ca="1">IF(COUNTIF(PlayerGameData[EligFGOrder],PlayerGameData[[#This Row],[EligFGOrder]])&gt;1,PlayerGameData[[#This Row],[PointRank]]/100+PlayerGameData[[#This Row],[EligFGOrder]],PlayerGameData[[#This Row],[EligFGOrder]])</f>
        <v>1220.25</v>
      </c>
      <c r="BD757" s="8">
        <f ca="1">RANK(PlayerGameData[[#This Row],[EligFGTieBreak]],PlayerGameData[EligFGTieBreak],1)</f>
        <v>625</v>
      </c>
      <c r="BE757" s="8" t="str">
        <f>Roster!$D$3</f>
        <v>East</v>
      </c>
      <c r="BF757" s="8" t="str">
        <f>Roster!$D$2</f>
        <v>Northeast</v>
      </c>
      <c r="BG757" s="8" t="str">
        <f>Roster!$D$4</f>
        <v>North</v>
      </c>
      <c r="BH757" s="197">
        <f ca="1">IFERROR(VLOOKUP(CONCATENATE(PlayerGameData[[#This Row],[Opponent]]," ",MONTH(PlayerGameData[[#This Row],[Date]]),"/",DAY(PlayerGameData[[#This Row],[Date]]),"/",YEAR(PlayerGameData[[#This Row],[Date]])),Table35[],2,FALSE),0)</f>
        <v>0</v>
      </c>
      <c r="BI757" s="197">
        <f ca="1">IF(PlayerGameData[[#This Row],[Visible]]=1,1,1000)</f>
        <v>1000</v>
      </c>
      <c r="BJ757" s="197" t="e">
        <f ca="1">_xlfn.MAXIFS(TeamGameData[Win],TeamGameData[School, Opponent,Game'#],PlayerGameData[[#This Row],[School, Opponent,Game'#]])</f>
        <v>#NAME?</v>
      </c>
      <c r="BK757" s="197" t="e">
        <f ca="1">_xlfn.MAXIFS(TeamGameData[Loss],TeamGameData[School, Opponent,Game'#],PlayerGameData[[#This Row],[School, Opponent,Game'#]])</f>
        <v>#NAME?</v>
      </c>
    </row>
    <row r="758" spans="1:63" x14ac:dyDescent="0.25">
      <c r="A758" s="8" t="str">
        <f t="shared" ca="1" si="363"/>
        <v>Ethan Schiller, 23</v>
      </c>
      <c r="B758" s="8" t="str">
        <f>Roster!$B$1</f>
        <v>Upton</v>
      </c>
      <c r="C758" s="8">
        <f t="shared" ca="1" si="351"/>
        <v>0</v>
      </c>
      <c r="D758" s="10">
        <f t="shared" ca="1" si="352"/>
        <v>0</v>
      </c>
      <c r="E758" s="8">
        <f t="shared" ca="1" si="353"/>
        <v>0</v>
      </c>
      <c r="F758" s="8">
        <f t="shared" ca="1" si="354"/>
        <v>0</v>
      </c>
      <c r="G758" s="8">
        <f t="shared" ca="1" si="355"/>
        <v>0</v>
      </c>
      <c r="H758" s="8">
        <f t="shared" ca="1" si="356"/>
        <v>0</v>
      </c>
      <c r="I758" s="8">
        <f t="shared" ca="1" si="357"/>
        <v>0</v>
      </c>
      <c r="J758" s="8">
        <f t="shared" ca="1" si="358"/>
        <v>0</v>
      </c>
      <c r="K758" s="8">
        <f t="shared" ca="1" si="359"/>
        <v>0</v>
      </c>
      <c r="L758" s="8">
        <f t="shared" ca="1" si="364"/>
        <v>0</v>
      </c>
      <c r="M758" s="8">
        <f t="shared" ca="1" si="365"/>
        <v>0</v>
      </c>
      <c r="N758" s="8">
        <f t="shared" ca="1" si="366"/>
        <v>0</v>
      </c>
      <c r="O758" s="8">
        <f t="shared" ca="1" si="367"/>
        <v>0</v>
      </c>
      <c r="P758" s="8">
        <f t="shared" ca="1" si="368"/>
        <v>0</v>
      </c>
      <c r="Q758" s="8">
        <f t="shared" ca="1" si="369"/>
        <v>0</v>
      </c>
      <c r="R758" s="8">
        <f t="shared" ca="1" si="370"/>
        <v>0</v>
      </c>
      <c r="S758" s="8">
        <f t="shared" ca="1" si="371"/>
        <v>0</v>
      </c>
      <c r="T758" s="8">
        <f t="shared" ca="1" si="372"/>
        <v>0</v>
      </c>
      <c r="U758" s="8">
        <f t="shared" ca="1" si="373"/>
        <v>0</v>
      </c>
      <c r="V758" s="8">
        <f t="shared" ca="1" si="374"/>
        <v>0</v>
      </c>
      <c r="W758" s="11" t="str">
        <f t="shared" ca="1" si="375"/>
        <v/>
      </c>
      <c r="X758" s="11" t="str">
        <f t="shared" ca="1" si="376"/>
        <v/>
      </c>
      <c r="Y758" s="11" t="str">
        <f t="shared" ca="1" si="377"/>
        <v/>
      </c>
      <c r="Z758" s="11" t="str">
        <f t="shared" ca="1" si="378"/>
        <v/>
      </c>
      <c r="AA758" s="11" t="str">
        <f t="shared" ca="1" si="379"/>
        <v/>
      </c>
      <c r="AB758" s="47">
        <f ca="1">PlayerGameData[[#This Row],[3FGA]]+PlayerGameData[[#This Row],[2FGA]]</f>
        <v>0</v>
      </c>
      <c r="AC758" s="47">
        <f ca="1">PlayerGameData[[#This Row],[OFF REB]]+PlayerGameData[[#This Row],[DEF REB]]</f>
        <v>0</v>
      </c>
      <c r="AD758" s="8">
        <f t="shared" si="360"/>
        <v>32</v>
      </c>
      <c r="AE758" s="8" t="str">
        <f t="shared" ca="1" si="361"/>
        <v>Ethan Schiller, 23 - 0 1/0/1900</v>
      </c>
      <c r="AF758" s="8" t="str">
        <f t="shared" ca="1" si="380"/>
        <v/>
      </c>
      <c r="AG758" s="8" t="str">
        <f ca="1">IFERROR(IF(C758=0,"",IF(AND(VLOOKUP(PlayerGameData[[#This Row],[Opponent]],WYTeamInfo,2,FALSE)=Roster!$D$1,VLOOKUP(PlayerGameData[[#This Row],[Opponent]],WYTeamInfo,3,FALSE)=Roster!$D$2),"SR","")),"")</f>
        <v/>
      </c>
      <c r="AH758" s="8" t="str">
        <f>CONCATENATE(Roster!$D$1," ",Roster!$D$5)</f>
        <v>1A BB</v>
      </c>
      <c r="AI758" s="8" t="str">
        <f t="shared" ca="1" si="362"/>
        <v>Blank</v>
      </c>
      <c r="AJ758" s="8">
        <f ca="1">IFERROR(VLOOKUP(PlayerGameData[[#This Row],[School, Opponent,Game'#]],Table3[],2,FALSE),0)</f>
        <v>0</v>
      </c>
      <c r="AK758" s="8">
        <f ca="1">IF(PlayerGameData[[#This Row],[Visible]]=1,1,1000)</f>
        <v>1000</v>
      </c>
      <c r="AL758" s="8">
        <f ca="1">RANK(PlayerGameData[[#This Row],[TL PTS]],PlayerGameData[TL PTS],0)+PlayerGameData[[#This Row],[VisibleOrder]]</f>
        <v>1184</v>
      </c>
      <c r="AM758" s="8">
        <f ca="1">IF(COUNTIF(PlayerGameData[PointOrder],PlayerGameData[[#This Row],[PointOrder]])&gt;1,RANK(PlayerGameData[[#This Row],[FGA]],PlayerGameData[FGA],0)/100,0)+PlayerGameData[[#This Row],[PointOrder]]</f>
        <v>1186.1400000000001</v>
      </c>
      <c r="AN758" s="8">
        <f ca="1">RANK(PlayerGameData[[#This Row],[PointTieBreak]],PlayerGameData[PointTieBreak],1)</f>
        <v>625</v>
      </c>
      <c r="AO758" s="8">
        <f ca="1">RANK(PlayerGameData[[#This Row],[REB]],PlayerGameData[REB],0)+PlayerGameData[[#This Row],[VisibleOrder]]</f>
        <v>1191</v>
      </c>
      <c r="AP758" s="8">
        <f ca="1">IF(COUNTIF(PlayerGameData[REBOrder],PlayerGameData[[#This Row],[REBOrder]])&gt;1,PlayerGameData[[#This Row],[PointRank]]/100+PlayerGameData[[#This Row],[REBOrder]],PlayerGameData[[#This Row],[REBOrder]])</f>
        <v>1197.25</v>
      </c>
      <c r="AQ758" s="8">
        <f ca="1">RANK(PlayerGameData[[#This Row],[REBTieBreak]],PlayerGameData[REBTieBreak],1)</f>
        <v>625</v>
      </c>
      <c r="AR758" s="8">
        <f ca="1">RANK(PlayerGameData[[#This Row],[AST]],PlayerGameData[AST],0)+PlayerGameData[[#This Row],[VisibleOrder]]</f>
        <v>1157</v>
      </c>
      <c r="AS758" s="8">
        <f ca="1">IF(COUNTIF(PlayerGameData[ASTOrder],PlayerGameData[[#This Row],[ASTOrder]])&gt;1,PlayerGameData[[#This Row],[PointRank]]/100+PlayerGameData[[#This Row],[ASTOrder]],PlayerGameData[[#This Row],[ASTOrder]])</f>
        <v>1163.25</v>
      </c>
      <c r="AT758" s="8">
        <f ca="1">RANK(PlayerGameData[[#This Row],[ASTTieBreak]],PlayerGameData[ASTTieBreak],1)</f>
        <v>625</v>
      </c>
      <c r="AU758" s="8">
        <f ca="1">RANK(PlayerGameData[[#This Row],[STL]],PlayerGameData[STL],0)+PlayerGameData[[#This Row],[VisibleOrder]]</f>
        <v>1142</v>
      </c>
      <c r="AV758" s="8">
        <f ca="1">IF(COUNTIF(PlayerGameData[STLOrder],PlayerGameData[[#This Row],[STLOrder]])&gt;1,PlayerGameData[[#This Row],[PointRank]]/100+PlayerGameData[[#This Row],[STLOrder]],PlayerGameData[[#This Row],[STLOrder]])</f>
        <v>1148.25</v>
      </c>
      <c r="AW758" s="8">
        <f ca="1">RANK(PlayerGameData[[#This Row],[STLTieBreak]],PlayerGameData[STLTieBreak],1)</f>
        <v>625</v>
      </c>
      <c r="AX758" s="8">
        <f ca="1">RANK(PlayerGameData[[#This Row],[BLK]],PlayerGameData[BLK],0)+PlayerGameData[[#This Row],[VisibleOrder]]</f>
        <v>1031</v>
      </c>
      <c r="AY758" s="8">
        <f ca="1">IF(COUNTIF(PlayerGameData[BLKOrder],PlayerGameData[[#This Row],[BLKOrder]])&gt;1,PlayerGameData[[#This Row],[PointRank]]/100+PlayerGameData[[#This Row],[BLKOrder]],PlayerGameData[[#This Row],[BLKOrder]])</f>
        <v>1037.25</v>
      </c>
      <c r="AZ758" s="8">
        <f ca="1">RANK(PlayerGameData[[#This Row],[BLKTieBreak]],PlayerGameData[BLKTieBreak],1)</f>
        <v>625</v>
      </c>
      <c r="BA758" s="11">
        <f ca="1">IFERROR(IF(PlayerGameData[[#This Row],[FGA]]&gt;$AA$5,PlayerGameData[[#This Row],[FG%*]],PlayerGameData[[#This Row],[FG%*]]*-1),-2)</f>
        <v>-2</v>
      </c>
      <c r="BB758" s="8">
        <f ca="1">RANK(PlayerGameData[[#This Row],[EligFG]],PlayerGameData[EligFG],0)+PlayerGameData[[#This Row],[VisibleOrder]]</f>
        <v>1214</v>
      </c>
      <c r="BC758" s="8">
        <f ca="1">IF(COUNTIF(PlayerGameData[EligFGOrder],PlayerGameData[[#This Row],[EligFGOrder]])&gt;1,PlayerGameData[[#This Row],[PointRank]]/100+PlayerGameData[[#This Row],[EligFGOrder]],PlayerGameData[[#This Row],[EligFGOrder]])</f>
        <v>1220.25</v>
      </c>
      <c r="BD758" s="8">
        <f ca="1">RANK(PlayerGameData[[#This Row],[EligFGTieBreak]],PlayerGameData[EligFGTieBreak],1)</f>
        <v>625</v>
      </c>
      <c r="BE758" s="8" t="str">
        <f>Roster!$D$3</f>
        <v>East</v>
      </c>
      <c r="BF758" s="8" t="str">
        <f>Roster!$D$2</f>
        <v>Northeast</v>
      </c>
      <c r="BG758" s="8" t="str">
        <f>Roster!$D$4</f>
        <v>North</v>
      </c>
      <c r="BH758" s="197">
        <f ca="1">IFERROR(VLOOKUP(CONCATENATE(PlayerGameData[[#This Row],[Opponent]]," ",MONTH(PlayerGameData[[#This Row],[Date]]),"/",DAY(PlayerGameData[[#This Row],[Date]]),"/",YEAR(PlayerGameData[[#This Row],[Date]])),Table35[],2,FALSE),0)</f>
        <v>0</v>
      </c>
      <c r="BI758" s="197">
        <f ca="1">IF(PlayerGameData[[#This Row],[Visible]]=1,1,1000)</f>
        <v>1000</v>
      </c>
      <c r="BJ758" s="197" t="e">
        <f ca="1">_xlfn.MAXIFS(TeamGameData[Win],TeamGameData[School, Opponent,Game'#],PlayerGameData[[#This Row],[School, Opponent,Game'#]])</f>
        <v>#NAME?</v>
      </c>
      <c r="BK758" s="197" t="e">
        <f ca="1">_xlfn.MAXIFS(TeamGameData[Loss],TeamGameData[School, Opponent,Game'#],PlayerGameData[[#This Row],[School, Opponent,Game'#]])</f>
        <v>#NAME?</v>
      </c>
    </row>
    <row r="759" spans="1:63" x14ac:dyDescent="0.25">
      <c r="A759" s="8" t="str">
        <f t="shared" ca="1" si="363"/>
        <v>Bridger Bruce, 25</v>
      </c>
      <c r="B759" s="8" t="str">
        <f>Roster!$B$1</f>
        <v>Upton</v>
      </c>
      <c r="C759" s="8">
        <f t="shared" ca="1" si="351"/>
        <v>0</v>
      </c>
      <c r="D759" s="10">
        <f t="shared" ca="1" si="352"/>
        <v>0</v>
      </c>
      <c r="E759" s="8">
        <f t="shared" ca="1" si="353"/>
        <v>0</v>
      </c>
      <c r="F759" s="8">
        <f t="shared" ca="1" si="354"/>
        <v>0</v>
      </c>
      <c r="G759" s="8">
        <f t="shared" ca="1" si="355"/>
        <v>0</v>
      </c>
      <c r="H759" s="8">
        <f t="shared" ca="1" si="356"/>
        <v>0</v>
      </c>
      <c r="I759" s="8">
        <f t="shared" ca="1" si="357"/>
        <v>0</v>
      </c>
      <c r="J759" s="8">
        <f t="shared" ca="1" si="358"/>
        <v>0</v>
      </c>
      <c r="K759" s="8">
        <f t="shared" ca="1" si="359"/>
        <v>0</v>
      </c>
      <c r="L759" s="8">
        <f t="shared" ca="1" si="364"/>
        <v>0</v>
      </c>
      <c r="M759" s="8">
        <f t="shared" ca="1" si="365"/>
        <v>0</v>
      </c>
      <c r="N759" s="8">
        <f t="shared" ca="1" si="366"/>
        <v>0</v>
      </c>
      <c r="O759" s="8">
        <f t="shared" ca="1" si="367"/>
        <v>0</v>
      </c>
      <c r="P759" s="8">
        <f t="shared" ca="1" si="368"/>
        <v>0</v>
      </c>
      <c r="Q759" s="8">
        <f t="shared" ca="1" si="369"/>
        <v>0</v>
      </c>
      <c r="R759" s="8">
        <f t="shared" ca="1" si="370"/>
        <v>0</v>
      </c>
      <c r="S759" s="8">
        <f t="shared" ca="1" si="371"/>
        <v>0</v>
      </c>
      <c r="T759" s="8">
        <f t="shared" ca="1" si="372"/>
        <v>0</v>
      </c>
      <c r="U759" s="8">
        <f t="shared" ca="1" si="373"/>
        <v>0</v>
      </c>
      <c r="V759" s="8">
        <f t="shared" ca="1" si="374"/>
        <v>0</v>
      </c>
      <c r="W759" s="11" t="str">
        <f t="shared" ca="1" si="375"/>
        <v/>
      </c>
      <c r="X759" s="11" t="str">
        <f t="shared" ca="1" si="376"/>
        <v/>
      </c>
      <c r="Y759" s="11" t="str">
        <f t="shared" ca="1" si="377"/>
        <v/>
      </c>
      <c r="Z759" s="11" t="str">
        <f t="shared" ca="1" si="378"/>
        <v/>
      </c>
      <c r="AA759" s="11" t="str">
        <f t="shared" ca="1" si="379"/>
        <v/>
      </c>
      <c r="AB759" s="47">
        <f ca="1">PlayerGameData[[#This Row],[3FGA]]+PlayerGameData[[#This Row],[2FGA]]</f>
        <v>0</v>
      </c>
      <c r="AC759" s="47">
        <f ca="1">PlayerGameData[[#This Row],[OFF REB]]+PlayerGameData[[#This Row],[DEF REB]]</f>
        <v>0</v>
      </c>
      <c r="AD759" s="8">
        <f t="shared" si="360"/>
        <v>32</v>
      </c>
      <c r="AE759" s="8" t="str">
        <f t="shared" ca="1" si="361"/>
        <v>Bridger Bruce, 25 - 0 1/0/1900</v>
      </c>
      <c r="AF759" s="8" t="str">
        <f t="shared" ca="1" si="380"/>
        <v/>
      </c>
      <c r="AG759" s="8" t="str">
        <f ca="1">IFERROR(IF(C759=0,"",IF(AND(VLOOKUP(PlayerGameData[[#This Row],[Opponent]],WYTeamInfo,2,FALSE)=Roster!$D$1,VLOOKUP(PlayerGameData[[#This Row],[Opponent]],WYTeamInfo,3,FALSE)=Roster!$D$2),"SR","")),"")</f>
        <v/>
      </c>
      <c r="AH759" s="8" t="str">
        <f>CONCATENATE(Roster!$D$1," ",Roster!$D$5)</f>
        <v>1A BB</v>
      </c>
      <c r="AI759" s="8" t="str">
        <f t="shared" ca="1" si="362"/>
        <v>Blank</v>
      </c>
      <c r="AJ759" s="8">
        <f ca="1">IFERROR(VLOOKUP(PlayerGameData[[#This Row],[School, Opponent,Game'#]],Table3[],2,FALSE),0)</f>
        <v>0</v>
      </c>
      <c r="AK759" s="8">
        <f ca="1">IF(PlayerGameData[[#This Row],[Visible]]=1,1,1000)</f>
        <v>1000</v>
      </c>
      <c r="AL759" s="8">
        <f ca="1">RANK(PlayerGameData[[#This Row],[TL PTS]],PlayerGameData[TL PTS],0)+PlayerGameData[[#This Row],[VisibleOrder]]</f>
        <v>1184</v>
      </c>
      <c r="AM759" s="8">
        <f ca="1">IF(COUNTIF(PlayerGameData[PointOrder],PlayerGameData[[#This Row],[PointOrder]])&gt;1,RANK(PlayerGameData[[#This Row],[FGA]],PlayerGameData[FGA],0)/100,0)+PlayerGameData[[#This Row],[PointOrder]]</f>
        <v>1186.1400000000001</v>
      </c>
      <c r="AN759" s="8">
        <f ca="1">RANK(PlayerGameData[[#This Row],[PointTieBreak]],PlayerGameData[PointTieBreak],1)</f>
        <v>625</v>
      </c>
      <c r="AO759" s="8">
        <f ca="1">RANK(PlayerGameData[[#This Row],[REB]],PlayerGameData[REB],0)+PlayerGameData[[#This Row],[VisibleOrder]]</f>
        <v>1191</v>
      </c>
      <c r="AP759" s="8">
        <f ca="1">IF(COUNTIF(PlayerGameData[REBOrder],PlayerGameData[[#This Row],[REBOrder]])&gt;1,PlayerGameData[[#This Row],[PointRank]]/100+PlayerGameData[[#This Row],[REBOrder]],PlayerGameData[[#This Row],[REBOrder]])</f>
        <v>1197.25</v>
      </c>
      <c r="AQ759" s="8">
        <f ca="1">RANK(PlayerGameData[[#This Row],[REBTieBreak]],PlayerGameData[REBTieBreak],1)</f>
        <v>625</v>
      </c>
      <c r="AR759" s="8">
        <f ca="1">RANK(PlayerGameData[[#This Row],[AST]],PlayerGameData[AST],0)+PlayerGameData[[#This Row],[VisibleOrder]]</f>
        <v>1157</v>
      </c>
      <c r="AS759" s="8">
        <f ca="1">IF(COUNTIF(PlayerGameData[ASTOrder],PlayerGameData[[#This Row],[ASTOrder]])&gt;1,PlayerGameData[[#This Row],[PointRank]]/100+PlayerGameData[[#This Row],[ASTOrder]],PlayerGameData[[#This Row],[ASTOrder]])</f>
        <v>1163.25</v>
      </c>
      <c r="AT759" s="8">
        <f ca="1">RANK(PlayerGameData[[#This Row],[ASTTieBreak]],PlayerGameData[ASTTieBreak],1)</f>
        <v>625</v>
      </c>
      <c r="AU759" s="8">
        <f ca="1">RANK(PlayerGameData[[#This Row],[STL]],PlayerGameData[STL],0)+PlayerGameData[[#This Row],[VisibleOrder]]</f>
        <v>1142</v>
      </c>
      <c r="AV759" s="8">
        <f ca="1">IF(COUNTIF(PlayerGameData[STLOrder],PlayerGameData[[#This Row],[STLOrder]])&gt;1,PlayerGameData[[#This Row],[PointRank]]/100+PlayerGameData[[#This Row],[STLOrder]],PlayerGameData[[#This Row],[STLOrder]])</f>
        <v>1148.25</v>
      </c>
      <c r="AW759" s="8">
        <f ca="1">RANK(PlayerGameData[[#This Row],[STLTieBreak]],PlayerGameData[STLTieBreak],1)</f>
        <v>625</v>
      </c>
      <c r="AX759" s="8">
        <f ca="1">RANK(PlayerGameData[[#This Row],[BLK]],PlayerGameData[BLK],0)+PlayerGameData[[#This Row],[VisibleOrder]]</f>
        <v>1031</v>
      </c>
      <c r="AY759" s="8">
        <f ca="1">IF(COUNTIF(PlayerGameData[BLKOrder],PlayerGameData[[#This Row],[BLKOrder]])&gt;1,PlayerGameData[[#This Row],[PointRank]]/100+PlayerGameData[[#This Row],[BLKOrder]],PlayerGameData[[#This Row],[BLKOrder]])</f>
        <v>1037.25</v>
      </c>
      <c r="AZ759" s="8">
        <f ca="1">RANK(PlayerGameData[[#This Row],[BLKTieBreak]],PlayerGameData[BLKTieBreak],1)</f>
        <v>625</v>
      </c>
      <c r="BA759" s="11">
        <f ca="1">IFERROR(IF(PlayerGameData[[#This Row],[FGA]]&gt;$AA$5,PlayerGameData[[#This Row],[FG%*]],PlayerGameData[[#This Row],[FG%*]]*-1),-2)</f>
        <v>-2</v>
      </c>
      <c r="BB759" s="8">
        <f ca="1">RANK(PlayerGameData[[#This Row],[EligFG]],PlayerGameData[EligFG],0)+PlayerGameData[[#This Row],[VisibleOrder]]</f>
        <v>1214</v>
      </c>
      <c r="BC759" s="8">
        <f ca="1">IF(COUNTIF(PlayerGameData[EligFGOrder],PlayerGameData[[#This Row],[EligFGOrder]])&gt;1,PlayerGameData[[#This Row],[PointRank]]/100+PlayerGameData[[#This Row],[EligFGOrder]],PlayerGameData[[#This Row],[EligFGOrder]])</f>
        <v>1220.25</v>
      </c>
      <c r="BD759" s="8">
        <f ca="1">RANK(PlayerGameData[[#This Row],[EligFGTieBreak]],PlayerGameData[EligFGTieBreak],1)</f>
        <v>625</v>
      </c>
      <c r="BE759" s="8" t="str">
        <f>Roster!$D$3</f>
        <v>East</v>
      </c>
      <c r="BF759" s="8" t="str">
        <f>Roster!$D$2</f>
        <v>Northeast</v>
      </c>
      <c r="BG759" s="8" t="str">
        <f>Roster!$D$4</f>
        <v>North</v>
      </c>
      <c r="BH759" s="197">
        <f ca="1">IFERROR(VLOOKUP(CONCATENATE(PlayerGameData[[#This Row],[Opponent]]," ",MONTH(PlayerGameData[[#This Row],[Date]]),"/",DAY(PlayerGameData[[#This Row],[Date]]),"/",YEAR(PlayerGameData[[#This Row],[Date]])),Table35[],2,FALSE),0)</f>
        <v>0</v>
      </c>
      <c r="BI759" s="197">
        <f ca="1">IF(PlayerGameData[[#This Row],[Visible]]=1,1,1000)</f>
        <v>1000</v>
      </c>
      <c r="BJ759" s="197" t="e">
        <f ca="1">_xlfn.MAXIFS(TeamGameData[Win],TeamGameData[School, Opponent,Game'#],PlayerGameData[[#This Row],[School, Opponent,Game'#]])</f>
        <v>#NAME?</v>
      </c>
      <c r="BK759" s="197" t="e">
        <f ca="1">_xlfn.MAXIFS(TeamGameData[Loss],TeamGameData[School, Opponent,Game'#],PlayerGameData[[#This Row],[School, Opponent,Game'#]])</f>
        <v>#NAME?</v>
      </c>
    </row>
    <row r="760" spans="1:63" x14ac:dyDescent="0.25">
      <c r="A760" s="8" t="str">
        <f t="shared" ca="1" si="363"/>
        <v>Kailer Duarte, 31</v>
      </c>
      <c r="B760" s="8" t="str">
        <f>Roster!$B$1</f>
        <v>Upton</v>
      </c>
      <c r="C760" s="8">
        <f t="shared" ca="1" si="351"/>
        <v>0</v>
      </c>
      <c r="D760" s="10">
        <f t="shared" ca="1" si="352"/>
        <v>0</v>
      </c>
      <c r="E760" s="8">
        <f t="shared" ca="1" si="353"/>
        <v>0</v>
      </c>
      <c r="F760" s="8">
        <f t="shared" ca="1" si="354"/>
        <v>0</v>
      </c>
      <c r="G760" s="8">
        <f t="shared" ca="1" si="355"/>
        <v>0</v>
      </c>
      <c r="H760" s="8">
        <f t="shared" ca="1" si="356"/>
        <v>0</v>
      </c>
      <c r="I760" s="8">
        <f t="shared" ca="1" si="357"/>
        <v>0</v>
      </c>
      <c r="J760" s="8">
        <f t="shared" ca="1" si="358"/>
        <v>0</v>
      </c>
      <c r="K760" s="8">
        <f t="shared" ca="1" si="359"/>
        <v>0</v>
      </c>
      <c r="L760" s="8">
        <f t="shared" ca="1" si="364"/>
        <v>0</v>
      </c>
      <c r="M760" s="8">
        <f t="shared" ca="1" si="365"/>
        <v>0</v>
      </c>
      <c r="N760" s="8">
        <f t="shared" ca="1" si="366"/>
        <v>0</v>
      </c>
      <c r="O760" s="8">
        <f t="shared" ca="1" si="367"/>
        <v>0</v>
      </c>
      <c r="P760" s="8">
        <f t="shared" ca="1" si="368"/>
        <v>0</v>
      </c>
      <c r="Q760" s="8">
        <f t="shared" ca="1" si="369"/>
        <v>0</v>
      </c>
      <c r="R760" s="8">
        <f t="shared" ca="1" si="370"/>
        <v>0</v>
      </c>
      <c r="S760" s="8">
        <f t="shared" ca="1" si="371"/>
        <v>0</v>
      </c>
      <c r="T760" s="8">
        <f t="shared" ca="1" si="372"/>
        <v>0</v>
      </c>
      <c r="U760" s="8">
        <f t="shared" ca="1" si="373"/>
        <v>0</v>
      </c>
      <c r="V760" s="8">
        <f t="shared" ca="1" si="374"/>
        <v>0</v>
      </c>
      <c r="W760" s="11" t="str">
        <f t="shared" ca="1" si="375"/>
        <v/>
      </c>
      <c r="X760" s="11" t="str">
        <f t="shared" ca="1" si="376"/>
        <v/>
      </c>
      <c r="Y760" s="11" t="str">
        <f t="shared" ca="1" si="377"/>
        <v/>
      </c>
      <c r="Z760" s="11" t="str">
        <f t="shared" ca="1" si="378"/>
        <v/>
      </c>
      <c r="AA760" s="11" t="str">
        <f t="shared" ca="1" si="379"/>
        <v/>
      </c>
      <c r="AB760" s="47">
        <f ca="1">PlayerGameData[[#This Row],[3FGA]]+PlayerGameData[[#This Row],[2FGA]]</f>
        <v>0</v>
      </c>
      <c r="AC760" s="47">
        <f ca="1">PlayerGameData[[#This Row],[OFF REB]]+PlayerGameData[[#This Row],[DEF REB]]</f>
        <v>0</v>
      </c>
      <c r="AD760" s="8">
        <f t="shared" si="360"/>
        <v>32</v>
      </c>
      <c r="AE760" s="8" t="str">
        <f t="shared" ca="1" si="361"/>
        <v>Kailer Duarte, 31 - 0 1/0/1900</v>
      </c>
      <c r="AF760" s="8" t="str">
        <f t="shared" ca="1" si="380"/>
        <v/>
      </c>
      <c r="AG760" s="8" t="str">
        <f ca="1">IFERROR(IF(C760=0,"",IF(AND(VLOOKUP(PlayerGameData[[#This Row],[Opponent]],WYTeamInfo,2,FALSE)=Roster!$D$1,VLOOKUP(PlayerGameData[[#This Row],[Opponent]],WYTeamInfo,3,FALSE)=Roster!$D$2),"SR","")),"")</f>
        <v/>
      </c>
      <c r="AH760" s="8" t="str">
        <f>CONCATENATE(Roster!$D$1," ",Roster!$D$5)</f>
        <v>1A BB</v>
      </c>
      <c r="AI760" s="8" t="str">
        <f t="shared" ca="1" si="362"/>
        <v>Blank</v>
      </c>
      <c r="AJ760" s="8">
        <f ca="1">IFERROR(VLOOKUP(PlayerGameData[[#This Row],[School, Opponent,Game'#]],Table3[],2,FALSE),0)</f>
        <v>0</v>
      </c>
      <c r="AK760" s="8">
        <f ca="1">IF(PlayerGameData[[#This Row],[Visible]]=1,1,1000)</f>
        <v>1000</v>
      </c>
      <c r="AL760" s="8">
        <f ca="1">RANK(PlayerGameData[[#This Row],[TL PTS]],PlayerGameData[TL PTS],0)+PlayerGameData[[#This Row],[VisibleOrder]]</f>
        <v>1184</v>
      </c>
      <c r="AM760" s="8">
        <f ca="1">IF(COUNTIF(PlayerGameData[PointOrder],PlayerGameData[[#This Row],[PointOrder]])&gt;1,RANK(PlayerGameData[[#This Row],[FGA]],PlayerGameData[FGA],0)/100,0)+PlayerGameData[[#This Row],[PointOrder]]</f>
        <v>1186.1400000000001</v>
      </c>
      <c r="AN760" s="8">
        <f ca="1">RANK(PlayerGameData[[#This Row],[PointTieBreak]],PlayerGameData[PointTieBreak],1)</f>
        <v>625</v>
      </c>
      <c r="AO760" s="8">
        <f ca="1">RANK(PlayerGameData[[#This Row],[REB]],PlayerGameData[REB],0)+PlayerGameData[[#This Row],[VisibleOrder]]</f>
        <v>1191</v>
      </c>
      <c r="AP760" s="8">
        <f ca="1">IF(COUNTIF(PlayerGameData[REBOrder],PlayerGameData[[#This Row],[REBOrder]])&gt;1,PlayerGameData[[#This Row],[PointRank]]/100+PlayerGameData[[#This Row],[REBOrder]],PlayerGameData[[#This Row],[REBOrder]])</f>
        <v>1197.25</v>
      </c>
      <c r="AQ760" s="8">
        <f ca="1">RANK(PlayerGameData[[#This Row],[REBTieBreak]],PlayerGameData[REBTieBreak],1)</f>
        <v>625</v>
      </c>
      <c r="AR760" s="8">
        <f ca="1">RANK(PlayerGameData[[#This Row],[AST]],PlayerGameData[AST],0)+PlayerGameData[[#This Row],[VisibleOrder]]</f>
        <v>1157</v>
      </c>
      <c r="AS760" s="8">
        <f ca="1">IF(COUNTIF(PlayerGameData[ASTOrder],PlayerGameData[[#This Row],[ASTOrder]])&gt;1,PlayerGameData[[#This Row],[PointRank]]/100+PlayerGameData[[#This Row],[ASTOrder]],PlayerGameData[[#This Row],[ASTOrder]])</f>
        <v>1163.25</v>
      </c>
      <c r="AT760" s="8">
        <f ca="1">RANK(PlayerGameData[[#This Row],[ASTTieBreak]],PlayerGameData[ASTTieBreak],1)</f>
        <v>625</v>
      </c>
      <c r="AU760" s="8">
        <f ca="1">RANK(PlayerGameData[[#This Row],[STL]],PlayerGameData[STL],0)+PlayerGameData[[#This Row],[VisibleOrder]]</f>
        <v>1142</v>
      </c>
      <c r="AV760" s="8">
        <f ca="1">IF(COUNTIF(PlayerGameData[STLOrder],PlayerGameData[[#This Row],[STLOrder]])&gt;1,PlayerGameData[[#This Row],[PointRank]]/100+PlayerGameData[[#This Row],[STLOrder]],PlayerGameData[[#This Row],[STLOrder]])</f>
        <v>1148.25</v>
      </c>
      <c r="AW760" s="8">
        <f ca="1">RANK(PlayerGameData[[#This Row],[STLTieBreak]],PlayerGameData[STLTieBreak],1)</f>
        <v>625</v>
      </c>
      <c r="AX760" s="8">
        <f ca="1">RANK(PlayerGameData[[#This Row],[BLK]],PlayerGameData[BLK],0)+PlayerGameData[[#This Row],[VisibleOrder]]</f>
        <v>1031</v>
      </c>
      <c r="AY760" s="8">
        <f ca="1">IF(COUNTIF(PlayerGameData[BLKOrder],PlayerGameData[[#This Row],[BLKOrder]])&gt;1,PlayerGameData[[#This Row],[PointRank]]/100+PlayerGameData[[#This Row],[BLKOrder]],PlayerGameData[[#This Row],[BLKOrder]])</f>
        <v>1037.25</v>
      </c>
      <c r="AZ760" s="8">
        <f ca="1">RANK(PlayerGameData[[#This Row],[BLKTieBreak]],PlayerGameData[BLKTieBreak],1)</f>
        <v>625</v>
      </c>
      <c r="BA760" s="11">
        <f ca="1">IFERROR(IF(PlayerGameData[[#This Row],[FGA]]&gt;$AA$5,PlayerGameData[[#This Row],[FG%*]],PlayerGameData[[#This Row],[FG%*]]*-1),-2)</f>
        <v>-2</v>
      </c>
      <c r="BB760" s="8">
        <f ca="1">RANK(PlayerGameData[[#This Row],[EligFG]],PlayerGameData[EligFG],0)+PlayerGameData[[#This Row],[VisibleOrder]]</f>
        <v>1214</v>
      </c>
      <c r="BC760" s="8">
        <f ca="1">IF(COUNTIF(PlayerGameData[EligFGOrder],PlayerGameData[[#This Row],[EligFGOrder]])&gt;1,PlayerGameData[[#This Row],[PointRank]]/100+PlayerGameData[[#This Row],[EligFGOrder]],PlayerGameData[[#This Row],[EligFGOrder]])</f>
        <v>1220.25</v>
      </c>
      <c r="BD760" s="8">
        <f ca="1">RANK(PlayerGameData[[#This Row],[EligFGTieBreak]],PlayerGameData[EligFGTieBreak],1)</f>
        <v>625</v>
      </c>
      <c r="BE760" s="8" t="str">
        <f>Roster!$D$3</f>
        <v>East</v>
      </c>
      <c r="BF760" s="8" t="str">
        <f>Roster!$D$2</f>
        <v>Northeast</v>
      </c>
      <c r="BG760" s="8" t="str">
        <f>Roster!$D$4</f>
        <v>North</v>
      </c>
      <c r="BH760" s="197">
        <f ca="1">IFERROR(VLOOKUP(CONCATENATE(PlayerGameData[[#This Row],[Opponent]]," ",MONTH(PlayerGameData[[#This Row],[Date]]),"/",DAY(PlayerGameData[[#This Row],[Date]]),"/",YEAR(PlayerGameData[[#This Row],[Date]])),Table35[],2,FALSE),0)</f>
        <v>0</v>
      </c>
      <c r="BI760" s="197">
        <f ca="1">IF(PlayerGameData[[#This Row],[Visible]]=1,1,1000)</f>
        <v>1000</v>
      </c>
      <c r="BJ760" s="197" t="e">
        <f ca="1">_xlfn.MAXIFS(TeamGameData[Win],TeamGameData[School, Opponent,Game'#],PlayerGameData[[#This Row],[School, Opponent,Game'#]])</f>
        <v>#NAME?</v>
      </c>
      <c r="BK760" s="197" t="e">
        <f ca="1">_xlfn.MAXIFS(TeamGameData[Loss],TeamGameData[School, Opponent,Game'#],PlayerGameData[[#This Row],[School, Opponent,Game'#]])</f>
        <v>#NAME?</v>
      </c>
    </row>
    <row r="761" spans="1:63" x14ac:dyDescent="0.25">
      <c r="A761" s="8" t="str">
        <f t="shared" ca="1" si="363"/>
        <v>Matt Stirmel, 33</v>
      </c>
      <c r="B761" s="8" t="str">
        <f>Roster!$B$1</f>
        <v>Upton</v>
      </c>
      <c r="C761" s="8">
        <f t="shared" ca="1" si="351"/>
        <v>0</v>
      </c>
      <c r="D761" s="10">
        <f t="shared" ca="1" si="352"/>
        <v>0</v>
      </c>
      <c r="E761" s="8">
        <f t="shared" ca="1" si="353"/>
        <v>0</v>
      </c>
      <c r="F761" s="8">
        <f t="shared" ca="1" si="354"/>
        <v>0</v>
      </c>
      <c r="G761" s="8">
        <f t="shared" ca="1" si="355"/>
        <v>0</v>
      </c>
      <c r="H761" s="8">
        <f t="shared" ca="1" si="356"/>
        <v>0</v>
      </c>
      <c r="I761" s="8">
        <f t="shared" ca="1" si="357"/>
        <v>0</v>
      </c>
      <c r="J761" s="8">
        <f t="shared" ca="1" si="358"/>
        <v>0</v>
      </c>
      <c r="K761" s="8">
        <f t="shared" ca="1" si="359"/>
        <v>0</v>
      </c>
      <c r="L761" s="8">
        <f t="shared" ca="1" si="364"/>
        <v>0</v>
      </c>
      <c r="M761" s="8">
        <f t="shared" ca="1" si="365"/>
        <v>0</v>
      </c>
      <c r="N761" s="8">
        <f t="shared" ca="1" si="366"/>
        <v>0</v>
      </c>
      <c r="O761" s="8">
        <f t="shared" ca="1" si="367"/>
        <v>0</v>
      </c>
      <c r="P761" s="8">
        <f t="shared" ca="1" si="368"/>
        <v>0</v>
      </c>
      <c r="Q761" s="8">
        <f t="shared" ca="1" si="369"/>
        <v>0</v>
      </c>
      <c r="R761" s="8">
        <f t="shared" ca="1" si="370"/>
        <v>0</v>
      </c>
      <c r="S761" s="8">
        <f t="shared" ca="1" si="371"/>
        <v>0</v>
      </c>
      <c r="T761" s="8">
        <f t="shared" ca="1" si="372"/>
        <v>0</v>
      </c>
      <c r="U761" s="8">
        <f t="shared" ca="1" si="373"/>
        <v>0</v>
      </c>
      <c r="V761" s="8">
        <f t="shared" ca="1" si="374"/>
        <v>0</v>
      </c>
      <c r="W761" s="11" t="str">
        <f t="shared" ca="1" si="375"/>
        <v/>
      </c>
      <c r="X761" s="11" t="str">
        <f t="shared" ca="1" si="376"/>
        <v/>
      </c>
      <c r="Y761" s="11" t="str">
        <f t="shared" ca="1" si="377"/>
        <v/>
      </c>
      <c r="Z761" s="11" t="str">
        <f t="shared" ca="1" si="378"/>
        <v/>
      </c>
      <c r="AA761" s="11" t="str">
        <f t="shared" ca="1" si="379"/>
        <v/>
      </c>
      <c r="AB761" s="47">
        <f ca="1">PlayerGameData[[#This Row],[3FGA]]+PlayerGameData[[#This Row],[2FGA]]</f>
        <v>0</v>
      </c>
      <c r="AC761" s="47">
        <f ca="1">PlayerGameData[[#This Row],[OFF REB]]+PlayerGameData[[#This Row],[DEF REB]]</f>
        <v>0</v>
      </c>
      <c r="AD761" s="8">
        <f t="shared" si="360"/>
        <v>32</v>
      </c>
      <c r="AE761" s="8" t="str">
        <f t="shared" ca="1" si="361"/>
        <v>Matt Stirmel, 33 - 0 1/0/1900</v>
      </c>
      <c r="AF761" s="8" t="str">
        <f t="shared" ca="1" si="380"/>
        <v/>
      </c>
      <c r="AG761" s="8" t="str">
        <f ca="1">IFERROR(IF(C761=0,"",IF(AND(VLOOKUP(PlayerGameData[[#This Row],[Opponent]],WYTeamInfo,2,FALSE)=Roster!$D$1,VLOOKUP(PlayerGameData[[#This Row],[Opponent]],WYTeamInfo,3,FALSE)=Roster!$D$2),"SR","")),"")</f>
        <v/>
      </c>
      <c r="AH761" s="8" t="str">
        <f>CONCATENATE(Roster!$D$1," ",Roster!$D$5)</f>
        <v>1A BB</v>
      </c>
      <c r="AI761" s="8" t="str">
        <f t="shared" ca="1" si="362"/>
        <v>Blank</v>
      </c>
      <c r="AJ761" s="8">
        <f ca="1">IFERROR(VLOOKUP(PlayerGameData[[#This Row],[School, Opponent,Game'#]],Table3[],2,FALSE),0)</f>
        <v>0</v>
      </c>
      <c r="AK761" s="8">
        <f ca="1">IF(PlayerGameData[[#This Row],[Visible]]=1,1,1000)</f>
        <v>1000</v>
      </c>
      <c r="AL761" s="8">
        <f ca="1">RANK(PlayerGameData[[#This Row],[TL PTS]],PlayerGameData[TL PTS],0)+PlayerGameData[[#This Row],[VisibleOrder]]</f>
        <v>1184</v>
      </c>
      <c r="AM761" s="8">
        <f ca="1">IF(COUNTIF(PlayerGameData[PointOrder],PlayerGameData[[#This Row],[PointOrder]])&gt;1,RANK(PlayerGameData[[#This Row],[FGA]],PlayerGameData[FGA],0)/100,0)+PlayerGameData[[#This Row],[PointOrder]]</f>
        <v>1186.1400000000001</v>
      </c>
      <c r="AN761" s="8">
        <f ca="1">RANK(PlayerGameData[[#This Row],[PointTieBreak]],PlayerGameData[PointTieBreak],1)</f>
        <v>625</v>
      </c>
      <c r="AO761" s="8">
        <f ca="1">RANK(PlayerGameData[[#This Row],[REB]],PlayerGameData[REB],0)+PlayerGameData[[#This Row],[VisibleOrder]]</f>
        <v>1191</v>
      </c>
      <c r="AP761" s="8">
        <f ca="1">IF(COUNTIF(PlayerGameData[REBOrder],PlayerGameData[[#This Row],[REBOrder]])&gt;1,PlayerGameData[[#This Row],[PointRank]]/100+PlayerGameData[[#This Row],[REBOrder]],PlayerGameData[[#This Row],[REBOrder]])</f>
        <v>1197.25</v>
      </c>
      <c r="AQ761" s="8">
        <f ca="1">RANK(PlayerGameData[[#This Row],[REBTieBreak]],PlayerGameData[REBTieBreak],1)</f>
        <v>625</v>
      </c>
      <c r="AR761" s="8">
        <f ca="1">RANK(PlayerGameData[[#This Row],[AST]],PlayerGameData[AST],0)+PlayerGameData[[#This Row],[VisibleOrder]]</f>
        <v>1157</v>
      </c>
      <c r="AS761" s="8">
        <f ca="1">IF(COUNTIF(PlayerGameData[ASTOrder],PlayerGameData[[#This Row],[ASTOrder]])&gt;1,PlayerGameData[[#This Row],[PointRank]]/100+PlayerGameData[[#This Row],[ASTOrder]],PlayerGameData[[#This Row],[ASTOrder]])</f>
        <v>1163.25</v>
      </c>
      <c r="AT761" s="8">
        <f ca="1">RANK(PlayerGameData[[#This Row],[ASTTieBreak]],PlayerGameData[ASTTieBreak],1)</f>
        <v>625</v>
      </c>
      <c r="AU761" s="8">
        <f ca="1">RANK(PlayerGameData[[#This Row],[STL]],PlayerGameData[STL],0)+PlayerGameData[[#This Row],[VisibleOrder]]</f>
        <v>1142</v>
      </c>
      <c r="AV761" s="8">
        <f ca="1">IF(COUNTIF(PlayerGameData[STLOrder],PlayerGameData[[#This Row],[STLOrder]])&gt;1,PlayerGameData[[#This Row],[PointRank]]/100+PlayerGameData[[#This Row],[STLOrder]],PlayerGameData[[#This Row],[STLOrder]])</f>
        <v>1148.25</v>
      </c>
      <c r="AW761" s="8">
        <f ca="1">RANK(PlayerGameData[[#This Row],[STLTieBreak]],PlayerGameData[STLTieBreak],1)</f>
        <v>625</v>
      </c>
      <c r="AX761" s="8">
        <f ca="1">RANK(PlayerGameData[[#This Row],[BLK]],PlayerGameData[BLK],0)+PlayerGameData[[#This Row],[VisibleOrder]]</f>
        <v>1031</v>
      </c>
      <c r="AY761" s="8">
        <f ca="1">IF(COUNTIF(PlayerGameData[BLKOrder],PlayerGameData[[#This Row],[BLKOrder]])&gt;1,PlayerGameData[[#This Row],[PointRank]]/100+PlayerGameData[[#This Row],[BLKOrder]],PlayerGameData[[#This Row],[BLKOrder]])</f>
        <v>1037.25</v>
      </c>
      <c r="AZ761" s="8">
        <f ca="1">RANK(PlayerGameData[[#This Row],[BLKTieBreak]],PlayerGameData[BLKTieBreak],1)</f>
        <v>625</v>
      </c>
      <c r="BA761" s="11">
        <f ca="1">IFERROR(IF(PlayerGameData[[#This Row],[FGA]]&gt;$AA$5,PlayerGameData[[#This Row],[FG%*]],PlayerGameData[[#This Row],[FG%*]]*-1),-2)</f>
        <v>-2</v>
      </c>
      <c r="BB761" s="8">
        <f ca="1">RANK(PlayerGameData[[#This Row],[EligFG]],PlayerGameData[EligFG],0)+PlayerGameData[[#This Row],[VisibleOrder]]</f>
        <v>1214</v>
      </c>
      <c r="BC761" s="8">
        <f ca="1">IF(COUNTIF(PlayerGameData[EligFGOrder],PlayerGameData[[#This Row],[EligFGOrder]])&gt;1,PlayerGameData[[#This Row],[PointRank]]/100+PlayerGameData[[#This Row],[EligFGOrder]],PlayerGameData[[#This Row],[EligFGOrder]])</f>
        <v>1220.25</v>
      </c>
      <c r="BD761" s="8">
        <f ca="1">RANK(PlayerGameData[[#This Row],[EligFGTieBreak]],PlayerGameData[EligFGTieBreak],1)</f>
        <v>625</v>
      </c>
      <c r="BE761" s="8" t="str">
        <f>Roster!$D$3</f>
        <v>East</v>
      </c>
      <c r="BF761" s="8" t="str">
        <f>Roster!$D$2</f>
        <v>Northeast</v>
      </c>
      <c r="BG761" s="8" t="str">
        <f>Roster!$D$4</f>
        <v>North</v>
      </c>
      <c r="BH761" s="197">
        <f ca="1">IFERROR(VLOOKUP(CONCATENATE(PlayerGameData[[#This Row],[Opponent]]," ",MONTH(PlayerGameData[[#This Row],[Date]]),"/",DAY(PlayerGameData[[#This Row],[Date]]),"/",YEAR(PlayerGameData[[#This Row],[Date]])),Table35[],2,FALSE),0)</f>
        <v>0</v>
      </c>
      <c r="BI761" s="197">
        <f ca="1">IF(PlayerGameData[[#This Row],[Visible]]=1,1,1000)</f>
        <v>1000</v>
      </c>
      <c r="BJ761" s="197" t="e">
        <f ca="1">_xlfn.MAXIFS(TeamGameData[Win],TeamGameData[School, Opponent,Game'#],PlayerGameData[[#This Row],[School, Opponent,Game'#]])</f>
        <v>#NAME?</v>
      </c>
      <c r="BK761" s="197" t="e">
        <f ca="1">_xlfn.MAXIFS(TeamGameData[Loss],TeamGameData[School, Opponent,Game'#],PlayerGameData[[#This Row],[School, Opponent,Game'#]])</f>
        <v>#NAME?</v>
      </c>
    </row>
    <row r="762" spans="1:63" x14ac:dyDescent="0.25">
      <c r="A762" s="8" t="str">
        <f t="shared" ca="1" si="363"/>
        <v>Jacob McNutt, 34</v>
      </c>
      <c r="B762" s="8" t="str">
        <f>Roster!$B$1</f>
        <v>Upton</v>
      </c>
      <c r="C762" s="8">
        <f t="shared" ca="1" si="351"/>
        <v>0</v>
      </c>
      <c r="D762" s="10">
        <f t="shared" ca="1" si="352"/>
        <v>0</v>
      </c>
      <c r="E762" s="8">
        <f t="shared" ca="1" si="353"/>
        <v>0</v>
      </c>
      <c r="F762" s="8">
        <f t="shared" ca="1" si="354"/>
        <v>0</v>
      </c>
      <c r="G762" s="8">
        <f t="shared" ca="1" si="355"/>
        <v>0</v>
      </c>
      <c r="H762" s="8">
        <f t="shared" ca="1" si="356"/>
        <v>0</v>
      </c>
      <c r="I762" s="8">
        <f t="shared" ca="1" si="357"/>
        <v>0</v>
      </c>
      <c r="J762" s="8">
        <f t="shared" ca="1" si="358"/>
        <v>0</v>
      </c>
      <c r="K762" s="8">
        <f t="shared" ca="1" si="359"/>
        <v>0</v>
      </c>
      <c r="L762" s="8">
        <f t="shared" ca="1" si="364"/>
        <v>0</v>
      </c>
      <c r="M762" s="8">
        <f t="shared" ca="1" si="365"/>
        <v>0</v>
      </c>
      <c r="N762" s="8">
        <f t="shared" ca="1" si="366"/>
        <v>0</v>
      </c>
      <c r="O762" s="8">
        <f t="shared" ca="1" si="367"/>
        <v>0</v>
      </c>
      <c r="P762" s="8">
        <f t="shared" ca="1" si="368"/>
        <v>0</v>
      </c>
      <c r="Q762" s="8">
        <f t="shared" ca="1" si="369"/>
        <v>0</v>
      </c>
      <c r="R762" s="8">
        <f t="shared" ca="1" si="370"/>
        <v>0</v>
      </c>
      <c r="S762" s="8">
        <f t="shared" ca="1" si="371"/>
        <v>0</v>
      </c>
      <c r="T762" s="8">
        <f t="shared" ca="1" si="372"/>
        <v>0</v>
      </c>
      <c r="U762" s="8">
        <f t="shared" ca="1" si="373"/>
        <v>0</v>
      </c>
      <c r="V762" s="8">
        <f t="shared" ca="1" si="374"/>
        <v>0</v>
      </c>
      <c r="W762" s="11" t="str">
        <f t="shared" ca="1" si="375"/>
        <v/>
      </c>
      <c r="X762" s="11" t="str">
        <f t="shared" ca="1" si="376"/>
        <v/>
      </c>
      <c r="Y762" s="11" t="str">
        <f t="shared" ca="1" si="377"/>
        <v/>
      </c>
      <c r="Z762" s="11" t="str">
        <f t="shared" ca="1" si="378"/>
        <v/>
      </c>
      <c r="AA762" s="11" t="str">
        <f t="shared" ca="1" si="379"/>
        <v/>
      </c>
      <c r="AB762" s="47">
        <f ca="1">PlayerGameData[[#This Row],[3FGA]]+PlayerGameData[[#This Row],[2FGA]]</f>
        <v>0</v>
      </c>
      <c r="AC762" s="47">
        <f ca="1">PlayerGameData[[#This Row],[OFF REB]]+PlayerGameData[[#This Row],[DEF REB]]</f>
        <v>0</v>
      </c>
      <c r="AD762" s="8">
        <f t="shared" si="360"/>
        <v>32</v>
      </c>
      <c r="AE762" s="8" t="str">
        <f t="shared" ca="1" si="361"/>
        <v>Jacob McNutt, 34 - 0 1/0/1900</v>
      </c>
      <c r="AF762" s="8" t="str">
        <f t="shared" ca="1" si="380"/>
        <v/>
      </c>
      <c r="AG762" s="8" t="str">
        <f ca="1">IFERROR(IF(C762=0,"",IF(AND(VLOOKUP(PlayerGameData[[#This Row],[Opponent]],WYTeamInfo,2,FALSE)=Roster!$D$1,VLOOKUP(PlayerGameData[[#This Row],[Opponent]],WYTeamInfo,3,FALSE)=Roster!$D$2),"SR","")),"")</f>
        <v/>
      </c>
      <c r="AH762" s="8" t="str">
        <f>CONCATENATE(Roster!$D$1," ",Roster!$D$5)</f>
        <v>1A BB</v>
      </c>
      <c r="AI762" s="8" t="str">
        <f t="shared" ca="1" si="362"/>
        <v>Blank</v>
      </c>
      <c r="AJ762" s="8">
        <f ca="1">IFERROR(VLOOKUP(PlayerGameData[[#This Row],[School, Opponent,Game'#]],Table3[],2,FALSE),0)</f>
        <v>0</v>
      </c>
      <c r="AK762" s="8">
        <f ca="1">IF(PlayerGameData[[#This Row],[Visible]]=1,1,1000)</f>
        <v>1000</v>
      </c>
      <c r="AL762" s="8">
        <f ca="1">RANK(PlayerGameData[[#This Row],[TL PTS]],PlayerGameData[TL PTS],0)+PlayerGameData[[#This Row],[VisibleOrder]]</f>
        <v>1184</v>
      </c>
      <c r="AM762" s="8">
        <f ca="1">IF(COUNTIF(PlayerGameData[PointOrder],PlayerGameData[[#This Row],[PointOrder]])&gt;1,RANK(PlayerGameData[[#This Row],[FGA]],PlayerGameData[FGA],0)/100,0)+PlayerGameData[[#This Row],[PointOrder]]</f>
        <v>1186.1400000000001</v>
      </c>
      <c r="AN762" s="8">
        <f ca="1">RANK(PlayerGameData[[#This Row],[PointTieBreak]],PlayerGameData[PointTieBreak],1)</f>
        <v>625</v>
      </c>
      <c r="AO762" s="8">
        <f ca="1">RANK(PlayerGameData[[#This Row],[REB]],PlayerGameData[REB],0)+PlayerGameData[[#This Row],[VisibleOrder]]</f>
        <v>1191</v>
      </c>
      <c r="AP762" s="8">
        <f ca="1">IF(COUNTIF(PlayerGameData[REBOrder],PlayerGameData[[#This Row],[REBOrder]])&gt;1,PlayerGameData[[#This Row],[PointRank]]/100+PlayerGameData[[#This Row],[REBOrder]],PlayerGameData[[#This Row],[REBOrder]])</f>
        <v>1197.25</v>
      </c>
      <c r="AQ762" s="8">
        <f ca="1">RANK(PlayerGameData[[#This Row],[REBTieBreak]],PlayerGameData[REBTieBreak],1)</f>
        <v>625</v>
      </c>
      <c r="AR762" s="8">
        <f ca="1">RANK(PlayerGameData[[#This Row],[AST]],PlayerGameData[AST],0)+PlayerGameData[[#This Row],[VisibleOrder]]</f>
        <v>1157</v>
      </c>
      <c r="AS762" s="8">
        <f ca="1">IF(COUNTIF(PlayerGameData[ASTOrder],PlayerGameData[[#This Row],[ASTOrder]])&gt;1,PlayerGameData[[#This Row],[PointRank]]/100+PlayerGameData[[#This Row],[ASTOrder]],PlayerGameData[[#This Row],[ASTOrder]])</f>
        <v>1163.25</v>
      </c>
      <c r="AT762" s="8">
        <f ca="1">RANK(PlayerGameData[[#This Row],[ASTTieBreak]],PlayerGameData[ASTTieBreak],1)</f>
        <v>625</v>
      </c>
      <c r="AU762" s="8">
        <f ca="1">RANK(PlayerGameData[[#This Row],[STL]],PlayerGameData[STL],0)+PlayerGameData[[#This Row],[VisibleOrder]]</f>
        <v>1142</v>
      </c>
      <c r="AV762" s="8">
        <f ca="1">IF(COUNTIF(PlayerGameData[STLOrder],PlayerGameData[[#This Row],[STLOrder]])&gt;1,PlayerGameData[[#This Row],[PointRank]]/100+PlayerGameData[[#This Row],[STLOrder]],PlayerGameData[[#This Row],[STLOrder]])</f>
        <v>1148.25</v>
      </c>
      <c r="AW762" s="8">
        <f ca="1">RANK(PlayerGameData[[#This Row],[STLTieBreak]],PlayerGameData[STLTieBreak],1)</f>
        <v>625</v>
      </c>
      <c r="AX762" s="8">
        <f ca="1">RANK(PlayerGameData[[#This Row],[BLK]],PlayerGameData[BLK],0)+PlayerGameData[[#This Row],[VisibleOrder]]</f>
        <v>1031</v>
      </c>
      <c r="AY762" s="8">
        <f ca="1">IF(COUNTIF(PlayerGameData[BLKOrder],PlayerGameData[[#This Row],[BLKOrder]])&gt;1,PlayerGameData[[#This Row],[PointRank]]/100+PlayerGameData[[#This Row],[BLKOrder]],PlayerGameData[[#This Row],[BLKOrder]])</f>
        <v>1037.25</v>
      </c>
      <c r="AZ762" s="8">
        <f ca="1">RANK(PlayerGameData[[#This Row],[BLKTieBreak]],PlayerGameData[BLKTieBreak],1)</f>
        <v>625</v>
      </c>
      <c r="BA762" s="11">
        <f ca="1">IFERROR(IF(PlayerGameData[[#This Row],[FGA]]&gt;$AA$5,PlayerGameData[[#This Row],[FG%*]],PlayerGameData[[#This Row],[FG%*]]*-1),-2)</f>
        <v>-2</v>
      </c>
      <c r="BB762" s="8">
        <f ca="1">RANK(PlayerGameData[[#This Row],[EligFG]],PlayerGameData[EligFG],0)+PlayerGameData[[#This Row],[VisibleOrder]]</f>
        <v>1214</v>
      </c>
      <c r="BC762" s="8">
        <f ca="1">IF(COUNTIF(PlayerGameData[EligFGOrder],PlayerGameData[[#This Row],[EligFGOrder]])&gt;1,PlayerGameData[[#This Row],[PointRank]]/100+PlayerGameData[[#This Row],[EligFGOrder]],PlayerGameData[[#This Row],[EligFGOrder]])</f>
        <v>1220.25</v>
      </c>
      <c r="BD762" s="8">
        <f ca="1">RANK(PlayerGameData[[#This Row],[EligFGTieBreak]],PlayerGameData[EligFGTieBreak],1)</f>
        <v>625</v>
      </c>
      <c r="BE762" s="8" t="str">
        <f>Roster!$D$3</f>
        <v>East</v>
      </c>
      <c r="BF762" s="8" t="str">
        <f>Roster!$D$2</f>
        <v>Northeast</v>
      </c>
      <c r="BG762" s="8" t="str">
        <f>Roster!$D$4</f>
        <v>North</v>
      </c>
      <c r="BH762" s="197">
        <f ca="1">IFERROR(VLOOKUP(CONCATENATE(PlayerGameData[[#This Row],[Opponent]]," ",MONTH(PlayerGameData[[#This Row],[Date]]),"/",DAY(PlayerGameData[[#This Row],[Date]]),"/",YEAR(PlayerGameData[[#This Row],[Date]])),Table35[],2,FALSE),0)</f>
        <v>0</v>
      </c>
      <c r="BI762" s="197">
        <f ca="1">IF(PlayerGameData[[#This Row],[Visible]]=1,1,1000)</f>
        <v>1000</v>
      </c>
      <c r="BJ762" s="197" t="e">
        <f ca="1">_xlfn.MAXIFS(TeamGameData[Win],TeamGameData[School, Opponent,Game'#],PlayerGameData[[#This Row],[School, Opponent,Game'#]])</f>
        <v>#NAME?</v>
      </c>
      <c r="BK762" s="197" t="e">
        <f ca="1">_xlfn.MAXIFS(TeamGameData[Loss],TeamGameData[School, Opponent,Game'#],PlayerGameData[[#This Row],[School, Opponent,Game'#]])</f>
        <v>#NAME?</v>
      </c>
    </row>
    <row r="763" spans="1:63" x14ac:dyDescent="0.25">
      <c r="A763" s="8" t="str">
        <f t="shared" ca="1" si="363"/>
        <v>Ryan Baker, 35</v>
      </c>
      <c r="B763" s="8" t="str">
        <f>Roster!$B$1</f>
        <v>Upton</v>
      </c>
      <c r="C763" s="8">
        <f t="shared" ca="1" si="351"/>
        <v>0</v>
      </c>
      <c r="D763" s="10">
        <f t="shared" ca="1" si="352"/>
        <v>0</v>
      </c>
      <c r="E763" s="8">
        <f t="shared" ca="1" si="353"/>
        <v>0</v>
      </c>
      <c r="F763" s="8">
        <f t="shared" ca="1" si="354"/>
        <v>0</v>
      </c>
      <c r="G763" s="8">
        <f t="shared" ca="1" si="355"/>
        <v>0</v>
      </c>
      <c r="H763" s="8">
        <f t="shared" ca="1" si="356"/>
        <v>0</v>
      </c>
      <c r="I763" s="8">
        <f t="shared" ca="1" si="357"/>
        <v>0</v>
      </c>
      <c r="J763" s="8">
        <f t="shared" ca="1" si="358"/>
        <v>0</v>
      </c>
      <c r="K763" s="8">
        <f t="shared" ca="1" si="359"/>
        <v>0</v>
      </c>
      <c r="L763" s="8">
        <f t="shared" ca="1" si="364"/>
        <v>0</v>
      </c>
      <c r="M763" s="8">
        <f t="shared" ca="1" si="365"/>
        <v>0</v>
      </c>
      <c r="N763" s="8">
        <f t="shared" ca="1" si="366"/>
        <v>0</v>
      </c>
      <c r="O763" s="8">
        <f t="shared" ca="1" si="367"/>
        <v>0</v>
      </c>
      <c r="P763" s="8">
        <f t="shared" ca="1" si="368"/>
        <v>0</v>
      </c>
      <c r="Q763" s="8">
        <f t="shared" ca="1" si="369"/>
        <v>0</v>
      </c>
      <c r="R763" s="8">
        <f t="shared" ca="1" si="370"/>
        <v>0</v>
      </c>
      <c r="S763" s="8">
        <f t="shared" ca="1" si="371"/>
        <v>0</v>
      </c>
      <c r="T763" s="8">
        <f t="shared" ca="1" si="372"/>
        <v>0</v>
      </c>
      <c r="U763" s="8">
        <f t="shared" ca="1" si="373"/>
        <v>0</v>
      </c>
      <c r="V763" s="8">
        <f t="shared" ca="1" si="374"/>
        <v>0</v>
      </c>
      <c r="W763" s="11" t="str">
        <f t="shared" ca="1" si="375"/>
        <v/>
      </c>
      <c r="X763" s="11" t="str">
        <f t="shared" ca="1" si="376"/>
        <v/>
      </c>
      <c r="Y763" s="11" t="str">
        <f t="shared" ca="1" si="377"/>
        <v/>
      </c>
      <c r="Z763" s="11" t="str">
        <f t="shared" ca="1" si="378"/>
        <v/>
      </c>
      <c r="AA763" s="11" t="str">
        <f t="shared" ca="1" si="379"/>
        <v/>
      </c>
      <c r="AB763" s="47">
        <f ca="1">PlayerGameData[[#This Row],[3FGA]]+PlayerGameData[[#This Row],[2FGA]]</f>
        <v>0</v>
      </c>
      <c r="AC763" s="47">
        <f ca="1">PlayerGameData[[#This Row],[OFF REB]]+PlayerGameData[[#This Row],[DEF REB]]</f>
        <v>0</v>
      </c>
      <c r="AD763" s="8">
        <f t="shared" si="360"/>
        <v>32</v>
      </c>
      <c r="AE763" s="8" t="str">
        <f t="shared" ca="1" si="361"/>
        <v>Ryan Baker, 35 - 0 1/0/1900</v>
      </c>
      <c r="AF763" s="8" t="str">
        <f t="shared" ca="1" si="380"/>
        <v/>
      </c>
      <c r="AG763" s="8" t="str">
        <f ca="1">IFERROR(IF(C763=0,"",IF(AND(VLOOKUP(PlayerGameData[[#This Row],[Opponent]],WYTeamInfo,2,FALSE)=Roster!$D$1,VLOOKUP(PlayerGameData[[#This Row],[Opponent]],WYTeamInfo,3,FALSE)=Roster!$D$2),"SR","")),"")</f>
        <v/>
      </c>
      <c r="AH763" s="8" t="str">
        <f>CONCATENATE(Roster!$D$1," ",Roster!$D$5)</f>
        <v>1A BB</v>
      </c>
      <c r="AI763" s="8" t="str">
        <f t="shared" ca="1" si="362"/>
        <v>Blank</v>
      </c>
      <c r="AJ763" s="8">
        <f ca="1">IFERROR(VLOOKUP(PlayerGameData[[#This Row],[School, Opponent,Game'#]],Table3[],2,FALSE),0)</f>
        <v>0</v>
      </c>
      <c r="AK763" s="8">
        <f ca="1">IF(PlayerGameData[[#This Row],[Visible]]=1,1,1000)</f>
        <v>1000</v>
      </c>
      <c r="AL763" s="8">
        <f ca="1">RANK(PlayerGameData[[#This Row],[TL PTS]],PlayerGameData[TL PTS],0)+PlayerGameData[[#This Row],[VisibleOrder]]</f>
        <v>1184</v>
      </c>
      <c r="AM763" s="8">
        <f ca="1">IF(COUNTIF(PlayerGameData[PointOrder],PlayerGameData[[#This Row],[PointOrder]])&gt;1,RANK(PlayerGameData[[#This Row],[FGA]],PlayerGameData[FGA],0)/100,0)+PlayerGameData[[#This Row],[PointOrder]]</f>
        <v>1186.1400000000001</v>
      </c>
      <c r="AN763" s="8">
        <f ca="1">RANK(PlayerGameData[[#This Row],[PointTieBreak]],PlayerGameData[PointTieBreak],1)</f>
        <v>625</v>
      </c>
      <c r="AO763" s="8">
        <f ca="1">RANK(PlayerGameData[[#This Row],[REB]],PlayerGameData[REB],0)+PlayerGameData[[#This Row],[VisibleOrder]]</f>
        <v>1191</v>
      </c>
      <c r="AP763" s="8">
        <f ca="1">IF(COUNTIF(PlayerGameData[REBOrder],PlayerGameData[[#This Row],[REBOrder]])&gt;1,PlayerGameData[[#This Row],[PointRank]]/100+PlayerGameData[[#This Row],[REBOrder]],PlayerGameData[[#This Row],[REBOrder]])</f>
        <v>1197.25</v>
      </c>
      <c r="AQ763" s="8">
        <f ca="1">RANK(PlayerGameData[[#This Row],[REBTieBreak]],PlayerGameData[REBTieBreak],1)</f>
        <v>625</v>
      </c>
      <c r="AR763" s="8">
        <f ca="1">RANK(PlayerGameData[[#This Row],[AST]],PlayerGameData[AST],0)+PlayerGameData[[#This Row],[VisibleOrder]]</f>
        <v>1157</v>
      </c>
      <c r="AS763" s="8">
        <f ca="1">IF(COUNTIF(PlayerGameData[ASTOrder],PlayerGameData[[#This Row],[ASTOrder]])&gt;1,PlayerGameData[[#This Row],[PointRank]]/100+PlayerGameData[[#This Row],[ASTOrder]],PlayerGameData[[#This Row],[ASTOrder]])</f>
        <v>1163.25</v>
      </c>
      <c r="AT763" s="8">
        <f ca="1">RANK(PlayerGameData[[#This Row],[ASTTieBreak]],PlayerGameData[ASTTieBreak],1)</f>
        <v>625</v>
      </c>
      <c r="AU763" s="8">
        <f ca="1">RANK(PlayerGameData[[#This Row],[STL]],PlayerGameData[STL],0)+PlayerGameData[[#This Row],[VisibleOrder]]</f>
        <v>1142</v>
      </c>
      <c r="AV763" s="8">
        <f ca="1">IF(COUNTIF(PlayerGameData[STLOrder],PlayerGameData[[#This Row],[STLOrder]])&gt;1,PlayerGameData[[#This Row],[PointRank]]/100+PlayerGameData[[#This Row],[STLOrder]],PlayerGameData[[#This Row],[STLOrder]])</f>
        <v>1148.25</v>
      </c>
      <c r="AW763" s="8">
        <f ca="1">RANK(PlayerGameData[[#This Row],[STLTieBreak]],PlayerGameData[STLTieBreak],1)</f>
        <v>625</v>
      </c>
      <c r="AX763" s="8">
        <f ca="1">RANK(PlayerGameData[[#This Row],[BLK]],PlayerGameData[BLK],0)+PlayerGameData[[#This Row],[VisibleOrder]]</f>
        <v>1031</v>
      </c>
      <c r="AY763" s="8">
        <f ca="1">IF(COUNTIF(PlayerGameData[BLKOrder],PlayerGameData[[#This Row],[BLKOrder]])&gt;1,PlayerGameData[[#This Row],[PointRank]]/100+PlayerGameData[[#This Row],[BLKOrder]],PlayerGameData[[#This Row],[BLKOrder]])</f>
        <v>1037.25</v>
      </c>
      <c r="AZ763" s="8">
        <f ca="1">RANK(PlayerGameData[[#This Row],[BLKTieBreak]],PlayerGameData[BLKTieBreak],1)</f>
        <v>625</v>
      </c>
      <c r="BA763" s="11">
        <f ca="1">IFERROR(IF(PlayerGameData[[#This Row],[FGA]]&gt;$AA$5,PlayerGameData[[#This Row],[FG%*]],PlayerGameData[[#This Row],[FG%*]]*-1),-2)</f>
        <v>-2</v>
      </c>
      <c r="BB763" s="8">
        <f ca="1">RANK(PlayerGameData[[#This Row],[EligFG]],PlayerGameData[EligFG],0)+PlayerGameData[[#This Row],[VisibleOrder]]</f>
        <v>1214</v>
      </c>
      <c r="BC763" s="8">
        <f ca="1">IF(COUNTIF(PlayerGameData[EligFGOrder],PlayerGameData[[#This Row],[EligFGOrder]])&gt;1,PlayerGameData[[#This Row],[PointRank]]/100+PlayerGameData[[#This Row],[EligFGOrder]],PlayerGameData[[#This Row],[EligFGOrder]])</f>
        <v>1220.25</v>
      </c>
      <c r="BD763" s="8">
        <f ca="1">RANK(PlayerGameData[[#This Row],[EligFGTieBreak]],PlayerGameData[EligFGTieBreak],1)</f>
        <v>625</v>
      </c>
      <c r="BE763" s="8" t="str">
        <f>Roster!$D$3</f>
        <v>East</v>
      </c>
      <c r="BF763" s="8" t="str">
        <f>Roster!$D$2</f>
        <v>Northeast</v>
      </c>
      <c r="BG763" s="8" t="str">
        <f>Roster!$D$4</f>
        <v>North</v>
      </c>
      <c r="BH763" s="197">
        <f ca="1">IFERROR(VLOOKUP(CONCATENATE(PlayerGameData[[#This Row],[Opponent]]," ",MONTH(PlayerGameData[[#This Row],[Date]]),"/",DAY(PlayerGameData[[#This Row],[Date]]),"/",YEAR(PlayerGameData[[#This Row],[Date]])),Table35[],2,FALSE),0)</f>
        <v>0</v>
      </c>
      <c r="BI763" s="197">
        <f ca="1">IF(PlayerGameData[[#This Row],[Visible]]=1,1,1000)</f>
        <v>1000</v>
      </c>
      <c r="BJ763" s="197" t="e">
        <f ca="1">_xlfn.MAXIFS(TeamGameData[Win],TeamGameData[School, Opponent,Game'#],PlayerGameData[[#This Row],[School, Opponent,Game'#]])</f>
        <v>#NAME?</v>
      </c>
      <c r="BK763" s="197" t="e">
        <f ca="1">_xlfn.MAXIFS(TeamGameData[Loss],TeamGameData[School, Opponent,Game'#],PlayerGameData[[#This Row],[School, Opponent,Game'#]])</f>
        <v>#NAME?</v>
      </c>
    </row>
    <row r="764" spans="1:63" x14ac:dyDescent="0.25">
      <c r="A764" s="8" t="str">
        <f t="shared" ca="1" si="363"/>
        <v xml:space="preserve">, </v>
      </c>
      <c r="B764" s="8" t="str">
        <f>Roster!$B$1</f>
        <v>Upton</v>
      </c>
      <c r="C764" s="8">
        <f t="shared" ca="1" si="351"/>
        <v>0</v>
      </c>
      <c r="D764" s="10">
        <f t="shared" ca="1" si="352"/>
        <v>0</v>
      </c>
      <c r="E764" s="8">
        <f t="shared" ca="1" si="353"/>
        <v>0</v>
      </c>
      <c r="F764" s="8">
        <f t="shared" ca="1" si="354"/>
        <v>0</v>
      </c>
      <c r="G764" s="8">
        <f t="shared" ca="1" si="355"/>
        <v>0</v>
      </c>
      <c r="H764" s="8">
        <f t="shared" ca="1" si="356"/>
        <v>0</v>
      </c>
      <c r="I764" s="8">
        <f t="shared" ca="1" si="357"/>
        <v>0</v>
      </c>
      <c r="J764" s="8">
        <f t="shared" ca="1" si="358"/>
        <v>0</v>
      </c>
      <c r="K764" s="8">
        <f t="shared" ca="1" si="359"/>
        <v>0</v>
      </c>
      <c r="L764" s="8">
        <f t="shared" ca="1" si="364"/>
        <v>0</v>
      </c>
      <c r="M764" s="8">
        <f t="shared" ca="1" si="365"/>
        <v>0</v>
      </c>
      <c r="N764" s="8">
        <f t="shared" ca="1" si="366"/>
        <v>0</v>
      </c>
      <c r="O764" s="8">
        <f t="shared" ca="1" si="367"/>
        <v>0</v>
      </c>
      <c r="P764" s="8">
        <f t="shared" ca="1" si="368"/>
        <v>0</v>
      </c>
      <c r="Q764" s="8">
        <f t="shared" ca="1" si="369"/>
        <v>0</v>
      </c>
      <c r="R764" s="8">
        <f t="shared" ca="1" si="370"/>
        <v>0</v>
      </c>
      <c r="S764" s="8">
        <f t="shared" ca="1" si="371"/>
        <v>0</v>
      </c>
      <c r="T764" s="8">
        <f t="shared" ca="1" si="372"/>
        <v>0</v>
      </c>
      <c r="U764" s="8">
        <f t="shared" ca="1" si="373"/>
        <v>0</v>
      </c>
      <c r="V764" s="8">
        <f t="shared" ca="1" si="374"/>
        <v>0</v>
      </c>
      <c r="W764" s="11" t="str">
        <f t="shared" ca="1" si="375"/>
        <v/>
      </c>
      <c r="X764" s="11" t="str">
        <f t="shared" ca="1" si="376"/>
        <v/>
      </c>
      <c r="Y764" s="11" t="str">
        <f t="shared" ca="1" si="377"/>
        <v/>
      </c>
      <c r="Z764" s="11" t="str">
        <f t="shared" ca="1" si="378"/>
        <v/>
      </c>
      <c r="AA764" s="11" t="str">
        <f t="shared" ca="1" si="379"/>
        <v/>
      </c>
      <c r="AB764" s="47">
        <f ca="1">PlayerGameData[[#This Row],[3FGA]]+PlayerGameData[[#This Row],[2FGA]]</f>
        <v>0</v>
      </c>
      <c r="AC764" s="47">
        <f ca="1">PlayerGameData[[#This Row],[OFF REB]]+PlayerGameData[[#This Row],[DEF REB]]</f>
        <v>0</v>
      </c>
      <c r="AD764" s="8">
        <f t="shared" si="360"/>
        <v>32</v>
      </c>
      <c r="AE764" s="8" t="str">
        <f t="shared" ca="1" si="361"/>
        <v>,  - 0 1/0/1900</v>
      </c>
      <c r="AF764" s="8" t="str">
        <f t="shared" ca="1" si="380"/>
        <v/>
      </c>
      <c r="AG764" s="8" t="str">
        <f ca="1">IFERROR(IF(C764=0,"",IF(AND(VLOOKUP(PlayerGameData[[#This Row],[Opponent]],WYTeamInfo,2,FALSE)=Roster!$D$1,VLOOKUP(PlayerGameData[[#This Row],[Opponent]],WYTeamInfo,3,FALSE)=Roster!$D$2),"SR","")),"")</f>
        <v/>
      </c>
      <c r="AH764" s="8" t="str">
        <f>CONCATENATE(Roster!$D$1," ",Roster!$D$5)</f>
        <v>1A BB</v>
      </c>
      <c r="AI764" s="8" t="str">
        <f t="shared" ca="1" si="362"/>
        <v>Blank</v>
      </c>
      <c r="AJ764" s="8">
        <f ca="1">IFERROR(VLOOKUP(PlayerGameData[[#This Row],[School, Opponent,Game'#]],Table3[],2,FALSE),0)</f>
        <v>0</v>
      </c>
      <c r="AK764" s="8">
        <f ca="1">IF(PlayerGameData[[#This Row],[Visible]]=1,1,1000)</f>
        <v>1000</v>
      </c>
      <c r="AL764" s="8">
        <f ca="1">RANK(PlayerGameData[[#This Row],[TL PTS]],PlayerGameData[TL PTS],0)+PlayerGameData[[#This Row],[VisibleOrder]]</f>
        <v>1184</v>
      </c>
      <c r="AM764" s="8">
        <f ca="1">IF(COUNTIF(PlayerGameData[PointOrder],PlayerGameData[[#This Row],[PointOrder]])&gt;1,RANK(PlayerGameData[[#This Row],[FGA]],PlayerGameData[FGA],0)/100,0)+PlayerGameData[[#This Row],[PointOrder]]</f>
        <v>1186.1400000000001</v>
      </c>
      <c r="AN764" s="8">
        <f ca="1">RANK(PlayerGameData[[#This Row],[PointTieBreak]],PlayerGameData[PointTieBreak],1)</f>
        <v>625</v>
      </c>
      <c r="AO764" s="8">
        <f ca="1">RANK(PlayerGameData[[#This Row],[REB]],PlayerGameData[REB],0)+PlayerGameData[[#This Row],[VisibleOrder]]</f>
        <v>1191</v>
      </c>
      <c r="AP764" s="8">
        <f ca="1">IF(COUNTIF(PlayerGameData[REBOrder],PlayerGameData[[#This Row],[REBOrder]])&gt;1,PlayerGameData[[#This Row],[PointRank]]/100+PlayerGameData[[#This Row],[REBOrder]],PlayerGameData[[#This Row],[REBOrder]])</f>
        <v>1197.25</v>
      </c>
      <c r="AQ764" s="8">
        <f ca="1">RANK(PlayerGameData[[#This Row],[REBTieBreak]],PlayerGameData[REBTieBreak],1)</f>
        <v>625</v>
      </c>
      <c r="AR764" s="8">
        <f ca="1">RANK(PlayerGameData[[#This Row],[AST]],PlayerGameData[AST],0)+PlayerGameData[[#This Row],[VisibleOrder]]</f>
        <v>1157</v>
      </c>
      <c r="AS764" s="8">
        <f ca="1">IF(COUNTIF(PlayerGameData[ASTOrder],PlayerGameData[[#This Row],[ASTOrder]])&gt;1,PlayerGameData[[#This Row],[PointRank]]/100+PlayerGameData[[#This Row],[ASTOrder]],PlayerGameData[[#This Row],[ASTOrder]])</f>
        <v>1163.25</v>
      </c>
      <c r="AT764" s="8">
        <f ca="1">RANK(PlayerGameData[[#This Row],[ASTTieBreak]],PlayerGameData[ASTTieBreak],1)</f>
        <v>625</v>
      </c>
      <c r="AU764" s="8">
        <f ca="1">RANK(PlayerGameData[[#This Row],[STL]],PlayerGameData[STL],0)+PlayerGameData[[#This Row],[VisibleOrder]]</f>
        <v>1142</v>
      </c>
      <c r="AV764" s="8">
        <f ca="1">IF(COUNTIF(PlayerGameData[STLOrder],PlayerGameData[[#This Row],[STLOrder]])&gt;1,PlayerGameData[[#This Row],[PointRank]]/100+PlayerGameData[[#This Row],[STLOrder]],PlayerGameData[[#This Row],[STLOrder]])</f>
        <v>1148.25</v>
      </c>
      <c r="AW764" s="8">
        <f ca="1">RANK(PlayerGameData[[#This Row],[STLTieBreak]],PlayerGameData[STLTieBreak],1)</f>
        <v>625</v>
      </c>
      <c r="AX764" s="8">
        <f ca="1">RANK(PlayerGameData[[#This Row],[BLK]],PlayerGameData[BLK],0)+PlayerGameData[[#This Row],[VisibleOrder]]</f>
        <v>1031</v>
      </c>
      <c r="AY764" s="8">
        <f ca="1">IF(COUNTIF(PlayerGameData[BLKOrder],PlayerGameData[[#This Row],[BLKOrder]])&gt;1,PlayerGameData[[#This Row],[PointRank]]/100+PlayerGameData[[#This Row],[BLKOrder]],PlayerGameData[[#This Row],[BLKOrder]])</f>
        <v>1037.25</v>
      </c>
      <c r="AZ764" s="8">
        <f ca="1">RANK(PlayerGameData[[#This Row],[BLKTieBreak]],PlayerGameData[BLKTieBreak],1)</f>
        <v>625</v>
      </c>
      <c r="BA764" s="11">
        <f ca="1">IFERROR(IF(PlayerGameData[[#This Row],[FGA]]&gt;$AA$5,PlayerGameData[[#This Row],[FG%*]],PlayerGameData[[#This Row],[FG%*]]*-1),-2)</f>
        <v>-2</v>
      </c>
      <c r="BB764" s="8">
        <f ca="1">RANK(PlayerGameData[[#This Row],[EligFG]],PlayerGameData[EligFG],0)+PlayerGameData[[#This Row],[VisibleOrder]]</f>
        <v>1214</v>
      </c>
      <c r="BC764" s="8">
        <f ca="1">IF(COUNTIF(PlayerGameData[EligFGOrder],PlayerGameData[[#This Row],[EligFGOrder]])&gt;1,PlayerGameData[[#This Row],[PointRank]]/100+PlayerGameData[[#This Row],[EligFGOrder]],PlayerGameData[[#This Row],[EligFGOrder]])</f>
        <v>1220.25</v>
      </c>
      <c r="BD764" s="8">
        <f ca="1">RANK(PlayerGameData[[#This Row],[EligFGTieBreak]],PlayerGameData[EligFGTieBreak],1)</f>
        <v>625</v>
      </c>
      <c r="BE764" s="8" t="str">
        <f>Roster!$D$3</f>
        <v>East</v>
      </c>
      <c r="BF764" s="8" t="str">
        <f>Roster!$D$2</f>
        <v>Northeast</v>
      </c>
      <c r="BG764" s="8" t="str">
        <f>Roster!$D$4</f>
        <v>North</v>
      </c>
      <c r="BH764" s="197">
        <f ca="1">IFERROR(VLOOKUP(CONCATENATE(PlayerGameData[[#This Row],[Opponent]]," ",MONTH(PlayerGameData[[#This Row],[Date]]),"/",DAY(PlayerGameData[[#This Row],[Date]]),"/",YEAR(PlayerGameData[[#This Row],[Date]])),Table35[],2,FALSE),0)</f>
        <v>0</v>
      </c>
      <c r="BI764" s="197">
        <f ca="1">IF(PlayerGameData[[#This Row],[Visible]]=1,1,1000)</f>
        <v>1000</v>
      </c>
      <c r="BJ764" s="197" t="e">
        <f ca="1">_xlfn.MAXIFS(TeamGameData[Win],TeamGameData[School, Opponent,Game'#],PlayerGameData[[#This Row],[School, Opponent,Game'#]])</f>
        <v>#NAME?</v>
      </c>
      <c r="BK764" s="197" t="e">
        <f ca="1">_xlfn.MAXIFS(TeamGameData[Loss],TeamGameData[School, Opponent,Game'#],PlayerGameData[[#This Row],[School, Opponent,Game'#]])</f>
        <v>#NAME?</v>
      </c>
    </row>
    <row r="765" spans="1:63" x14ac:dyDescent="0.25">
      <c r="A765" s="8" t="str">
        <f t="shared" ca="1" si="363"/>
        <v xml:space="preserve">, </v>
      </c>
      <c r="B765" s="8" t="str">
        <f>Roster!$B$1</f>
        <v>Upton</v>
      </c>
      <c r="C765" s="8">
        <f t="shared" ca="1" si="351"/>
        <v>0</v>
      </c>
      <c r="D765" s="10">
        <f t="shared" ca="1" si="352"/>
        <v>0</v>
      </c>
      <c r="E765" s="8">
        <f t="shared" ca="1" si="353"/>
        <v>0</v>
      </c>
      <c r="F765" s="8">
        <f t="shared" ca="1" si="354"/>
        <v>0</v>
      </c>
      <c r="G765" s="8">
        <f t="shared" ca="1" si="355"/>
        <v>0</v>
      </c>
      <c r="H765" s="8">
        <f t="shared" ca="1" si="356"/>
        <v>0</v>
      </c>
      <c r="I765" s="8">
        <f t="shared" ca="1" si="357"/>
        <v>0</v>
      </c>
      <c r="J765" s="8">
        <f t="shared" ca="1" si="358"/>
        <v>0</v>
      </c>
      <c r="K765" s="8">
        <f t="shared" ca="1" si="359"/>
        <v>0</v>
      </c>
      <c r="L765" s="8">
        <f t="shared" ca="1" si="364"/>
        <v>0</v>
      </c>
      <c r="M765" s="8">
        <f t="shared" ca="1" si="365"/>
        <v>0</v>
      </c>
      <c r="N765" s="8">
        <f t="shared" ca="1" si="366"/>
        <v>0</v>
      </c>
      <c r="O765" s="8">
        <f t="shared" ca="1" si="367"/>
        <v>0</v>
      </c>
      <c r="P765" s="8">
        <f t="shared" ca="1" si="368"/>
        <v>0</v>
      </c>
      <c r="Q765" s="8">
        <f t="shared" ca="1" si="369"/>
        <v>0</v>
      </c>
      <c r="R765" s="8">
        <f t="shared" ca="1" si="370"/>
        <v>0</v>
      </c>
      <c r="S765" s="8">
        <f t="shared" ca="1" si="371"/>
        <v>0</v>
      </c>
      <c r="T765" s="8">
        <f t="shared" ca="1" si="372"/>
        <v>0</v>
      </c>
      <c r="U765" s="8">
        <f t="shared" ca="1" si="373"/>
        <v>0</v>
      </c>
      <c r="V765" s="8">
        <f t="shared" ca="1" si="374"/>
        <v>0</v>
      </c>
      <c r="W765" s="11" t="str">
        <f t="shared" ca="1" si="375"/>
        <v/>
      </c>
      <c r="X765" s="11" t="str">
        <f t="shared" ca="1" si="376"/>
        <v/>
      </c>
      <c r="Y765" s="11" t="str">
        <f t="shared" ca="1" si="377"/>
        <v/>
      </c>
      <c r="Z765" s="11" t="str">
        <f t="shared" ca="1" si="378"/>
        <v/>
      </c>
      <c r="AA765" s="11" t="str">
        <f t="shared" ca="1" si="379"/>
        <v/>
      </c>
      <c r="AB765" s="47">
        <f ca="1">PlayerGameData[[#This Row],[3FGA]]+PlayerGameData[[#This Row],[2FGA]]</f>
        <v>0</v>
      </c>
      <c r="AC765" s="47">
        <f ca="1">PlayerGameData[[#This Row],[OFF REB]]+PlayerGameData[[#This Row],[DEF REB]]</f>
        <v>0</v>
      </c>
      <c r="AD765" s="8">
        <f t="shared" si="360"/>
        <v>32</v>
      </c>
      <c r="AE765" s="8" t="str">
        <f t="shared" ca="1" si="361"/>
        <v>,  - 0 1/0/1900</v>
      </c>
      <c r="AF765" s="8" t="str">
        <f t="shared" ca="1" si="380"/>
        <v/>
      </c>
      <c r="AG765" s="8" t="str">
        <f ca="1">IFERROR(IF(C765=0,"",IF(AND(VLOOKUP(PlayerGameData[[#This Row],[Opponent]],WYTeamInfo,2,FALSE)=Roster!$D$1,VLOOKUP(PlayerGameData[[#This Row],[Opponent]],WYTeamInfo,3,FALSE)=Roster!$D$2),"SR","")),"")</f>
        <v/>
      </c>
      <c r="AH765" s="8" t="str">
        <f>CONCATENATE(Roster!$D$1," ",Roster!$D$5)</f>
        <v>1A BB</v>
      </c>
      <c r="AI765" s="8" t="str">
        <f t="shared" ca="1" si="362"/>
        <v>Blank</v>
      </c>
      <c r="AJ765" s="8">
        <f ca="1">IFERROR(VLOOKUP(PlayerGameData[[#This Row],[School, Opponent,Game'#]],Table3[],2,FALSE),0)</f>
        <v>0</v>
      </c>
      <c r="AK765" s="8">
        <f ca="1">IF(PlayerGameData[[#This Row],[Visible]]=1,1,1000)</f>
        <v>1000</v>
      </c>
      <c r="AL765" s="8">
        <f ca="1">RANK(PlayerGameData[[#This Row],[TL PTS]],PlayerGameData[TL PTS],0)+PlayerGameData[[#This Row],[VisibleOrder]]</f>
        <v>1184</v>
      </c>
      <c r="AM765" s="8">
        <f ca="1">IF(COUNTIF(PlayerGameData[PointOrder],PlayerGameData[[#This Row],[PointOrder]])&gt;1,RANK(PlayerGameData[[#This Row],[FGA]],PlayerGameData[FGA],0)/100,0)+PlayerGameData[[#This Row],[PointOrder]]</f>
        <v>1186.1400000000001</v>
      </c>
      <c r="AN765" s="8">
        <f ca="1">RANK(PlayerGameData[[#This Row],[PointTieBreak]],PlayerGameData[PointTieBreak],1)</f>
        <v>625</v>
      </c>
      <c r="AO765" s="8">
        <f ca="1">RANK(PlayerGameData[[#This Row],[REB]],PlayerGameData[REB],0)+PlayerGameData[[#This Row],[VisibleOrder]]</f>
        <v>1191</v>
      </c>
      <c r="AP765" s="8">
        <f ca="1">IF(COUNTIF(PlayerGameData[REBOrder],PlayerGameData[[#This Row],[REBOrder]])&gt;1,PlayerGameData[[#This Row],[PointRank]]/100+PlayerGameData[[#This Row],[REBOrder]],PlayerGameData[[#This Row],[REBOrder]])</f>
        <v>1197.25</v>
      </c>
      <c r="AQ765" s="8">
        <f ca="1">RANK(PlayerGameData[[#This Row],[REBTieBreak]],PlayerGameData[REBTieBreak],1)</f>
        <v>625</v>
      </c>
      <c r="AR765" s="8">
        <f ca="1">RANK(PlayerGameData[[#This Row],[AST]],PlayerGameData[AST],0)+PlayerGameData[[#This Row],[VisibleOrder]]</f>
        <v>1157</v>
      </c>
      <c r="AS765" s="8">
        <f ca="1">IF(COUNTIF(PlayerGameData[ASTOrder],PlayerGameData[[#This Row],[ASTOrder]])&gt;1,PlayerGameData[[#This Row],[PointRank]]/100+PlayerGameData[[#This Row],[ASTOrder]],PlayerGameData[[#This Row],[ASTOrder]])</f>
        <v>1163.25</v>
      </c>
      <c r="AT765" s="8">
        <f ca="1">RANK(PlayerGameData[[#This Row],[ASTTieBreak]],PlayerGameData[ASTTieBreak],1)</f>
        <v>625</v>
      </c>
      <c r="AU765" s="8">
        <f ca="1">RANK(PlayerGameData[[#This Row],[STL]],PlayerGameData[STL],0)+PlayerGameData[[#This Row],[VisibleOrder]]</f>
        <v>1142</v>
      </c>
      <c r="AV765" s="8">
        <f ca="1">IF(COUNTIF(PlayerGameData[STLOrder],PlayerGameData[[#This Row],[STLOrder]])&gt;1,PlayerGameData[[#This Row],[PointRank]]/100+PlayerGameData[[#This Row],[STLOrder]],PlayerGameData[[#This Row],[STLOrder]])</f>
        <v>1148.25</v>
      </c>
      <c r="AW765" s="8">
        <f ca="1">RANK(PlayerGameData[[#This Row],[STLTieBreak]],PlayerGameData[STLTieBreak],1)</f>
        <v>625</v>
      </c>
      <c r="AX765" s="8">
        <f ca="1">RANK(PlayerGameData[[#This Row],[BLK]],PlayerGameData[BLK],0)+PlayerGameData[[#This Row],[VisibleOrder]]</f>
        <v>1031</v>
      </c>
      <c r="AY765" s="8">
        <f ca="1">IF(COUNTIF(PlayerGameData[BLKOrder],PlayerGameData[[#This Row],[BLKOrder]])&gt;1,PlayerGameData[[#This Row],[PointRank]]/100+PlayerGameData[[#This Row],[BLKOrder]],PlayerGameData[[#This Row],[BLKOrder]])</f>
        <v>1037.25</v>
      </c>
      <c r="AZ765" s="8">
        <f ca="1">RANK(PlayerGameData[[#This Row],[BLKTieBreak]],PlayerGameData[BLKTieBreak],1)</f>
        <v>625</v>
      </c>
      <c r="BA765" s="11">
        <f ca="1">IFERROR(IF(PlayerGameData[[#This Row],[FGA]]&gt;$AA$5,PlayerGameData[[#This Row],[FG%*]],PlayerGameData[[#This Row],[FG%*]]*-1),-2)</f>
        <v>-2</v>
      </c>
      <c r="BB765" s="8">
        <f ca="1">RANK(PlayerGameData[[#This Row],[EligFG]],PlayerGameData[EligFG],0)+PlayerGameData[[#This Row],[VisibleOrder]]</f>
        <v>1214</v>
      </c>
      <c r="BC765" s="8">
        <f ca="1">IF(COUNTIF(PlayerGameData[EligFGOrder],PlayerGameData[[#This Row],[EligFGOrder]])&gt;1,PlayerGameData[[#This Row],[PointRank]]/100+PlayerGameData[[#This Row],[EligFGOrder]],PlayerGameData[[#This Row],[EligFGOrder]])</f>
        <v>1220.25</v>
      </c>
      <c r="BD765" s="8">
        <f ca="1">RANK(PlayerGameData[[#This Row],[EligFGTieBreak]],PlayerGameData[EligFGTieBreak],1)</f>
        <v>625</v>
      </c>
      <c r="BE765" s="8" t="str">
        <f>Roster!$D$3</f>
        <v>East</v>
      </c>
      <c r="BF765" s="8" t="str">
        <f>Roster!$D$2</f>
        <v>Northeast</v>
      </c>
      <c r="BG765" s="8" t="str">
        <f>Roster!$D$4</f>
        <v>North</v>
      </c>
      <c r="BH765" s="197">
        <f ca="1">IFERROR(VLOOKUP(CONCATENATE(PlayerGameData[[#This Row],[Opponent]]," ",MONTH(PlayerGameData[[#This Row],[Date]]),"/",DAY(PlayerGameData[[#This Row],[Date]]),"/",YEAR(PlayerGameData[[#This Row],[Date]])),Table35[],2,FALSE),0)</f>
        <v>0</v>
      </c>
      <c r="BI765" s="197">
        <f ca="1">IF(PlayerGameData[[#This Row],[Visible]]=1,1,1000)</f>
        <v>1000</v>
      </c>
      <c r="BJ765" s="197" t="e">
        <f ca="1">_xlfn.MAXIFS(TeamGameData[Win],TeamGameData[School, Opponent,Game'#],PlayerGameData[[#This Row],[School, Opponent,Game'#]])</f>
        <v>#NAME?</v>
      </c>
      <c r="BK765" s="197" t="e">
        <f ca="1">_xlfn.MAXIFS(TeamGameData[Loss],TeamGameData[School, Opponent,Game'#],PlayerGameData[[#This Row],[School, Opponent,Game'#]])</f>
        <v>#NAME?</v>
      </c>
    </row>
    <row r="766" spans="1:63" x14ac:dyDescent="0.25">
      <c r="A766" s="8" t="str">
        <f t="shared" ca="1" si="363"/>
        <v xml:space="preserve">, </v>
      </c>
      <c r="B766" s="8" t="str">
        <f>Roster!$B$1</f>
        <v>Upton</v>
      </c>
      <c r="C766" s="8">
        <f t="shared" ca="1" si="351"/>
        <v>0</v>
      </c>
      <c r="D766" s="10">
        <f t="shared" ca="1" si="352"/>
        <v>0</v>
      </c>
      <c r="E766" s="8">
        <f t="shared" ca="1" si="353"/>
        <v>0</v>
      </c>
      <c r="F766" s="8">
        <f t="shared" ca="1" si="354"/>
        <v>0</v>
      </c>
      <c r="G766" s="8">
        <f t="shared" ca="1" si="355"/>
        <v>0</v>
      </c>
      <c r="H766" s="8">
        <f t="shared" ca="1" si="356"/>
        <v>0</v>
      </c>
      <c r="I766" s="8">
        <f t="shared" ca="1" si="357"/>
        <v>0</v>
      </c>
      <c r="J766" s="8">
        <f t="shared" ca="1" si="358"/>
        <v>0</v>
      </c>
      <c r="K766" s="8">
        <f t="shared" ca="1" si="359"/>
        <v>0</v>
      </c>
      <c r="L766" s="8">
        <f t="shared" ca="1" si="364"/>
        <v>0</v>
      </c>
      <c r="M766" s="8">
        <f t="shared" ca="1" si="365"/>
        <v>0</v>
      </c>
      <c r="N766" s="8">
        <f t="shared" ca="1" si="366"/>
        <v>0</v>
      </c>
      <c r="O766" s="8">
        <f t="shared" ca="1" si="367"/>
        <v>0</v>
      </c>
      <c r="P766" s="8">
        <f t="shared" ca="1" si="368"/>
        <v>0</v>
      </c>
      <c r="Q766" s="8">
        <f t="shared" ca="1" si="369"/>
        <v>0</v>
      </c>
      <c r="R766" s="8">
        <f t="shared" ca="1" si="370"/>
        <v>0</v>
      </c>
      <c r="S766" s="8">
        <f t="shared" ca="1" si="371"/>
        <v>0</v>
      </c>
      <c r="T766" s="8">
        <f t="shared" ca="1" si="372"/>
        <v>0</v>
      </c>
      <c r="U766" s="8">
        <f t="shared" ca="1" si="373"/>
        <v>0</v>
      </c>
      <c r="V766" s="8">
        <f t="shared" ca="1" si="374"/>
        <v>0</v>
      </c>
      <c r="W766" s="11" t="str">
        <f t="shared" ca="1" si="375"/>
        <v/>
      </c>
      <c r="X766" s="11" t="str">
        <f t="shared" ca="1" si="376"/>
        <v/>
      </c>
      <c r="Y766" s="11" t="str">
        <f t="shared" ca="1" si="377"/>
        <v/>
      </c>
      <c r="Z766" s="11" t="str">
        <f t="shared" ca="1" si="378"/>
        <v/>
      </c>
      <c r="AA766" s="11" t="str">
        <f t="shared" ca="1" si="379"/>
        <v/>
      </c>
      <c r="AB766" s="47">
        <f ca="1">PlayerGameData[[#This Row],[3FGA]]+PlayerGameData[[#This Row],[2FGA]]</f>
        <v>0</v>
      </c>
      <c r="AC766" s="47">
        <f ca="1">PlayerGameData[[#This Row],[OFF REB]]+PlayerGameData[[#This Row],[DEF REB]]</f>
        <v>0</v>
      </c>
      <c r="AD766" s="8">
        <f t="shared" si="360"/>
        <v>32</v>
      </c>
      <c r="AE766" s="8" t="str">
        <f t="shared" ca="1" si="361"/>
        <v>,  - 0 1/0/1900</v>
      </c>
      <c r="AF766" s="8" t="str">
        <f t="shared" ca="1" si="380"/>
        <v/>
      </c>
      <c r="AG766" s="8" t="str">
        <f ca="1">IFERROR(IF(C766=0,"",IF(AND(VLOOKUP(PlayerGameData[[#This Row],[Opponent]],WYTeamInfo,2,FALSE)=Roster!$D$1,VLOOKUP(PlayerGameData[[#This Row],[Opponent]],WYTeamInfo,3,FALSE)=Roster!$D$2),"SR","")),"")</f>
        <v/>
      </c>
      <c r="AH766" s="8" t="str">
        <f>CONCATENATE(Roster!$D$1," ",Roster!$D$5)</f>
        <v>1A BB</v>
      </c>
      <c r="AI766" s="8" t="str">
        <f t="shared" ca="1" si="362"/>
        <v>Blank</v>
      </c>
      <c r="AJ766" s="8">
        <f ca="1">IFERROR(VLOOKUP(PlayerGameData[[#This Row],[School, Opponent,Game'#]],Table3[],2,FALSE),0)</f>
        <v>0</v>
      </c>
      <c r="AK766" s="8">
        <f ca="1">IF(PlayerGameData[[#This Row],[Visible]]=1,1,1000)</f>
        <v>1000</v>
      </c>
      <c r="AL766" s="8">
        <f ca="1">RANK(PlayerGameData[[#This Row],[TL PTS]],PlayerGameData[TL PTS],0)+PlayerGameData[[#This Row],[VisibleOrder]]</f>
        <v>1184</v>
      </c>
      <c r="AM766" s="8">
        <f ca="1">IF(COUNTIF(PlayerGameData[PointOrder],PlayerGameData[[#This Row],[PointOrder]])&gt;1,RANK(PlayerGameData[[#This Row],[FGA]],PlayerGameData[FGA],0)/100,0)+PlayerGameData[[#This Row],[PointOrder]]</f>
        <v>1186.1400000000001</v>
      </c>
      <c r="AN766" s="8">
        <f ca="1">RANK(PlayerGameData[[#This Row],[PointTieBreak]],PlayerGameData[PointTieBreak],1)</f>
        <v>625</v>
      </c>
      <c r="AO766" s="8">
        <f ca="1">RANK(PlayerGameData[[#This Row],[REB]],PlayerGameData[REB],0)+PlayerGameData[[#This Row],[VisibleOrder]]</f>
        <v>1191</v>
      </c>
      <c r="AP766" s="8">
        <f ca="1">IF(COUNTIF(PlayerGameData[REBOrder],PlayerGameData[[#This Row],[REBOrder]])&gt;1,PlayerGameData[[#This Row],[PointRank]]/100+PlayerGameData[[#This Row],[REBOrder]],PlayerGameData[[#This Row],[REBOrder]])</f>
        <v>1197.25</v>
      </c>
      <c r="AQ766" s="8">
        <f ca="1">RANK(PlayerGameData[[#This Row],[REBTieBreak]],PlayerGameData[REBTieBreak],1)</f>
        <v>625</v>
      </c>
      <c r="AR766" s="8">
        <f ca="1">RANK(PlayerGameData[[#This Row],[AST]],PlayerGameData[AST],0)+PlayerGameData[[#This Row],[VisibleOrder]]</f>
        <v>1157</v>
      </c>
      <c r="AS766" s="8">
        <f ca="1">IF(COUNTIF(PlayerGameData[ASTOrder],PlayerGameData[[#This Row],[ASTOrder]])&gt;1,PlayerGameData[[#This Row],[PointRank]]/100+PlayerGameData[[#This Row],[ASTOrder]],PlayerGameData[[#This Row],[ASTOrder]])</f>
        <v>1163.25</v>
      </c>
      <c r="AT766" s="8">
        <f ca="1">RANK(PlayerGameData[[#This Row],[ASTTieBreak]],PlayerGameData[ASTTieBreak],1)</f>
        <v>625</v>
      </c>
      <c r="AU766" s="8">
        <f ca="1">RANK(PlayerGameData[[#This Row],[STL]],PlayerGameData[STL],0)+PlayerGameData[[#This Row],[VisibleOrder]]</f>
        <v>1142</v>
      </c>
      <c r="AV766" s="8">
        <f ca="1">IF(COUNTIF(PlayerGameData[STLOrder],PlayerGameData[[#This Row],[STLOrder]])&gt;1,PlayerGameData[[#This Row],[PointRank]]/100+PlayerGameData[[#This Row],[STLOrder]],PlayerGameData[[#This Row],[STLOrder]])</f>
        <v>1148.25</v>
      </c>
      <c r="AW766" s="8">
        <f ca="1">RANK(PlayerGameData[[#This Row],[STLTieBreak]],PlayerGameData[STLTieBreak],1)</f>
        <v>625</v>
      </c>
      <c r="AX766" s="8">
        <f ca="1">RANK(PlayerGameData[[#This Row],[BLK]],PlayerGameData[BLK],0)+PlayerGameData[[#This Row],[VisibleOrder]]</f>
        <v>1031</v>
      </c>
      <c r="AY766" s="8">
        <f ca="1">IF(COUNTIF(PlayerGameData[BLKOrder],PlayerGameData[[#This Row],[BLKOrder]])&gt;1,PlayerGameData[[#This Row],[PointRank]]/100+PlayerGameData[[#This Row],[BLKOrder]],PlayerGameData[[#This Row],[BLKOrder]])</f>
        <v>1037.25</v>
      </c>
      <c r="AZ766" s="8">
        <f ca="1">RANK(PlayerGameData[[#This Row],[BLKTieBreak]],PlayerGameData[BLKTieBreak],1)</f>
        <v>625</v>
      </c>
      <c r="BA766" s="11">
        <f ca="1">IFERROR(IF(PlayerGameData[[#This Row],[FGA]]&gt;$AA$5,PlayerGameData[[#This Row],[FG%*]],PlayerGameData[[#This Row],[FG%*]]*-1),-2)</f>
        <v>-2</v>
      </c>
      <c r="BB766" s="8">
        <f ca="1">RANK(PlayerGameData[[#This Row],[EligFG]],PlayerGameData[EligFG],0)+PlayerGameData[[#This Row],[VisibleOrder]]</f>
        <v>1214</v>
      </c>
      <c r="BC766" s="8">
        <f ca="1">IF(COUNTIF(PlayerGameData[EligFGOrder],PlayerGameData[[#This Row],[EligFGOrder]])&gt;1,PlayerGameData[[#This Row],[PointRank]]/100+PlayerGameData[[#This Row],[EligFGOrder]],PlayerGameData[[#This Row],[EligFGOrder]])</f>
        <v>1220.25</v>
      </c>
      <c r="BD766" s="8">
        <f ca="1">RANK(PlayerGameData[[#This Row],[EligFGTieBreak]],PlayerGameData[EligFGTieBreak],1)</f>
        <v>625</v>
      </c>
      <c r="BE766" s="8" t="str">
        <f>Roster!$D$3</f>
        <v>East</v>
      </c>
      <c r="BF766" s="8" t="str">
        <f>Roster!$D$2</f>
        <v>Northeast</v>
      </c>
      <c r="BG766" s="8" t="str">
        <f>Roster!$D$4</f>
        <v>North</v>
      </c>
      <c r="BH766" s="197">
        <f ca="1">IFERROR(VLOOKUP(CONCATENATE(PlayerGameData[[#This Row],[Opponent]]," ",MONTH(PlayerGameData[[#This Row],[Date]]),"/",DAY(PlayerGameData[[#This Row],[Date]]),"/",YEAR(PlayerGameData[[#This Row],[Date]])),Table35[],2,FALSE),0)</f>
        <v>0</v>
      </c>
      <c r="BI766" s="197">
        <f ca="1">IF(PlayerGameData[[#This Row],[Visible]]=1,1,1000)</f>
        <v>1000</v>
      </c>
      <c r="BJ766" s="197" t="e">
        <f ca="1">_xlfn.MAXIFS(TeamGameData[Win],TeamGameData[School, Opponent,Game'#],PlayerGameData[[#This Row],[School, Opponent,Game'#]])</f>
        <v>#NAME?</v>
      </c>
      <c r="BK766" s="197" t="e">
        <f ca="1">_xlfn.MAXIFS(TeamGameData[Loss],TeamGameData[School, Opponent,Game'#],PlayerGameData[[#This Row],[School, Opponent,Game'#]])</f>
        <v>#NAME?</v>
      </c>
    </row>
    <row r="767" spans="1:63" x14ac:dyDescent="0.25">
      <c r="A767" s="8" t="str">
        <f t="shared" ca="1" si="363"/>
        <v xml:space="preserve">, </v>
      </c>
      <c r="B767" s="8" t="str">
        <f>Roster!$B$1</f>
        <v>Upton</v>
      </c>
      <c r="C767" s="8">
        <f t="shared" ca="1" si="351"/>
        <v>0</v>
      </c>
      <c r="D767" s="10">
        <f t="shared" ca="1" si="352"/>
        <v>0</v>
      </c>
      <c r="E767" s="8">
        <f t="shared" ca="1" si="353"/>
        <v>0</v>
      </c>
      <c r="F767" s="8">
        <f t="shared" ca="1" si="354"/>
        <v>0</v>
      </c>
      <c r="G767" s="8">
        <f t="shared" ca="1" si="355"/>
        <v>0</v>
      </c>
      <c r="H767" s="8">
        <f t="shared" ca="1" si="356"/>
        <v>0</v>
      </c>
      <c r="I767" s="8">
        <f t="shared" ca="1" si="357"/>
        <v>0</v>
      </c>
      <c r="J767" s="8">
        <f t="shared" ca="1" si="358"/>
        <v>0</v>
      </c>
      <c r="K767" s="8">
        <f t="shared" ca="1" si="359"/>
        <v>0</v>
      </c>
      <c r="L767" s="8">
        <f t="shared" ca="1" si="364"/>
        <v>0</v>
      </c>
      <c r="M767" s="8">
        <f t="shared" ca="1" si="365"/>
        <v>0</v>
      </c>
      <c r="N767" s="8">
        <f t="shared" ca="1" si="366"/>
        <v>0</v>
      </c>
      <c r="O767" s="8">
        <f t="shared" ca="1" si="367"/>
        <v>0</v>
      </c>
      <c r="P767" s="8">
        <f t="shared" ca="1" si="368"/>
        <v>0</v>
      </c>
      <c r="Q767" s="8">
        <f t="shared" ca="1" si="369"/>
        <v>0</v>
      </c>
      <c r="R767" s="8">
        <f t="shared" ca="1" si="370"/>
        <v>0</v>
      </c>
      <c r="S767" s="8">
        <f t="shared" ca="1" si="371"/>
        <v>0</v>
      </c>
      <c r="T767" s="8">
        <f t="shared" ca="1" si="372"/>
        <v>0</v>
      </c>
      <c r="U767" s="8">
        <f t="shared" ca="1" si="373"/>
        <v>0</v>
      </c>
      <c r="V767" s="8">
        <f t="shared" ca="1" si="374"/>
        <v>0</v>
      </c>
      <c r="W767" s="11" t="str">
        <f t="shared" ca="1" si="375"/>
        <v/>
      </c>
      <c r="X767" s="11" t="str">
        <f t="shared" ca="1" si="376"/>
        <v/>
      </c>
      <c r="Y767" s="11" t="str">
        <f t="shared" ca="1" si="377"/>
        <v/>
      </c>
      <c r="Z767" s="11" t="str">
        <f t="shared" ca="1" si="378"/>
        <v/>
      </c>
      <c r="AA767" s="11" t="str">
        <f t="shared" ca="1" si="379"/>
        <v/>
      </c>
      <c r="AB767" s="47">
        <f ca="1">PlayerGameData[[#This Row],[3FGA]]+PlayerGameData[[#This Row],[2FGA]]</f>
        <v>0</v>
      </c>
      <c r="AC767" s="47">
        <f ca="1">PlayerGameData[[#This Row],[OFF REB]]+PlayerGameData[[#This Row],[DEF REB]]</f>
        <v>0</v>
      </c>
      <c r="AD767" s="8">
        <f t="shared" si="360"/>
        <v>32</v>
      </c>
      <c r="AE767" s="8" t="str">
        <f t="shared" ca="1" si="361"/>
        <v>,  - 0 1/0/1900</v>
      </c>
      <c r="AF767" s="8" t="str">
        <f t="shared" ca="1" si="380"/>
        <v/>
      </c>
      <c r="AG767" s="8" t="str">
        <f ca="1">IFERROR(IF(C767=0,"",IF(AND(VLOOKUP(PlayerGameData[[#This Row],[Opponent]],WYTeamInfo,2,FALSE)=Roster!$D$1,VLOOKUP(PlayerGameData[[#This Row],[Opponent]],WYTeamInfo,3,FALSE)=Roster!$D$2),"SR","")),"")</f>
        <v/>
      </c>
      <c r="AH767" s="8" t="str">
        <f>CONCATENATE(Roster!$D$1," ",Roster!$D$5)</f>
        <v>1A BB</v>
      </c>
      <c r="AI767" s="8" t="str">
        <f t="shared" ca="1" si="362"/>
        <v>Blank</v>
      </c>
      <c r="AJ767" s="8">
        <f ca="1">IFERROR(VLOOKUP(PlayerGameData[[#This Row],[School, Opponent,Game'#]],Table3[],2,FALSE),0)</f>
        <v>0</v>
      </c>
      <c r="AK767" s="8">
        <f ca="1">IF(PlayerGameData[[#This Row],[Visible]]=1,1,1000)</f>
        <v>1000</v>
      </c>
      <c r="AL767" s="8">
        <f ca="1">RANK(PlayerGameData[[#This Row],[TL PTS]],PlayerGameData[TL PTS],0)+PlayerGameData[[#This Row],[VisibleOrder]]</f>
        <v>1184</v>
      </c>
      <c r="AM767" s="8">
        <f ca="1">IF(COUNTIF(PlayerGameData[PointOrder],PlayerGameData[[#This Row],[PointOrder]])&gt;1,RANK(PlayerGameData[[#This Row],[FGA]],PlayerGameData[FGA],0)/100,0)+PlayerGameData[[#This Row],[PointOrder]]</f>
        <v>1186.1400000000001</v>
      </c>
      <c r="AN767" s="8">
        <f ca="1">RANK(PlayerGameData[[#This Row],[PointTieBreak]],PlayerGameData[PointTieBreak],1)</f>
        <v>625</v>
      </c>
      <c r="AO767" s="8">
        <f ca="1">RANK(PlayerGameData[[#This Row],[REB]],PlayerGameData[REB],0)+PlayerGameData[[#This Row],[VisibleOrder]]</f>
        <v>1191</v>
      </c>
      <c r="AP767" s="8">
        <f ca="1">IF(COUNTIF(PlayerGameData[REBOrder],PlayerGameData[[#This Row],[REBOrder]])&gt;1,PlayerGameData[[#This Row],[PointRank]]/100+PlayerGameData[[#This Row],[REBOrder]],PlayerGameData[[#This Row],[REBOrder]])</f>
        <v>1197.25</v>
      </c>
      <c r="AQ767" s="8">
        <f ca="1">RANK(PlayerGameData[[#This Row],[REBTieBreak]],PlayerGameData[REBTieBreak],1)</f>
        <v>625</v>
      </c>
      <c r="AR767" s="8">
        <f ca="1">RANK(PlayerGameData[[#This Row],[AST]],PlayerGameData[AST],0)+PlayerGameData[[#This Row],[VisibleOrder]]</f>
        <v>1157</v>
      </c>
      <c r="AS767" s="8">
        <f ca="1">IF(COUNTIF(PlayerGameData[ASTOrder],PlayerGameData[[#This Row],[ASTOrder]])&gt;1,PlayerGameData[[#This Row],[PointRank]]/100+PlayerGameData[[#This Row],[ASTOrder]],PlayerGameData[[#This Row],[ASTOrder]])</f>
        <v>1163.25</v>
      </c>
      <c r="AT767" s="8">
        <f ca="1">RANK(PlayerGameData[[#This Row],[ASTTieBreak]],PlayerGameData[ASTTieBreak],1)</f>
        <v>625</v>
      </c>
      <c r="AU767" s="8">
        <f ca="1">RANK(PlayerGameData[[#This Row],[STL]],PlayerGameData[STL],0)+PlayerGameData[[#This Row],[VisibleOrder]]</f>
        <v>1142</v>
      </c>
      <c r="AV767" s="8">
        <f ca="1">IF(COUNTIF(PlayerGameData[STLOrder],PlayerGameData[[#This Row],[STLOrder]])&gt;1,PlayerGameData[[#This Row],[PointRank]]/100+PlayerGameData[[#This Row],[STLOrder]],PlayerGameData[[#This Row],[STLOrder]])</f>
        <v>1148.25</v>
      </c>
      <c r="AW767" s="8">
        <f ca="1">RANK(PlayerGameData[[#This Row],[STLTieBreak]],PlayerGameData[STLTieBreak],1)</f>
        <v>625</v>
      </c>
      <c r="AX767" s="8">
        <f ca="1">RANK(PlayerGameData[[#This Row],[BLK]],PlayerGameData[BLK],0)+PlayerGameData[[#This Row],[VisibleOrder]]</f>
        <v>1031</v>
      </c>
      <c r="AY767" s="8">
        <f ca="1">IF(COUNTIF(PlayerGameData[BLKOrder],PlayerGameData[[#This Row],[BLKOrder]])&gt;1,PlayerGameData[[#This Row],[PointRank]]/100+PlayerGameData[[#This Row],[BLKOrder]],PlayerGameData[[#This Row],[BLKOrder]])</f>
        <v>1037.25</v>
      </c>
      <c r="AZ767" s="8">
        <f ca="1">RANK(PlayerGameData[[#This Row],[BLKTieBreak]],PlayerGameData[BLKTieBreak],1)</f>
        <v>625</v>
      </c>
      <c r="BA767" s="11">
        <f ca="1">IFERROR(IF(PlayerGameData[[#This Row],[FGA]]&gt;$AA$5,PlayerGameData[[#This Row],[FG%*]],PlayerGameData[[#This Row],[FG%*]]*-1),-2)</f>
        <v>-2</v>
      </c>
      <c r="BB767" s="8">
        <f ca="1">RANK(PlayerGameData[[#This Row],[EligFG]],PlayerGameData[EligFG],0)+PlayerGameData[[#This Row],[VisibleOrder]]</f>
        <v>1214</v>
      </c>
      <c r="BC767" s="8">
        <f ca="1">IF(COUNTIF(PlayerGameData[EligFGOrder],PlayerGameData[[#This Row],[EligFGOrder]])&gt;1,PlayerGameData[[#This Row],[PointRank]]/100+PlayerGameData[[#This Row],[EligFGOrder]],PlayerGameData[[#This Row],[EligFGOrder]])</f>
        <v>1220.25</v>
      </c>
      <c r="BD767" s="8">
        <f ca="1">RANK(PlayerGameData[[#This Row],[EligFGTieBreak]],PlayerGameData[EligFGTieBreak],1)</f>
        <v>625</v>
      </c>
      <c r="BE767" s="8" t="str">
        <f>Roster!$D$3</f>
        <v>East</v>
      </c>
      <c r="BF767" s="8" t="str">
        <f>Roster!$D$2</f>
        <v>Northeast</v>
      </c>
      <c r="BG767" s="8" t="str">
        <f>Roster!$D$4</f>
        <v>North</v>
      </c>
      <c r="BH767" s="197">
        <f ca="1">IFERROR(VLOOKUP(CONCATENATE(PlayerGameData[[#This Row],[Opponent]]," ",MONTH(PlayerGameData[[#This Row],[Date]]),"/",DAY(PlayerGameData[[#This Row],[Date]]),"/",YEAR(PlayerGameData[[#This Row],[Date]])),Table35[],2,FALSE),0)</f>
        <v>0</v>
      </c>
      <c r="BI767" s="197">
        <f ca="1">IF(PlayerGameData[[#This Row],[Visible]]=1,1,1000)</f>
        <v>1000</v>
      </c>
      <c r="BJ767" s="197" t="e">
        <f ca="1">_xlfn.MAXIFS(TeamGameData[Win],TeamGameData[School, Opponent,Game'#],PlayerGameData[[#This Row],[School, Opponent,Game'#]])</f>
        <v>#NAME?</v>
      </c>
      <c r="BK767" s="197" t="e">
        <f ca="1">_xlfn.MAXIFS(TeamGameData[Loss],TeamGameData[School, Opponent,Game'#],PlayerGameData[[#This Row],[School, Opponent,Game'#]])</f>
        <v>#NAME?</v>
      </c>
    </row>
    <row r="768" spans="1:63" x14ac:dyDescent="0.25">
      <c r="A768" s="8" t="str">
        <f t="shared" ca="1" si="363"/>
        <v xml:space="preserve">, </v>
      </c>
      <c r="B768" s="8" t="str">
        <f>Roster!$B$1</f>
        <v>Upton</v>
      </c>
      <c r="C768" s="8">
        <f t="shared" ca="1" si="351"/>
        <v>0</v>
      </c>
      <c r="D768" s="10">
        <f t="shared" ca="1" si="352"/>
        <v>0</v>
      </c>
      <c r="E768" s="8">
        <f t="shared" ca="1" si="353"/>
        <v>0</v>
      </c>
      <c r="F768" s="8">
        <f t="shared" ca="1" si="354"/>
        <v>0</v>
      </c>
      <c r="G768" s="8">
        <f t="shared" ca="1" si="355"/>
        <v>0</v>
      </c>
      <c r="H768" s="8">
        <f t="shared" ca="1" si="356"/>
        <v>0</v>
      </c>
      <c r="I768" s="8">
        <f t="shared" ca="1" si="357"/>
        <v>0</v>
      </c>
      <c r="J768" s="8">
        <f t="shared" ca="1" si="358"/>
        <v>0</v>
      </c>
      <c r="K768" s="8">
        <f t="shared" ca="1" si="359"/>
        <v>0</v>
      </c>
      <c r="L768" s="8">
        <f t="shared" ca="1" si="364"/>
        <v>0</v>
      </c>
      <c r="M768" s="8">
        <f t="shared" ca="1" si="365"/>
        <v>0</v>
      </c>
      <c r="N768" s="8">
        <f t="shared" ca="1" si="366"/>
        <v>0</v>
      </c>
      <c r="O768" s="8">
        <f t="shared" ca="1" si="367"/>
        <v>0</v>
      </c>
      <c r="P768" s="8">
        <f t="shared" ca="1" si="368"/>
        <v>0</v>
      </c>
      <c r="Q768" s="8">
        <f t="shared" ca="1" si="369"/>
        <v>0</v>
      </c>
      <c r="R768" s="8">
        <f t="shared" ca="1" si="370"/>
        <v>0</v>
      </c>
      <c r="S768" s="8">
        <f t="shared" ca="1" si="371"/>
        <v>0</v>
      </c>
      <c r="T768" s="8">
        <f t="shared" ca="1" si="372"/>
        <v>0</v>
      </c>
      <c r="U768" s="8">
        <f t="shared" ca="1" si="373"/>
        <v>0</v>
      </c>
      <c r="V768" s="8">
        <f t="shared" ca="1" si="374"/>
        <v>0</v>
      </c>
      <c r="W768" s="11" t="str">
        <f t="shared" ca="1" si="375"/>
        <v/>
      </c>
      <c r="X768" s="11" t="str">
        <f t="shared" ca="1" si="376"/>
        <v/>
      </c>
      <c r="Y768" s="11" t="str">
        <f t="shared" ca="1" si="377"/>
        <v/>
      </c>
      <c r="Z768" s="11" t="str">
        <f t="shared" ca="1" si="378"/>
        <v/>
      </c>
      <c r="AA768" s="11" t="str">
        <f t="shared" ca="1" si="379"/>
        <v/>
      </c>
      <c r="AB768" s="47">
        <f ca="1">PlayerGameData[[#This Row],[3FGA]]+PlayerGameData[[#This Row],[2FGA]]</f>
        <v>0</v>
      </c>
      <c r="AC768" s="47">
        <f ca="1">PlayerGameData[[#This Row],[OFF REB]]+PlayerGameData[[#This Row],[DEF REB]]</f>
        <v>0</v>
      </c>
      <c r="AD768" s="8">
        <f t="shared" si="360"/>
        <v>32</v>
      </c>
      <c r="AE768" s="8" t="str">
        <f t="shared" ca="1" si="361"/>
        <v>,  - 0 1/0/1900</v>
      </c>
      <c r="AF768" s="8" t="str">
        <f t="shared" ca="1" si="380"/>
        <v/>
      </c>
      <c r="AG768" s="8" t="str">
        <f ca="1">IFERROR(IF(C768=0,"",IF(AND(VLOOKUP(PlayerGameData[[#This Row],[Opponent]],WYTeamInfo,2,FALSE)=Roster!$D$1,VLOOKUP(PlayerGameData[[#This Row],[Opponent]],WYTeamInfo,3,FALSE)=Roster!$D$2),"SR","")),"")</f>
        <v/>
      </c>
      <c r="AH768" s="8" t="str">
        <f>CONCATENATE(Roster!$D$1," ",Roster!$D$5)</f>
        <v>1A BB</v>
      </c>
      <c r="AI768" s="8" t="str">
        <f t="shared" ca="1" si="362"/>
        <v>Blank</v>
      </c>
      <c r="AJ768" s="8">
        <f ca="1">IFERROR(VLOOKUP(PlayerGameData[[#This Row],[School, Opponent,Game'#]],Table3[],2,FALSE),0)</f>
        <v>0</v>
      </c>
      <c r="AK768" s="8">
        <f ca="1">IF(PlayerGameData[[#This Row],[Visible]]=1,1,1000)</f>
        <v>1000</v>
      </c>
      <c r="AL768" s="8">
        <f ca="1">RANK(PlayerGameData[[#This Row],[TL PTS]],PlayerGameData[TL PTS],0)+PlayerGameData[[#This Row],[VisibleOrder]]</f>
        <v>1184</v>
      </c>
      <c r="AM768" s="8">
        <f ca="1">IF(COUNTIF(PlayerGameData[PointOrder],PlayerGameData[[#This Row],[PointOrder]])&gt;1,RANK(PlayerGameData[[#This Row],[FGA]],PlayerGameData[FGA],0)/100,0)+PlayerGameData[[#This Row],[PointOrder]]</f>
        <v>1186.1400000000001</v>
      </c>
      <c r="AN768" s="8">
        <f ca="1">RANK(PlayerGameData[[#This Row],[PointTieBreak]],PlayerGameData[PointTieBreak],1)</f>
        <v>625</v>
      </c>
      <c r="AO768" s="8">
        <f ca="1">RANK(PlayerGameData[[#This Row],[REB]],PlayerGameData[REB],0)+PlayerGameData[[#This Row],[VisibleOrder]]</f>
        <v>1191</v>
      </c>
      <c r="AP768" s="8">
        <f ca="1">IF(COUNTIF(PlayerGameData[REBOrder],PlayerGameData[[#This Row],[REBOrder]])&gt;1,PlayerGameData[[#This Row],[PointRank]]/100+PlayerGameData[[#This Row],[REBOrder]],PlayerGameData[[#This Row],[REBOrder]])</f>
        <v>1197.25</v>
      </c>
      <c r="AQ768" s="8">
        <f ca="1">RANK(PlayerGameData[[#This Row],[REBTieBreak]],PlayerGameData[REBTieBreak],1)</f>
        <v>625</v>
      </c>
      <c r="AR768" s="8">
        <f ca="1">RANK(PlayerGameData[[#This Row],[AST]],PlayerGameData[AST],0)+PlayerGameData[[#This Row],[VisibleOrder]]</f>
        <v>1157</v>
      </c>
      <c r="AS768" s="8">
        <f ca="1">IF(COUNTIF(PlayerGameData[ASTOrder],PlayerGameData[[#This Row],[ASTOrder]])&gt;1,PlayerGameData[[#This Row],[PointRank]]/100+PlayerGameData[[#This Row],[ASTOrder]],PlayerGameData[[#This Row],[ASTOrder]])</f>
        <v>1163.25</v>
      </c>
      <c r="AT768" s="8">
        <f ca="1">RANK(PlayerGameData[[#This Row],[ASTTieBreak]],PlayerGameData[ASTTieBreak],1)</f>
        <v>625</v>
      </c>
      <c r="AU768" s="8">
        <f ca="1">RANK(PlayerGameData[[#This Row],[STL]],PlayerGameData[STL],0)+PlayerGameData[[#This Row],[VisibleOrder]]</f>
        <v>1142</v>
      </c>
      <c r="AV768" s="8">
        <f ca="1">IF(COUNTIF(PlayerGameData[STLOrder],PlayerGameData[[#This Row],[STLOrder]])&gt;1,PlayerGameData[[#This Row],[PointRank]]/100+PlayerGameData[[#This Row],[STLOrder]],PlayerGameData[[#This Row],[STLOrder]])</f>
        <v>1148.25</v>
      </c>
      <c r="AW768" s="8">
        <f ca="1">RANK(PlayerGameData[[#This Row],[STLTieBreak]],PlayerGameData[STLTieBreak],1)</f>
        <v>625</v>
      </c>
      <c r="AX768" s="8">
        <f ca="1">RANK(PlayerGameData[[#This Row],[BLK]],PlayerGameData[BLK],0)+PlayerGameData[[#This Row],[VisibleOrder]]</f>
        <v>1031</v>
      </c>
      <c r="AY768" s="8">
        <f ca="1">IF(COUNTIF(PlayerGameData[BLKOrder],PlayerGameData[[#This Row],[BLKOrder]])&gt;1,PlayerGameData[[#This Row],[PointRank]]/100+PlayerGameData[[#This Row],[BLKOrder]],PlayerGameData[[#This Row],[BLKOrder]])</f>
        <v>1037.25</v>
      </c>
      <c r="AZ768" s="8">
        <f ca="1">RANK(PlayerGameData[[#This Row],[BLKTieBreak]],PlayerGameData[BLKTieBreak],1)</f>
        <v>625</v>
      </c>
      <c r="BA768" s="11">
        <f ca="1">IFERROR(IF(PlayerGameData[[#This Row],[FGA]]&gt;$AA$5,PlayerGameData[[#This Row],[FG%*]],PlayerGameData[[#This Row],[FG%*]]*-1),-2)</f>
        <v>-2</v>
      </c>
      <c r="BB768" s="8">
        <f ca="1">RANK(PlayerGameData[[#This Row],[EligFG]],PlayerGameData[EligFG],0)+PlayerGameData[[#This Row],[VisibleOrder]]</f>
        <v>1214</v>
      </c>
      <c r="BC768" s="8">
        <f ca="1">IF(COUNTIF(PlayerGameData[EligFGOrder],PlayerGameData[[#This Row],[EligFGOrder]])&gt;1,PlayerGameData[[#This Row],[PointRank]]/100+PlayerGameData[[#This Row],[EligFGOrder]],PlayerGameData[[#This Row],[EligFGOrder]])</f>
        <v>1220.25</v>
      </c>
      <c r="BD768" s="8">
        <f ca="1">RANK(PlayerGameData[[#This Row],[EligFGTieBreak]],PlayerGameData[EligFGTieBreak],1)</f>
        <v>625</v>
      </c>
      <c r="BE768" s="8" t="str">
        <f>Roster!$D$3</f>
        <v>East</v>
      </c>
      <c r="BF768" s="8" t="str">
        <f>Roster!$D$2</f>
        <v>Northeast</v>
      </c>
      <c r="BG768" s="8" t="str">
        <f>Roster!$D$4</f>
        <v>North</v>
      </c>
      <c r="BH768" s="197">
        <f ca="1">IFERROR(VLOOKUP(CONCATENATE(PlayerGameData[[#This Row],[Opponent]]," ",MONTH(PlayerGameData[[#This Row],[Date]]),"/",DAY(PlayerGameData[[#This Row],[Date]]),"/",YEAR(PlayerGameData[[#This Row],[Date]])),Table35[],2,FALSE),0)</f>
        <v>0</v>
      </c>
      <c r="BI768" s="197">
        <f ca="1">IF(PlayerGameData[[#This Row],[Visible]]=1,1,1000)</f>
        <v>1000</v>
      </c>
      <c r="BJ768" s="197" t="e">
        <f ca="1">_xlfn.MAXIFS(TeamGameData[Win],TeamGameData[School, Opponent,Game'#],PlayerGameData[[#This Row],[School, Opponent,Game'#]])</f>
        <v>#NAME?</v>
      </c>
      <c r="BK768" s="197" t="e">
        <f ca="1">_xlfn.MAXIFS(TeamGameData[Loss],TeamGameData[School, Opponent,Game'#],PlayerGameData[[#This Row],[School, Opponent,Game'#]])</f>
        <v>#NAME?</v>
      </c>
    </row>
    <row r="769" spans="1:63" x14ac:dyDescent="0.25">
      <c r="A769" s="8" t="str">
        <f t="shared" ca="1" si="363"/>
        <v xml:space="preserve">, </v>
      </c>
      <c r="B769" s="8" t="str">
        <f>Roster!$B$1</f>
        <v>Upton</v>
      </c>
      <c r="C769" s="8">
        <f t="shared" ca="1" si="351"/>
        <v>0</v>
      </c>
      <c r="D769" s="10">
        <f t="shared" ca="1" si="352"/>
        <v>0</v>
      </c>
      <c r="E769" s="8">
        <f t="shared" ca="1" si="353"/>
        <v>0</v>
      </c>
      <c r="F769" s="8">
        <f t="shared" ca="1" si="354"/>
        <v>0</v>
      </c>
      <c r="G769" s="8">
        <f t="shared" ca="1" si="355"/>
        <v>0</v>
      </c>
      <c r="H769" s="8">
        <f t="shared" ca="1" si="356"/>
        <v>0</v>
      </c>
      <c r="I769" s="8">
        <f t="shared" ca="1" si="357"/>
        <v>0</v>
      </c>
      <c r="J769" s="8">
        <f t="shared" ca="1" si="358"/>
        <v>0</v>
      </c>
      <c r="K769" s="8">
        <f t="shared" ca="1" si="359"/>
        <v>0</v>
      </c>
      <c r="L769" s="8">
        <f t="shared" ca="1" si="364"/>
        <v>0</v>
      </c>
      <c r="M769" s="8">
        <f t="shared" ca="1" si="365"/>
        <v>0</v>
      </c>
      <c r="N769" s="8">
        <f t="shared" ca="1" si="366"/>
        <v>0</v>
      </c>
      <c r="O769" s="8">
        <f t="shared" ca="1" si="367"/>
        <v>0</v>
      </c>
      <c r="P769" s="8">
        <f t="shared" ca="1" si="368"/>
        <v>0</v>
      </c>
      <c r="Q769" s="8">
        <f t="shared" ca="1" si="369"/>
        <v>0</v>
      </c>
      <c r="R769" s="8">
        <f t="shared" ca="1" si="370"/>
        <v>0</v>
      </c>
      <c r="S769" s="8">
        <f t="shared" ca="1" si="371"/>
        <v>0</v>
      </c>
      <c r="T769" s="8">
        <f t="shared" ca="1" si="372"/>
        <v>0</v>
      </c>
      <c r="U769" s="8">
        <f t="shared" ca="1" si="373"/>
        <v>0</v>
      </c>
      <c r="V769" s="8">
        <f t="shared" ca="1" si="374"/>
        <v>0</v>
      </c>
      <c r="W769" s="11" t="str">
        <f t="shared" ca="1" si="375"/>
        <v/>
      </c>
      <c r="X769" s="11" t="str">
        <f t="shared" ca="1" si="376"/>
        <v/>
      </c>
      <c r="Y769" s="11" t="str">
        <f t="shared" ca="1" si="377"/>
        <v/>
      </c>
      <c r="Z769" s="11" t="str">
        <f t="shared" ca="1" si="378"/>
        <v/>
      </c>
      <c r="AA769" s="11" t="str">
        <f t="shared" ca="1" si="379"/>
        <v/>
      </c>
      <c r="AB769" s="47">
        <f ca="1">PlayerGameData[[#This Row],[3FGA]]+PlayerGameData[[#This Row],[2FGA]]</f>
        <v>0</v>
      </c>
      <c r="AC769" s="47">
        <f ca="1">PlayerGameData[[#This Row],[OFF REB]]+PlayerGameData[[#This Row],[DEF REB]]</f>
        <v>0</v>
      </c>
      <c r="AD769" s="8">
        <f t="shared" si="360"/>
        <v>32</v>
      </c>
      <c r="AE769" s="8" t="str">
        <f t="shared" ca="1" si="361"/>
        <v>,  - 0 1/0/1900</v>
      </c>
      <c r="AF769" s="8" t="str">
        <f t="shared" ca="1" si="380"/>
        <v/>
      </c>
      <c r="AG769" s="8" t="str">
        <f ca="1">IFERROR(IF(C769=0,"",IF(AND(VLOOKUP(PlayerGameData[[#This Row],[Opponent]],WYTeamInfo,2,FALSE)=Roster!$D$1,VLOOKUP(PlayerGameData[[#This Row],[Opponent]],WYTeamInfo,3,FALSE)=Roster!$D$2),"SR","")),"")</f>
        <v/>
      </c>
      <c r="AH769" s="8" t="str">
        <f>CONCATENATE(Roster!$D$1," ",Roster!$D$5)</f>
        <v>1A BB</v>
      </c>
      <c r="AI769" s="8" t="str">
        <f t="shared" ca="1" si="362"/>
        <v>Blank</v>
      </c>
      <c r="AJ769" s="8">
        <f ca="1">IFERROR(VLOOKUP(PlayerGameData[[#This Row],[School, Opponent,Game'#]],Table3[],2,FALSE),0)</f>
        <v>0</v>
      </c>
      <c r="AK769" s="8">
        <f ca="1">IF(PlayerGameData[[#This Row],[Visible]]=1,1,1000)</f>
        <v>1000</v>
      </c>
      <c r="AL769" s="8">
        <f ca="1">RANK(PlayerGameData[[#This Row],[TL PTS]],PlayerGameData[TL PTS],0)+PlayerGameData[[#This Row],[VisibleOrder]]</f>
        <v>1184</v>
      </c>
      <c r="AM769" s="8">
        <f ca="1">IF(COUNTIF(PlayerGameData[PointOrder],PlayerGameData[[#This Row],[PointOrder]])&gt;1,RANK(PlayerGameData[[#This Row],[FGA]],PlayerGameData[FGA],0)/100,0)+PlayerGameData[[#This Row],[PointOrder]]</f>
        <v>1186.1400000000001</v>
      </c>
      <c r="AN769" s="8">
        <f ca="1">RANK(PlayerGameData[[#This Row],[PointTieBreak]],PlayerGameData[PointTieBreak],1)</f>
        <v>625</v>
      </c>
      <c r="AO769" s="8">
        <f ca="1">RANK(PlayerGameData[[#This Row],[REB]],PlayerGameData[REB],0)+PlayerGameData[[#This Row],[VisibleOrder]]</f>
        <v>1191</v>
      </c>
      <c r="AP769" s="8">
        <f ca="1">IF(COUNTIF(PlayerGameData[REBOrder],PlayerGameData[[#This Row],[REBOrder]])&gt;1,PlayerGameData[[#This Row],[PointRank]]/100+PlayerGameData[[#This Row],[REBOrder]],PlayerGameData[[#This Row],[REBOrder]])</f>
        <v>1197.25</v>
      </c>
      <c r="AQ769" s="8">
        <f ca="1">RANK(PlayerGameData[[#This Row],[REBTieBreak]],PlayerGameData[REBTieBreak],1)</f>
        <v>625</v>
      </c>
      <c r="AR769" s="8">
        <f ca="1">RANK(PlayerGameData[[#This Row],[AST]],PlayerGameData[AST],0)+PlayerGameData[[#This Row],[VisibleOrder]]</f>
        <v>1157</v>
      </c>
      <c r="AS769" s="8">
        <f ca="1">IF(COUNTIF(PlayerGameData[ASTOrder],PlayerGameData[[#This Row],[ASTOrder]])&gt;1,PlayerGameData[[#This Row],[PointRank]]/100+PlayerGameData[[#This Row],[ASTOrder]],PlayerGameData[[#This Row],[ASTOrder]])</f>
        <v>1163.25</v>
      </c>
      <c r="AT769" s="8">
        <f ca="1">RANK(PlayerGameData[[#This Row],[ASTTieBreak]],PlayerGameData[ASTTieBreak],1)</f>
        <v>625</v>
      </c>
      <c r="AU769" s="8">
        <f ca="1">RANK(PlayerGameData[[#This Row],[STL]],PlayerGameData[STL],0)+PlayerGameData[[#This Row],[VisibleOrder]]</f>
        <v>1142</v>
      </c>
      <c r="AV769" s="8">
        <f ca="1">IF(COUNTIF(PlayerGameData[STLOrder],PlayerGameData[[#This Row],[STLOrder]])&gt;1,PlayerGameData[[#This Row],[PointRank]]/100+PlayerGameData[[#This Row],[STLOrder]],PlayerGameData[[#This Row],[STLOrder]])</f>
        <v>1148.25</v>
      </c>
      <c r="AW769" s="8">
        <f ca="1">RANK(PlayerGameData[[#This Row],[STLTieBreak]],PlayerGameData[STLTieBreak],1)</f>
        <v>625</v>
      </c>
      <c r="AX769" s="8">
        <f ca="1">RANK(PlayerGameData[[#This Row],[BLK]],PlayerGameData[BLK],0)+PlayerGameData[[#This Row],[VisibleOrder]]</f>
        <v>1031</v>
      </c>
      <c r="AY769" s="8">
        <f ca="1">IF(COUNTIF(PlayerGameData[BLKOrder],PlayerGameData[[#This Row],[BLKOrder]])&gt;1,PlayerGameData[[#This Row],[PointRank]]/100+PlayerGameData[[#This Row],[BLKOrder]],PlayerGameData[[#This Row],[BLKOrder]])</f>
        <v>1037.25</v>
      </c>
      <c r="AZ769" s="8">
        <f ca="1">RANK(PlayerGameData[[#This Row],[BLKTieBreak]],PlayerGameData[BLKTieBreak],1)</f>
        <v>625</v>
      </c>
      <c r="BA769" s="11">
        <f ca="1">IFERROR(IF(PlayerGameData[[#This Row],[FGA]]&gt;$AA$5,PlayerGameData[[#This Row],[FG%*]],PlayerGameData[[#This Row],[FG%*]]*-1),-2)</f>
        <v>-2</v>
      </c>
      <c r="BB769" s="8">
        <f ca="1">RANK(PlayerGameData[[#This Row],[EligFG]],PlayerGameData[EligFG],0)+PlayerGameData[[#This Row],[VisibleOrder]]</f>
        <v>1214</v>
      </c>
      <c r="BC769" s="8">
        <f ca="1">IF(COUNTIF(PlayerGameData[EligFGOrder],PlayerGameData[[#This Row],[EligFGOrder]])&gt;1,PlayerGameData[[#This Row],[PointRank]]/100+PlayerGameData[[#This Row],[EligFGOrder]],PlayerGameData[[#This Row],[EligFGOrder]])</f>
        <v>1220.25</v>
      </c>
      <c r="BD769" s="8">
        <f ca="1">RANK(PlayerGameData[[#This Row],[EligFGTieBreak]],PlayerGameData[EligFGTieBreak],1)</f>
        <v>625</v>
      </c>
      <c r="BE769" s="8" t="str">
        <f>Roster!$D$3</f>
        <v>East</v>
      </c>
      <c r="BF769" s="8" t="str">
        <f>Roster!$D$2</f>
        <v>Northeast</v>
      </c>
      <c r="BG769" s="8" t="str">
        <f>Roster!$D$4</f>
        <v>North</v>
      </c>
      <c r="BH769" s="197">
        <f ca="1">IFERROR(VLOOKUP(CONCATENATE(PlayerGameData[[#This Row],[Opponent]]," ",MONTH(PlayerGameData[[#This Row],[Date]]),"/",DAY(PlayerGameData[[#This Row],[Date]]),"/",YEAR(PlayerGameData[[#This Row],[Date]])),Table35[],2,FALSE),0)</f>
        <v>0</v>
      </c>
      <c r="BI769" s="197">
        <f ca="1">IF(PlayerGameData[[#This Row],[Visible]]=1,1,1000)</f>
        <v>1000</v>
      </c>
      <c r="BJ769" s="197" t="e">
        <f ca="1">_xlfn.MAXIFS(TeamGameData[Win],TeamGameData[School, Opponent,Game'#],PlayerGameData[[#This Row],[School, Opponent,Game'#]])</f>
        <v>#NAME?</v>
      </c>
      <c r="BK769" s="197" t="e">
        <f ca="1">_xlfn.MAXIFS(TeamGameData[Loss],TeamGameData[School, Opponent,Game'#],PlayerGameData[[#This Row],[School, Opponent,Game'#]])</f>
        <v>#NAME?</v>
      </c>
    </row>
    <row r="770" spans="1:63" x14ac:dyDescent="0.25">
      <c r="A770" s="8" t="str">
        <f t="shared" ca="1" si="363"/>
        <v xml:space="preserve">, </v>
      </c>
      <c r="B770" s="8" t="str">
        <f>Roster!$B$1</f>
        <v>Upton</v>
      </c>
      <c r="C770" s="8">
        <f t="shared" ca="1" si="351"/>
        <v>0</v>
      </c>
      <c r="D770" s="10">
        <f t="shared" ca="1" si="352"/>
        <v>0</v>
      </c>
      <c r="E770" s="8">
        <f t="shared" ca="1" si="353"/>
        <v>0</v>
      </c>
      <c r="F770" s="8">
        <f t="shared" ca="1" si="354"/>
        <v>0</v>
      </c>
      <c r="G770" s="8">
        <f t="shared" ca="1" si="355"/>
        <v>0</v>
      </c>
      <c r="H770" s="8">
        <f t="shared" ca="1" si="356"/>
        <v>0</v>
      </c>
      <c r="I770" s="8">
        <f t="shared" ca="1" si="357"/>
        <v>0</v>
      </c>
      <c r="J770" s="8">
        <f t="shared" ca="1" si="358"/>
        <v>0</v>
      </c>
      <c r="K770" s="8">
        <f t="shared" ca="1" si="359"/>
        <v>0</v>
      </c>
      <c r="L770" s="8">
        <f t="shared" ca="1" si="364"/>
        <v>0</v>
      </c>
      <c r="M770" s="8">
        <f t="shared" ca="1" si="365"/>
        <v>0</v>
      </c>
      <c r="N770" s="8">
        <f t="shared" ca="1" si="366"/>
        <v>0</v>
      </c>
      <c r="O770" s="8">
        <f t="shared" ca="1" si="367"/>
        <v>0</v>
      </c>
      <c r="P770" s="8">
        <f t="shared" ca="1" si="368"/>
        <v>0</v>
      </c>
      <c r="Q770" s="8">
        <f t="shared" ca="1" si="369"/>
        <v>0</v>
      </c>
      <c r="R770" s="8">
        <f t="shared" ca="1" si="370"/>
        <v>0</v>
      </c>
      <c r="S770" s="8">
        <f t="shared" ca="1" si="371"/>
        <v>0</v>
      </c>
      <c r="T770" s="8">
        <f t="shared" ca="1" si="372"/>
        <v>0</v>
      </c>
      <c r="U770" s="8">
        <f t="shared" ca="1" si="373"/>
        <v>0</v>
      </c>
      <c r="V770" s="8">
        <f t="shared" ca="1" si="374"/>
        <v>0</v>
      </c>
      <c r="W770" s="11" t="str">
        <f t="shared" ca="1" si="375"/>
        <v/>
      </c>
      <c r="X770" s="11" t="str">
        <f t="shared" ca="1" si="376"/>
        <v/>
      </c>
      <c r="Y770" s="11" t="str">
        <f t="shared" ca="1" si="377"/>
        <v/>
      </c>
      <c r="Z770" s="11" t="str">
        <f t="shared" ca="1" si="378"/>
        <v/>
      </c>
      <c r="AA770" s="11" t="str">
        <f t="shared" ca="1" si="379"/>
        <v/>
      </c>
      <c r="AB770" s="47">
        <f ca="1">PlayerGameData[[#This Row],[3FGA]]+PlayerGameData[[#This Row],[2FGA]]</f>
        <v>0</v>
      </c>
      <c r="AC770" s="47">
        <f ca="1">PlayerGameData[[#This Row],[OFF REB]]+PlayerGameData[[#This Row],[DEF REB]]</f>
        <v>0</v>
      </c>
      <c r="AD770" s="8">
        <f t="shared" si="360"/>
        <v>32</v>
      </c>
      <c r="AE770" s="8" t="str">
        <f t="shared" ca="1" si="361"/>
        <v>,  - 0 1/0/1900</v>
      </c>
      <c r="AF770" s="8" t="str">
        <f t="shared" ca="1" si="380"/>
        <v/>
      </c>
      <c r="AG770" s="8" t="str">
        <f ca="1">IFERROR(IF(C770=0,"",IF(AND(VLOOKUP(PlayerGameData[[#This Row],[Opponent]],WYTeamInfo,2,FALSE)=Roster!$D$1,VLOOKUP(PlayerGameData[[#This Row],[Opponent]],WYTeamInfo,3,FALSE)=Roster!$D$2),"SR","")),"")</f>
        <v/>
      </c>
      <c r="AH770" s="8" t="str">
        <f>CONCATENATE(Roster!$D$1," ",Roster!$D$5)</f>
        <v>1A BB</v>
      </c>
      <c r="AI770" s="8" t="str">
        <f t="shared" ca="1" si="362"/>
        <v>Blank</v>
      </c>
      <c r="AJ770" s="8">
        <f ca="1">IFERROR(VLOOKUP(PlayerGameData[[#This Row],[School, Opponent,Game'#]],Table3[],2,FALSE),0)</f>
        <v>0</v>
      </c>
      <c r="AK770" s="8">
        <f ca="1">IF(PlayerGameData[[#This Row],[Visible]]=1,1,1000)</f>
        <v>1000</v>
      </c>
      <c r="AL770" s="8">
        <f ca="1">RANK(PlayerGameData[[#This Row],[TL PTS]],PlayerGameData[TL PTS],0)+PlayerGameData[[#This Row],[VisibleOrder]]</f>
        <v>1184</v>
      </c>
      <c r="AM770" s="8">
        <f ca="1">IF(COUNTIF(PlayerGameData[PointOrder],PlayerGameData[[#This Row],[PointOrder]])&gt;1,RANK(PlayerGameData[[#This Row],[FGA]],PlayerGameData[FGA],0)/100,0)+PlayerGameData[[#This Row],[PointOrder]]</f>
        <v>1186.1400000000001</v>
      </c>
      <c r="AN770" s="8">
        <f ca="1">RANK(PlayerGameData[[#This Row],[PointTieBreak]],PlayerGameData[PointTieBreak],1)</f>
        <v>625</v>
      </c>
      <c r="AO770" s="8">
        <f ca="1">RANK(PlayerGameData[[#This Row],[REB]],PlayerGameData[REB],0)+PlayerGameData[[#This Row],[VisibleOrder]]</f>
        <v>1191</v>
      </c>
      <c r="AP770" s="8">
        <f ca="1">IF(COUNTIF(PlayerGameData[REBOrder],PlayerGameData[[#This Row],[REBOrder]])&gt;1,PlayerGameData[[#This Row],[PointRank]]/100+PlayerGameData[[#This Row],[REBOrder]],PlayerGameData[[#This Row],[REBOrder]])</f>
        <v>1197.25</v>
      </c>
      <c r="AQ770" s="8">
        <f ca="1">RANK(PlayerGameData[[#This Row],[REBTieBreak]],PlayerGameData[REBTieBreak],1)</f>
        <v>625</v>
      </c>
      <c r="AR770" s="8">
        <f ca="1">RANK(PlayerGameData[[#This Row],[AST]],PlayerGameData[AST],0)+PlayerGameData[[#This Row],[VisibleOrder]]</f>
        <v>1157</v>
      </c>
      <c r="AS770" s="8">
        <f ca="1">IF(COUNTIF(PlayerGameData[ASTOrder],PlayerGameData[[#This Row],[ASTOrder]])&gt;1,PlayerGameData[[#This Row],[PointRank]]/100+PlayerGameData[[#This Row],[ASTOrder]],PlayerGameData[[#This Row],[ASTOrder]])</f>
        <v>1163.25</v>
      </c>
      <c r="AT770" s="8">
        <f ca="1">RANK(PlayerGameData[[#This Row],[ASTTieBreak]],PlayerGameData[ASTTieBreak],1)</f>
        <v>625</v>
      </c>
      <c r="AU770" s="8">
        <f ca="1">RANK(PlayerGameData[[#This Row],[STL]],PlayerGameData[STL],0)+PlayerGameData[[#This Row],[VisibleOrder]]</f>
        <v>1142</v>
      </c>
      <c r="AV770" s="8">
        <f ca="1">IF(COUNTIF(PlayerGameData[STLOrder],PlayerGameData[[#This Row],[STLOrder]])&gt;1,PlayerGameData[[#This Row],[PointRank]]/100+PlayerGameData[[#This Row],[STLOrder]],PlayerGameData[[#This Row],[STLOrder]])</f>
        <v>1148.25</v>
      </c>
      <c r="AW770" s="8">
        <f ca="1">RANK(PlayerGameData[[#This Row],[STLTieBreak]],PlayerGameData[STLTieBreak],1)</f>
        <v>625</v>
      </c>
      <c r="AX770" s="8">
        <f ca="1">RANK(PlayerGameData[[#This Row],[BLK]],PlayerGameData[BLK],0)+PlayerGameData[[#This Row],[VisibleOrder]]</f>
        <v>1031</v>
      </c>
      <c r="AY770" s="8">
        <f ca="1">IF(COUNTIF(PlayerGameData[BLKOrder],PlayerGameData[[#This Row],[BLKOrder]])&gt;1,PlayerGameData[[#This Row],[PointRank]]/100+PlayerGameData[[#This Row],[BLKOrder]],PlayerGameData[[#This Row],[BLKOrder]])</f>
        <v>1037.25</v>
      </c>
      <c r="AZ770" s="8">
        <f ca="1">RANK(PlayerGameData[[#This Row],[BLKTieBreak]],PlayerGameData[BLKTieBreak],1)</f>
        <v>625</v>
      </c>
      <c r="BA770" s="11">
        <f ca="1">IFERROR(IF(PlayerGameData[[#This Row],[FGA]]&gt;$AA$5,PlayerGameData[[#This Row],[FG%*]],PlayerGameData[[#This Row],[FG%*]]*-1),-2)</f>
        <v>-2</v>
      </c>
      <c r="BB770" s="8">
        <f ca="1">RANK(PlayerGameData[[#This Row],[EligFG]],PlayerGameData[EligFG],0)+PlayerGameData[[#This Row],[VisibleOrder]]</f>
        <v>1214</v>
      </c>
      <c r="BC770" s="8">
        <f ca="1">IF(COUNTIF(PlayerGameData[EligFGOrder],PlayerGameData[[#This Row],[EligFGOrder]])&gt;1,PlayerGameData[[#This Row],[PointRank]]/100+PlayerGameData[[#This Row],[EligFGOrder]],PlayerGameData[[#This Row],[EligFGOrder]])</f>
        <v>1220.25</v>
      </c>
      <c r="BD770" s="8">
        <f ca="1">RANK(PlayerGameData[[#This Row],[EligFGTieBreak]],PlayerGameData[EligFGTieBreak],1)</f>
        <v>625</v>
      </c>
      <c r="BE770" s="8" t="str">
        <f>Roster!$D$3</f>
        <v>East</v>
      </c>
      <c r="BF770" s="8" t="str">
        <f>Roster!$D$2</f>
        <v>Northeast</v>
      </c>
      <c r="BG770" s="8" t="str">
        <f>Roster!$D$4</f>
        <v>North</v>
      </c>
      <c r="BH770" s="197">
        <f ca="1">IFERROR(VLOOKUP(CONCATENATE(PlayerGameData[[#This Row],[Opponent]]," ",MONTH(PlayerGameData[[#This Row],[Date]]),"/",DAY(PlayerGameData[[#This Row],[Date]]),"/",YEAR(PlayerGameData[[#This Row],[Date]])),Table35[],2,FALSE),0)</f>
        <v>0</v>
      </c>
      <c r="BI770" s="197">
        <f ca="1">IF(PlayerGameData[[#This Row],[Visible]]=1,1,1000)</f>
        <v>1000</v>
      </c>
      <c r="BJ770" s="197" t="e">
        <f ca="1">_xlfn.MAXIFS(TeamGameData[Win],TeamGameData[School, Opponent,Game'#],PlayerGameData[[#This Row],[School, Opponent,Game'#]])</f>
        <v>#NAME?</v>
      </c>
      <c r="BK770" s="197" t="e">
        <f ca="1">_xlfn.MAXIFS(TeamGameData[Loss],TeamGameData[School, Opponent,Game'#],PlayerGameData[[#This Row],[School, Opponent,Game'#]])</f>
        <v>#NAME?</v>
      </c>
    </row>
    <row r="771" spans="1:63" x14ac:dyDescent="0.25">
      <c r="A771" s="8" t="str">
        <f t="shared" ca="1" si="363"/>
        <v xml:space="preserve">, </v>
      </c>
      <c r="B771" s="8" t="str">
        <f>Roster!$B$1</f>
        <v>Upton</v>
      </c>
      <c r="C771" s="8">
        <f t="shared" ca="1" si="351"/>
        <v>0</v>
      </c>
      <c r="D771" s="10">
        <f t="shared" ca="1" si="352"/>
        <v>0</v>
      </c>
      <c r="E771" s="8">
        <f t="shared" ca="1" si="353"/>
        <v>0</v>
      </c>
      <c r="F771" s="8">
        <f t="shared" ca="1" si="354"/>
        <v>0</v>
      </c>
      <c r="G771" s="8">
        <f t="shared" ca="1" si="355"/>
        <v>0</v>
      </c>
      <c r="H771" s="8">
        <f t="shared" ca="1" si="356"/>
        <v>0</v>
      </c>
      <c r="I771" s="8">
        <f t="shared" ca="1" si="357"/>
        <v>0</v>
      </c>
      <c r="J771" s="8">
        <f t="shared" ca="1" si="358"/>
        <v>0</v>
      </c>
      <c r="K771" s="8">
        <f t="shared" ca="1" si="359"/>
        <v>0</v>
      </c>
      <c r="L771" s="8">
        <f t="shared" ca="1" si="364"/>
        <v>0</v>
      </c>
      <c r="M771" s="8">
        <f t="shared" ca="1" si="365"/>
        <v>0</v>
      </c>
      <c r="N771" s="8">
        <f t="shared" ca="1" si="366"/>
        <v>0</v>
      </c>
      <c r="O771" s="8">
        <f t="shared" ca="1" si="367"/>
        <v>0</v>
      </c>
      <c r="P771" s="8">
        <f t="shared" ca="1" si="368"/>
        <v>0</v>
      </c>
      <c r="Q771" s="8">
        <f t="shared" ca="1" si="369"/>
        <v>0</v>
      </c>
      <c r="R771" s="8">
        <f t="shared" ca="1" si="370"/>
        <v>0</v>
      </c>
      <c r="S771" s="8">
        <f t="shared" ca="1" si="371"/>
        <v>0</v>
      </c>
      <c r="T771" s="8">
        <f t="shared" ca="1" si="372"/>
        <v>0</v>
      </c>
      <c r="U771" s="8">
        <f t="shared" ca="1" si="373"/>
        <v>0</v>
      </c>
      <c r="V771" s="8">
        <f t="shared" ca="1" si="374"/>
        <v>0</v>
      </c>
      <c r="W771" s="11" t="str">
        <f t="shared" ca="1" si="375"/>
        <v/>
      </c>
      <c r="X771" s="11" t="str">
        <f t="shared" ca="1" si="376"/>
        <v/>
      </c>
      <c r="Y771" s="11" t="str">
        <f t="shared" ca="1" si="377"/>
        <v/>
      </c>
      <c r="Z771" s="11" t="str">
        <f t="shared" ca="1" si="378"/>
        <v/>
      </c>
      <c r="AA771" s="11" t="str">
        <f t="shared" ca="1" si="379"/>
        <v/>
      </c>
      <c r="AB771" s="47">
        <f ca="1">PlayerGameData[[#This Row],[3FGA]]+PlayerGameData[[#This Row],[2FGA]]</f>
        <v>0</v>
      </c>
      <c r="AC771" s="47">
        <f ca="1">PlayerGameData[[#This Row],[OFF REB]]+PlayerGameData[[#This Row],[DEF REB]]</f>
        <v>0</v>
      </c>
      <c r="AD771" s="8">
        <f t="shared" si="360"/>
        <v>32</v>
      </c>
      <c r="AE771" s="8" t="str">
        <f t="shared" ca="1" si="361"/>
        <v>,  - 0 1/0/1900</v>
      </c>
      <c r="AF771" s="8" t="str">
        <f t="shared" ca="1" si="380"/>
        <v/>
      </c>
      <c r="AG771" s="8" t="str">
        <f ca="1">IFERROR(IF(C771=0,"",IF(AND(VLOOKUP(PlayerGameData[[#This Row],[Opponent]],WYTeamInfo,2,FALSE)=Roster!$D$1,VLOOKUP(PlayerGameData[[#This Row],[Opponent]],WYTeamInfo,3,FALSE)=Roster!$D$2),"SR","")),"")</f>
        <v/>
      </c>
      <c r="AH771" s="8" t="str">
        <f>CONCATENATE(Roster!$D$1," ",Roster!$D$5)</f>
        <v>1A BB</v>
      </c>
      <c r="AI771" s="8" t="str">
        <f t="shared" ca="1" si="362"/>
        <v>Blank</v>
      </c>
      <c r="AJ771" s="8">
        <f ca="1">IFERROR(VLOOKUP(PlayerGameData[[#This Row],[School, Opponent,Game'#]],Table3[],2,FALSE),0)</f>
        <v>0</v>
      </c>
      <c r="AK771" s="8">
        <f ca="1">IF(PlayerGameData[[#This Row],[Visible]]=1,1,1000)</f>
        <v>1000</v>
      </c>
      <c r="AL771" s="8">
        <f ca="1">RANK(PlayerGameData[[#This Row],[TL PTS]],PlayerGameData[TL PTS],0)+PlayerGameData[[#This Row],[VisibleOrder]]</f>
        <v>1184</v>
      </c>
      <c r="AM771" s="8">
        <f ca="1">IF(COUNTIF(PlayerGameData[PointOrder],PlayerGameData[[#This Row],[PointOrder]])&gt;1,RANK(PlayerGameData[[#This Row],[FGA]],PlayerGameData[FGA],0)/100,0)+PlayerGameData[[#This Row],[PointOrder]]</f>
        <v>1186.1400000000001</v>
      </c>
      <c r="AN771" s="8">
        <f ca="1">RANK(PlayerGameData[[#This Row],[PointTieBreak]],PlayerGameData[PointTieBreak],1)</f>
        <v>625</v>
      </c>
      <c r="AO771" s="8">
        <f ca="1">RANK(PlayerGameData[[#This Row],[REB]],PlayerGameData[REB],0)+PlayerGameData[[#This Row],[VisibleOrder]]</f>
        <v>1191</v>
      </c>
      <c r="AP771" s="8">
        <f ca="1">IF(COUNTIF(PlayerGameData[REBOrder],PlayerGameData[[#This Row],[REBOrder]])&gt;1,PlayerGameData[[#This Row],[PointRank]]/100+PlayerGameData[[#This Row],[REBOrder]],PlayerGameData[[#This Row],[REBOrder]])</f>
        <v>1197.25</v>
      </c>
      <c r="AQ771" s="8">
        <f ca="1">RANK(PlayerGameData[[#This Row],[REBTieBreak]],PlayerGameData[REBTieBreak],1)</f>
        <v>625</v>
      </c>
      <c r="AR771" s="8">
        <f ca="1">RANK(PlayerGameData[[#This Row],[AST]],PlayerGameData[AST],0)+PlayerGameData[[#This Row],[VisibleOrder]]</f>
        <v>1157</v>
      </c>
      <c r="AS771" s="8">
        <f ca="1">IF(COUNTIF(PlayerGameData[ASTOrder],PlayerGameData[[#This Row],[ASTOrder]])&gt;1,PlayerGameData[[#This Row],[PointRank]]/100+PlayerGameData[[#This Row],[ASTOrder]],PlayerGameData[[#This Row],[ASTOrder]])</f>
        <v>1163.25</v>
      </c>
      <c r="AT771" s="8">
        <f ca="1">RANK(PlayerGameData[[#This Row],[ASTTieBreak]],PlayerGameData[ASTTieBreak],1)</f>
        <v>625</v>
      </c>
      <c r="AU771" s="8">
        <f ca="1">RANK(PlayerGameData[[#This Row],[STL]],PlayerGameData[STL],0)+PlayerGameData[[#This Row],[VisibleOrder]]</f>
        <v>1142</v>
      </c>
      <c r="AV771" s="8">
        <f ca="1">IF(COUNTIF(PlayerGameData[STLOrder],PlayerGameData[[#This Row],[STLOrder]])&gt;1,PlayerGameData[[#This Row],[PointRank]]/100+PlayerGameData[[#This Row],[STLOrder]],PlayerGameData[[#This Row],[STLOrder]])</f>
        <v>1148.25</v>
      </c>
      <c r="AW771" s="8">
        <f ca="1">RANK(PlayerGameData[[#This Row],[STLTieBreak]],PlayerGameData[STLTieBreak],1)</f>
        <v>625</v>
      </c>
      <c r="AX771" s="8">
        <f ca="1">RANK(PlayerGameData[[#This Row],[BLK]],PlayerGameData[BLK],0)+PlayerGameData[[#This Row],[VisibleOrder]]</f>
        <v>1031</v>
      </c>
      <c r="AY771" s="8">
        <f ca="1">IF(COUNTIF(PlayerGameData[BLKOrder],PlayerGameData[[#This Row],[BLKOrder]])&gt;1,PlayerGameData[[#This Row],[PointRank]]/100+PlayerGameData[[#This Row],[BLKOrder]],PlayerGameData[[#This Row],[BLKOrder]])</f>
        <v>1037.25</v>
      </c>
      <c r="AZ771" s="8">
        <f ca="1">RANK(PlayerGameData[[#This Row],[BLKTieBreak]],PlayerGameData[BLKTieBreak],1)</f>
        <v>625</v>
      </c>
      <c r="BA771" s="11">
        <f ca="1">IFERROR(IF(PlayerGameData[[#This Row],[FGA]]&gt;$AA$5,PlayerGameData[[#This Row],[FG%*]],PlayerGameData[[#This Row],[FG%*]]*-1),-2)</f>
        <v>-2</v>
      </c>
      <c r="BB771" s="8">
        <f ca="1">RANK(PlayerGameData[[#This Row],[EligFG]],PlayerGameData[EligFG],0)+PlayerGameData[[#This Row],[VisibleOrder]]</f>
        <v>1214</v>
      </c>
      <c r="BC771" s="8">
        <f ca="1">IF(COUNTIF(PlayerGameData[EligFGOrder],PlayerGameData[[#This Row],[EligFGOrder]])&gt;1,PlayerGameData[[#This Row],[PointRank]]/100+PlayerGameData[[#This Row],[EligFGOrder]],PlayerGameData[[#This Row],[EligFGOrder]])</f>
        <v>1220.25</v>
      </c>
      <c r="BD771" s="8">
        <f ca="1">RANK(PlayerGameData[[#This Row],[EligFGTieBreak]],PlayerGameData[EligFGTieBreak],1)</f>
        <v>625</v>
      </c>
      <c r="BE771" s="8" t="str">
        <f>Roster!$D$3</f>
        <v>East</v>
      </c>
      <c r="BF771" s="8" t="str">
        <f>Roster!$D$2</f>
        <v>Northeast</v>
      </c>
      <c r="BG771" s="8" t="str">
        <f>Roster!$D$4</f>
        <v>North</v>
      </c>
      <c r="BH771" s="197">
        <f ca="1">IFERROR(VLOOKUP(CONCATENATE(PlayerGameData[[#This Row],[Opponent]]," ",MONTH(PlayerGameData[[#This Row],[Date]]),"/",DAY(PlayerGameData[[#This Row],[Date]]),"/",YEAR(PlayerGameData[[#This Row],[Date]])),Table35[],2,FALSE),0)</f>
        <v>0</v>
      </c>
      <c r="BI771" s="197">
        <f ca="1">IF(PlayerGameData[[#This Row],[Visible]]=1,1,1000)</f>
        <v>1000</v>
      </c>
      <c r="BJ771" s="197" t="e">
        <f ca="1">_xlfn.MAXIFS(TeamGameData[Win],TeamGameData[School, Opponent,Game'#],PlayerGameData[[#This Row],[School, Opponent,Game'#]])</f>
        <v>#NAME?</v>
      </c>
      <c r="BK771" s="197" t="e">
        <f ca="1">_xlfn.MAXIFS(TeamGameData[Loss],TeamGameData[School, Opponent,Game'#],PlayerGameData[[#This Row],[School, Opponent,Game'#]])</f>
        <v>#NAME?</v>
      </c>
    </row>
    <row r="772" spans="1:63" x14ac:dyDescent="0.25">
      <c r="A772" s="8" t="str">
        <f t="shared" ca="1" si="363"/>
        <v xml:space="preserve">, </v>
      </c>
      <c r="B772" s="8" t="str">
        <f>Roster!$B$1</f>
        <v>Upton</v>
      </c>
      <c r="C772" s="8">
        <f t="shared" ca="1" si="351"/>
        <v>0</v>
      </c>
      <c r="D772" s="10">
        <f t="shared" ca="1" si="352"/>
        <v>0</v>
      </c>
      <c r="E772" s="8">
        <f t="shared" ca="1" si="353"/>
        <v>0</v>
      </c>
      <c r="F772" s="8">
        <f t="shared" ca="1" si="354"/>
        <v>0</v>
      </c>
      <c r="G772" s="8">
        <f t="shared" ca="1" si="355"/>
        <v>0</v>
      </c>
      <c r="H772" s="8">
        <f t="shared" ca="1" si="356"/>
        <v>0</v>
      </c>
      <c r="I772" s="8">
        <f t="shared" ca="1" si="357"/>
        <v>0</v>
      </c>
      <c r="J772" s="8">
        <f t="shared" ca="1" si="358"/>
        <v>0</v>
      </c>
      <c r="K772" s="8">
        <f t="shared" ca="1" si="359"/>
        <v>0</v>
      </c>
      <c r="L772" s="8">
        <f t="shared" ca="1" si="364"/>
        <v>0</v>
      </c>
      <c r="M772" s="8">
        <f t="shared" ca="1" si="365"/>
        <v>0</v>
      </c>
      <c r="N772" s="8">
        <f t="shared" ca="1" si="366"/>
        <v>0</v>
      </c>
      <c r="O772" s="8">
        <f t="shared" ca="1" si="367"/>
        <v>0</v>
      </c>
      <c r="P772" s="8">
        <f t="shared" ca="1" si="368"/>
        <v>0</v>
      </c>
      <c r="Q772" s="8">
        <f t="shared" ca="1" si="369"/>
        <v>0</v>
      </c>
      <c r="R772" s="8">
        <f t="shared" ca="1" si="370"/>
        <v>0</v>
      </c>
      <c r="S772" s="8">
        <f t="shared" ca="1" si="371"/>
        <v>0</v>
      </c>
      <c r="T772" s="8">
        <f t="shared" ca="1" si="372"/>
        <v>0</v>
      </c>
      <c r="U772" s="8">
        <f t="shared" ca="1" si="373"/>
        <v>0</v>
      </c>
      <c r="V772" s="8">
        <f t="shared" ca="1" si="374"/>
        <v>0</v>
      </c>
      <c r="W772" s="11" t="str">
        <f t="shared" ca="1" si="375"/>
        <v/>
      </c>
      <c r="X772" s="11" t="str">
        <f t="shared" ca="1" si="376"/>
        <v/>
      </c>
      <c r="Y772" s="11" t="str">
        <f t="shared" ca="1" si="377"/>
        <v/>
      </c>
      <c r="Z772" s="11" t="str">
        <f t="shared" ca="1" si="378"/>
        <v/>
      </c>
      <c r="AA772" s="11" t="str">
        <f t="shared" ca="1" si="379"/>
        <v/>
      </c>
      <c r="AB772" s="47">
        <f ca="1">PlayerGameData[[#This Row],[3FGA]]+PlayerGameData[[#This Row],[2FGA]]</f>
        <v>0</v>
      </c>
      <c r="AC772" s="47">
        <f ca="1">PlayerGameData[[#This Row],[OFF REB]]+PlayerGameData[[#This Row],[DEF REB]]</f>
        <v>0</v>
      </c>
      <c r="AD772" s="8">
        <f t="shared" si="360"/>
        <v>32</v>
      </c>
      <c r="AE772" s="8" t="str">
        <f t="shared" ca="1" si="361"/>
        <v>,  - 0 1/0/1900</v>
      </c>
      <c r="AF772" s="8" t="str">
        <f t="shared" ca="1" si="380"/>
        <v/>
      </c>
      <c r="AG772" s="8" t="str">
        <f ca="1">IFERROR(IF(C772=0,"",IF(AND(VLOOKUP(PlayerGameData[[#This Row],[Opponent]],WYTeamInfo,2,FALSE)=Roster!$D$1,VLOOKUP(PlayerGameData[[#This Row],[Opponent]],WYTeamInfo,3,FALSE)=Roster!$D$2),"SR","")),"")</f>
        <v/>
      </c>
      <c r="AH772" s="8" t="str">
        <f>CONCATENATE(Roster!$D$1," ",Roster!$D$5)</f>
        <v>1A BB</v>
      </c>
      <c r="AI772" s="8" t="str">
        <f t="shared" ca="1" si="362"/>
        <v>Blank</v>
      </c>
      <c r="AJ772" s="8">
        <f ca="1">IFERROR(VLOOKUP(PlayerGameData[[#This Row],[School, Opponent,Game'#]],Table3[],2,FALSE),0)</f>
        <v>0</v>
      </c>
      <c r="AK772" s="8">
        <f ca="1">IF(PlayerGameData[[#This Row],[Visible]]=1,1,1000)</f>
        <v>1000</v>
      </c>
      <c r="AL772" s="8">
        <f ca="1">RANK(PlayerGameData[[#This Row],[TL PTS]],PlayerGameData[TL PTS],0)+PlayerGameData[[#This Row],[VisibleOrder]]</f>
        <v>1184</v>
      </c>
      <c r="AM772" s="8">
        <f ca="1">IF(COUNTIF(PlayerGameData[PointOrder],PlayerGameData[[#This Row],[PointOrder]])&gt;1,RANK(PlayerGameData[[#This Row],[FGA]],PlayerGameData[FGA],0)/100,0)+PlayerGameData[[#This Row],[PointOrder]]</f>
        <v>1186.1400000000001</v>
      </c>
      <c r="AN772" s="8">
        <f ca="1">RANK(PlayerGameData[[#This Row],[PointTieBreak]],PlayerGameData[PointTieBreak],1)</f>
        <v>625</v>
      </c>
      <c r="AO772" s="8">
        <f ca="1">RANK(PlayerGameData[[#This Row],[REB]],PlayerGameData[REB],0)+PlayerGameData[[#This Row],[VisibleOrder]]</f>
        <v>1191</v>
      </c>
      <c r="AP772" s="8">
        <f ca="1">IF(COUNTIF(PlayerGameData[REBOrder],PlayerGameData[[#This Row],[REBOrder]])&gt;1,PlayerGameData[[#This Row],[PointRank]]/100+PlayerGameData[[#This Row],[REBOrder]],PlayerGameData[[#This Row],[REBOrder]])</f>
        <v>1197.25</v>
      </c>
      <c r="AQ772" s="8">
        <f ca="1">RANK(PlayerGameData[[#This Row],[REBTieBreak]],PlayerGameData[REBTieBreak],1)</f>
        <v>625</v>
      </c>
      <c r="AR772" s="8">
        <f ca="1">RANK(PlayerGameData[[#This Row],[AST]],PlayerGameData[AST],0)+PlayerGameData[[#This Row],[VisibleOrder]]</f>
        <v>1157</v>
      </c>
      <c r="AS772" s="8">
        <f ca="1">IF(COUNTIF(PlayerGameData[ASTOrder],PlayerGameData[[#This Row],[ASTOrder]])&gt;1,PlayerGameData[[#This Row],[PointRank]]/100+PlayerGameData[[#This Row],[ASTOrder]],PlayerGameData[[#This Row],[ASTOrder]])</f>
        <v>1163.25</v>
      </c>
      <c r="AT772" s="8">
        <f ca="1">RANK(PlayerGameData[[#This Row],[ASTTieBreak]],PlayerGameData[ASTTieBreak],1)</f>
        <v>625</v>
      </c>
      <c r="AU772" s="8">
        <f ca="1">RANK(PlayerGameData[[#This Row],[STL]],PlayerGameData[STL],0)+PlayerGameData[[#This Row],[VisibleOrder]]</f>
        <v>1142</v>
      </c>
      <c r="AV772" s="8">
        <f ca="1">IF(COUNTIF(PlayerGameData[STLOrder],PlayerGameData[[#This Row],[STLOrder]])&gt;1,PlayerGameData[[#This Row],[PointRank]]/100+PlayerGameData[[#This Row],[STLOrder]],PlayerGameData[[#This Row],[STLOrder]])</f>
        <v>1148.25</v>
      </c>
      <c r="AW772" s="8">
        <f ca="1">RANK(PlayerGameData[[#This Row],[STLTieBreak]],PlayerGameData[STLTieBreak],1)</f>
        <v>625</v>
      </c>
      <c r="AX772" s="8">
        <f ca="1">RANK(PlayerGameData[[#This Row],[BLK]],PlayerGameData[BLK],0)+PlayerGameData[[#This Row],[VisibleOrder]]</f>
        <v>1031</v>
      </c>
      <c r="AY772" s="8">
        <f ca="1">IF(COUNTIF(PlayerGameData[BLKOrder],PlayerGameData[[#This Row],[BLKOrder]])&gt;1,PlayerGameData[[#This Row],[PointRank]]/100+PlayerGameData[[#This Row],[BLKOrder]],PlayerGameData[[#This Row],[BLKOrder]])</f>
        <v>1037.25</v>
      </c>
      <c r="AZ772" s="8">
        <f ca="1">RANK(PlayerGameData[[#This Row],[BLKTieBreak]],PlayerGameData[BLKTieBreak],1)</f>
        <v>625</v>
      </c>
      <c r="BA772" s="11">
        <f ca="1">IFERROR(IF(PlayerGameData[[#This Row],[FGA]]&gt;$AA$5,PlayerGameData[[#This Row],[FG%*]],PlayerGameData[[#This Row],[FG%*]]*-1),-2)</f>
        <v>-2</v>
      </c>
      <c r="BB772" s="8">
        <f ca="1">RANK(PlayerGameData[[#This Row],[EligFG]],PlayerGameData[EligFG],0)+PlayerGameData[[#This Row],[VisibleOrder]]</f>
        <v>1214</v>
      </c>
      <c r="BC772" s="8">
        <f ca="1">IF(COUNTIF(PlayerGameData[EligFGOrder],PlayerGameData[[#This Row],[EligFGOrder]])&gt;1,PlayerGameData[[#This Row],[PointRank]]/100+PlayerGameData[[#This Row],[EligFGOrder]],PlayerGameData[[#This Row],[EligFGOrder]])</f>
        <v>1220.25</v>
      </c>
      <c r="BD772" s="8">
        <f ca="1">RANK(PlayerGameData[[#This Row],[EligFGTieBreak]],PlayerGameData[EligFGTieBreak],1)</f>
        <v>625</v>
      </c>
      <c r="BE772" s="8" t="str">
        <f>Roster!$D$3</f>
        <v>East</v>
      </c>
      <c r="BF772" s="8" t="str">
        <f>Roster!$D$2</f>
        <v>Northeast</v>
      </c>
      <c r="BG772" s="8" t="str">
        <f>Roster!$D$4</f>
        <v>North</v>
      </c>
      <c r="BH772" s="197">
        <f ca="1">IFERROR(VLOOKUP(CONCATENATE(PlayerGameData[[#This Row],[Opponent]]," ",MONTH(PlayerGameData[[#This Row],[Date]]),"/",DAY(PlayerGameData[[#This Row],[Date]]),"/",YEAR(PlayerGameData[[#This Row],[Date]])),Table35[],2,FALSE),0)</f>
        <v>0</v>
      </c>
      <c r="BI772" s="197">
        <f ca="1">IF(PlayerGameData[[#This Row],[Visible]]=1,1,1000)</f>
        <v>1000</v>
      </c>
      <c r="BJ772" s="197" t="e">
        <f ca="1">_xlfn.MAXIFS(TeamGameData[Win],TeamGameData[School, Opponent,Game'#],PlayerGameData[[#This Row],[School, Opponent,Game'#]])</f>
        <v>#NAME?</v>
      </c>
      <c r="BK772" s="197" t="e">
        <f ca="1">_xlfn.MAXIFS(TeamGameData[Loss],TeamGameData[School, Opponent,Game'#],PlayerGameData[[#This Row],[School, Opponent,Game'#]])</f>
        <v>#NAME?</v>
      </c>
    </row>
    <row r="773" spans="1:63" x14ac:dyDescent="0.25">
      <c r="A773" s="8" t="str">
        <f t="shared" ca="1" si="363"/>
        <v xml:space="preserve">, </v>
      </c>
      <c r="B773" s="8" t="str">
        <f>Roster!$B$1</f>
        <v>Upton</v>
      </c>
      <c r="C773" s="8">
        <f t="shared" ca="1" si="351"/>
        <v>0</v>
      </c>
      <c r="D773" s="10">
        <f t="shared" ca="1" si="352"/>
        <v>0</v>
      </c>
      <c r="E773" s="8">
        <f t="shared" ca="1" si="353"/>
        <v>0</v>
      </c>
      <c r="F773" s="8">
        <f t="shared" ca="1" si="354"/>
        <v>0</v>
      </c>
      <c r="G773" s="8">
        <f t="shared" ca="1" si="355"/>
        <v>0</v>
      </c>
      <c r="H773" s="8">
        <f t="shared" ca="1" si="356"/>
        <v>0</v>
      </c>
      <c r="I773" s="8">
        <f t="shared" ca="1" si="357"/>
        <v>0</v>
      </c>
      <c r="J773" s="8">
        <f t="shared" ca="1" si="358"/>
        <v>0</v>
      </c>
      <c r="K773" s="8">
        <f t="shared" ca="1" si="359"/>
        <v>0</v>
      </c>
      <c r="L773" s="8">
        <f t="shared" ca="1" si="364"/>
        <v>0</v>
      </c>
      <c r="M773" s="8">
        <f t="shared" ca="1" si="365"/>
        <v>0</v>
      </c>
      <c r="N773" s="8">
        <f t="shared" ca="1" si="366"/>
        <v>0</v>
      </c>
      <c r="O773" s="8">
        <f t="shared" ca="1" si="367"/>
        <v>0</v>
      </c>
      <c r="P773" s="8">
        <f t="shared" ca="1" si="368"/>
        <v>0</v>
      </c>
      <c r="Q773" s="8">
        <f t="shared" ca="1" si="369"/>
        <v>0</v>
      </c>
      <c r="R773" s="8">
        <f t="shared" ca="1" si="370"/>
        <v>0</v>
      </c>
      <c r="S773" s="8">
        <f t="shared" ca="1" si="371"/>
        <v>0</v>
      </c>
      <c r="T773" s="8">
        <f t="shared" ca="1" si="372"/>
        <v>0</v>
      </c>
      <c r="U773" s="8">
        <f t="shared" ca="1" si="373"/>
        <v>0</v>
      </c>
      <c r="V773" s="8">
        <f t="shared" ca="1" si="374"/>
        <v>0</v>
      </c>
      <c r="W773" s="11" t="str">
        <f t="shared" ca="1" si="375"/>
        <v/>
      </c>
      <c r="X773" s="11" t="str">
        <f t="shared" ca="1" si="376"/>
        <v/>
      </c>
      <c r="Y773" s="11" t="str">
        <f t="shared" ca="1" si="377"/>
        <v/>
      </c>
      <c r="Z773" s="11" t="str">
        <f t="shared" ca="1" si="378"/>
        <v/>
      </c>
      <c r="AA773" s="11" t="str">
        <f t="shared" ca="1" si="379"/>
        <v/>
      </c>
      <c r="AB773" s="47">
        <f ca="1">PlayerGameData[[#This Row],[3FGA]]+PlayerGameData[[#This Row],[2FGA]]</f>
        <v>0</v>
      </c>
      <c r="AC773" s="47">
        <f ca="1">PlayerGameData[[#This Row],[OFF REB]]+PlayerGameData[[#This Row],[DEF REB]]</f>
        <v>0</v>
      </c>
      <c r="AD773" s="8">
        <f t="shared" si="360"/>
        <v>32</v>
      </c>
      <c r="AE773" s="8" t="str">
        <f t="shared" ca="1" si="361"/>
        <v>,  - 0 1/0/1900</v>
      </c>
      <c r="AF773" s="8" t="str">
        <f t="shared" ca="1" si="380"/>
        <v/>
      </c>
      <c r="AG773" s="8" t="str">
        <f ca="1">IFERROR(IF(C773=0,"",IF(AND(VLOOKUP(PlayerGameData[[#This Row],[Opponent]],WYTeamInfo,2,FALSE)=Roster!$D$1,VLOOKUP(PlayerGameData[[#This Row],[Opponent]],WYTeamInfo,3,FALSE)=Roster!$D$2),"SR","")),"")</f>
        <v/>
      </c>
      <c r="AH773" s="8" t="str">
        <f>CONCATENATE(Roster!$D$1," ",Roster!$D$5)</f>
        <v>1A BB</v>
      </c>
      <c r="AI773" s="8" t="str">
        <f t="shared" ca="1" si="362"/>
        <v>Blank</v>
      </c>
      <c r="AJ773" s="8">
        <f ca="1">IFERROR(VLOOKUP(PlayerGameData[[#This Row],[School, Opponent,Game'#]],Table3[],2,FALSE),0)</f>
        <v>0</v>
      </c>
      <c r="AK773" s="8">
        <f ca="1">IF(PlayerGameData[[#This Row],[Visible]]=1,1,1000)</f>
        <v>1000</v>
      </c>
      <c r="AL773" s="8">
        <f ca="1">RANK(PlayerGameData[[#This Row],[TL PTS]],PlayerGameData[TL PTS],0)+PlayerGameData[[#This Row],[VisibleOrder]]</f>
        <v>1184</v>
      </c>
      <c r="AM773" s="8">
        <f ca="1">IF(COUNTIF(PlayerGameData[PointOrder],PlayerGameData[[#This Row],[PointOrder]])&gt;1,RANK(PlayerGameData[[#This Row],[FGA]],PlayerGameData[FGA],0)/100,0)+PlayerGameData[[#This Row],[PointOrder]]</f>
        <v>1186.1400000000001</v>
      </c>
      <c r="AN773" s="8">
        <f ca="1">RANK(PlayerGameData[[#This Row],[PointTieBreak]],PlayerGameData[PointTieBreak],1)</f>
        <v>625</v>
      </c>
      <c r="AO773" s="8">
        <f ca="1">RANK(PlayerGameData[[#This Row],[REB]],PlayerGameData[REB],0)+PlayerGameData[[#This Row],[VisibleOrder]]</f>
        <v>1191</v>
      </c>
      <c r="AP773" s="8">
        <f ca="1">IF(COUNTIF(PlayerGameData[REBOrder],PlayerGameData[[#This Row],[REBOrder]])&gt;1,PlayerGameData[[#This Row],[PointRank]]/100+PlayerGameData[[#This Row],[REBOrder]],PlayerGameData[[#This Row],[REBOrder]])</f>
        <v>1197.25</v>
      </c>
      <c r="AQ773" s="8">
        <f ca="1">RANK(PlayerGameData[[#This Row],[REBTieBreak]],PlayerGameData[REBTieBreak],1)</f>
        <v>625</v>
      </c>
      <c r="AR773" s="8">
        <f ca="1">RANK(PlayerGameData[[#This Row],[AST]],PlayerGameData[AST],0)+PlayerGameData[[#This Row],[VisibleOrder]]</f>
        <v>1157</v>
      </c>
      <c r="AS773" s="8">
        <f ca="1">IF(COUNTIF(PlayerGameData[ASTOrder],PlayerGameData[[#This Row],[ASTOrder]])&gt;1,PlayerGameData[[#This Row],[PointRank]]/100+PlayerGameData[[#This Row],[ASTOrder]],PlayerGameData[[#This Row],[ASTOrder]])</f>
        <v>1163.25</v>
      </c>
      <c r="AT773" s="8">
        <f ca="1">RANK(PlayerGameData[[#This Row],[ASTTieBreak]],PlayerGameData[ASTTieBreak],1)</f>
        <v>625</v>
      </c>
      <c r="AU773" s="8">
        <f ca="1">RANK(PlayerGameData[[#This Row],[STL]],PlayerGameData[STL],0)+PlayerGameData[[#This Row],[VisibleOrder]]</f>
        <v>1142</v>
      </c>
      <c r="AV773" s="8">
        <f ca="1">IF(COUNTIF(PlayerGameData[STLOrder],PlayerGameData[[#This Row],[STLOrder]])&gt;1,PlayerGameData[[#This Row],[PointRank]]/100+PlayerGameData[[#This Row],[STLOrder]],PlayerGameData[[#This Row],[STLOrder]])</f>
        <v>1148.25</v>
      </c>
      <c r="AW773" s="8">
        <f ca="1">RANK(PlayerGameData[[#This Row],[STLTieBreak]],PlayerGameData[STLTieBreak],1)</f>
        <v>625</v>
      </c>
      <c r="AX773" s="8">
        <f ca="1">RANK(PlayerGameData[[#This Row],[BLK]],PlayerGameData[BLK],0)+PlayerGameData[[#This Row],[VisibleOrder]]</f>
        <v>1031</v>
      </c>
      <c r="AY773" s="8">
        <f ca="1">IF(COUNTIF(PlayerGameData[BLKOrder],PlayerGameData[[#This Row],[BLKOrder]])&gt;1,PlayerGameData[[#This Row],[PointRank]]/100+PlayerGameData[[#This Row],[BLKOrder]],PlayerGameData[[#This Row],[BLKOrder]])</f>
        <v>1037.25</v>
      </c>
      <c r="AZ773" s="8">
        <f ca="1">RANK(PlayerGameData[[#This Row],[BLKTieBreak]],PlayerGameData[BLKTieBreak],1)</f>
        <v>625</v>
      </c>
      <c r="BA773" s="11">
        <f ca="1">IFERROR(IF(PlayerGameData[[#This Row],[FGA]]&gt;$AA$5,PlayerGameData[[#This Row],[FG%*]],PlayerGameData[[#This Row],[FG%*]]*-1),-2)</f>
        <v>-2</v>
      </c>
      <c r="BB773" s="8">
        <f ca="1">RANK(PlayerGameData[[#This Row],[EligFG]],PlayerGameData[EligFG],0)+PlayerGameData[[#This Row],[VisibleOrder]]</f>
        <v>1214</v>
      </c>
      <c r="BC773" s="8">
        <f ca="1">IF(COUNTIF(PlayerGameData[EligFGOrder],PlayerGameData[[#This Row],[EligFGOrder]])&gt;1,PlayerGameData[[#This Row],[PointRank]]/100+PlayerGameData[[#This Row],[EligFGOrder]],PlayerGameData[[#This Row],[EligFGOrder]])</f>
        <v>1220.25</v>
      </c>
      <c r="BD773" s="8">
        <f ca="1">RANK(PlayerGameData[[#This Row],[EligFGTieBreak]],PlayerGameData[EligFGTieBreak],1)</f>
        <v>625</v>
      </c>
      <c r="BE773" s="8" t="str">
        <f>Roster!$D$3</f>
        <v>East</v>
      </c>
      <c r="BF773" s="8" t="str">
        <f>Roster!$D$2</f>
        <v>Northeast</v>
      </c>
      <c r="BG773" s="8" t="str">
        <f>Roster!$D$4</f>
        <v>North</v>
      </c>
      <c r="BH773" s="197">
        <f ca="1">IFERROR(VLOOKUP(CONCATENATE(PlayerGameData[[#This Row],[Opponent]]," ",MONTH(PlayerGameData[[#This Row],[Date]]),"/",DAY(PlayerGameData[[#This Row],[Date]]),"/",YEAR(PlayerGameData[[#This Row],[Date]])),Table35[],2,FALSE),0)</f>
        <v>0</v>
      </c>
      <c r="BI773" s="197">
        <f ca="1">IF(PlayerGameData[[#This Row],[Visible]]=1,1,1000)</f>
        <v>1000</v>
      </c>
      <c r="BJ773" s="197" t="e">
        <f ca="1">_xlfn.MAXIFS(TeamGameData[Win],TeamGameData[School, Opponent,Game'#],PlayerGameData[[#This Row],[School, Opponent,Game'#]])</f>
        <v>#NAME?</v>
      </c>
      <c r="BK773" s="197" t="e">
        <f ca="1">_xlfn.MAXIFS(TeamGameData[Loss],TeamGameData[School, Opponent,Game'#],PlayerGameData[[#This Row],[School, Opponent,Game'#]])</f>
        <v>#NAME?</v>
      </c>
    </row>
    <row r="774" spans="1:63" x14ac:dyDescent="0.25">
      <c r="A774" s="8" t="str">
        <f t="shared" ca="1" si="363"/>
        <v xml:space="preserve">Team, </v>
      </c>
      <c r="B774" s="8" t="str">
        <f>Roster!$B$1</f>
        <v>Upton</v>
      </c>
      <c r="C774" s="8">
        <f t="shared" ca="1" si="351"/>
        <v>0</v>
      </c>
      <c r="D774" s="10">
        <f t="shared" ca="1" si="352"/>
        <v>0</v>
      </c>
      <c r="E774" s="8">
        <f t="shared" ca="1" si="353"/>
        <v>0</v>
      </c>
      <c r="F774" s="8">
        <f t="shared" ca="1" si="354"/>
        <v>0</v>
      </c>
      <c r="G774" s="8">
        <f t="shared" ca="1" si="355"/>
        <v>0</v>
      </c>
      <c r="H774" s="8">
        <f t="shared" ca="1" si="356"/>
        <v>0</v>
      </c>
      <c r="I774" s="8">
        <f t="shared" ca="1" si="357"/>
        <v>0</v>
      </c>
      <c r="J774" s="8">
        <f t="shared" ca="1" si="358"/>
        <v>0</v>
      </c>
      <c r="K774" s="8">
        <f t="shared" ca="1" si="359"/>
        <v>0</v>
      </c>
      <c r="L774" s="8">
        <f t="shared" ca="1" si="364"/>
        <v>0</v>
      </c>
      <c r="M774" s="8">
        <f t="shared" ca="1" si="365"/>
        <v>0</v>
      </c>
      <c r="N774" s="8">
        <f t="shared" ca="1" si="366"/>
        <v>0</v>
      </c>
      <c r="O774" s="8">
        <f t="shared" ca="1" si="367"/>
        <v>0</v>
      </c>
      <c r="P774" s="8">
        <f t="shared" ca="1" si="368"/>
        <v>0</v>
      </c>
      <c r="Q774" s="8">
        <f t="shared" ca="1" si="369"/>
        <v>0</v>
      </c>
      <c r="R774" s="8">
        <f t="shared" ca="1" si="370"/>
        <v>0</v>
      </c>
      <c r="S774" s="8">
        <f t="shared" ca="1" si="371"/>
        <v>0</v>
      </c>
      <c r="T774" s="8">
        <f t="shared" ca="1" si="372"/>
        <v>0</v>
      </c>
      <c r="U774" s="8">
        <f t="shared" ca="1" si="373"/>
        <v>0</v>
      </c>
      <c r="V774" s="8">
        <f t="shared" ca="1" si="374"/>
        <v>0</v>
      </c>
      <c r="W774" s="11" t="str">
        <f t="shared" ca="1" si="375"/>
        <v/>
      </c>
      <c r="X774" s="11" t="str">
        <f t="shared" ca="1" si="376"/>
        <v/>
      </c>
      <c r="Y774" s="11" t="str">
        <f t="shared" ca="1" si="377"/>
        <v/>
      </c>
      <c r="Z774" s="11" t="str">
        <f t="shared" ca="1" si="378"/>
        <v/>
      </c>
      <c r="AA774" s="11" t="str">
        <f t="shared" ca="1" si="379"/>
        <v/>
      </c>
      <c r="AB774" s="47">
        <f ca="1">PlayerGameData[[#This Row],[3FGA]]+PlayerGameData[[#This Row],[2FGA]]</f>
        <v>0</v>
      </c>
      <c r="AC774" s="47">
        <f ca="1">PlayerGameData[[#This Row],[OFF REB]]+PlayerGameData[[#This Row],[DEF REB]]</f>
        <v>0</v>
      </c>
      <c r="AD774" s="8">
        <f t="shared" si="360"/>
        <v>32</v>
      </c>
      <c r="AE774" s="8" t="str">
        <f t="shared" ca="1" si="361"/>
        <v>Team,  - 0 1/0/1900</v>
      </c>
      <c r="AF774" s="8" t="str">
        <f t="shared" ca="1" si="380"/>
        <v/>
      </c>
      <c r="AG774" s="8" t="str">
        <f ca="1">IFERROR(IF(C774=0,"",IF(AND(VLOOKUP(PlayerGameData[[#This Row],[Opponent]],WYTeamInfo,2,FALSE)=Roster!$D$1,VLOOKUP(PlayerGameData[[#This Row],[Opponent]],WYTeamInfo,3,FALSE)=Roster!$D$2),"SR","")),"")</f>
        <v/>
      </c>
      <c r="AH774" s="8" t="str">
        <f>CONCATENATE(Roster!$D$1," ",Roster!$D$5)</f>
        <v>1A BB</v>
      </c>
      <c r="AI774" s="8" t="str">
        <f t="shared" ca="1" si="362"/>
        <v>Blank</v>
      </c>
      <c r="AJ774" s="8">
        <f ca="1">IFERROR(VLOOKUP(PlayerGameData[[#This Row],[School, Opponent,Game'#]],Table3[],2,FALSE),0)</f>
        <v>0</v>
      </c>
      <c r="AK774" s="8">
        <f ca="1">IF(PlayerGameData[[#This Row],[Visible]]=1,1,1000)</f>
        <v>1000</v>
      </c>
      <c r="AL774" s="8">
        <f ca="1">RANK(PlayerGameData[[#This Row],[TL PTS]],PlayerGameData[TL PTS],0)+PlayerGameData[[#This Row],[VisibleOrder]]</f>
        <v>1184</v>
      </c>
      <c r="AM774" s="8">
        <f ca="1">IF(COUNTIF(PlayerGameData[PointOrder],PlayerGameData[[#This Row],[PointOrder]])&gt;1,RANK(PlayerGameData[[#This Row],[FGA]],PlayerGameData[FGA],0)/100,0)+PlayerGameData[[#This Row],[PointOrder]]</f>
        <v>1186.1400000000001</v>
      </c>
      <c r="AN774" s="8">
        <f ca="1">RANK(PlayerGameData[[#This Row],[PointTieBreak]],PlayerGameData[PointTieBreak],1)</f>
        <v>625</v>
      </c>
      <c r="AO774" s="8">
        <f ca="1">RANK(PlayerGameData[[#This Row],[REB]],PlayerGameData[REB],0)+PlayerGameData[[#This Row],[VisibleOrder]]</f>
        <v>1191</v>
      </c>
      <c r="AP774" s="8">
        <f ca="1">IF(COUNTIF(PlayerGameData[REBOrder],PlayerGameData[[#This Row],[REBOrder]])&gt;1,PlayerGameData[[#This Row],[PointRank]]/100+PlayerGameData[[#This Row],[REBOrder]],PlayerGameData[[#This Row],[REBOrder]])</f>
        <v>1197.25</v>
      </c>
      <c r="AQ774" s="8">
        <f ca="1">RANK(PlayerGameData[[#This Row],[REBTieBreak]],PlayerGameData[REBTieBreak],1)</f>
        <v>625</v>
      </c>
      <c r="AR774" s="8">
        <f ca="1">RANK(PlayerGameData[[#This Row],[AST]],PlayerGameData[AST],0)+PlayerGameData[[#This Row],[VisibleOrder]]</f>
        <v>1157</v>
      </c>
      <c r="AS774" s="8">
        <f ca="1">IF(COUNTIF(PlayerGameData[ASTOrder],PlayerGameData[[#This Row],[ASTOrder]])&gt;1,PlayerGameData[[#This Row],[PointRank]]/100+PlayerGameData[[#This Row],[ASTOrder]],PlayerGameData[[#This Row],[ASTOrder]])</f>
        <v>1163.25</v>
      </c>
      <c r="AT774" s="8">
        <f ca="1">RANK(PlayerGameData[[#This Row],[ASTTieBreak]],PlayerGameData[ASTTieBreak],1)</f>
        <v>625</v>
      </c>
      <c r="AU774" s="8">
        <f ca="1">RANK(PlayerGameData[[#This Row],[STL]],PlayerGameData[STL],0)+PlayerGameData[[#This Row],[VisibleOrder]]</f>
        <v>1142</v>
      </c>
      <c r="AV774" s="8">
        <f ca="1">IF(COUNTIF(PlayerGameData[STLOrder],PlayerGameData[[#This Row],[STLOrder]])&gt;1,PlayerGameData[[#This Row],[PointRank]]/100+PlayerGameData[[#This Row],[STLOrder]],PlayerGameData[[#This Row],[STLOrder]])</f>
        <v>1148.25</v>
      </c>
      <c r="AW774" s="8">
        <f ca="1">RANK(PlayerGameData[[#This Row],[STLTieBreak]],PlayerGameData[STLTieBreak],1)</f>
        <v>625</v>
      </c>
      <c r="AX774" s="8">
        <f ca="1">RANK(PlayerGameData[[#This Row],[BLK]],PlayerGameData[BLK],0)+PlayerGameData[[#This Row],[VisibleOrder]]</f>
        <v>1031</v>
      </c>
      <c r="AY774" s="8">
        <f ca="1">IF(COUNTIF(PlayerGameData[BLKOrder],PlayerGameData[[#This Row],[BLKOrder]])&gt;1,PlayerGameData[[#This Row],[PointRank]]/100+PlayerGameData[[#This Row],[BLKOrder]],PlayerGameData[[#This Row],[BLKOrder]])</f>
        <v>1037.25</v>
      </c>
      <c r="AZ774" s="8">
        <f ca="1">RANK(PlayerGameData[[#This Row],[BLKTieBreak]],PlayerGameData[BLKTieBreak],1)</f>
        <v>625</v>
      </c>
      <c r="BA774" s="11">
        <f ca="1">IFERROR(IF(PlayerGameData[[#This Row],[FGA]]&gt;$AA$5,PlayerGameData[[#This Row],[FG%*]],PlayerGameData[[#This Row],[FG%*]]*-1),-2)</f>
        <v>-2</v>
      </c>
      <c r="BB774" s="8">
        <f ca="1">RANK(PlayerGameData[[#This Row],[EligFG]],PlayerGameData[EligFG],0)+PlayerGameData[[#This Row],[VisibleOrder]]</f>
        <v>1214</v>
      </c>
      <c r="BC774" s="8">
        <f ca="1">IF(COUNTIF(PlayerGameData[EligFGOrder],PlayerGameData[[#This Row],[EligFGOrder]])&gt;1,PlayerGameData[[#This Row],[PointRank]]/100+PlayerGameData[[#This Row],[EligFGOrder]],PlayerGameData[[#This Row],[EligFGOrder]])</f>
        <v>1220.25</v>
      </c>
      <c r="BD774" s="8">
        <f ca="1">RANK(PlayerGameData[[#This Row],[EligFGTieBreak]],PlayerGameData[EligFGTieBreak],1)</f>
        <v>625</v>
      </c>
      <c r="BE774" s="8" t="str">
        <f>Roster!$D$3</f>
        <v>East</v>
      </c>
      <c r="BF774" s="8" t="str">
        <f>Roster!$D$2</f>
        <v>Northeast</v>
      </c>
      <c r="BG774" s="8" t="str">
        <f>Roster!$D$4</f>
        <v>North</v>
      </c>
      <c r="BH774" s="197">
        <f ca="1">IFERROR(VLOOKUP(CONCATENATE(PlayerGameData[[#This Row],[Opponent]]," ",MONTH(PlayerGameData[[#This Row],[Date]]),"/",DAY(PlayerGameData[[#This Row],[Date]]),"/",YEAR(PlayerGameData[[#This Row],[Date]])),Table35[],2,FALSE),0)</f>
        <v>0</v>
      </c>
      <c r="BI774" s="197">
        <f ca="1">IF(PlayerGameData[[#This Row],[Visible]]=1,1,1000)</f>
        <v>1000</v>
      </c>
      <c r="BJ774" s="197" t="e">
        <f ca="1">_xlfn.MAXIFS(TeamGameData[Win],TeamGameData[School, Opponent,Game'#],PlayerGameData[[#This Row],[School, Opponent,Game'#]])</f>
        <v>#NAME?</v>
      </c>
      <c r="BK774" s="197" t="e">
        <f ca="1">_xlfn.MAXIFS(TeamGameData[Loss],TeamGameData[School, Opponent,Game'#],PlayerGameData[[#This Row],[School, Opponent,Game'#]])</f>
        <v>#NAME?</v>
      </c>
    </row>
    <row r="775" spans="1:63" x14ac:dyDescent="0.25">
      <c r="A775" s="8" t="str">
        <f t="shared" ca="1" si="363"/>
        <v>Landon Butler, 1</v>
      </c>
      <c r="B775" s="8" t="str">
        <f>Roster!$B$1</f>
        <v>Upton</v>
      </c>
      <c r="C775" s="8">
        <f t="shared" ref="C775:C838" ca="1" si="381">INDIRECT("'game1 ("&amp;$AD775&amp;")'!$b$3")</f>
        <v>0</v>
      </c>
      <c r="D775" s="10">
        <f t="shared" ref="D775:D838" ca="1" si="382">INDIRECT("'game1 ("&amp;$AD775&amp;")'!$m$4")</f>
        <v>0</v>
      </c>
      <c r="E775" s="8">
        <f t="shared" ref="E775:E838" ca="1" si="383">INDIRECT("'game1 ("&amp;$AD775&amp;")'!"&amp;ADDRESS(ROW(A$7)+MOD(ROW(A775)-7,24),COLUMN(D775)))</f>
        <v>0</v>
      </c>
      <c r="F775" s="8">
        <f t="shared" ref="F775:F838" ca="1" si="384">IF(INDIRECT("'game1 ("&amp;$AD775&amp;")'!"&amp;ADDRESS(ROW(B$7)+MOD(ROW(B775)-7,24),COLUMN(C775)))="s",1,0)</f>
        <v>0</v>
      </c>
      <c r="G775" s="8">
        <f t="shared" ref="G775:G838" ca="1" si="385">INDIRECT("'game1 ("&amp;$AD775&amp;")'!"&amp;ADDRESS(ROW(B$7)+MOD(ROW(B775)-7,24),COLUMN(E775)))</f>
        <v>0</v>
      </c>
      <c r="H775" s="8">
        <f t="shared" ref="H775:H838" ca="1" si="386">INDIRECT("'game1 ("&amp;$AD775&amp;")'!"&amp;ADDRESS(ROW(B$7)+MOD(ROW(B775)-7,24),COLUMN(F775)))</f>
        <v>0</v>
      </c>
      <c r="I775" s="8">
        <f t="shared" ref="I775:I838" ca="1" si="387">INDIRECT("'game1 ("&amp;$AD775&amp;")'!"&amp;ADDRESS(ROW(C$7)+MOD(ROW(C775)-7,24),COLUMN(G775)))</f>
        <v>0</v>
      </c>
      <c r="J775" s="8">
        <f t="shared" ref="J775:J838" ca="1" si="388">INDIRECT("'game1 ("&amp;$AD775&amp;")'!"&amp;ADDRESS(ROW(D$7)+MOD(ROW(D775)-7,24),COLUMN(H775)))</f>
        <v>0</v>
      </c>
      <c r="K775" s="8">
        <f t="shared" ref="K775:K838" ca="1" si="389">INDIRECT("'game1 ("&amp;$AD775&amp;")'!"&amp;ADDRESS(ROW(E$7)+MOD(ROW(E775)-7,24),COLUMN(I775)))</f>
        <v>0</v>
      </c>
      <c r="L775" s="8">
        <f t="shared" ca="1" si="364"/>
        <v>0</v>
      </c>
      <c r="M775" s="8">
        <f t="shared" ca="1" si="365"/>
        <v>0</v>
      </c>
      <c r="N775" s="8">
        <f t="shared" ca="1" si="366"/>
        <v>0</v>
      </c>
      <c r="O775" s="8">
        <f t="shared" ca="1" si="367"/>
        <v>0</v>
      </c>
      <c r="P775" s="8">
        <f t="shared" ca="1" si="368"/>
        <v>0</v>
      </c>
      <c r="Q775" s="8">
        <f t="shared" ca="1" si="369"/>
        <v>0</v>
      </c>
      <c r="R775" s="8">
        <f t="shared" ca="1" si="370"/>
        <v>0</v>
      </c>
      <c r="S775" s="8">
        <f t="shared" ca="1" si="371"/>
        <v>0</v>
      </c>
      <c r="T775" s="8">
        <f t="shared" ca="1" si="372"/>
        <v>0</v>
      </c>
      <c r="U775" s="8">
        <f t="shared" ca="1" si="373"/>
        <v>0</v>
      </c>
      <c r="V775" s="8">
        <f t="shared" ca="1" si="374"/>
        <v>0</v>
      </c>
      <c r="W775" s="11" t="str">
        <f t="shared" ca="1" si="375"/>
        <v/>
      </c>
      <c r="X775" s="11" t="str">
        <f t="shared" ca="1" si="376"/>
        <v/>
      </c>
      <c r="Y775" s="11" t="str">
        <f t="shared" ca="1" si="377"/>
        <v/>
      </c>
      <c r="Z775" s="11" t="str">
        <f t="shared" ca="1" si="378"/>
        <v/>
      </c>
      <c r="AA775" s="11" t="str">
        <f t="shared" ca="1" si="379"/>
        <v/>
      </c>
      <c r="AB775" s="47">
        <f ca="1">PlayerGameData[[#This Row],[3FGA]]+PlayerGameData[[#This Row],[2FGA]]</f>
        <v>0</v>
      </c>
      <c r="AC775" s="47">
        <f ca="1">PlayerGameData[[#This Row],[OFF REB]]+PlayerGameData[[#This Row],[DEF REB]]</f>
        <v>0</v>
      </c>
      <c r="AD775" s="8">
        <f t="shared" ref="AD775:AD838" si="390">INT((ROW(A775)-7)/24)+1</f>
        <v>33</v>
      </c>
      <c r="AE775" s="8" t="str">
        <f t="shared" ref="AE775:AE838" ca="1" si="391">CONCATENATE(A775," - ",C775," ",MONTH(D775),"/",DAY(D775),"/",YEAR(D775))</f>
        <v>Landon Butler, 1 - 0 1/0/1900</v>
      </c>
      <c r="AF775" s="8" t="str">
        <f t="shared" ca="1" si="380"/>
        <v/>
      </c>
      <c r="AG775" s="8" t="str">
        <f ca="1">IFERROR(IF(C775=0,"",IF(AND(VLOOKUP(PlayerGameData[[#This Row],[Opponent]],WYTeamInfo,2,FALSE)=Roster!$D$1,VLOOKUP(PlayerGameData[[#This Row],[Opponent]],WYTeamInfo,3,FALSE)=Roster!$D$2),"SR","")),"")</f>
        <v/>
      </c>
      <c r="AH775" s="8" t="str">
        <f>CONCATENATE(Roster!$D$1," ",Roster!$D$5)</f>
        <v>1A BB</v>
      </c>
      <c r="AI775" s="8" t="str">
        <f t="shared" ref="AI775:AI838" ca="1" si="392">IF($C775&lt;&gt;0,CONCATENATE($B775," - ",$C775," ",MONTH($D775),"/",DAY($D775),"/",YEAR($D775)),"Blank")</f>
        <v>Blank</v>
      </c>
      <c r="AJ775" s="8">
        <f ca="1">IFERROR(VLOOKUP(PlayerGameData[[#This Row],[School, Opponent,Game'#]],Table3[],2,FALSE),0)</f>
        <v>0</v>
      </c>
      <c r="AK775" s="8">
        <f ca="1">IF(PlayerGameData[[#This Row],[Visible]]=1,1,1000)</f>
        <v>1000</v>
      </c>
      <c r="AL775" s="8">
        <f ca="1">RANK(PlayerGameData[[#This Row],[TL PTS]],PlayerGameData[TL PTS],0)+PlayerGameData[[#This Row],[VisibleOrder]]</f>
        <v>1184</v>
      </c>
      <c r="AM775" s="8">
        <f ca="1">IF(COUNTIF(PlayerGameData[PointOrder],PlayerGameData[[#This Row],[PointOrder]])&gt;1,RANK(PlayerGameData[[#This Row],[FGA]],PlayerGameData[FGA],0)/100,0)+PlayerGameData[[#This Row],[PointOrder]]</f>
        <v>1186.1400000000001</v>
      </c>
      <c r="AN775" s="8">
        <f ca="1">RANK(PlayerGameData[[#This Row],[PointTieBreak]],PlayerGameData[PointTieBreak],1)</f>
        <v>625</v>
      </c>
      <c r="AO775" s="8">
        <f ca="1">RANK(PlayerGameData[[#This Row],[REB]],PlayerGameData[REB],0)+PlayerGameData[[#This Row],[VisibleOrder]]</f>
        <v>1191</v>
      </c>
      <c r="AP775" s="8">
        <f ca="1">IF(COUNTIF(PlayerGameData[REBOrder],PlayerGameData[[#This Row],[REBOrder]])&gt;1,PlayerGameData[[#This Row],[PointRank]]/100+PlayerGameData[[#This Row],[REBOrder]],PlayerGameData[[#This Row],[REBOrder]])</f>
        <v>1197.25</v>
      </c>
      <c r="AQ775" s="8">
        <f ca="1">RANK(PlayerGameData[[#This Row],[REBTieBreak]],PlayerGameData[REBTieBreak],1)</f>
        <v>625</v>
      </c>
      <c r="AR775" s="8">
        <f ca="1">RANK(PlayerGameData[[#This Row],[AST]],PlayerGameData[AST],0)+PlayerGameData[[#This Row],[VisibleOrder]]</f>
        <v>1157</v>
      </c>
      <c r="AS775" s="8">
        <f ca="1">IF(COUNTIF(PlayerGameData[ASTOrder],PlayerGameData[[#This Row],[ASTOrder]])&gt;1,PlayerGameData[[#This Row],[PointRank]]/100+PlayerGameData[[#This Row],[ASTOrder]],PlayerGameData[[#This Row],[ASTOrder]])</f>
        <v>1163.25</v>
      </c>
      <c r="AT775" s="8">
        <f ca="1">RANK(PlayerGameData[[#This Row],[ASTTieBreak]],PlayerGameData[ASTTieBreak],1)</f>
        <v>625</v>
      </c>
      <c r="AU775" s="8">
        <f ca="1">RANK(PlayerGameData[[#This Row],[STL]],PlayerGameData[STL],0)+PlayerGameData[[#This Row],[VisibleOrder]]</f>
        <v>1142</v>
      </c>
      <c r="AV775" s="8">
        <f ca="1">IF(COUNTIF(PlayerGameData[STLOrder],PlayerGameData[[#This Row],[STLOrder]])&gt;1,PlayerGameData[[#This Row],[PointRank]]/100+PlayerGameData[[#This Row],[STLOrder]],PlayerGameData[[#This Row],[STLOrder]])</f>
        <v>1148.25</v>
      </c>
      <c r="AW775" s="8">
        <f ca="1">RANK(PlayerGameData[[#This Row],[STLTieBreak]],PlayerGameData[STLTieBreak],1)</f>
        <v>625</v>
      </c>
      <c r="AX775" s="8">
        <f ca="1">RANK(PlayerGameData[[#This Row],[BLK]],PlayerGameData[BLK],0)+PlayerGameData[[#This Row],[VisibleOrder]]</f>
        <v>1031</v>
      </c>
      <c r="AY775" s="8">
        <f ca="1">IF(COUNTIF(PlayerGameData[BLKOrder],PlayerGameData[[#This Row],[BLKOrder]])&gt;1,PlayerGameData[[#This Row],[PointRank]]/100+PlayerGameData[[#This Row],[BLKOrder]],PlayerGameData[[#This Row],[BLKOrder]])</f>
        <v>1037.25</v>
      </c>
      <c r="AZ775" s="8">
        <f ca="1">RANK(PlayerGameData[[#This Row],[BLKTieBreak]],PlayerGameData[BLKTieBreak],1)</f>
        <v>625</v>
      </c>
      <c r="BA775" s="11">
        <f ca="1">IFERROR(IF(PlayerGameData[[#This Row],[FGA]]&gt;$AA$5,PlayerGameData[[#This Row],[FG%*]],PlayerGameData[[#This Row],[FG%*]]*-1),-2)</f>
        <v>-2</v>
      </c>
      <c r="BB775" s="8">
        <f ca="1">RANK(PlayerGameData[[#This Row],[EligFG]],PlayerGameData[EligFG],0)+PlayerGameData[[#This Row],[VisibleOrder]]</f>
        <v>1214</v>
      </c>
      <c r="BC775" s="8">
        <f ca="1">IF(COUNTIF(PlayerGameData[EligFGOrder],PlayerGameData[[#This Row],[EligFGOrder]])&gt;1,PlayerGameData[[#This Row],[PointRank]]/100+PlayerGameData[[#This Row],[EligFGOrder]],PlayerGameData[[#This Row],[EligFGOrder]])</f>
        <v>1220.25</v>
      </c>
      <c r="BD775" s="8">
        <f ca="1">RANK(PlayerGameData[[#This Row],[EligFGTieBreak]],PlayerGameData[EligFGTieBreak],1)</f>
        <v>625</v>
      </c>
      <c r="BE775" s="8" t="str">
        <f>Roster!$D$3</f>
        <v>East</v>
      </c>
      <c r="BF775" s="8" t="str">
        <f>Roster!$D$2</f>
        <v>Northeast</v>
      </c>
      <c r="BG775" s="8" t="str">
        <f>Roster!$D$4</f>
        <v>North</v>
      </c>
      <c r="BH775" s="197">
        <f ca="1">IFERROR(VLOOKUP(CONCATENATE(PlayerGameData[[#This Row],[Opponent]]," ",MONTH(PlayerGameData[[#This Row],[Date]]),"/",DAY(PlayerGameData[[#This Row],[Date]]),"/",YEAR(PlayerGameData[[#This Row],[Date]])),Table35[],2,FALSE),0)</f>
        <v>0</v>
      </c>
      <c r="BI775" s="197">
        <f ca="1">IF(PlayerGameData[[#This Row],[Visible]]=1,1,1000)</f>
        <v>1000</v>
      </c>
      <c r="BJ775" s="197" t="e">
        <f ca="1">_xlfn.MAXIFS(TeamGameData[Win],TeamGameData[School, Opponent,Game'#],PlayerGameData[[#This Row],[School, Opponent,Game'#]])</f>
        <v>#NAME?</v>
      </c>
      <c r="BK775" s="197" t="e">
        <f ca="1">_xlfn.MAXIFS(TeamGameData[Loss],TeamGameData[School, Opponent,Game'#],PlayerGameData[[#This Row],[School, Opponent,Game'#]])</f>
        <v>#NAME?</v>
      </c>
    </row>
    <row r="776" spans="1:63" x14ac:dyDescent="0.25">
      <c r="A776" s="8" t="str">
        <f t="shared" ref="A776:A839" ca="1" si="393">CONCATENATE(INDIRECT("Roster!B"&amp;ROW(A$7)+MOD(ROW(A776)-7,24)),", ",INDIRECT("Roster!a"&amp;ROW(A$7)+MOD(ROW(A776)-7,24)))</f>
        <v>Logan Timberman, 3</v>
      </c>
      <c r="B776" s="8" t="str">
        <f>Roster!$B$1</f>
        <v>Upton</v>
      </c>
      <c r="C776" s="8">
        <f t="shared" ca="1" si="381"/>
        <v>0</v>
      </c>
      <c r="D776" s="10">
        <f t="shared" ca="1" si="382"/>
        <v>0</v>
      </c>
      <c r="E776" s="8">
        <f t="shared" ca="1" si="383"/>
        <v>0</v>
      </c>
      <c r="F776" s="8">
        <f t="shared" ca="1" si="384"/>
        <v>0</v>
      </c>
      <c r="G776" s="8">
        <f t="shared" ca="1" si="385"/>
        <v>0</v>
      </c>
      <c r="H776" s="8">
        <f t="shared" ca="1" si="386"/>
        <v>0</v>
      </c>
      <c r="I776" s="8">
        <f t="shared" ca="1" si="387"/>
        <v>0</v>
      </c>
      <c r="J776" s="8">
        <f t="shared" ca="1" si="388"/>
        <v>0</v>
      </c>
      <c r="K776" s="8">
        <f t="shared" ca="1" si="389"/>
        <v>0</v>
      </c>
      <c r="L776" s="8">
        <f t="shared" ref="L776:L839" ca="1" si="394">INDIRECT("'game1 ("&amp;$AD776&amp;")'!"&amp;ADDRESS(ROW(G$7)+MOD(ROW(G776)-7,24),COLUMN(J776)))</f>
        <v>0</v>
      </c>
      <c r="M776" s="8">
        <f t="shared" ref="M776:M839" ca="1" si="395">INDIRECT("'game1 ("&amp;$AD776&amp;")'!"&amp;ADDRESS(ROW(H$7)+MOD(ROW(H776)-7,24),COLUMN(K776)))</f>
        <v>0</v>
      </c>
      <c r="N776" s="8">
        <f t="shared" ref="N776:N839" ca="1" si="396">INDIRECT("'game1 ("&amp;$AD776&amp;")'!"&amp;ADDRESS(ROW(I$7)+MOD(ROW(I776)-7,24),COLUMN(L776)))</f>
        <v>0</v>
      </c>
      <c r="O776" s="8">
        <f t="shared" ref="O776:O839" ca="1" si="397">INDIRECT("'game1 ("&amp;$AD776&amp;")'!"&amp;ADDRESS(ROW(J$7)+MOD(ROW(J776)-7,24),COLUMN(M776)))</f>
        <v>0</v>
      </c>
      <c r="P776" s="8">
        <f t="shared" ref="P776:P839" ca="1" si="398">INDIRECT("'game1 ("&amp;$AD776&amp;")'!"&amp;ADDRESS(ROW(K$7)+MOD(ROW(K776)-7,24),COLUMN(N776)))</f>
        <v>0</v>
      </c>
      <c r="Q776" s="8">
        <f t="shared" ref="Q776:Q839" ca="1" si="399">INDIRECT("'game1 ("&amp;$AD776&amp;")'!"&amp;ADDRESS(ROW(L$7)+MOD(ROW(L776)-7,24),COLUMN(O776)))</f>
        <v>0</v>
      </c>
      <c r="R776" s="8">
        <f t="shared" ref="R776:R839" ca="1" si="400">INDIRECT("'game1 ("&amp;$AD776&amp;")'!"&amp;ADDRESS(ROW(M$7)+MOD(ROW(M776)-7,24),COLUMN(P776)))</f>
        <v>0</v>
      </c>
      <c r="S776" s="8">
        <f t="shared" ref="S776:S839" ca="1" si="401">INDIRECT("'game1 ("&amp;$AD776&amp;")'!"&amp;ADDRESS(ROW(N$7)+MOD(ROW(N776)-7,24),COLUMN(Q776)))</f>
        <v>0</v>
      </c>
      <c r="T776" s="8">
        <f t="shared" ref="T776:T839" ca="1" si="402">INDIRECT("'game1 ("&amp;$AD776&amp;")'!"&amp;ADDRESS(ROW(O$7)+MOD(ROW(O776)-7,24),COLUMN(R776)))</f>
        <v>0</v>
      </c>
      <c r="U776" s="8">
        <f t="shared" ref="U776:U839" ca="1" si="403">INDIRECT("'game1 ("&amp;$AD776&amp;")'!"&amp;ADDRESS(ROW(P$7)+MOD(ROW(P776)-7,24),COLUMN(S776)))</f>
        <v>0</v>
      </c>
      <c r="V776" s="8">
        <f t="shared" ref="V776:V839" ca="1" si="404">INDIRECT("'game1 ("&amp;$AD776&amp;")'!"&amp;ADDRESS(ROW(Q$7)+MOD(ROW(Q776)-7,24),COLUMN(T776)))</f>
        <v>0</v>
      </c>
      <c r="W776" s="11" t="str">
        <f t="shared" ref="W776:W839" ca="1" si="405">INDIRECT("'game1 ("&amp;$AD776&amp;")'!"&amp;ADDRESS(ROW(R$7)+MOD(ROW(R776)-7,24),COLUMN(U776)))</f>
        <v/>
      </c>
      <c r="X776" s="11" t="str">
        <f t="shared" ref="X776:X839" ca="1" si="406">INDIRECT("'game1 ("&amp;$AD776&amp;")'!"&amp;ADDRESS(ROW(S$7)+MOD(ROW(S776)-7,24),COLUMN(V776)))</f>
        <v/>
      </c>
      <c r="Y776" s="11" t="str">
        <f t="shared" ref="Y776:Y839" ca="1" si="407">INDIRECT("'game1 ("&amp;$AD776&amp;")'!"&amp;ADDRESS(ROW(T$7)+MOD(ROW(T776)-7,24),COLUMN(W776)))</f>
        <v/>
      </c>
      <c r="Z776" s="11" t="str">
        <f t="shared" ref="Z776:Z839" ca="1" si="408">INDIRECT("'game1 ("&amp;$AD776&amp;")'!"&amp;ADDRESS(ROW(U$7)+MOD(ROW(U776)-7,24),COLUMN(X776)))</f>
        <v/>
      </c>
      <c r="AA776" s="11" t="str">
        <f t="shared" ref="AA776:AA839" ca="1" si="409">INDIRECT("'game1 ("&amp;$AD776&amp;")'!"&amp;ADDRESS(ROW(V$7)+MOD(ROW(V776)-7,24),COLUMN(Y776)))</f>
        <v/>
      </c>
      <c r="AB776" s="47">
        <f ca="1">PlayerGameData[[#This Row],[3FGA]]+PlayerGameData[[#This Row],[2FGA]]</f>
        <v>0</v>
      </c>
      <c r="AC776" s="47">
        <f ca="1">PlayerGameData[[#This Row],[OFF REB]]+PlayerGameData[[#This Row],[DEF REB]]</f>
        <v>0</v>
      </c>
      <c r="AD776" s="8">
        <f t="shared" si="390"/>
        <v>33</v>
      </c>
      <c r="AE776" s="8" t="str">
        <f t="shared" ca="1" si="391"/>
        <v>Logan Timberman, 3 - 0 1/0/1900</v>
      </c>
      <c r="AF776" s="8" t="str">
        <f t="shared" ref="AF776:AF839" ca="1" si="410">IFERROR(INDIRECT("'game1 ("&amp;$AD776&amp;")'!$a$2"),"")</f>
        <v/>
      </c>
      <c r="AG776" s="8" t="str">
        <f ca="1">IFERROR(IF(C776=0,"",IF(AND(VLOOKUP(PlayerGameData[[#This Row],[Opponent]],WYTeamInfo,2,FALSE)=Roster!$D$1,VLOOKUP(PlayerGameData[[#This Row],[Opponent]],WYTeamInfo,3,FALSE)=Roster!$D$2),"SR","")),"")</f>
        <v/>
      </c>
      <c r="AH776" s="8" t="str">
        <f>CONCATENATE(Roster!$D$1," ",Roster!$D$5)</f>
        <v>1A BB</v>
      </c>
      <c r="AI776" s="8" t="str">
        <f t="shared" ca="1" si="392"/>
        <v>Blank</v>
      </c>
      <c r="AJ776" s="8">
        <f ca="1">IFERROR(VLOOKUP(PlayerGameData[[#This Row],[School, Opponent,Game'#]],Table3[],2,FALSE),0)</f>
        <v>0</v>
      </c>
      <c r="AK776" s="8">
        <f ca="1">IF(PlayerGameData[[#This Row],[Visible]]=1,1,1000)</f>
        <v>1000</v>
      </c>
      <c r="AL776" s="8">
        <f ca="1">RANK(PlayerGameData[[#This Row],[TL PTS]],PlayerGameData[TL PTS],0)+PlayerGameData[[#This Row],[VisibleOrder]]</f>
        <v>1184</v>
      </c>
      <c r="AM776" s="8">
        <f ca="1">IF(COUNTIF(PlayerGameData[PointOrder],PlayerGameData[[#This Row],[PointOrder]])&gt;1,RANK(PlayerGameData[[#This Row],[FGA]],PlayerGameData[FGA],0)/100,0)+PlayerGameData[[#This Row],[PointOrder]]</f>
        <v>1186.1400000000001</v>
      </c>
      <c r="AN776" s="8">
        <f ca="1">RANK(PlayerGameData[[#This Row],[PointTieBreak]],PlayerGameData[PointTieBreak],1)</f>
        <v>625</v>
      </c>
      <c r="AO776" s="8">
        <f ca="1">RANK(PlayerGameData[[#This Row],[REB]],PlayerGameData[REB],0)+PlayerGameData[[#This Row],[VisibleOrder]]</f>
        <v>1191</v>
      </c>
      <c r="AP776" s="8">
        <f ca="1">IF(COUNTIF(PlayerGameData[REBOrder],PlayerGameData[[#This Row],[REBOrder]])&gt;1,PlayerGameData[[#This Row],[PointRank]]/100+PlayerGameData[[#This Row],[REBOrder]],PlayerGameData[[#This Row],[REBOrder]])</f>
        <v>1197.25</v>
      </c>
      <c r="AQ776" s="8">
        <f ca="1">RANK(PlayerGameData[[#This Row],[REBTieBreak]],PlayerGameData[REBTieBreak],1)</f>
        <v>625</v>
      </c>
      <c r="AR776" s="8">
        <f ca="1">RANK(PlayerGameData[[#This Row],[AST]],PlayerGameData[AST],0)+PlayerGameData[[#This Row],[VisibleOrder]]</f>
        <v>1157</v>
      </c>
      <c r="AS776" s="8">
        <f ca="1">IF(COUNTIF(PlayerGameData[ASTOrder],PlayerGameData[[#This Row],[ASTOrder]])&gt;1,PlayerGameData[[#This Row],[PointRank]]/100+PlayerGameData[[#This Row],[ASTOrder]],PlayerGameData[[#This Row],[ASTOrder]])</f>
        <v>1163.25</v>
      </c>
      <c r="AT776" s="8">
        <f ca="1">RANK(PlayerGameData[[#This Row],[ASTTieBreak]],PlayerGameData[ASTTieBreak],1)</f>
        <v>625</v>
      </c>
      <c r="AU776" s="8">
        <f ca="1">RANK(PlayerGameData[[#This Row],[STL]],PlayerGameData[STL],0)+PlayerGameData[[#This Row],[VisibleOrder]]</f>
        <v>1142</v>
      </c>
      <c r="AV776" s="8">
        <f ca="1">IF(COUNTIF(PlayerGameData[STLOrder],PlayerGameData[[#This Row],[STLOrder]])&gt;1,PlayerGameData[[#This Row],[PointRank]]/100+PlayerGameData[[#This Row],[STLOrder]],PlayerGameData[[#This Row],[STLOrder]])</f>
        <v>1148.25</v>
      </c>
      <c r="AW776" s="8">
        <f ca="1">RANK(PlayerGameData[[#This Row],[STLTieBreak]],PlayerGameData[STLTieBreak],1)</f>
        <v>625</v>
      </c>
      <c r="AX776" s="8">
        <f ca="1">RANK(PlayerGameData[[#This Row],[BLK]],PlayerGameData[BLK],0)+PlayerGameData[[#This Row],[VisibleOrder]]</f>
        <v>1031</v>
      </c>
      <c r="AY776" s="8">
        <f ca="1">IF(COUNTIF(PlayerGameData[BLKOrder],PlayerGameData[[#This Row],[BLKOrder]])&gt;1,PlayerGameData[[#This Row],[PointRank]]/100+PlayerGameData[[#This Row],[BLKOrder]],PlayerGameData[[#This Row],[BLKOrder]])</f>
        <v>1037.25</v>
      </c>
      <c r="AZ776" s="8">
        <f ca="1">RANK(PlayerGameData[[#This Row],[BLKTieBreak]],PlayerGameData[BLKTieBreak],1)</f>
        <v>625</v>
      </c>
      <c r="BA776" s="11">
        <f ca="1">IFERROR(IF(PlayerGameData[[#This Row],[FGA]]&gt;$AA$5,PlayerGameData[[#This Row],[FG%*]],PlayerGameData[[#This Row],[FG%*]]*-1),-2)</f>
        <v>-2</v>
      </c>
      <c r="BB776" s="8">
        <f ca="1">RANK(PlayerGameData[[#This Row],[EligFG]],PlayerGameData[EligFG],0)+PlayerGameData[[#This Row],[VisibleOrder]]</f>
        <v>1214</v>
      </c>
      <c r="BC776" s="8">
        <f ca="1">IF(COUNTIF(PlayerGameData[EligFGOrder],PlayerGameData[[#This Row],[EligFGOrder]])&gt;1,PlayerGameData[[#This Row],[PointRank]]/100+PlayerGameData[[#This Row],[EligFGOrder]],PlayerGameData[[#This Row],[EligFGOrder]])</f>
        <v>1220.25</v>
      </c>
      <c r="BD776" s="8">
        <f ca="1">RANK(PlayerGameData[[#This Row],[EligFGTieBreak]],PlayerGameData[EligFGTieBreak],1)</f>
        <v>625</v>
      </c>
      <c r="BE776" s="8" t="str">
        <f>Roster!$D$3</f>
        <v>East</v>
      </c>
      <c r="BF776" s="8" t="str">
        <f>Roster!$D$2</f>
        <v>Northeast</v>
      </c>
      <c r="BG776" s="8" t="str">
        <f>Roster!$D$4</f>
        <v>North</v>
      </c>
      <c r="BH776" s="197">
        <f ca="1">IFERROR(VLOOKUP(CONCATENATE(PlayerGameData[[#This Row],[Opponent]]," ",MONTH(PlayerGameData[[#This Row],[Date]]),"/",DAY(PlayerGameData[[#This Row],[Date]]),"/",YEAR(PlayerGameData[[#This Row],[Date]])),Table35[],2,FALSE),0)</f>
        <v>0</v>
      </c>
      <c r="BI776" s="197">
        <f ca="1">IF(PlayerGameData[[#This Row],[Visible]]=1,1,1000)</f>
        <v>1000</v>
      </c>
      <c r="BJ776" s="197" t="e">
        <f ca="1">_xlfn.MAXIFS(TeamGameData[Win],TeamGameData[School, Opponent,Game'#],PlayerGameData[[#This Row],[School, Opponent,Game'#]])</f>
        <v>#NAME?</v>
      </c>
      <c r="BK776" s="197" t="e">
        <f ca="1">_xlfn.MAXIFS(TeamGameData[Loss],TeamGameData[School, Opponent,Game'#],PlayerGameData[[#This Row],[School, Opponent,Game'#]])</f>
        <v>#NAME?</v>
      </c>
    </row>
    <row r="777" spans="1:63" x14ac:dyDescent="0.25">
      <c r="A777" s="8" t="str">
        <f t="shared" ca="1" si="393"/>
        <v>Chase Mills, 5</v>
      </c>
      <c r="B777" s="8" t="str">
        <f>Roster!$B$1</f>
        <v>Upton</v>
      </c>
      <c r="C777" s="8">
        <f t="shared" ca="1" si="381"/>
        <v>0</v>
      </c>
      <c r="D777" s="10">
        <f t="shared" ca="1" si="382"/>
        <v>0</v>
      </c>
      <c r="E777" s="8">
        <f t="shared" ca="1" si="383"/>
        <v>0</v>
      </c>
      <c r="F777" s="8">
        <f t="shared" ca="1" si="384"/>
        <v>0</v>
      </c>
      <c r="G777" s="8">
        <f t="shared" ca="1" si="385"/>
        <v>0</v>
      </c>
      <c r="H777" s="8">
        <f t="shared" ca="1" si="386"/>
        <v>0</v>
      </c>
      <c r="I777" s="8">
        <f t="shared" ca="1" si="387"/>
        <v>0</v>
      </c>
      <c r="J777" s="8">
        <f t="shared" ca="1" si="388"/>
        <v>0</v>
      </c>
      <c r="K777" s="8">
        <f t="shared" ca="1" si="389"/>
        <v>0</v>
      </c>
      <c r="L777" s="8">
        <f t="shared" ca="1" si="394"/>
        <v>0</v>
      </c>
      <c r="M777" s="8">
        <f t="shared" ca="1" si="395"/>
        <v>0</v>
      </c>
      <c r="N777" s="8">
        <f t="shared" ca="1" si="396"/>
        <v>0</v>
      </c>
      <c r="O777" s="8">
        <f t="shared" ca="1" si="397"/>
        <v>0</v>
      </c>
      <c r="P777" s="8">
        <f t="shared" ca="1" si="398"/>
        <v>0</v>
      </c>
      <c r="Q777" s="8">
        <f t="shared" ca="1" si="399"/>
        <v>0</v>
      </c>
      <c r="R777" s="8">
        <f t="shared" ca="1" si="400"/>
        <v>0</v>
      </c>
      <c r="S777" s="8">
        <f t="shared" ca="1" si="401"/>
        <v>0</v>
      </c>
      <c r="T777" s="8">
        <f t="shared" ca="1" si="402"/>
        <v>0</v>
      </c>
      <c r="U777" s="8">
        <f t="shared" ca="1" si="403"/>
        <v>0</v>
      </c>
      <c r="V777" s="8">
        <f t="shared" ca="1" si="404"/>
        <v>0</v>
      </c>
      <c r="W777" s="11" t="str">
        <f t="shared" ca="1" si="405"/>
        <v/>
      </c>
      <c r="X777" s="11" t="str">
        <f t="shared" ca="1" si="406"/>
        <v/>
      </c>
      <c r="Y777" s="11" t="str">
        <f t="shared" ca="1" si="407"/>
        <v/>
      </c>
      <c r="Z777" s="11" t="str">
        <f t="shared" ca="1" si="408"/>
        <v/>
      </c>
      <c r="AA777" s="11" t="str">
        <f t="shared" ca="1" si="409"/>
        <v/>
      </c>
      <c r="AB777" s="47">
        <f ca="1">PlayerGameData[[#This Row],[3FGA]]+PlayerGameData[[#This Row],[2FGA]]</f>
        <v>0</v>
      </c>
      <c r="AC777" s="47">
        <f ca="1">PlayerGameData[[#This Row],[OFF REB]]+PlayerGameData[[#This Row],[DEF REB]]</f>
        <v>0</v>
      </c>
      <c r="AD777" s="8">
        <f t="shared" si="390"/>
        <v>33</v>
      </c>
      <c r="AE777" s="8" t="str">
        <f t="shared" ca="1" si="391"/>
        <v>Chase Mills, 5 - 0 1/0/1900</v>
      </c>
      <c r="AF777" s="8" t="str">
        <f t="shared" ca="1" si="410"/>
        <v/>
      </c>
      <c r="AG777" s="8" t="str">
        <f ca="1">IFERROR(IF(C777=0,"",IF(AND(VLOOKUP(PlayerGameData[[#This Row],[Opponent]],WYTeamInfo,2,FALSE)=Roster!$D$1,VLOOKUP(PlayerGameData[[#This Row],[Opponent]],WYTeamInfo,3,FALSE)=Roster!$D$2),"SR","")),"")</f>
        <v/>
      </c>
      <c r="AH777" s="8" t="str">
        <f>CONCATENATE(Roster!$D$1," ",Roster!$D$5)</f>
        <v>1A BB</v>
      </c>
      <c r="AI777" s="8" t="str">
        <f t="shared" ca="1" si="392"/>
        <v>Blank</v>
      </c>
      <c r="AJ777" s="8">
        <f ca="1">IFERROR(VLOOKUP(PlayerGameData[[#This Row],[School, Opponent,Game'#]],Table3[],2,FALSE),0)</f>
        <v>0</v>
      </c>
      <c r="AK777" s="8">
        <f ca="1">IF(PlayerGameData[[#This Row],[Visible]]=1,1,1000)</f>
        <v>1000</v>
      </c>
      <c r="AL777" s="8">
        <f ca="1">RANK(PlayerGameData[[#This Row],[TL PTS]],PlayerGameData[TL PTS],0)+PlayerGameData[[#This Row],[VisibleOrder]]</f>
        <v>1184</v>
      </c>
      <c r="AM777" s="8">
        <f ca="1">IF(COUNTIF(PlayerGameData[PointOrder],PlayerGameData[[#This Row],[PointOrder]])&gt;1,RANK(PlayerGameData[[#This Row],[FGA]],PlayerGameData[FGA],0)/100,0)+PlayerGameData[[#This Row],[PointOrder]]</f>
        <v>1186.1400000000001</v>
      </c>
      <c r="AN777" s="8">
        <f ca="1">RANK(PlayerGameData[[#This Row],[PointTieBreak]],PlayerGameData[PointTieBreak],1)</f>
        <v>625</v>
      </c>
      <c r="AO777" s="8">
        <f ca="1">RANK(PlayerGameData[[#This Row],[REB]],PlayerGameData[REB],0)+PlayerGameData[[#This Row],[VisibleOrder]]</f>
        <v>1191</v>
      </c>
      <c r="AP777" s="8">
        <f ca="1">IF(COUNTIF(PlayerGameData[REBOrder],PlayerGameData[[#This Row],[REBOrder]])&gt;1,PlayerGameData[[#This Row],[PointRank]]/100+PlayerGameData[[#This Row],[REBOrder]],PlayerGameData[[#This Row],[REBOrder]])</f>
        <v>1197.25</v>
      </c>
      <c r="AQ777" s="8">
        <f ca="1">RANK(PlayerGameData[[#This Row],[REBTieBreak]],PlayerGameData[REBTieBreak],1)</f>
        <v>625</v>
      </c>
      <c r="AR777" s="8">
        <f ca="1">RANK(PlayerGameData[[#This Row],[AST]],PlayerGameData[AST],0)+PlayerGameData[[#This Row],[VisibleOrder]]</f>
        <v>1157</v>
      </c>
      <c r="AS777" s="8">
        <f ca="1">IF(COUNTIF(PlayerGameData[ASTOrder],PlayerGameData[[#This Row],[ASTOrder]])&gt;1,PlayerGameData[[#This Row],[PointRank]]/100+PlayerGameData[[#This Row],[ASTOrder]],PlayerGameData[[#This Row],[ASTOrder]])</f>
        <v>1163.25</v>
      </c>
      <c r="AT777" s="8">
        <f ca="1">RANK(PlayerGameData[[#This Row],[ASTTieBreak]],PlayerGameData[ASTTieBreak],1)</f>
        <v>625</v>
      </c>
      <c r="AU777" s="8">
        <f ca="1">RANK(PlayerGameData[[#This Row],[STL]],PlayerGameData[STL],0)+PlayerGameData[[#This Row],[VisibleOrder]]</f>
        <v>1142</v>
      </c>
      <c r="AV777" s="8">
        <f ca="1">IF(COUNTIF(PlayerGameData[STLOrder],PlayerGameData[[#This Row],[STLOrder]])&gt;1,PlayerGameData[[#This Row],[PointRank]]/100+PlayerGameData[[#This Row],[STLOrder]],PlayerGameData[[#This Row],[STLOrder]])</f>
        <v>1148.25</v>
      </c>
      <c r="AW777" s="8">
        <f ca="1">RANK(PlayerGameData[[#This Row],[STLTieBreak]],PlayerGameData[STLTieBreak],1)</f>
        <v>625</v>
      </c>
      <c r="AX777" s="8">
        <f ca="1">RANK(PlayerGameData[[#This Row],[BLK]],PlayerGameData[BLK],0)+PlayerGameData[[#This Row],[VisibleOrder]]</f>
        <v>1031</v>
      </c>
      <c r="AY777" s="8">
        <f ca="1">IF(COUNTIF(PlayerGameData[BLKOrder],PlayerGameData[[#This Row],[BLKOrder]])&gt;1,PlayerGameData[[#This Row],[PointRank]]/100+PlayerGameData[[#This Row],[BLKOrder]],PlayerGameData[[#This Row],[BLKOrder]])</f>
        <v>1037.25</v>
      </c>
      <c r="AZ777" s="8">
        <f ca="1">RANK(PlayerGameData[[#This Row],[BLKTieBreak]],PlayerGameData[BLKTieBreak],1)</f>
        <v>625</v>
      </c>
      <c r="BA777" s="11">
        <f ca="1">IFERROR(IF(PlayerGameData[[#This Row],[FGA]]&gt;$AA$5,PlayerGameData[[#This Row],[FG%*]],PlayerGameData[[#This Row],[FG%*]]*-1),-2)</f>
        <v>-2</v>
      </c>
      <c r="BB777" s="8">
        <f ca="1">RANK(PlayerGameData[[#This Row],[EligFG]],PlayerGameData[EligFG],0)+PlayerGameData[[#This Row],[VisibleOrder]]</f>
        <v>1214</v>
      </c>
      <c r="BC777" s="8">
        <f ca="1">IF(COUNTIF(PlayerGameData[EligFGOrder],PlayerGameData[[#This Row],[EligFGOrder]])&gt;1,PlayerGameData[[#This Row],[PointRank]]/100+PlayerGameData[[#This Row],[EligFGOrder]],PlayerGameData[[#This Row],[EligFGOrder]])</f>
        <v>1220.25</v>
      </c>
      <c r="BD777" s="8">
        <f ca="1">RANK(PlayerGameData[[#This Row],[EligFGTieBreak]],PlayerGameData[EligFGTieBreak],1)</f>
        <v>625</v>
      </c>
      <c r="BE777" s="8" t="str">
        <f>Roster!$D$3</f>
        <v>East</v>
      </c>
      <c r="BF777" s="8" t="str">
        <f>Roster!$D$2</f>
        <v>Northeast</v>
      </c>
      <c r="BG777" s="8" t="str">
        <f>Roster!$D$4</f>
        <v>North</v>
      </c>
      <c r="BH777" s="197">
        <f ca="1">IFERROR(VLOOKUP(CONCATENATE(PlayerGameData[[#This Row],[Opponent]]," ",MONTH(PlayerGameData[[#This Row],[Date]]),"/",DAY(PlayerGameData[[#This Row],[Date]]),"/",YEAR(PlayerGameData[[#This Row],[Date]])),Table35[],2,FALSE),0)</f>
        <v>0</v>
      </c>
      <c r="BI777" s="197">
        <f ca="1">IF(PlayerGameData[[#This Row],[Visible]]=1,1,1000)</f>
        <v>1000</v>
      </c>
      <c r="BJ777" s="197" t="e">
        <f ca="1">_xlfn.MAXIFS(TeamGameData[Win],TeamGameData[School, Opponent,Game'#],PlayerGameData[[#This Row],[School, Opponent,Game'#]])</f>
        <v>#NAME?</v>
      </c>
      <c r="BK777" s="197" t="e">
        <f ca="1">_xlfn.MAXIFS(TeamGameData[Loss],TeamGameData[School, Opponent,Game'#],PlayerGameData[[#This Row],[School, Opponent,Game'#]])</f>
        <v>#NAME?</v>
      </c>
    </row>
    <row r="778" spans="1:63" x14ac:dyDescent="0.25">
      <c r="A778" s="8" t="str">
        <f t="shared" ca="1" si="393"/>
        <v>Rhett Watt, 10</v>
      </c>
      <c r="B778" s="8" t="str">
        <f>Roster!$B$1</f>
        <v>Upton</v>
      </c>
      <c r="C778" s="8">
        <f t="shared" ca="1" si="381"/>
        <v>0</v>
      </c>
      <c r="D778" s="10">
        <f t="shared" ca="1" si="382"/>
        <v>0</v>
      </c>
      <c r="E778" s="8">
        <f t="shared" ca="1" si="383"/>
        <v>0</v>
      </c>
      <c r="F778" s="8">
        <f t="shared" ca="1" si="384"/>
        <v>0</v>
      </c>
      <c r="G778" s="8">
        <f t="shared" ca="1" si="385"/>
        <v>0</v>
      </c>
      <c r="H778" s="8">
        <f t="shared" ca="1" si="386"/>
        <v>0</v>
      </c>
      <c r="I778" s="8">
        <f t="shared" ca="1" si="387"/>
        <v>0</v>
      </c>
      <c r="J778" s="8">
        <f t="shared" ca="1" si="388"/>
        <v>0</v>
      </c>
      <c r="K778" s="8">
        <f t="shared" ca="1" si="389"/>
        <v>0</v>
      </c>
      <c r="L778" s="8">
        <f t="shared" ca="1" si="394"/>
        <v>0</v>
      </c>
      <c r="M778" s="8">
        <f t="shared" ca="1" si="395"/>
        <v>0</v>
      </c>
      <c r="N778" s="8">
        <f t="shared" ca="1" si="396"/>
        <v>0</v>
      </c>
      <c r="O778" s="8">
        <f t="shared" ca="1" si="397"/>
        <v>0</v>
      </c>
      <c r="P778" s="8">
        <f t="shared" ca="1" si="398"/>
        <v>0</v>
      </c>
      <c r="Q778" s="8">
        <f t="shared" ca="1" si="399"/>
        <v>0</v>
      </c>
      <c r="R778" s="8">
        <f t="shared" ca="1" si="400"/>
        <v>0</v>
      </c>
      <c r="S778" s="8">
        <f t="shared" ca="1" si="401"/>
        <v>0</v>
      </c>
      <c r="T778" s="8">
        <f t="shared" ca="1" si="402"/>
        <v>0</v>
      </c>
      <c r="U778" s="8">
        <f t="shared" ca="1" si="403"/>
        <v>0</v>
      </c>
      <c r="V778" s="8">
        <f t="shared" ca="1" si="404"/>
        <v>0</v>
      </c>
      <c r="W778" s="11" t="str">
        <f t="shared" ca="1" si="405"/>
        <v/>
      </c>
      <c r="X778" s="11" t="str">
        <f t="shared" ca="1" si="406"/>
        <v/>
      </c>
      <c r="Y778" s="11" t="str">
        <f t="shared" ca="1" si="407"/>
        <v/>
      </c>
      <c r="Z778" s="11" t="str">
        <f t="shared" ca="1" si="408"/>
        <v/>
      </c>
      <c r="AA778" s="11" t="str">
        <f t="shared" ca="1" si="409"/>
        <v/>
      </c>
      <c r="AB778" s="47">
        <f ca="1">PlayerGameData[[#This Row],[3FGA]]+PlayerGameData[[#This Row],[2FGA]]</f>
        <v>0</v>
      </c>
      <c r="AC778" s="47">
        <f ca="1">PlayerGameData[[#This Row],[OFF REB]]+PlayerGameData[[#This Row],[DEF REB]]</f>
        <v>0</v>
      </c>
      <c r="AD778" s="8">
        <f t="shared" si="390"/>
        <v>33</v>
      </c>
      <c r="AE778" s="8" t="str">
        <f t="shared" ca="1" si="391"/>
        <v>Rhett Watt, 10 - 0 1/0/1900</v>
      </c>
      <c r="AF778" s="8" t="str">
        <f t="shared" ca="1" si="410"/>
        <v/>
      </c>
      <c r="AG778" s="8" t="str">
        <f ca="1">IFERROR(IF(C778=0,"",IF(AND(VLOOKUP(PlayerGameData[[#This Row],[Opponent]],WYTeamInfo,2,FALSE)=Roster!$D$1,VLOOKUP(PlayerGameData[[#This Row],[Opponent]],WYTeamInfo,3,FALSE)=Roster!$D$2),"SR","")),"")</f>
        <v/>
      </c>
      <c r="AH778" s="8" t="str">
        <f>CONCATENATE(Roster!$D$1," ",Roster!$D$5)</f>
        <v>1A BB</v>
      </c>
      <c r="AI778" s="8" t="str">
        <f t="shared" ca="1" si="392"/>
        <v>Blank</v>
      </c>
      <c r="AJ778" s="8">
        <f ca="1">IFERROR(VLOOKUP(PlayerGameData[[#This Row],[School, Opponent,Game'#]],Table3[],2,FALSE),0)</f>
        <v>0</v>
      </c>
      <c r="AK778" s="8">
        <f ca="1">IF(PlayerGameData[[#This Row],[Visible]]=1,1,1000)</f>
        <v>1000</v>
      </c>
      <c r="AL778" s="8">
        <f ca="1">RANK(PlayerGameData[[#This Row],[TL PTS]],PlayerGameData[TL PTS],0)+PlayerGameData[[#This Row],[VisibleOrder]]</f>
        <v>1184</v>
      </c>
      <c r="AM778" s="8">
        <f ca="1">IF(COUNTIF(PlayerGameData[PointOrder],PlayerGameData[[#This Row],[PointOrder]])&gt;1,RANK(PlayerGameData[[#This Row],[FGA]],PlayerGameData[FGA],0)/100,0)+PlayerGameData[[#This Row],[PointOrder]]</f>
        <v>1186.1400000000001</v>
      </c>
      <c r="AN778" s="8">
        <f ca="1">RANK(PlayerGameData[[#This Row],[PointTieBreak]],PlayerGameData[PointTieBreak],1)</f>
        <v>625</v>
      </c>
      <c r="AO778" s="8">
        <f ca="1">RANK(PlayerGameData[[#This Row],[REB]],PlayerGameData[REB],0)+PlayerGameData[[#This Row],[VisibleOrder]]</f>
        <v>1191</v>
      </c>
      <c r="AP778" s="8">
        <f ca="1">IF(COUNTIF(PlayerGameData[REBOrder],PlayerGameData[[#This Row],[REBOrder]])&gt;1,PlayerGameData[[#This Row],[PointRank]]/100+PlayerGameData[[#This Row],[REBOrder]],PlayerGameData[[#This Row],[REBOrder]])</f>
        <v>1197.25</v>
      </c>
      <c r="AQ778" s="8">
        <f ca="1">RANK(PlayerGameData[[#This Row],[REBTieBreak]],PlayerGameData[REBTieBreak],1)</f>
        <v>625</v>
      </c>
      <c r="AR778" s="8">
        <f ca="1">RANK(PlayerGameData[[#This Row],[AST]],PlayerGameData[AST],0)+PlayerGameData[[#This Row],[VisibleOrder]]</f>
        <v>1157</v>
      </c>
      <c r="AS778" s="8">
        <f ca="1">IF(COUNTIF(PlayerGameData[ASTOrder],PlayerGameData[[#This Row],[ASTOrder]])&gt;1,PlayerGameData[[#This Row],[PointRank]]/100+PlayerGameData[[#This Row],[ASTOrder]],PlayerGameData[[#This Row],[ASTOrder]])</f>
        <v>1163.25</v>
      </c>
      <c r="AT778" s="8">
        <f ca="1">RANK(PlayerGameData[[#This Row],[ASTTieBreak]],PlayerGameData[ASTTieBreak],1)</f>
        <v>625</v>
      </c>
      <c r="AU778" s="8">
        <f ca="1">RANK(PlayerGameData[[#This Row],[STL]],PlayerGameData[STL],0)+PlayerGameData[[#This Row],[VisibleOrder]]</f>
        <v>1142</v>
      </c>
      <c r="AV778" s="8">
        <f ca="1">IF(COUNTIF(PlayerGameData[STLOrder],PlayerGameData[[#This Row],[STLOrder]])&gt;1,PlayerGameData[[#This Row],[PointRank]]/100+PlayerGameData[[#This Row],[STLOrder]],PlayerGameData[[#This Row],[STLOrder]])</f>
        <v>1148.25</v>
      </c>
      <c r="AW778" s="8">
        <f ca="1">RANK(PlayerGameData[[#This Row],[STLTieBreak]],PlayerGameData[STLTieBreak],1)</f>
        <v>625</v>
      </c>
      <c r="AX778" s="8">
        <f ca="1">RANK(PlayerGameData[[#This Row],[BLK]],PlayerGameData[BLK],0)+PlayerGameData[[#This Row],[VisibleOrder]]</f>
        <v>1031</v>
      </c>
      <c r="AY778" s="8">
        <f ca="1">IF(COUNTIF(PlayerGameData[BLKOrder],PlayerGameData[[#This Row],[BLKOrder]])&gt;1,PlayerGameData[[#This Row],[PointRank]]/100+PlayerGameData[[#This Row],[BLKOrder]],PlayerGameData[[#This Row],[BLKOrder]])</f>
        <v>1037.25</v>
      </c>
      <c r="AZ778" s="8">
        <f ca="1">RANK(PlayerGameData[[#This Row],[BLKTieBreak]],PlayerGameData[BLKTieBreak],1)</f>
        <v>625</v>
      </c>
      <c r="BA778" s="11">
        <f ca="1">IFERROR(IF(PlayerGameData[[#This Row],[FGA]]&gt;$AA$5,PlayerGameData[[#This Row],[FG%*]],PlayerGameData[[#This Row],[FG%*]]*-1),-2)</f>
        <v>-2</v>
      </c>
      <c r="BB778" s="8">
        <f ca="1">RANK(PlayerGameData[[#This Row],[EligFG]],PlayerGameData[EligFG],0)+PlayerGameData[[#This Row],[VisibleOrder]]</f>
        <v>1214</v>
      </c>
      <c r="BC778" s="8">
        <f ca="1">IF(COUNTIF(PlayerGameData[EligFGOrder],PlayerGameData[[#This Row],[EligFGOrder]])&gt;1,PlayerGameData[[#This Row],[PointRank]]/100+PlayerGameData[[#This Row],[EligFGOrder]],PlayerGameData[[#This Row],[EligFGOrder]])</f>
        <v>1220.25</v>
      </c>
      <c r="BD778" s="8">
        <f ca="1">RANK(PlayerGameData[[#This Row],[EligFGTieBreak]],PlayerGameData[EligFGTieBreak],1)</f>
        <v>625</v>
      </c>
      <c r="BE778" s="8" t="str">
        <f>Roster!$D$3</f>
        <v>East</v>
      </c>
      <c r="BF778" s="8" t="str">
        <f>Roster!$D$2</f>
        <v>Northeast</v>
      </c>
      <c r="BG778" s="8" t="str">
        <f>Roster!$D$4</f>
        <v>North</v>
      </c>
      <c r="BH778" s="197">
        <f ca="1">IFERROR(VLOOKUP(CONCATENATE(PlayerGameData[[#This Row],[Opponent]]," ",MONTH(PlayerGameData[[#This Row],[Date]]),"/",DAY(PlayerGameData[[#This Row],[Date]]),"/",YEAR(PlayerGameData[[#This Row],[Date]])),Table35[],2,FALSE),0)</f>
        <v>0</v>
      </c>
      <c r="BI778" s="197">
        <f ca="1">IF(PlayerGameData[[#This Row],[Visible]]=1,1,1000)</f>
        <v>1000</v>
      </c>
      <c r="BJ778" s="197" t="e">
        <f ca="1">_xlfn.MAXIFS(TeamGameData[Win],TeamGameData[School, Opponent,Game'#],PlayerGameData[[#This Row],[School, Opponent,Game'#]])</f>
        <v>#NAME?</v>
      </c>
      <c r="BK778" s="197" t="e">
        <f ca="1">_xlfn.MAXIFS(TeamGameData[Loss],TeamGameData[School, Opponent,Game'#],PlayerGameData[[#This Row],[School, Opponent,Game'#]])</f>
        <v>#NAME?</v>
      </c>
    </row>
    <row r="779" spans="1:63" x14ac:dyDescent="0.25">
      <c r="A779" s="8" t="str">
        <f t="shared" ca="1" si="393"/>
        <v>Keith Coburn, 11</v>
      </c>
      <c r="B779" s="8" t="str">
        <f>Roster!$B$1</f>
        <v>Upton</v>
      </c>
      <c r="C779" s="8">
        <f t="shared" ca="1" si="381"/>
        <v>0</v>
      </c>
      <c r="D779" s="10">
        <f t="shared" ca="1" si="382"/>
        <v>0</v>
      </c>
      <c r="E779" s="8">
        <f t="shared" ca="1" si="383"/>
        <v>0</v>
      </c>
      <c r="F779" s="8">
        <f t="shared" ca="1" si="384"/>
        <v>0</v>
      </c>
      <c r="G779" s="8">
        <f t="shared" ca="1" si="385"/>
        <v>0</v>
      </c>
      <c r="H779" s="8">
        <f t="shared" ca="1" si="386"/>
        <v>0</v>
      </c>
      <c r="I779" s="8">
        <f t="shared" ca="1" si="387"/>
        <v>0</v>
      </c>
      <c r="J779" s="8">
        <f t="shared" ca="1" si="388"/>
        <v>0</v>
      </c>
      <c r="K779" s="8">
        <f t="shared" ca="1" si="389"/>
        <v>0</v>
      </c>
      <c r="L779" s="8">
        <f t="shared" ca="1" si="394"/>
        <v>0</v>
      </c>
      <c r="M779" s="8">
        <f t="shared" ca="1" si="395"/>
        <v>0</v>
      </c>
      <c r="N779" s="8">
        <f t="shared" ca="1" si="396"/>
        <v>0</v>
      </c>
      <c r="O779" s="8">
        <f t="shared" ca="1" si="397"/>
        <v>0</v>
      </c>
      <c r="P779" s="8">
        <f t="shared" ca="1" si="398"/>
        <v>0</v>
      </c>
      <c r="Q779" s="8">
        <f t="shared" ca="1" si="399"/>
        <v>0</v>
      </c>
      <c r="R779" s="8">
        <f t="shared" ca="1" si="400"/>
        <v>0</v>
      </c>
      <c r="S779" s="8">
        <f t="shared" ca="1" si="401"/>
        <v>0</v>
      </c>
      <c r="T779" s="8">
        <f t="shared" ca="1" si="402"/>
        <v>0</v>
      </c>
      <c r="U779" s="8">
        <f t="shared" ca="1" si="403"/>
        <v>0</v>
      </c>
      <c r="V779" s="8">
        <f t="shared" ca="1" si="404"/>
        <v>0</v>
      </c>
      <c r="W779" s="11" t="str">
        <f t="shared" ca="1" si="405"/>
        <v/>
      </c>
      <c r="X779" s="11" t="str">
        <f t="shared" ca="1" si="406"/>
        <v/>
      </c>
      <c r="Y779" s="11" t="str">
        <f t="shared" ca="1" si="407"/>
        <v/>
      </c>
      <c r="Z779" s="11" t="str">
        <f t="shared" ca="1" si="408"/>
        <v/>
      </c>
      <c r="AA779" s="11" t="str">
        <f t="shared" ca="1" si="409"/>
        <v/>
      </c>
      <c r="AB779" s="47">
        <f ca="1">PlayerGameData[[#This Row],[3FGA]]+PlayerGameData[[#This Row],[2FGA]]</f>
        <v>0</v>
      </c>
      <c r="AC779" s="47">
        <f ca="1">PlayerGameData[[#This Row],[OFF REB]]+PlayerGameData[[#This Row],[DEF REB]]</f>
        <v>0</v>
      </c>
      <c r="AD779" s="8">
        <f t="shared" si="390"/>
        <v>33</v>
      </c>
      <c r="AE779" s="8" t="str">
        <f t="shared" ca="1" si="391"/>
        <v>Keith Coburn, 11 - 0 1/0/1900</v>
      </c>
      <c r="AF779" s="8" t="str">
        <f t="shared" ca="1" si="410"/>
        <v/>
      </c>
      <c r="AG779" s="8" t="str">
        <f ca="1">IFERROR(IF(C779=0,"",IF(AND(VLOOKUP(PlayerGameData[[#This Row],[Opponent]],WYTeamInfo,2,FALSE)=Roster!$D$1,VLOOKUP(PlayerGameData[[#This Row],[Opponent]],WYTeamInfo,3,FALSE)=Roster!$D$2),"SR","")),"")</f>
        <v/>
      </c>
      <c r="AH779" s="8" t="str">
        <f>CONCATENATE(Roster!$D$1," ",Roster!$D$5)</f>
        <v>1A BB</v>
      </c>
      <c r="AI779" s="8" t="str">
        <f t="shared" ca="1" si="392"/>
        <v>Blank</v>
      </c>
      <c r="AJ779" s="8">
        <f ca="1">IFERROR(VLOOKUP(PlayerGameData[[#This Row],[School, Opponent,Game'#]],Table3[],2,FALSE),0)</f>
        <v>0</v>
      </c>
      <c r="AK779" s="8">
        <f ca="1">IF(PlayerGameData[[#This Row],[Visible]]=1,1,1000)</f>
        <v>1000</v>
      </c>
      <c r="AL779" s="8">
        <f ca="1">RANK(PlayerGameData[[#This Row],[TL PTS]],PlayerGameData[TL PTS],0)+PlayerGameData[[#This Row],[VisibleOrder]]</f>
        <v>1184</v>
      </c>
      <c r="AM779" s="8">
        <f ca="1">IF(COUNTIF(PlayerGameData[PointOrder],PlayerGameData[[#This Row],[PointOrder]])&gt;1,RANK(PlayerGameData[[#This Row],[FGA]],PlayerGameData[FGA],0)/100,0)+PlayerGameData[[#This Row],[PointOrder]]</f>
        <v>1186.1400000000001</v>
      </c>
      <c r="AN779" s="8">
        <f ca="1">RANK(PlayerGameData[[#This Row],[PointTieBreak]],PlayerGameData[PointTieBreak],1)</f>
        <v>625</v>
      </c>
      <c r="AO779" s="8">
        <f ca="1">RANK(PlayerGameData[[#This Row],[REB]],PlayerGameData[REB],0)+PlayerGameData[[#This Row],[VisibleOrder]]</f>
        <v>1191</v>
      </c>
      <c r="AP779" s="8">
        <f ca="1">IF(COUNTIF(PlayerGameData[REBOrder],PlayerGameData[[#This Row],[REBOrder]])&gt;1,PlayerGameData[[#This Row],[PointRank]]/100+PlayerGameData[[#This Row],[REBOrder]],PlayerGameData[[#This Row],[REBOrder]])</f>
        <v>1197.25</v>
      </c>
      <c r="AQ779" s="8">
        <f ca="1">RANK(PlayerGameData[[#This Row],[REBTieBreak]],PlayerGameData[REBTieBreak],1)</f>
        <v>625</v>
      </c>
      <c r="AR779" s="8">
        <f ca="1">RANK(PlayerGameData[[#This Row],[AST]],PlayerGameData[AST],0)+PlayerGameData[[#This Row],[VisibleOrder]]</f>
        <v>1157</v>
      </c>
      <c r="AS779" s="8">
        <f ca="1">IF(COUNTIF(PlayerGameData[ASTOrder],PlayerGameData[[#This Row],[ASTOrder]])&gt;1,PlayerGameData[[#This Row],[PointRank]]/100+PlayerGameData[[#This Row],[ASTOrder]],PlayerGameData[[#This Row],[ASTOrder]])</f>
        <v>1163.25</v>
      </c>
      <c r="AT779" s="8">
        <f ca="1">RANK(PlayerGameData[[#This Row],[ASTTieBreak]],PlayerGameData[ASTTieBreak],1)</f>
        <v>625</v>
      </c>
      <c r="AU779" s="8">
        <f ca="1">RANK(PlayerGameData[[#This Row],[STL]],PlayerGameData[STL],0)+PlayerGameData[[#This Row],[VisibleOrder]]</f>
        <v>1142</v>
      </c>
      <c r="AV779" s="8">
        <f ca="1">IF(COUNTIF(PlayerGameData[STLOrder],PlayerGameData[[#This Row],[STLOrder]])&gt;1,PlayerGameData[[#This Row],[PointRank]]/100+PlayerGameData[[#This Row],[STLOrder]],PlayerGameData[[#This Row],[STLOrder]])</f>
        <v>1148.25</v>
      </c>
      <c r="AW779" s="8">
        <f ca="1">RANK(PlayerGameData[[#This Row],[STLTieBreak]],PlayerGameData[STLTieBreak],1)</f>
        <v>625</v>
      </c>
      <c r="AX779" s="8">
        <f ca="1">RANK(PlayerGameData[[#This Row],[BLK]],PlayerGameData[BLK],0)+PlayerGameData[[#This Row],[VisibleOrder]]</f>
        <v>1031</v>
      </c>
      <c r="AY779" s="8">
        <f ca="1">IF(COUNTIF(PlayerGameData[BLKOrder],PlayerGameData[[#This Row],[BLKOrder]])&gt;1,PlayerGameData[[#This Row],[PointRank]]/100+PlayerGameData[[#This Row],[BLKOrder]],PlayerGameData[[#This Row],[BLKOrder]])</f>
        <v>1037.25</v>
      </c>
      <c r="AZ779" s="8">
        <f ca="1">RANK(PlayerGameData[[#This Row],[BLKTieBreak]],PlayerGameData[BLKTieBreak],1)</f>
        <v>625</v>
      </c>
      <c r="BA779" s="11">
        <f ca="1">IFERROR(IF(PlayerGameData[[#This Row],[FGA]]&gt;$AA$5,PlayerGameData[[#This Row],[FG%*]],PlayerGameData[[#This Row],[FG%*]]*-1),-2)</f>
        <v>-2</v>
      </c>
      <c r="BB779" s="8">
        <f ca="1">RANK(PlayerGameData[[#This Row],[EligFG]],PlayerGameData[EligFG],0)+PlayerGameData[[#This Row],[VisibleOrder]]</f>
        <v>1214</v>
      </c>
      <c r="BC779" s="8">
        <f ca="1">IF(COUNTIF(PlayerGameData[EligFGOrder],PlayerGameData[[#This Row],[EligFGOrder]])&gt;1,PlayerGameData[[#This Row],[PointRank]]/100+PlayerGameData[[#This Row],[EligFGOrder]],PlayerGameData[[#This Row],[EligFGOrder]])</f>
        <v>1220.25</v>
      </c>
      <c r="BD779" s="8">
        <f ca="1">RANK(PlayerGameData[[#This Row],[EligFGTieBreak]],PlayerGameData[EligFGTieBreak],1)</f>
        <v>625</v>
      </c>
      <c r="BE779" s="8" t="str">
        <f>Roster!$D$3</f>
        <v>East</v>
      </c>
      <c r="BF779" s="8" t="str">
        <f>Roster!$D$2</f>
        <v>Northeast</v>
      </c>
      <c r="BG779" s="8" t="str">
        <f>Roster!$D$4</f>
        <v>North</v>
      </c>
      <c r="BH779" s="197">
        <f ca="1">IFERROR(VLOOKUP(CONCATENATE(PlayerGameData[[#This Row],[Opponent]]," ",MONTH(PlayerGameData[[#This Row],[Date]]),"/",DAY(PlayerGameData[[#This Row],[Date]]),"/",YEAR(PlayerGameData[[#This Row],[Date]])),Table35[],2,FALSE),0)</f>
        <v>0</v>
      </c>
      <c r="BI779" s="197">
        <f ca="1">IF(PlayerGameData[[#This Row],[Visible]]=1,1,1000)</f>
        <v>1000</v>
      </c>
      <c r="BJ779" s="197" t="e">
        <f ca="1">_xlfn.MAXIFS(TeamGameData[Win],TeamGameData[School, Opponent,Game'#],PlayerGameData[[#This Row],[School, Opponent,Game'#]])</f>
        <v>#NAME?</v>
      </c>
      <c r="BK779" s="197" t="e">
        <f ca="1">_xlfn.MAXIFS(TeamGameData[Loss],TeamGameData[School, Opponent,Game'#],PlayerGameData[[#This Row],[School, Opponent,Game'#]])</f>
        <v>#NAME?</v>
      </c>
    </row>
    <row r="780" spans="1:63" x14ac:dyDescent="0.25">
      <c r="A780" s="8" t="str">
        <f t="shared" ca="1" si="393"/>
        <v>Carson Barritt, 14</v>
      </c>
      <c r="B780" s="8" t="str">
        <f>Roster!$B$1</f>
        <v>Upton</v>
      </c>
      <c r="C780" s="8">
        <f t="shared" ca="1" si="381"/>
        <v>0</v>
      </c>
      <c r="D780" s="10">
        <f t="shared" ca="1" si="382"/>
        <v>0</v>
      </c>
      <c r="E780" s="8">
        <f t="shared" ca="1" si="383"/>
        <v>0</v>
      </c>
      <c r="F780" s="8">
        <f t="shared" ca="1" si="384"/>
        <v>0</v>
      </c>
      <c r="G780" s="8">
        <f t="shared" ca="1" si="385"/>
        <v>0</v>
      </c>
      <c r="H780" s="8">
        <f t="shared" ca="1" si="386"/>
        <v>0</v>
      </c>
      <c r="I780" s="8">
        <f t="shared" ca="1" si="387"/>
        <v>0</v>
      </c>
      <c r="J780" s="8">
        <f t="shared" ca="1" si="388"/>
        <v>0</v>
      </c>
      <c r="K780" s="8">
        <f t="shared" ca="1" si="389"/>
        <v>0</v>
      </c>
      <c r="L780" s="8">
        <f t="shared" ca="1" si="394"/>
        <v>0</v>
      </c>
      <c r="M780" s="8">
        <f t="shared" ca="1" si="395"/>
        <v>0</v>
      </c>
      <c r="N780" s="8">
        <f t="shared" ca="1" si="396"/>
        <v>0</v>
      </c>
      <c r="O780" s="8">
        <f t="shared" ca="1" si="397"/>
        <v>0</v>
      </c>
      <c r="P780" s="8">
        <f t="shared" ca="1" si="398"/>
        <v>0</v>
      </c>
      <c r="Q780" s="8">
        <f t="shared" ca="1" si="399"/>
        <v>0</v>
      </c>
      <c r="R780" s="8">
        <f t="shared" ca="1" si="400"/>
        <v>0</v>
      </c>
      <c r="S780" s="8">
        <f t="shared" ca="1" si="401"/>
        <v>0</v>
      </c>
      <c r="T780" s="8">
        <f t="shared" ca="1" si="402"/>
        <v>0</v>
      </c>
      <c r="U780" s="8">
        <f t="shared" ca="1" si="403"/>
        <v>0</v>
      </c>
      <c r="V780" s="8">
        <f t="shared" ca="1" si="404"/>
        <v>0</v>
      </c>
      <c r="W780" s="11" t="str">
        <f t="shared" ca="1" si="405"/>
        <v/>
      </c>
      <c r="X780" s="11" t="str">
        <f t="shared" ca="1" si="406"/>
        <v/>
      </c>
      <c r="Y780" s="11" t="str">
        <f t="shared" ca="1" si="407"/>
        <v/>
      </c>
      <c r="Z780" s="11" t="str">
        <f t="shared" ca="1" si="408"/>
        <v/>
      </c>
      <c r="AA780" s="11" t="str">
        <f t="shared" ca="1" si="409"/>
        <v/>
      </c>
      <c r="AB780" s="47">
        <f ca="1">PlayerGameData[[#This Row],[3FGA]]+PlayerGameData[[#This Row],[2FGA]]</f>
        <v>0</v>
      </c>
      <c r="AC780" s="47">
        <f ca="1">PlayerGameData[[#This Row],[OFF REB]]+PlayerGameData[[#This Row],[DEF REB]]</f>
        <v>0</v>
      </c>
      <c r="AD780" s="8">
        <f t="shared" si="390"/>
        <v>33</v>
      </c>
      <c r="AE780" s="8" t="str">
        <f t="shared" ca="1" si="391"/>
        <v>Carson Barritt, 14 - 0 1/0/1900</v>
      </c>
      <c r="AF780" s="8" t="str">
        <f t="shared" ca="1" si="410"/>
        <v/>
      </c>
      <c r="AG780" s="8" t="str">
        <f ca="1">IFERROR(IF(C780=0,"",IF(AND(VLOOKUP(PlayerGameData[[#This Row],[Opponent]],WYTeamInfo,2,FALSE)=Roster!$D$1,VLOOKUP(PlayerGameData[[#This Row],[Opponent]],WYTeamInfo,3,FALSE)=Roster!$D$2),"SR","")),"")</f>
        <v/>
      </c>
      <c r="AH780" s="8" t="str">
        <f>CONCATENATE(Roster!$D$1," ",Roster!$D$5)</f>
        <v>1A BB</v>
      </c>
      <c r="AI780" s="8" t="str">
        <f t="shared" ca="1" si="392"/>
        <v>Blank</v>
      </c>
      <c r="AJ780" s="8">
        <f ca="1">IFERROR(VLOOKUP(PlayerGameData[[#This Row],[School, Opponent,Game'#]],Table3[],2,FALSE),0)</f>
        <v>0</v>
      </c>
      <c r="AK780" s="8">
        <f ca="1">IF(PlayerGameData[[#This Row],[Visible]]=1,1,1000)</f>
        <v>1000</v>
      </c>
      <c r="AL780" s="8">
        <f ca="1">RANK(PlayerGameData[[#This Row],[TL PTS]],PlayerGameData[TL PTS],0)+PlayerGameData[[#This Row],[VisibleOrder]]</f>
        <v>1184</v>
      </c>
      <c r="AM780" s="8">
        <f ca="1">IF(COUNTIF(PlayerGameData[PointOrder],PlayerGameData[[#This Row],[PointOrder]])&gt;1,RANK(PlayerGameData[[#This Row],[FGA]],PlayerGameData[FGA],0)/100,0)+PlayerGameData[[#This Row],[PointOrder]]</f>
        <v>1186.1400000000001</v>
      </c>
      <c r="AN780" s="8">
        <f ca="1">RANK(PlayerGameData[[#This Row],[PointTieBreak]],PlayerGameData[PointTieBreak],1)</f>
        <v>625</v>
      </c>
      <c r="AO780" s="8">
        <f ca="1">RANK(PlayerGameData[[#This Row],[REB]],PlayerGameData[REB],0)+PlayerGameData[[#This Row],[VisibleOrder]]</f>
        <v>1191</v>
      </c>
      <c r="AP780" s="8">
        <f ca="1">IF(COUNTIF(PlayerGameData[REBOrder],PlayerGameData[[#This Row],[REBOrder]])&gt;1,PlayerGameData[[#This Row],[PointRank]]/100+PlayerGameData[[#This Row],[REBOrder]],PlayerGameData[[#This Row],[REBOrder]])</f>
        <v>1197.25</v>
      </c>
      <c r="AQ780" s="8">
        <f ca="1">RANK(PlayerGameData[[#This Row],[REBTieBreak]],PlayerGameData[REBTieBreak],1)</f>
        <v>625</v>
      </c>
      <c r="AR780" s="8">
        <f ca="1">RANK(PlayerGameData[[#This Row],[AST]],PlayerGameData[AST],0)+PlayerGameData[[#This Row],[VisibleOrder]]</f>
        <v>1157</v>
      </c>
      <c r="AS780" s="8">
        <f ca="1">IF(COUNTIF(PlayerGameData[ASTOrder],PlayerGameData[[#This Row],[ASTOrder]])&gt;1,PlayerGameData[[#This Row],[PointRank]]/100+PlayerGameData[[#This Row],[ASTOrder]],PlayerGameData[[#This Row],[ASTOrder]])</f>
        <v>1163.25</v>
      </c>
      <c r="AT780" s="8">
        <f ca="1">RANK(PlayerGameData[[#This Row],[ASTTieBreak]],PlayerGameData[ASTTieBreak],1)</f>
        <v>625</v>
      </c>
      <c r="AU780" s="8">
        <f ca="1">RANK(PlayerGameData[[#This Row],[STL]],PlayerGameData[STL],0)+PlayerGameData[[#This Row],[VisibleOrder]]</f>
        <v>1142</v>
      </c>
      <c r="AV780" s="8">
        <f ca="1">IF(COUNTIF(PlayerGameData[STLOrder],PlayerGameData[[#This Row],[STLOrder]])&gt;1,PlayerGameData[[#This Row],[PointRank]]/100+PlayerGameData[[#This Row],[STLOrder]],PlayerGameData[[#This Row],[STLOrder]])</f>
        <v>1148.25</v>
      </c>
      <c r="AW780" s="8">
        <f ca="1">RANK(PlayerGameData[[#This Row],[STLTieBreak]],PlayerGameData[STLTieBreak],1)</f>
        <v>625</v>
      </c>
      <c r="AX780" s="8">
        <f ca="1">RANK(PlayerGameData[[#This Row],[BLK]],PlayerGameData[BLK],0)+PlayerGameData[[#This Row],[VisibleOrder]]</f>
        <v>1031</v>
      </c>
      <c r="AY780" s="8">
        <f ca="1">IF(COUNTIF(PlayerGameData[BLKOrder],PlayerGameData[[#This Row],[BLKOrder]])&gt;1,PlayerGameData[[#This Row],[PointRank]]/100+PlayerGameData[[#This Row],[BLKOrder]],PlayerGameData[[#This Row],[BLKOrder]])</f>
        <v>1037.25</v>
      </c>
      <c r="AZ780" s="8">
        <f ca="1">RANK(PlayerGameData[[#This Row],[BLKTieBreak]],PlayerGameData[BLKTieBreak],1)</f>
        <v>625</v>
      </c>
      <c r="BA780" s="11">
        <f ca="1">IFERROR(IF(PlayerGameData[[#This Row],[FGA]]&gt;$AA$5,PlayerGameData[[#This Row],[FG%*]],PlayerGameData[[#This Row],[FG%*]]*-1),-2)</f>
        <v>-2</v>
      </c>
      <c r="BB780" s="8">
        <f ca="1">RANK(PlayerGameData[[#This Row],[EligFG]],PlayerGameData[EligFG],0)+PlayerGameData[[#This Row],[VisibleOrder]]</f>
        <v>1214</v>
      </c>
      <c r="BC780" s="8">
        <f ca="1">IF(COUNTIF(PlayerGameData[EligFGOrder],PlayerGameData[[#This Row],[EligFGOrder]])&gt;1,PlayerGameData[[#This Row],[PointRank]]/100+PlayerGameData[[#This Row],[EligFGOrder]],PlayerGameData[[#This Row],[EligFGOrder]])</f>
        <v>1220.25</v>
      </c>
      <c r="BD780" s="8">
        <f ca="1">RANK(PlayerGameData[[#This Row],[EligFGTieBreak]],PlayerGameData[EligFGTieBreak],1)</f>
        <v>625</v>
      </c>
      <c r="BE780" s="8" t="str">
        <f>Roster!$D$3</f>
        <v>East</v>
      </c>
      <c r="BF780" s="8" t="str">
        <f>Roster!$D$2</f>
        <v>Northeast</v>
      </c>
      <c r="BG780" s="8" t="str">
        <f>Roster!$D$4</f>
        <v>North</v>
      </c>
      <c r="BH780" s="197">
        <f ca="1">IFERROR(VLOOKUP(CONCATENATE(PlayerGameData[[#This Row],[Opponent]]," ",MONTH(PlayerGameData[[#This Row],[Date]]),"/",DAY(PlayerGameData[[#This Row],[Date]]),"/",YEAR(PlayerGameData[[#This Row],[Date]])),Table35[],2,FALSE),0)</f>
        <v>0</v>
      </c>
      <c r="BI780" s="197">
        <f ca="1">IF(PlayerGameData[[#This Row],[Visible]]=1,1,1000)</f>
        <v>1000</v>
      </c>
      <c r="BJ780" s="197" t="e">
        <f ca="1">_xlfn.MAXIFS(TeamGameData[Win],TeamGameData[School, Opponent,Game'#],PlayerGameData[[#This Row],[School, Opponent,Game'#]])</f>
        <v>#NAME?</v>
      </c>
      <c r="BK780" s="197" t="e">
        <f ca="1">_xlfn.MAXIFS(TeamGameData[Loss],TeamGameData[School, Opponent,Game'#],PlayerGameData[[#This Row],[School, Opponent,Game'#]])</f>
        <v>#NAME?</v>
      </c>
    </row>
    <row r="781" spans="1:63" x14ac:dyDescent="0.25">
      <c r="A781" s="8" t="str">
        <f t="shared" ca="1" si="393"/>
        <v>Ben Carpenter, 21</v>
      </c>
      <c r="B781" s="8" t="str">
        <f>Roster!$B$1</f>
        <v>Upton</v>
      </c>
      <c r="C781" s="8">
        <f t="shared" ca="1" si="381"/>
        <v>0</v>
      </c>
      <c r="D781" s="10">
        <f t="shared" ca="1" si="382"/>
        <v>0</v>
      </c>
      <c r="E781" s="8">
        <f t="shared" ca="1" si="383"/>
        <v>0</v>
      </c>
      <c r="F781" s="8">
        <f t="shared" ca="1" si="384"/>
        <v>0</v>
      </c>
      <c r="G781" s="8">
        <f t="shared" ca="1" si="385"/>
        <v>0</v>
      </c>
      <c r="H781" s="8">
        <f t="shared" ca="1" si="386"/>
        <v>0</v>
      </c>
      <c r="I781" s="8">
        <f t="shared" ca="1" si="387"/>
        <v>0</v>
      </c>
      <c r="J781" s="8">
        <f t="shared" ca="1" si="388"/>
        <v>0</v>
      </c>
      <c r="K781" s="8">
        <f t="shared" ca="1" si="389"/>
        <v>0</v>
      </c>
      <c r="L781" s="8">
        <f t="shared" ca="1" si="394"/>
        <v>0</v>
      </c>
      <c r="M781" s="8">
        <f t="shared" ca="1" si="395"/>
        <v>0</v>
      </c>
      <c r="N781" s="8">
        <f t="shared" ca="1" si="396"/>
        <v>0</v>
      </c>
      <c r="O781" s="8">
        <f t="shared" ca="1" si="397"/>
        <v>0</v>
      </c>
      <c r="P781" s="8">
        <f t="shared" ca="1" si="398"/>
        <v>0</v>
      </c>
      <c r="Q781" s="8">
        <f t="shared" ca="1" si="399"/>
        <v>0</v>
      </c>
      <c r="R781" s="8">
        <f t="shared" ca="1" si="400"/>
        <v>0</v>
      </c>
      <c r="S781" s="8">
        <f t="shared" ca="1" si="401"/>
        <v>0</v>
      </c>
      <c r="T781" s="8">
        <f t="shared" ca="1" si="402"/>
        <v>0</v>
      </c>
      <c r="U781" s="8">
        <f t="shared" ca="1" si="403"/>
        <v>0</v>
      </c>
      <c r="V781" s="8">
        <f t="shared" ca="1" si="404"/>
        <v>0</v>
      </c>
      <c r="W781" s="11" t="str">
        <f t="shared" ca="1" si="405"/>
        <v/>
      </c>
      <c r="X781" s="11" t="str">
        <f t="shared" ca="1" si="406"/>
        <v/>
      </c>
      <c r="Y781" s="11" t="str">
        <f t="shared" ca="1" si="407"/>
        <v/>
      </c>
      <c r="Z781" s="11" t="str">
        <f t="shared" ca="1" si="408"/>
        <v/>
      </c>
      <c r="AA781" s="11" t="str">
        <f t="shared" ca="1" si="409"/>
        <v/>
      </c>
      <c r="AB781" s="47">
        <f ca="1">PlayerGameData[[#This Row],[3FGA]]+PlayerGameData[[#This Row],[2FGA]]</f>
        <v>0</v>
      </c>
      <c r="AC781" s="47">
        <f ca="1">PlayerGameData[[#This Row],[OFF REB]]+PlayerGameData[[#This Row],[DEF REB]]</f>
        <v>0</v>
      </c>
      <c r="AD781" s="8">
        <f t="shared" si="390"/>
        <v>33</v>
      </c>
      <c r="AE781" s="8" t="str">
        <f t="shared" ca="1" si="391"/>
        <v>Ben Carpenter, 21 - 0 1/0/1900</v>
      </c>
      <c r="AF781" s="8" t="str">
        <f t="shared" ca="1" si="410"/>
        <v/>
      </c>
      <c r="AG781" s="8" t="str">
        <f ca="1">IFERROR(IF(C781=0,"",IF(AND(VLOOKUP(PlayerGameData[[#This Row],[Opponent]],WYTeamInfo,2,FALSE)=Roster!$D$1,VLOOKUP(PlayerGameData[[#This Row],[Opponent]],WYTeamInfo,3,FALSE)=Roster!$D$2),"SR","")),"")</f>
        <v/>
      </c>
      <c r="AH781" s="8" t="str">
        <f>CONCATENATE(Roster!$D$1," ",Roster!$D$5)</f>
        <v>1A BB</v>
      </c>
      <c r="AI781" s="8" t="str">
        <f t="shared" ca="1" si="392"/>
        <v>Blank</v>
      </c>
      <c r="AJ781" s="8">
        <f ca="1">IFERROR(VLOOKUP(PlayerGameData[[#This Row],[School, Opponent,Game'#]],Table3[],2,FALSE),0)</f>
        <v>0</v>
      </c>
      <c r="AK781" s="8">
        <f ca="1">IF(PlayerGameData[[#This Row],[Visible]]=1,1,1000)</f>
        <v>1000</v>
      </c>
      <c r="AL781" s="8">
        <f ca="1">RANK(PlayerGameData[[#This Row],[TL PTS]],PlayerGameData[TL PTS],0)+PlayerGameData[[#This Row],[VisibleOrder]]</f>
        <v>1184</v>
      </c>
      <c r="AM781" s="8">
        <f ca="1">IF(COUNTIF(PlayerGameData[PointOrder],PlayerGameData[[#This Row],[PointOrder]])&gt;1,RANK(PlayerGameData[[#This Row],[FGA]],PlayerGameData[FGA],0)/100,0)+PlayerGameData[[#This Row],[PointOrder]]</f>
        <v>1186.1400000000001</v>
      </c>
      <c r="AN781" s="8">
        <f ca="1">RANK(PlayerGameData[[#This Row],[PointTieBreak]],PlayerGameData[PointTieBreak],1)</f>
        <v>625</v>
      </c>
      <c r="AO781" s="8">
        <f ca="1">RANK(PlayerGameData[[#This Row],[REB]],PlayerGameData[REB],0)+PlayerGameData[[#This Row],[VisibleOrder]]</f>
        <v>1191</v>
      </c>
      <c r="AP781" s="8">
        <f ca="1">IF(COUNTIF(PlayerGameData[REBOrder],PlayerGameData[[#This Row],[REBOrder]])&gt;1,PlayerGameData[[#This Row],[PointRank]]/100+PlayerGameData[[#This Row],[REBOrder]],PlayerGameData[[#This Row],[REBOrder]])</f>
        <v>1197.25</v>
      </c>
      <c r="AQ781" s="8">
        <f ca="1">RANK(PlayerGameData[[#This Row],[REBTieBreak]],PlayerGameData[REBTieBreak],1)</f>
        <v>625</v>
      </c>
      <c r="AR781" s="8">
        <f ca="1">RANK(PlayerGameData[[#This Row],[AST]],PlayerGameData[AST],0)+PlayerGameData[[#This Row],[VisibleOrder]]</f>
        <v>1157</v>
      </c>
      <c r="AS781" s="8">
        <f ca="1">IF(COUNTIF(PlayerGameData[ASTOrder],PlayerGameData[[#This Row],[ASTOrder]])&gt;1,PlayerGameData[[#This Row],[PointRank]]/100+PlayerGameData[[#This Row],[ASTOrder]],PlayerGameData[[#This Row],[ASTOrder]])</f>
        <v>1163.25</v>
      </c>
      <c r="AT781" s="8">
        <f ca="1">RANK(PlayerGameData[[#This Row],[ASTTieBreak]],PlayerGameData[ASTTieBreak],1)</f>
        <v>625</v>
      </c>
      <c r="AU781" s="8">
        <f ca="1">RANK(PlayerGameData[[#This Row],[STL]],PlayerGameData[STL],0)+PlayerGameData[[#This Row],[VisibleOrder]]</f>
        <v>1142</v>
      </c>
      <c r="AV781" s="8">
        <f ca="1">IF(COUNTIF(PlayerGameData[STLOrder],PlayerGameData[[#This Row],[STLOrder]])&gt;1,PlayerGameData[[#This Row],[PointRank]]/100+PlayerGameData[[#This Row],[STLOrder]],PlayerGameData[[#This Row],[STLOrder]])</f>
        <v>1148.25</v>
      </c>
      <c r="AW781" s="8">
        <f ca="1">RANK(PlayerGameData[[#This Row],[STLTieBreak]],PlayerGameData[STLTieBreak],1)</f>
        <v>625</v>
      </c>
      <c r="AX781" s="8">
        <f ca="1">RANK(PlayerGameData[[#This Row],[BLK]],PlayerGameData[BLK],0)+PlayerGameData[[#This Row],[VisibleOrder]]</f>
        <v>1031</v>
      </c>
      <c r="AY781" s="8">
        <f ca="1">IF(COUNTIF(PlayerGameData[BLKOrder],PlayerGameData[[#This Row],[BLKOrder]])&gt;1,PlayerGameData[[#This Row],[PointRank]]/100+PlayerGameData[[#This Row],[BLKOrder]],PlayerGameData[[#This Row],[BLKOrder]])</f>
        <v>1037.25</v>
      </c>
      <c r="AZ781" s="8">
        <f ca="1">RANK(PlayerGameData[[#This Row],[BLKTieBreak]],PlayerGameData[BLKTieBreak],1)</f>
        <v>625</v>
      </c>
      <c r="BA781" s="11">
        <f ca="1">IFERROR(IF(PlayerGameData[[#This Row],[FGA]]&gt;$AA$5,PlayerGameData[[#This Row],[FG%*]],PlayerGameData[[#This Row],[FG%*]]*-1),-2)</f>
        <v>-2</v>
      </c>
      <c r="BB781" s="8">
        <f ca="1">RANK(PlayerGameData[[#This Row],[EligFG]],PlayerGameData[EligFG],0)+PlayerGameData[[#This Row],[VisibleOrder]]</f>
        <v>1214</v>
      </c>
      <c r="BC781" s="8">
        <f ca="1">IF(COUNTIF(PlayerGameData[EligFGOrder],PlayerGameData[[#This Row],[EligFGOrder]])&gt;1,PlayerGameData[[#This Row],[PointRank]]/100+PlayerGameData[[#This Row],[EligFGOrder]],PlayerGameData[[#This Row],[EligFGOrder]])</f>
        <v>1220.25</v>
      </c>
      <c r="BD781" s="8">
        <f ca="1">RANK(PlayerGameData[[#This Row],[EligFGTieBreak]],PlayerGameData[EligFGTieBreak],1)</f>
        <v>625</v>
      </c>
      <c r="BE781" s="8" t="str">
        <f>Roster!$D$3</f>
        <v>East</v>
      </c>
      <c r="BF781" s="8" t="str">
        <f>Roster!$D$2</f>
        <v>Northeast</v>
      </c>
      <c r="BG781" s="8" t="str">
        <f>Roster!$D$4</f>
        <v>North</v>
      </c>
      <c r="BH781" s="197">
        <f ca="1">IFERROR(VLOOKUP(CONCATENATE(PlayerGameData[[#This Row],[Opponent]]," ",MONTH(PlayerGameData[[#This Row],[Date]]),"/",DAY(PlayerGameData[[#This Row],[Date]]),"/",YEAR(PlayerGameData[[#This Row],[Date]])),Table35[],2,FALSE),0)</f>
        <v>0</v>
      </c>
      <c r="BI781" s="197">
        <f ca="1">IF(PlayerGameData[[#This Row],[Visible]]=1,1,1000)</f>
        <v>1000</v>
      </c>
      <c r="BJ781" s="197" t="e">
        <f ca="1">_xlfn.MAXIFS(TeamGameData[Win],TeamGameData[School, Opponent,Game'#],PlayerGameData[[#This Row],[School, Opponent,Game'#]])</f>
        <v>#NAME?</v>
      </c>
      <c r="BK781" s="197" t="e">
        <f ca="1">_xlfn.MAXIFS(TeamGameData[Loss],TeamGameData[School, Opponent,Game'#],PlayerGameData[[#This Row],[School, Opponent,Game'#]])</f>
        <v>#NAME?</v>
      </c>
    </row>
    <row r="782" spans="1:63" x14ac:dyDescent="0.25">
      <c r="A782" s="8" t="str">
        <f t="shared" ca="1" si="393"/>
        <v>Ethan Schiller, 23</v>
      </c>
      <c r="B782" s="8" t="str">
        <f>Roster!$B$1</f>
        <v>Upton</v>
      </c>
      <c r="C782" s="8">
        <f t="shared" ca="1" si="381"/>
        <v>0</v>
      </c>
      <c r="D782" s="10">
        <f t="shared" ca="1" si="382"/>
        <v>0</v>
      </c>
      <c r="E782" s="8">
        <f t="shared" ca="1" si="383"/>
        <v>0</v>
      </c>
      <c r="F782" s="8">
        <f t="shared" ca="1" si="384"/>
        <v>0</v>
      </c>
      <c r="G782" s="8">
        <f t="shared" ca="1" si="385"/>
        <v>0</v>
      </c>
      <c r="H782" s="8">
        <f t="shared" ca="1" si="386"/>
        <v>0</v>
      </c>
      <c r="I782" s="8">
        <f t="shared" ca="1" si="387"/>
        <v>0</v>
      </c>
      <c r="J782" s="8">
        <f t="shared" ca="1" si="388"/>
        <v>0</v>
      </c>
      <c r="K782" s="8">
        <f t="shared" ca="1" si="389"/>
        <v>0</v>
      </c>
      <c r="L782" s="8">
        <f t="shared" ca="1" si="394"/>
        <v>0</v>
      </c>
      <c r="M782" s="8">
        <f t="shared" ca="1" si="395"/>
        <v>0</v>
      </c>
      <c r="N782" s="8">
        <f t="shared" ca="1" si="396"/>
        <v>0</v>
      </c>
      <c r="O782" s="8">
        <f t="shared" ca="1" si="397"/>
        <v>0</v>
      </c>
      <c r="P782" s="8">
        <f t="shared" ca="1" si="398"/>
        <v>0</v>
      </c>
      <c r="Q782" s="8">
        <f t="shared" ca="1" si="399"/>
        <v>0</v>
      </c>
      <c r="R782" s="8">
        <f t="shared" ca="1" si="400"/>
        <v>0</v>
      </c>
      <c r="S782" s="8">
        <f t="shared" ca="1" si="401"/>
        <v>0</v>
      </c>
      <c r="T782" s="8">
        <f t="shared" ca="1" si="402"/>
        <v>0</v>
      </c>
      <c r="U782" s="8">
        <f t="shared" ca="1" si="403"/>
        <v>0</v>
      </c>
      <c r="V782" s="8">
        <f t="shared" ca="1" si="404"/>
        <v>0</v>
      </c>
      <c r="W782" s="11" t="str">
        <f t="shared" ca="1" si="405"/>
        <v/>
      </c>
      <c r="X782" s="11" t="str">
        <f t="shared" ca="1" si="406"/>
        <v/>
      </c>
      <c r="Y782" s="11" t="str">
        <f t="shared" ca="1" si="407"/>
        <v/>
      </c>
      <c r="Z782" s="11" t="str">
        <f t="shared" ca="1" si="408"/>
        <v/>
      </c>
      <c r="AA782" s="11" t="str">
        <f t="shared" ca="1" si="409"/>
        <v/>
      </c>
      <c r="AB782" s="47">
        <f ca="1">PlayerGameData[[#This Row],[3FGA]]+PlayerGameData[[#This Row],[2FGA]]</f>
        <v>0</v>
      </c>
      <c r="AC782" s="47">
        <f ca="1">PlayerGameData[[#This Row],[OFF REB]]+PlayerGameData[[#This Row],[DEF REB]]</f>
        <v>0</v>
      </c>
      <c r="AD782" s="8">
        <f t="shared" si="390"/>
        <v>33</v>
      </c>
      <c r="AE782" s="8" t="str">
        <f t="shared" ca="1" si="391"/>
        <v>Ethan Schiller, 23 - 0 1/0/1900</v>
      </c>
      <c r="AF782" s="8" t="str">
        <f t="shared" ca="1" si="410"/>
        <v/>
      </c>
      <c r="AG782" s="8" t="str">
        <f ca="1">IFERROR(IF(C782=0,"",IF(AND(VLOOKUP(PlayerGameData[[#This Row],[Opponent]],WYTeamInfo,2,FALSE)=Roster!$D$1,VLOOKUP(PlayerGameData[[#This Row],[Opponent]],WYTeamInfo,3,FALSE)=Roster!$D$2),"SR","")),"")</f>
        <v/>
      </c>
      <c r="AH782" s="8" t="str">
        <f>CONCATENATE(Roster!$D$1," ",Roster!$D$5)</f>
        <v>1A BB</v>
      </c>
      <c r="AI782" s="8" t="str">
        <f t="shared" ca="1" si="392"/>
        <v>Blank</v>
      </c>
      <c r="AJ782" s="8">
        <f ca="1">IFERROR(VLOOKUP(PlayerGameData[[#This Row],[School, Opponent,Game'#]],Table3[],2,FALSE),0)</f>
        <v>0</v>
      </c>
      <c r="AK782" s="8">
        <f ca="1">IF(PlayerGameData[[#This Row],[Visible]]=1,1,1000)</f>
        <v>1000</v>
      </c>
      <c r="AL782" s="8">
        <f ca="1">RANK(PlayerGameData[[#This Row],[TL PTS]],PlayerGameData[TL PTS],0)+PlayerGameData[[#This Row],[VisibleOrder]]</f>
        <v>1184</v>
      </c>
      <c r="AM782" s="8">
        <f ca="1">IF(COUNTIF(PlayerGameData[PointOrder],PlayerGameData[[#This Row],[PointOrder]])&gt;1,RANK(PlayerGameData[[#This Row],[FGA]],PlayerGameData[FGA],0)/100,0)+PlayerGameData[[#This Row],[PointOrder]]</f>
        <v>1186.1400000000001</v>
      </c>
      <c r="AN782" s="8">
        <f ca="1">RANK(PlayerGameData[[#This Row],[PointTieBreak]],PlayerGameData[PointTieBreak],1)</f>
        <v>625</v>
      </c>
      <c r="AO782" s="8">
        <f ca="1">RANK(PlayerGameData[[#This Row],[REB]],PlayerGameData[REB],0)+PlayerGameData[[#This Row],[VisibleOrder]]</f>
        <v>1191</v>
      </c>
      <c r="AP782" s="8">
        <f ca="1">IF(COUNTIF(PlayerGameData[REBOrder],PlayerGameData[[#This Row],[REBOrder]])&gt;1,PlayerGameData[[#This Row],[PointRank]]/100+PlayerGameData[[#This Row],[REBOrder]],PlayerGameData[[#This Row],[REBOrder]])</f>
        <v>1197.25</v>
      </c>
      <c r="AQ782" s="8">
        <f ca="1">RANK(PlayerGameData[[#This Row],[REBTieBreak]],PlayerGameData[REBTieBreak],1)</f>
        <v>625</v>
      </c>
      <c r="AR782" s="8">
        <f ca="1">RANK(PlayerGameData[[#This Row],[AST]],PlayerGameData[AST],0)+PlayerGameData[[#This Row],[VisibleOrder]]</f>
        <v>1157</v>
      </c>
      <c r="AS782" s="8">
        <f ca="1">IF(COUNTIF(PlayerGameData[ASTOrder],PlayerGameData[[#This Row],[ASTOrder]])&gt;1,PlayerGameData[[#This Row],[PointRank]]/100+PlayerGameData[[#This Row],[ASTOrder]],PlayerGameData[[#This Row],[ASTOrder]])</f>
        <v>1163.25</v>
      </c>
      <c r="AT782" s="8">
        <f ca="1">RANK(PlayerGameData[[#This Row],[ASTTieBreak]],PlayerGameData[ASTTieBreak],1)</f>
        <v>625</v>
      </c>
      <c r="AU782" s="8">
        <f ca="1">RANK(PlayerGameData[[#This Row],[STL]],PlayerGameData[STL],0)+PlayerGameData[[#This Row],[VisibleOrder]]</f>
        <v>1142</v>
      </c>
      <c r="AV782" s="8">
        <f ca="1">IF(COUNTIF(PlayerGameData[STLOrder],PlayerGameData[[#This Row],[STLOrder]])&gt;1,PlayerGameData[[#This Row],[PointRank]]/100+PlayerGameData[[#This Row],[STLOrder]],PlayerGameData[[#This Row],[STLOrder]])</f>
        <v>1148.25</v>
      </c>
      <c r="AW782" s="8">
        <f ca="1">RANK(PlayerGameData[[#This Row],[STLTieBreak]],PlayerGameData[STLTieBreak],1)</f>
        <v>625</v>
      </c>
      <c r="AX782" s="8">
        <f ca="1">RANK(PlayerGameData[[#This Row],[BLK]],PlayerGameData[BLK],0)+PlayerGameData[[#This Row],[VisibleOrder]]</f>
        <v>1031</v>
      </c>
      <c r="AY782" s="8">
        <f ca="1">IF(COUNTIF(PlayerGameData[BLKOrder],PlayerGameData[[#This Row],[BLKOrder]])&gt;1,PlayerGameData[[#This Row],[PointRank]]/100+PlayerGameData[[#This Row],[BLKOrder]],PlayerGameData[[#This Row],[BLKOrder]])</f>
        <v>1037.25</v>
      </c>
      <c r="AZ782" s="8">
        <f ca="1">RANK(PlayerGameData[[#This Row],[BLKTieBreak]],PlayerGameData[BLKTieBreak],1)</f>
        <v>625</v>
      </c>
      <c r="BA782" s="11">
        <f ca="1">IFERROR(IF(PlayerGameData[[#This Row],[FGA]]&gt;$AA$5,PlayerGameData[[#This Row],[FG%*]],PlayerGameData[[#This Row],[FG%*]]*-1),-2)</f>
        <v>-2</v>
      </c>
      <c r="BB782" s="8">
        <f ca="1">RANK(PlayerGameData[[#This Row],[EligFG]],PlayerGameData[EligFG],0)+PlayerGameData[[#This Row],[VisibleOrder]]</f>
        <v>1214</v>
      </c>
      <c r="BC782" s="8">
        <f ca="1">IF(COUNTIF(PlayerGameData[EligFGOrder],PlayerGameData[[#This Row],[EligFGOrder]])&gt;1,PlayerGameData[[#This Row],[PointRank]]/100+PlayerGameData[[#This Row],[EligFGOrder]],PlayerGameData[[#This Row],[EligFGOrder]])</f>
        <v>1220.25</v>
      </c>
      <c r="BD782" s="8">
        <f ca="1">RANK(PlayerGameData[[#This Row],[EligFGTieBreak]],PlayerGameData[EligFGTieBreak],1)</f>
        <v>625</v>
      </c>
      <c r="BE782" s="8" t="str">
        <f>Roster!$D$3</f>
        <v>East</v>
      </c>
      <c r="BF782" s="8" t="str">
        <f>Roster!$D$2</f>
        <v>Northeast</v>
      </c>
      <c r="BG782" s="8" t="str">
        <f>Roster!$D$4</f>
        <v>North</v>
      </c>
      <c r="BH782" s="197">
        <f ca="1">IFERROR(VLOOKUP(CONCATENATE(PlayerGameData[[#This Row],[Opponent]]," ",MONTH(PlayerGameData[[#This Row],[Date]]),"/",DAY(PlayerGameData[[#This Row],[Date]]),"/",YEAR(PlayerGameData[[#This Row],[Date]])),Table35[],2,FALSE),0)</f>
        <v>0</v>
      </c>
      <c r="BI782" s="197">
        <f ca="1">IF(PlayerGameData[[#This Row],[Visible]]=1,1,1000)</f>
        <v>1000</v>
      </c>
      <c r="BJ782" s="197" t="e">
        <f ca="1">_xlfn.MAXIFS(TeamGameData[Win],TeamGameData[School, Opponent,Game'#],PlayerGameData[[#This Row],[School, Opponent,Game'#]])</f>
        <v>#NAME?</v>
      </c>
      <c r="BK782" s="197" t="e">
        <f ca="1">_xlfn.MAXIFS(TeamGameData[Loss],TeamGameData[School, Opponent,Game'#],PlayerGameData[[#This Row],[School, Opponent,Game'#]])</f>
        <v>#NAME?</v>
      </c>
    </row>
    <row r="783" spans="1:63" x14ac:dyDescent="0.25">
      <c r="A783" s="8" t="str">
        <f t="shared" ca="1" si="393"/>
        <v>Bridger Bruce, 25</v>
      </c>
      <c r="B783" s="8" t="str">
        <f>Roster!$B$1</f>
        <v>Upton</v>
      </c>
      <c r="C783" s="8">
        <f t="shared" ca="1" si="381"/>
        <v>0</v>
      </c>
      <c r="D783" s="10">
        <f t="shared" ca="1" si="382"/>
        <v>0</v>
      </c>
      <c r="E783" s="8">
        <f t="shared" ca="1" si="383"/>
        <v>0</v>
      </c>
      <c r="F783" s="8">
        <f t="shared" ca="1" si="384"/>
        <v>0</v>
      </c>
      <c r="G783" s="8">
        <f t="shared" ca="1" si="385"/>
        <v>0</v>
      </c>
      <c r="H783" s="8">
        <f t="shared" ca="1" si="386"/>
        <v>0</v>
      </c>
      <c r="I783" s="8">
        <f t="shared" ca="1" si="387"/>
        <v>0</v>
      </c>
      <c r="J783" s="8">
        <f t="shared" ca="1" si="388"/>
        <v>0</v>
      </c>
      <c r="K783" s="8">
        <f t="shared" ca="1" si="389"/>
        <v>0</v>
      </c>
      <c r="L783" s="8">
        <f t="shared" ca="1" si="394"/>
        <v>0</v>
      </c>
      <c r="M783" s="8">
        <f t="shared" ca="1" si="395"/>
        <v>0</v>
      </c>
      <c r="N783" s="8">
        <f t="shared" ca="1" si="396"/>
        <v>0</v>
      </c>
      <c r="O783" s="8">
        <f t="shared" ca="1" si="397"/>
        <v>0</v>
      </c>
      <c r="P783" s="8">
        <f t="shared" ca="1" si="398"/>
        <v>0</v>
      </c>
      <c r="Q783" s="8">
        <f t="shared" ca="1" si="399"/>
        <v>0</v>
      </c>
      <c r="R783" s="8">
        <f t="shared" ca="1" si="400"/>
        <v>0</v>
      </c>
      <c r="S783" s="8">
        <f t="shared" ca="1" si="401"/>
        <v>0</v>
      </c>
      <c r="T783" s="8">
        <f t="shared" ca="1" si="402"/>
        <v>0</v>
      </c>
      <c r="U783" s="8">
        <f t="shared" ca="1" si="403"/>
        <v>0</v>
      </c>
      <c r="V783" s="8">
        <f t="shared" ca="1" si="404"/>
        <v>0</v>
      </c>
      <c r="W783" s="11" t="str">
        <f t="shared" ca="1" si="405"/>
        <v/>
      </c>
      <c r="X783" s="11" t="str">
        <f t="shared" ca="1" si="406"/>
        <v/>
      </c>
      <c r="Y783" s="11" t="str">
        <f t="shared" ca="1" si="407"/>
        <v/>
      </c>
      <c r="Z783" s="11" t="str">
        <f t="shared" ca="1" si="408"/>
        <v/>
      </c>
      <c r="AA783" s="11" t="str">
        <f t="shared" ca="1" si="409"/>
        <v/>
      </c>
      <c r="AB783" s="47">
        <f ca="1">PlayerGameData[[#This Row],[3FGA]]+PlayerGameData[[#This Row],[2FGA]]</f>
        <v>0</v>
      </c>
      <c r="AC783" s="47">
        <f ca="1">PlayerGameData[[#This Row],[OFF REB]]+PlayerGameData[[#This Row],[DEF REB]]</f>
        <v>0</v>
      </c>
      <c r="AD783" s="8">
        <f t="shared" si="390"/>
        <v>33</v>
      </c>
      <c r="AE783" s="8" t="str">
        <f t="shared" ca="1" si="391"/>
        <v>Bridger Bruce, 25 - 0 1/0/1900</v>
      </c>
      <c r="AF783" s="8" t="str">
        <f t="shared" ca="1" si="410"/>
        <v/>
      </c>
      <c r="AG783" s="8" t="str">
        <f ca="1">IFERROR(IF(C783=0,"",IF(AND(VLOOKUP(PlayerGameData[[#This Row],[Opponent]],WYTeamInfo,2,FALSE)=Roster!$D$1,VLOOKUP(PlayerGameData[[#This Row],[Opponent]],WYTeamInfo,3,FALSE)=Roster!$D$2),"SR","")),"")</f>
        <v/>
      </c>
      <c r="AH783" s="8" t="str">
        <f>CONCATENATE(Roster!$D$1," ",Roster!$D$5)</f>
        <v>1A BB</v>
      </c>
      <c r="AI783" s="8" t="str">
        <f t="shared" ca="1" si="392"/>
        <v>Blank</v>
      </c>
      <c r="AJ783" s="8">
        <f ca="1">IFERROR(VLOOKUP(PlayerGameData[[#This Row],[School, Opponent,Game'#]],Table3[],2,FALSE),0)</f>
        <v>0</v>
      </c>
      <c r="AK783" s="8">
        <f ca="1">IF(PlayerGameData[[#This Row],[Visible]]=1,1,1000)</f>
        <v>1000</v>
      </c>
      <c r="AL783" s="8">
        <f ca="1">RANK(PlayerGameData[[#This Row],[TL PTS]],PlayerGameData[TL PTS],0)+PlayerGameData[[#This Row],[VisibleOrder]]</f>
        <v>1184</v>
      </c>
      <c r="AM783" s="8">
        <f ca="1">IF(COUNTIF(PlayerGameData[PointOrder],PlayerGameData[[#This Row],[PointOrder]])&gt;1,RANK(PlayerGameData[[#This Row],[FGA]],PlayerGameData[FGA],0)/100,0)+PlayerGameData[[#This Row],[PointOrder]]</f>
        <v>1186.1400000000001</v>
      </c>
      <c r="AN783" s="8">
        <f ca="1">RANK(PlayerGameData[[#This Row],[PointTieBreak]],PlayerGameData[PointTieBreak],1)</f>
        <v>625</v>
      </c>
      <c r="AO783" s="8">
        <f ca="1">RANK(PlayerGameData[[#This Row],[REB]],PlayerGameData[REB],0)+PlayerGameData[[#This Row],[VisibleOrder]]</f>
        <v>1191</v>
      </c>
      <c r="AP783" s="8">
        <f ca="1">IF(COUNTIF(PlayerGameData[REBOrder],PlayerGameData[[#This Row],[REBOrder]])&gt;1,PlayerGameData[[#This Row],[PointRank]]/100+PlayerGameData[[#This Row],[REBOrder]],PlayerGameData[[#This Row],[REBOrder]])</f>
        <v>1197.25</v>
      </c>
      <c r="AQ783" s="8">
        <f ca="1">RANK(PlayerGameData[[#This Row],[REBTieBreak]],PlayerGameData[REBTieBreak],1)</f>
        <v>625</v>
      </c>
      <c r="AR783" s="8">
        <f ca="1">RANK(PlayerGameData[[#This Row],[AST]],PlayerGameData[AST],0)+PlayerGameData[[#This Row],[VisibleOrder]]</f>
        <v>1157</v>
      </c>
      <c r="AS783" s="8">
        <f ca="1">IF(COUNTIF(PlayerGameData[ASTOrder],PlayerGameData[[#This Row],[ASTOrder]])&gt;1,PlayerGameData[[#This Row],[PointRank]]/100+PlayerGameData[[#This Row],[ASTOrder]],PlayerGameData[[#This Row],[ASTOrder]])</f>
        <v>1163.25</v>
      </c>
      <c r="AT783" s="8">
        <f ca="1">RANK(PlayerGameData[[#This Row],[ASTTieBreak]],PlayerGameData[ASTTieBreak],1)</f>
        <v>625</v>
      </c>
      <c r="AU783" s="8">
        <f ca="1">RANK(PlayerGameData[[#This Row],[STL]],PlayerGameData[STL],0)+PlayerGameData[[#This Row],[VisibleOrder]]</f>
        <v>1142</v>
      </c>
      <c r="AV783" s="8">
        <f ca="1">IF(COUNTIF(PlayerGameData[STLOrder],PlayerGameData[[#This Row],[STLOrder]])&gt;1,PlayerGameData[[#This Row],[PointRank]]/100+PlayerGameData[[#This Row],[STLOrder]],PlayerGameData[[#This Row],[STLOrder]])</f>
        <v>1148.25</v>
      </c>
      <c r="AW783" s="8">
        <f ca="1">RANK(PlayerGameData[[#This Row],[STLTieBreak]],PlayerGameData[STLTieBreak],1)</f>
        <v>625</v>
      </c>
      <c r="AX783" s="8">
        <f ca="1">RANK(PlayerGameData[[#This Row],[BLK]],PlayerGameData[BLK],0)+PlayerGameData[[#This Row],[VisibleOrder]]</f>
        <v>1031</v>
      </c>
      <c r="AY783" s="8">
        <f ca="1">IF(COUNTIF(PlayerGameData[BLKOrder],PlayerGameData[[#This Row],[BLKOrder]])&gt;1,PlayerGameData[[#This Row],[PointRank]]/100+PlayerGameData[[#This Row],[BLKOrder]],PlayerGameData[[#This Row],[BLKOrder]])</f>
        <v>1037.25</v>
      </c>
      <c r="AZ783" s="8">
        <f ca="1">RANK(PlayerGameData[[#This Row],[BLKTieBreak]],PlayerGameData[BLKTieBreak],1)</f>
        <v>625</v>
      </c>
      <c r="BA783" s="11">
        <f ca="1">IFERROR(IF(PlayerGameData[[#This Row],[FGA]]&gt;$AA$5,PlayerGameData[[#This Row],[FG%*]],PlayerGameData[[#This Row],[FG%*]]*-1),-2)</f>
        <v>-2</v>
      </c>
      <c r="BB783" s="8">
        <f ca="1">RANK(PlayerGameData[[#This Row],[EligFG]],PlayerGameData[EligFG],0)+PlayerGameData[[#This Row],[VisibleOrder]]</f>
        <v>1214</v>
      </c>
      <c r="BC783" s="8">
        <f ca="1">IF(COUNTIF(PlayerGameData[EligFGOrder],PlayerGameData[[#This Row],[EligFGOrder]])&gt;1,PlayerGameData[[#This Row],[PointRank]]/100+PlayerGameData[[#This Row],[EligFGOrder]],PlayerGameData[[#This Row],[EligFGOrder]])</f>
        <v>1220.25</v>
      </c>
      <c r="BD783" s="8">
        <f ca="1">RANK(PlayerGameData[[#This Row],[EligFGTieBreak]],PlayerGameData[EligFGTieBreak],1)</f>
        <v>625</v>
      </c>
      <c r="BE783" s="8" t="str">
        <f>Roster!$D$3</f>
        <v>East</v>
      </c>
      <c r="BF783" s="8" t="str">
        <f>Roster!$D$2</f>
        <v>Northeast</v>
      </c>
      <c r="BG783" s="8" t="str">
        <f>Roster!$D$4</f>
        <v>North</v>
      </c>
      <c r="BH783" s="197">
        <f ca="1">IFERROR(VLOOKUP(CONCATENATE(PlayerGameData[[#This Row],[Opponent]]," ",MONTH(PlayerGameData[[#This Row],[Date]]),"/",DAY(PlayerGameData[[#This Row],[Date]]),"/",YEAR(PlayerGameData[[#This Row],[Date]])),Table35[],2,FALSE),0)</f>
        <v>0</v>
      </c>
      <c r="BI783" s="197">
        <f ca="1">IF(PlayerGameData[[#This Row],[Visible]]=1,1,1000)</f>
        <v>1000</v>
      </c>
      <c r="BJ783" s="197" t="e">
        <f ca="1">_xlfn.MAXIFS(TeamGameData[Win],TeamGameData[School, Opponent,Game'#],PlayerGameData[[#This Row],[School, Opponent,Game'#]])</f>
        <v>#NAME?</v>
      </c>
      <c r="BK783" s="197" t="e">
        <f ca="1">_xlfn.MAXIFS(TeamGameData[Loss],TeamGameData[School, Opponent,Game'#],PlayerGameData[[#This Row],[School, Opponent,Game'#]])</f>
        <v>#NAME?</v>
      </c>
    </row>
    <row r="784" spans="1:63" x14ac:dyDescent="0.25">
      <c r="A784" s="8" t="str">
        <f t="shared" ca="1" si="393"/>
        <v>Kailer Duarte, 31</v>
      </c>
      <c r="B784" s="8" t="str">
        <f>Roster!$B$1</f>
        <v>Upton</v>
      </c>
      <c r="C784" s="8">
        <f t="shared" ca="1" si="381"/>
        <v>0</v>
      </c>
      <c r="D784" s="10">
        <f t="shared" ca="1" si="382"/>
        <v>0</v>
      </c>
      <c r="E784" s="8">
        <f t="shared" ca="1" si="383"/>
        <v>0</v>
      </c>
      <c r="F784" s="8">
        <f t="shared" ca="1" si="384"/>
        <v>0</v>
      </c>
      <c r="G784" s="8">
        <f t="shared" ca="1" si="385"/>
        <v>0</v>
      </c>
      <c r="H784" s="8">
        <f t="shared" ca="1" si="386"/>
        <v>0</v>
      </c>
      <c r="I784" s="8">
        <f t="shared" ca="1" si="387"/>
        <v>0</v>
      </c>
      <c r="J784" s="8">
        <f t="shared" ca="1" si="388"/>
        <v>0</v>
      </c>
      <c r="K784" s="8">
        <f t="shared" ca="1" si="389"/>
        <v>0</v>
      </c>
      <c r="L784" s="8">
        <f t="shared" ca="1" si="394"/>
        <v>0</v>
      </c>
      <c r="M784" s="8">
        <f t="shared" ca="1" si="395"/>
        <v>0</v>
      </c>
      <c r="N784" s="8">
        <f t="shared" ca="1" si="396"/>
        <v>0</v>
      </c>
      <c r="O784" s="8">
        <f t="shared" ca="1" si="397"/>
        <v>0</v>
      </c>
      <c r="P784" s="8">
        <f t="shared" ca="1" si="398"/>
        <v>0</v>
      </c>
      <c r="Q784" s="8">
        <f t="shared" ca="1" si="399"/>
        <v>0</v>
      </c>
      <c r="R784" s="8">
        <f t="shared" ca="1" si="400"/>
        <v>0</v>
      </c>
      <c r="S784" s="8">
        <f t="shared" ca="1" si="401"/>
        <v>0</v>
      </c>
      <c r="T784" s="8">
        <f t="shared" ca="1" si="402"/>
        <v>0</v>
      </c>
      <c r="U784" s="8">
        <f t="shared" ca="1" si="403"/>
        <v>0</v>
      </c>
      <c r="V784" s="8">
        <f t="shared" ca="1" si="404"/>
        <v>0</v>
      </c>
      <c r="W784" s="11" t="str">
        <f t="shared" ca="1" si="405"/>
        <v/>
      </c>
      <c r="X784" s="11" t="str">
        <f t="shared" ca="1" si="406"/>
        <v/>
      </c>
      <c r="Y784" s="11" t="str">
        <f t="shared" ca="1" si="407"/>
        <v/>
      </c>
      <c r="Z784" s="11" t="str">
        <f t="shared" ca="1" si="408"/>
        <v/>
      </c>
      <c r="AA784" s="11" t="str">
        <f t="shared" ca="1" si="409"/>
        <v/>
      </c>
      <c r="AB784" s="47">
        <f ca="1">PlayerGameData[[#This Row],[3FGA]]+PlayerGameData[[#This Row],[2FGA]]</f>
        <v>0</v>
      </c>
      <c r="AC784" s="47">
        <f ca="1">PlayerGameData[[#This Row],[OFF REB]]+PlayerGameData[[#This Row],[DEF REB]]</f>
        <v>0</v>
      </c>
      <c r="AD784" s="8">
        <f t="shared" si="390"/>
        <v>33</v>
      </c>
      <c r="AE784" s="8" t="str">
        <f t="shared" ca="1" si="391"/>
        <v>Kailer Duarte, 31 - 0 1/0/1900</v>
      </c>
      <c r="AF784" s="8" t="str">
        <f t="shared" ca="1" si="410"/>
        <v/>
      </c>
      <c r="AG784" s="8" t="str">
        <f ca="1">IFERROR(IF(C784=0,"",IF(AND(VLOOKUP(PlayerGameData[[#This Row],[Opponent]],WYTeamInfo,2,FALSE)=Roster!$D$1,VLOOKUP(PlayerGameData[[#This Row],[Opponent]],WYTeamInfo,3,FALSE)=Roster!$D$2),"SR","")),"")</f>
        <v/>
      </c>
      <c r="AH784" s="8" t="str">
        <f>CONCATENATE(Roster!$D$1," ",Roster!$D$5)</f>
        <v>1A BB</v>
      </c>
      <c r="AI784" s="8" t="str">
        <f t="shared" ca="1" si="392"/>
        <v>Blank</v>
      </c>
      <c r="AJ784" s="8">
        <f ca="1">IFERROR(VLOOKUP(PlayerGameData[[#This Row],[School, Opponent,Game'#]],Table3[],2,FALSE),0)</f>
        <v>0</v>
      </c>
      <c r="AK784" s="8">
        <f ca="1">IF(PlayerGameData[[#This Row],[Visible]]=1,1,1000)</f>
        <v>1000</v>
      </c>
      <c r="AL784" s="8">
        <f ca="1">RANK(PlayerGameData[[#This Row],[TL PTS]],PlayerGameData[TL PTS],0)+PlayerGameData[[#This Row],[VisibleOrder]]</f>
        <v>1184</v>
      </c>
      <c r="AM784" s="8">
        <f ca="1">IF(COUNTIF(PlayerGameData[PointOrder],PlayerGameData[[#This Row],[PointOrder]])&gt;1,RANK(PlayerGameData[[#This Row],[FGA]],PlayerGameData[FGA],0)/100,0)+PlayerGameData[[#This Row],[PointOrder]]</f>
        <v>1186.1400000000001</v>
      </c>
      <c r="AN784" s="8">
        <f ca="1">RANK(PlayerGameData[[#This Row],[PointTieBreak]],PlayerGameData[PointTieBreak],1)</f>
        <v>625</v>
      </c>
      <c r="AO784" s="8">
        <f ca="1">RANK(PlayerGameData[[#This Row],[REB]],PlayerGameData[REB],0)+PlayerGameData[[#This Row],[VisibleOrder]]</f>
        <v>1191</v>
      </c>
      <c r="AP784" s="8">
        <f ca="1">IF(COUNTIF(PlayerGameData[REBOrder],PlayerGameData[[#This Row],[REBOrder]])&gt;1,PlayerGameData[[#This Row],[PointRank]]/100+PlayerGameData[[#This Row],[REBOrder]],PlayerGameData[[#This Row],[REBOrder]])</f>
        <v>1197.25</v>
      </c>
      <c r="AQ784" s="8">
        <f ca="1">RANK(PlayerGameData[[#This Row],[REBTieBreak]],PlayerGameData[REBTieBreak],1)</f>
        <v>625</v>
      </c>
      <c r="AR784" s="8">
        <f ca="1">RANK(PlayerGameData[[#This Row],[AST]],PlayerGameData[AST],0)+PlayerGameData[[#This Row],[VisibleOrder]]</f>
        <v>1157</v>
      </c>
      <c r="AS784" s="8">
        <f ca="1">IF(COUNTIF(PlayerGameData[ASTOrder],PlayerGameData[[#This Row],[ASTOrder]])&gt;1,PlayerGameData[[#This Row],[PointRank]]/100+PlayerGameData[[#This Row],[ASTOrder]],PlayerGameData[[#This Row],[ASTOrder]])</f>
        <v>1163.25</v>
      </c>
      <c r="AT784" s="8">
        <f ca="1">RANK(PlayerGameData[[#This Row],[ASTTieBreak]],PlayerGameData[ASTTieBreak],1)</f>
        <v>625</v>
      </c>
      <c r="AU784" s="8">
        <f ca="1">RANK(PlayerGameData[[#This Row],[STL]],PlayerGameData[STL],0)+PlayerGameData[[#This Row],[VisibleOrder]]</f>
        <v>1142</v>
      </c>
      <c r="AV784" s="8">
        <f ca="1">IF(COUNTIF(PlayerGameData[STLOrder],PlayerGameData[[#This Row],[STLOrder]])&gt;1,PlayerGameData[[#This Row],[PointRank]]/100+PlayerGameData[[#This Row],[STLOrder]],PlayerGameData[[#This Row],[STLOrder]])</f>
        <v>1148.25</v>
      </c>
      <c r="AW784" s="8">
        <f ca="1">RANK(PlayerGameData[[#This Row],[STLTieBreak]],PlayerGameData[STLTieBreak],1)</f>
        <v>625</v>
      </c>
      <c r="AX784" s="8">
        <f ca="1">RANK(PlayerGameData[[#This Row],[BLK]],PlayerGameData[BLK],0)+PlayerGameData[[#This Row],[VisibleOrder]]</f>
        <v>1031</v>
      </c>
      <c r="AY784" s="8">
        <f ca="1">IF(COUNTIF(PlayerGameData[BLKOrder],PlayerGameData[[#This Row],[BLKOrder]])&gt;1,PlayerGameData[[#This Row],[PointRank]]/100+PlayerGameData[[#This Row],[BLKOrder]],PlayerGameData[[#This Row],[BLKOrder]])</f>
        <v>1037.25</v>
      </c>
      <c r="AZ784" s="8">
        <f ca="1">RANK(PlayerGameData[[#This Row],[BLKTieBreak]],PlayerGameData[BLKTieBreak],1)</f>
        <v>625</v>
      </c>
      <c r="BA784" s="11">
        <f ca="1">IFERROR(IF(PlayerGameData[[#This Row],[FGA]]&gt;$AA$5,PlayerGameData[[#This Row],[FG%*]],PlayerGameData[[#This Row],[FG%*]]*-1),-2)</f>
        <v>-2</v>
      </c>
      <c r="BB784" s="8">
        <f ca="1">RANK(PlayerGameData[[#This Row],[EligFG]],PlayerGameData[EligFG],0)+PlayerGameData[[#This Row],[VisibleOrder]]</f>
        <v>1214</v>
      </c>
      <c r="BC784" s="8">
        <f ca="1">IF(COUNTIF(PlayerGameData[EligFGOrder],PlayerGameData[[#This Row],[EligFGOrder]])&gt;1,PlayerGameData[[#This Row],[PointRank]]/100+PlayerGameData[[#This Row],[EligFGOrder]],PlayerGameData[[#This Row],[EligFGOrder]])</f>
        <v>1220.25</v>
      </c>
      <c r="BD784" s="8">
        <f ca="1">RANK(PlayerGameData[[#This Row],[EligFGTieBreak]],PlayerGameData[EligFGTieBreak],1)</f>
        <v>625</v>
      </c>
      <c r="BE784" s="8" t="str">
        <f>Roster!$D$3</f>
        <v>East</v>
      </c>
      <c r="BF784" s="8" t="str">
        <f>Roster!$D$2</f>
        <v>Northeast</v>
      </c>
      <c r="BG784" s="8" t="str">
        <f>Roster!$D$4</f>
        <v>North</v>
      </c>
      <c r="BH784" s="197">
        <f ca="1">IFERROR(VLOOKUP(CONCATENATE(PlayerGameData[[#This Row],[Opponent]]," ",MONTH(PlayerGameData[[#This Row],[Date]]),"/",DAY(PlayerGameData[[#This Row],[Date]]),"/",YEAR(PlayerGameData[[#This Row],[Date]])),Table35[],2,FALSE),0)</f>
        <v>0</v>
      </c>
      <c r="BI784" s="197">
        <f ca="1">IF(PlayerGameData[[#This Row],[Visible]]=1,1,1000)</f>
        <v>1000</v>
      </c>
      <c r="BJ784" s="197" t="e">
        <f ca="1">_xlfn.MAXIFS(TeamGameData[Win],TeamGameData[School, Opponent,Game'#],PlayerGameData[[#This Row],[School, Opponent,Game'#]])</f>
        <v>#NAME?</v>
      </c>
      <c r="BK784" s="197" t="e">
        <f ca="1">_xlfn.MAXIFS(TeamGameData[Loss],TeamGameData[School, Opponent,Game'#],PlayerGameData[[#This Row],[School, Opponent,Game'#]])</f>
        <v>#NAME?</v>
      </c>
    </row>
    <row r="785" spans="1:63" x14ac:dyDescent="0.25">
      <c r="A785" s="8" t="str">
        <f t="shared" ca="1" si="393"/>
        <v>Matt Stirmel, 33</v>
      </c>
      <c r="B785" s="8" t="str">
        <f>Roster!$B$1</f>
        <v>Upton</v>
      </c>
      <c r="C785" s="8">
        <f t="shared" ca="1" si="381"/>
        <v>0</v>
      </c>
      <c r="D785" s="10">
        <f t="shared" ca="1" si="382"/>
        <v>0</v>
      </c>
      <c r="E785" s="8">
        <f t="shared" ca="1" si="383"/>
        <v>0</v>
      </c>
      <c r="F785" s="8">
        <f t="shared" ca="1" si="384"/>
        <v>0</v>
      </c>
      <c r="G785" s="8">
        <f t="shared" ca="1" si="385"/>
        <v>0</v>
      </c>
      <c r="H785" s="8">
        <f t="shared" ca="1" si="386"/>
        <v>0</v>
      </c>
      <c r="I785" s="8">
        <f t="shared" ca="1" si="387"/>
        <v>0</v>
      </c>
      <c r="J785" s="8">
        <f t="shared" ca="1" si="388"/>
        <v>0</v>
      </c>
      <c r="K785" s="8">
        <f t="shared" ca="1" si="389"/>
        <v>0</v>
      </c>
      <c r="L785" s="8">
        <f t="shared" ca="1" si="394"/>
        <v>0</v>
      </c>
      <c r="M785" s="8">
        <f t="shared" ca="1" si="395"/>
        <v>0</v>
      </c>
      <c r="N785" s="8">
        <f t="shared" ca="1" si="396"/>
        <v>0</v>
      </c>
      <c r="O785" s="8">
        <f t="shared" ca="1" si="397"/>
        <v>0</v>
      </c>
      <c r="P785" s="8">
        <f t="shared" ca="1" si="398"/>
        <v>0</v>
      </c>
      <c r="Q785" s="8">
        <f t="shared" ca="1" si="399"/>
        <v>0</v>
      </c>
      <c r="R785" s="8">
        <f t="shared" ca="1" si="400"/>
        <v>0</v>
      </c>
      <c r="S785" s="8">
        <f t="shared" ca="1" si="401"/>
        <v>0</v>
      </c>
      <c r="T785" s="8">
        <f t="shared" ca="1" si="402"/>
        <v>0</v>
      </c>
      <c r="U785" s="8">
        <f t="shared" ca="1" si="403"/>
        <v>0</v>
      </c>
      <c r="V785" s="8">
        <f t="shared" ca="1" si="404"/>
        <v>0</v>
      </c>
      <c r="W785" s="11" t="str">
        <f t="shared" ca="1" si="405"/>
        <v/>
      </c>
      <c r="X785" s="11" t="str">
        <f t="shared" ca="1" si="406"/>
        <v/>
      </c>
      <c r="Y785" s="11" t="str">
        <f t="shared" ca="1" si="407"/>
        <v/>
      </c>
      <c r="Z785" s="11" t="str">
        <f t="shared" ca="1" si="408"/>
        <v/>
      </c>
      <c r="AA785" s="11" t="str">
        <f t="shared" ca="1" si="409"/>
        <v/>
      </c>
      <c r="AB785" s="47">
        <f ca="1">PlayerGameData[[#This Row],[3FGA]]+PlayerGameData[[#This Row],[2FGA]]</f>
        <v>0</v>
      </c>
      <c r="AC785" s="47">
        <f ca="1">PlayerGameData[[#This Row],[OFF REB]]+PlayerGameData[[#This Row],[DEF REB]]</f>
        <v>0</v>
      </c>
      <c r="AD785" s="8">
        <f t="shared" si="390"/>
        <v>33</v>
      </c>
      <c r="AE785" s="8" t="str">
        <f t="shared" ca="1" si="391"/>
        <v>Matt Stirmel, 33 - 0 1/0/1900</v>
      </c>
      <c r="AF785" s="8" t="str">
        <f t="shared" ca="1" si="410"/>
        <v/>
      </c>
      <c r="AG785" s="8" t="str">
        <f ca="1">IFERROR(IF(C785=0,"",IF(AND(VLOOKUP(PlayerGameData[[#This Row],[Opponent]],WYTeamInfo,2,FALSE)=Roster!$D$1,VLOOKUP(PlayerGameData[[#This Row],[Opponent]],WYTeamInfo,3,FALSE)=Roster!$D$2),"SR","")),"")</f>
        <v/>
      </c>
      <c r="AH785" s="8" t="str">
        <f>CONCATENATE(Roster!$D$1," ",Roster!$D$5)</f>
        <v>1A BB</v>
      </c>
      <c r="AI785" s="8" t="str">
        <f t="shared" ca="1" si="392"/>
        <v>Blank</v>
      </c>
      <c r="AJ785" s="8">
        <f ca="1">IFERROR(VLOOKUP(PlayerGameData[[#This Row],[School, Opponent,Game'#]],Table3[],2,FALSE),0)</f>
        <v>0</v>
      </c>
      <c r="AK785" s="8">
        <f ca="1">IF(PlayerGameData[[#This Row],[Visible]]=1,1,1000)</f>
        <v>1000</v>
      </c>
      <c r="AL785" s="8">
        <f ca="1">RANK(PlayerGameData[[#This Row],[TL PTS]],PlayerGameData[TL PTS],0)+PlayerGameData[[#This Row],[VisibleOrder]]</f>
        <v>1184</v>
      </c>
      <c r="AM785" s="8">
        <f ca="1">IF(COUNTIF(PlayerGameData[PointOrder],PlayerGameData[[#This Row],[PointOrder]])&gt;1,RANK(PlayerGameData[[#This Row],[FGA]],PlayerGameData[FGA],0)/100,0)+PlayerGameData[[#This Row],[PointOrder]]</f>
        <v>1186.1400000000001</v>
      </c>
      <c r="AN785" s="8">
        <f ca="1">RANK(PlayerGameData[[#This Row],[PointTieBreak]],PlayerGameData[PointTieBreak],1)</f>
        <v>625</v>
      </c>
      <c r="AO785" s="8">
        <f ca="1">RANK(PlayerGameData[[#This Row],[REB]],PlayerGameData[REB],0)+PlayerGameData[[#This Row],[VisibleOrder]]</f>
        <v>1191</v>
      </c>
      <c r="AP785" s="8">
        <f ca="1">IF(COUNTIF(PlayerGameData[REBOrder],PlayerGameData[[#This Row],[REBOrder]])&gt;1,PlayerGameData[[#This Row],[PointRank]]/100+PlayerGameData[[#This Row],[REBOrder]],PlayerGameData[[#This Row],[REBOrder]])</f>
        <v>1197.25</v>
      </c>
      <c r="AQ785" s="8">
        <f ca="1">RANK(PlayerGameData[[#This Row],[REBTieBreak]],PlayerGameData[REBTieBreak],1)</f>
        <v>625</v>
      </c>
      <c r="AR785" s="8">
        <f ca="1">RANK(PlayerGameData[[#This Row],[AST]],PlayerGameData[AST],0)+PlayerGameData[[#This Row],[VisibleOrder]]</f>
        <v>1157</v>
      </c>
      <c r="AS785" s="8">
        <f ca="1">IF(COUNTIF(PlayerGameData[ASTOrder],PlayerGameData[[#This Row],[ASTOrder]])&gt;1,PlayerGameData[[#This Row],[PointRank]]/100+PlayerGameData[[#This Row],[ASTOrder]],PlayerGameData[[#This Row],[ASTOrder]])</f>
        <v>1163.25</v>
      </c>
      <c r="AT785" s="8">
        <f ca="1">RANK(PlayerGameData[[#This Row],[ASTTieBreak]],PlayerGameData[ASTTieBreak],1)</f>
        <v>625</v>
      </c>
      <c r="AU785" s="8">
        <f ca="1">RANK(PlayerGameData[[#This Row],[STL]],PlayerGameData[STL],0)+PlayerGameData[[#This Row],[VisibleOrder]]</f>
        <v>1142</v>
      </c>
      <c r="AV785" s="8">
        <f ca="1">IF(COUNTIF(PlayerGameData[STLOrder],PlayerGameData[[#This Row],[STLOrder]])&gt;1,PlayerGameData[[#This Row],[PointRank]]/100+PlayerGameData[[#This Row],[STLOrder]],PlayerGameData[[#This Row],[STLOrder]])</f>
        <v>1148.25</v>
      </c>
      <c r="AW785" s="8">
        <f ca="1">RANK(PlayerGameData[[#This Row],[STLTieBreak]],PlayerGameData[STLTieBreak],1)</f>
        <v>625</v>
      </c>
      <c r="AX785" s="8">
        <f ca="1">RANK(PlayerGameData[[#This Row],[BLK]],PlayerGameData[BLK],0)+PlayerGameData[[#This Row],[VisibleOrder]]</f>
        <v>1031</v>
      </c>
      <c r="AY785" s="8">
        <f ca="1">IF(COUNTIF(PlayerGameData[BLKOrder],PlayerGameData[[#This Row],[BLKOrder]])&gt;1,PlayerGameData[[#This Row],[PointRank]]/100+PlayerGameData[[#This Row],[BLKOrder]],PlayerGameData[[#This Row],[BLKOrder]])</f>
        <v>1037.25</v>
      </c>
      <c r="AZ785" s="8">
        <f ca="1">RANK(PlayerGameData[[#This Row],[BLKTieBreak]],PlayerGameData[BLKTieBreak],1)</f>
        <v>625</v>
      </c>
      <c r="BA785" s="11">
        <f ca="1">IFERROR(IF(PlayerGameData[[#This Row],[FGA]]&gt;$AA$5,PlayerGameData[[#This Row],[FG%*]],PlayerGameData[[#This Row],[FG%*]]*-1),-2)</f>
        <v>-2</v>
      </c>
      <c r="BB785" s="8">
        <f ca="1">RANK(PlayerGameData[[#This Row],[EligFG]],PlayerGameData[EligFG],0)+PlayerGameData[[#This Row],[VisibleOrder]]</f>
        <v>1214</v>
      </c>
      <c r="BC785" s="8">
        <f ca="1">IF(COUNTIF(PlayerGameData[EligFGOrder],PlayerGameData[[#This Row],[EligFGOrder]])&gt;1,PlayerGameData[[#This Row],[PointRank]]/100+PlayerGameData[[#This Row],[EligFGOrder]],PlayerGameData[[#This Row],[EligFGOrder]])</f>
        <v>1220.25</v>
      </c>
      <c r="BD785" s="8">
        <f ca="1">RANK(PlayerGameData[[#This Row],[EligFGTieBreak]],PlayerGameData[EligFGTieBreak],1)</f>
        <v>625</v>
      </c>
      <c r="BE785" s="8" t="str">
        <f>Roster!$D$3</f>
        <v>East</v>
      </c>
      <c r="BF785" s="8" t="str">
        <f>Roster!$D$2</f>
        <v>Northeast</v>
      </c>
      <c r="BG785" s="8" t="str">
        <f>Roster!$D$4</f>
        <v>North</v>
      </c>
      <c r="BH785" s="197">
        <f ca="1">IFERROR(VLOOKUP(CONCATENATE(PlayerGameData[[#This Row],[Opponent]]," ",MONTH(PlayerGameData[[#This Row],[Date]]),"/",DAY(PlayerGameData[[#This Row],[Date]]),"/",YEAR(PlayerGameData[[#This Row],[Date]])),Table35[],2,FALSE),0)</f>
        <v>0</v>
      </c>
      <c r="BI785" s="197">
        <f ca="1">IF(PlayerGameData[[#This Row],[Visible]]=1,1,1000)</f>
        <v>1000</v>
      </c>
      <c r="BJ785" s="197" t="e">
        <f ca="1">_xlfn.MAXIFS(TeamGameData[Win],TeamGameData[School, Opponent,Game'#],PlayerGameData[[#This Row],[School, Opponent,Game'#]])</f>
        <v>#NAME?</v>
      </c>
      <c r="BK785" s="197" t="e">
        <f ca="1">_xlfn.MAXIFS(TeamGameData[Loss],TeamGameData[School, Opponent,Game'#],PlayerGameData[[#This Row],[School, Opponent,Game'#]])</f>
        <v>#NAME?</v>
      </c>
    </row>
    <row r="786" spans="1:63" x14ac:dyDescent="0.25">
      <c r="A786" s="8" t="str">
        <f t="shared" ca="1" si="393"/>
        <v>Jacob McNutt, 34</v>
      </c>
      <c r="B786" s="8" t="str">
        <f>Roster!$B$1</f>
        <v>Upton</v>
      </c>
      <c r="C786" s="8">
        <f t="shared" ca="1" si="381"/>
        <v>0</v>
      </c>
      <c r="D786" s="10">
        <f t="shared" ca="1" si="382"/>
        <v>0</v>
      </c>
      <c r="E786" s="8">
        <f t="shared" ca="1" si="383"/>
        <v>0</v>
      </c>
      <c r="F786" s="8">
        <f t="shared" ca="1" si="384"/>
        <v>0</v>
      </c>
      <c r="G786" s="8">
        <f t="shared" ca="1" si="385"/>
        <v>0</v>
      </c>
      <c r="H786" s="8">
        <f t="shared" ca="1" si="386"/>
        <v>0</v>
      </c>
      <c r="I786" s="8">
        <f t="shared" ca="1" si="387"/>
        <v>0</v>
      </c>
      <c r="J786" s="8">
        <f t="shared" ca="1" si="388"/>
        <v>0</v>
      </c>
      <c r="K786" s="8">
        <f t="shared" ca="1" si="389"/>
        <v>0</v>
      </c>
      <c r="L786" s="8">
        <f t="shared" ca="1" si="394"/>
        <v>0</v>
      </c>
      <c r="M786" s="8">
        <f t="shared" ca="1" si="395"/>
        <v>0</v>
      </c>
      <c r="N786" s="8">
        <f t="shared" ca="1" si="396"/>
        <v>0</v>
      </c>
      <c r="O786" s="8">
        <f t="shared" ca="1" si="397"/>
        <v>0</v>
      </c>
      <c r="P786" s="8">
        <f t="shared" ca="1" si="398"/>
        <v>0</v>
      </c>
      <c r="Q786" s="8">
        <f t="shared" ca="1" si="399"/>
        <v>0</v>
      </c>
      <c r="R786" s="8">
        <f t="shared" ca="1" si="400"/>
        <v>0</v>
      </c>
      <c r="S786" s="8">
        <f t="shared" ca="1" si="401"/>
        <v>0</v>
      </c>
      <c r="T786" s="8">
        <f t="shared" ca="1" si="402"/>
        <v>0</v>
      </c>
      <c r="U786" s="8">
        <f t="shared" ca="1" si="403"/>
        <v>0</v>
      </c>
      <c r="V786" s="8">
        <f t="shared" ca="1" si="404"/>
        <v>0</v>
      </c>
      <c r="W786" s="11" t="str">
        <f t="shared" ca="1" si="405"/>
        <v/>
      </c>
      <c r="X786" s="11" t="str">
        <f t="shared" ca="1" si="406"/>
        <v/>
      </c>
      <c r="Y786" s="11" t="str">
        <f t="shared" ca="1" si="407"/>
        <v/>
      </c>
      <c r="Z786" s="11" t="str">
        <f t="shared" ca="1" si="408"/>
        <v/>
      </c>
      <c r="AA786" s="11" t="str">
        <f t="shared" ca="1" si="409"/>
        <v/>
      </c>
      <c r="AB786" s="47">
        <f ca="1">PlayerGameData[[#This Row],[3FGA]]+PlayerGameData[[#This Row],[2FGA]]</f>
        <v>0</v>
      </c>
      <c r="AC786" s="47">
        <f ca="1">PlayerGameData[[#This Row],[OFF REB]]+PlayerGameData[[#This Row],[DEF REB]]</f>
        <v>0</v>
      </c>
      <c r="AD786" s="8">
        <f t="shared" si="390"/>
        <v>33</v>
      </c>
      <c r="AE786" s="8" t="str">
        <f t="shared" ca="1" si="391"/>
        <v>Jacob McNutt, 34 - 0 1/0/1900</v>
      </c>
      <c r="AF786" s="8" t="str">
        <f t="shared" ca="1" si="410"/>
        <v/>
      </c>
      <c r="AG786" s="8" t="str">
        <f ca="1">IFERROR(IF(C786=0,"",IF(AND(VLOOKUP(PlayerGameData[[#This Row],[Opponent]],WYTeamInfo,2,FALSE)=Roster!$D$1,VLOOKUP(PlayerGameData[[#This Row],[Opponent]],WYTeamInfo,3,FALSE)=Roster!$D$2),"SR","")),"")</f>
        <v/>
      </c>
      <c r="AH786" s="8" t="str">
        <f>CONCATENATE(Roster!$D$1," ",Roster!$D$5)</f>
        <v>1A BB</v>
      </c>
      <c r="AI786" s="8" t="str">
        <f t="shared" ca="1" si="392"/>
        <v>Blank</v>
      </c>
      <c r="AJ786" s="8">
        <f ca="1">IFERROR(VLOOKUP(PlayerGameData[[#This Row],[School, Opponent,Game'#]],Table3[],2,FALSE),0)</f>
        <v>0</v>
      </c>
      <c r="AK786" s="8">
        <f ca="1">IF(PlayerGameData[[#This Row],[Visible]]=1,1,1000)</f>
        <v>1000</v>
      </c>
      <c r="AL786" s="8">
        <f ca="1">RANK(PlayerGameData[[#This Row],[TL PTS]],PlayerGameData[TL PTS],0)+PlayerGameData[[#This Row],[VisibleOrder]]</f>
        <v>1184</v>
      </c>
      <c r="AM786" s="8">
        <f ca="1">IF(COUNTIF(PlayerGameData[PointOrder],PlayerGameData[[#This Row],[PointOrder]])&gt;1,RANK(PlayerGameData[[#This Row],[FGA]],PlayerGameData[FGA],0)/100,0)+PlayerGameData[[#This Row],[PointOrder]]</f>
        <v>1186.1400000000001</v>
      </c>
      <c r="AN786" s="8">
        <f ca="1">RANK(PlayerGameData[[#This Row],[PointTieBreak]],PlayerGameData[PointTieBreak],1)</f>
        <v>625</v>
      </c>
      <c r="AO786" s="8">
        <f ca="1">RANK(PlayerGameData[[#This Row],[REB]],PlayerGameData[REB],0)+PlayerGameData[[#This Row],[VisibleOrder]]</f>
        <v>1191</v>
      </c>
      <c r="AP786" s="8">
        <f ca="1">IF(COUNTIF(PlayerGameData[REBOrder],PlayerGameData[[#This Row],[REBOrder]])&gt;1,PlayerGameData[[#This Row],[PointRank]]/100+PlayerGameData[[#This Row],[REBOrder]],PlayerGameData[[#This Row],[REBOrder]])</f>
        <v>1197.25</v>
      </c>
      <c r="AQ786" s="8">
        <f ca="1">RANK(PlayerGameData[[#This Row],[REBTieBreak]],PlayerGameData[REBTieBreak],1)</f>
        <v>625</v>
      </c>
      <c r="AR786" s="8">
        <f ca="1">RANK(PlayerGameData[[#This Row],[AST]],PlayerGameData[AST],0)+PlayerGameData[[#This Row],[VisibleOrder]]</f>
        <v>1157</v>
      </c>
      <c r="AS786" s="8">
        <f ca="1">IF(COUNTIF(PlayerGameData[ASTOrder],PlayerGameData[[#This Row],[ASTOrder]])&gt;1,PlayerGameData[[#This Row],[PointRank]]/100+PlayerGameData[[#This Row],[ASTOrder]],PlayerGameData[[#This Row],[ASTOrder]])</f>
        <v>1163.25</v>
      </c>
      <c r="AT786" s="8">
        <f ca="1">RANK(PlayerGameData[[#This Row],[ASTTieBreak]],PlayerGameData[ASTTieBreak],1)</f>
        <v>625</v>
      </c>
      <c r="AU786" s="8">
        <f ca="1">RANK(PlayerGameData[[#This Row],[STL]],PlayerGameData[STL],0)+PlayerGameData[[#This Row],[VisibleOrder]]</f>
        <v>1142</v>
      </c>
      <c r="AV786" s="8">
        <f ca="1">IF(COUNTIF(PlayerGameData[STLOrder],PlayerGameData[[#This Row],[STLOrder]])&gt;1,PlayerGameData[[#This Row],[PointRank]]/100+PlayerGameData[[#This Row],[STLOrder]],PlayerGameData[[#This Row],[STLOrder]])</f>
        <v>1148.25</v>
      </c>
      <c r="AW786" s="8">
        <f ca="1">RANK(PlayerGameData[[#This Row],[STLTieBreak]],PlayerGameData[STLTieBreak],1)</f>
        <v>625</v>
      </c>
      <c r="AX786" s="8">
        <f ca="1">RANK(PlayerGameData[[#This Row],[BLK]],PlayerGameData[BLK],0)+PlayerGameData[[#This Row],[VisibleOrder]]</f>
        <v>1031</v>
      </c>
      <c r="AY786" s="8">
        <f ca="1">IF(COUNTIF(PlayerGameData[BLKOrder],PlayerGameData[[#This Row],[BLKOrder]])&gt;1,PlayerGameData[[#This Row],[PointRank]]/100+PlayerGameData[[#This Row],[BLKOrder]],PlayerGameData[[#This Row],[BLKOrder]])</f>
        <v>1037.25</v>
      </c>
      <c r="AZ786" s="8">
        <f ca="1">RANK(PlayerGameData[[#This Row],[BLKTieBreak]],PlayerGameData[BLKTieBreak],1)</f>
        <v>625</v>
      </c>
      <c r="BA786" s="11">
        <f ca="1">IFERROR(IF(PlayerGameData[[#This Row],[FGA]]&gt;$AA$5,PlayerGameData[[#This Row],[FG%*]],PlayerGameData[[#This Row],[FG%*]]*-1),-2)</f>
        <v>-2</v>
      </c>
      <c r="BB786" s="8">
        <f ca="1">RANK(PlayerGameData[[#This Row],[EligFG]],PlayerGameData[EligFG],0)+PlayerGameData[[#This Row],[VisibleOrder]]</f>
        <v>1214</v>
      </c>
      <c r="BC786" s="8">
        <f ca="1">IF(COUNTIF(PlayerGameData[EligFGOrder],PlayerGameData[[#This Row],[EligFGOrder]])&gt;1,PlayerGameData[[#This Row],[PointRank]]/100+PlayerGameData[[#This Row],[EligFGOrder]],PlayerGameData[[#This Row],[EligFGOrder]])</f>
        <v>1220.25</v>
      </c>
      <c r="BD786" s="8">
        <f ca="1">RANK(PlayerGameData[[#This Row],[EligFGTieBreak]],PlayerGameData[EligFGTieBreak],1)</f>
        <v>625</v>
      </c>
      <c r="BE786" s="8" t="str">
        <f>Roster!$D$3</f>
        <v>East</v>
      </c>
      <c r="BF786" s="8" t="str">
        <f>Roster!$D$2</f>
        <v>Northeast</v>
      </c>
      <c r="BG786" s="8" t="str">
        <f>Roster!$D$4</f>
        <v>North</v>
      </c>
      <c r="BH786" s="197">
        <f ca="1">IFERROR(VLOOKUP(CONCATENATE(PlayerGameData[[#This Row],[Opponent]]," ",MONTH(PlayerGameData[[#This Row],[Date]]),"/",DAY(PlayerGameData[[#This Row],[Date]]),"/",YEAR(PlayerGameData[[#This Row],[Date]])),Table35[],2,FALSE),0)</f>
        <v>0</v>
      </c>
      <c r="BI786" s="197">
        <f ca="1">IF(PlayerGameData[[#This Row],[Visible]]=1,1,1000)</f>
        <v>1000</v>
      </c>
      <c r="BJ786" s="197" t="e">
        <f ca="1">_xlfn.MAXIFS(TeamGameData[Win],TeamGameData[School, Opponent,Game'#],PlayerGameData[[#This Row],[School, Opponent,Game'#]])</f>
        <v>#NAME?</v>
      </c>
      <c r="BK786" s="197" t="e">
        <f ca="1">_xlfn.MAXIFS(TeamGameData[Loss],TeamGameData[School, Opponent,Game'#],PlayerGameData[[#This Row],[School, Opponent,Game'#]])</f>
        <v>#NAME?</v>
      </c>
    </row>
    <row r="787" spans="1:63" x14ac:dyDescent="0.25">
      <c r="A787" s="8" t="str">
        <f t="shared" ca="1" si="393"/>
        <v>Ryan Baker, 35</v>
      </c>
      <c r="B787" s="8" t="str">
        <f>Roster!$B$1</f>
        <v>Upton</v>
      </c>
      <c r="C787" s="8">
        <f t="shared" ca="1" si="381"/>
        <v>0</v>
      </c>
      <c r="D787" s="10">
        <f t="shared" ca="1" si="382"/>
        <v>0</v>
      </c>
      <c r="E787" s="8">
        <f t="shared" ca="1" si="383"/>
        <v>0</v>
      </c>
      <c r="F787" s="8">
        <f t="shared" ca="1" si="384"/>
        <v>0</v>
      </c>
      <c r="G787" s="8">
        <f t="shared" ca="1" si="385"/>
        <v>0</v>
      </c>
      <c r="H787" s="8">
        <f t="shared" ca="1" si="386"/>
        <v>0</v>
      </c>
      <c r="I787" s="8">
        <f t="shared" ca="1" si="387"/>
        <v>0</v>
      </c>
      <c r="J787" s="8">
        <f t="shared" ca="1" si="388"/>
        <v>0</v>
      </c>
      <c r="K787" s="8">
        <f t="shared" ca="1" si="389"/>
        <v>0</v>
      </c>
      <c r="L787" s="8">
        <f t="shared" ca="1" si="394"/>
        <v>0</v>
      </c>
      <c r="M787" s="8">
        <f t="shared" ca="1" si="395"/>
        <v>0</v>
      </c>
      <c r="N787" s="8">
        <f t="shared" ca="1" si="396"/>
        <v>0</v>
      </c>
      <c r="O787" s="8">
        <f t="shared" ca="1" si="397"/>
        <v>0</v>
      </c>
      <c r="P787" s="8">
        <f t="shared" ca="1" si="398"/>
        <v>0</v>
      </c>
      <c r="Q787" s="8">
        <f t="shared" ca="1" si="399"/>
        <v>0</v>
      </c>
      <c r="R787" s="8">
        <f t="shared" ca="1" si="400"/>
        <v>0</v>
      </c>
      <c r="S787" s="8">
        <f t="shared" ca="1" si="401"/>
        <v>0</v>
      </c>
      <c r="T787" s="8">
        <f t="shared" ca="1" si="402"/>
        <v>0</v>
      </c>
      <c r="U787" s="8">
        <f t="shared" ca="1" si="403"/>
        <v>0</v>
      </c>
      <c r="V787" s="8">
        <f t="shared" ca="1" si="404"/>
        <v>0</v>
      </c>
      <c r="W787" s="11" t="str">
        <f t="shared" ca="1" si="405"/>
        <v/>
      </c>
      <c r="X787" s="11" t="str">
        <f t="shared" ca="1" si="406"/>
        <v/>
      </c>
      <c r="Y787" s="11" t="str">
        <f t="shared" ca="1" si="407"/>
        <v/>
      </c>
      <c r="Z787" s="11" t="str">
        <f t="shared" ca="1" si="408"/>
        <v/>
      </c>
      <c r="AA787" s="11" t="str">
        <f t="shared" ca="1" si="409"/>
        <v/>
      </c>
      <c r="AB787" s="47">
        <f ca="1">PlayerGameData[[#This Row],[3FGA]]+PlayerGameData[[#This Row],[2FGA]]</f>
        <v>0</v>
      </c>
      <c r="AC787" s="47">
        <f ca="1">PlayerGameData[[#This Row],[OFF REB]]+PlayerGameData[[#This Row],[DEF REB]]</f>
        <v>0</v>
      </c>
      <c r="AD787" s="8">
        <f t="shared" si="390"/>
        <v>33</v>
      </c>
      <c r="AE787" s="8" t="str">
        <f t="shared" ca="1" si="391"/>
        <v>Ryan Baker, 35 - 0 1/0/1900</v>
      </c>
      <c r="AF787" s="8" t="str">
        <f t="shared" ca="1" si="410"/>
        <v/>
      </c>
      <c r="AG787" s="8" t="str">
        <f ca="1">IFERROR(IF(C787=0,"",IF(AND(VLOOKUP(PlayerGameData[[#This Row],[Opponent]],WYTeamInfo,2,FALSE)=Roster!$D$1,VLOOKUP(PlayerGameData[[#This Row],[Opponent]],WYTeamInfo,3,FALSE)=Roster!$D$2),"SR","")),"")</f>
        <v/>
      </c>
      <c r="AH787" s="8" t="str">
        <f>CONCATENATE(Roster!$D$1," ",Roster!$D$5)</f>
        <v>1A BB</v>
      </c>
      <c r="AI787" s="8" t="str">
        <f t="shared" ca="1" si="392"/>
        <v>Blank</v>
      </c>
      <c r="AJ787" s="8">
        <f ca="1">IFERROR(VLOOKUP(PlayerGameData[[#This Row],[School, Opponent,Game'#]],Table3[],2,FALSE),0)</f>
        <v>0</v>
      </c>
      <c r="AK787" s="8">
        <f ca="1">IF(PlayerGameData[[#This Row],[Visible]]=1,1,1000)</f>
        <v>1000</v>
      </c>
      <c r="AL787" s="8">
        <f ca="1">RANK(PlayerGameData[[#This Row],[TL PTS]],PlayerGameData[TL PTS],0)+PlayerGameData[[#This Row],[VisibleOrder]]</f>
        <v>1184</v>
      </c>
      <c r="AM787" s="8">
        <f ca="1">IF(COUNTIF(PlayerGameData[PointOrder],PlayerGameData[[#This Row],[PointOrder]])&gt;1,RANK(PlayerGameData[[#This Row],[FGA]],PlayerGameData[FGA],0)/100,0)+PlayerGameData[[#This Row],[PointOrder]]</f>
        <v>1186.1400000000001</v>
      </c>
      <c r="AN787" s="8">
        <f ca="1">RANK(PlayerGameData[[#This Row],[PointTieBreak]],PlayerGameData[PointTieBreak],1)</f>
        <v>625</v>
      </c>
      <c r="AO787" s="8">
        <f ca="1">RANK(PlayerGameData[[#This Row],[REB]],PlayerGameData[REB],0)+PlayerGameData[[#This Row],[VisibleOrder]]</f>
        <v>1191</v>
      </c>
      <c r="AP787" s="8">
        <f ca="1">IF(COUNTIF(PlayerGameData[REBOrder],PlayerGameData[[#This Row],[REBOrder]])&gt;1,PlayerGameData[[#This Row],[PointRank]]/100+PlayerGameData[[#This Row],[REBOrder]],PlayerGameData[[#This Row],[REBOrder]])</f>
        <v>1197.25</v>
      </c>
      <c r="AQ787" s="8">
        <f ca="1">RANK(PlayerGameData[[#This Row],[REBTieBreak]],PlayerGameData[REBTieBreak],1)</f>
        <v>625</v>
      </c>
      <c r="AR787" s="8">
        <f ca="1">RANK(PlayerGameData[[#This Row],[AST]],PlayerGameData[AST],0)+PlayerGameData[[#This Row],[VisibleOrder]]</f>
        <v>1157</v>
      </c>
      <c r="AS787" s="8">
        <f ca="1">IF(COUNTIF(PlayerGameData[ASTOrder],PlayerGameData[[#This Row],[ASTOrder]])&gt;1,PlayerGameData[[#This Row],[PointRank]]/100+PlayerGameData[[#This Row],[ASTOrder]],PlayerGameData[[#This Row],[ASTOrder]])</f>
        <v>1163.25</v>
      </c>
      <c r="AT787" s="8">
        <f ca="1">RANK(PlayerGameData[[#This Row],[ASTTieBreak]],PlayerGameData[ASTTieBreak],1)</f>
        <v>625</v>
      </c>
      <c r="AU787" s="8">
        <f ca="1">RANK(PlayerGameData[[#This Row],[STL]],PlayerGameData[STL],0)+PlayerGameData[[#This Row],[VisibleOrder]]</f>
        <v>1142</v>
      </c>
      <c r="AV787" s="8">
        <f ca="1">IF(COUNTIF(PlayerGameData[STLOrder],PlayerGameData[[#This Row],[STLOrder]])&gt;1,PlayerGameData[[#This Row],[PointRank]]/100+PlayerGameData[[#This Row],[STLOrder]],PlayerGameData[[#This Row],[STLOrder]])</f>
        <v>1148.25</v>
      </c>
      <c r="AW787" s="8">
        <f ca="1">RANK(PlayerGameData[[#This Row],[STLTieBreak]],PlayerGameData[STLTieBreak],1)</f>
        <v>625</v>
      </c>
      <c r="AX787" s="8">
        <f ca="1">RANK(PlayerGameData[[#This Row],[BLK]],PlayerGameData[BLK],0)+PlayerGameData[[#This Row],[VisibleOrder]]</f>
        <v>1031</v>
      </c>
      <c r="AY787" s="8">
        <f ca="1">IF(COUNTIF(PlayerGameData[BLKOrder],PlayerGameData[[#This Row],[BLKOrder]])&gt;1,PlayerGameData[[#This Row],[PointRank]]/100+PlayerGameData[[#This Row],[BLKOrder]],PlayerGameData[[#This Row],[BLKOrder]])</f>
        <v>1037.25</v>
      </c>
      <c r="AZ787" s="8">
        <f ca="1">RANK(PlayerGameData[[#This Row],[BLKTieBreak]],PlayerGameData[BLKTieBreak],1)</f>
        <v>625</v>
      </c>
      <c r="BA787" s="11">
        <f ca="1">IFERROR(IF(PlayerGameData[[#This Row],[FGA]]&gt;$AA$5,PlayerGameData[[#This Row],[FG%*]],PlayerGameData[[#This Row],[FG%*]]*-1),-2)</f>
        <v>-2</v>
      </c>
      <c r="BB787" s="8">
        <f ca="1">RANK(PlayerGameData[[#This Row],[EligFG]],PlayerGameData[EligFG],0)+PlayerGameData[[#This Row],[VisibleOrder]]</f>
        <v>1214</v>
      </c>
      <c r="BC787" s="8">
        <f ca="1">IF(COUNTIF(PlayerGameData[EligFGOrder],PlayerGameData[[#This Row],[EligFGOrder]])&gt;1,PlayerGameData[[#This Row],[PointRank]]/100+PlayerGameData[[#This Row],[EligFGOrder]],PlayerGameData[[#This Row],[EligFGOrder]])</f>
        <v>1220.25</v>
      </c>
      <c r="BD787" s="8">
        <f ca="1">RANK(PlayerGameData[[#This Row],[EligFGTieBreak]],PlayerGameData[EligFGTieBreak],1)</f>
        <v>625</v>
      </c>
      <c r="BE787" s="8" t="str">
        <f>Roster!$D$3</f>
        <v>East</v>
      </c>
      <c r="BF787" s="8" t="str">
        <f>Roster!$D$2</f>
        <v>Northeast</v>
      </c>
      <c r="BG787" s="8" t="str">
        <f>Roster!$D$4</f>
        <v>North</v>
      </c>
      <c r="BH787" s="197">
        <f ca="1">IFERROR(VLOOKUP(CONCATENATE(PlayerGameData[[#This Row],[Opponent]]," ",MONTH(PlayerGameData[[#This Row],[Date]]),"/",DAY(PlayerGameData[[#This Row],[Date]]),"/",YEAR(PlayerGameData[[#This Row],[Date]])),Table35[],2,FALSE),0)</f>
        <v>0</v>
      </c>
      <c r="BI787" s="197">
        <f ca="1">IF(PlayerGameData[[#This Row],[Visible]]=1,1,1000)</f>
        <v>1000</v>
      </c>
      <c r="BJ787" s="197" t="e">
        <f ca="1">_xlfn.MAXIFS(TeamGameData[Win],TeamGameData[School, Opponent,Game'#],PlayerGameData[[#This Row],[School, Opponent,Game'#]])</f>
        <v>#NAME?</v>
      </c>
      <c r="BK787" s="197" t="e">
        <f ca="1">_xlfn.MAXIFS(TeamGameData[Loss],TeamGameData[School, Opponent,Game'#],PlayerGameData[[#This Row],[School, Opponent,Game'#]])</f>
        <v>#NAME?</v>
      </c>
    </row>
    <row r="788" spans="1:63" x14ac:dyDescent="0.25">
      <c r="A788" s="8" t="str">
        <f t="shared" ca="1" si="393"/>
        <v xml:space="preserve">, </v>
      </c>
      <c r="B788" s="8" t="str">
        <f>Roster!$B$1</f>
        <v>Upton</v>
      </c>
      <c r="C788" s="8">
        <f t="shared" ca="1" si="381"/>
        <v>0</v>
      </c>
      <c r="D788" s="10">
        <f t="shared" ca="1" si="382"/>
        <v>0</v>
      </c>
      <c r="E788" s="8">
        <f t="shared" ca="1" si="383"/>
        <v>0</v>
      </c>
      <c r="F788" s="8">
        <f t="shared" ca="1" si="384"/>
        <v>0</v>
      </c>
      <c r="G788" s="8">
        <f t="shared" ca="1" si="385"/>
        <v>0</v>
      </c>
      <c r="H788" s="8">
        <f t="shared" ca="1" si="386"/>
        <v>0</v>
      </c>
      <c r="I788" s="8">
        <f t="shared" ca="1" si="387"/>
        <v>0</v>
      </c>
      <c r="J788" s="8">
        <f t="shared" ca="1" si="388"/>
        <v>0</v>
      </c>
      <c r="K788" s="8">
        <f t="shared" ca="1" si="389"/>
        <v>0</v>
      </c>
      <c r="L788" s="8">
        <f t="shared" ca="1" si="394"/>
        <v>0</v>
      </c>
      <c r="M788" s="8">
        <f t="shared" ca="1" si="395"/>
        <v>0</v>
      </c>
      <c r="N788" s="8">
        <f t="shared" ca="1" si="396"/>
        <v>0</v>
      </c>
      <c r="O788" s="8">
        <f t="shared" ca="1" si="397"/>
        <v>0</v>
      </c>
      <c r="P788" s="8">
        <f t="shared" ca="1" si="398"/>
        <v>0</v>
      </c>
      <c r="Q788" s="8">
        <f t="shared" ca="1" si="399"/>
        <v>0</v>
      </c>
      <c r="R788" s="8">
        <f t="shared" ca="1" si="400"/>
        <v>0</v>
      </c>
      <c r="S788" s="8">
        <f t="shared" ca="1" si="401"/>
        <v>0</v>
      </c>
      <c r="T788" s="8">
        <f t="shared" ca="1" si="402"/>
        <v>0</v>
      </c>
      <c r="U788" s="8">
        <f t="shared" ca="1" si="403"/>
        <v>0</v>
      </c>
      <c r="V788" s="8">
        <f t="shared" ca="1" si="404"/>
        <v>0</v>
      </c>
      <c r="W788" s="11" t="str">
        <f t="shared" ca="1" si="405"/>
        <v/>
      </c>
      <c r="X788" s="11" t="str">
        <f t="shared" ca="1" si="406"/>
        <v/>
      </c>
      <c r="Y788" s="11" t="str">
        <f t="shared" ca="1" si="407"/>
        <v/>
      </c>
      <c r="Z788" s="11" t="str">
        <f t="shared" ca="1" si="408"/>
        <v/>
      </c>
      <c r="AA788" s="11" t="str">
        <f t="shared" ca="1" si="409"/>
        <v/>
      </c>
      <c r="AB788" s="47">
        <f ca="1">PlayerGameData[[#This Row],[3FGA]]+PlayerGameData[[#This Row],[2FGA]]</f>
        <v>0</v>
      </c>
      <c r="AC788" s="47">
        <f ca="1">PlayerGameData[[#This Row],[OFF REB]]+PlayerGameData[[#This Row],[DEF REB]]</f>
        <v>0</v>
      </c>
      <c r="AD788" s="8">
        <f t="shared" si="390"/>
        <v>33</v>
      </c>
      <c r="AE788" s="8" t="str">
        <f t="shared" ca="1" si="391"/>
        <v>,  - 0 1/0/1900</v>
      </c>
      <c r="AF788" s="8" t="str">
        <f t="shared" ca="1" si="410"/>
        <v/>
      </c>
      <c r="AG788" s="8" t="str">
        <f ca="1">IFERROR(IF(C788=0,"",IF(AND(VLOOKUP(PlayerGameData[[#This Row],[Opponent]],WYTeamInfo,2,FALSE)=Roster!$D$1,VLOOKUP(PlayerGameData[[#This Row],[Opponent]],WYTeamInfo,3,FALSE)=Roster!$D$2),"SR","")),"")</f>
        <v/>
      </c>
      <c r="AH788" s="8" t="str">
        <f>CONCATENATE(Roster!$D$1," ",Roster!$D$5)</f>
        <v>1A BB</v>
      </c>
      <c r="AI788" s="8" t="str">
        <f t="shared" ca="1" si="392"/>
        <v>Blank</v>
      </c>
      <c r="AJ788" s="8">
        <f ca="1">IFERROR(VLOOKUP(PlayerGameData[[#This Row],[School, Opponent,Game'#]],Table3[],2,FALSE),0)</f>
        <v>0</v>
      </c>
      <c r="AK788" s="8">
        <f ca="1">IF(PlayerGameData[[#This Row],[Visible]]=1,1,1000)</f>
        <v>1000</v>
      </c>
      <c r="AL788" s="8">
        <f ca="1">RANK(PlayerGameData[[#This Row],[TL PTS]],PlayerGameData[TL PTS],0)+PlayerGameData[[#This Row],[VisibleOrder]]</f>
        <v>1184</v>
      </c>
      <c r="AM788" s="8">
        <f ca="1">IF(COUNTIF(PlayerGameData[PointOrder],PlayerGameData[[#This Row],[PointOrder]])&gt;1,RANK(PlayerGameData[[#This Row],[FGA]],PlayerGameData[FGA],0)/100,0)+PlayerGameData[[#This Row],[PointOrder]]</f>
        <v>1186.1400000000001</v>
      </c>
      <c r="AN788" s="8">
        <f ca="1">RANK(PlayerGameData[[#This Row],[PointTieBreak]],PlayerGameData[PointTieBreak],1)</f>
        <v>625</v>
      </c>
      <c r="AO788" s="8">
        <f ca="1">RANK(PlayerGameData[[#This Row],[REB]],PlayerGameData[REB],0)+PlayerGameData[[#This Row],[VisibleOrder]]</f>
        <v>1191</v>
      </c>
      <c r="AP788" s="8">
        <f ca="1">IF(COUNTIF(PlayerGameData[REBOrder],PlayerGameData[[#This Row],[REBOrder]])&gt;1,PlayerGameData[[#This Row],[PointRank]]/100+PlayerGameData[[#This Row],[REBOrder]],PlayerGameData[[#This Row],[REBOrder]])</f>
        <v>1197.25</v>
      </c>
      <c r="AQ788" s="8">
        <f ca="1">RANK(PlayerGameData[[#This Row],[REBTieBreak]],PlayerGameData[REBTieBreak],1)</f>
        <v>625</v>
      </c>
      <c r="AR788" s="8">
        <f ca="1">RANK(PlayerGameData[[#This Row],[AST]],PlayerGameData[AST],0)+PlayerGameData[[#This Row],[VisibleOrder]]</f>
        <v>1157</v>
      </c>
      <c r="AS788" s="8">
        <f ca="1">IF(COUNTIF(PlayerGameData[ASTOrder],PlayerGameData[[#This Row],[ASTOrder]])&gt;1,PlayerGameData[[#This Row],[PointRank]]/100+PlayerGameData[[#This Row],[ASTOrder]],PlayerGameData[[#This Row],[ASTOrder]])</f>
        <v>1163.25</v>
      </c>
      <c r="AT788" s="8">
        <f ca="1">RANK(PlayerGameData[[#This Row],[ASTTieBreak]],PlayerGameData[ASTTieBreak],1)</f>
        <v>625</v>
      </c>
      <c r="AU788" s="8">
        <f ca="1">RANK(PlayerGameData[[#This Row],[STL]],PlayerGameData[STL],0)+PlayerGameData[[#This Row],[VisibleOrder]]</f>
        <v>1142</v>
      </c>
      <c r="AV788" s="8">
        <f ca="1">IF(COUNTIF(PlayerGameData[STLOrder],PlayerGameData[[#This Row],[STLOrder]])&gt;1,PlayerGameData[[#This Row],[PointRank]]/100+PlayerGameData[[#This Row],[STLOrder]],PlayerGameData[[#This Row],[STLOrder]])</f>
        <v>1148.25</v>
      </c>
      <c r="AW788" s="8">
        <f ca="1">RANK(PlayerGameData[[#This Row],[STLTieBreak]],PlayerGameData[STLTieBreak],1)</f>
        <v>625</v>
      </c>
      <c r="AX788" s="8">
        <f ca="1">RANK(PlayerGameData[[#This Row],[BLK]],PlayerGameData[BLK],0)+PlayerGameData[[#This Row],[VisibleOrder]]</f>
        <v>1031</v>
      </c>
      <c r="AY788" s="8">
        <f ca="1">IF(COUNTIF(PlayerGameData[BLKOrder],PlayerGameData[[#This Row],[BLKOrder]])&gt;1,PlayerGameData[[#This Row],[PointRank]]/100+PlayerGameData[[#This Row],[BLKOrder]],PlayerGameData[[#This Row],[BLKOrder]])</f>
        <v>1037.25</v>
      </c>
      <c r="AZ788" s="8">
        <f ca="1">RANK(PlayerGameData[[#This Row],[BLKTieBreak]],PlayerGameData[BLKTieBreak],1)</f>
        <v>625</v>
      </c>
      <c r="BA788" s="11">
        <f ca="1">IFERROR(IF(PlayerGameData[[#This Row],[FGA]]&gt;$AA$5,PlayerGameData[[#This Row],[FG%*]],PlayerGameData[[#This Row],[FG%*]]*-1),-2)</f>
        <v>-2</v>
      </c>
      <c r="BB788" s="8">
        <f ca="1">RANK(PlayerGameData[[#This Row],[EligFG]],PlayerGameData[EligFG],0)+PlayerGameData[[#This Row],[VisibleOrder]]</f>
        <v>1214</v>
      </c>
      <c r="BC788" s="8">
        <f ca="1">IF(COUNTIF(PlayerGameData[EligFGOrder],PlayerGameData[[#This Row],[EligFGOrder]])&gt;1,PlayerGameData[[#This Row],[PointRank]]/100+PlayerGameData[[#This Row],[EligFGOrder]],PlayerGameData[[#This Row],[EligFGOrder]])</f>
        <v>1220.25</v>
      </c>
      <c r="BD788" s="8">
        <f ca="1">RANK(PlayerGameData[[#This Row],[EligFGTieBreak]],PlayerGameData[EligFGTieBreak],1)</f>
        <v>625</v>
      </c>
      <c r="BE788" s="8" t="str">
        <f>Roster!$D$3</f>
        <v>East</v>
      </c>
      <c r="BF788" s="8" t="str">
        <f>Roster!$D$2</f>
        <v>Northeast</v>
      </c>
      <c r="BG788" s="8" t="str">
        <f>Roster!$D$4</f>
        <v>North</v>
      </c>
      <c r="BH788" s="197">
        <f ca="1">IFERROR(VLOOKUP(CONCATENATE(PlayerGameData[[#This Row],[Opponent]]," ",MONTH(PlayerGameData[[#This Row],[Date]]),"/",DAY(PlayerGameData[[#This Row],[Date]]),"/",YEAR(PlayerGameData[[#This Row],[Date]])),Table35[],2,FALSE),0)</f>
        <v>0</v>
      </c>
      <c r="BI788" s="197">
        <f ca="1">IF(PlayerGameData[[#This Row],[Visible]]=1,1,1000)</f>
        <v>1000</v>
      </c>
      <c r="BJ788" s="197" t="e">
        <f ca="1">_xlfn.MAXIFS(TeamGameData[Win],TeamGameData[School, Opponent,Game'#],PlayerGameData[[#This Row],[School, Opponent,Game'#]])</f>
        <v>#NAME?</v>
      </c>
      <c r="BK788" s="197" t="e">
        <f ca="1">_xlfn.MAXIFS(TeamGameData[Loss],TeamGameData[School, Opponent,Game'#],PlayerGameData[[#This Row],[School, Opponent,Game'#]])</f>
        <v>#NAME?</v>
      </c>
    </row>
    <row r="789" spans="1:63" x14ac:dyDescent="0.25">
      <c r="A789" s="8" t="str">
        <f t="shared" ca="1" si="393"/>
        <v xml:space="preserve">, </v>
      </c>
      <c r="B789" s="8" t="str">
        <f>Roster!$B$1</f>
        <v>Upton</v>
      </c>
      <c r="C789" s="8">
        <f t="shared" ca="1" si="381"/>
        <v>0</v>
      </c>
      <c r="D789" s="10">
        <f t="shared" ca="1" si="382"/>
        <v>0</v>
      </c>
      <c r="E789" s="8">
        <f t="shared" ca="1" si="383"/>
        <v>0</v>
      </c>
      <c r="F789" s="8">
        <f t="shared" ca="1" si="384"/>
        <v>0</v>
      </c>
      <c r="G789" s="8">
        <f t="shared" ca="1" si="385"/>
        <v>0</v>
      </c>
      <c r="H789" s="8">
        <f t="shared" ca="1" si="386"/>
        <v>0</v>
      </c>
      <c r="I789" s="8">
        <f t="shared" ca="1" si="387"/>
        <v>0</v>
      </c>
      <c r="J789" s="8">
        <f t="shared" ca="1" si="388"/>
        <v>0</v>
      </c>
      <c r="K789" s="8">
        <f t="shared" ca="1" si="389"/>
        <v>0</v>
      </c>
      <c r="L789" s="8">
        <f t="shared" ca="1" si="394"/>
        <v>0</v>
      </c>
      <c r="M789" s="8">
        <f t="shared" ca="1" si="395"/>
        <v>0</v>
      </c>
      <c r="N789" s="8">
        <f t="shared" ca="1" si="396"/>
        <v>0</v>
      </c>
      <c r="O789" s="8">
        <f t="shared" ca="1" si="397"/>
        <v>0</v>
      </c>
      <c r="P789" s="8">
        <f t="shared" ca="1" si="398"/>
        <v>0</v>
      </c>
      <c r="Q789" s="8">
        <f t="shared" ca="1" si="399"/>
        <v>0</v>
      </c>
      <c r="R789" s="8">
        <f t="shared" ca="1" si="400"/>
        <v>0</v>
      </c>
      <c r="S789" s="8">
        <f t="shared" ca="1" si="401"/>
        <v>0</v>
      </c>
      <c r="T789" s="8">
        <f t="shared" ca="1" si="402"/>
        <v>0</v>
      </c>
      <c r="U789" s="8">
        <f t="shared" ca="1" si="403"/>
        <v>0</v>
      </c>
      <c r="V789" s="8">
        <f t="shared" ca="1" si="404"/>
        <v>0</v>
      </c>
      <c r="W789" s="11" t="str">
        <f t="shared" ca="1" si="405"/>
        <v/>
      </c>
      <c r="X789" s="11" t="str">
        <f t="shared" ca="1" si="406"/>
        <v/>
      </c>
      <c r="Y789" s="11" t="str">
        <f t="shared" ca="1" si="407"/>
        <v/>
      </c>
      <c r="Z789" s="11" t="str">
        <f t="shared" ca="1" si="408"/>
        <v/>
      </c>
      <c r="AA789" s="11" t="str">
        <f t="shared" ca="1" si="409"/>
        <v/>
      </c>
      <c r="AB789" s="47">
        <f ca="1">PlayerGameData[[#This Row],[3FGA]]+PlayerGameData[[#This Row],[2FGA]]</f>
        <v>0</v>
      </c>
      <c r="AC789" s="47">
        <f ca="1">PlayerGameData[[#This Row],[OFF REB]]+PlayerGameData[[#This Row],[DEF REB]]</f>
        <v>0</v>
      </c>
      <c r="AD789" s="8">
        <f t="shared" si="390"/>
        <v>33</v>
      </c>
      <c r="AE789" s="8" t="str">
        <f t="shared" ca="1" si="391"/>
        <v>,  - 0 1/0/1900</v>
      </c>
      <c r="AF789" s="8" t="str">
        <f t="shared" ca="1" si="410"/>
        <v/>
      </c>
      <c r="AG789" s="8" t="str">
        <f ca="1">IFERROR(IF(C789=0,"",IF(AND(VLOOKUP(PlayerGameData[[#This Row],[Opponent]],WYTeamInfo,2,FALSE)=Roster!$D$1,VLOOKUP(PlayerGameData[[#This Row],[Opponent]],WYTeamInfo,3,FALSE)=Roster!$D$2),"SR","")),"")</f>
        <v/>
      </c>
      <c r="AH789" s="8" t="str">
        <f>CONCATENATE(Roster!$D$1," ",Roster!$D$5)</f>
        <v>1A BB</v>
      </c>
      <c r="AI789" s="8" t="str">
        <f t="shared" ca="1" si="392"/>
        <v>Blank</v>
      </c>
      <c r="AJ789" s="8">
        <f ca="1">IFERROR(VLOOKUP(PlayerGameData[[#This Row],[School, Opponent,Game'#]],Table3[],2,FALSE),0)</f>
        <v>0</v>
      </c>
      <c r="AK789" s="8">
        <f ca="1">IF(PlayerGameData[[#This Row],[Visible]]=1,1,1000)</f>
        <v>1000</v>
      </c>
      <c r="AL789" s="8">
        <f ca="1">RANK(PlayerGameData[[#This Row],[TL PTS]],PlayerGameData[TL PTS],0)+PlayerGameData[[#This Row],[VisibleOrder]]</f>
        <v>1184</v>
      </c>
      <c r="AM789" s="8">
        <f ca="1">IF(COUNTIF(PlayerGameData[PointOrder],PlayerGameData[[#This Row],[PointOrder]])&gt;1,RANK(PlayerGameData[[#This Row],[FGA]],PlayerGameData[FGA],0)/100,0)+PlayerGameData[[#This Row],[PointOrder]]</f>
        <v>1186.1400000000001</v>
      </c>
      <c r="AN789" s="8">
        <f ca="1">RANK(PlayerGameData[[#This Row],[PointTieBreak]],PlayerGameData[PointTieBreak],1)</f>
        <v>625</v>
      </c>
      <c r="AO789" s="8">
        <f ca="1">RANK(PlayerGameData[[#This Row],[REB]],PlayerGameData[REB],0)+PlayerGameData[[#This Row],[VisibleOrder]]</f>
        <v>1191</v>
      </c>
      <c r="AP789" s="8">
        <f ca="1">IF(COUNTIF(PlayerGameData[REBOrder],PlayerGameData[[#This Row],[REBOrder]])&gt;1,PlayerGameData[[#This Row],[PointRank]]/100+PlayerGameData[[#This Row],[REBOrder]],PlayerGameData[[#This Row],[REBOrder]])</f>
        <v>1197.25</v>
      </c>
      <c r="AQ789" s="8">
        <f ca="1">RANK(PlayerGameData[[#This Row],[REBTieBreak]],PlayerGameData[REBTieBreak],1)</f>
        <v>625</v>
      </c>
      <c r="AR789" s="8">
        <f ca="1">RANK(PlayerGameData[[#This Row],[AST]],PlayerGameData[AST],0)+PlayerGameData[[#This Row],[VisibleOrder]]</f>
        <v>1157</v>
      </c>
      <c r="AS789" s="8">
        <f ca="1">IF(COUNTIF(PlayerGameData[ASTOrder],PlayerGameData[[#This Row],[ASTOrder]])&gt;1,PlayerGameData[[#This Row],[PointRank]]/100+PlayerGameData[[#This Row],[ASTOrder]],PlayerGameData[[#This Row],[ASTOrder]])</f>
        <v>1163.25</v>
      </c>
      <c r="AT789" s="8">
        <f ca="1">RANK(PlayerGameData[[#This Row],[ASTTieBreak]],PlayerGameData[ASTTieBreak],1)</f>
        <v>625</v>
      </c>
      <c r="AU789" s="8">
        <f ca="1">RANK(PlayerGameData[[#This Row],[STL]],PlayerGameData[STL],0)+PlayerGameData[[#This Row],[VisibleOrder]]</f>
        <v>1142</v>
      </c>
      <c r="AV789" s="8">
        <f ca="1">IF(COUNTIF(PlayerGameData[STLOrder],PlayerGameData[[#This Row],[STLOrder]])&gt;1,PlayerGameData[[#This Row],[PointRank]]/100+PlayerGameData[[#This Row],[STLOrder]],PlayerGameData[[#This Row],[STLOrder]])</f>
        <v>1148.25</v>
      </c>
      <c r="AW789" s="8">
        <f ca="1">RANK(PlayerGameData[[#This Row],[STLTieBreak]],PlayerGameData[STLTieBreak],1)</f>
        <v>625</v>
      </c>
      <c r="AX789" s="8">
        <f ca="1">RANK(PlayerGameData[[#This Row],[BLK]],PlayerGameData[BLK],0)+PlayerGameData[[#This Row],[VisibleOrder]]</f>
        <v>1031</v>
      </c>
      <c r="AY789" s="8">
        <f ca="1">IF(COUNTIF(PlayerGameData[BLKOrder],PlayerGameData[[#This Row],[BLKOrder]])&gt;1,PlayerGameData[[#This Row],[PointRank]]/100+PlayerGameData[[#This Row],[BLKOrder]],PlayerGameData[[#This Row],[BLKOrder]])</f>
        <v>1037.25</v>
      </c>
      <c r="AZ789" s="8">
        <f ca="1">RANK(PlayerGameData[[#This Row],[BLKTieBreak]],PlayerGameData[BLKTieBreak],1)</f>
        <v>625</v>
      </c>
      <c r="BA789" s="11">
        <f ca="1">IFERROR(IF(PlayerGameData[[#This Row],[FGA]]&gt;$AA$5,PlayerGameData[[#This Row],[FG%*]],PlayerGameData[[#This Row],[FG%*]]*-1),-2)</f>
        <v>-2</v>
      </c>
      <c r="BB789" s="8">
        <f ca="1">RANK(PlayerGameData[[#This Row],[EligFG]],PlayerGameData[EligFG],0)+PlayerGameData[[#This Row],[VisibleOrder]]</f>
        <v>1214</v>
      </c>
      <c r="BC789" s="8">
        <f ca="1">IF(COUNTIF(PlayerGameData[EligFGOrder],PlayerGameData[[#This Row],[EligFGOrder]])&gt;1,PlayerGameData[[#This Row],[PointRank]]/100+PlayerGameData[[#This Row],[EligFGOrder]],PlayerGameData[[#This Row],[EligFGOrder]])</f>
        <v>1220.25</v>
      </c>
      <c r="BD789" s="8">
        <f ca="1">RANK(PlayerGameData[[#This Row],[EligFGTieBreak]],PlayerGameData[EligFGTieBreak],1)</f>
        <v>625</v>
      </c>
      <c r="BE789" s="8" t="str">
        <f>Roster!$D$3</f>
        <v>East</v>
      </c>
      <c r="BF789" s="8" t="str">
        <f>Roster!$D$2</f>
        <v>Northeast</v>
      </c>
      <c r="BG789" s="8" t="str">
        <f>Roster!$D$4</f>
        <v>North</v>
      </c>
      <c r="BH789" s="197">
        <f ca="1">IFERROR(VLOOKUP(CONCATENATE(PlayerGameData[[#This Row],[Opponent]]," ",MONTH(PlayerGameData[[#This Row],[Date]]),"/",DAY(PlayerGameData[[#This Row],[Date]]),"/",YEAR(PlayerGameData[[#This Row],[Date]])),Table35[],2,FALSE),0)</f>
        <v>0</v>
      </c>
      <c r="BI789" s="197">
        <f ca="1">IF(PlayerGameData[[#This Row],[Visible]]=1,1,1000)</f>
        <v>1000</v>
      </c>
      <c r="BJ789" s="197" t="e">
        <f ca="1">_xlfn.MAXIFS(TeamGameData[Win],TeamGameData[School, Opponent,Game'#],PlayerGameData[[#This Row],[School, Opponent,Game'#]])</f>
        <v>#NAME?</v>
      </c>
      <c r="BK789" s="197" t="e">
        <f ca="1">_xlfn.MAXIFS(TeamGameData[Loss],TeamGameData[School, Opponent,Game'#],PlayerGameData[[#This Row],[School, Opponent,Game'#]])</f>
        <v>#NAME?</v>
      </c>
    </row>
    <row r="790" spans="1:63" x14ac:dyDescent="0.25">
      <c r="A790" s="8" t="str">
        <f t="shared" ca="1" si="393"/>
        <v xml:space="preserve">, </v>
      </c>
      <c r="B790" s="8" t="str">
        <f>Roster!$B$1</f>
        <v>Upton</v>
      </c>
      <c r="C790" s="8">
        <f t="shared" ca="1" si="381"/>
        <v>0</v>
      </c>
      <c r="D790" s="10">
        <f t="shared" ca="1" si="382"/>
        <v>0</v>
      </c>
      <c r="E790" s="8">
        <f t="shared" ca="1" si="383"/>
        <v>0</v>
      </c>
      <c r="F790" s="8">
        <f t="shared" ca="1" si="384"/>
        <v>0</v>
      </c>
      <c r="G790" s="8">
        <f t="shared" ca="1" si="385"/>
        <v>0</v>
      </c>
      <c r="H790" s="8">
        <f t="shared" ca="1" si="386"/>
        <v>0</v>
      </c>
      <c r="I790" s="8">
        <f t="shared" ca="1" si="387"/>
        <v>0</v>
      </c>
      <c r="J790" s="8">
        <f t="shared" ca="1" si="388"/>
        <v>0</v>
      </c>
      <c r="K790" s="8">
        <f t="shared" ca="1" si="389"/>
        <v>0</v>
      </c>
      <c r="L790" s="8">
        <f t="shared" ca="1" si="394"/>
        <v>0</v>
      </c>
      <c r="M790" s="8">
        <f t="shared" ca="1" si="395"/>
        <v>0</v>
      </c>
      <c r="N790" s="8">
        <f t="shared" ca="1" si="396"/>
        <v>0</v>
      </c>
      <c r="O790" s="8">
        <f t="shared" ca="1" si="397"/>
        <v>0</v>
      </c>
      <c r="P790" s="8">
        <f t="shared" ca="1" si="398"/>
        <v>0</v>
      </c>
      <c r="Q790" s="8">
        <f t="shared" ca="1" si="399"/>
        <v>0</v>
      </c>
      <c r="R790" s="8">
        <f t="shared" ca="1" si="400"/>
        <v>0</v>
      </c>
      <c r="S790" s="8">
        <f t="shared" ca="1" si="401"/>
        <v>0</v>
      </c>
      <c r="T790" s="8">
        <f t="shared" ca="1" si="402"/>
        <v>0</v>
      </c>
      <c r="U790" s="8">
        <f t="shared" ca="1" si="403"/>
        <v>0</v>
      </c>
      <c r="V790" s="8">
        <f t="shared" ca="1" si="404"/>
        <v>0</v>
      </c>
      <c r="W790" s="11" t="str">
        <f t="shared" ca="1" si="405"/>
        <v/>
      </c>
      <c r="X790" s="11" t="str">
        <f t="shared" ca="1" si="406"/>
        <v/>
      </c>
      <c r="Y790" s="11" t="str">
        <f t="shared" ca="1" si="407"/>
        <v/>
      </c>
      <c r="Z790" s="11" t="str">
        <f t="shared" ca="1" si="408"/>
        <v/>
      </c>
      <c r="AA790" s="11" t="str">
        <f t="shared" ca="1" si="409"/>
        <v/>
      </c>
      <c r="AB790" s="47">
        <f ca="1">PlayerGameData[[#This Row],[3FGA]]+PlayerGameData[[#This Row],[2FGA]]</f>
        <v>0</v>
      </c>
      <c r="AC790" s="47">
        <f ca="1">PlayerGameData[[#This Row],[OFF REB]]+PlayerGameData[[#This Row],[DEF REB]]</f>
        <v>0</v>
      </c>
      <c r="AD790" s="8">
        <f t="shared" si="390"/>
        <v>33</v>
      </c>
      <c r="AE790" s="8" t="str">
        <f t="shared" ca="1" si="391"/>
        <v>,  - 0 1/0/1900</v>
      </c>
      <c r="AF790" s="8" t="str">
        <f t="shared" ca="1" si="410"/>
        <v/>
      </c>
      <c r="AG790" s="8" t="str">
        <f ca="1">IFERROR(IF(C790=0,"",IF(AND(VLOOKUP(PlayerGameData[[#This Row],[Opponent]],WYTeamInfo,2,FALSE)=Roster!$D$1,VLOOKUP(PlayerGameData[[#This Row],[Opponent]],WYTeamInfo,3,FALSE)=Roster!$D$2),"SR","")),"")</f>
        <v/>
      </c>
      <c r="AH790" s="8" t="str">
        <f>CONCATENATE(Roster!$D$1," ",Roster!$D$5)</f>
        <v>1A BB</v>
      </c>
      <c r="AI790" s="8" t="str">
        <f t="shared" ca="1" si="392"/>
        <v>Blank</v>
      </c>
      <c r="AJ790" s="8">
        <f ca="1">IFERROR(VLOOKUP(PlayerGameData[[#This Row],[School, Opponent,Game'#]],Table3[],2,FALSE),0)</f>
        <v>0</v>
      </c>
      <c r="AK790" s="8">
        <f ca="1">IF(PlayerGameData[[#This Row],[Visible]]=1,1,1000)</f>
        <v>1000</v>
      </c>
      <c r="AL790" s="8">
        <f ca="1">RANK(PlayerGameData[[#This Row],[TL PTS]],PlayerGameData[TL PTS],0)+PlayerGameData[[#This Row],[VisibleOrder]]</f>
        <v>1184</v>
      </c>
      <c r="AM790" s="8">
        <f ca="1">IF(COUNTIF(PlayerGameData[PointOrder],PlayerGameData[[#This Row],[PointOrder]])&gt;1,RANK(PlayerGameData[[#This Row],[FGA]],PlayerGameData[FGA],0)/100,0)+PlayerGameData[[#This Row],[PointOrder]]</f>
        <v>1186.1400000000001</v>
      </c>
      <c r="AN790" s="8">
        <f ca="1">RANK(PlayerGameData[[#This Row],[PointTieBreak]],PlayerGameData[PointTieBreak],1)</f>
        <v>625</v>
      </c>
      <c r="AO790" s="8">
        <f ca="1">RANK(PlayerGameData[[#This Row],[REB]],PlayerGameData[REB],0)+PlayerGameData[[#This Row],[VisibleOrder]]</f>
        <v>1191</v>
      </c>
      <c r="AP790" s="8">
        <f ca="1">IF(COUNTIF(PlayerGameData[REBOrder],PlayerGameData[[#This Row],[REBOrder]])&gt;1,PlayerGameData[[#This Row],[PointRank]]/100+PlayerGameData[[#This Row],[REBOrder]],PlayerGameData[[#This Row],[REBOrder]])</f>
        <v>1197.25</v>
      </c>
      <c r="AQ790" s="8">
        <f ca="1">RANK(PlayerGameData[[#This Row],[REBTieBreak]],PlayerGameData[REBTieBreak],1)</f>
        <v>625</v>
      </c>
      <c r="AR790" s="8">
        <f ca="1">RANK(PlayerGameData[[#This Row],[AST]],PlayerGameData[AST],0)+PlayerGameData[[#This Row],[VisibleOrder]]</f>
        <v>1157</v>
      </c>
      <c r="AS790" s="8">
        <f ca="1">IF(COUNTIF(PlayerGameData[ASTOrder],PlayerGameData[[#This Row],[ASTOrder]])&gt;1,PlayerGameData[[#This Row],[PointRank]]/100+PlayerGameData[[#This Row],[ASTOrder]],PlayerGameData[[#This Row],[ASTOrder]])</f>
        <v>1163.25</v>
      </c>
      <c r="AT790" s="8">
        <f ca="1">RANK(PlayerGameData[[#This Row],[ASTTieBreak]],PlayerGameData[ASTTieBreak],1)</f>
        <v>625</v>
      </c>
      <c r="AU790" s="8">
        <f ca="1">RANK(PlayerGameData[[#This Row],[STL]],PlayerGameData[STL],0)+PlayerGameData[[#This Row],[VisibleOrder]]</f>
        <v>1142</v>
      </c>
      <c r="AV790" s="8">
        <f ca="1">IF(COUNTIF(PlayerGameData[STLOrder],PlayerGameData[[#This Row],[STLOrder]])&gt;1,PlayerGameData[[#This Row],[PointRank]]/100+PlayerGameData[[#This Row],[STLOrder]],PlayerGameData[[#This Row],[STLOrder]])</f>
        <v>1148.25</v>
      </c>
      <c r="AW790" s="8">
        <f ca="1">RANK(PlayerGameData[[#This Row],[STLTieBreak]],PlayerGameData[STLTieBreak],1)</f>
        <v>625</v>
      </c>
      <c r="AX790" s="8">
        <f ca="1">RANK(PlayerGameData[[#This Row],[BLK]],PlayerGameData[BLK],0)+PlayerGameData[[#This Row],[VisibleOrder]]</f>
        <v>1031</v>
      </c>
      <c r="AY790" s="8">
        <f ca="1">IF(COUNTIF(PlayerGameData[BLKOrder],PlayerGameData[[#This Row],[BLKOrder]])&gt;1,PlayerGameData[[#This Row],[PointRank]]/100+PlayerGameData[[#This Row],[BLKOrder]],PlayerGameData[[#This Row],[BLKOrder]])</f>
        <v>1037.25</v>
      </c>
      <c r="AZ790" s="8">
        <f ca="1">RANK(PlayerGameData[[#This Row],[BLKTieBreak]],PlayerGameData[BLKTieBreak],1)</f>
        <v>625</v>
      </c>
      <c r="BA790" s="11">
        <f ca="1">IFERROR(IF(PlayerGameData[[#This Row],[FGA]]&gt;$AA$5,PlayerGameData[[#This Row],[FG%*]],PlayerGameData[[#This Row],[FG%*]]*-1),-2)</f>
        <v>-2</v>
      </c>
      <c r="BB790" s="8">
        <f ca="1">RANK(PlayerGameData[[#This Row],[EligFG]],PlayerGameData[EligFG],0)+PlayerGameData[[#This Row],[VisibleOrder]]</f>
        <v>1214</v>
      </c>
      <c r="BC790" s="8">
        <f ca="1">IF(COUNTIF(PlayerGameData[EligFGOrder],PlayerGameData[[#This Row],[EligFGOrder]])&gt;1,PlayerGameData[[#This Row],[PointRank]]/100+PlayerGameData[[#This Row],[EligFGOrder]],PlayerGameData[[#This Row],[EligFGOrder]])</f>
        <v>1220.25</v>
      </c>
      <c r="BD790" s="8">
        <f ca="1">RANK(PlayerGameData[[#This Row],[EligFGTieBreak]],PlayerGameData[EligFGTieBreak],1)</f>
        <v>625</v>
      </c>
      <c r="BE790" s="8" t="str">
        <f>Roster!$D$3</f>
        <v>East</v>
      </c>
      <c r="BF790" s="8" t="str">
        <f>Roster!$D$2</f>
        <v>Northeast</v>
      </c>
      <c r="BG790" s="8" t="str">
        <f>Roster!$D$4</f>
        <v>North</v>
      </c>
      <c r="BH790" s="197">
        <f ca="1">IFERROR(VLOOKUP(CONCATENATE(PlayerGameData[[#This Row],[Opponent]]," ",MONTH(PlayerGameData[[#This Row],[Date]]),"/",DAY(PlayerGameData[[#This Row],[Date]]),"/",YEAR(PlayerGameData[[#This Row],[Date]])),Table35[],2,FALSE),0)</f>
        <v>0</v>
      </c>
      <c r="BI790" s="197">
        <f ca="1">IF(PlayerGameData[[#This Row],[Visible]]=1,1,1000)</f>
        <v>1000</v>
      </c>
      <c r="BJ790" s="197" t="e">
        <f ca="1">_xlfn.MAXIFS(TeamGameData[Win],TeamGameData[School, Opponent,Game'#],PlayerGameData[[#This Row],[School, Opponent,Game'#]])</f>
        <v>#NAME?</v>
      </c>
      <c r="BK790" s="197" t="e">
        <f ca="1">_xlfn.MAXIFS(TeamGameData[Loss],TeamGameData[School, Opponent,Game'#],PlayerGameData[[#This Row],[School, Opponent,Game'#]])</f>
        <v>#NAME?</v>
      </c>
    </row>
    <row r="791" spans="1:63" x14ac:dyDescent="0.25">
      <c r="A791" s="8" t="str">
        <f t="shared" ca="1" si="393"/>
        <v xml:space="preserve">, </v>
      </c>
      <c r="B791" s="8" t="str">
        <f>Roster!$B$1</f>
        <v>Upton</v>
      </c>
      <c r="C791" s="8">
        <f t="shared" ca="1" si="381"/>
        <v>0</v>
      </c>
      <c r="D791" s="10">
        <f t="shared" ca="1" si="382"/>
        <v>0</v>
      </c>
      <c r="E791" s="8">
        <f t="shared" ca="1" si="383"/>
        <v>0</v>
      </c>
      <c r="F791" s="8">
        <f t="shared" ca="1" si="384"/>
        <v>0</v>
      </c>
      <c r="G791" s="8">
        <f t="shared" ca="1" si="385"/>
        <v>0</v>
      </c>
      <c r="H791" s="8">
        <f t="shared" ca="1" si="386"/>
        <v>0</v>
      </c>
      <c r="I791" s="8">
        <f t="shared" ca="1" si="387"/>
        <v>0</v>
      </c>
      <c r="J791" s="8">
        <f t="shared" ca="1" si="388"/>
        <v>0</v>
      </c>
      <c r="K791" s="8">
        <f t="shared" ca="1" si="389"/>
        <v>0</v>
      </c>
      <c r="L791" s="8">
        <f t="shared" ca="1" si="394"/>
        <v>0</v>
      </c>
      <c r="M791" s="8">
        <f t="shared" ca="1" si="395"/>
        <v>0</v>
      </c>
      <c r="N791" s="8">
        <f t="shared" ca="1" si="396"/>
        <v>0</v>
      </c>
      <c r="O791" s="8">
        <f t="shared" ca="1" si="397"/>
        <v>0</v>
      </c>
      <c r="P791" s="8">
        <f t="shared" ca="1" si="398"/>
        <v>0</v>
      </c>
      <c r="Q791" s="8">
        <f t="shared" ca="1" si="399"/>
        <v>0</v>
      </c>
      <c r="R791" s="8">
        <f t="shared" ca="1" si="400"/>
        <v>0</v>
      </c>
      <c r="S791" s="8">
        <f t="shared" ca="1" si="401"/>
        <v>0</v>
      </c>
      <c r="T791" s="8">
        <f t="shared" ca="1" si="402"/>
        <v>0</v>
      </c>
      <c r="U791" s="8">
        <f t="shared" ca="1" si="403"/>
        <v>0</v>
      </c>
      <c r="V791" s="8">
        <f t="shared" ca="1" si="404"/>
        <v>0</v>
      </c>
      <c r="W791" s="11" t="str">
        <f t="shared" ca="1" si="405"/>
        <v/>
      </c>
      <c r="X791" s="11" t="str">
        <f t="shared" ca="1" si="406"/>
        <v/>
      </c>
      <c r="Y791" s="11" t="str">
        <f t="shared" ca="1" si="407"/>
        <v/>
      </c>
      <c r="Z791" s="11" t="str">
        <f t="shared" ca="1" si="408"/>
        <v/>
      </c>
      <c r="AA791" s="11" t="str">
        <f t="shared" ca="1" si="409"/>
        <v/>
      </c>
      <c r="AB791" s="47">
        <f ca="1">PlayerGameData[[#This Row],[3FGA]]+PlayerGameData[[#This Row],[2FGA]]</f>
        <v>0</v>
      </c>
      <c r="AC791" s="47">
        <f ca="1">PlayerGameData[[#This Row],[OFF REB]]+PlayerGameData[[#This Row],[DEF REB]]</f>
        <v>0</v>
      </c>
      <c r="AD791" s="8">
        <f t="shared" si="390"/>
        <v>33</v>
      </c>
      <c r="AE791" s="8" t="str">
        <f t="shared" ca="1" si="391"/>
        <v>,  - 0 1/0/1900</v>
      </c>
      <c r="AF791" s="8" t="str">
        <f t="shared" ca="1" si="410"/>
        <v/>
      </c>
      <c r="AG791" s="8" t="str">
        <f ca="1">IFERROR(IF(C791=0,"",IF(AND(VLOOKUP(PlayerGameData[[#This Row],[Opponent]],WYTeamInfo,2,FALSE)=Roster!$D$1,VLOOKUP(PlayerGameData[[#This Row],[Opponent]],WYTeamInfo,3,FALSE)=Roster!$D$2),"SR","")),"")</f>
        <v/>
      </c>
      <c r="AH791" s="8" t="str">
        <f>CONCATENATE(Roster!$D$1," ",Roster!$D$5)</f>
        <v>1A BB</v>
      </c>
      <c r="AI791" s="8" t="str">
        <f t="shared" ca="1" si="392"/>
        <v>Blank</v>
      </c>
      <c r="AJ791" s="8">
        <f ca="1">IFERROR(VLOOKUP(PlayerGameData[[#This Row],[School, Opponent,Game'#]],Table3[],2,FALSE),0)</f>
        <v>0</v>
      </c>
      <c r="AK791" s="8">
        <f ca="1">IF(PlayerGameData[[#This Row],[Visible]]=1,1,1000)</f>
        <v>1000</v>
      </c>
      <c r="AL791" s="8">
        <f ca="1">RANK(PlayerGameData[[#This Row],[TL PTS]],PlayerGameData[TL PTS],0)+PlayerGameData[[#This Row],[VisibleOrder]]</f>
        <v>1184</v>
      </c>
      <c r="AM791" s="8">
        <f ca="1">IF(COUNTIF(PlayerGameData[PointOrder],PlayerGameData[[#This Row],[PointOrder]])&gt;1,RANK(PlayerGameData[[#This Row],[FGA]],PlayerGameData[FGA],0)/100,0)+PlayerGameData[[#This Row],[PointOrder]]</f>
        <v>1186.1400000000001</v>
      </c>
      <c r="AN791" s="8">
        <f ca="1">RANK(PlayerGameData[[#This Row],[PointTieBreak]],PlayerGameData[PointTieBreak],1)</f>
        <v>625</v>
      </c>
      <c r="AO791" s="8">
        <f ca="1">RANK(PlayerGameData[[#This Row],[REB]],PlayerGameData[REB],0)+PlayerGameData[[#This Row],[VisibleOrder]]</f>
        <v>1191</v>
      </c>
      <c r="AP791" s="8">
        <f ca="1">IF(COUNTIF(PlayerGameData[REBOrder],PlayerGameData[[#This Row],[REBOrder]])&gt;1,PlayerGameData[[#This Row],[PointRank]]/100+PlayerGameData[[#This Row],[REBOrder]],PlayerGameData[[#This Row],[REBOrder]])</f>
        <v>1197.25</v>
      </c>
      <c r="AQ791" s="8">
        <f ca="1">RANK(PlayerGameData[[#This Row],[REBTieBreak]],PlayerGameData[REBTieBreak],1)</f>
        <v>625</v>
      </c>
      <c r="AR791" s="8">
        <f ca="1">RANK(PlayerGameData[[#This Row],[AST]],PlayerGameData[AST],0)+PlayerGameData[[#This Row],[VisibleOrder]]</f>
        <v>1157</v>
      </c>
      <c r="AS791" s="8">
        <f ca="1">IF(COUNTIF(PlayerGameData[ASTOrder],PlayerGameData[[#This Row],[ASTOrder]])&gt;1,PlayerGameData[[#This Row],[PointRank]]/100+PlayerGameData[[#This Row],[ASTOrder]],PlayerGameData[[#This Row],[ASTOrder]])</f>
        <v>1163.25</v>
      </c>
      <c r="AT791" s="8">
        <f ca="1">RANK(PlayerGameData[[#This Row],[ASTTieBreak]],PlayerGameData[ASTTieBreak],1)</f>
        <v>625</v>
      </c>
      <c r="AU791" s="8">
        <f ca="1">RANK(PlayerGameData[[#This Row],[STL]],PlayerGameData[STL],0)+PlayerGameData[[#This Row],[VisibleOrder]]</f>
        <v>1142</v>
      </c>
      <c r="AV791" s="8">
        <f ca="1">IF(COUNTIF(PlayerGameData[STLOrder],PlayerGameData[[#This Row],[STLOrder]])&gt;1,PlayerGameData[[#This Row],[PointRank]]/100+PlayerGameData[[#This Row],[STLOrder]],PlayerGameData[[#This Row],[STLOrder]])</f>
        <v>1148.25</v>
      </c>
      <c r="AW791" s="8">
        <f ca="1">RANK(PlayerGameData[[#This Row],[STLTieBreak]],PlayerGameData[STLTieBreak],1)</f>
        <v>625</v>
      </c>
      <c r="AX791" s="8">
        <f ca="1">RANK(PlayerGameData[[#This Row],[BLK]],PlayerGameData[BLK],0)+PlayerGameData[[#This Row],[VisibleOrder]]</f>
        <v>1031</v>
      </c>
      <c r="AY791" s="8">
        <f ca="1">IF(COUNTIF(PlayerGameData[BLKOrder],PlayerGameData[[#This Row],[BLKOrder]])&gt;1,PlayerGameData[[#This Row],[PointRank]]/100+PlayerGameData[[#This Row],[BLKOrder]],PlayerGameData[[#This Row],[BLKOrder]])</f>
        <v>1037.25</v>
      </c>
      <c r="AZ791" s="8">
        <f ca="1">RANK(PlayerGameData[[#This Row],[BLKTieBreak]],PlayerGameData[BLKTieBreak],1)</f>
        <v>625</v>
      </c>
      <c r="BA791" s="11">
        <f ca="1">IFERROR(IF(PlayerGameData[[#This Row],[FGA]]&gt;$AA$5,PlayerGameData[[#This Row],[FG%*]],PlayerGameData[[#This Row],[FG%*]]*-1),-2)</f>
        <v>-2</v>
      </c>
      <c r="BB791" s="8">
        <f ca="1">RANK(PlayerGameData[[#This Row],[EligFG]],PlayerGameData[EligFG],0)+PlayerGameData[[#This Row],[VisibleOrder]]</f>
        <v>1214</v>
      </c>
      <c r="BC791" s="8">
        <f ca="1">IF(COUNTIF(PlayerGameData[EligFGOrder],PlayerGameData[[#This Row],[EligFGOrder]])&gt;1,PlayerGameData[[#This Row],[PointRank]]/100+PlayerGameData[[#This Row],[EligFGOrder]],PlayerGameData[[#This Row],[EligFGOrder]])</f>
        <v>1220.25</v>
      </c>
      <c r="BD791" s="8">
        <f ca="1">RANK(PlayerGameData[[#This Row],[EligFGTieBreak]],PlayerGameData[EligFGTieBreak],1)</f>
        <v>625</v>
      </c>
      <c r="BE791" s="8" t="str">
        <f>Roster!$D$3</f>
        <v>East</v>
      </c>
      <c r="BF791" s="8" t="str">
        <f>Roster!$D$2</f>
        <v>Northeast</v>
      </c>
      <c r="BG791" s="8" t="str">
        <f>Roster!$D$4</f>
        <v>North</v>
      </c>
      <c r="BH791" s="197">
        <f ca="1">IFERROR(VLOOKUP(CONCATENATE(PlayerGameData[[#This Row],[Opponent]]," ",MONTH(PlayerGameData[[#This Row],[Date]]),"/",DAY(PlayerGameData[[#This Row],[Date]]),"/",YEAR(PlayerGameData[[#This Row],[Date]])),Table35[],2,FALSE),0)</f>
        <v>0</v>
      </c>
      <c r="BI791" s="197">
        <f ca="1">IF(PlayerGameData[[#This Row],[Visible]]=1,1,1000)</f>
        <v>1000</v>
      </c>
      <c r="BJ791" s="197" t="e">
        <f ca="1">_xlfn.MAXIFS(TeamGameData[Win],TeamGameData[School, Opponent,Game'#],PlayerGameData[[#This Row],[School, Opponent,Game'#]])</f>
        <v>#NAME?</v>
      </c>
      <c r="BK791" s="197" t="e">
        <f ca="1">_xlfn.MAXIFS(TeamGameData[Loss],TeamGameData[School, Opponent,Game'#],PlayerGameData[[#This Row],[School, Opponent,Game'#]])</f>
        <v>#NAME?</v>
      </c>
    </row>
    <row r="792" spans="1:63" x14ac:dyDescent="0.25">
      <c r="A792" s="8" t="str">
        <f t="shared" ca="1" si="393"/>
        <v xml:space="preserve">, </v>
      </c>
      <c r="B792" s="8" t="str">
        <f>Roster!$B$1</f>
        <v>Upton</v>
      </c>
      <c r="C792" s="8">
        <f t="shared" ca="1" si="381"/>
        <v>0</v>
      </c>
      <c r="D792" s="10">
        <f t="shared" ca="1" si="382"/>
        <v>0</v>
      </c>
      <c r="E792" s="8">
        <f t="shared" ca="1" si="383"/>
        <v>0</v>
      </c>
      <c r="F792" s="8">
        <f t="shared" ca="1" si="384"/>
        <v>0</v>
      </c>
      <c r="G792" s="8">
        <f t="shared" ca="1" si="385"/>
        <v>0</v>
      </c>
      <c r="H792" s="8">
        <f t="shared" ca="1" si="386"/>
        <v>0</v>
      </c>
      <c r="I792" s="8">
        <f t="shared" ca="1" si="387"/>
        <v>0</v>
      </c>
      <c r="J792" s="8">
        <f t="shared" ca="1" si="388"/>
        <v>0</v>
      </c>
      <c r="K792" s="8">
        <f t="shared" ca="1" si="389"/>
        <v>0</v>
      </c>
      <c r="L792" s="8">
        <f t="shared" ca="1" si="394"/>
        <v>0</v>
      </c>
      <c r="M792" s="8">
        <f t="shared" ca="1" si="395"/>
        <v>0</v>
      </c>
      <c r="N792" s="8">
        <f t="shared" ca="1" si="396"/>
        <v>0</v>
      </c>
      <c r="O792" s="8">
        <f t="shared" ca="1" si="397"/>
        <v>0</v>
      </c>
      <c r="P792" s="8">
        <f t="shared" ca="1" si="398"/>
        <v>0</v>
      </c>
      <c r="Q792" s="8">
        <f t="shared" ca="1" si="399"/>
        <v>0</v>
      </c>
      <c r="R792" s="8">
        <f t="shared" ca="1" si="400"/>
        <v>0</v>
      </c>
      <c r="S792" s="8">
        <f t="shared" ca="1" si="401"/>
        <v>0</v>
      </c>
      <c r="T792" s="8">
        <f t="shared" ca="1" si="402"/>
        <v>0</v>
      </c>
      <c r="U792" s="8">
        <f t="shared" ca="1" si="403"/>
        <v>0</v>
      </c>
      <c r="V792" s="8">
        <f t="shared" ca="1" si="404"/>
        <v>0</v>
      </c>
      <c r="W792" s="11" t="str">
        <f t="shared" ca="1" si="405"/>
        <v/>
      </c>
      <c r="X792" s="11" t="str">
        <f t="shared" ca="1" si="406"/>
        <v/>
      </c>
      <c r="Y792" s="11" t="str">
        <f t="shared" ca="1" si="407"/>
        <v/>
      </c>
      <c r="Z792" s="11" t="str">
        <f t="shared" ca="1" si="408"/>
        <v/>
      </c>
      <c r="AA792" s="11" t="str">
        <f t="shared" ca="1" si="409"/>
        <v/>
      </c>
      <c r="AB792" s="47">
        <f ca="1">PlayerGameData[[#This Row],[3FGA]]+PlayerGameData[[#This Row],[2FGA]]</f>
        <v>0</v>
      </c>
      <c r="AC792" s="47">
        <f ca="1">PlayerGameData[[#This Row],[OFF REB]]+PlayerGameData[[#This Row],[DEF REB]]</f>
        <v>0</v>
      </c>
      <c r="AD792" s="8">
        <f t="shared" si="390"/>
        <v>33</v>
      </c>
      <c r="AE792" s="8" t="str">
        <f t="shared" ca="1" si="391"/>
        <v>,  - 0 1/0/1900</v>
      </c>
      <c r="AF792" s="8" t="str">
        <f t="shared" ca="1" si="410"/>
        <v/>
      </c>
      <c r="AG792" s="8" t="str">
        <f ca="1">IFERROR(IF(C792=0,"",IF(AND(VLOOKUP(PlayerGameData[[#This Row],[Opponent]],WYTeamInfo,2,FALSE)=Roster!$D$1,VLOOKUP(PlayerGameData[[#This Row],[Opponent]],WYTeamInfo,3,FALSE)=Roster!$D$2),"SR","")),"")</f>
        <v/>
      </c>
      <c r="AH792" s="8" t="str">
        <f>CONCATENATE(Roster!$D$1," ",Roster!$D$5)</f>
        <v>1A BB</v>
      </c>
      <c r="AI792" s="8" t="str">
        <f t="shared" ca="1" si="392"/>
        <v>Blank</v>
      </c>
      <c r="AJ792" s="8">
        <f ca="1">IFERROR(VLOOKUP(PlayerGameData[[#This Row],[School, Opponent,Game'#]],Table3[],2,FALSE),0)</f>
        <v>0</v>
      </c>
      <c r="AK792" s="8">
        <f ca="1">IF(PlayerGameData[[#This Row],[Visible]]=1,1,1000)</f>
        <v>1000</v>
      </c>
      <c r="AL792" s="8">
        <f ca="1">RANK(PlayerGameData[[#This Row],[TL PTS]],PlayerGameData[TL PTS],0)+PlayerGameData[[#This Row],[VisibleOrder]]</f>
        <v>1184</v>
      </c>
      <c r="AM792" s="8">
        <f ca="1">IF(COUNTIF(PlayerGameData[PointOrder],PlayerGameData[[#This Row],[PointOrder]])&gt;1,RANK(PlayerGameData[[#This Row],[FGA]],PlayerGameData[FGA],0)/100,0)+PlayerGameData[[#This Row],[PointOrder]]</f>
        <v>1186.1400000000001</v>
      </c>
      <c r="AN792" s="8">
        <f ca="1">RANK(PlayerGameData[[#This Row],[PointTieBreak]],PlayerGameData[PointTieBreak],1)</f>
        <v>625</v>
      </c>
      <c r="AO792" s="8">
        <f ca="1">RANK(PlayerGameData[[#This Row],[REB]],PlayerGameData[REB],0)+PlayerGameData[[#This Row],[VisibleOrder]]</f>
        <v>1191</v>
      </c>
      <c r="AP792" s="8">
        <f ca="1">IF(COUNTIF(PlayerGameData[REBOrder],PlayerGameData[[#This Row],[REBOrder]])&gt;1,PlayerGameData[[#This Row],[PointRank]]/100+PlayerGameData[[#This Row],[REBOrder]],PlayerGameData[[#This Row],[REBOrder]])</f>
        <v>1197.25</v>
      </c>
      <c r="AQ792" s="8">
        <f ca="1">RANK(PlayerGameData[[#This Row],[REBTieBreak]],PlayerGameData[REBTieBreak],1)</f>
        <v>625</v>
      </c>
      <c r="AR792" s="8">
        <f ca="1">RANK(PlayerGameData[[#This Row],[AST]],PlayerGameData[AST],0)+PlayerGameData[[#This Row],[VisibleOrder]]</f>
        <v>1157</v>
      </c>
      <c r="AS792" s="8">
        <f ca="1">IF(COUNTIF(PlayerGameData[ASTOrder],PlayerGameData[[#This Row],[ASTOrder]])&gt;1,PlayerGameData[[#This Row],[PointRank]]/100+PlayerGameData[[#This Row],[ASTOrder]],PlayerGameData[[#This Row],[ASTOrder]])</f>
        <v>1163.25</v>
      </c>
      <c r="AT792" s="8">
        <f ca="1">RANK(PlayerGameData[[#This Row],[ASTTieBreak]],PlayerGameData[ASTTieBreak],1)</f>
        <v>625</v>
      </c>
      <c r="AU792" s="8">
        <f ca="1">RANK(PlayerGameData[[#This Row],[STL]],PlayerGameData[STL],0)+PlayerGameData[[#This Row],[VisibleOrder]]</f>
        <v>1142</v>
      </c>
      <c r="AV792" s="8">
        <f ca="1">IF(COUNTIF(PlayerGameData[STLOrder],PlayerGameData[[#This Row],[STLOrder]])&gt;1,PlayerGameData[[#This Row],[PointRank]]/100+PlayerGameData[[#This Row],[STLOrder]],PlayerGameData[[#This Row],[STLOrder]])</f>
        <v>1148.25</v>
      </c>
      <c r="AW792" s="8">
        <f ca="1">RANK(PlayerGameData[[#This Row],[STLTieBreak]],PlayerGameData[STLTieBreak],1)</f>
        <v>625</v>
      </c>
      <c r="AX792" s="8">
        <f ca="1">RANK(PlayerGameData[[#This Row],[BLK]],PlayerGameData[BLK],0)+PlayerGameData[[#This Row],[VisibleOrder]]</f>
        <v>1031</v>
      </c>
      <c r="AY792" s="8">
        <f ca="1">IF(COUNTIF(PlayerGameData[BLKOrder],PlayerGameData[[#This Row],[BLKOrder]])&gt;1,PlayerGameData[[#This Row],[PointRank]]/100+PlayerGameData[[#This Row],[BLKOrder]],PlayerGameData[[#This Row],[BLKOrder]])</f>
        <v>1037.25</v>
      </c>
      <c r="AZ792" s="8">
        <f ca="1">RANK(PlayerGameData[[#This Row],[BLKTieBreak]],PlayerGameData[BLKTieBreak],1)</f>
        <v>625</v>
      </c>
      <c r="BA792" s="11">
        <f ca="1">IFERROR(IF(PlayerGameData[[#This Row],[FGA]]&gt;$AA$5,PlayerGameData[[#This Row],[FG%*]],PlayerGameData[[#This Row],[FG%*]]*-1),-2)</f>
        <v>-2</v>
      </c>
      <c r="BB792" s="8">
        <f ca="1">RANK(PlayerGameData[[#This Row],[EligFG]],PlayerGameData[EligFG],0)+PlayerGameData[[#This Row],[VisibleOrder]]</f>
        <v>1214</v>
      </c>
      <c r="BC792" s="8">
        <f ca="1">IF(COUNTIF(PlayerGameData[EligFGOrder],PlayerGameData[[#This Row],[EligFGOrder]])&gt;1,PlayerGameData[[#This Row],[PointRank]]/100+PlayerGameData[[#This Row],[EligFGOrder]],PlayerGameData[[#This Row],[EligFGOrder]])</f>
        <v>1220.25</v>
      </c>
      <c r="BD792" s="8">
        <f ca="1">RANK(PlayerGameData[[#This Row],[EligFGTieBreak]],PlayerGameData[EligFGTieBreak],1)</f>
        <v>625</v>
      </c>
      <c r="BE792" s="8" t="str">
        <f>Roster!$D$3</f>
        <v>East</v>
      </c>
      <c r="BF792" s="8" t="str">
        <f>Roster!$D$2</f>
        <v>Northeast</v>
      </c>
      <c r="BG792" s="8" t="str">
        <f>Roster!$D$4</f>
        <v>North</v>
      </c>
      <c r="BH792" s="197">
        <f ca="1">IFERROR(VLOOKUP(CONCATENATE(PlayerGameData[[#This Row],[Opponent]]," ",MONTH(PlayerGameData[[#This Row],[Date]]),"/",DAY(PlayerGameData[[#This Row],[Date]]),"/",YEAR(PlayerGameData[[#This Row],[Date]])),Table35[],2,FALSE),0)</f>
        <v>0</v>
      </c>
      <c r="BI792" s="197">
        <f ca="1">IF(PlayerGameData[[#This Row],[Visible]]=1,1,1000)</f>
        <v>1000</v>
      </c>
      <c r="BJ792" s="197" t="e">
        <f ca="1">_xlfn.MAXIFS(TeamGameData[Win],TeamGameData[School, Opponent,Game'#],PlayerGameData[[#This Row],[School, Opponent,Game'#]])</f>
        <v>#NAME?</v>
      </c>
      <c r="BK792" s="197" t="e">
        <f ca="1">_xlfn.MAXIFS(TeamGameData[Loss],TeamGameData[School, Opponent,Game'#],PlayerGameData[[#This Row],[School, Opponent,Game'#]])</f>
        <v>#NAME?</v>
      </c>
    </row>
    <row r="793" spans="1:63" x14ac:dyDescent="0.25">
      <c r="A793" s="8" t="str">
        <f t="shared" ca="1" si="393"/>
        <v xml:space="preserve">, </v>
      </c>
      <c r="B793" s="8" t="str">
        <f>Roster!$B$1</f>
        <v>Upton</v>
      </c>
      <c r="C793" s="8">
        <f t="shared" ca="1" si="381"/>
        <v>0</v>
      </c>
      <c r="D793" s="10">
        <f t="shared" ca="1" si="382"/>
        <v>0</v>
      </c>
      <c r="E793" s="8">
        <f t="shared" ca="1" si="383"/>
        <v>0</v>
      </c>
      <c r="F793" s="8">
        <f t="shared" ca="1" si="384"/>
        <v>0</v>
      </c>
      <c r="G793" s="8">
        <f t="shared" ca="1" si="385"/>
        <v>0</v>
      </c>
      <c r="H793" s="8">
        <f t="shared" ca="1" si="386"/>
        <v>0</v>
      </c>
      <c r="I793" s="8">
        <f t="shared" ca="1" si="387"/>
        <v>0</v>
      </c>
      <c r="J793" s="8">
        <f t="shared" ca="1" si="388"/>
        <v>0</v>
      </c>
      <c r="K793" s="8">
        <f t="shared" ca="1" si="389"/>
        <v>0</v>
      </c>
      <c r="L793" s="8">
        <f t="shared" ca="1" si="394"/>
        <v>0</v>
      </c>
      <c r="M793" s="8">
        <f t="shared" ca="1" si="395"/>
        <v>0</v>
      </c>
      <c r="N793" s="8">
        <f t="shared" ca="1" si="396"/>
        <v>0</v>
      </c>
      <c r="O793" s="8">
        <f t="shared" ca="1" si="397"/>
        <v>0</v>
      </c>
      <c r="P793" s="8">
        <f t="shared" ca="1" si="398"/>
        <v>0</v>
      </c>
      <c r="Q793" s="8">
        <f t="shared" ca="1" si="399"/>
        <v>0</v>
      </c>
      <c r="R793" s="8">
        <f t="shared" ca="1" si="400"/>
        <v>0</v>
      </c>
      <c r="S793" s="8">
        <f t="shared" ca="1" si="401"/>
        <v>0</v>
      </c>
      <c r="T793" s="8">
        <f t="shared" ca="1" si="402"/>
        <v>0</v>
      </c>
      <c r="U793" s="8">
        <f t="shared" ca="1" si="403"/>
        <v>0</v>
      </c>
      <c r="V793" s="8">
        <f t="shared" ca="1" si="404"/>
        <v>0</v>
      </c>
      <c r="W793" s="11" t="str">
        <f t="shared" ca="1" si="405"/>
        <v/>
      </c>
      <c r="X793" s="11" t="str">
        <f t="shared" ca="1" si="406"/>
        <v/>
      </c>
      <c r="Y793" s="11" t="str">
        <f t="shared" ca="1" si="407"/>
        <v/>
      </c>
      <c r="Z793" s="11" t="str">
        <f t="shared" ca="1" si="408"/>
        <v/>
      </c>
      <c r="AA793" s="11" t="str">
        <f t="shared" ca="1" si="409"/>
        <v/>
      </c>
      <c r="AB793" s="47">
        <f ca="1">PlayerGameData[[#This Row],[3FGA]]+PlayerGameData[[#This Row],[2FGA]]</f>
        <v>0</v>
      </c>
      <c r="AC793" s="47">
        <f ca="1">PlayerGameData[[#This Row],[OFF REB]]+PlayerGameData[[#This Row],[DEF REB]]</f>
        <v>0</v>
      </c>
      <c r="AD793" s="8">
        <f t="shared" si="390"/>
        <v>33</v>
      </c>
      <c r="AE793" s="8" t="str">
        <f t="shared" ca="1" si="391"/>
        <v>,  - 0 1/0/1900</v>
      </c>
      <c r="AF793" s="8" t="str">
        <f t="shared" ca="1" si="410"/>
        <v/>
      </c>
      <c r="AG793" s="8" t="str">
        <f ca="1">IFERROR(IF(C793=0,"",IF(AND(VLOOKUP(PlayerGameData[[#This Row],[Opponent]],WYTeamInfo,2,FALSE)=Roster!$D$1,VLOOKUP(PlayerGameData[[#This Row],[Opponent]],WYTeamInfo,3,FALSE)=Roster!$D$2),"SR","")),"")</f>
        <v/>
      </c>
      <c r="AH793" s="8" t="str">
        <f>CONCATENATE(Roster!$D$1," ",Roster!$D$5)</f>
        <v>1A BB</v>
      </c>
      <c r="AI793" s="8" t="str">
        <f t="shared" ca="1" si="392"/>
        <v>Blank</v>
      </c>
      <c r="AJ793" s="8">
        <f ca="1">IFERROR(VLOOKUP(PlayerGameData[[#This Row],[School, Opponent,Game'#]],Table3[],2,FALSE),0)</f>
        <v>0</v>
      </c>
      <c r="AK793" s="8">
        <f ca="1">IF(PlayerGameData[[#This Row],[Visible]]=1,1,1000)</f>
        <v>1000</v>
      </c>
      <c r="AL793" s="8">
        <f ca="1">RANK(PlayerGameData[[#This Row],[TL PTS]],PlayerGameData[TL PTS],0)+PlayerGameData[[#This Row],[VisibleOrder]]</f>
        <v>1184</v>
      </c>
      <c r="AM793" s="8">
        <f ca="1">IF(COUNTIF(PlayerGameData[PointOrder],PlayerGameData[[#This Row],[PointOrder]])&gt;1,RANK(PlayerGameData[[#This Row],[FGA]],PlayerGameData[FGA],0)/100,0)+PlayerGameData[[#This Row],[PointOrder]]</f>
        <v>1186.1400000000001</v>
      </c>
      <c r="AN793" s="8">
        <f ca="1">RANK(PlayerGameData[[#This Row],[PointTieBreak]],PlayerGameData[PointTieBreak],1)</f>
        <v>625</v>
      </c>
      <c r="AO793" s="8">
        <f ca="1">RANK(PlayerGameData[[#This Row],[REB]],PlayerGameData[REB],0)+PlayerGameData[[#This Row],[VisibleOrder]]</f>
        <v>1191</v>
      </c>
      <c r="AP793" s="8">
        <f ca="1">IF(COUNTIF(PlayerGameData[REBOrder],PlayerGameData[[#This Row],[REBOrder]])&gt;1,PlayerGameData[[#This Row],[PointRank]]/100+PlayerGameData[[#This Row],[REBOrder]],PlayerGameData[[#This Row],[REBOrder]])</f>
        <v>1197.25</v>
      </c>
      <c r="AQ793" s="8">
        <f ca="1">RANK(PlayerGameData[[#This Row],[REBTieBreak]],PlayerGameData[REBTieBreak],1)</f>
        <v>625</v>
      </c>
      <c r="AR793" s="8">
        <f ca="1">RANK(PlayerGameData[[#This Row],[AST]],PlayerGameData[AST],0)+PlayerGameData[[#This Row],[VisibleOrder]]</f>
        <v>1157</v>
      </c>
      <c r="AS793" s="8">
        <f ca="1">IF(COUNTIF(PlayerGameData[ASTOrder],PlayerGameData[[#This Row],[ASTOrder]])&gt;1,PlayerGameData[[#This Row],[PointRank]]/100+PlayerGameData[[#This Row],[ASTOrder]],PlayerGameData[[#This Row],[ASTOrder]])</f>
        <v>1163.25</v>
      </c>
      <c r="AT793" s="8">
        <f ca="1">RANK(PlayerGameData[[#This Row],[ASTTieBreak]],PlayerGameData[ASTTieBreak],1)</f>
        <v>625</v>
      </c>
      <c r="AU793" s="8">
        <f ca="1">RANK(PlayerGameData[[#This Row],[STL]],PlayerGameData[STL],0)+PlayerGameData[[#This Row],[VisibleOrder]]</f>
        <v>1142</v>
      </c>
      <c r="AV793" s="8">
        <f ca="1">IF(COUNTIF(PlayerGameData[STLOrder],PlayerGameData[[#This Row],[STLOrder]])&gt;1,PlayerGameData[[#This Row],[PointRank]]/100+PlayerGameData[[#This Row],[STLOrder]],PlayerGameData[[#This Row],[STLOrder]])</f>
        <v>1148.25</v>
      </c>
      <c r="AW793" s="8">
        <f ca="1">RANK(PlayerGameData[[#This Row],[STLTieBreak]],PlayerGameData[STLTieBreak],1)</f>
        <v>625</v>
      </c>
      <c r="AX793" s="8">
        <f ca="1">RANK(PlayerGameData[[#This Row],[BLK]],PlayerGameData[BLK],0)+PlayerGameData[[#This Row],[VisibleOrder]]</f>
        <v>1031</v>
      </c>
      <c r="AY793" s="8">
        <f ca="1">IF(COUNTIF(PlayerGameData[BLKOrder],PlayerGameData[[#This Row],[BLKOrder]])&gt;1,PlayerGameData[[#This Row],[PointRank]]/100+PlayerGameData[[#This Row],[BLKOrder]],PlayerGameData[[#This Row],[BLKOrder]])</f>
        <v>1037.25</v>
      </c>
      <c r="AZ793" s="8">
        <f ca="1">RANK(PlayerGameData[[#This Row],[BLKTieBreak]],PlayerGameData[BLKTieBreak],1)</f>
        <v>625</v>
      </c>
      <c r="BA793" s="11">
        <f ca="1">IFERROR(IF(PlayerGameData[[#This Row],[FGA]]&gt;$AA$5,PlayerGameData[[#This Row],[FG%*]],PlayerGameData[[#This Row],[FG%*]]*-1),-2)</f>
        <v>-2</v>
      </c>
      <c r="BB793" s="8">
        <f ca="1">RANK(PlayerGameData[[#This Row],[EligFG]],PlayerGameData[EligFG],0)+PlayerGameData[[#This Row],[VisibleOrder]]</f>
        <v>1214</v>
      </c>
      <c r="BC793" s="8">
        <f ca="1">IF(COUNTIF(PlayerGameData[EligFGOrder],PlayerGameData[[#This Row],[EligFGOrder]])&gt;1,PlayerGameData[[#This Row],[PointRank]]/100+PlayerGameData[[#This Row],[EligFGOrder]],PlayerGameData[[#This Row],[EligFGOrder]])</f>
        <v>1220.25</v>
      </c>
      <c r="BD793" s="8">
        <f ca="1">RANK(PlayerGameData[[#This Row],[EligFGTieBreak]],PlayerGameData[EligFGTieBreak],1)</f>
        <v>625</v>
      </c>
      <c r="BE793" s="8" t="str">
        <f>Roster!$D$3</f>
        <v>East</v>
      </c>
      <c r="BF793" s="8" t="str">
        <f>Roster!$D$2</f>
        <v>Northeast</v>
      </c>
      <c r="BG793" s="8" t="str">
        <f>Roster!$D$4</f>
        <v>North</v>
      </c>
      <c r="BH793" s="197">
        <f ca="1">IFERROR(VLOOKUP(CONCATENATE(PlayerGameData[[#This Row],[Opponent]]," ",MONTH(PlayerGameData[[#This Row],[Date]]),"/",DAY(PlayerGameData[[#This Row],[Date]]),"/",YEAR(PlayerGameData[[#This Row],[Date]])),Table35[],2,FALSE),0)</f>
        <v>0</v>
      </c>
      <c r="BI793" s="197">
        <f ca="1">IF(PlayerGameData[[#This Row],[Visible]]=1,1,1000)</f>
        <v>1000</v>
      </c>
      <c r="BJ793" s="197" t="e">
        <f ca="1">_xlfn.MAXIFS(TeamGameData[Win],TeamGameData[School, Opponent,Game'#],PlayerGameData[[#This Row],[School, Opponent,Game'#]])</f>
        <v>#NAME?</v>
      </c>
      <c r="BK793" s="197" t="e">
        <f ca="1">_xlfn.MAXIFS(TeamGameData[Loss],TeamGameData[School, Opponent,Game'#],PlayerGameData[[#This Row],[School, Opponent,Game'#]])</f>
        <v>#NAME?</v>
      </c>
    </row>
    <row r="794" spans="1:63" x14ac:dyDescent="0.25">
      <c r="A794" s="8" t="str">
        <f t="shared" ca="1" si="393"/>
        <v xml:space="preserve">, </v>
      </c>
      <c r="B794" s="8" t="str">
        <f>Roster!$B$1</f>
        <v>Upton</v>
      </c>
      <c r="C794" s="8">
        <f t="shared" ca="1" si="381"/>
        <v>0</v>
      </c>
      <c r="D794" s="10">
        <f t="shared" ca="1" si="382"/>
        <v>0</v>
      </c>
      <c r="E794" s="8">
        <f t="shared" ca="1" si="383"/>
        <v>0</v>
      </c>
      <c r="F794" s="8">
        <f t="shared" ca="1" si="384"/>
        <v>0</v>
      </c>
      <c r="G794" s="8">
        <f t="shared" ca="1" si="385"/>
        <v>0</v>
      </c>
      <c r="H794" s="8">
        <f t="shared" ca="1" si="386"/>
        <v>0</v>
      </c>
      <c r="I794" s="8">
        <f t="shared" ca="1" si="387"/>
        <v>0</v>
      </c>
      <c r="J794" s="8">
        <f t="shared" ca="1" si="388"/>
        <v>0</v>
      </c>
      <c r="K794" s="8">
        <f t="shared" ca="1" si="389"/>
        <v>0</v>
      </c>
      <c r="L794" s="8">
        <f t="shared" ca="1" si="394"/>
        <v>0</v>
      </c>
      <c r="M794" s="8">
        <f t="shared" ca="1" si="395"/>
        <v>0</v>
      </c>
      <c r="N794" s="8">
        <f t="shared" ca="1" si="396"/>
        <v>0</v>
      </c>
      <c r="O794" s="8">
        <f t="shared" ca="1" si="397"/>
        <v>0</v>
      </c>
      <c r="P794" s="8">
        <f t="shared" ca="1" si="398"/>
        <v>0</v>
      </c>
      <c r="Q794" s="8">
        <f t="shared" ca="1" si="399"/>
        <v>0</v>
      </c>
      <c r="R794" s="8">
        <f t="shared" ca="1" si="400"/>
        <v>0</v>
      </c>
      <c r="S794" s="8">
        <f t="shared" ca="1" si="401"/>
        <v>0</v>
      </c>
      <c r="T794" s="8">
        <f t="shared" ca="1" si="402"/>
        <v>0</v>
      </c>
      <c r="U794" s="8">
        <f t="shared" ca="1" si="403"/>
        <v>0</v>
      </c>
      <c r="V794" s="8">
        <f t="shared" ca="1" si="404"/>
        <v>0</v>
      </c>
      <c r="W794" s="11" t="str">
        <f t="shared" ca="1" si="405"/>
        <v/>
      </c>
      <c r="X794" s="11" t="str">
        <f t="shared" ca="1" si="406"/>
        <v/>
      </c>
      <c r="Y794" s="11" t="str">
        <f t="shared" ca="1" si="407"/>
        <v/>
      </c>
      <c r="Z794" s="11" t="str">
        <f t="shared" ca="1" si="408"/>
        <v/>
      </c>
      <c r="AA794" s="11" t="str">
        <f t="shared" ca="1" si="409"/>
        <v/>
      </c>
      <c r="AB794" s="47">
        <f ca="1">PlayerGameData[[#This Row],[3FGA]]+PlayerGameData[[#This Row],[2FGA]]</f>
        <v>0</v>
      </c>
      <c r="AC794" s="47">
        <f ca="1">PlayerGameData[[#This Row],[OFF REB]]+PlayerGameData[[#This Row],[DEF REB]]</f>
        <v>0</v>
      </c>
      <c r="AD794" s="8">
        <f t="shared" si="390"/>
        <v>33</v>
      </c>
      <c r="AE794" s="8" t="str">
        <f t="shared" ca="1" si="391"/>
        <v>,  - 0 1/0/1900</v>
      </c>
      <c r="AF794" s="8" t="str">
        <f t="shared" ca="1" si="410"/>
        <v/>
      </c>
      <c r="AG794" s="8" t="str">
        <f ca="1">IFERROR(IF(C794=0,"",IF(AND(VLOOKUP(PlayerGameData[[#This Row],[Opponent]],WYTeamInfo,2,FALSE)=Roster!$D$1,VLOOKUP(PlayerGameData[[#This Row],[Opponent]],WYTeamInfo,3,FALSE)=Roster!$D$2),"SR","")),"")</f>
        <v/>
      </c>
      <c r="AH794" s="8" t="str">
        <f>CONCATENATE(Roster!$D$1," ",Roster!$D$5)</f>
        <v>1A BB</v>
      </c>
      <c r="AI794" s="8" t="str">
        <f t="shared" ca="1" si="392"/>
        <v>Blank</v>
      </c>
      <c r="AJ794" s="8">
        <f ca="1">IFERROR(VLOOKUP(PlayerGameData[[#This Row],[School, Opponent,Game'#]],Table3[],2,FALSE),0)</f>
        <v>0</v>
      </c>
      <c r="AK794" s="8">
        <f ca="1">IF(PlayerGameData[[#This Row],[Visible]]=1,1,1000)</f>
        <v>1000</v>
      </c>
      <c r="AL794" s="8">
        <f ca="1">RANK(PlayerGameData[[#This Row],[TL PTS]],PlayerGameData[TL PTS],0)+PlayerGameData[[#This Row],[VisibleOrder]]</f>
        <v>1184</v>
      </c>
      <c r="AM794" s="8">
        <f ca="1">IF(COUNTIF(PlayerGameData[PointOrder],PlayerGameData[[#This Row],[PointOrder]])&gt;1,RANK(PlayerGameData[[#This Row],[FGA]],PlayerGameData[FGA],0)/100,0)+PlayerGameData[[#This Row],[PointOrder]]</f>
        <v>1186.1400000000001</v>
      </c>
      <c r="AN794" s="8">
        <f ca="1">RANK(PlayerGameData[[#This Row],[PointTieBreak]],PlayerGameData[PointTieBreak],1)</f>
        <v>625</v>
      </c>
      <c r="AO794" s="8">
        <f ca="1">RANK(PlayerGameData[[#This Row],[REB]],PlayerGameData[REB],0)+PlayerGameData[[#This Row],[VisibleOrder]]</f>
        <v>1191</v>
      </c>
      <c r="AP794" s="8">
        <f ca="1">IF(COUNTIF(PlayerGameData[REBOrder],PlayerGameData[[#This Row],[REBOrder]])&gt;1,PlayerGameData[[#This Row],[PointRank]]/100+PlayerGameData[[#This Row],[REBOrder]],PlayerGameData[[#This Row],[REBOrder]])</f>
        <v>1197.25</v>
      </c>
      <c r="AQ794" s="8">
        <f ca="1">RANK(PlayerGameData[[#This Row],[REBTieBreak]],PlayerGameData[REBTieBreak],1)</f>
        <v>625</v>
      </c>
      <c r="AR794" s="8">
        <f ca="1">RANK(PlayerGameData[[#This Row],[AST]],PlayerGameData[AST],0)+PlayerGameData[[#This Row],[VisibleOrder]]</f>
        <v>1157</v>
      </c>
      <c r="AS794" s="8">
        <f ca="1">IF(COUNTIF(PlayerGameData[ASTOrder],PlayerGameData[[#This Row],[ASTOrder]])&gt;1,PlayerGameData[[#This Row],[PointRank]]/100+PlayerGameData[[#This Row],[ASTOrder]],PlayerGameData[[#This Row],[ASTOrder]])</f>
        <v>1163.25</v>
      </c>
      <c r="AT794" s="8">
        <f ca="1">RANK(PlayerGameData[[#This Row],[ASTTieBreak]],PlayerGameData[ASTTieBreak],1)</f>
        <v>625</v>
      </c>
      <c r="AU794" s="8">
        <f ca="1">RANK(PlayerGameData[[#This Row],[STL]],PlayerGameData[STL],0)+PlayerGameData[[#This Row],[VisibleOrder]]</f>
        <v>1142</v>
      </c>
      <c r="AV794" s="8">
        <f ca="1">IF(COUNTIF(PlayerGameData[STLOrder],PlayerGameData[[#This Row],[STLOrder]])&gt;1,PlayerGameData[[#This Row],[PointRank]]/100+PlayerGameData[[#This Row],[STLOrder]],PlayerGameData[[#This Row],[STLOrder]])</f>
        <v>1148.25</v>
      </c>
      <c r="AW794" s="8">
        <f ca="1">RANK(PlayerGameData[[#This Row],[STLTieBreak]],PlayerGameData[STLTieBreak],1)</f>
        <v>625</v>
      </c>
      <c r="AX794" s="8">
        <f ca="1">RANK(PlayerGameData[[#This Row],[BLK]],PlayerGameData[BLK],0)+PlayerGameData[[#This Row],[VisibleOrder]]</f>
        <v>1031</v>
      </c>
      <c r="AY794" s="8">
        <f ca="1">IF(COUNTIF(PlayerGameData[BLKOrder],PlayerGameData[[#This Row],[BLKOrder]])&gt;1,PlayerGameData[[#This Row],[PointRank]]/100+PlayerGameData[[#This Row],[BLKOrder]],PlayerGameData[[#This Row],[BLKOrder]])</f>
        <v>1037.25</v>
      </c>
      <c r="AZ794" s="8">
        <f ca="1">RANK(PlayerGameData[[#This Row],[BLKTieBreak]],PlayerGameData[BLKTieBreak],1)</f>
        <v>625</v>
      </c>
      <c r="BA794" s="11">
        <f ca="1">IFERROR(IF(PlayerGameData[[#This Row],[FGA]]&gt;$AA$5,PlayerGameData[[#This Row],[FG%*]],PlayerGameData[[#This Row],[FG%*]]*-1),-2)</f>
        <v>-2</v>
      </c>
      <c r="BB794" s="8">
        <f ca="1">RANK(PlayerGameData[[#This Row],[EligFG]],PlayerGameData[EligFG],0)+PlayerGameData[[#This Row],[VisibleOrder]]</f>
        <v>1214</v>
      </c>
      <c r="BC794" s="8">
        <f ca="1">IF(COUNTIF(PlayerGameData[EligFGOrder],PlayerGameData[[#This Row],[EligFGOrder]])&gt;1,PlayerGameData[[#This Row],[PointRank]]/100+PlayerGameData[[#This Row],[EligFGOrder]],PlayerGameData[[#This Row],[EligFGOrder]])</f>
        <v>1220.25</v>
      </c>
      <c r="BD794" s="8">
        <f ca="1">RANK(PlayerGameData[[#This Row],[EligFGTieBreak]],PlayerGameData[EligFGTieBreak],1)</f>
        <v>625</v>
      </c>
      <c r="BE794" s="8" t="str">
        <f>Roster!$D$3</f>
        <v>East</v>
      </c>
      <c r="BF794" s="8" t="str">
        <f>Roster!$D$2</f>
        <v>Northeast</v>
      </c>
      <c r="BG794" s="8" t="str">
        <f>Roster!$D$4</f>
        <v>North</v>
      </c>
      <c r="BH794" s="197">
        <f ca="1">IFERROR(VLOOKUP(CONCATENATE(PlayerGameData[[#This Row],[Opponent]]," ",MONTH(PlayerGameData[[#This Row],[Date]]),"/",DAY(PlayerGameData[[#This Row],[Date]]),"/",YEAR(PlayerGameData[[#This Row],[Date]])),Table35[],2,FALSE),0)</f>
        <v>0</v>
      </c>
      <c r="BI794" s="197">
        <f ca="1">IF(PlayerGameData[[#This Row],[Visible]]=1,1,1000)</f>
        <v>1000</v>
      </c>
      <c r="BJ794" s="197" t="e">
        <f ca="1">_xlfn.MAXIFS(TeamGameData[Win],TeamGameData[School, Opponent,Game'#],PlayerGameData[[#This Row],[School, Opponent,Game'#]])</f>
        <v>#NAME?</v>
      </c>
      <c r="BK794" s="197" t="e">
        <f ca="1">_xlfn.MAXIFS(TeamGameData[Loss],TeamGameData[School, Opponent,Game'#],PlayerGameData[[#This Row],[School, Opponent,Game'#]])</f>
        <v>#NAME?</v>
      </c>
    </row>
    <row r="795" spans="1:63" x14ac:dyDescent="0.25">
      <c r="A795" s="8" t="str">
        <f t="shared" ca="1" si="393"/>
        <v xml:space="preserve">, </v>
      </c>
      <c r="B795" s="8" t="str">
        <f>Roster!$B$1</f>
        <v>Upton</v>
      </c>
      <c r="C795" s="8">
        <f t="shared" ca="1" si="381"/>
        <v>0</v>
      </c>
      <c r="D795" s="10">
        <f t="shared" ca="1" si="382"/>
        <v>0</v>
      </c>
      <c r="E795" s="8">
        <f t="shared" ca="1" si="383"/>
        <v>0</v>
      </c>
      <c r="F795" s="8">
        <f t="shared" ca="1" si="384"/>
        <v>0</v>
      </c>
      <c r="G795" s="8">
        <f t="shared" ca="1" si="385"/>
        <v>0</v>
      </c>
      <c r="H795" s="8">
        <f t="shared" ca="1" si="386"/>
        <v>0</v>
      </c>
      <c r="I795" s="8">
        <f t="shared" ca="1" si="387"/>
        <v>0</v>
      </c>
      <c r="J795" s="8">
        <f t="shared" ca="1" si="388"/>
        <v>0</v>
      </c>
      <c r="K795" s="8">
        <f t="shared" ca="1" si="389"/>
        <v>0</v>
      </c>
      <c r="L795" s="8">
        <f t="shared" ca="1" si="394"/>
        <v>0</v>
      </c>
      <c r="M795" s="8">
        <f t="shared" ca="1" si="395"/>
        <v>0</v>
      </c>
      <c r="N795" s="8">
        <f t="shared" ca="1" si="396"/>
        <v>0</v>
      </c>
      <c r="O795" s="8">
        <f t="shared" ca="1" si="397"/>
        <v>0</v>
      </c>
      <c r="P795" s="8">
        <f t="shared" ca="1" si="398"/>
        <v>0</v>
      </c>
      <c r="Q795" s="8">
        <f t="shared" ca="1" si="399"/>
        <v>0</v>
      </c>
      <c r="R795" s="8">
        <f t="shared" ca="1" si="400"/>
        <v>0</v>
      </c>
      <c r="S795" s="8">
        <f t="shared" ca="1" si="401"/>
        <v>0</v>
      </c>
      <c r="T795" s="8">
        <f t="shared" ca="1" si="402"/>
        <v>0</v>
      </c>
      <c r="U795" s="8">
        <f t="shared" ca="1" si="403"/>
        <v>0</v>
      </c>
      <c r="V795" s="8">
        <f t="shared" ca="1" si="404"/>
        <v>0</v>
      </c>
      <c r="W795" s="11" t="str">
        <f t="shared" ca="1" si="405"/>
        <v/>
      </c>
      <c r="X795" s="11" t="str">
        <f t="shared" ca="1" si="406"/>
        <v/>
      </c>
      <c r="Y795" s="11" t="str">
        <f t="shared" ca="1" si="407"/>
        <v/>
      </c>
      <c r="Z795" s="11" t="str">
        <f t="shared" ca="1" si="408"/>
        <v/>
      </c>
      <c r="AA795" s="11" t="str">
        <f t="shared" ca="1" si="409"/>
        <v/>
      </c>
      <c r="AB795" s="47">
        <f ca="1">PlayerGameData[[#This Row],[3FGA]]+PlayerGameData[[#This Row],[2FGA]]</f>
        <v>0</v>
      </c>
      <c r="AC795" s="47">
        <f ca="1">PlayerGameData[[#This Row],[OFF REB]]+PlayerGameData[[#This Row],[DEF REB]]</f>
        <v>0</v>
      </c>
      <c r="AD795" s="8">
        <f t="shared" si="390"/>
        <v>33</v>
      </c>
      <c r="AE795" s="8" t="str">
        <f t="shared" ca="1" si="391"/>
        <v>,  - 0 1/0/1900</v>
      </c>
      <c r="AF795" s="8" t="str">
        <f t="shared" ca="1" si="410"/>
        <v/>
      </c>
      <c r="AG795" s="8" t="str">
        <f ca="1">IFERROR(IF(C795=0,"",IF(AND(VLOOKUP(PlayerGameData[[#This Row],[Opponent]],WYTeamInfo,2,FALSE)=Roster!$D$1,VLOOKUP(PlayerGameData[[#This Row],[Opponent]],WYTeamInfo,3,FALSE)=Roster!$D$2),"SR","")),"")</f>
        <v/>
      </c>
      <c r="AH795" s="8" t="str">
        <f>CONCATENATE(Roster!$D$1," ",Roster!$D$5)</f>
        <v>1A BB</v>
      </c>
      <c r="AI795" s="8" t="str">
        <f t="shared" ca="1" si="392"/>
        <v>Blank</v>
      </c>
      <c r="AJ795" s="8">
        <f ca="1">IFERROR(VLOOKUP(PlayerGameData[[#This Row],[School, Opponent,Game'#]],Table3[],2,FALSE),0)</f>
        <v>0</v>
      </c>
      <c r="AK795" s="8">
        <f ca="1">IF(PlayerGameData[[#This Row],[Visible]]=1,1,1000)</f>
        <v>1000</v>
      </c>
      <c r="AL795" s="8">
        <f ca="1">RANK(PlayerGameData[[#This Row],[TL PTS]],PlayerGameData[TL PTS],0)+PlayerGameData[[#This Row],[VisibleOrder]]</f>
        <v>1184</v>
      </c>
      <c r="AM795" s="8">
        <f ca="1">IF(COUNTIF(PlayerGameData[PointOrder],PlayerGameData[[#This Row],[PointOrder]])&gt;1,RANK(PlayerGameData[[#This Row],[FGA]],PlayerGameData[FGA],0)/100,0)+PlayerGameData[[#This Row],[PointOrder]]</f>
        <v>1186.1400000000001</v>
      </c>
      <c r="AN795" s="8">
        <f ca="1">RANK(PlayerGameData[[#This Row],[PointTieBreak]],PlayerGameData[PointTieBreak],1)</f>
        <v>625</v>
      </c>
      <c r="AO795" s="8">
        <f ca="1">RANK(PlayerGameData[[#This Row],[REB]],PlayerGameData[REB],0)+PlayerGameData[[#This Row],[VisibleOrder]]</f>
        <v>1191</v>
      </c>
      <c r="AP795" s="8">
        <f ca="1">IF(COUNTIF(PlayerGameData[REBOrder],PlayerGameData[[#This Row],[REBOrder]])&gt;1,PlayerGameData[[#This Row],[PointRank]]/100+PlayerGameData[[#This Row],[REBOrder]],PlayerGameData[[#This Row],[REBOrder]])</f>
        <v>1197.25</v>
      </c>
      <c r="AQ795" s="8">
        <f ca="1">RANK(PlayerGameData[[#This Row],[REBTieBreak]],PlayerGameData[REBTieBreak],1)</f>
        <v>625</v>
      </c>
      <c r="AR795" s="8">
        <f ca="1">RANK(PlayerGameData[[#This Row],[AST]],PlayerGameData[AST],0)+PlayerGameData[[#This Row],[VisibleOrder]]</f>
        <v>1157</v>
      </c>
      <c r="AS795" s="8">
        <f ca="1">IF(COUNTIF(PlayerGameData[ASTOrder],PlayerGameData[[#This Row],[ASTOrder]])&gt;1,PlayerGameData[[#This Row],[PointRank]]/100+PlayerGameData[[#This Row],[ASTOrder]],PlayerGameData[[#This Row],[ASTOrder]])</f>
        <v>1163.25</v>
      </c>
      <c r="AT795" s="8">
        <f ca="1">RANK(PlayerGameData[[#This Row],[ASTTieBreak]],PlayerGameData[ASTTieBreak],1)</f>
        <v>625</v>
      </c>
      <c r="AU795" s="8">
        <f ca="1">RANK(PlayerGameData[[#This Row],[STL]],PlayerGameData[STL],0)+PlayerGameData[[#This Row],[VisibleOrder]]</f>
        <v>1142</v>
      </c>
      <c r="AV795" s="8">
        <f ca="1">IF(COUNTIF(PlayerGameData[STLOrder],PlayerGameData[[#This Row],[STLOrder]])&gt;1,PlayerGameData[[#This Row],[PointRank]]/100+PlayerGameData[[#This Row],[STLOrder]],PlayerGameData[[#This Row],[STLOrder]])</f>
        <v>1148.25</v>
      </c>
      <c r="AW795" s="8">
        <f ca="1">RANK(PlayerGameData[[#This Row],[STLTieBreak]],PlayerGameData[STLTieBreak],1)</f>
        <v>625</v>
      </c>
      <c r="AX795" s="8">
        <f ca="1">RANK(PlayerGameData[[#This Row],[BLK]],PlayerGameData[BLK],0)+PlayerGameData[[#This Row],[VisibleOrder]]</f>
        <v>1031</v>
      </c>
      <c r="AY795" s="8">
        <f ca="1">IF(COUNTIF(PlayerGameData[BLKOrder],PlayerGameData[[#This Row],[BLKOrder]])&gt;1,PlayerGameData[[#This Row],[PointRank]]/100+PlayerGameData[[#This Row],[BLKOrder]],PlayerGameData[[#This Row],[BLKOrder]])</f>
        <v>1037.25</v>
      </c>
      <c r="AZ795" s="8">
        <f ca="1">RANK(PlayerGameData[[#This Row],[BLKTieBreak]],PlayerGameData[BLKTieBreak],1)</f>
        <v>625</v>
      </c>
      <c r="BA795" s="11">
        <f ca="1">IFERROR(IF(PlayerGameData[[#This Row],[FGA]]&gt;$AA$5,PlayerGameData[[#This Row],[FG%*]],PlayerGameData[[#This Row],[FG%*]]*-1),-2)</f>
        <v>-2</v>
      </c>
      <c r="BB795" s="8">
        <f ca="1">RANK(PlayerGameData[[#This Row],[EligFG]],PlayerGameData[EligFG],0)+PlayerGameData[[#This Row],[VisibleOrder]]</f>
        <v>1214</v>
      </c>
      <c r="BC795" s="8">
        <f ca="1">IF(COUNTIF(PlayerGameData[EligFGOrder],PlayerGameData[[#This Row],[EligFGOrder]])&gt;1,PlayerGameData[[#This Row],[PointRank]]/100+PlayerGameData[[#This Row],[EligFGOrder]],PlayerGameData[[#This Row],[EligFGOrder]])</f>
        <v>1220.25</v>
      </c>
      <c r="BD795" s="8">
        <f ca="1">RANK(PlayerGameData[[#This Row],[EligFGTieBreak]],PlayerGameData[EligFGTieBreak],1)</f>
        <v>625</v>
      </c>
      <c r="BE795" s="8" t="str">
        <f>Roster!$D$3</f>
        <v>East</v>
      </c>
      <c r="BF795" s="8" t="str">
        <f>Roster!$D$2</f>
        <v>Northeast</v>
      </c>
      <c r="BG795" s="8" t="str">
        <f>Roster!$D$4</f>
        <v>North</v>
      </c>
      <c r="BH795" s="197">
        <f ca="1">IFERROR(VLOOKUP(CONCATENATE(PlayerGameData[[#This Row],[Opponent]]," ",MONTH(PlayerGameData[[#This Row],[Date]]),"/",DAY(PlayerGameData[[#This Row],[Date]]),"/",YEAR(PlayerGameData[[#This Row],[Date]])),Table35[],2,FALSE),0)</f>
        <v>0</v>
      </c>
      <c r="BI795" s="197">
        <f ca="1">IF(PlayerGameData[[#This Row],[Visible]]=1,1,1000)</f>
        <v>1000</v>
      </c>
      <c r="BJ795" s="197" t="e">
        <f ca="1">_xlfn.MAXIFS(TeamGameData[Win],TeamGameData[School, Opponent,Game'#],PlayerGameData[[#This Row],[School, Opponent,Game'#]])</f>
        <v>#NAME?</v>
      </c>
      <c r="BK795" s="197" t="e">
        <f ca="1">_xlfn.MAXIFS(TeamGameData[Loss],TeamGameData[School, Opponent,Game'#],PlayerGameData[[#This Row],[School, Opponent,Game'#]])</f>
        <v>#NAME?</v>
      </c>
    </row>
    <row r="796" spans="1:63" x14ac:dyDescent="0.25">
      <c r="A796" s="8" t="str">
        <f t="shared" ca="1" si="393"/>
        <v xml:space="preserve">, </v>
      </c>
      <c r="B796" s="8" t="str">
        <f>Roster!$B$1</f>
        <v>Upton</v>
      </c>
      <c r="C796" s="8">
        <f t="shared" ca="1" si="381"/>
        <v>0</v>
      </c>
      <c r="D796" s="10">
        <f t="shared" ca="1" si="382"/>
        <v>0</v>
      </c>
      <c r="E796" s="8">
        <f t="shared" ca="1" si="383"/>
        <v>0</v>
      </c>
      <c r="F796" s="8">
        <f t="shared" ca="1" si="384"/>
        <v>0</v>
      </c>
      <c r="G796" s="8">
        <f t="shared" ca="1" si="385"/>
        <v>0</v>
      </c>
      <c r="H796" s="8">
        <f t="shared" ca="1" si="386"/>
        <v>0</v>
      </c>
      <c r="I796" s="8">
        <f t="shared" ca="1" si="387"/>
        <v>0</v>
      </c>
      <c r="J796" s="8">
        <f t="shared" ca="1" si="388"/>
        <v>0</v>
      </c>
      <c r="K796" s="8">
        <f t="shared" ca="1" si="389"/>
        <v>0</v>
      </c>
      <c r="L796" s="8">
        <f t="shared" ca="1" si="394"/>
        <v>0</v>
      </c>
      <c r="M796" s="8">
        <f t="shared" ca="1" si="395"/>
        <v>0</v>
      </c>
      <c r="N796" s="8">
        <f t="shared" ca="1" si="396"/>
        <v>0</v>
      </c>
      <c r="O796" s="8">
        <f t="shared" ca="1" si="397"/>
        <v>0</v>
      </c>
      <c r="P796" s="8">
        <f t="shared" ca="1" si="398"/>
        <v>0</v>
      </c>
      <c r="Q796" s="8">
        <f t="shared" ca="1" si="399"/>
        <v>0</v>
      </c>
      <c r="R796" s="8">
        <f t="shared" ca="1" si="400"/>
        <v>0</v>
      </c>
      <c r="S796" s="8">
        <f t="shared" ca="1" si="401"/>
        <v>0</v>
      </c>
      <c r="T796" s="8">
        <f t="shared" ca="1" si="402"/>
        <v>0</v>
      </c>
      <c r="U796" s="8">
        <f t="shared" ca="1" si="403"/>
        <v>0</v>
      </c>
      <c r="V796" s="8">
        <f t="shared" ca="1" si="404"/>
        <v>0</v>
      </c>
      <c r="W796" s="11" t="str">
        <f t="shared" ca="1" si="405"/>
        <v/>
      </c>
      <c r="X796" s="11" t="str">
        <f t="shared" ca="1" si="406"/>
        <v/>
      </c>
      <c r="Y796" s="11" t="str">
        <f t="shared" ca="1" si="407"/>
        <v/>
      </c>
      <c r="Z796" s="11" t="str">
        <f t="shared" ca="1" si="408"/>
        <v/>
      </c>
      <c r="AA796" s="11" t="str">
        <f t="shared" ca="1" si="409"/>
        <v/>
      </c>
      <c r="AB796" s="47">
        <f ca="1">PlayerGameData[[#This Row],[3FGA]]+PlayerGameData[[#This Row],[2FGA]]</f>
        <v>0</v>
      </c>
      <c r="AC796" s="47">
        <f ca="1">PlayerGameData[[#This Row],[OFF REB]]+PlayerGameData[[#This Row],[DEF REB]]</f>
        <v>0</v>
      </c>
      <c r="AD796" s="8">
        <f t="shared" si="390"/>
        <v>33</v>
      </c>
      <c r="AE796" s="8" t="str">
        <f t="shared" ca="1" si="391"/>
        <v>,  - 0 1/0/1900</v>
      </c>
      <c r="AF796" s="8" t="str">
        <f t="shared" ca="1" si="410"/>
        <v/>
      </c>
      <c r="AG796" s="8" t="str">
        <f ca="1">IFERROR(IF(C796=0,"",IF(AND(VLOOKUP(PlayerGameData[[#This Row],[Opponent]],WYTeamInfo,2,FALSE)=Roster!$D$1,VLOOKUP(PlayerGameData[[#This Row],[Opponent]],WYTeamInfo,3,FALSE)=Roster!$D$2),"SR","")),"")</f>
        <v/>
      </c>
      <c r="AH796" s="8" t="str">
        <f>CONCATENATE(Roster!$D$1," ",Roster!$D$5)</f>
        <v>1A BB</v>
      </c>
      <c r="AI796" s="8" t="str">
        <f t="shared" ca="1" si="392"/>
        <v>Blank</v>
      </c>
      <c r="AJ796" s="8">
        <f ca="1">IFERROR(VLOOKUP(PlayerGameData[[#This Row],[School, Opponent,Game'#]],Table3[],2,FALSE),0)</f>
        <v>0</v>
      </c>
      <c r="AK796" s="8">
        <f ca="1">IF(PlayerGameData[[#This Row],[Visible]]=1,1,1000)</f>
        <v>1000</v>
      </c>
      <c r="AL796" s="8">
        <f ca="1">RANK(PlayerGameData[[#This Row],[TL PTS]],PlayerGameData[TL PTS],0)+PlayerGameData[[#This Row],[VisibleOrder]]</f>
        <v>1184</v>
      </c>
      <c r="AM796" s="8">
        <f ca="1">IF(COUNTIF(PlayerGameData[PointOrder],PlayerGameData[[#This Row],[PointOrder]])&gt;1,RANK(PlayerGameData[[#This Row],[FGA]],PlayerGameData[FGA],0)/100,0)+PlayerGameData[[#This Row],[PointOrder]]</f>
        <v>1186.1400000000001</v>
      </c>
      <c r="AN796" s="8">
        <f ca="1">RANK(PlayerGameData[[#This Row],[PointTieBreak]],PlayerGameData[PointTieBreak],1)</f>
        <v>625</v>
      </c>
      <c r="AO796" s="8">
        <f ca="1">RANK(PlayerGameData[[#This Row],[REB]],PlayerGameData[REB],0)+PlayerGameData[[#This Row],[VisibleOrder]]</f>
        <v>1191</v>
      </c>
      <c r="AP796" s="8">
        <f ca="1">IF(COUNTIF(PlayerGameData[REBOrder],PlayerGameData[[#This Row],[REBOrder]])&gt;1,PlayerGameData[[#This Row],[PointRank]]/100+PlayerGameData[[#This Row],[REBOrder]],PlayerGameData[[#This Row],[REBOrder]])</f>
        <v>1197.25</v>
      </c>
      <c r="AQ796" s="8">
        <f ca="1">RANK(PlayerGameData[[#This Row],[REBTieBreak]],PlayerGameData[REBTieBreak],1)</f>
        <v>625</v>
      </c>
      <c r="AR796" s="8">
        <f ca="1">RANK(PlayerGameData[[#This Row],[AST]],PlayerGameData[AST],0)+PlayerGameData[[#This Row],[VisibleOrder]]</f>
        <v>1157</v>
      </c>
      <c r="AS796" s="8">
        <f ca="1">IF(COUNTIF(PlayerGameData[ASTOrder],PlayerGameData[[#This Row],[ASTOrder]])&gt;1,PlayerGameData[[#This Row],[PointRank]]/100+PlayerGameData[[#This Row],[ASTOrder]],PlayerGameData[[#This Row],[ASTOrder]])</f>
        <v>1163.25</v>
      </c>
      <c r="AT796" s="8">
        <f ca="1">RANK(PlayerGameData[[#This Row],[ASTTieBreak]],PlayerGameData[ASTTieBreak],1)</f>
        <v>625</v>
      </c>
      <c r="AU796" s="8">
        <f ca="1">RANK(PlayerGameData[[#This Row],[STL]],PlayerGameData[STL],0)+PlayerGameData[[#This Row],[VisibleOrder]]</f>
        <v>1142</v>
      </c>
      <c r="AV796" s="8">
        <f ca="1">IF(COUNTIF(PlayerGameData[STLOrder],PlayerGameData[[#This Row],[STLOrder]])&gt;1,PlayerGameData[[#This Row],[PointRank]]/100+PlayerGameData[[#This Row],[STLOrder]],PlayerGameData[[#This Row],[STLOrder]])</f>
        <v>1148.25</v>
      </c>
      <c r="AW796" s="8">
        <f ca="1">RANK(PlayerGameData[[#This Row],[STLTieBreak]],PlayerGameData[STLTieBreak],1)</f>
        <v>625</v>
      </c>
      <c r="AX796" s="8">
        <f ca="1">RANK(PlayerGameData[[#This Row],[BLK]],PlayerGameData[BLK],0)+PlayerGameData[[#This Row],[VisibleOrder]]</f>
        <v>1031</v>
      </c>
      <c r="AY796" s="8">
        <f ca="1">IF(COUNTIF(PlayerGameData[BLKOrder],PlayerGameData[[#This Row],[BLKOrder]])&gt;1,PlayerGameData[[#This Row],[PointRank]]/100+PlayerGameData[[#This Row],[BLKOrder]],PlayerGameData[[#This Row],[BLKOrder]])</f>
        <v>1037.25</v>
      </c>
      <c r="AZ796" s="8">
        <f ca="1">RANK(PlayerGameData[[#This Row],[BLKTieBreak]],PlayerGameData[BLKTieBreak],1)</f>
        <v>625</v>
      </c>
      <c r="BA796" s="11">
        <f ca="1">IFERROR(IF(PlayerGameData[[#This Row],[FGA]]&gt;$AA$5,PlayerGameData[[#This Row],[FG%*]],PlayerGameData[[#This Row],[FG%*]]*-1),-2)</f>
        <v>-2</v>
      </c>
      <c r="BB796" s="8">
        <f ca="1">RANK(PlayerGameData[[#This Row],[EligFG]],PlayerGameData[EligFG],0)+PlayerGameData[[#This Row],[VisibleOrder]]</f>
        <v>1214</v>
      </c>
      <c r="BC796" s="8">
        <f ca="1">IF(COUNTIF(PlayerGameData[EligFGOrder],PlayerGameData[[#This Row],[EligFGOrder]])&gt;1,PlayerGameData[[#This Row],[PointRank]]/100+PlayerGameData[[#This Row],[EligFGOrder]],PlayerGameData[[#This Row],[EligFGOrder]])</f>
        <v>1220.25</v>
      </c>
      <c r="BD796" s="8">
        <f ca="1">RANK(PlayerGameData[[#This Row],[EligFGTieBreak]],PlayerGameData[EligFGTieBreak],1)</f>
        <v>625</v>
      </c>
      <c r="BE796" s="8" t="str">
        <f>Roster!$D$3</f>
        <v>East</v>
      </c>
      <c r="BF796" s="8" t="str">
        <f>Roster!$D$2</f>
        <v>Northeast</v>
      </c>
      <c r="BG796" s="8" t="str">
        <f>Roster!$D$4</f>
        <v>North</v>
      </c>
      <c r="BH796" s="197">
        <f ca="1">IFERROR(VLOOKUP(CONCATENATE(PlayerGameData[[#This Row],[Opponent]]," ",MONTH(PlayerGameData[[#This Row],[Date]]),"/",DAY(PlayerGameData[[#This Row],[Date]]),"/",YEAR(PlayerGameData[[#This Row],[Date]])),Table35[],2,FALSE),0)</f>
        <v>0</v>
      </c>
      <c r="BI796" s="197">
        <f ca="1">IF(PlayerGameData[[#This Row],[Visible]]=1,1,1000)</f>
        <v>1000</v>
      </c>
      <c r="BJ796" s="197" t="e">
        <f ca="1">_xlfn.MAXIFS(TeamGameData[Win],TeamGameData[School, Opponent,Game'#],PlayerGameData[[#This Row],[School, Opponent,Game'#]])</f>
        <v>#NAME?</v>
      </c>
      <c r="BK796" s="197" t="e">
        <f ca="1">_xlfn.MAXIFS(TeamGameData[Loss],TeamGameData[School, Opponent,Game'#],PlayerGameData[[#This Row],[School, Opponent,Game'#]])</f>
        <v>#NAME?</v>
      </c>
    </row>
    <row r="797" spans="1:63" x14ac:dyDescent="0.25">
      <c r="A797" s="8" t="str">
        <f t="shared" ca="1" si="393"/>
        <v xml:space="preserve">, </v>
      </c>
      <c r="B797" s="8" t="str">
        <f>Roster!$B$1</f>
        <v>Upton</v>
      </c>
      <c r="C797" s="8">
        <f t="shared" ca="1" si="381"/>
        <v>0</v>
      </c>
      <c r="D797" s="10">
        <f t="shared" ca="1" si="382"/>
        <v>0</v>
      </c>
      <c r="E797" s="8">
        <f t="shared" ca="1" si="383"/>
        <v>0</v>
      </c>
      <c r="F797" s="8">
        <f t="shared" ca="1" si="384"/>
        <v>0</v>
      </c>
      <c r="G797" s="8">
        <f t="shared" ca="1" si="385"/>
        <v>0</v>
      </c>
      <c r="H797" s="8">
        <f t="shared" ca="1" si="386"/>
        <v>0</v>
      </c>
      <c r="I797" s="8">
        <f t="shared" ca="1" si="387"/>
        <v>0</v>
      </c>
      <c r="J797" s="8">
        <f t="shared" ca="1" si="388"/>
        <v>0</v>
      </c>
      <c r="K797" s="8">
        <f t="shared" ca="1" si="389"/>
        <v>0</v>
      </c>
      <c r="L797" s="8">
        <f t="shared" ca="1" si="394"/>
        <v>0</v>
      </c>
      <c r="M797" s="8">
        <f t="shared" ca="1" si="395"/>
        <v>0</v>
      </c>
      <c r="N797" s="8">
        <f t="shared" ca="1" si="396"/>
        <v>0</v>
      </c>
      <c r="O797" s="8">
        <f t="shared" ca="1" si="397"/>
        <v>0</v>
      </c>
      <c r="P797" s="8">
        <f t="shared" ca="1" si="398"/>
        <v>0</v>
      </c>
      <c r="Q797" s="8">
        <f t="shared" ca="1" si="399"/>
        <v>0</v>
      </c>
      <c r="R797" s="8">
        <f t="shared" ca="1" si="400"/>
        <v>0</v>
      </c>
      <c r="S797" s="8">
        <f t="shared" ca="1" si="401"/>
        <v>0</v>
      </c>
      <c r="T797" s="8">
        <f t="shared" ca="1" si="402"/>
        <v>0</v>
      </c>
      <c r="U797" s="8">
        <f t="shared" ca="1" si="403"/>
        <v>0</v>
      </c>
      <c r="V797" s="8">
        <f t="shared" ca="1" si="404"/>
        <v>0</v>
      </c>
      <c r="W797" s="11" t="str">
        <f t="shared" ca="1" si="405"/>
        <v/>
      </c>
      <c r="X797" s="11" t="str">
        <f t="shared" ca="1" si="406"/>
        <v/>
      </c>
      <c r="Y797" s="11" t="str">
        <f t="shared" ca="1" si="407"/>
        <v/>
      </c>
      <c r="Z797" s="11" t="str">
        <f t="shared" ca="1" si="408"/>
        <v/>
      </c>
      <c r="AA797" s="11" t="str">
        <f t="shared" ca="1" si="409"/>
        <v/>
      </c>
      <c r="AB797" s="47">
        <f ca="1">PlayerGameData[[#This Row],[3FGA]]+PlayerGameData[[#This Row],[2FGA]]</f>
        <v>0</v>
      </c>
      <c r="AC797" s="47">
        <f ca="1">PlayerGameData[[#This Row],[OFF REB]]+PlayerGameData[[#This Row],[DEF REB]]</f>
        <v>0</v>
      </c>
      <c r="AD797" s="8">
        <f t="shared" si="390"/>
        <v>33</v>
      </c>
      <c r="AE797" s="8" t="str">
        <f t="shared" ca="1" si="391"/>
        <v>,  - 0 1/0/1900</v>
      </c>
      <c r="AF797" s="8" t="str">
        <f t="shared" ca="1" si="410"/>
        <v/>
      </c>
      <c r="AG797" s="8" t="str">
        <f ca="1">IFERROR(IF(C797=0,"",IF(AND(VLOOKUP(PlayerGameData[[#This Row],[Opponent]],WYTeamInfo,2,FALSE)=Roster!$D$1,VLOOKUP(PlayerGameData[[#This Row],[Opponent]],WYTeamInfo,3,FALSE)=Roster!$D$2),"SR","")),"")</f>
        <v/>
      </c>
      <c r="AH797" s="8" t="str">
        <f>CONCATENATE(Roster!$D$1," ",Roster!$D$5)</f>
        <v>1A BB</v>
      </c>
      <c r="AI797" s="8" t="str">
        <f t="shared" ca="1" si="392"/>
        <v>Blank</v>
      </c>
      <c r="AJ797" s="8">
        <f ca="1">IFERROR(VLOOKUP(PlayerGameData[[#This Row],[School, Opponent,Game'#]],Table3[],2,FALSE),0)</f>
        <v>0</v>
      </c>
      <c r="AK797" s="8">
        <f ca="1">IF(PlayerGameData[[#This Row],[Visible]]=1,1,1000)</f>
        <v>1000</v>
      </c>
      <c r="AL797" s="8">
        <f ca="1">RANK(PlayerGameData[[#This Row],[TL PTS]],PlayerGameData[TL PTS],0)+PlayerGameData[[#This Row],[VisibleOrder]]</f>
        <v>1184</v>
      </c>
      <c r="AM797" s="8">
        <f ca="1">IF(COUNTIF(PlayerGameData[PointOrder],PlayerGameData[[#This Row],[PointOrder]])&gt;1,RANK(PlayerGameData[[#This Row],[FGA]],PlayerGameData[FGA],0)/100,0)+PlayerGameData[[#This Row],[PointOrder]]</f>
        <v>1186.1400000000001</v>
      </c>
      <c r="AN797" s="8">
        <f ca="1">RANK(PlayerGameData[[#This Row],[PointTieBreak]],PlayerGameData[PointTieBreak],1)</f>
        <v>625</v>
      </c>
      <c r="AO797" s="8">
        <f ca="1">RANK(PlayerGameData[[#This Row],[REB]],PlayerGameData[REB],0)+PlayerGameData[[#This Row],[VisibleOrder]]</f>
        <v>1191</v>
      </c>
      <c r="AP797" s="8">
        <f ca="1">IF(COUNTIF(PlayerGameData[REBOrder],PlayerGameData[[#This Row],[REBOrder]])&gt;1,PlayerGameData[[#This Row],[PointRank]]/100+PlayerGameData[[#This Row],[REBOrder]],PlayerGameData[[#This Row],[REBOrder]])</f>
        <v>1197.25</v>
      </c>
      <c r="AQ797" s="8">
        <f ca="1">RANK(PlayerGameData[[#This Row],[REBTieBreak]],PlayerGameData[REBTieBreak],1)</f>
        <v>625</v>
      </c>
      <c r="AR797" s="8">
        <f ca="1">RANK(PlayerGameData[[#This Row],[AST]],PlayerGameData[AST],0)+PlayerGameData[[#This Row],[VisibleOrder]]</f>
        <v>1157</v>
      </c>
      <c r="AS797" s="8">
        <f ca="1">IF(COUNTIF(PlayerGameData[ASTOrder],PlayerGameData[[#This Row],[ASTOrder]])&gt;1,PlayerGameData[[#This Row],[PointRank]]/100+PlayerGameData[[#This Row],[ASTOrder]],PlayerGameData[[#This Row],[ASTOrder]])</f>
        <v>1163.25</v>
      </c>
      <c r="AT797" s="8">
        <f ca="1">RANK(PlayerGameData[[#This Row],[ASTTieBreak]],PlayerGameData[ASTTieBreak],1)</f>
        <v>625</v>
      </c>
      <c r="AU797" s="8">
        <f ca="1">RANK(PlayerGameData[[#This Row],[STL]],PlayerGameData[STL],0)+PlayerGameData[[#This Row],[VisibleOrder]]</f>
        <v>1142</v>
      </c>
      <c r="AV797" s="8">
        <f ca="1">IF(COUNTIF(PlayerGameData[STLOrder],PlayerGameData[[#This Row],[STLOrder]])&gt;1,PlayerGameData[[#This Row],[PointRank]]/100+PlayerGameData[[#This Row],[STLOrder]],PlayerGameData[[#This Row],[STLOrder]])</f>
        <v>1148.25</v>
      </c>
      <c r="AW797" s="8">
        <f ca="1">RANK(PlayerGameData[[#This Row],[STLTieBreak]],PlayerGameData[STLTieBreak],1)</f>
        <v>625</v>
      </c>
      <c r="AX797" s="8">
        <f ca="1">RANK(PlayerGameData[[#This Row],[BLK]],PlayerGameData[BLK],0)+PlayerGameData[[#This Row],[VisibleOrder]]</f>
        <v>1031</v>
      </c>
      <c r="AY797" s="8">
        <f ca="1">IF(COUNTIF(PlayerGameData[BLKOrder],PlayerGameData[[#This Row],[BLKOrder]])&gt;1,PlayerGameData[[#This Row],[PointRank]]/100+PlayerGameData[[#This Row],[BLKOrder]],PlayerGameData[[#This Row],[BLKOrder]])</f>
        <v>1037.25</v>
      </c>
      <c r="AZ797" s="8">
        <f ca="1">RANK(PlayerGameData[[#This Row],[BLKTieBreak]],PlayerGameData[BLKTieBreak],1)</f>
        <v>625</v>
      </c>
      <c r="BA797" s="11">
        <f ca="1">IFERROR(IF(PlayerGameData[[#This Row],[FGA]]&gt;$AA$5,PlayerGameData[[#This Row],[FG%*]],PlayerGameData[[#This Row],[FG%*]]*-1),-2)</f>
        <v>-2</v>
      </c>
      <c r="BB797" s="8">
        <f ca="1">RANK(PlayerGameData[[#This Row],[EligFG]],PlayerGameData[EligFG],0)+PlayerGameData[[#This Row],[VisibleOrder]]</f>
        <v>1214</v>
      </c>
      <c r="BC797" s="8">
        <f ca="1">IF(COUNTIF(PlayerGameData[EligFGOrder],PlayerGameData[[#This Row],[EligFGOrder]])&gt;1,PlayerGameData[[#This Row],[PointRank]]/100+PlayerGameData[[#This Row],[EligFGOrder]],PlayerGameData[[#This Row],[EligFGOrder]])</f>
        <v>1220.25</v>
      </c>
      <c r="BD797" s="8">
        <f ca="1">RANK(PlayerGameData[[#This Row],[EligFGTieBreak]],PlayerGameData[EligFGTieBreak],1)</f>
        <v>625</v>
      </c>
      <c r="BE797" s="8" t="str">
        <f>Roster!$D$3</f>
        <v>East</v>
      </c>
      <c r="BF797" s="8" t="str">
        <f>Roster!$D$2</f>
        <v>Northeast</v>
      </c>
      <c r="BG797" s="8" t="str">
        <f>Roster!$D$4</f>
        <v>North</v>
      </c>
      <c r="BH797" s="197">
        <f ca="1">IFERROR(VLOOKUP(CONCATENATE(PlayerGameData[[#This Row],[Opponent]]," ",MONTH(PlayerGameData[[#This Row],[Date]]),"/",DAY(PlayerGameData[[#This Row],[Date]]),"/",YEAR(PlayerGameData[[#This Row],[Date]])),Table35[],2,FALSE),0)</f>
        <v>0</v>
      </c>
      <c r="BI797" s="197">
        <f ca="1">IF(PlayerGameData[[#This Row],[Visible]]=1,1,1000)</f>
        <v>1000</v>
      </c>
      <c r="BJ797" s="197" t="e">
        <f ca="1">_xlfn.MAXIFS(TeamGameData[Win],TeamGameData[School, Opponent,Game'#],PlayerGameData[[#This Row],[School, Opponent,Game'#]])</f>
        <v>#NAME?</v>
      </c>
      <c r="BK797" s="197" t="e">
        <f ca="1">_xlfn.MAXIFS(TeamGameData[Loss],TeamGameData[School, Opponent,Game'#],PlayerGameData[[#This Row],[School, Opponent,Game'#]])</f>
        <v>#NAME?</v>
      </c>
    </row>
    <row r="798" spans="1:63" x14ac:dyDescent="0.25">
      <c r="A798" s="8" t="str">
        <f t="shared" ca="1" si="393"/>
        <v xml:space="preserve">Team, </v>
      </c>
      <c r="B798" s="8" t="str">
        <f>Roster!$B$1</f>
        <v>Upton</v>
      </c>
      <c r="C798" s="8">
        <f t="shared" ca="1" si="381"/>
        <v>0</v>
      </c>
      <c r="D798" s="10">
        <f t="shared" ca="1" si="382"/>
        <v>0</v>
      </c>
      <c r="E798" s="8">
        <f t="shared" ca="1" si="383"/>
        <v>0</v>
      </c>
      <c r="F798" s="8">
        <f t="shared" ca="1" si="384"/>
        <v>0</v>
      </c>
      <c r="G798" s="8">
        <f t="shared" ca="1" si="385"/>
        <v>0</v>
      </c>
      <c r="H798" s="8">
        <f t="shared" ca="1" si="386"/>
        <v>0</v>
      </c>
      <c r="I798" s="8">
        <f t="shared" ca="1" si="387"/>
        <v>0</v>
      </c>
      <c r="J798" s="8">
        <f t="shared" ca="1" si="388"/>
        <v>0</v>
      </c>
      <c r="K798" s="8">
        <f t="shared" ca="1" si="389"/>
        <v>0</v>
      </c>
      <c r="L798" s="8">
        <f t="shared" ca="1" si="394"/>
        <v>0</v>
      </c>
      <c r="M798" s="8">
        <f t="shared" ca="1" si="395"/>
        <v>0</v>
      </c>
      <c r="N798" s="8">
        <f t="shared" ca="1" si="396"/>
        <v>0</v>
      </c>
      <c r="O798" s="8">
        <f t="shared" ca="1" si="397"/>
        <v>0</v>
      </c>
      <c r="P798" s="8">
        <f t="shared" ca="1" si="398"/>
        <v>0</v>
      </c>
      <c r="Q798" s="8">
        <f t="shared" ca="1" si="399"/>
        <v>0</v>
      </c>
      <c r="R798" s="8">
        <f t="shared" ca="1" si="400"/>
        <v>0</v>
      </c>
      <c r="S798" s="8">
        <f t="shared" ca="1" si="401"/>
        <v>0</v>
      </c>
      <c r="T798" s="8">
        <f t="shared" ca="1" si="402"/>
        <v>0</v>
      </c>
      <c r="U798" s="8">
        <f t="shared" ca="1" si="403"/>
        <v>0</v>
      </c>
      <c r="V798" s="8">
        <f t="shared" ca="1" si="404"/>
        <v>0</v>
      </c>
      <c r="W798" s="11" t="str">
        <f t="shared" ca="1" si="405"/>
        <v/>
      </c>
      <c r="X798" s="11" t="str">
        <f t="shared" ca="1" si="406"/>
        <v/>
      </c>
      <c r="Y798" s="11" t="str">
        <f t="shared" ca="1" si="407"/>
        <v/>
      </c>
      <c r="Z798" s="11" t="str">
        <f t="shared" ca="1" si="408"/>
        <v/>
      </c>
      <c r="AA798" s="11" t="str">
        <f t="shared" ca="1" si="409"/>
        <v/>
      </c>
      <c r="AB798" s="47">
        <f ca="1">PlayerGameData[[#This Row],[3FGA]]+PlayerGameData[[#This Row],[2FGA]]</f>
        <v>0</v>
      </c>
      <c r="AC798" s="47">
        <f ca="1">PlayerGameData[[#This Row],[OFF REB]]+PlayerGameData[[#This Row],[DEF REB]]</f>
        <v>0</v>
      </c>
      <c r="AD798" s="8">
        <f t="shared" si="390"/>
        <v>33</v>
      </c>
      <c r="AE798" s="8" t="str">
        <f t="shared" ca="1" si="391"/>
        <v>Team,  - 0 1/0/1900</v>
      </c>
      <c r="AF798" s="8" t="str">
        <f t="shared" ca="1" si="410"/>
        <v/>
      </c>
      <c r="AG798" s="8" t="str">
        <f ca="1">IFERROR(IF(C798=0,"",IF(AND(VLOOKUP(PlayerGameData[[#This Row],[Opponent]],WYTeamInfo,2,FALSE)=Roster!$D$1,VLOOKUP(PlayerGameData[[#This Row],[Opponent]],WYTeamInfo,3,FALSE)=Roster!$D$2),"SR","")),"")</f>
        <v/>
      </c>
      <c r="AH798" s="8" t="str">
        <f>CONCATENATE(Roster!$D$1," ",Roster!$D$5)</f>
        <v>1A BB</v>
      </c>
      <c r="AI798" s="8" t="str">
        <f t="shared" ca="1" si="392"/>
        <v>Blank</v>
      </c>
      <c r="AJ798" s="8">
        <f ca="1">IFERROR(VLOOKUP(PlayerGameData[[#This Row],[School, Opponent,Game'#]],Table3[],2,FALSE),0)</f>
        <v>0</v>
      </c>
      <c r="AK798" s="8">
        <f ca="1">IF(PlayerGameData[[#This Row],[Visible]]=1,1,1000)</f>
        <v>1000</v>
      </c>
      <c r="AL798" s="8">
        <f ca="1">RANK(PlayerGameData[[#This Row],[TL PTS]],PlayerGameData[TL PTS],0)+PlayerGameData[[#This Row],[VisibleOrder]]</f>
        <v>1184</v>
      </c>
      <c r="AM798" s="8">
        <f ca="1">IF(COUNTIF(PlayerGameData[PointOrder],PlayerGameData[[#This Row],[PointOrder]])&gt;1,RANK(PlayerGameData[[#This Row],[FGA]],PlayerGameData[FGA],0)/100,0)+PlayerGameData[[#This Row],[PointOrder]]</f>
        <v>1186.1400000000001</v>
      </c>
      <c r="AN798" s="8">
        <f ca="1">RANK(PlayerGameData[[#This Row],[PointTieBreak]],PlayerGameData[PointTieBreak],1)</f>
        <v>625</v>
      </c>
      <c r="AO798" s="8">
        <f ca="1">RANK(PlayerGameData[[#This Row],[REB]],PlayerGameData[REB],0)+PlayerGameData[[#This Row],[VisibleOrder]]</f>
        <v>1191</v>
      </c>
      <c r="AP798" s="8">
        <f ca="1">IF(COUNTIF(PlayerGameData[REBOrder],PlayerGameData[[#This Row],[REBOrder]])&gt;1,PlayerGameData[[#This Row],[PointRank]]/100+PlayerGameData[[#This Row],[REBOrder]],PlayerGameData[[#This Row],[REBOrder]])</f>
        <v>1197.25</v>
      </c>
      <c r="AQ798" s="8">
        <f ca="1">RANK(PlayerGameData[[#This Row],[REBTieBreak]],PlayerGameData[REBTieBreak],1)</f>
        <v>625</v>
      </c>
      <c r="AR798" s="8">
        <f ca="1">RANK(PlayerGameData[[#This Row],[AST]],PlayerGameData[AST],0)+PlayerGameData[[#This Row],[VisibleOrder]]</f>
        <v>1157</v>
      </c>
      <c r="AS798" s="8">
        <f ca="1">IF(COUNTIF(PlayerGameData[ASTOrder],PlayerGameData[[#This Row],[ASTOrder]])&gt;1,PlayerGameData[[#This Row],[PointRank]]/100+PlayerGameData[[#This Row],[ASTOrder]],PlayerGameData[[#This Row],[ASTOrder]])</f>
        <v>1163.25</v>
      </c>
      <c r="AT798" s="8">
        <f ca="1">RANK(PlayerGameData[[#This Row],[ASTTieBreak]],PlayerGameData[ASTTieBreak],1)</f>
        <v>625</v>
      </c>
      <c r="AU798" s="8">
        <f ca="1">RANK(PlayerGameData[[#This Row],[STL]],PlayerGameData[STL],0)+PlayerGameData[[#This Row],[VisibleOrder]]</f>
        <v>1142</v>
      </c>
      <c r="AV798" s="8">
        <f ca="1">IF(COUNTIF(PlayerGameData[STLOrder],PlayerGameData[[#This Row],[STLOrder]])&gt;1,PlayerGameData[[#This Row],[PointRank]]/100+PlayerGameData[[#This Row],[STLOrder]],PlayerGameData[[#This Row],[STLOrder]])</f>
        <v>1148.25</v>
      </c>
      <c r="AW798" s="8">
        <f ca="1">RANK(PlayerGameData[[#This Row],[STLTieBreak]],PlayerGameData[STLTieBreak],1)</f>
        <v>625</v>
      </c>
      <c r="AX798" s="8">
        <f ca="1">RANK(PlayerGameData[[#This Row],[BLK]],PlayerGameData[BLK],0)+PlayerGameData[[#This Row],[VisibleOrder]]</f>
        <v>1031</v>
      </c>
      <c r="AY798" s="8">
        <f ca="1">IF(COUNTIF(PlayerGameData[BLKOrder],PlayerGameData[[#This Row],[BLKOrder]])&gt;1,PlayerGameData[[#This Row],[PointRank]]/100+PlayerGameData[[#This Row],[BLKOrder]],PlayerGameData[[#This Row],[BLKOrder]])</f>
        <v>1037.25</v>
      </c>
      <c r="AZ798" s="8">
        <f ca="1">RANK(PlayerGameData[[#This Row],[BLKTieBreak]],PlayerGameData[BLKTieBreak],1)</f>
        <v>625</v>
      </c>
      <c r="BA798" s="11">
        <f ca="1">IFERROR(IF(PlayerGameData[[#This Row],[FGA]]&gt;$AA$5,PlayerGameData[[#This Row],[FG%*]],PlayerGameData[[#This Row],[FG%*]]*-1),-2)</f>
        <v>-2</v>
      </c>
      <c r="BB798" s="8">
        <f ca="1">RANK(PlayerGameData[[#This Row],[EligFG]],PlayerGameData[EligFG],0)+PlayerGameData[[#This Row],[VisibleOrder]]</f>
        <v>1214</v>
      </c>
      <c r="BC798" s="8">
        <f ca="1">IF(COUNTIF(PlayerGameData[EligFGOrder],PlayerGameData[[#This Row],[EligFGOrder]])&gt;1,PlayerGameData[[#This Row],[PointRank]]/100+PlayerGameData[[#This Row],[EligFGOrder]],PlayerGameData[[#This Row],[EligFGOrder]])</f>
        <v>1220.25</v>
      </c>
      <c r="BD798" s="8">
        <f ca="1">RANK(PlayerGameData[[#This Row],[EligFGTieBreak]],PlayerGameData[EligFGTieBreak],1)</f>
        <v>625</v>
      </c>
      <c r="BE798" s="8" t="str">
        <f>Roster!$D$3</f>
        <v>East</v>
      </c>
      <c r="BF798" s="8" t="str">
        <f>Roster!$D$2</f>
        <v>Northeast</v>
      </c>
      <c r="BG798" s="8" t="str">
        <f>Roster!$D$4</f>
        <v>North</v>
      </c>
      <c r="BH798" s="197">
        <f ca="1">IFERROR(VLOOKUP(CONCATENATE(PlayerGameData[[#This Row],[Opponent]]," ",MONTH(PlayerGameData[[#This Row],[Date]]),"/",DAY(PlayerGameData[[#This Row],[Date]]),"/",YEAR(PlayerGameData[[#This Row],[Date]])),Table35[],2,FALSE),0)</f>
        <v>0</v>
      </c>
      <c r="BI798" s="197">
        <f ca="1">IF(PlayerGameData[[#This Row],[Visible]]=1,1,1000)</f>
        <v>1000</v>
      </c>
      <c r="BJ798" s="197" t="e">
        <f ca="1">_xlfn.MAXIFS(TeamGameData[Win],TeamGameData[School, Opponent,Game'#],PlayerGameData[[#This Row],[School, Opponent,Game'#]])</f>
        <v>#NAME?</v>
      </c>
      <c r="BK798" s="197" t="e">
        <f ca="1">_xlfn.MAXIFS(TeamGameData[Loss],TeamGameData[School, Opponent,Game'#],PlayerGameData[[#This Row],[School, Opponent,Game'#]])</f>
        <v>#NAME?</v>
      </c>
    </row>
    <row r="799" spans="1:63" x14ac:dyDescent="0.25">
      <c r="A799" s="8" t="str">
        <f t="shared" ca="1" si="393"/>
        <v>Landon Butler, 1</v>
      </c>
      <c r="B799" s="8" t="str">
        <f>Roster!$B$1</f>
        <v>Upton</v>
      </c>
      <c r="C799" s="8">
        <f t="shared" ca="1" si="381"/>
        <v>0</v>
      </c>
      <c r="D799" s="10">
        <f t="shared" ca="1" si="382"/>
        <v>0</v>
      </c>
      <c r="E799" s="8">
        <f t="shared" ca="1" si="383"/>
        <v>0</v>
      </c>
      <c r="F799" s="8">
        <f t="shared" ca="1" si="384"/>
        <v>0</v>
      </c>
      <c r="G799" s="8">
        <f t="shared" ca="1" si="385"/>
        <v>0</v>
      </c>
      <c r="H799" s="8">
        <f t="shared" ca="1" si="386"/>
        <v>0</v>
      </c>
      <c r="I799" s="8">
        <f t="shared" ca="1" si="387"/>
        <v>0</v>
      </c>
      <c r="J799" s="8">
        <f t="shared" ca="1" si="388"/>
        <v>0</v>
      </c>
      <c r="K799" s="8">
        <f t="shared" ca="1" si="389"/>
        <v>0</v>
      </c>
      <c r="L799" s="8">
        <f t="shared" ca="1" si="394"/>
        <v>0</v>
      </c>
      <c r="M799" s="8">
        <f t="shared" ca="1" si="395"/>
        <v>0</v>
      </c>
      <c r="N799" s="8">
        <f t="shared" ca="1" si="396"/>
        <v>0</v>
      </c>
      <c r="O799" s="8">
        <f t="shared" ca="1" si="397"/>
        <v>0</v>
      </c>
      <c r="P799" s="8">
        <f t="shared" ca="1" si="398"/>
        <v>0</v>
      </c>
      <c r="Q799" s="8">
        <f t="shared" ca="1" si="399"/>
        <v>0</v>
      </c>
      <c r="R799" s="8">
        <f t="shared" ca="1" si="400"/>
        <v>0</v>
      </c>
      <c r="S799" s="8">
        <f t="shared" ca="1" si="401"/>
        <v>0</v>
      </c>
      <c r="T799" s="8">
        <f t="shared" ca="1" si="402"/>
        <v>0</v>
      </c>
      <c r="U799" s="8">
        <f t="shared" ca="1" si="403"/>
        <v>0</v>
      </c>
      <c r="V799" s="8">
        <f t="shared" ca="1" si="404"/>
        <v>0</v>
      </c>
      <c r="W799" s="11" t="str">
        <f t="shared" ca="1" si="405"/>
        <v/>
      </c>
      <c r="X799" s="11" t="str">
        <f t="shared" ca="1" si="406"/>
        <v/>
      </c>
      <c r="Y799" s="11" t="str">
        <f t="shared" ca="1" si="407"/>
        <v/>
      </c>
      <c r="Z799" s="11" t="str">
        <f t="shared" ca="1" si="408"/>
        <v/>
      </c>
      <c r="AA799" s="11" t="str">
        <f t="shared" ca="1" si="409"/>
        <v/>
      </c>
      <c r="AB799" s="47">
        <f ca="1">PlayerGameData[[#This Row],[3FGA]]+PlayerGameData[[#This Row],[2FGA]]</f>
        <v>0</v>
      </c>
      <c r="AC799" s="47">
        <f ca="1">PlayerGameData[[#This Row],[OFF REB]]+PlayerGameData[[#This Row],[DEF REB]]</f>
        <v>0</v>
      </c>
      <c r="AD799" s="8">
        <f t="shared" si="390"/>
        <v>34</v>
      </c>
      <c r="AE799" s="8" t="str">
        <f t="shared" ca="1" si="391"/>
        <v>Landon Butler, 1 - 0 1/0/1900</v>
      </c>
      <c r="AF799" s="8" t="str">
        <f t="shared" ca="1" si="410"/>
        <v/>
      </c>
      <c r="AG799" s="8" t="str">
        <f ca="1">IFERROR(IF(C799=0,"",IF(AND(VLOOKUP(PlayerGameData[[#This Row],[Opponent]],WYTeamInfo,2,FALSE)=Roster!$D$1,VLOOKUP(PlayerGameData[[#This Row],[Opponent]],WYTeamInfo,3,FALSE)=Roster!$D$2),"SR","")),"")</f>
        <v/>
      </c>
      <c r="AH799" s="8" t="str">
        <f>CONCATENATE(Roster!$D$1," ",Roster!$D$5)</f>
        <v>1A BB</v>
      </c>
      <c r="AI799" s="8" t="str">
        <f t="shared" ca="1" si="392"/>
        <v>Blank</v>
      </c>
      <c r="AJ799" s="8">
        <f ca="1">IFERROR(VLOOKUP(PlayerGameData[[#This Row],[School, Opponent,Game'#]],Table3[],2,FALSE),0)</f>
        <v>0</v>
      </c>
      <c r="AK799" s="8">
        <f ca="1">IF(PlayerGameData[[#This Row],[Visible]]=1,1,1000)</f>
        <v>1000</v>
      </c>
      <c r="AL799" s="8">
        <f ca="1">RANK(PlayerGameData[[#This Row],[TL PTS]],PlayerGameData[TL PTS],0)+PlayerGameData[[#This Row],[VisibleOrder]]</f>
        <v>1184</v>
      </c>
      <c r="AM799" s="8">
        <f ca="1">IF(COUNTIF(PlayerGameData[PointOrder],PlayerGameData[[#This Row],[PointOrder]])&gt;1,RANK(PlayerGameData[[#This Row],[FGA]],PlayerGameData[FGA],0)/100,0)+PlayerGameData[[#This Row],[PointOrder]]</f>
        <v>1186.1400000000001</v>
      </c>
      <c r="AN799" s="8">
        <f ca="1">RANK(PlayerGameData[[#This Row],[PointTieBreak]],PlayerGameData[PointTieBreak],1)</f>
        <v>625</v>
      </c>
      <c r="AO799" s="8">
        <f ca="1">RANK(PlayerGameData[[#This Row],[REB]],PlayerGameData[REB],0)+PlayerGameData[[#This Row],[VisibleOrder]]</f>
        <v>1191</v>
      </c>
      <c r="AP799" s="8">
        <f ca="1">IF(COUNTIF(PlayerGameData[REBOrder],PlayerGameData[[#This Row],[REBOrder]])&gt;1,PlayerGameData[[#This Row],[PointRank]]/100+PlayerGameData[[#This Row],[REBOrder]],PlayerGameData[[#This Row],[REBOrder]])</f>
        <v>1197.25</v>
      </c>
      <c r="AQ799" s="8">
        <f ca="1">RANK(PlayerGameData[[#This Row],[REBTieBreak]],PlayerGameData[REBTieBreak],1)</f>
        <v>625</v>
      </c>
      <c r="AR799" s="8">
        <f ca="1">RANK(PlayerGameData[[#This Row],[AST]],PlayerGameData[AST],0)+PlayerGameData[[#This Row],[VisibleOrder]]</f>
        <v>1157</v>
      </c>
      <c r="AS799" s="8">
        <f ca="1">IF(COUNTIF(PlayerGameData[ASTOrder],PlayerGameData[[#This Row],[ASTOrder]])&gt;1,PlayerGameData[[#This Row],[PointRank]]/100+PlayerGameData[[#This Row],[ASTOrder]],PlayerGameData[[#This Row],[ASTOrder]])</f>
        <v>1163.25</v>
      </c>
      <c r="AT799" s="8">
        <f ca="1">RANK(PlayerGameData[[#This Row],[ASTTieBreak]],PlayerGameData[ASTTieBreak],1)</f>
        <v>625</v>
      </c>
      <c r="AU799" s="8">
        <f ca="1">RANK(PlayerGameData[[#This Row],[STL]],PlayerGameData[STL],0)+PlayerGameData[[#This Row],[VisibleOrder]]</f>
        <v>1142</v>
      </c>
      <c r="AV799" s="8">
        <f ca="1">IF(COUNTIF(PlayerGameData[STLOrder],PlayerGameData[[#This Row],[STLOrder]])&gt;1,PlayerGameData[[#This Row],[PointRank]]/100+PlayerGameData[[#This Row],[STLOrder]],PlayerGameData[[#This Row],[STLOrder]])</f>
        <v>1148.25</v>
      </c>
      <c r="AW799" s="8">
        <f ca="1">RANK(PlayerGameData[[#This Row],[STLTieBreak]],PlayerGameData[STLTieBreak],1)</f>
        <v>625</v>
      </c>
      <c r="AX799" s="8">
        <f ca="1">RANK(PlayerGameData[[#This Row],[BLK]],PlayerGameData[BLK],0)+PlayerGameData[[#This Row],[VisibleOrder]]</f>
        <v>1031</v>
      </c>
      <c r="AY799" s="8">
        <f ca="1">IF(COUNTIF(PlayerGameData[BLKOrder],PlayerGameData[[#This Row],[BLKOrder]])&gt;1,PlayerGameData[[#This Row],[PointRank]]/100+PlayerGameData[[#This Row],[BLKOrder]],PlayerGameData[[#This Row],[BLKOrder]])</f>
        <v>1037.25</v>
      </c>
      <c r="AZ799" s="8">
        <f ca="1">RANK(PlayerGameData[[#This Row],[BLKTieBreak]],PlayerGameData[BLKTieBreak],1)</f>
        <v>625</v>
      </c>
      <c r="BA799" s="11">
        <f ca="1">IFERROR(IF(PlayerGameData[[#This Row],[FGA]]&gt;$AA$5,PlayerGameData[[#This Row],[FG%*]],PlayerGameData[[#This Row],[FG%*]]*-1),-2)</f>
        <v>-2</v>
      </c>
      <c r="BB799" s="8">
        <f ca="1">RANK(PlayerGameData[[#This Row],[EligFG]],PlayerGameData[EligFG],0)+PlayerGameData[[#This Row],[VisibleOrder]]</f>
        <v>1214</v>
      </c>
      <c r="BC799" s="8">
        <f ca="1">IF(COUNTIF(PlayerGameData[EligFGOrder],PlayerGameData[[#This Row],[EligFGOrder]])&gt;1,PlayerGameData[[#This Row],[PointRank]]/100+PlayerGameData[[#This Row],[EligFGOrder]],PlayerGameData[[#This Row],[EligFGOrder]])</f>
        <v>1220.25</v>
      </c>
      <c r="BD799" s="8">
        <f ca="1">RANK(PlayerGameData[[#This Row],[EligFGTieBreak]],PlayerGameData[EligFGTieBreak],1)</f>
        <v>625</v>
      </c>
      <c r="BE799" s="8" t="str">
        <f>Roster!$D$3</f>
        <v>East</v>
      </c>
      <c r="BF799" s="8" t="str">
        <f>Roster!$D$2</f>
        <v>Northeast</v>
      </c>
      <c r="BG799" s="8" t="str">
        <f>Roster!$D$4</f>
        <v>North</v>
      </c>
      <c r="BH799" s="197">
        <f ca="1">IFERROR(VLOOKUP(CONCATENATE(PlayerGameData[[#This Row],[Opponent]]," ",MONTH(PlayerGameData[[#This Row],[Date]]),"/",DAY(PlayerGameData[[#This Row],[Date]]),"/",YEAR(PlayerGameData[[#This Row],[Date]])),Table35[],2,FALSE),0)</f>
        <v>0</v>
      </c>
      <c r="BI799" s="197">
        <f ca="1">IF(PlayerGameData[[#This Row],[Visible]]=1,1,1000)</f>
        <v>1000</v>
      </c>
      <c r="BJ799" s="197" t="e">
        <f ca="1">_xlfn.MAXIFS(TeamGameData[Win],TeamGameData[School, Opponent,Game'#],PlayerGameData[[#This Row],[School, Opponent,Game'#]])</f>
        <v>#NAME?</v>
      </c>
      <c r="BK799" s="197" t="e">
        <f ca="1">_xlfn.MAXIFS(TeamGameData[Loss],TeamGameData[School, Opponent,Game'#],PlayerGameData[[#This Row],[School, Opponent,Game'#]])</f>
        <v>#NAME?</v>
      </c>
    </row>
    <row r="800" spans="1:63" x14ac:dyDescent="0.25">
      <c r="A800" s="8" t="str">
        <f t="shared" ca="1" si="393"/>
        <v>Logan Timberman, 3</v>
      </c>
      <c r="B800" s="8" t="str">
        <f>Roster!$B$1</f>
        <v>Upton</v>
      </c>
      <c r="C800" s="8">
        <f t="shared" ca="1" si="381"/>
        <v>0</v>
      </c>
      <c r="D800" s="10">
        <f t="shared" ca="1" si="382"/>
        <v>0</v>
      </c>
      <c r="E800" s="8">
        <f t="shared" ca="1" si="383"/>
        <v>0</v>
      </c>
      <c r="F800" s="8">
        <f t="shared" ca="1" si="384"/>
        <v>0</v>
      </c>
      <c r="G800" s="8">
        <f t="shared" ca="1" si="385"/>
        <v>0</v>
      </c>
      <c r="H800" s="8">
        <f t="shared" ca="1" si="386"/>
        <v>0</v>
      </c>
      <c r="I800" s="8">
        <f t="shared" ca="1" si="387"/>
        <v>0</v>
      </c>
      <c r="J800" s="8">
        <f t="shared" ca="1" si="388"/>
        <v>0</v>
      </c>
      <c r="K800" s="8">
        <f t="shared" ca="1" si="389"/>
        <v>0</v>
      </c>
      <c r="L800" s="8">
        <f t="shared" ca="1" si="394"/>
        <v>0</v>
      </c>
      <c r="M800" s="8">
        <f t="shared" ca="1" si="395"/>
        <v>0</v>
      </c>
      <c r="N800" s="8">
        <f t="shared" ca="1" si="396"/>
        <v>0</v>
      </c>
      <c r="O800" s="8">
        <f t="shared" ca="1" si="397"/>
        <v>0</v>
      </c>
      <c r="P800" s="8">
        <f t="shared" ca="1" si="398"/>
        <v>0</v>
      </c>
      <c r="Q800" s="8">
        <f t="shared" ca="1" si="399"/>
        <v>0</v>
      </c>
      <c r="R800" s="8">
        <f t="shared" ca="1" si="400"/>
        <v>0</v>
      </c>
      <c r="S800" s="8">
        <f t="shared" ca="1" si="401"/>
        <v>0</v>
      </c>
      <c r="T800" s="8">
        <f t="shared" ca="1" si="402"/>
        <v>0</v>
      </c>
      <c r="U800" s="8">
        <f t="shared" ca="1" si="403"/>
        <v>0</v>
      </c>
      <c r="V800" s="8">
        <f t="shared" ca="1" si="404"/>
        <v>0</v>
      </c>
      <c r="W800" s="11" t="str">
        <f t="shared" ca="1" si="405"/>
        <v/>
      </c>
      <c r="X800" s="11" t="str">
        <f t="shared" ca="1" si="406"/>
        <v/>
      </c>
      <c r="Y800" s="11" t="str">
        <f t="shared" ca="1" si="407"/>
        <v/>
      </c>
      <c r="Z800" s="11" t="str">
        <f t="shared" ca="1" si="408"/>
        <v/>
      </c>
      <c r="AA800" s="11" t="str">
        <f t="shared" ca="1" si="409"/>
        <v/>
      </c>
      <c r="AB800" s="47">
        <f ca="1">PlayerGameData[[#This Row],[3FGA]]+PlayerGameData[[#This Row],[2FGA]]</f>
        <v>0</v>
      </c>
      <c r="AC800" s="47">
        <f ca="1">PlayerGameData[[#This Row],[OFF REB]]+PlayerGameData[[#This Row],[DEF REB]]</f>
        <v>0</v>
      </c>
      <c r="AD800" s="8">
        <f t="shared" si="390"/>
        <v>34</v>
      </c>
      <c r="AE800" s="8" t="str">
        <f t="shared" ca="1" si="391"/>
        <v>Logan Timberman, 3 - 0 1/0/1900</v>
      </c>
      <c r="AF800" s="8" t="str">
        <f t="shared" ca="1" si="410"/>
        <v/>
      </c>
      <c r="AG800" s="8" t="str">
        <f ca="1">IFERROR(IF(C800=0,"",IF(AND(VLOOKUP(PlayerGameData[[#This Row],[Opponent]],WYTeamInfo,2,FALSE)=Roster!$D$1,VLOOKUP(PlayerGameData[[#This Row],[Opponent]],WYTeamInfo,3,FALSE)=Roster!$D$2),"SR","")),"")</f>
        <v/>
      </c>
      <c r="AH800" s="8" t="str">
        <f>CONCATENATE(Roster!$D$1," ",Roster!$D$5)</f>
        <v>1A BB</v>
      </c>
      <c r="AI800" s="8" t="str">
        <f t="shared" ca="1" si="392"/>
        <v>Blank</v>
      </c>
      <c r="AJ800" s="8">
        <f ca="1">IFERROR(VLOOKUP(PlayerGameData[[#This Row],[School, Opponent,Game'#]],Table3[],2,FALSE),0)</f>
        <v>0</v>
      </c>
      <c r="AK800" s="8">
        <f ca="1">IF(PlayerGameData[[#This Row],[Visible]]=1,1,1000)</f>
        <v>1000</v>
      </c>
      <c r="AL800" s="8">
        <f ca="1">RANK(PlayerGameData[[#This Row],[TL PTS]],PlayerGameData[TL PTS],0)+PlayerGameData[[#This Row],[VisibleOrder]]</f>
        <v>1184</v>
      </c>
      <c r="AM800" s="8">
        <f ca="1">IF(COUNTIF(PlayerGameData[PointOrder],PlayerGameData[[#This Row],[PointOrder]])&gt;1,RANK(PlayerGameData[[#This Row],[FGA]],PlayerGameData[FGA],0)/100,0)+PlayerGameData[[#This Row],[PointOrder]]</f>
        <v>1186.1400000000001</v>
      </c>
      <c r="AN800" s="8">
        <f ca="1">RANK(PlayerGameData[[#This Row],[PointTieBreak]],PlayerGameData[PointTieBreak],1)</f>
        <v>625</v>
      </c>
      <c r="AO800" s="8">
        <f ca="1">RANK(PlayerGameData[[#This Row],[REB]],PlayerGameData[REB],0)+PlayerGameData[[#This Row],[VisibleOrder]]</f>
        <v>1191</v>
      </c>
      <c r="AP800" s="8">
        <f ca="1">IF(COUNTIF(PlayerGameData[REBOrder],PlayerGameData[[#This Row],[REBOrder]])&gt;1,PlayerGameData[[#This Row],[PointRank]]/100+PlayerGameData[[#This Row],[REBOrder]],PlayerGameData[[#This Row],[REBOrder]])</f>
        <v>1197.25</v>
      </c>
      <c r="AQ800" s="8">
        <f ca="1">RANK(PlayerGameData[[#This Row],[REBTieBreak]],PlayerGameData[REBTieBreak],1)</f>
        <v>625</v>
      </c>
      <c r="AR800" s="8">
        <f ca="1">RANK(PlayerGameData[[#This Row],[AST]],PlayerGameData[AST],0)+PlayerGameData[[#This Row],[VisibleOrder]]</f>
        <v>1157</v>
      </c>
      <c r="AS800" s="8">
        <f ca="1">IF(COUNTIF(PlayerGameData[ASTOrder],PlayerGameData[[#This Row],[ASTOrder]])&gt;1,PlayerGameData[[#This Row],[PointRank]]/100+PlayerGameData[[#This Row],[ASTOrder]],PlayerGameData[[#This Row],[ASTOrder]])</f>
        <v>1163.25</v>
      </c>
      <c r="AT800" s="8">
        <f ca="1">RANK(PlayerGameData[[#This Row],[ASTTieBreak]],PlayerGameData[ASTTieBreak],1)</f>
        <v>625</v>
      </c>
      <c r="AU800" s="8">
        <f ca="1">RANK(PlayerGameData[[#This Row],[STL]],PlayerGameData[STL],0)+PlayerGameData[[#This Row],[VisibleOrder]]</f>
        <v>1142</v>
      </c>
      <c r="AV800" s="8">
        <f ca="1">IF(COUNTIF(PlayerGameData[STLOrder],PlayerGameData[[#This Row],[STLOrder]])&gt;1,PlayerGameData[[#This Row],[PointRank]]/100+PlayerGameData[[#This Row],[STLOrder]],PlayerGameData[[#This Row],[STLOrder]])</f>
        <v>1148.25</v>
      </c>
      <c r="AW800" s="8">
        <f ca="1">RANK(PlayerGameData[[#This Row],[STLTieBreak]],PlayerGameData[STLTieBreak],1)</f>
        <v>625</v>
      </c>
      <c r="AX800" s="8">
        <f ca="1">RANK(PlayerGameData[[#This Row],[BLK]],PlayerGameData[BLK],0)+PlayerGameData[[#This Row],[VisibleOrder]]</f>
        <v>1031</v>
      </c>
      <c r="AY800" s="8">
        <f ca="1">IF(COUNTIF(PlayerGameData[BLKOrder],PlayerGameData[[#This Row],[BLKOrder]])&gt;1,PlayerGameData[[#This Row],[PointRank]]/100+PlayerGameData[[#This Row],[BLKOrder]],PlayerGameData[[#This Row],[BLKOrder]])</f>
        <v>1037.25</v>
      </c>
      <c r="AZ800" s="8">
        <f ca="1">RANK(PlayerGameData[[#This Row],[BLKTieBreak]],PlayerGameData[BLKTieBreak],1)</f>
        <v>625</v>
      </c>
      <c r="BA800" s="11">
        <f ca="1">IFERROR(IF(PlayerGameData[[#This Row],[FGA]]&gt;$AA$5,PlayerGameData[[#This Row],[FG%*]],PlayerGameData[[#This Row],[FG%*]]*-1),-2)</f>
        <v>-2</v>
      </c>
      <c r="BB800" s="8">
        <f ca="1">RANK(PlayerGameData[[#This Row],[EligFG]],PlayerGameData[EligFG],0)+PlayerGameData[[#This Row],[VisibleOrder]]</f>
        <v>1214</v>
      </c>
      <c r="BC800" s="8">
        <f ca="1">IF(COUNTIF(PlayerGameData[EligFGOrder],PlayerGameData[[#This Row],[EligFGOrder]])&gt;1,PlayerGameData[[#This Row],[PointRank]]/100+PlayerGameData[[#This Row],[EligFGOrder]],PlayerGameData[[#This Row],[EligFGOrder]])</f>
        <v>1220.25</v>
      </c>
      <c r="BD800" s="8">
        <f ca="1">RANK(PlayerGameData[[#This Row],[EligFGTieBreak]],PlayerGameData[EligFGTieBreak],1)</f>
        <v>625</v>
      </c>
      <c r="BE800" s="8" t="str">
        <f>Roster!$D$3</f>
        <v>East</v>
      </c>
      <c r="BF800" s="8" t="str">
        <f>Roster!$D$2</f>
        <v>Northeast</v>
      </c>
      <c r="BG800" s="8" t="str">
        <f>Roster!$D$4</f>
        <v>North</v>
      </c>
      <c r="BH800" s="197">
        <f ca="1">IFERROR(VLOOKUP(CONCATENATE(PlayerGameData[[#This Row],[Opponent]]," ",MONTH(PlayerGameData[[#This Row],[Date]]),"/",DAY(PlayerGameData[[#This Row],[Date]]),"/",YEAR(PlayerGameData[[#This Row],[Date]])),Table35[],2,FALSE),0)</f>
        <v>0</v>
      </c>
      <c r="BI800" s="197">
        <f ca="1">IF(PlayerGameData[[#This Row],[Visible]]=1,1,1000)</f>
        <v>1000</v>
      </c>
      <c r="BJ800" s="197" t="e">
        <f ca="1">_xlfn.MAXIFS(TeamGameData[Win],TeamGameData[School, Opponent,Game'#],PlayerGameData[[#This Row],[School, Opponent,Game'#]])</f>
        <v>#NAME?</v>
      </c>
      <c r="BK800" s="197" t="e">
        <f ca="1">_xlfn.MAXIFS(TeamGameData[Loss],TeamGameData[School, Opponent,Game'#],PlayerGameData[[#This Row],[School, Opponent,Game'#]])</f>
        <v>#NAME?</v>
      </c>
    </row>
    <row r="801" spans="1:63" x14ac:dyDescent="0.25">
      <c r="A801" s="8" t="str">
        <f t="shared" ca="1" si="393"/>
        <v>Chase Mills, 5</v>
      </c>
      <c r="B801" s="8" t="str">
        <f>Roster!$B$1</f>
        <v>Upton</v>
      </c>
      <c r="C801" s="8">
        <f t="shared" ca="1" si="381"/>
        <v>0</v>
      </c>
      <c r="D801" s="10">
        <f t="shared" ca="1" si="382"/>
        <v>0</v>
      </c>
      <c r="E801" s="8">
        <f t="shared" ca="1" si="383"/>
        <v>0</v>
      </c>
      <c r="F801" s="8">
        <f t="shared" ca="1" si="384"/>
        <v>0</v>
      </c>
      <c r="G801" s="8">
        <f t="shared" ca="1" si="385"/>
        <v>0</v>
      </c>
      <c r="H801" s="8">
        <f t="shared" ca="1" si="386"/>
        <v>0</v>
      </c>
      <c r="I801" s="8">
        <f t="shared" ca="1" si="387"/>
        <v>0</v>
      </c>
      <c r="J801" s="8">
        <f t="shared" ca="1" si="388"/>
        <v>0</v>
      </c>
      <c r="K801" s="8">
        <f t="shared" ca="1" si="389"/>
        <v>0</v>
      </c>
      <c r="L801" s="8">
        <f t="shared" ca="1" si="394"/>
        <v>0</v>
      </c>
      <c r="M801" s="8">
        <f t="shared" ca="1" si="395"/>
        <v>0</v>
      </c>
      <c r="N801" s="8">
        <f t="shared" ca="1" si="396"/>
        <v>0</v>
      </c>
      <c r="O801" s="8">
        <f t="shared" ca="1" si="397"/>
        <v>0</v>
      </c>
      <c r="P801" s="8">
        <f t="shared" ca="1" si="398"/>
        <v>0</v>
      </c>
      <c r="Q801" s="8">
        <f t="shared" ca="1" si="399"/>
        <v>0</v>
      </c>
      <c r="R801" s="8">
        <f t="shared" ca="1" si="400"/>
        <v>0</v>
      </c>
      <c r="S801" s="8">
        <f t="shared" ca="1" si="401"/>
        <v>0</v>
      </c>
      <c r="T801" s="8">
        <f t="shared" ca="1" si="402"/>
        <v>0</v>
      </c>
      <c r="U801" s="8">
        <f t="shared" ca="1" si="403"/>
        <v>0</v>
      </c>
      <c r="V801" s="8">
        <f t="shared" ca="1" si="404"/>
        <v>0</v>
      </c>
      <c r="W801" s="11" t="str">
        <f t="shared" ca="1" si="405"/>
        <v/>
      </c>
      <c r="X801" s="11" t="str">
        <f t="shared" ca="1" si="406"/>
        <v/>
      </c>
      <c r="Y801" s="11" t="str">
        <f t="shared" ca="1" si="407"/>
        <v/>
      </c>
      <c r="Z801" s="11" t="str">
        <f t="shared" ca="1" si="408"/>
        <v/>
      </c>
      <c r="AA801" s="11" t="str">
        <f t="shared" ca="1" si="409"/>
        <v/>
      </c>
      <c r="AB801" s="47">
        <f ca="1">PlayerGameData[[#This Row],[3FGA]]+PlayerGameData[[#This Row],[2FGA]]</f>
        <v>0</v>
      </c>
      <c r="AC801" s="47">
        <f ca="1">PlayerGameData[[#This Row],[OFF REB]]+PlayerGameData[[#This Row],[DEF REB]]</f>
        <v>0</v>
      </c>
      <c r="AD801" s="8">
        <f t="shared" si="390"/>
        <v>34</v>
      </c>
      <c r="AE801" s="8" t="str">
        <f t="shared" ca="1" si="391"/>
        <v>Chase Mills, 5 - 0 1/0/1900</v>
      </c>
      <c r="AF801" s="8" t="str">
        <f t="shared" ca="1" si="410"/>
        <v/>
      </c>
      <c r="AG801" s="8" t="str">
        <f ca="1">IFERROR(IF(C801=0,"",IF(AND(VLOOKUP(PlayerGameData[[#This Row],[Opponent]],WYTeamInfo,2,FALSE)=Roster!$D$1,VLOOKUP(PlayerGameData[[#This Row],[Opponent]],WYTeamInfo,3,FALSE)=Roster!$D$2),"SR","")),"")</f>
        <v/>
      </c>
      <c r="AH801" s="8" t="str">
        <f>CONCATENATE(Roster!$D$1," ",Roster!$D$5)</f>
        <v>1A BB</v>
      </c>
      <c r="AI801" s="8" t="str">
        <f t="shared" ca="1" si="392"/>
        <v>Blank</v>
      </c>
      <c r="AJ801" s="8">
        <f ca="1">IFERROR(VLOOKUP(PlayerGameData[[#This Row],[School, Opponent,Game'#]],Table3[],2,FALSE),0)</f>
        <v>0</v>
      </c>
      <c r="AK801" s="8">
        <f ca="1">IF(PlayerGameData[[#This Row],[Visible]]=1,1,1000)</f>
        <v>1000</v>
      </c>
      <c r="AL801" s="8">
        <f ca="1">RANK(PlayerGameData[[#This Row],[TL PTS]],PlayerGameData[TL PTS],0)+PlayerGameData[[#This Row],[VisibleOrder]]</f>
        <v>1184</v>
      </c>
      <c r="AM801" s="8">
        <f ca="1">IF(COUNTIF(PlayerGameData[PointOrder],PlayerGameData[[#This Row],[PointOrder]])&gt;1,RANK(PlayerGameData[[#This Row],[FGA]],PlayerGameData[FGA],0)/100,0)+PlayerGameData[[#This Row],[PointOrder]]</f>
        <v>1186.1400000000001</v>
      </c>
      <c r="AN801" s="8">
        <f ca="1">RANK(PlayerGameData[[#This Row],[PointTieBreak]],PlayerGameData[PointTieBreak],1)</f>
        <v>625</v>
      </c>
      <c r="AO801" s="8">
        <f ca="1">RANK(PlayerGameData[[#This Row],[REB]],PlayerGameData[REB],0)+PlayerGameData[[#This Row],[VisibleOrder]]</f>
        <v>1191</v>
      </c>
      <c r="AP801" s="8">
        <f ca="1">IF(COUNTIF(PlayerGameData[REBOrder],PlayerGameData[[#This Row],[REBOrder]])&gt;1,PlayerGameData[[#This Row],[PointRank]]/100+PlayerGameData[[#This Row],[REBOrder]],PlayerGameData[[#This Row],[REBOrder]])</f>
        <v>1197.25</v>
      </c>
      <c r="AQ801" s="8">
        <f ca="1">RANK(PlayerGameData[[#This Row],[REBTieBreak]],PlayerGameData[REBTieBreak],1)</f>
        <v>625</v>
      </c>
      <c r="AR801" s="8">
        <f ca="1">RANK(PlayerGameData[[#This Row],[AST]],PlayerGameData[AST],0)+PlayerGameData[[#This Row],[VisibleOrder]]</f>
        <v>1157</v>
      </c>
      <c r="AS801" s="8">
        <f ca="1">IF(COUNTIF(PlayerGameData[ASTOrder],PlayerGameData[[#This Row],[ASTOrder]])&gt;1,PlayerGameData[[#This Row],[PointRank]]/100+PlayerGameData[[#This Row],[ASTOrder]],PlayerGameData[[#This Row],[ASTOrder]])</f>
        <v>1163.25</v>
      </c>
      <c r="AT801" s="8">
        <f ca="1">RANK(PlayerGameData[[#This Row],[ASTTieBreak]],PlayerGameData[ASTTieBreak],1)</f>
        <v>625</v>
      </c>
      <c r="AU801" s="8">
        <f ca="1">RANK(PlayerGameData[[#This Row],[STL]],PlayerGameData[STL],0)+PlayerGameData[[#This Row],[VisibleOrder]]</f>
        <v>1142</v>
      </c>
      <c r="AV801" s="8">
        <f ca="1">IF(COUNTIF(PlayerGameData[STLOrder],PlayerGameData[[#This Row],[STLOrder]])&gt;1,PlayerGameData[[#This Row],[PointRank]]/100+PlayerGameData[[#This Row],[STLOrder]],PlayerGameData[[#This Row],[STLOrder]])</f>
        <v>1148.25</v>
      </c>
      <c r="AW801" s="8">
        <f ca="1">RANK(PlayerGameData[[#This Row],[STLTieBreak]],PlayerGameData[STLTieBreak],1)</f>
        <v>625</v>
      </c>
      <c r="AX801" s="8">
        <f ca="1">RANK(PlayerGameData[[#This Row],[BLK]],PlayerGameData[BLK],0)+PlayerGameData[[#This Row],[VisibleOrder]]</f>
        <v>1031</v>
      </c>
      <c r="AY801" s="8">
        <f ca="1">IF(COUNTIF(PlayerGameData[BLKOrder],PlayerGameData[[#This Row],[BLKOrder]])&gt;1,PlayerGameData[[#This Row],[PointRank]]/100+PlayerGameData[[#This Row],[BLKOrder]],PlayerGameData[[#This Row],[BLKOrder]])</f>
        <v>1037.25</v>
      </c>
      <c r="AZ801" s="8">
        <f ca="1">RANK(PlayerGameData[[#This Row],[BLKTieBreak]],PlayerGameData[BLKTieBreak],1)</f>
        <v>625</v>
      </c>
      <c r="BA801" s="11">
        <f ca="1">IFERROR(IF(PlayerGameData[[#This Row],[FGA]]&gt;$AA$5,PlayerGameData[[#This Row],[FG%*]],PlayerGameData[[#This Row],[FG%*]]*-1),-2)</f>
        <v>-2</v>
      </c>
      <c r="BB801" s="8">
        <f ca="1">RANK(PlayerGameData[[#This Row],[EligFG]],PlayerGameData[EligFG],0)+PlayerGameData[[#This Row],[VisibleOrder]]</f>
        <v>1214</v>
      </c>
      <c r="BC801" s="8">
        <f ca="1">IF(COUNTIF(PlayerGameData[EligFGOrder],PlayerGameData[[#This Row],[EligFGOrder]])&gt;1,PlayerGameData[[#This Row],[PointRank]]/100+PlayerGameData[[#This Row],[EligFGOrder]],PlayerGameData[[#This Row],[EligFGOrder]])</f>
        <v>1220.25</v>
      </c>
      <c r="BD801" s="8">
        <f ca="1">RANK(PlayerGameData[[#This Row],[EligFGTieBreak]],PlayerGameData[EligFGTieBreak],1)</f>
        <v>625</v>
      </c>
      <c r="BE801" s="8" t="str">
        <f>Roster!$D$3</f>
        <v>East</v>
      </c>
      <c r="BF801" s="8" t="str">
        <f>Roster!$D$2</f>
        <v>Northeast</v>
      </c>
      <c r="BG801" s="8" t="str">
        <f>Roster!$D$4</f>
        <v>North</v>
      </c>
      <c r="BH801" s="197">
        <f ca="1">IFERROR(VLOOKUP(CONCATENATE(PlayerGameData[[#This Row],[Opponent]]," ",MONTH(PlayerGameData[[#This Row],[Date]]),"/",DAY(PlayerGameData[[#This Row],[Date]]),"/",YEAR(PlayerGameData[[#This Row],[Date]])),Table35[],2,FALSE),0)</f>
        <v>0</v>
      </c>
      <c r="BI801" s="197">
        <f ca="1">IF(PlayerGameData[[#This Row],[Visible]]=1,1,1000)</f>
        <v>1000</v>
      </c>
      <c r="BJ801" s="197" t="e">
        <f ca="1">_xlfn.MAXIFS(TeamGameData[Win],TeamGameData[School, Opponent,Game'#],PlayerGameData[[#This Row],[School, Opponent,Game'#]])</f>
        <v>#NAME?</v>
      </c>
      <c r="BK801" s="197" t="e">
        <f ca="1">_xlfn.MAXIFS(TeamGameData[Loss],TeamGameData[School, Opponent,Game'#],PlayerGameData[[#This Row],[School, Opponent,Game'#]])</f>
        <v>#NAME?</v>
      </c>
    </row>
    <row r="802" spans="1:63" x14ac:dyDescent="0.25">
      <c r="A802" s="8" t="str">
        <f t="shared" ca="1" si="393"/>
        <v>Rhett Watt, 10</v>
      </c>
      <c r="B802" s="8" t="str">
        <f>Roster!$B$1</f>
        <v>Upton</v>
      </c>
      <c r="C802" s="8">
        <f t="shared" ca="1" si="381"/>
        <v>0</v>
      </c>
      <c r="D802" s="10">
        <f t="shared" ca="1" si="382"/>
        <v>0</v>
      </c>
      <c r="E802" s="8">
        <f t="shared" ca="1" si="383"/>
        <v>0</v>
      </c>
      <c r="F802" s="8">
        <f t="shared" ca="1" si="384"/>
        <v>0</v>
      </c>
      <c r="G802" s="8">
        <f t="shared" ca="1" si="385"/>
        <v>0</v>
      </c>
      <c r="H802" s="8">
        <f t="shared" ca="1" si="386"/>
        <v>0</v>
      </c>
      <c r="I802" s="8">
        <f t="shared" ca="1" si="387"/>
        <v>0</v>
      </c>
      <c r="J802" s="8">
        <f t="shared" ca="1" si="388"/>
        <v>0</v>
      </c>
      <c r="K802" s="8">
        <f t="shared" ca="1" si="389"/>
        <v>0</v>
      </c>
      <c r="L802" s="8">
        <f t="shared" ca="1" si="394"/>
        <v>0</v>
      </c>
      <c r="M802" s="8">
        <f t="shared" ca="1" si="395"/>
        <v>0</v>
      </c>
      <c r="N802" s="8">
        <f t="shared" ca="1" si="396"/>
        <v>0</v>
      </c>
      <c r="O802" s="8">
        <f t="shared" ca="1" si="397"/>
        <v>0</v>
      </c>
      <c r="P802" s="8">
        <f t="shared" ca="1" si="398"/>
        <v>0</v>
      </c>
      <c r="Q802" s="8">
        <f t="shared" ca="1" si="399"/>
        <v>0</v>
      </c>
      <c r="R802" s="8">
        <f t="shared" ca="1" si="400"/>
        <v>0</v>
      </c>
      <c r="S802" s="8">
        <f t="shared" ca="1" si="401"/>
        <v>0</v>
      </c>
      <c r="T802" s="8">
        <f t="shared" ca="1" si="402"/>
        <v>0</v>
      </c>
      <c r="U802" s="8">
        <f t="shared" ca="1" si="403"/>
        <v>0</v>
      </c>
      <c r="V802" s="8">
        <f t="shared" ca="1" si="404"/>
        <v>0</v>
      </c>
      <c r="W802" s="11" t="str">
        <f t="shared" ca="1" si="405"/>
        <v/>
      </c>
      <c r="X802" s="11" t="str">
        <f t="shared" ca="1" si="406"/>
        <v/>
      </c>
      <c r="Y802" s="11" t="str">
        <f t="shared" ca="1" si="407"/>
        <v/>
      </c>
      <c r="Z802" s="11" t="str">
        <f t="shared" ca="1" si="408"/>
        <v/>
      </c>
      <c r="AA802" s="11" t="str">
        <f t="shared" ca="1" si="409"/>
        <v/>
      </c>
      <c r="AB802" s="47">
        <f ca="1">PlayerGameData[[#This Row],[3FGA]]+PlayerGameData[[#This Row],[2FGA]]</f>
        <v>0</v>
      </c>
      <c r="AC802" s="47">
        <f ca="1">PlayerGameData[[#This Row],[OFF REB]]+PlayerGameData[[#This Row],[DEF REB]]</f>
        <v>0</v>
      </c>
      <c r="AD802" s="8">
        <f t="shared" si="390"/>
        <v>34</v>
      </c>
      <c r="AE802" s="8" t="str">
        <f t="shared" ca="1" si="391"/>
        <v>Rhett Watt, 10 - 0 1/0/1900</v>
      </c>
      <c r="AF802" s="8" t="str">
        <f t="shared" ca="1" si="410"/>
        <v/>
      </c>
      <c r="AG802" s="8" t="str">
        <f ca="1">IFERROR(IF(C802=0,"",IF(AND(VLOOKUP(PlayerGameData[[#This Row],[Opponent]],WYTeamInfo,2,FALSE)=Roster!$D$1,VLOOKUP(PlayerGameData[[#This Row],[Opponent]],WYTeamInfo,3,FALSE)=Roster!$D$2),"SR","")),"")</f>
        <v/>
      </c>
      <c r="AH802" s="8" t="str">
        <f>CONCATENATE(Roster!$D$1," ",Roster!$D$5)</f>
        <v>1A BB</v>
      </c>
      <c r="AI802" s="8" t="str">
        <f t="shared" ca="1" si="392"/>
        <v>Blank</v>
      </c>
      <c r="AJ802" s="8">
        <f ca="1">IFERROR(VLOOKUP(PlayerGameData[[#This Row],[School, Opponent,Game'#]],Table3[],2,FALSE),0)</f>
        <v>0</v>
      </c>
      <c r="AK802" s="8">
        <f ca="1">IF(PlayerGameData[[#This Row],[Visible]]=1,1,1000)</f>
        <v>1000</v>
      </c>
      <c r="AL802" s="8">
        <f ca="1">RANK(PlayerGameData[[#This Row],[TL PTS]],PlayerGameData[TL PTS],0)+PlayerGameData[[#This Row],[VisibleOrder]]</f>
        <v>1184</v>
      </c>
      <c r="AM802" s="8">
        <f ca="1">IF(COUNTIF(PlayerGameData[PointOrder],PlayerGameData[[#This Row],[PointOrder]])&gt;1,RANK(PlayerGameData[[#This Row],[FGA]],PlayerGameData[FGA],0)/100,0)+PlayerGameData[[#This Row],[PointOrder]]</f>
        <v>1186.1400000000001</v>
      </c>
      <c r="AN802" s="8">
        <f ca="1">RANK(PlayerGameData[[#This Row],[PointTieBreak]],PlayerGameData[PointTieBreak],1)</f>
        <v>625</v>
      </c>
      <c r="AO802" s="8">
        <f ca="1">RANK(PlayerGameData[[#This Row],[REB]],PlayerGameData[REB],0)+PlayerGameData[[#This Row],[VisibleOrder]]</f>
        <v>1191</v>
      </c>
      <c r="AP802" s="8">
        <f ca="1">IF(COUNTIF(PlayerGameData[REBOrder],PlayerGameData[[#This Row],[REBOrder]])&gt;1,PlayerGameData[[#This Row],[PointRank]]/100+PlayerGameData[[#This Row],[REBOrder]],PlayerGameData[[#This Row],[REBOrder]])</f>
        <v>1197.25</v>
      </c>
      <c r="AQ802" s="8">
        <f ca="1">RANK(PlayerGameData[[#This Row],[REBTieBreak]],PlayerGameData[REBTieBreak],1)</f>
        <v>625</v>
      </c>
      <c r="AR802" s="8">
        <f ca="1">RANK(PlayerGameData[[#This Row],[AST]],PlayerGameData[AST],0)+PlayerGameData[[#This Row],[VisibleOrder]]</f>
        <v>1157</v>
      </c>
      <c r="AS802" s="8">
        <f ca="1">IF(COUNTIF(PlayerGameData[ASTOrder],PlayerGameData[[#This Row],[ASTOrder]])&gt;1,PlayerGameData[[#This Row],[PointRank]]/100+PlayerGameData[[#This Row],[ASTOrder]],PlayerGameData[[#This Row],[ASTOrder]])</f>
        <v>1163.25</v>
      </c>
      <c r="AT802" s="8">
        <f ca="1">RANK(PlayerGameData[[#This Row],[ASTTieBreak]],PlayerGameData[ASTTieBreak],1)</f>
        <v>625</v>
      </c>
      <c r="AU802" s="8">
        <f ca="1">RANK(PlayerGameData[[#This Row],[STL]],PlayerGameData[STL],0)+PlayerGameData[[#This Row],[VisibleOrder]]</f>
        <v>1142</v>
      </c>
      <c r="AV802" s="8">
        <f ca="1">IF(COUNTIF(PlayerGameData[STLOrder],PlayerGameData[[#This Row],[STLOrder]])&gt;1,PlayerGameData[[#This Row],[PointRank]]/100+PlayerGameData[[#This Row],[STLOrder]],PlayerGameData[[#This Row],[STLOrder]])</f>
        <v>1148.25</v>
      </c>
      <c r="AW802" s="8">
        <f ca="1">RANK(PlayerGameData[[#This Row],[STLTieBreak]],PlayerGameData[STLTieBreak],1)</f>
        <v>625</v>
      </c>
      <c r="AX802" s="8">
        <f ca="1">RANK(PlayerGameData[[#This Row],[BLK]],PlayerGameData[BLK],0)+PlayerGameData[[#This Row],[VisibleOrder]]</f>
        <v>1031</v>
      </c>
      <c r="AY802" s="8">
        <f ca="1">IF(COUNTIF(PlayerGameData[BLKOrder],PlayerGameData[[#This Row],[BLKOrder]])&gt;1,PlayerGameData[[#This Row],[PointRank]]/100+PlayerGameData[[#This Row],[BLKOrder]],PlayerGameData[[#This Row],[BLKOrder]])</f>
        <v>1037.25</v>
      </c>
      <c r="AZ802" s="8">
        <f ca="1">RANK(PlayerGameData[[#This Row],[BLKTieBreak]],PlayerGameData[BLKTieBreak],1)</f>
        <v>625</v>
      </c>
      <c r="BA802" s="11">
        <f ca="1">IFERROR(IF(PlayerGameData[[#This Row],[FGA]]&gt;$AA$5,PlayerGameData[[#This Row],[FG%*]],PlayerGameData[[#This Row],[FG%*]]*-1),-2)</f>
        <v>-2</v>
      </c>
      <c r="BB802" s="8">
        <f ca="1">RANK(PlayerGameData[[#This Row],[EligFG]],PlayerGameData[EligFG],0)+PlayerGameData[[#This Row],[VisibleOrder]]</f>
        <v>1214</v>
      </c>
      <c r="BC802" s="8">
        <f ca="1">IF(COUNTIF(PlayerGameData[EligFGOrder],PlayerGameData[[#This Row],[EligFGOrder]])&gt;1,PlayerGameData[[#This Row],[PointRank]]/100+PlayerGameData[[#This Row],[EligFGOrder]],PlayerGameData[[#This Row],[EligFGOrder]])</f>
        <v>1220.25</v>
      </c>
      <c r="BD802" s="8">
        <f ca="1">RANK(PlayerGameData[[#This Row],[EligFGTieBreak]],PlayerGameData[EligFGTieBreak],1)</f>
        <v>625</v>
      </c>
      <c r="BE802" s="8" t="str">
        <f>Roster!$D$3</f>
        <v>East</v>
      </c>
      <c r="BF802" s="8" t="str">
        <f>Roster!$D$2</f>
        <v>Northeast</v>
      </c>
      <c r="BG802" s="8" t="str">
        <f>Roster!$D$4</f>
        <v>North</v>
      </c>
      <c r="BH802" s="197">
        <f ca="1">IFERROR(VLOOKUP(CONCATENATE(PlayerGameData[[#This Row],[Opponent]]," ",MONTH(PlayerGameData[[#This Row],[Date]]),"/",DAY(PlayerGameData[[#This Row],[Date]]),"/",YEAR(PlayerGameData[[#This Row],[Date]])),Table35[],2,FALSE),0)</f>
        <v>0</v>
      </c>
      <c r="BI802" s="197">
        <f ca="1">IF(PlayerGameData[[#This Row],[Visible]]=1,1,1000)</f>
        <v>1000</v>
      </c>
      <c r="BJ802" s="197" t="e">
        <f ca="1">_xlfn.MAXIFS(TeamGameData[Win],TeamGameData[School, Opponent,Game'#],PlayerGameData[[#This Row],[School, Opponent,Game'#]])</f>
        <v>#NAME?</v>
      </c>
      <c r="BK802" s="197" t="e">
        <f ca="1">_xlfn.MAXIFS(TeamGameData[Loss],TeamGameData[School, Opponent,Game'#],PlayerGameData[[#This Row],[School, Opponent,Game'#]])</f>
        <v>#NAME?</v>
      </c>
    </row>
    <row r="803" spans="1:63" x14ac:dyDescent="0.25">
      <c r="A803" s="8" t="str">
        <f t="shared" ca="1" si="393"/>
        <v>Keith Coburn, 11</v>
      </c>
      <c r="B803" s="8" t="str">
        <f>Roster!$B$1</f>
        <v>Upton</v>
      </c>
      <c r="C803" s="8">
        <f t="shared" ca="1" si="381"/>
        <v>0</v>
      </c>
      <c r="D803" s="10">
        <f t="shared" ca="1" si="382"/>
        <v>0</v>
      </c>
      <c r="E803" s="8">
        <f t="shared" ca="1" si="383"/>
        <v>0</v>
      </c>
      <c r="F803" s="8">
        <f t="shared" ca="1" si="384"/>
        <v>0</v>
      </c>
      <c r="G803" s="8">
        <f t="shared" ca="1" si="385"/>
        <v>0</v>
      </c>
      <c r="H803" s="8">
        <f t="shared" ca="1" si="386"/>
        <v>0</v>
      </c>
      <c r="I803" s="8">
        <f t="shared" ca="1" si="387"/>
        <v>0</v>
      </c>
      <c r="J803" s="8">
        <f t="shared" ca="1" si="388"/>
        <v>0</v>
      </c>
      <c r="K803" s="8">
        <f t="shared" ca="1" si="389"/>
        <v>0</v>
      </c>
      <c r="L803" s="8">
        <f t="shared" ca="1" si="394"/>
        <v>0</v>
      </c>
      <c r="M803" s="8">
        <f t="shared" ca="1" si="395"/>
        <v>0</v>
      </c>
      <c r="N803" s="8">
        <f t="shared" ca="1" si="396"/>
        <v>0</v>
      </c>
      <c r="O803" s="8">
        <f t="shared" ca="1" si="397"/>
        <v>0</v>
      </c>
      <c r="P803" s="8">
        <f t="shared" ca="1" si="398"/>
        <v>0</v>
      </c>
      <c r="Q803" s="8">
        <f t="shared" ca="1" si="399"/>
        <v>0</v>
      </c>
      <c r="R803" s="8">
        <f t="shared" ca="1" si="400"/>
        <v>0</v>
      </c>
      <c r="S803" s="8">
        <f t="shared" ca="1" si="401"/>
        <v>0</v>
      </c>
      <c r="T803" s="8">
        <f t="shared" ca="1" si="402"/>
        <v>0</v>
      </c>
      <c r="U803" s="8">
        <f t="shared" ca="1" si="403"/>
        <v>0</v>
      </c>
      <c r="V803" s="8">
        <f t="shared" ca="1" si="404"/>
        <v>0</v>
      </c>
      <c r="W803" s="11" t="str">
        <f t="shared" ca="1" si="405"/>
        <v/>
      </c>
      <c r="X803" s="11" t="str">
        <f t="shared" ca="1" si="406"/>
        <v/>
      </c>
      <c r="Y803" s="11" t="str">
        <f t="shared" ca="1" si="407"/>
        <v/>
      </c>
      <c r="Z803" s="11" t="str">
        <f t="shared" ca="1" si="408"/>
        <v/>
      </c>
      <c r="AA803" s="11" t="str">
        <f t="shared" ca="1" si="409"/>
        <v/>
      </c>
      <c r="AB803" s="47">
        <f ca="1">PlayerGameData[[#This Row],[3FGA]]+PlayerGameData[[#This Row],[2FGA]]</f>
        <v>0</v>
      </c>
      <c r="AC803" s="47">
        <f ca="1">PlayerGameData[[#This Row],[OFF REB]]+PlayerGameData[[#This Row],[DEF REB]]</f>
        <v>0</v>
      </c>
      <c r="AD803" s="8">
        <f t="shared" si="390"/>
        <v>34</v>
      </c>
      <c r="AE803" s="8" t="str">
        <f t="shared" ca="1" si="391"/>
        <v>Keith Coburn, 11 - 0 1/0/1900</v>
      </c>
      <c r="AF803" s="8" t="str">
        <f t="shared" ca="1" si="410"/>
        <v/>
      </c>
      <c r="AG803" s="8" t="str">
        <f ca="1">IFERROR(IF(C803=0,"",IF(AND(VLOOKUP(PlayerGameData[[#This Row],[Opponent]],WYTeamInfo,2,FALSE)=Roster!$D$1,VLOOKUP(PlayerGameData[[#This Row],[Opponent]],WYTeamInfo,3,FALSE)=Roster!$D$2),"SR","")),"")</f>
        <v/>
      </c>
      <c r="AH803" s="8" t="str">
        <f>CONCATENATE(Roster!$D$1," ",Roster!$D$5)</f>
        <v>1A BB</v>
      </c>
      <c r="AI803" s="8" t="str">
        <f t="shared" ca="1" si="392"/>
        <v>Blank</v>
      </c>
      <c r="AJ803" s="8">
        <f ca="1">IFERROR(VLOOKUP(PlayerGameData[[#This Row],[School, Opponent,Game'#]],Table3[],2,FALSE),0)</f>
        <v>0</v>
      </c>
      <c r="AK803" s="8">
        <f ca="1">IF(PlayerGameData[[#This Row],[Visible]]=1,1,1000)</f>
        <v>1000</v>
      </c>
      <c r="AL803" s="8">
        <f ca="1">RANK(PlayerGameData[[#This Row],[TL PTS]],PlayerGameData[TL PTS],0)+PlayerGameData[[#This Row],[VisibleOrder]]</f>
        <v>1184</v>
      </c>
      <c r="AM803" s="8">
        <f ca="1">IF(COUNTIF(PlayerGameData[PointOrder],PlayerGameData[[#This Row],[PointOrder]])&gt;1,RANK(PlayerGameData[[#This Row],[FGA]],PlayerGameData[FGA],0)/100,0)+PlayerGameData[[#This Row],[PointOrder]]</f>
        <v>1186.1400000000001</v>
      </c>
      <c r="AN803" s="8">
        <f ca="1">RANK(PlayerGameData[[#This Row],[PointTieBreak]],PlayerGameData[PointTieBreak],1)</f>
        <v>625</v>
      </c>
      <c r="AO803" s="8">
        <f ca="1">RANK(PlayerGameData[[#This Row],[REB]],PlayerGameData[REB],0)+PlayerGameData[[#This Row],[VisibleOrder]]</f>
        <v>1191</v>
      </c>
      <c r="AP803" s="8">
        <f ca="1">IF(COUNTIF(PlayerGameData[REBOrder],PlayerGameData[[#This Row],[REBOrder]])&gt;1,PlayerGameData[[#This Row],[PointRank]]/100+PlayerGameData[[#This Row],[REBOrder]],PlayerGameData[[#This Row],[REBOrder]])</f>
        <v>1197.25</v>
      </c>
      <c r="AQ803" s="8">
        <f ca="1">RANK(PlayerGameData[[#This Row],[REBTieBreak]],PlayerGameData[REBTieBreak],1)</f>
        <v>625</v>
      </c>
      <c r="AR803" s="8">
        <f ca="1">RANK(PlayerGameData[[#This Row],[AST]],PlayerGameData[AST],0)+PlayerGameData[[#This Row],[VisibleOrder]]</f>
        <v>1157</v>
      </c>
      <c r="AS803" s="8">
        <f ca="1">IF(COUNTIF(PlayerGameData[ASTOrder],PlayerGameData[[#This Row],[ASTOrder]])&gt;1,PlayerGameData[[#This Row],[PointRank]]/100+PlayerGameData[[#This Row],[ASTOrder]],PlayerGameData[[#This Row],[ASTOrder]])</f>
        <v>1163.25</v>
      </c>
      <c r="AT803" s="8">
        <f ca="1">RANK(PlayerGameData[[#This Row],[ASTTieBreak]],PlayerGameData[ASTTieBreak],1)</f>
        <v>625</v>
      </c>
      <c r="AU803" s="8">
        <f ca="1">RANK(PlayerGameData[[#This Row],[STL]],PlayerGameData[STL],0)+PlayerGameData[[#This Row],[VisibleOrder]]</f>
        <v>1142</v>
      </c>
      <c r="AV803" s="8">
        <f ca="1">IF(COUNTIF(PlayerGameData[STLOrder],PlayerGameData[[#This Row],[STLOrder]])&gt;1,PlayerGameData[[#This Row],[PointRank]]/100+PlayerGameData[[#This Row],[STLOrder]],PlayerGameData[[#This Row],[STLOrder]])</f>
        <v>1148.25</v>
      </c>
      <c r="AW803" s="8">
        <f ca="1">RANK(PlayerGameData[[#This Row],[STLTieBreak]],PlayerGameData[STLTieBreak],1)</f>
        <v>625</v>
      </c>
      <c r="AX803" s="8">
        <f ca="1">RANK(PlayerGameData[[#This Row],[BLK]],PlayerGameData[BLK],0)+PlayerGameData[[#This Row],[VisibleOrder]]</f>
        <v>1031</v>
      </c>
      <c r="AY803" s="8">
        <f ca="1">IF(COUNTIF(PlayerGameData[BLKOrder],PlayerGameData[[#This Row],[BLKOrder]])&gt;1,PlayerGameData[[#This Row],[PointRank]]/100+PlayerGameData[[#This Row],[BLKOrder]],PlayerGameData[[#This Row],[BLKOrder]])</f>
        <v>1037.25</v>
      </c>
      <c r="AZ803" s="8">
        <f ca="1">RANK(PlayerGameData[[#This Row],[BLKTieBreak]],PlayerGameData[BLKTieBreak],1)</f>
        <v>625</v>
      </c>
      <c r="BA803" s="11">
        <f ca="1">IFERROR(IF(PlayerGameData[[#This Row],[FGA]]&gt;$AA$5,PlayerGameData[[#This Row],[FG%*]],PlayerGameData[[#This Row],[FG%*]]*-1),-2)</f>
        <v>-2</v>
      </c>
      <c r="BB803" s="8">
        <f ca="1">RANK(PlayerGameData[[#This Row],[EligFG]],PlayerGameData[EligFG],0)+PlayerGameData[[#This Row],[VisibleOrder]]</f>
        <v>1214</v>
      </c>
      <c r="BC803" s="8">
        <f ca="1">IF(COUNTIF(PlayerGameData[EligFGOrder],PlayerGameData[[#This Row],[EligFGOrder]])&gt;1,PlayerGameData[[#This Row],[PointRank]]/100+PlayerGameData[[#This Row],[EligFGOrder]],PlayerGameData[[#This Row],[EligFGOrder]])</f>
        <v>1220.25</v>
      </c>
      <c r="BD803" s="8">
        <f ca="1">RANK(PlayerGameData[[#This Row],[EligFGTieBreak]],PlayerGameData[EligFGTieBreak],1)</f>
        <v>625</v>
      </c>
      <c r="BE803" s="8" t="str">
        <f>Roster!$D$3</f>
        <v>East</v>
      </c>
      <c r="BF803" s="8" t="str">
        <f>Roster!$D$2</f>
        <v>Northeast</v>
      </c>
      <c r="BG803" s="8" t="str">
        <f>Roster!$D$4</f>
        <v>North</v>
      </c>
      <c r="BH803" s="197">
        <f ca="1">IFERROR(VLOOKUP(CONCATENATE(PlayerGameData[[#This Row],[Opponent]]," ",MONTH(PlayerGameData[[#This Row],[Date]]),"/",DAY(PlayerGameData[[#This Row],[Date]]),"/",YEAR(PlayerGameData[[#This Row],[Date]])),Table35[],2,FALSE),0)</f>
        <v>0</v>
      </c>
      <c r="BI803" s="197">
        <f ca="1">IF(PlayerGameData[[#This Row],[Visible]]=1,1,1000)</f>
        <v>1000</v>
      </c>
      <c r="BJ803" s="197" t="e">
        <f ca="1">_xlfn.MAXIFS(TeamGameData[Win],TeamGameData[School, Opponent,Game'#],PlayerGameData[[#This Row],[School, Opponent,Game'#]])</f>
        <v>#NAME?</v>
      </c>
      <c r="BK803" s="197" t="e">
        <f ca="1">_xlfn.MAXIFS(TeamGameData[Loss],TeamGameData[School, Opponent,Game'#],PlayerGameData[[#This Row],[School, Opponent,Game'#]])</f>
        <v>#NAME?</v>
      </c>
    </row>
    <row r="804" spans="1:63" x14ac:dyDescent="0.25">
      <c r="A804" s="8" t="str">
        <f t="shared" ca="1" si="393"/>
        <v>Carson Barritt, 14</v>
      </c>
      <c r="B804" s="8" t="str">
        <f>Roster!$B$1</f>
        <v>Upton</v>
      </c>
      <c r="C804" s="8">
        <f t="shared" ca="1" si="381"/>
        <v>0</v>
      </c>
      <c r="D804" s="10">
        <f t="shared" ca="1" si="382"/>
        <v>0</v>
      </c>
      <c r="E804" s="8">
        <f t="shared" ca="1" si="383"/>
        <v>0</v>
      </c>
      <c r="F804" s="8">
        <f t="shared" ca="1" si="384"/>
        <v>0</v>
      </c>
      <c r="G804" s="8">
        <f t="shared" ca="1" si="385"/>
        <v>0</v>
      </c>
      <c r="H804" s="8">
        <f t="shared" ca="1" si="386"/>
        <v>0</v>
      </c>
      <c r="I804" s="8">
        <f t="shared" ca="1" si="387"/>
        <v>0</v>
      </c>
      <c r="J804" s="8">
        <f t="shared" ca="1" si="388"/>
        <v>0</v>
      </c>
      <c r="K804" s="8">
        <f t="shared" ca="1" si="389"/>
        <v>0</v>
      </c>
      <c r="L804" s="8">
        <f t="shared" ca="1" si="394"/>
        <v>0</v>
      </c>
      <c r="M804" s="8">
        <f t="shared" ca="1" si="395"/>
        <v>0</v>
      </c>
      <c r="N804" s="8">
        <f t="shared" ca="1" si="396"/>
        <v>0</v>
      </c>
      <c r="O804" s="8">
        <f t="shared" ca="1" si="397"/>
        <v>0</v>
      </c>
      <c r="P804" s="8">
        <f t="shared" ca="1" si="398"/>
        <v>0</v>
      </c>
      <c r="Q804" s="8">
        <f t="shared" ca="1" si="399"/>
        <v>0</v>
      </c>
      <c r="R804" s="8">
        <f t="shared" ca="1" si="400"/>
        <v>0</v>
      </c>
      <c r="S804" s="8">
        <f t="shared" ca="1" si="401"/>
        <v>0</v>
      </c>
      <c r="T804" s="8">
        <f t="shared" ca="1" si="402"/>
        <v>0</v>
      </c>
      <c r="U804" s="8">
        <f t="shared" ca="1" si="403"/>
        <v>0</v>
      </c>
      <c r="V804" s="8">
        <f t="shared" ca="1" si="404"/>
        <v>0</v>
      </c>
      <c r="W804" s="11" t="str">
        <f t="shared" ca="1" si="405"/>
        <v/>
      </c>
      <c r="X804" s="11" t="str">
        <f t="shared" ca="1" si="406"/>
        <v/>
      </c>
      <c r="Y804" s="11" t="str">
        <f t="shared" ca="1" si="407"/>
        <v/>
      </c>
      <c r="Z804" s="11" t="str">
        <f t="shared" ca="1" si="408"/>
        <v/>
      </c>
      <c r="AA804" s="11" t="str">
        <f t="shared" ca="1" si="409"/>
        <v/>
      </c>
      <c r="AB804" s="47">
        <f ca="1">PlayerGameData[[#This Row],[3FGA]]+PlayerGameData[[#This Row],[2FGA]]</f>
        <v>0</v>
      </c>
      <c r="AC804" s="47">
        <f ca="1">PlayerGameData[[#This Row],[OFF REB]]+PlayerGameData[[#This Row],[DEF REB]]</f>
        <v>0</v>
      </c>
      <c r="AD804" s="8">
        <f t="shared" si="390"/>
        <v>34</v>
      </c>
      <c r="AE804" s="8" t="str">
        <f t="shared" ca="1" si="391"/>
        <v>Carson Barritt, 14 - 0 1/0/1900</v>
      </c>
      <c r="AF804" s="8" t="str">
        <f t="shared" ca="1" si="410"/>
        <v/>
      </c>
      <c r="AG804" s="8" t="str">
        <f ca="1">IFERROR(IF(C804=0,"",IF(AND(VLOOKUP(PlayerGameData[[#This Row],[Opponent]],WYTeamInfo,2,FALSE)=Roster!$D$1,VLOOKUP(PlayerGameData[[#This Row],[Opponent]],WYTeamInfo,3,FALSE)=Roster!$D$2),"SR","")),"")</f>
        <v/>
      </c>
      <c r="AH804" s="8" t="str">
        <f>CONCATENATE(Roster!$D$1," ",Roster!$D$5)</f>
        <v>1A BB</v>
      </c>
      <c r="AI804" s="8" t="str">
        <f t="shared" ca="1" si="392"/>
        <v>Blank</v>
      </c>
      <c r="AJ804" s="8">
        <f ca="1">IFERROR(VLOOKUP(PlayerGameData[[#This Row],[School, Opponent,Game'#]],Table3[],2,FALSE),0)</f>
        <v>0</v>
      </c>
      <c r="AK804" s="8">
        <f ca="1">IF(PlayerGameData[[#This Row],[Visible]]=1,1,1000)</f>
        <v>1000</v>
      </c>
      <c r="AL804" s="8">
        <f ca="1">RANK(PlayerGameData[[#This Row],[TL PTS]],PlayerGameData[TL PTS],0)+PlayerGameData[[#This Row],[VisibleOrder]]</f>
        <v>1184</v>
      </c>
      <c r="AM804" s="8">
        <f ca="1">IF(COUNTIF(PlayerGameData[PointOrder],PlayerGameData[[#This Row],[PointOrder]])&gt;1,RANK(PlayerGameData[[#This Row],[FGA]],PlayerGameData[FGA],0)/100,0)+PlayerGameData[[#This Row],[PointOrder]]</f>
        <v>1186.1400000000001</v>
      </c>
      <c r="AN804" s="8">
        <f ca="1">RANK(PlayerGameData[[#This Row],[PointTieBreak]],PlayerGameData[PointTieBreak],1)</f>
        <v>625</v>
      </c>
      <c r="AO804" s="8">
        <f ca="1">RANK(PlayerGameData[[#This Row],[REB]],PlayerGameData[REB],0)+PlayerGameData[[#This Row],[VisibleOrder]]</f>
        <v>1191</v>
      </c>
      <c r="AP804" s="8">
        <f ca="1">IF(COUNTIF(PlayerGameData[REBOrder],PlayerGameData[[#This Row],[REBOrder]])&gt;1,PlayerGameData[[#This Row],[PointRank]]/100+PlayerGameData[[#This Row],[REBOrder]],PlayerGameData[[#This Row],[REBOrder]])</f>
        <v>1197.25</v>
      </c>
      <c r="AQ804" s="8">
        <f ca="1">RANK(PlayerGameData[[#This Row],[REBTieBreak]],PlayerGameData[REBTieBreak],1)</f>
        <v>625</v>
      </c>
      <c r="AR804" s="8">
        <f ca="1">RANK(PlayerGameData[[#This Row],[AST]],PlayerGameData[AST],0)+PlayerGameData[[#This Row],[VisibleOrder]]</f>
        <v>1157</v>
      </c>
      <c r="AS804" s="8">
        <f ca="1">IF(COUNTIF(PlayerGameData[ASTOrder],PlayerGameData[[#This Row],[ASTOrder]])&gt;1,PlayerGameData[[#This Row],[PointRank]]/100+PlayerGameData[[#This Row],[ASTOrder]],PlayerGameData[[#This Row],[ASTOrder]])</f>
        <v>1163.25</v>
      </c>
      <c r="AT804" s="8">
        <f ca="1">RANK(PlayerGameData[[#This Row],[ASTTieBreak]],PlayerGameData[ASTTieBreak],1)</f>
        <v>625</v>
      </c>
      <c r="AU804" s="8">
        <f ca="1">RANK(PlayerGameData[[#This Row],[STL]],PlayerGameData[STL],0)+PlayerGameData[[#This Row],[VisibleOrder]]</f>
        <v>1142</v>
      </c>
      <c r="AV804" s="8">
        <f ca="1">IF(COUNTIF(PlayerGameData[STLOrder],PlayerGameData[[#This Row],[STLOrder]])&gt;1,PlayerGameData[[#This Row],[PointRank]]/100+PlayerGameData[[#This Row],[STLOrder]],PlayerGameData[[#This Row],[STLOrder]])</f>
        <v>1148.25</v>
      </c>
      <c r="AW804" s="8">
        <f ca="1">RANK(PlayerGameData[[#This Row],[STLTieBreak]],PlayerGameData[STLTieBreak],1)</f>
        <v>625</v>
      </c>
      <c r="AX804" s="8">
        <f ca="1">RANK(PlayerGameData[[#This Row],[BLK]],PlayerGameData[BLK],0)+PlayerGameData[[#This Row],[VisibleOrder]]</f>
        <v>1031</v>
      </c>
      <c r="AY804" s="8">
        <f ca="1">IF(COUNTIF(PlayerGameData[BLKOrder],PlayerGameData[[#This Row],[BLKOrder]])&gt;1,PlayerGameData[[#This Row],[PointRank]]/100+PlayerGameData[[#This Row],[BLKOrder]],PlayerGameData[[#This Row],[BLKOrder]])</f>
        <v>1037.25</v>
      </c>
      <c r="AZ804" s="8">
        <f ca="1">RANK(PlayerGameData[[#This Row],[BLKTieBreak]],PlayerGameData[BLKTieBreak],1)</f>
        <v>625</v>
      </c>
      <c r="BA804" s="11">
        <f ca="1">IFERROR(IF(PlayerGameData[[#This Row],[FGA]]&gt;$AA$5,PlayerGameData[[#This Row],[FG%*]],PlayerGameData[[#This Row],[FG%*]]*-1),-2)</f>
        <v>-2</v>
      </c>
      <c r="BB804" s="8">
        <f ca="1">RANK(PlayerGameData[[#This Row],[EligFG]],PlayerGameData[EligFG],0)+PlayerGameData[[#This Row],[VisibleOrder]]</f>
        <v>1214</v>
      </c>
      <c r="BC804" s="8">
        <f ca="1">IF(COUNTIF(PlayerGameData[EligFGOrder],PlayerGameData[[#This Row],[EligFGOrder]])&gt;1,PlayerGameData[[#This Row],[PointRank]]/100+PlayerGameData[[#This Row],[EligFGOrder]],PlayerGameData[[#This Row],[EligFGOrder]])</f>
        <v>1220.25</v>
      </c>
      <c r="BD804" s="8">
        <f ca="1">RANK(PlayerGameData[[#This Row],[EligFGTieBreak]],PlayerGameData[EligFGTieBreak],1)</f>
        <v>625</v>
      </c>
      <c r="BE804" s="8" t="str">
        <f>Roster!$D$3</f>
        <v>East</v>
      </c>
      <c r="BF804" s="8" t="str">
        <f>Roster!$D$2</f>
        <v>Northeast</v>
      </c>
      <c r="BG804" s="8" t="str">
        <f>Roster!$D$4</f>
        <v>North</v>
      </c>
      <c r="BH804" s="197">
        <f ca="1">IFERROR(VLOOKUP(CONCATENATE(PlayerGameData[[#This Row],[Opponent]]," ",MONTH(PlayerGameData[[#This Row],[Date]]),"/",DAY(PlayerGameData[[#This Row],[Date]]),"/",YEAR(PlayerGameData[[#This Row],[Date]])),Table35[],2,FALSE),0)</f>
        <v>0</v>
      </c>
      <c r="BI804" s="197">
        <f ca="1">IF(PlayerGameData[[#This Row],[Visible]]=1,1,1000)</f>
        <v>1000</v>
      </c>
      <c r="BJ804" s="197" t="e">
        <f ca="1">_xlfn.MAXIFS(TeamGameData[Win],TeamGameData[School, Opponent,Game'#],PlayerGameData[[#This Row],[School, Opponent,Game'#]])</f>
        <v>#NAME?</v>
      </c>
      <c r="BK804" s="197" t="e">
        <f ca="1">_xlfn.MAXIFS(TeamGameData[Loss],TeamGameData[School, Opponent,Game'#],PlayerGameData[[#This Row],[School, Opponent,Game'#]])</f>
        <v>#NAME?</v>
      </c>
    </row>
    <row r="805" spans="1:63" x14ac:dyDescent="0.25">
      <c r="A805" s="8" t="str">
        <f t="shared" ca="1" si="393"/>
        <v>Ben Carpenter, 21</v>
      </c>
      <c r="B805" s="8" t="str">
        <f>Roster!$B$1</f>
        <v>Upton</v>
      </c>
      <c r="C805" s="8">
        <f t="shared" ca="1" si="381"/>
        <v>0</v>
      </c>
      <c r="D805" s="10">
        <f t="shared" ca="1" si="382"/>
        <v>0</v>
      </c>
      <c r="E805" s="8">
        <f t="shared" ca="1" si="383"/>
        <v>0</v>
      </c>
      <c r="F805" s="8">
        <f t="shared" ca="1" si="384"/>
        <v>0</v>
      </c>
      <c r="G805" s="8">
        <f t="shared" ca="1" si="385"/>
        <v>0</v>
      </c>
      <c r="H805" s="8">
        <f t="shared" ca="1" si="386"/>
        <v>0</v>
      </c>
      <c r="I805" s="8">
        <f t="shared" ca="1" si="387"/>
        <v>0</v>
      </c>
      <c r="J805" s="8">
        <f t="shared" ca="1" si="388"/>
        <v>0</v>
      </c>
      <c r="K805" s="8">
        <f t="shared" ca="1" si="389"/>
        <v>0</v>
      </c>
      <c r="L805" s="8">
        <f t="shared" ca="1" si="394"/>
        <v>0</v>
      </c>
      <c r="M805" s="8">
        <f t="shared" ca="1" si="395"/>
        <v>0</v>
      </c>
      <c r="N805" s="8">
        <f t="shared" ca="1" si="396"/>
        <v>0</v>
      </c>
      <c r="O805" s="8">
        <f t="shared" ca="1" si="397"/>
        <v>0</v>
      </c>
      <c r="P805" s="8">
        <f t="shared" ca="1" si="398"/>
        <v>0</v>
      </c>
      <c r="Q805" s="8">
        <f t="shared" ca="1" si="399"/>
        <v>0</v>
      </c>
      <c r="R805" s="8">
        <f t="shared" ca="1" si="400"/>
        <v>0</v>
      </c>
      <c r="S805" s="8">
        <f t="shared" ca="1" si="401"/>
        <v>0</v>
      </c>
      <c r="T805" s="8">
        <f t="shared" ca="1" si="402"/>
        <v>0</v>
      </c>
      <c r="U805" s="8">
        <f t="shared" ca="1" si="403"/>
        <v>0</v>
      </c>
      <c r="V805" s="8">
        <f t="shared" ca="1" si="404"/>
        <v>0</v>
      </c>
      <c r="W805" s="11" t="str">
        <f t="shared" ca="1" si="405"/>
        <v/>
      </c>
      <c r="X805" s="11" t="str">
        <f t="shared" ca="1" si="406"/>
        <v/>
      </c>
      <c r="Y805" s="11" t="str">
        <f t="shared" ca="1" si="407"/>
        <v/>
      </c>
      <c r="Z805" s="11" t="str">
        <f t="shared" ca="1" si="408"/>
        <v/>
      </c>
      <c r="AA805" s="11" t="str">
        <f t="shared" ca="1" si="409"/>
        <v/>
      </c>
      <c r="AB805" s="47">
        <f ca="1">PlayerGameData[[#This Row],[3FGA]]+PlayerGameData[[#This Row],[2FGA]]</f>
        <v>0</v>
      </c>
      <c r="AC805" s="47">
        <f ca="1">PlayerGameData[[#This Row],[OFF REB]]+PlayerGameData[[#This Row],[DEF REB]]</f>
        <v>0</v>
      </c>
      <c r="AD805" s="8">
        <f t="shared" si="390"/>
        <v>34</v>
      </c>
      <c r="AE805" s="8" t="str">
        <f t="shared" ca="1" si="391"/>
        <v>Ben Carpenter, 21 - 0 1/0/1900</v>
      </c>
      <c r="AF805" s="8" t="str">
        <f t="shared" ca="1" si="410"/>
        <v/>
      </c>
      <c r="AG805" s="8" t="str">
        <f ca="1">IFERROR(IF(C805=0,"",IF(AND(VLOOKUP(PlayerGameData[[#This Row],[Opponent]],WYTeamInfo,2,FALSE)=Roster!$D$1,VLOOKUP(PlayerGameData[[#This Row],[Opponent]],WYTeamInfo,3,FALSE)=Roster!$D$2),"SR","")),"")</f>
        <v/>
      </c>
      <c r="AH805" s="8" t="str">
        <f>CONCATENATE(Roster!$D$1," ",Roster!$D$5)</f>
        <v>1A BB</v>
      </c>
      <c r="AI805" s="8" t="str">
        <f t="shared" ca="1" si="392"/>
        <v>Blank</v>
      </c>
      <c r="AJ805" s="8">
        <f ca="1">IFERROR(VLOOKUP(PlayerGameData[[#This Row],[School, Opponent,Game'#]],Table3[],2,FALSE),0)</f>
        <v>0</v>
      </c>
      <c r="AK805" s="8">
        <f ca="1">IF(PlayerGameData[[#This Row],[Visible]]=1,1,1000)</f>
        <v>1000</v>
      </c>
      <c r="AL805" s="8">
        <f ca="1">RANK(PlayerGameData[[#This Row],[TL PTS]],PlayerGameData[TL PTS],0)+PlayerGameData[[#This Row],[VisibleOrder]]</f>
        <v>1184</v>
      </c>
      <c r="AM805" s="8">
        <f ca="1">IF(COUNTIF(PlayerGameData[PointOrder],PlayerGameData[[#This Row],[PointOrder]])&gt;1,RANK(PlayerGameData[[#This Row],[FGA]],PlayerGameData[FGA],0)/100,0)+PlayerGameData[[#This Row],[PointOrder]]</f>
        <v>1186.1400000000001</v>
      </c>
      <c r="AN805" s="8">
        <f ca="1">RANK(PlayerGameData[[#This Row],[PointTieBreak]],PlayerGameData[PointTieBreak],1)</f>
        <v>625</v>
      </c>
      <c r="AO805" s="8">
        <f ca="1">RANK(PlayerGameData[[#This Row],[REB]],PlayerGameData[REB],0)+PlayerGameData[[#This Row],[VisibleOrder]]</f>
        <v>1191</v>
      </c>
      <c r="AP805" s="8">
        <f ca="1">IF(COUNTIF(PlayerGameData[REBOrder],PlayerGameData[[#This Row],[REBOrder]])&gt;1,PlayerGameData[[#This Row],[PointRank]]/100+PlayerGameData[[#This Row],[REBOrder]],PlayerGameData[[#This Row],[REBOrder]])</f>
        <v>1197.25</v>
      </c>
      <c r="AQ805" s="8">
        <f ca="1">RANK(PlayerGameData[[#This Row],[REBTieBreak]],PlayerGameData[REBTieBreak],1)</f>
        <v>625</v>
      </c>
      <c r="AR805" s="8">
        <f ca="1">RANK(PlayerGameData[[#This Row],[AST]],PlayerGameData[AST],0)+PlayerGameData[[#This Row],[VisibleOrder]]</f>
        <v>1157</v>
      </c>
      <c r="AS805" s="8">
        <f ca="1">IF(COUNTIF(PlayerGameData[ASTOrder],PlayerGameData[[#This Row],[ASTOrder]])&gt;1,PlayerGameData[[#This Row],[PointRank]]/100+PlayerGameData[[#This Row],[ASTOrder]],PlayerGameData[[#This Row],[ASTOrder]])</f>
        <v>1163.25</v>
      </c>
      <c r="AT805" s="8">
        <f ca="1">RANK(PlayerGameData[[#This Row],[ASTTieBreak]],PlayerGameData[ASTTieBreak],1)</f>
        <v>625</v>
      </c>
      <c r="AU805" s="8">
        <f ca="1">RANK(PlayerGameData[[#This Row],[STL]],PlayerGameData[STL],0)+PlayerGameData[[#This Row],[VisibleOrder]]</f>
        <v>1142</v>
      </c>
      <c r="AV805" s="8">
        <f ca="1">IF(COUNTIF(PlayerGameData[STLOrder],PlayerGameData[[#This Row],[STLOrder]])&gt;1,PlayerGameData[[#This Row],[PointRank]]/100+PlayerGameData[[#This Row],[STLOrder]],PlayerGameData[[#This Row],[STLOrder]])</f>
        <v>1148.25</v>
      </c>
      <c r="AW805" s="8">
        <f ca="1">RANK(PlayerGameData[[#This Row],[STLTieBreak]],PlayerGameData[STLTieBreak],1)</f>
        <v>625</v>
      </c>
      <c r="AX805" s="8">
        <f ca="1">RANK(PlayerGameData[[#This Row],[BLK]],PlayerGameData[BLK],0)+PlayerGameData[[#This Row],[VisibleOrder]]</f>
        <v>1031</v>
      </c>
      <c r="AY805" s="8">
        <f ca="1">IF(COUNTIF(PlayerGameData[BLKOrder],PlayerGameData[[#This Row],[BLKOrder]])&gt;1,PlayerGameData[[#This Row],[PointRank]]/100+PlayerGameData[[#This Row],[BLKOrder]],PlayerGameData[[#This Row],[BLKOrder]])</f>
        <v>1037.25</v>
      </c>
      <c r="AZ805" s="8">
        <f ca="1">RANK(PlayerGameData[[#This Row],[BLKTieBreak]],PlayerGameData[BLKTieBreak],1)</f>
        <v>625</v>
      </c>
      <c r="BA805" s="11">
        <f ca="1">IFERROR(IF(PlayerGameData[[#This Row],[FGA]]&gt;$AA$5,PlayerGameData[[#This Row],[FG%*]],PlayerGameData[[#This Row],[FG%*]]*-1),-2)</f>
        <v>-2</v>
      </c>
      <c r="BB805" s="8">
        <f ca="1">RANK(PlayerGameData[[#This Row],[EligFG]],PlayerGameData[EligFG],0)+PlayerGameData[[#This Row],[VisibleOrder]]</f>
        <v>1214</v>
      </c>
      <c r="BC805" s="8">
        <f ca="1">IF(COUNTIF(PlayerGameData[EligFGOrder],PlayerGameData[[#This Row],[EligFGOrder]])&gt;1,PlayerGameData[[#This Row],[PointRank]]/100+PlayerGameData[[#This Row],[EligFGOrder]],PlayerGameData[[#This Row],[EligFGOrder]])</f>
        <v>1220.25</v>
      </c>
      <c r="BD805" s="8">
        <f ca="1">RANK(PlayerGameData[[#This Row],[EligFGTieBreak]],PlayerGameData[EligFGTieBreak],1)</f>
        <v>625</v>
      </c>
      <c r="BE805" s="8" t="str">
        <f>Roster!$D$3</f>
        <v>East</v>
      </c>
      <c r="BF805" s="8" t="str">
        <f>Roster!$D$2</f>
        <v>Northeast</v>
      </c>
      <c r="BG805" s="8" t="str">
        <f>Roster!$D$4</f>
        <v>North</v>
      </c>
      <c r="BH805" s="197">
        <f ca="1">IFERROR(VLOOKUP(CONCATENATE(PlayerGameData[[#This Row],[Opponent]]," ",MONTH(PlayerGameData[[#This Row],[Date]]),"/",DAY(PlayerGameData[[#This Row],[Date]]),"/",YEAR(PlayerGameData[[#This Row],[Date]])),Table35[],2,FALSE),0)</f>
        <v>0</v>
      </c>
      <c r="BI805" s="197">
        <f ca="1">IF(PlayerGameData[[#This Row],[Visible]]=1,1,1000)</f>
        <v>1000</v>
      </c>
      <c r="BJ805" s="197" t="e">
        <f ca="1">_xlfn.MAXIFS(TeamGameData[Win],TeamGameData[School, Opponent,Game'#],PlayerGameData[[#This Row],[School, Opponent,Game'#]])</f>
        <v>#NAME?</v>
      </c>
      <c r="BK805" s="197" t="e">
        <f ca="1">_xlfn.MAXIFS(TeamGameData[Loss],TeamGameData[School, Opponent,Game'#],PlayerGameData[[#This Row],[School, Opponent,Game'#]])</f>
        <v>#NAME?</v>
      </c>
    </row>
    <row r="806" spans="1:63" x14ac:dyDescent="0.25">
      <c r="A806" s="8" t="str">
        <f t="shared" ca="1" si="393"/>
        <v>Ethan Schiller, 23</v>
      </c>
      <c r="B806" s="8" t="str">
        <f>Roster!$B$1</f>
        <v>Upton</v>
      </c>
      <c r="C806" s="8">
        <f t="shared" ca="1" si="381"/>
        <v>0</v>
      </c>
      <c r="D806" s="10">
        <f t="shared" ca="1" si="382"/>
        <v>0</v>
      </c>
      <c r="E806" s="8">
        <f t="shared" ca="1" si="383"/>
        <v>0</v>
      </c>
      <c r="F806" s="8">
        <f t="shared" ca="1" si="384"/>
        <v>0</v>
      </c>
      <c r="G806" s="8">
        <f t="shared" ca="1" si="385"/>
        <v>0</v>
      </c>
      <c r="H806" s="8">
        <f t="shared" ca="1" si="386"/>
        <v>0</v>
      </c>
      <c r="I806" s="8">
        <f t="shared" ca="1" si="387"/>
        <v>0</v>
      </c>
      <c r="J806" s="8">
        <f t="shared" ca="1" si="388"/>
        <v>0</v>
      </c>
      <c r="K806" s="8">
        <f t="shared" ca="1" si="389"/>
        <v>0</v>
      </c>
      <c r="L806" s="8">
        <f t="shared" ca="1" si="394"/>
        <v>0</v>
      </c>
      <c r="M806" s="8">
        <f t="shared" ca="1" si="395"/>
        <v>0</v>
      </c>
      <c r="N806" s="8">
        <f t="shared" ca="1" si="396"/>
        <v>0</v>
      </c>
      <c r="O806" s="8">
        <f t="shared" ca="1" si="397"/>
        <v>0</v>
      </c>
      <c r="P806" s="8">
        <f t="shared" ca="1" si="398"/>
        <v>0</v>
      </c>
      <c r="Q806" s="8">
        <f t="shared" ca="1" si="399"/>
        <v>0</v>
      </c>
      <c r="R806" s="8">
        <f t="shared" ca="1" si="400"/>
        <v>0</v>
      </c>
      <c r="S806" s="8">
        <f t="shared" ca="1" si="401"/>
        <v>0</v>
      </c>
      <c r="T806" s="8">
        <f t="shared" ca="1" si="402"/>
        <v>0</v>
      </c>
      <c r="U806" s="8">
        <f t="shared" ca="1" si="403"/>
        <v>0</v>
      </c>
      <c r="V806" s="8">
        <f t="shared" ca="1" si="404"/>
        <v>0</v>
      </c>
      <c r="W806" s="11" t="str">
        <f t="shared" ca="1" si="405"/>
        <v/>
      </c>
      <c r="X806" s="11" t="str">
        <f t="shared" ca="1" si="406"/>
        <v/>
      </c>
      <c r="Y806" s="11" t="str">
        <f t="shared" ca="1" si="407"/>
        <v/>
      </c>
      <c r="Z806" s="11" t="str">
        <f t="shared" ca="1" si="408"/>
        <v/>
      </c>
      <c r="AA806" s="11" t="str">
        <f t="shared" ca="1" si="409"/>
        <v/>
      </c>
      <c r="AB806" s="47">
        <f ca="1">PlayerGameData[[#This Row],[3FGA]]+PlayerGameData[[#This Row],[2FGA]]</f>
        <v>0</v>
      </c>
      <c r="AC806" s="47">
        <f ca="1">PlayerGameData[[#This Row],[OFF REB]]+PlayerGameData[[#This Row],[DEF REB]]</f>
        <v>0</v>
      </c>
      <c r="AD806" s="8">
        <f t="shared" si="390"/>
        <v>34</v>
      </c>
      <c r="AE806" s="8" t="str">
        <f t="shared" ca="1" si="391"/>
        <v>Ethan Schiller, 23 - 0 1/0/1900</v>
      </c>
      <c r="AF806" s="8" t="str">
        <f t="shared" ca="1" si="410"/>
        <v/>
      </c>
      <c r="AG806" s="8" t="str">
        <f ca="1">IFERROR(IF(C806=0,"",IF(AND(VLOOKUP(PlayerGameData[[#This Row],[Opponent]],WYTeamInfo,2,FALSE)=Roster!$D$1,VLOOKUP(PlayerGameData[[#This Row],[Opponent]],WYTeamInfo,3,FALSE)=Roster!$D$2),"SR","")),"")</f>
        <v/>
      </c>
      <c r="AH806" s="8" t="str">
        <f>CONCATENATE(Roster!$D$1," ",Roster!$D$5)</f>
        <v>1A BB</v>
      </c>
      <c r="AI806" s="8" t="str">
        <f t="shared" ca="1" si="392"/>
        <v>Blank</v>
      </c>
      <c r="AJ806" s="8">
        <f ca="1">IFERROR(VLOOKUP(PlayerGameData[[#This Row],[School, Opponent,Game'#]],Table3[],2,FALSE),0)</f>
        <v>0</v>
      </c>
      <c r="AK806" s="8">
        <f ca="1">IF(PlayerGameData[[#This Row],[Visible]]=1,1,1000)</f>
        <v>1000</v>
      </c>
      <c r="AL806" s="8">
        <f ca="1">RANK(PlayerGameData[[#This Row],[TL PTS]],PlayerGameData[TL PTS],0)+PlayerGameData[[#This Row],[VisibleOrder]]</f>
        <v>1184</v>
      </c>
      <c r="AM806" s="8">
        <f ca="1">IF(COUNTIF(PlayerGameData[PointOrder],PlayerGameData[[#This Row],[PointOrder]])&gt;1,RANK(PlayerGameData[[#This Row],[FGA]],PlayerGameData[FGA],0)/100,0)+PlayerGameData[[#This Row],[PointOrder]]</f>
        <v>1186.1400000000001</v>
      </c>
      <c r="AN806" s="8">
        <f ca="1">RANK(PlayerGameData[[#This Row],[PointTieBreak]],PlayerGameData[PointTieBreak],1)</f>
        <v>625</v>
      </c>
      <c r="AO806" s="8">
        <f ca="1">RANK(PlayerGameData[[#This Row],[REB]],PlayerGameData[REB],0)+PlayerGameData[[#This Row],[VisibleOrder]]</f>
        <v>1191</v>
      </c>
      <c r="AP806" s="8">
        <f ca="1">IF(COUNTIF(PlayerGameData[REBOrder],PlayerGameData[[#This Row],[REBOrder]])&gt;1,PlayerGameData[[#This Row],[PointRank]]/100+PlayerGameData[[#This Row],[REBOrder]],PlayerGameData[[#This Row],[REBOrder]])</f>
        <v>1197.25</v>
      </c>
      <c r="AQ806" s="8">
        <f ca="1">RANK(PlayerGameData[[#This Row],[REBTieBreak]],PlayerGameData[REBTieBreak],1)</f>
        <v>625</v>
      </c>
      <c r="AR806" s="8">
        <f ca="1">RANK(PlayerGameData[[#This Row],[AST]],PlayerGameData[AST],0)+PlayerGameData[[#This Row],[VisibleOrder]]</f>
        <v>1157</v>
      </c>
      <c r="AS806" s="8">
        <f ca="1">IF(COUNTIF(PlayerGameData[ASTOrder],PlayerGameData[[#This Row],[ASTOrder]])&gt;1,PlayerGameData[[#This Row],[PointRank]]/100+PlayerGameData[[#This Row],[ASTOrder]],PlayerGameData[[#This Row],[ASTOrder]])</f>
        <v>1163.25</v>
      </c>
      <c r="AT806" s="8">
        <f ca="1">RANK(PlayerGameData[[#This Row],[ASTTieBreak]],PlayerGameData[ASTTieBreak],1)</f>
        <v>625</v>
      </c>
      <c r="AU806" s="8">
        <f ca="1">RANK(PlayerGameData[[#This Row],[STL]],PlayerGameData[STL],0)+PlayerGameData[[#This Row],[VisibleOrder]]</f>
        <v>1142</v>
      </c>
      <c r="AV806" s="8">
        <f ca="1">IF(COUNTIF(PlayerGameData[STLOrder],PlayerGameData[[#This Row],[STLOrder]])&gt;1,PlayerGameData[[#This Row],[PointRank]]/100+PlayerGameData[[#This Row],[STLOrder]],PlayerGameData[[#This Row],[STLOrder]])</f>
        <v>1148.25</v>
      </c>
      <c r="AW806" s="8">
        <f ca="1">RANK(PlayerGameData[[#This Row],[STLTieBreak]],PlayerGameData[STLTieBreak],1)</f>
        <v>625</v>
      </c>
      <c r="AX806" s="8">
        <f ca="1">RANK(PlayerGameData[[#This Row],[BLK]],PlayerGameData[BLK],0)+PlayerGameData[[#This Row],[VisibleOrder]]</f>
        <v>1031</v>
      </c>
      <c r="AY806" s="8">
        <f ca="1">IF(COUNTIF(PlayerGameData[BLKOrder],PlayerGameData[[#This Row],[BLKOrder]])&gt;1,PlayerGameData[[#This Row],[PointRank]]/100+PlayerGameData[[#This Row],[BLKOrder]],PlayerGameData[[#This Row],[BLKOrder]])</f>
        <v>1037.25</v>
      </c>
      <c r="AZ806" s="8">
        <f ca="1">RANK(PlayerGameData[[#This Row],[BLKTieBreak]],PlayerGameData[BLKTieBreak],1)</f>
        <v>625</v>
      </c>
      <c r="BA806" s="11">
        <f ca="1">IFERROR(IF(PlayerGameData[[#This Row],[FGA]]&gt;$AA$5,PlayerGameData[[#This Row],[FG%*]],PlayerGameData[[#This Row],[FG%*]]*-1),-2)</f>
        <v>-2</v>
      </c>
      <c r="BB806" s="8">
        <f ca="1">RANK(PlayerGameData[[#This Row],[EligFG]],PlayerGameData[EligFG],0)+PlayerGameData[[#This Row],[VisibleOrder]]</f>
        <v>1214</v>
      </c>
      <c r="BC806" s="8">
        <f ca="1">IF(COUNTIF(PlayerGameData[EligFGOrder],PlayerGameData[[#This Row],[EligFGOrder]])&gt;1,PlayerGameData[[#This Row],[PointRank]]/100+PlayerGameData[[#This Row],[EligFGOrder]],PlayerGameData[[#This Row],[EligFGOrder]])</f>
        <v>1220.25</v>
      </c>
      <c r="BD806" s="8">
        <f ca="1">RANK(PlayerGameData[[#This Row],[EligFGTieBreak]],PlayerGameData[EligFGTieBreak],1)</f>
        <v>625</v>
      </c>
      <c r="BE806" s="8" t="str">
        <f>Roster!$D$3</f>
        <v>East</v>
      </c>
      <c r="BF806" s="8" t="str">
        <f>Roster!$D$2</f>
        <v>Northeast</v>
      </c>
      <c r="BG806" s="8" t="str">
        <f>Roster!$D$4</f>
        <v>North</v>
      </c>
      <c r="BH806" s="197">
        <f ca="1">IFERROR(VLOOKUP(CONCATENATE(PlayerGameData[[#This Row],[Opponent]]," ",MONTH(PlayerGameData[[#This Row],[Date]]),"/",DAY(PlayerGameData[[#This Row],[Date]]),"/",YEAR(PlayerGameData[[#This Row],[Date]])),Table35[],2,FALSE),0)</f>
        <v>0</v>
      </c>
      <c r="BI806" s="197">
        <f ca="1">IF(PlayerGameData[[#This Row],[Visible]]=1,1,1000)</f>
        <v>1000</v>
      </c>
      <c r="BJ806" s="197" t="e">
        <f ca="1">_xlfn.MAXIFS(TeamGameData[Win],TeamGameData[School, Opponent,Game'#],PlayerGameData[[#This Row],[School, Opponent,Game'#]])</f>
        <v>#NAME?</v>
      </c>
      <c r="BK806" s="197" t="e">
        <f ca="1">_xlfn.MAXIFS(TeamGameData[Loss],TeamGameData[School, Opponent,Game'#],PlayerGameData[[#This Row],[School, Opponent,Game'#]])</f>
        <v>#NAME?</v>
      </c>
    </row>
    <row r="807" spans="1:63" x14ac:dyDescent="0.25">
      <c r="A807" s="8" t="str">
        <f t="shared" ca="1" si="393"/>
        <v>Bridger Bruce, 25</v>
      </c>
      <c r="B807" s="8" t="str">
        <f>Roster!$B$1</f>
        <v>Upton</v>
      </c>
      <c r="C807" s="8">
        <f t="shared" ca="1" si="381"/>
        <v>0</v>
      </c>
      <c r="D807" s="10">
        <f t="shared" ca="1" si="382"/>
        <v>0</v>
      </c>
      <c r="E807" s="8">
        <f t="shared" ca="1" si="383"/>
        <v>0</v>
      </c>
      <c r="F807" s="8">
        <f t="shared" ca="1" si="384"/>
        <v>0</v>
      </c>
      <c r="G807" s="8">
        <f t="shared" ca="1" si="385"/>
        <v>0</v>
      </c>
      <c r="H807" s="8">
        <f t="shared" ca="1" si="386"/>
        <v>0</v>
      </c>
      <c r="I807" s="8">
        <f t="shared" ca="1" si="387"/>
        <v>0</v>
      </c>
      <c r="J807" s="8">
        <f t="shared" ca="1" si="388"/>
        <v>0</v>
      </c>
      <c r="K807" s="8">
        <f t="shared" ca="1" si="389"/>
        <v>0</v>
      </c>
      <c r="L807" s="8">
        <f t="shared" ca="1" si="394"/>
        <v>0</v>
      </c>
      <c r="M807" s="8">
        <f t="shared" ca="1" si="395"/>
        <v>0</v>
      </c>
      <c r="N807" s="8">
        <f t="shared" ca="1" si="396"/>
        <v>0</v>
      </c>
      <c r="O807" s="8">
        <f t="shared" ca="1" si="397"/>
        <v>0</v>
      </c>
      <c r="P807" s="8">
        <f t="shared" ca="1" si="398"/>
        <v>0</v>
      </c>
      <c r="Q807" s="8">
        <f t="shared" ca="1" si="399"/>
        <v>0</v>
      </c>
      <c r="R807" s="8">
        <f t="shared" ca="1" si="400"/>
        <v>0</v>
      </c>
      <c r="S807" s="8">
        <f t="shared" ca="1" si="401"/>
        <v>0</v>
      </c>
      <c r="T807" s="8">
        <f t="shared" ca="1" si="402"/>
        <v>0</v>
      </c>
      <c r="U807" s="8">
        <f t="shared" ca="1" si="403"/>
        <v>0</v>
      </c>
      <c r="V807" s="8">
        <f t="shared" ca="1" si="404"/>
        <v>0</v>
      </c>
      <c r="W807" s="11" t="str">
        <f t="shared" ca="1" si="405"/>
        <v/>
      </c>
      <c r="X807" s="11" t="str">
        <f t="shared" ca="1" si="406"/>
        <v/>
      </c>
      <c r="Y807" s="11" t="str">
        <f t="shared" ca="1" si="407"/>
        <v/>
      </c>
      <c r="Z807" s="11" t="str">
        <f t="shared" ca="1" si="408"/>
        <v/>
      </c>
      <c r="AA807" s="11" t="str">
        <f t="shared" ca="1" si="409"/>
        <v/>
      </c>
      <c r="AB807" s="47">
        <f ca="1">PlayerGameData[[#This Row],[3FGA]]+PlayerGameData[[#This Row],[2FGA]]</f>
        <v>0</v>
      </c>
      <c r="AC807" s="47">
        <f ca="1">PlayerGameData[[#This Row],[OFF REB]]+PlayerGameData[[#This Row],[DEF REB]]</f>
        <v>0</v>
      </c>
      <c r="AD807" s="8">
        <f t="shared" si="390"/>
        <v>34</v>
      </c>
      <c r="AE807" s="8" t="str">
        <f t="shared" ca="1" si="391"/>
        <v>Bridger Bruce, 25 - 0 1/0/1900</v>
      </c>
      <c r="AF807" s="8" t="str">
        <f t="shared" ca="1" si="410"/>
        <v/>
      </c>
      <c r="AG807" s="8" t="str">
        <f ca="1">IFERROR(IF(C807=0,"",IF(AND(VLOOKUP(PlayerGameData[[#This Row],[Opponent]],WYTeamInfo,2,FALSE)=Roster!$D$1,VLOOKUP(PlayerGameData[[#This Row],[Opponent]],WYTeamInfo,3,FALSE)=Roster!$D$2),"SR","")),"")</f>
        <v/>
      </c>
      <c r="AH807" s="8" t="str">
        <f>CONCATENATE(Roster!$D$1," ",Roster!$D$5)</f>
        <v>1A BB</v>
      </c>
      <c r="AI807" s="8" t="str">
        <f t="shared" ca="1" si="392"/>
        <v>Blank</v>
      </c>
      <c r="AJ807" s="8">
        <f ca="1">IFERROR(VLOOKUP(PlayerGameData[[#This Row],[School, Opponent,Game'#]],Table3[],2,FALSE),0)</f>
        <v>0</v>
      </c>
      <c r="AK807" s="8">
        <f ca="1">IF(PlayerGameData[[#This Row],[Visible]]=1,1,1000)</f>
        <v>1000</v>
      </c>
      <c r="AL807" s="8">
        <f ca="1">RANK(PlayerGameData[[#This Row],[TL PTS]],PlayerGameData[TL PTS],0)+PlayerGameData[[#This Row],[VisibleOrder]]</f>
        <v>1184</v>
      </c>
      <c r="AM807" s="8">
        <f ca="1">IF(COUNTIF(PlayerGameData[PointOrder],PlayerGameData[[#This Row],[PointOrder]])&gt;1,RANK(PlayerGameData[[#This Row],[FGA]],PlayerGameData[FGA],0)/100,0)+PlayerGameData[[#This Row],[PointOrder]]</f>
        <v>1186.1400000000001</v>
      </c>
      <c r="AN807" s="8">
        <f ca="1">RANK(PlayerGameData[[#This Row],[PointTieBreak]],PlayerGameData[PointTieBreak],1)</f>
        <v>625</v>
      </c>
      <c r="AO807" s="8">
        <f ca="1">RANK(PlayerGameData[[#This Row],[REB]],PlayerGameData[REB],0)+PlayerGameData[[#This Row],[VisibleOrder]]</f>
        <v>1191</v>
      </c>
      <c r="AP807" s="8">
        <f ca="1">IF(COUNTIF(PlayerGameData[REBOrder],PlayerGameData[[#This Row],[REBOrder]])&gt;1,PlayerGameData[[#This Row],[PointRank]]/100+PlayerGameData[[#This Row],[REBOrder]],PlayerGameData[[#This Row],[REBOrder]])</f>
        <v>1197.25</v>
      </c>
      <c r="AQ807" s="8">
        <f ca="1">RANK(PlayerGameData[[#This Row],[REBTieBreak]],PlayerGameData[REBTieBreak],1)</f>
        <v>625</v>
      </c>
      <c r="AR807" s="8">
        <f ca="1">RANK(PlayerGameData[[#This Row],[AST]],PlayerGameData[AST],0)+PlayerGameData[[#This Row],[VisibleOrder]]</f>
        <v>1157</v>
      </c>
      <c r="AS807" s="8">
        <f ca="1">IF(COUNTIF(PlayerGameData[ASTOrder],PlayerGameData[[#This Row],[ASTOrder]])&gt;1,PlayerGameData[[#This Row],[PointRank]]/100+PlayerGameData[[#This Row],[ASTOrder]],PlayerGameData[[#This Row],[ASTOrder]])</f>
        <v>1163.25</v>
      </c>
      <c r="AT807" s="8">
        <f ca="1">RANK(PlayerGameData[[#This Row],[ASTTieBreak]],PlayerGameData[ASTTieBreak],1)</f>
        <v>625</v>
      </c>
      <c r="AU807" s="8">
        <f ca="1">RANK(PlayerGameData[[#This Row],[STL]],PlayerGameData[STL],0)+PlayerGameData[[#This Row],[VisibleOrder]]</f>
        <v>1142</v>
      </c>
      <c r="AV807" s="8">
        <f ca="1">IF(COUNTIF(PlayerGameData[STLOrder],PlayerGameData[[#This Row],[STLOrder]])&gt;1,PlayerGameData[[#This Row],[PointRank]]/100+PlayerGameData[[#This Row],[STLOrder]],PlayerGameData[[#This Row],[STLOrder]])</f>
        <v>1148.25</v>
      </c>
      <c r="AW807" s="8">
        <f ca="1">RANK(PlayerGameData[[#This Row],[STLTieBreak]],PlayerGameData[STLTieBreak],1)</f>
        <v>625</v>
      </c>
      <c r="AX807" s="8">
        <f ca="1">RANK(PlayerGameData[[#This Row],[BLK]],PlayerGameData[BLK],0)+PlayerGameData[[#This Row],[VisibleOrder]]</f>
        <v>1031</v>
      </c>
      <c r="AY807" s="8">
        <f ca="1">IF(COUNTIF(PlayerGameData[BLKOrder],PlayerGameData[[#This Row],[BLKOrder]])&gt;1,PlayerGameData[[#This Row],[PointRank]]/100+PlayerGameData[[#This Row],[BLKOrder]],PlayerGameData[[#This Row],[BLKOrder]])</f>
        <v>1037.25</v>
      </c>
      <c r="AZ807" s="8">
        <f ca="1">RANK(PlayerGameData[[#This Row],[BLKTieBreak]],PlayerGameData[BLKTieBreak],1)</f>
        <v>625</v>
      </c>
      <c r="BA807" s="11">
        <f ca="1">IFERROR(IF(PlayerGameData[[#This Row],[FGA]]&gt;$AA$5,PlayerGameData[[#This Row],[FG%*]],PlayerGameData[[#This Row],[FG%*]]*-1),-2)</f>
        <v>-2</v>
      </c>
      <c r="BB807" s="8">
        <f ca="1">RANK(PlayerGameData[[#This Row],[EligFG]],PlayerGameData[EligFG],0)+PlayerGameData[[#This Row],[VisibleOrder]]</f>
        <v>1214</v>
      </c>
      <c r="BC807" s="8">
        <f ca="1">IF(COUNTIF(PlayerGameData[EligFGOrder],PlayerGameData[[#This Row],[EligFGOrder]])&gt;1,PlayerGameData[[#This Row],[PointRank]]/100+PlayerGameData[[#This Row],[EligFGOrder]],PlayerGameData[[#This Row],[EligFGOrder]])</f>
        <v>1220.25</v>
      </c>
      <c r="BD807" s="8">
        <f ca="1">RANK(PlayerGameData[[#This Row],[EligFGTieBreak]],PlayerGameData[EligFGTieBreak],1)</f>
        <v>625</v>
      </c>
      <c r="BE807" s="8" t="str">
        <f>Roster!$D$3</f>
        <v>East</v>
      </c>
      <c r="BF807" s="8" t="str">
        <f>Roster!$D$2</f>
        <v>Northeast</v>
      </c>
      <c r="BG807" s="8" t="str">
        <f>Roster!$D$4</f>
        <v>North</v>
      </c>
      <c r="BH807" s="197">
        <f ca="1">IFERROR(VLOOKUP(CONCATENATE(PlayerGameData[[#This Row],[Opponent]]," ",MONTH(PlayerGameData[[#This Row],[Date]]),"/",DAY(PlayerGameData[[#This Row],[Date]]),"/",YEAR(PlayerGameData[[#This Row],[Date]])),Table35[],2,FALSE),0)</f>
        <v>0</v>
      </c>
      <c r="BI807" s="197">
        <f ca="1">IF(PlayerGameData[[#This Row],[Visible]]=1,1,1000)</f>
        <v>1000</v>
      </c>
      <c r="BJ807" s="197" t="e">
        <f ca="1">_xlfn.MAXIFS(TeamGameData[Win],TeamGameData[School, Opponent,Game'#],PlayerGameData[[#This Row],[School, Opponent,Game'#]])</f>
        <v>#NAME?</v>
      </c>
      <c r="BK807" s="197" t="e">
        <f ca="1">_xlfn.MAXIFS(TeamGameData[Loss],TeamGameData[School, Opponent,Game'#],PlayerGameData[[#This Row],[School, Opponent,Game'#]])</f>
        <v>#NAME?</v>
      </c>
    </row>
    <row r="808" spans="1:63" x14ac:dyDescent="0.25">
      <c r="A808" s="8" t="str">
        <f t="shared" ca="1" si="393"/>
        <v>Kailer Duarte, 31</v>
      </c>
      <c r="B808" s="8" t="str">
        <f>Roster!$B$1</f>
        <v>Upton</v>
      </c>
      <c r="C808" s="8">
        <f t="shared" ca="1" si="381"/>
        <v>0</v>
      </c>
      <c r="D808" s="10">
        <f t="shared" ca="1" si="382"/>
        <v>0</v>
      </c>
      <c r="E808" s="8">
        <f t="shared" ca="1" si="383"/>
        <v>0</v>
      </c>
      <c r="F808" s="8">
        <f t="shared" ca="1" si="384"/>
        <v>0</v>
      </c>
      <c r="G808" s="8">
        <f t="shared" ca="1" si="385"/>
        <v>0</v>
      </c>
      <c r="H808" s="8">
        <f t="shared" ca="1" si="386"/>
        <v>0</v>
      </c>
      <c r="I808" s="8">
        <f t="shared" ca="1" si="387"/>
        <v>0</v>
      </c>
      <c r="J808" s="8">
        <f t="shared" ca="1" si="388"/>
        <v>0</v>
      </c>
      <c r="K808" s="8">
        <f t="shared" ca="1" si="389"/>
        <v>0</v>
      </c>
      <c r="L808" s="8">
        <f t="shared" ca="1" si="394"/>
        <v>0</v>
      </c>
      <c r="M808" s="8">
        <f t="shared" ca="1" si="395"/>
        <v>0</v>
      </c>
      <c r="N808" s="8">
        <f t="shared" ca="1" si="396"/>
        <v>0</v>
      </c>
      <c r="O808" s="8">
        <f t="shared" ca="1" si="397"/>
        <v>0</v>
      </c>
      <c r="P808" s="8">
        <f t="shared" ca="1" si="398"/>
        <v>0</v>
      </c>
      <c r="Q808" s="8">
        <f t="shared" ca="1" si="399"/>
        <v>0</v>
      </c>
      <c r="R808" s="8">
        <f t="shared" ca="1" si="400"/>
        <v>0</v>
      </c>
      <c r="S808" s="8">
        <f t="shared" ca="1" si="401"/>
        <v>0</v>
      </c>
      <c r="T808" s="8">
        <f t="shared" ca="1" si="402"/>
        <v>0</v>
      </c>
      <c r="U808" s="8">
        <f t="shared" ca="1" si="403"/>
        <v>0</v>
      </c>
      <c r="V808" s="8">
        <f t="shared" ca="1" si="404"/>
        <v>0</v>
      </c>
      <c r="W808" s="11" t="str">
        <f t="shared" ca="1" si="405"/>
        <v/>
      </c>
      <c r="X808" s="11" t="str">
        <f t="shared" ca="1" si="406"/>
        <v/>
      </c>
      <c r="Y808" s="11" t="str">
        <f t="shared" ca="1" si="407"/>
        <v/>
      </c>
      <c r="Z808" s="11" t="str">
        <f t="shared" ca="1" si="408"/>
        <v/>
      </c>
      <c r="AA808" s="11" t="str">
        <f t="shared" ca="1" si="409"/>
        <v/>
      </c>
      <c r="AB808" s="47">
        <f ca="1">PlayerGameData[[#This Row],[3FGA]]+PlayerGameData[[#This Row],[2FGA]]</f>
        <v>0</v>
      </c>
      <c r="AC808" s="47">
        <f ca="1">PlayerGameData[[#This Row],[OFF REB]]+PlayerGameData[[#This Row],[DEF REB]]</f>
        <v>0</v>
      </c>
      <c r="AD808" s="8">
        <f t="shared" si="390"/>
        <v>34</v>
      </c>
      <c r="AE808" s="8" t="str">
        <f t="shared" ca="1" si="391"/>
        <v>Kailer Duarte, 31 - 0 1/0/1900</v>
      </c>
      <c r="AF808" s="8" t="str">
        <f t="shared" ca="1" si="410"/>
        <v/>
      </c>
      <c r="AG808" s="8" t="str">
        <f ca="1">IFERROR(IF(C808=0,"",IF(AND(VLOOKUP(PlayerGameData[[#This Row],[Opponent]],WYTeamInfo,2,FALSE)=Roster!$D$1,VLOOKUP(PlayerGameData[[#This Row],[Opponent]],WYTeamInfo,3,FALSE)=Roster!$D$2),"SR","")),"")</f>
        <v/>
      </c>
      <c r="AH808" s="8" t="str">
        <f>CONCATENATE(Roster!$D$1," ",Roster!$D$5)</f>
        <v>1A BB</v>
      </c>
      <c r="AI808" s="8" t="str">
        <f t="shared" ca="1" si="392"/>
        <v>Blank</v>
      </c>
      <c r="AJ808" s="8">
        <f ca="1">IFERROR(VLOOKUP(PlayerGameData[[#This Row],[School, Opponent,Game'#]],Table3[],2,FALSE),0)</f>
        <v>0</v>
      </c>
      <c r="AK808" s="8">
        <f ca="1">IF(PlayerGameData[[#This Row],[Visible]]=1,1,1000)</f>
        <v>1000</v>
      </c>
      <c r="AL808" s="8">
        <f ca="1">RANK(PlayerGameData[[#This Row],[TL PTS]],PlayerGameData[TL PTS],0)+PlayerGameData[[#This Row],[VisibleOrder]]</f>
        <v>1184</v>
      </c>
      <c r="AM808" s="8">
        <f ca="1">IF(COUNTIF(PlayerGameData[PointOrder],PlayerGameData[[#This Row],[PointOrder]])&gt;1,RANK(PlayerGameData[[#This Row],[FGA]],PlayerGameData[FGA],0)/100,0)+PlayerGameData[[#This Row],[PointOrder]]</f>
        <v>1186.1400000000001</v>
      </c>
      <c r="AN808" s="8">
        <f ca="1">RANK(PlayerGameData[[#This Row],[PointTieBreak]],PlayerGameData[PointTieBreak],1)</f>
        <v>625</v>
      </c>
      <c r="AO808" s="8">
        <f ca="1">RANK(PlayerGameData[[#This Row],[REB]],PlayerGameData[REB],0)+PlayerGameData[[#This Row],[VisibleOrder]]</f>
        <v>1191</v>
      </c>
      <c r="AP808" s="8">
        <f ca="1">IF(COUNTIF(PlayerGameData[REBOrder],PlayerGameData[[#This Row],[REBOrder]])&gt;1,PlayerGameData[[#This Row],[PointRank]]/100+PlayerGameData[[#This Row],[REBOrder]],PlayerGameData[[#This Row],[REBOrder]])</f>
        <v>1197.25</v>
      </c>
      <c r="AQ808" s="8">
        <f ca="1">RANK(PlayerGameData[[#This Row],[REBTieBreak]],PlayerGameData[REBTieBreak],1)</f>
        <v>625</v>
      </c>
      <c r="AR808" s="8">
        <f ca="1">RANK(PlayerGameData[[#This Row],[AST]],PlayerGameData[AST],0)+PlayerGameData[[#This Row],[VisibleOrder]]</f>
        <v>1157</v>
      </c>
      <c r="AS808" s="8">
        <f ca="1">IF(COUNTIF(PlayerGameData[ASTOrder],PlayerGameData[[#This Row],[ASTOrder]])&gt;1,PlayerGameData[[#This Row],[PointRank]]/100+PlayerGameData[[#This Row],[ASTOrder]],PlayerGameData[[#This Row],[ASTOrder]])</f>
        <v>1163.25</v>
      </c>
      <c r="AT808" s="8">
        <f ca="1">RANK(PlayerGameData[[#This Row],[ASTTieBreak]],PlayerGameData[ASTTieBreak],1)</f>
        <v>625</v>
      </c>
      <c r="AU808" s="8">
        <f ca="1">RANK(PlayerGameData[[#This Row],[STL]],PlayerGameData[STL],0)+PlayerGameData[[#This Row],[VisibleOrder]]</f>
        <v>1142</v>
      </c>
      <c r="AV808" s="8">
        <f ca="1">IF(COUNTIF(PlayerGameData[STLOrder],PlayerGameData[[#This Row],[STLOrder]])&gt;1,PlayerGameData[[#This Row],[PointRank]]/100+PlayerGameData[[#This Row],[STLOrder]],PlayerGameData[[#This Row],[STLOrder]])</f>
        <v>1148.25</v>
      </c>
      <c r="AW808" s="8">
        <f ca="1">RANK(PlayerGameData[[#This Row],[STLTieBreak]],PlayerGameData[STLTieBreak],1)</f>
        <v>625</v>
      </c>
      <c r="AX808" s="8">
        <f ca="1">RANK(PlayerGameData[[#This Row],[BLK]],PlayerGameData[BLK],0)+PlayerGameData[[#This Row],[VisibleOrder]]</f>
        <v>1031</v>
      </c>
      <c r="AY808" s="8">
        <f ca="1">IF(COUNTIF(PlayerGameData[BLKOrder],PlayerGameData[[#This Row],[BLKOrder]])&gt;1,PlayerGameData[[#This Row],[PointRank]]/100+PlayerGameData[[#This Row],[BLKOrder]],PlayerGameData[[#This Row],[BLKOrder]])</f>
        <v>1037.25</v>
      </c>
      <c r="AZ808" s="8">
        <f ca="1">RANK(PlayerGameData[[#This Row],[BLKTieBreak]],PlayerGameData[BLKTieBreak],1)</f>
        <v>625</v>
      </c>
      <c r="BA808" s="11">
        <f ca="1">IFERROR(IF(PlayerGameData[[#This Row],[FGA]]&gt;$AA$5,PlayerGameData[[#This Row],[FG%*]],PlayerGameData[[#This Row],[FG%*]]*-1),-2)</f>
        <v>-2</v>
      </c>
      <c r="BB808" s="8">
        <f ca="1">RANK(PlayerGameData[[#This Row],[EligFG]],PlayerGameData[EligFG],0)+PlayerGameData[[#This Row],[VisibleOrder]]</f>
        <v>1214</v>
      </c>
      <c r="BC808" s="8">
        <f ca="1">IF(COUNTIF(PlayerGameData[EligFGOrder],PlayerGameData[[#This Row],[EligFGOrder]])&gt;1,PlayerGameData[[#This Row],[PointRank]]/100+PlayerGameData[[#This Row],[EligFGOrder]],PlayerGameData[[#This Row],[EligFGOrder]])</f>
        <v>1220.25</v>
      </c>
      <c r="BD808" s="8">
        <f ca="1">RANK(PlayerGameData[[#This Row],[EligFGTieBreak]],PlayerGameData[EligFGTieBreak],1)</f>
        <v>625</v>
      </c>
      <c r="BE808" s="8" t="str">
        <f>Roster!$D$3</f>
        <v>East</v>
      </c>
      <c r="BF808" s="8" t="str">
        <f>Roster!$D$2</f>
        <v>Northeast</v>
      </c>
      <c r="BG808" s="8" t="str">
        <f>Roster!$D$4</f>
        <v>North</v>
      </c>
      <c r="BH808" s="197">
        <f ca="1">IFERROR(VLOOKUP(CONCATENATE(PlayerGameData[[#This Row],[Opponent]]," ",MONTH(PlayerGameData[[#This Row],[Date]]),"/",DAY(PlayerGameData[[#This Row],[Date]]),"/",YEAR(PlayerGameData[[#This Row],[Date]])),Table35[],2,FALSE),0)</f>
        <v>0</v>
      </c>
      <c r="BI808" s="197">
        <f ca="1">IF(PlayerGameData[[#This Row],[Visible]]=1,1,1000)</f>
        <v>1000</v>
      </c>
      <c r="BJ808" s="197" t="e">
        <f ca="1">_xlfn.MAXIFS(TeamGameData[Win],TeamGameData[School, Opponent,Game'#],PlayerGameData[[#This Row],[School, Opponent,Game'#]])</f>
        <v>#NAME?</v>
      </c>
      <c r="BK808" s="197" t="e">
        <f ca="1">_xlfn.MAXIFS(TeamGameData[Loss],TeamGameData[School, Opponent,Game'#],PlayerGameData[[#This Row],[School, Opponent,Game'#]])</f>
        <v>#NAME?</v>
      </c>
    </row>
    <row r="809" spans="1:63" x14ac:dyDescent="0.25">
      <c r="A809" s="8" t="str">
        <f t="shared" ca="1" si="393"/>
        <v>Matt Stirmel, 33</v>
      </c>
      <c r="B809" s="8" t="str">
        <f>Roster!$B$1</f>
        <v>Upton</v>
      </c>
      <c r="C809" s="8">
        <f t="shared" ca="1" si="381"/>
        <v>0</v>
      </c>
      <c r="D809" s="10">
        <f t="shared" ca="1" si="382"/>
        <v>0</v>
      </c>
      <c r="E809" s="8">
        <f t="shared" ca="1" si="383"/>
        <v>0</v>
      </c>
      <c r="F809" s="8">
        <f t="shared" ca="1" si="384"/>
        <v>0</v>
      </c>
      <c r="G809" s="8">
        <f t="shared" ca="1" si="385"/>
        <v>0</v>
      </c>
      <c r="H809" s="8">
        <f t="shared" ca="1" si="386"/>
        <v>0</v>
      </c>
      <c r="I809" s="8">
        <f t="shared" ca="1" si="387"/>
        <v>0</v>
      </c>
      <c r="J809" s="8">
        <f t="shared" ca="1" si="388"/>
        <v>0</v>
      </c>
      <c r="K809" s="8">
        <f t="shared" ca="1" si="389"/>
        <v>0</v>
      </c>
      <c r="L809" s="8">
        <f t="shared" ca="1" si="394"/>
        <v>0</v>
      </c>
      <c r="M809" s="8">
        <f t="shared" ca="1" si="395"/>
        <v>0</v>
      </c>
      <c r="N809" s="8">
        <f t="shared" ca="1" si="396"/>
        <v>0</v>
      </c>
      <c r="O809" s="8">
        <f t="shared" ca="1" si="397"/>
        <v>0</v>
      </c>
      <c r="P809" s="8">
        <f t="shared" ca="1" si="398"/>
        <v>0</v>
      </c>
      <c r="Q809" s="8">
        <f t="shared" ca="1" si="399"/>
        <v>0</v>
      </c>
      <c r="R809" s="8">
        <f t="shared" ca="1" si="400"/>
        <v>0</v>
      </c>
      <c r="S809" s="8">
        <f t="shared" ca="1" si="401"/>
        <v>0</v>
      </c>
      <c r="T809" s="8">
        <f t="shared" ca="1" si="402"/>
        <v>0</v>
      </c>
      <c r="U809" s="8">
        <f t="shared" ca="1" si="403"/>
        <v>0</v>
      </c>
      <c r="V809" s="8">
        <f t="shared" ca="1" si="404"/>
        <v>0</v>
      </c>
      <c r="W809" s="11" t="str">
        <f t="shared" ca="1" si="405"/>
        <v/>
      </c>
      <c r="X809" s="11" t="str">
        <f t="shared" ca="1" si="406"/>
        <v/>
      </c>
      <c r="Y809" s="11" t="str">
        <f t="shared" ca="1" si="407"/>
        <v/>
      </c>
      <c r="Z809" s="11" t="str">
        <f t="shared" ca="1" si="408"/>
        <v/>
      </c>
      <c r="AA809" s="11" t="str">
        <f t="shared" ca="1" si="409"/>
        <v/>
      </c>
      <c r="AB809" s="47">
        <f ca="1">PlayerGameData[[#This Row],[3FGA]]+PlayerGameData[[#This Row],[2FGA]]</f>
        <v>0</v>
      </c>
      <c r="AC809" s="47">
        <f ca="1">PlayerGameData[[#This Row],[OFF REB]]+PlayerGameData[[#This Row],[DEF REB]]</f>
        <v>0</v>
      </c>
      <c r="AD809" s="8">
        <f t="shared" si="390"/>
        <v>34</v>
      </c>
      <c r="AE809" s="8" t="str">
        <f t="shared" ca="1" si="391"/>
        <v>Matt Stirmel, 33 - 0 1/0/1900</v>
      </c>
      <c r="AF809" s="8" t="str">
        <f t="shared" ca="1" si="410"/>
        <v/>
      </c>
      <c r="AG809" s="8" t="str">
        <f ca="1">IFERROR(IF(C809=0,"",IF(AND(VLOOKUP(PlayerGameData[[#This Row],[Opponent]],WYTeamInfo,2,FALSE)=Roster!$D$1,VLOOKUP(PlayerGameData[[#This Row],[Opponent]],WYTeamInfo,3,FALSE)=Roster!$D$2),"SR","")),"")</f>
        <v/>
      </c>
      <c r="AH809" s="8" t="str">
        <f>CONCATENATE(Roster!$D$1," ",Roster!$D$5)</f>
        <v>1A BB</v>
      </c>
      <c r="AI809" s="8" t="str">
        <f t="shared" ca="1" si="392"/>
        <v>Blank</v>
      </c>
      <c r="AJ809" s="8">
        <f ca="1">IFERROR(VLOOKUP(PlayerGameData[[#This Row],[School, Opponent,Game'#]],Table3[],2,FALSE),0)</f>
        <v>0</v>
      </c>
      <c r="AK809" s="8">
        <f ca="1">IF(PlayerGameData[[#This Row],[Visible]]=1,1,1000)</f>
        <v>1000</v>
      </c>
      <c r="AL809" s="8">
        <f ca="1">RANK(PlayerGameData[[#This Row],[TL PTS]],PlayerGameData[TL PTS],0)+PlayerGameData[[#This Row],[VisibleOrder]]</f>
        <v>1184</v>
      </c>
      <c r="AM809" s="8">
        <f ca="1">IF(COUNTIF(PlayerGameData[PointOrder],PlayerGameData[[#This Row],[PointOrder]])&gt;1,RANK(PlayerGameData[[#This Row],[FGA]],PlayerGameData[FGA],0)/100,0)+PlayerGameData[[#This Row],[PointOrder]]</f>
        <v>1186.1400000000001</v>
      </c>
      <c r="AN809" s="8">
        <f ca="1">RANK(PlayerGameData[[#This Row],[PointTieBreak]],PlayerGameData[PointTieBreak],1)</f>
        <v>625</v>
      </c>
      <c r="AO809" s="8">
        <f ca="1">RANK(PlayerGameData[[#This Row],[REB]],PlayerGameData[REB],0)+PlayerGameData[[#This Row],[VisibleOrder]]</f>
        <v>1191</v>
      </c>
      <c r="AP809" s="8">
        <f ca="1">IF(COUNTIF(PlayerGameData[REBOrder],PlayerGameData[[#This Row],[REBOrder]])&gt;1,PlayerGameData[[#This Row],[PointRank]]/100+PlayerGameData[[#This Row],[REBOrder]],PlayerGameData[[#This Row],[REBOrder]])</f>
        <v>1197.25</v>
      </c>
      <c r="AQ809" s="8">
        <f ca="1">RANK(PlayerGameData[[#This Row],[REBTieBreak]],PlayerGameData[REBTieBreak],1)</f>
        <v>625</v>
      </c>
      <c r="AR809" s="8">
        <f ca="1">RANK(PlayerGameData[[#This Row],[AST]],PlayerGameData[AST],0)+PlayerGameData[[#This Row],[VisibleOrder]]</f>
        <v>1157</v>
      </c>
      <c r="AS809" s="8">
        <f ca="1">IF(COUNTIF(PlayerGameData[ASTOrder],PlayerGameData[[#This Row],[ASTOrder]])&gt;1,PlayerGameData[[#This Row],[PointRank]]/100+PlayerGameData[[#This Row],[ASTOrder]],PlayerGameData[[#This Row],[ASTOrder]])</f>
        <v>1163.25</v>
      </c>
      <c r="AT809" s="8">
        <f ca="1">RANK(PlayerGameData[[#This Row],[ASTTieBreak]],PlayerGameData[ASTTieBreak],1)</f>
        <v>625</v>
      </c>
      <c r="AU809" s="8">
        <f ca="1">RANK(PlayerGameData[[#This Row],[STL]],PlayerGameData[STL],0)+PlayerGameData[[#This Row],[VisibleOrder]]</f>
        <v>1142</v>
      </c>
      <c r="AV809" s="8">
        <f ca="1">IF(COUNTIF(PlayerGameData[STLOrder],PlayerGameData[[#This Row],[STLOrder]])&gt;1,PlayerGameData[[#This Row],[PointRank]]/100+PlayerGameData[[#This Row],[STLOrder]],PlayerGameData[[#This Row],[STLOrder]])</f>
        <v>1148.25</v>
      </c>
      <c r="AW809" s="8">
        <f ca="1">RANK(PlayerGameData[[#This Row],[STLTieBreak]],PlayerGameData[STLTieBreak],1)</f>
        <v>625</v>
      </c>
      <c r="AX809" s="8">
        <f ca="1">RANK(PlayerGameData[[#This Row],[BLK]],PlayerGameData[BLK],0)+PlayerGameData[[#This Row],[VisibleOrder]]</f>
        <v>1031</v>
      </c>
      <c r="AY809" s="8">
        <f ca="1">IF(COUNTIF(PlayerGameData[BLKOrder],PlayerGameData[[#This Row],[BLKOrder]])&gt;1,PlayerGameData[[#This Row],[PointRank]]/100+PlayerGameData[[#This Row],[BLKOrder]],PlayerGameData[[#This Row],[BLKOrder]])</f>
        <v>1037.25</v>
      </c>
      <c r="AZ809" s="8">
        <f ca="1">RANK(PlayerGameData[[#This Row],[BLKTieBreak]],PlayerGameData[BLKTieBreak],1)</f>
        <v>625</v>
      </c>
      <c r="BA809" s="11">
        <f ca="1">IFERROR(IF(PlayerGameData[[#This Row],[FGA]]&gt;$AA$5,PlayerGameData[[#This Row],[FG%*]],PlayerGameData[[#This Row],[FG%*]]*-1),-2)</f>
        <v>-2</v>
      </c>
      <c r="BB809" s="8">
        <f ca="1">RANK(PlayerGameData[[#This Row],[EligFG]],PlayerGameData[EligFG],0)+PlayerGameData[[#This Row],[VisibleOrder]]</f>
        <v>1214</v>
      </c>
      <c r="BC809" s="8">
        <f ca="1">IF(COUNTIF(PlayerGameData[EligFGOrder],PlayerGameData[[#This Row],[EligFGOrder]])&gt;1,PlayerGameData[[#This Row],[PointRank]]/100+PlayerGameData[[#This Row],[EligFGOrder]],PlayerGameData[[#This Row],[EligFGOrder]])</f>
        <v>1220.25</v>
      </c>
      <c r="BD809" s="8">
        <f ca="1">RANK(PlayerGameData[[#This Row],[EligFGTieBreak]],PlayerGameData[EligFGTieBreak],1)</f>
        <v>625</v>
      </c>
      <c r="BE809" s="8" t="str">
        <f>Roster!$D$3</f>
        <v>East</v>
      </c>
      <c r="BF809" s="8" t="str">
        <f>Roster!$D$2</f>
        <v>Northeast</v>
      </c>
      <c r="BG809" s="8" t="str">
        <f>Roster!$D$4</f>
        <v>North</v>
      </c>
      <c r="BH809" s="197">
        <f ca="1">IFERROR(VLOOKUP(CONCATENATE(PlayerGameData[[#This Row],[Opponent]]," ",MONTH(PlayerGameData[[#This Row],[Date]]),"/",DAY(PlayerGameData[[#This Row],[Date]]),"/",YEAR(PlayerGameData[[#This Row],[Date]])),Table35[],2,FALSE),0)</f>
        <v>0</v>
      </c>
      <c r="BI809" s="197">
        <f ca="1">IF(PlayerGameData[[#This Row],[Visible]]=1,1,1000)</f>
        <v>1000</v>
      </c>
      <c r="BJ809" s="197" t="e">
        <f ca="1">_xlfn.MAXIFS(TeamGameData[Win],TeamGameData[School, Opponent,Game'#],PlayerGameData[[#This Row],[School, Opponent,Game'#]])</f>
        <v>#NAME?</v>
      </c>
      <c r="BK809" s="197" t="e">
        <f ca="1">_xlfn.MAXIFS(TeamGameData[Loss],TeamGameData[School, Opponent,Game'#],PlayerGameData[[#This Row],[School, Opponent,Game'#]])</f>
        <v>#NAME?</v>
      </c>
    </row>
    <row r="810" spans="1:63" x14ac:dyDescent="0.25">
      <c r="A810" s="8" t="str">
        <f t="shared" ca="1" si="393"/>
        <v>Jacob McNutt, 34</v>
      </c>
      <c r="B810" s="8" t="str">
        <f>Roster!$B$1</f>
        <v>Upton</v>
      </c>
      <c r="C810" s="8">
        <f t="shared" ca="1" si="381"/>
        <v>0</v>
      </c>
      <c r="D810" s="10">
        <f t="shared" ca="1" si="382"/>
        <v>0</v>
      </c>
      <c r="E810" s="8">
        <f t="shared" ca="1" si="383"/>
        <v>0</v>
      </c>
      <c r="F810" s="8">
        <f t="shared" ca="1" si="384"/>
        <v>0</v>
      </c>
      <c r="G810" s="8">
        <f t="shared" ca="1" si="385"/>
        <v>0</v>
      </c>
      <c r="H810" s="8">
        <f t="shared" ca="1" si="386"/>
        <v>0</v>
      </c>
      <c r="I810" s="8">
        <f t="shared" ca="1" si="387"/>
        <v>0</v>
      </c>
      <c r="J810" s="8">
        <f t="shared" ca="1" si="388"/>
        <v>0</v>
      </c>
      <c r="K810" s="8">
        <f t="shared" ca="1" si="389"/>
        <v>0</v>
      </c>
      <c r="L810" s="8">
        <f t="shared" ca="1" si="394"/>
        <v>0</v>
      </c>
      <c r="M810" s="8">
        <f t="shared" ca="1" si="395"/>
        <v>0</v>
      </c>
      <c r="N810" s="8">
        <f t="shared" ca="1" si="396"/>
        <v>0</v>
      </c>
      <c r="O810" s="8">
        <f t="shared" ca="1" si="397"/>
        <v>0</v>
      </c>
      <c r="P810" s="8">
        <f t="shared" ca="1" si="398"/>
        <v>0</v>
      </c>
      <c r="Q810" s="8">
        <f t="shared" ca="1" si="399"/>
        <v>0</v>
      </c>
      <c r="R810" s="8">
        <f t="shared" ca="1" si="400"/>
        <v>0</v>
      </c>
      <c r="S810" s="8">
        <f t="shared" ca="1" si="401"/>
        <v>0</v>
      </c>
      <c r="T810" s="8">
        <f t="shared" ca="1" si="402"/>
        <v>0</v>
      </c>
      <c r="U810" s="8">
        <f t="shared" ca="1" si="403"/>
        <v>0</v>
      </c>
      <c r="V810" s="8">
        <f t="shared" ca="1" si="404"/>
        <v>0</v>
      </c>
      <c r="W810" s="11" t="str">
        <f t="shared" ca="1" si="405"/>
        <v/>
      </c>
      <c r="X810" s="11" t="str">
        <f t="shared" ca="1" si="406"/>
        <v/>
      </c>
      <c r="Y810" s="11" t="str">
        <f t="shared" ca="1" si="407"/>
        <v/>
      </c>
      <c r="Z810" s="11" t="str">
        <f t="shared" ca="1" si="408"/>
        <v/>
      </c>
      <c r="AA810" s="11" t="str">
        <f t="shared" ca="1" si="409"/>
        <v/>
      </c>
      <c r="AB810" s="47">
        <f ca="1">PlayerGameData[[#This Row],[3FGA]]+PlayerGameData[[#This Row],[2FGA]]</f>
        <v>0</v>
      </c>
      <c r="AC810" s="47">
        <f ca="1">PlayerGameData[[#This Row],[OFF REB]]+PlayerGameData[[#This Row],[DEF REB]]</f>
        <v>0</v>
      </c>
      <c r="AD810" s="8">
        <f t="shared" si="390"/>
        <v>34</v>
      </c>
      <c r="AE810" s="8" t="str">
        <f t="shared" ca="1" si="391"/>
        <v>Jacob McNutt, 34 - 0 1/0/1900</v>
      </c>
      <c r="AF810" s="8" t="str">
        <f t="shared" ca="1" si="410"/>
        <v/>
      </c>
      <c r="AG810" s="8" t="str">
        <f ca="1">IFERROR(IF(C810=0,"",IF(AND(VLOOKUP(PlayerGameData[[#This Row],[Opponent]],WYTeamInfo,2,FALSE)=Roster!$D$1,VLOOKUP(PlayerGameData[[#This Row],[Opponent]],WYTeamInfo,3,FALSE)=Roster!$D$2),"SR","")),"")</f>
        <v/>
      </c>
      <c r="AH810" s="8" t="str">
        <f>CONCATENATE(Roster!$D$1," ",Roster!$D$5)</f>
        <v>1A BB</v>
      </c>
      <c r="AI810" s="8" t="str">
        <f t="shared" ca="1" si="392"/>
        <v>Blank</v>
      </c>
      <c r="AJ810" s="8">
        <f ca="1">IFERROR(VLOOKUP(PlayerGameData[[#This Row],[School, Opponent,Game'#]],Table3[],2,FALSE),0)</f>
        <v>0</v>
      </c>
      <c r="AK810" s="8">
        <f ca="1">IF(PlayerGameData[[#This Row],[Visible]]=1,1,1000)</f>
        <v>1000</v>
      </c>
      <c r="AL810" s="8">
        <f ca="1">RANK(PlayerGameData[[#This Row],[TL PTS]],PlayerGameData[TL PTS],0)+PlayerGameData[[#This Row],[VisibleOrder]]</f>
        <v>1184</v>
      </c>
      <c r="AM810" s="8">
        <f ca="1">IF(COUNTIF(PlayerGameData[PointOrder],PlayerGameData[[#This Row],[PointOrder]])&gt;1,RANK(PlayerGameData[[#This Row],[FGA]],PlayerGameData[FGA],0)/100,0)+PlayerGameData[[#This Row],[PointOrder]]</f>
        <v>1186.1400000000001</v>
      </c>
      <c r="AN810" s="8">
        <f ca="1">RANK(PlayerGameData[[#This Row],[PointTieBreak]],PlayerGameData[PointTieBreak],1)</f>
        <v>625</v>
      </c>
      <c r="AO810" s="8">
        <f ca="1">RANK(PlayerGameData[[#This Row],[REB]],PlayerGameData[REB],0)+PlayerGameData[[#This Row],[VisibleOrder]]</f>
        <v>1191</v>
      </c>
      <c r="AP810" s="8">
        <f ca="1">IF(COUNTIF(PlayerGameData[REBOrder],PlayerGameData[[#This Row],[REBOrder]])&gt;1,PlayerGameData[[#This Row],[PointRank]]/100+PlayerGameData[[#This Row],[REBOrder]],PlayerGameData[[#This Row],[REBOrder]])</f>
        <v>1197.25</v>
      </c>
      <c r="AQ810" s="8">
        <f ca="1">RANK(PlayerGameData[[#This Row],[REBTieBreak]],PlayerGameData[REBTieBreak],1)</f>
        <v>625</v>
      </c>
      <c r="AR810" s="8">
        <f ca="1">RANK(PlayerGameData[[#This Row],[AST]],PlayerGameData[AST],0)+PlayerGameData[[#This Row],[VisibleOrder]]</f>
        <v>1157</v>
      </c>
      <c r="AS810" s="8">
        <f ca="1">IF(COUNTIF(PlayerGameData[ASTOrder],PlayerGameData[[#This Row],[ASTOrder]])&gt;1,PlayerGameData[[#This Row],[PointRank]]/100+PlayerGameData[[#This Row],[ASTOrder]],PlayerGameData[[#This Row],[ASTOrder]])</f>
        <v>1163.25</v>
      </c>
      <c r="AT810" s="8">
        <f ca="1">RANK(PlayerGameData[[#This Row],[ASTTieBreak]],PlayerGameData[ASTTieBreak],1)</f>
        <v>625</v>
      </c>
      <c r="AU810" s="8">
        <f ca="1">RANK(PlayerGameData[[#This Row],[STL]],PlayerGameData[STL],0)+PlayerGameData[[#This Row],[VisibleOrder]]</f>
        <v>1142</v>
      </c>
      <c r="AV810" s="8">
        <f ca="1">IF(COUNTIF(PlayerGameData[STLOrder],PlayerGameData[[#This Row],[STLOrder]])&gt;1,PlayerGameData[[#This Row],[PointRank]]/100+PlayerGameData[[#This Row],[STLOrder]],PlayerGameData[[#This Row],[STLOrder]])</f>
        <v>1148.25</v>
      </c>
      <c r="AW810" s="8">
        <f ca="1">RANK(PlayerGameData[[#This Row],[STLTieBreak]],PlayerGameData[STLTieBreak],1)</f>
        <v>625</v>
      </c>
      <c r="AX810" s="8">
        <f ca="1">RANK(PlayerGameData[[#This Row],[BLK]],PlayerGameData[BLK],0)+PlayerGameData[[#This Row],[VisibleOrder]]</f>
        <v>1031</v>
      </c>
      <c r="AY810" s="8">
        <f ca="1">IF(COUNTIF(PlayerGameData[BLKOrder],PlayerGameData[[#This Row],[BLKOrder]])&gt;1,PlayerGameData[[#This Row],[PointRank]]/100+PlayerGameData[[#This Row],[BLKOrder]],PlayerGameData[[#This Row],[BLKOrder]])</f>
        <v>1037.25</v>
      </c>
      <c r="AZ810" s="8">
        <f ca="1">RANK(PlayerGameData[[#This Row],[BLKTieBreak]],PlayerGameData[BLKTieBreak],1)</f>
        <v>625</v>
      </c>
      <c r="BA810" s="11">
        <f ca="1">IFERROR(IF(PlayerGameData[[#This Row],[FGA]]&gt;$AA$5,PlayerGameData[[#This Row],[FG%*]],PlayerGameData[[#This Row],[FG%*]]*-1),-2)</f>
        <v>-2</v>
      </c>
      <c r="BB810" s="8">
        <f ca="1">RANK(PlayerGameData[[#This Row],[EligFG]],PlayerGameData[EligFG],0)+PlayerGameData[[#This Row],[VisibleOrder]]</f>
        <v>1214</v>
      </c>
      <c r="BC810" s="8">
        <f ca="1">IF(COUNTIF(PlayerGameData[EligFGOrder],PlayerGameData[[#This Row],[EligFGOrder]])&gt;1,PlayerGameData[[#This Row],[PointRank]]/100+PlayerGameData[[#This Row],[EligFGOrder]],PlayerGameData[[#This Row],[EligFGOrder]])</f>
        <v>1220.25</v>
      </c>
      <c r="BD810" s="8">
        <f ca="1">RANK(PlayerGameData[[#This Row],[EligFGTieBreak]],PlayerGameData[EligFGTieBreak],1)</f>
        <v>625</v>
      </c>
      <c r="BE810" s="8" t="str">
        <f>Roster!$D$3</f>
        <v>East</v>
      </c>
      <c r="BF810" s="8" t="str">
        <f>Roster!$D$2</f>
        <v>Northeast</v>
      </c>
      <c r="BG810" s="8" t="str">
        <f>Roster!$D$4</f>
        <v>North</v>
      </c>
      <c r="BH810" s="197">
        <f ca="1">IFERROR(VLOOKUP(CONCATENATE(PlayerGameData[[#This Row],[Opponent]]," ",MONTH(PlayerGameData[[#This Row],[Date]]),"/",DAY(PlayerGameData[[#This Row],[Date]]),"/",YEAR(PlayerGameData[[#This Row],[Date]])),Table35[],2,FALSE),0)</f>
        <v>0</v>
      </c>
      <c r="BI810" s="197">
        <f ca="1">IF(PlayerGameData[[#This Row],[Visible]]=1,1,1000)</f>
        <v>1000</v>
      </c>
      <c r="BJ810" s="197" t="e">
        <f ca="1">_xlfn.MAXIFS(TeamGameData[Win],TeamGameData[School, Opponent,Game'#],PlayerGameData[[#This Row],[School, Opponent,Game'#]])</f>
        <v>#NAME?</v>
      </c>
      <c r="BK810" s="197" t="e">
        <f ca="1">_xlfn.MAXIFS(TeamGameData[Loss],TeamGameData[School, Opponent,Game'#],PlayerGameData[[#This Row],[School, Opponent,Game'#]])</f>
        <v>#NAME?</v>
      </c>
    </row>
    <row r="811" spans="1:63" x14ac:dyDescent="0.25">
      <c r="A811" s="8" t="str">
        <f t="shared" ca="1" si="393"/>
        <v>Ryan Baker, 35</v>
      </c>
      <c r="B811" s="8" t="str">
        <f>Roster!$B$1</f>
        <v>Upton</v>
      </c>
      <c r="C811" s="8">
        <f t="shared" ca="1" si="381"/>
        <v>0</v>
      </c>
      <c r="D811" s="10">
        <f t="shared" ca="1" si="382"/>
        <v>0</v>
      </c>
      <c r="E811" s="8">
        <f t="shared" ca="1" si="383"/>
        <v>0</v>
      </c>
      <c r="F811" s="8">
        <f t="shared" ca="1" si="384"/>
        <v>0</v>
      </c>
      <c r="G811" s="8">
        <f t="shared" ca="1" si="385"/>
        <v>0</v>
      </c>
      <c r="H811" s="8">
        <f t="shared" ca="1" si="386"/>
        <v>0</v>
      </c>
      <c r="I811" s="8">
        <f t="shared" ca="1" si="387"/>
        <v>0</v>
      </c>
      <c r="J811" s="8">
        <f t="shared" ca="1" si="388"/>
        <v>0</v>
      </c>
      <c r="K811" s="8">
        <f t="shared" ca="1" si="389"/>
        <v>0</v>
      </c>
      <c r="L811" s="8">
        <f t="shared" ca="1" si="394"/>
        <v>0</v>
      </c>
      <c r="M811" s="8">
        <f t="shared" ca="1" si="395"/>
        <v>0</v>
      </c>
      <c r="N811" s="8">
        <f t="shared" ca="1" si="396"/>
        <v>0</v>
      </c>
      <c r="O811" s="8">
        <f t="shared" ca="1" si="397"/>
        <v>0</v>
      </c>
      <c r="P811" s="8">
        <f t="shared" ca="1" si="398"/>
        <v>0</v>
      </c>
      <c r="Q811" s="8">
        <f t="shared" ca="1" si="399"/>
        <v>0</v>
      </c>
      <c r="R811" s="8">
        <f t="shared" ca="1" si="400"/>
        <v>0</v>
      </c>
      <c r="S811" s="8">
        <f t="shared" ca="1" si="401"/>
        <v>0</v>
      </c>
      <c r="T811" s="8">
        <f t="shared" ca="1" si="402"/>
        <v>0</v>
      </c>
      <c r="U811" s="8">
        <f t="shared" ca="1" si="403"/>
        <v>0</v>
      </c>
      <c r="V811" s="8">
        <f t="shared" ca="1" si="404"/>
        <v>0</v>
      </c>
      <c r="W811" s="11" t="str">
        <f t="shared" ca="1" si="405"/>
        <v/>
      </c>
      <c r="X811" s="11" t="str">
        <f t="shared" ca="1" si="406"/>
        <v/>
      </c>
      <c r="Y811" s="11" t="str">
        <f t="shared" ca="1" si="407"/>
        <v/>
      </c>
      <c r="Z811" s="11" t="str">
        <f t="shared" ca="1" si="408"/>
        <v/>
      </c>
      <c r="AA811" s="11" t="str">
        <f t="shared" ca="1" si="409"/>
        <v/>
      </c>
      <c r="AB811" s="47">
        <f ca="1">PlayerGameData[[#This Row],[3FGA]]+PlayerGameData[[#This Row],[2FGA]]</f>
        <v>0</v>
      </c>
      <c r="AC811" s="47">
        <f ca="1">PlayerGameData[[#This Row],[OFF REB]]+PlayerGameData[[#This Row],[DEF REB]]</f>
        <v>0</v>
      </c>
      <c r="AD811" s="8">
        <f t="shared" si="390"/>
        <v>34</v>
      </c>
      <c r="AE811" s="8" t="str">
        <f t="shared" ca="1" si="391"/>
        <v>Ryan Baker, 35 - 0 1/0/1900</v>
      </c>
      <c r="AF811" s="8" t="str">
        <f t="shared" ca="1" si="410"/>
        <v/>
      </c>
      <c r="AG811" s="8" t="str">
        <f ca="1">IFERROR(IF(C811=0,"",IF(AND(VLOOKUP(PlayerGameData[[#This Row],[Opponent]],WYTeamInfo,2,FALSE)=Roster!$D$1,VLOOKUP(PlayerGameData[[#This Row],[Opponent]],WYTeamInfo,3,FALSE)=Roster!$D$2),"SR","")),"")</f>
        <v/>
      </c>
      <c r="AH811" s="8" t="str">
        <f>CONCATENATE(Roster!$D$1," ",Roster!$D$5)</f>
        <v>1A BB</v>
      </c>
      <c r="AI811" s="8" t="str">
        <f t="shared" ca="1" si="392"/>
        <v>Blank</v>
      </c>
      <c r="AJ811" s="8">
        <f ca="1">IFERROR(VLOOKUP(PlayerGameData[[#This Row],[School, Opponent,Game'#]],Table3[],2,FALSE),0)</f>
        <v>0</v>
      </c>
      <c r="AK811" s="8">
        <f ca="1">IF(PlayerGameData[[#This Row],[Visible]]=1,1,1000)</f>
        <v>1000</v>
      </c>
      <c r="AL811" s="8">
        <f ca="1">RANK(PlayerGameData[[#This Row],[TL PTS]],PlayerGameData[TL PTS],0)+PlayerGameData[[#This Row],[VisibleOrder]]</f>
        <v>1184</v>
      </c>
      <c r="AM811" s="8">
        <f ca="1">IF(COUNTIF(PlayerGameData[PointOrder],PlayerGameData[[#This Row],[PointOrder]])&gt;1,RANK(PlayerGameData[[#This Row],[FGA]],PlayerGameData[FGA],0)/100,0)+PlayerGameData[[#This Row],[PointOrder]]</f>
        <v>1186.1400000000001</v>
      </c>
      <c r="AN811" s="8">
        <f ca="1">RANK(PlayerGameData[[#This Row],[PointTieBreak]],PlayerGameData[PointTieBreak],1)</f>
        <v>625</v>
      </c>
      <c r="AO811" s="8">
        <f ca="1">RANK(PlayerGameData[[#This Row],[REB]],PlayerGameData[REB],0)+PlayerGameData[[#This Row],[VisibleOrder]]</f>
        <v>1191</v>
      </c>
      <c r="AP811" s="8">
        <f ca="1">IF(COUNTIF(PlayerGameData[REBOrder],PlayerGameData[[#This Row],[REBOrder]])&gt;1,PlayerGameData[[#This Row],[PointRank]]/100+PlayerGameData[[#This Row],[REBOrder]],PlayerGameData[[#This Row],[REBOrder]])</f>
        <v>1197.25</v>
      </c>
      <c r="AQ811" s="8">
        <f ca="1">RANK(PlayerGameData[[#This Row],[REBTieBreak]],PlayerGameData[REBTieBreak],1)</f>
        <v>625</v>
      </c>
      <c r="AR811" s="8">
        <f ca="1">RANK(PlayerGameData[[#This Row],[AST]],PlayerGameData[AST],0)+PlayerGameData[[#This Row],[VisibleOrder]]</f>
        <v>1157</v>
      </c>
      <c r="AS811" s="8">
        <f ca="1">IF(COUNTIF(PlayerGameData[ASTOrder],PlayerGameData[[#This Row],[ASTOrder]])&gt;1,PlayerGameData[[#This Row],[PointRank]]/100+PlayerGameData[[#This Row],[ASTOrder]],PlayerGameData[[#This Row],[ASTOrder]])</f>
        <v>1163.25</v>
      </c>
      <c r="AT811" s="8">
        <f ca="1">RANK(PlayerGameData[[#This Row],[ASTTieBreak]],PlayerGameData[ASTTieBreak],1)</f>
        <v>625</v>
      </c>
      <c r="AU811" s="8">
        <f ca="1">RANK(PlayerGameData[[#This Row],[STL]],PlayerGameData[STL],0)+PlayerGameData[[#This Row],[VisibleOrder]]</f>
        <v>1142</v>
      </c>
      <c r="AV811" s="8">
        <f ca="1">IF(COUNTIF(PlayerGameData[STLOrder],PlayerGameData[[#This Row],[STLOrder]])&gt;1,PlayerGameData[[#This Row],[PointRank]]/100+PlayerGameData[[#This Row],[STLOrder]],PlayerGameData[[#This Row],[STLOrder]])</f>
        <v>1148.25</v>
      </c>
      <c r="AW811" s="8">
        <f ca="1">RANK(PlayerGameData[[#This Row],[STLTieBreak]],PlayerGameData[STLTieBreak],1)</f>
        <v>625</v>
      </c>
      <c r="AX811" s="8">
        <f ca="1">RANK(PlayerGameData[[#This Row],[BLK]],PlayerGameData[BLK],0)+PlayerGameData[[#This Row],[VisibleOrder]]</f>
        <v>1031</v>
      </c>
      <c r="AY811" s="8">
        <f ca="1">IF(COUNTIF(PlayerGameData[BLKOrder],PlayerGameData[[#This Row],[BLKOrder]])&gt;1,PlayerGameData[[#This Row],[PointRank]]/100+PlayerGameData[[#This Row],[BLKOrder]],PlayerGameData[[#This Row],[BLKOrder]])</f>
        <v>1037.25</v>
      </c>
      <c r="AZ811" s="8">
        <f ca="1">RANK(PlayerGameData[[#This Row],[BLKTieBreak]],PlayerGameData[BLKTieBreak],1)</f>
        <v>625</v>
      </c>
      <c r="BA811" s="11">
        <f ca="1">IFERROR(IF(PlayerGameData[[#This Row],[FGA]]&gt;$AA$5,PlayerGameData[[#This Row],[FG%*]],PlayerGameData[[#This Row],[FG%*]]*-1),-2)</f>
        <v>-2</v>
      </c>
      <c r="BB811" s="8">
        <f ca="1">RANK(PlayerGameData[[#This Row],[EligFG]],PlayerGameData[EligFG],0)+PlayerGameData[[#This Row],[VisibleOrder]]</f>
        <v>1214</v>
      </c>
      <c r="BC811" s="8">
        <f ca="1">IF(COUNTIF(PlayerGameData[EligFGOrder],PlayerGameData[[#This Row],[EligFGOrder]])&gt;1,PlayerGameData[[#This Row],[PointRank]]/100+PlayerGameData[[#This Row],[EligFGOrder]],PlayerGameData[[#This Row],[EligFGOrder]])</f>
        <v>1220.25</v>
      </c>
      <c r="BD811" s="8">
        <f ca="1">RANK(PlayerGameData[[#This Row],[EligFGTieBreak]],PlayerGameData[EligFGTieBreak],1)</f>
        <v>625</v>
      </c>
      <c r="BE811" s="8" t="str">
        <f>Roster!$D$3</f>
        <v>East</v>
      </c>
      <c r="BF811" s="8" t="str">
        <f>Roster!$D$2</f>
        <v>Northeast</v>
      </c>
      <c r="BG811" s="8" t="str">
        <f>Roster!$D$4</f>
        <v>North</v>
      </c>
      <c r="BH811" s="197">
        <f ca="1">IFERROR(VLOOKUP(CONCATENATE(PlayerGameData[[#This Row],[Opponent]]," ",MONTH(PlayerGameData[[#This Row],[Date]]),"/",DAY(PlayerGameData[[#This Row],[Date]]),"/",YEAR(PlayerGameData[[#This Row],[Date]])),Table35[],2,FALSE),0)</f>
        <v>0</v>
      </c>
      <c r="BI811" s="197">
        <f ca="1">IF(PlayerGameData[[#This Row],[Visible]]=1,1,1000)</f>
        <v>1000</v>
      </c>
      <c r="BJ811" s="197" t="e">
        <f ca="1">_xlfn.MAXIFS(TeamGameData[Win],TeamGameData[School, Opponent,Game'#],PlayerGameData[[#This Row],[School, Opponent,Game'#]])</f>
        <v>#NAME?</v>
      </c>
      <c r="BK811" s="197" t="e">
        <f ca="1">_xlfn.MAXIFS(TeamGameData[Loss],TeamGameData[School, Opponent,Game'#],PlayerGameData[[#This Row],[School, Opponent,Game'#]])</f>
        <v>#NAME?</v>
      </c>
    </row>
    <row r="812" spans="1:63" x14ac:dyDescent="0.25">
      <c r="A812" s="8" t="str">
        <f t="shared" ca="1" si="393"/>
        <v xml:space="preserve">, </v>
      </c>
      <c r="B812" s="8" t="str">
        <f>Roster!$B$1</f>
        <v>Upton</v>
      </c>
      <c r="C812" s="8">
        <f t="shared" ca="1" si="381"/>
        <v>0</v>
      </c>
      <c r="D812" s="10">
        <f t="shared" ca="1" si="382"/>
        <v>0</v>
      </c>
      <c r="E812" s="8">
        <f t="shared" ca="1" si="383"/>
        <v>0</v>
      </c>
      <c r="F812" s="8">
        <f t="shared" ca="1" si="384"/>
        <v>0</v>
      </c>
      <c r="G812" s="8">
        <f t="shared" ca="1" si="385"/>
        <v>0</v>
      </c>
      <c r="H812" s="8">
        <f t="shared" ca="1" si="386"/>
        <v>0</v>
      </c>
      <c r="I812" s="8">
        <f t="shared" ca="1" si="387"/>
        <v>0</v>
      </c>
      <c r="J812" s="8">
        <f t="shared" ca="1" si="388"/>
        <v>0</v>
      </c>
      <c r="K812" s="8">
        <f t="shared" ca="1" si="389"/>
        <v>0</v>
      </c>
      <c r="L812" s="8">
        <f t="shared" ca="1" si="394"/>
        <v>0</v>
      </c>
      <c r="M812" s="8">
        <f t="shared" ca="1" si="395"/>
        <v>0</v>
      </c>
      <c r="N812" s="8">
        <f t="shared" ca="1" si="396"/>
        <v>0</v>
      </c>
      <c r="O812" s="8">
        <f t="shared" ca="1" si="397"/>
        <v>0</v>
      </c>
      <c r="P812" s="8">
        <f t="shared" ca="1" si="398"/>
        <v>0</v>
      </c>
      <c r="Q812" s="8">
        <f t="shared" ca="1" si="399"/>
        <v>0</v>
      </c>
      <c r="R812" s="8">
        <f t="shared" ca="1" si="400"/>
        <v>0</v>
      </c>
      <c r="S812" s="8">
        <f t="shared" ca="1" si="401"/>
        <v>0</v>
      </c>
      <c r="T812" s="8">
        <f t="shared" ca="1" si="402"/>
        <v>0</v>
      </c>
      <c r="U812" s="8">
        <f t="shared" ca="1" si="403"/>
        <v>0</v>
      </c>
      <c r="V812" s="8">
        <f t="shared" ca="1" si="404"/>
        <v>0</v>
      </c>
      <c r="W812" s="11" t="str">
        <f t="shared" ca="1" si="405"/>
        <v/>
      </c>
      <c r="X812" s="11" t="str">
        <f t="shared" ca="1" si="406"/>
        <v/>
      </c>
      <c r="Y812" s="11" t="str">
        <f t="shared" ca="1" si="407"/>
        <v/>
      </c>
      <c r="Z812" s="11" t="str">
        <f t="shared" ca="1" si="408"/>
        <v/>
      </c>
      <c r="AA812" s="11" t="str">
        <f t="shared" ca="1" si="409"/>
        <v/>
      </c>
      <c r="AB812" s="47">
        <f ca="1">PlayerGameData[[#This Row],[3FGA]]+PlayerGameData[[#This Row],[2FGA]]</f>
        <v>0</v>
      </c>
      <c r="AC812" s="47">
        <f ca="1">PlayerGameData[[#This Row],[OFF REB]]+PlayerGameData[[#This Row],[DEF REB]]</f>
        <v>0</v>
      </c>
      <c r="AD812" s="8">
        <f t="shared" si="390"/>
        <v>34</v>
      </c>
      <c r="AE812" s="8" t="str">
        <f t="shared" ca="1" si="391"/>
        <v>,  - 0 1/0/1900</v>
      </c>
      <c r="AF812" s="8" t="str">
        <f t="shared" ca="1" si="410"/>
        <v/>
      </c>
      <c r="AG812" s="8" t="str">
        <f ca="1">IFERROR(IF(C812=0,"",IF(AND(VLOOKUP(PlayerGameData[[#This Row],[Opponent]],WYTeamInfo,2,FALSE)=Roster!$D$1,VLOOKUP(PlayerGameData[[#This Row],[Opponent]],WYTeamInfo,3,FALSE)=Roster!$D$2),"SR","")),"")</f>
        <v/>
      </c>
      <c r="AH812" s="8" t="str">
        <f>CONCATENATE(Roster!$D$1," ",Roster!$D$5)</f>
        <v>1A BB</v>
      </c>
      <c r="AI812" s="8" t="str">
        <f t="shared" ca="1" si="392"/>
        <v>Blank</v>
      </c>
      <c r="AJ812" s="8">
        <f ca="1">IFERROR(VLOOKUP(PlayerGameData[[#This Row],[School, Opponent,Game'#]],Table3[],2,FALSE),0)</f>
        <v>0</v>
      </c>
      <c r="AK812" s="8">
        <f ca="1">IF(PlayerGameData[[#This Row],[Visible]]=1,1,1000)</f>
        <v>1000</v>
      </c>
      <c r="AL812" s="8">
        <f ca="1">RANK(PlayerGameData[[#This Row],[TL PTS]],PlayerGameData[TL PTS],0)+PlayerGameData[[#This Row],[VisibleOrder]]</f>
        <v>1184</v>
      </c>
      <c r="AM812" s="8">
        <f ca="1">IF(COUNTIF(PlayerGameData[PointOrder],PlayerGameData[[#This Row],[PointOrder]])&gt;1,RANK(PlayerGameData[[#This Row],[FGA]],PlayerGameData[FGA],0)/100,0)+PlayerGameData[[#This Row],[PointOrder]]</f>
        <v>1186.1400000000001</v>
      </c>
      <c r="AN812" s="8">
        <f ca="1">RANK(PlayerGameData[[#This Row],[PointTieBreak]],PlayerGameData[PointTieBreak],1)</f>
        <v>625</v>
      </c>
      <c r="AO812" s="8">
        <f ca="1">RANK(PlayerGameData[[#This Row],[REB]],PlayerGameData[REB],0)+PlayerGameData[[#This Row],[VisibleOrder]]</f>
        <v>1191</v>
      </c>
      <c r="AP812" s="8">
        <f ca="1">IF(COUNTIF(PlayerGameData[REBOrder],PlayerGameData[[#This Row],[REBOrder]])&gt;1,PlayerGameData[[#This Row],[PointRank]]/100+PlayerGameData[[#This Row],[REBOrder]],PlayerGameData[[#This Row],[REBOrder]])</f>
        <v>1197.25</v>
      </c>
      <c r="AQ812" s="8">
        <f ca="1">RANK(PlayerGameData[[#This Row],[REBTieBreak]],PlayerGameData[REBTieBreak],1)</f>
        <v>625</v>
      </c>
      <c r="AR812" s="8">
        <f ca="1">RANK(PlayerGameData[[#This Row],[AST]],PlayerGameData[AST],0)+PlayerGameData[[#This Row],[VisibleOrder]]</f>
        <v>1157</v>
      </c>
      <c r="AS812" s="8">
        <f ca="1">IF(COUNTIF(PlayerGameData[ASTOrder],PlayerGameData[[#This Row],[ASTOrder]])&gt;1,PlayerGameData[[#This Row],[PointRank]]/100+PlayerGameData[[#This Row],[ASTOrder]],PlayerGameData[[#This Row],[ASTOrder]])</f>
        <v>1163.25</v>
      </c>
      <c r="AT812" s="8">
        <f ca="1">RANK(PlayerGameData[[#This Row],[ASTTieBreak]],PlayerGameData[ASTTieBreak],1)</f>
        <v>625</v>
      </c>
      <c r="AU812" s="8">
        <f ca="1">RANK(PlayerGameData[[#This Row],[STL]],PlayerGameData[STL],0)+PlayerGameData[[#This Row],[VisibleOrder]]</f>
        <v>1142</v>
      </c>
      <c r="AV812" s="8">
        <f ca="1">IF(COUNTIF(PlayerGameData[STLOrder],PlayerGameData[[#This Row],[STLOrder]])&gt;1,PlayerGameData[[#This Row],[PointRank]]/100+PlayerGameData[[#This Row],[STLOrder]],PlayerGameData[[#This Row],[STLOrder]])</f>
        <v>1148.25</v>
      </c>
      <c r="AW812" s="8">
        <f ca="1">RANK(PlayerGameData[[#This Row],[STLTieBreak]],PlayerGameData[STLTieBreak],1)</f>
        <v>625</v>
      </c>
      <c r="AX812" s="8">
        <f ca="1">RANK(PlayerGameData[[#This Row],[BLK]],PlayerGameData[BLK],0)+PlayerGameData[[#This Row],[VisibleOrder]]</f>
        <v>1031</v>
      </c>
      <c r="AY812" s="8">
        <f ca="1">IF(COUNTIF(PlayerGameData[BLKOrder],PlayerGameData[[#This Row],[BLKOrder]])&gt;1,PlayerGameData[[#This Row],[PointRank]]/100+PlayerGameData[[#This Row],[BLKOrder]],PlayerGameData[[#This Row],[BLKOrder]])</f>
        <v>1037.25</v>
      </c>
      <c r="AZ812" s="8">
        <f ca="1">RANK(PlayerGameData[[#This Row],[BLKTieBreak]],PlayerGameData[BLKTieBreak],1)</f>
        <v>625</v>
      </c>
      <c r="BA812" s="11">
        <f ca="1">IFERROR(IF(PlayerGameData[[#This Row],[FGA]]&gt;$AA$5,PlayerGameData[[#This Row],[FG%*]],PlayerGameData[[#This Row],[FG%*]]*-1),-2)</f>
        <v>-2</v>
      </c>
      <c r="BB812" s="8">
        <f ca="1">RANK(PlayerGameData[[#This Row],[EligFG]],PlayerGameData[EligFG],0)+PlayerGameData[[#This Row],[VisibleOrder]]</f>
        <v>1214</v>
      </c>
      <c r="BC812" s="8">
        <f ca="1">IF(COUNTIF(PlayerGameData[EligFGOrder],PlayerGameData[[#This Row],[EligFGOrder]])&gt;1,PlayerGameData[[#This Row],[PointRank]]/100+PlayerGameData[[#This Row],[EligFGOrder]],PlayerGameData[[#This Row],[EligFGOrder]])</f>
        <v>1220.25</v>
      </c>
      <c r="BD812" s="8">
        <f ca="1">RANK(PlayerGameData[[#This Row],[EligFGTieBreak]],PlayerGameData[EligFGTieBreak],1)</f>
        <v>625</v>
      </c>
      <c r="BE812" s="8" t="str">
        <f>Roster!$D$3</f>
        <v>East</v>
      </c>
      <c r="BF812" s="8" t="str">
        <f>Roster!$D$2</f>
        <v>Northeast</v>
      </c>
      <c r="BG812" s="8" t="str">
        <f>Roster!$D$4</f>
        <v>North</v>
      </c>
      <c r="BH812" s="197">
        <f ca="1">IFERROR(VLOOKUP(CONCATENATE(PlayerGameData[[#This Row],[Opponent]]," ",MONTH(PlayerGameData[[#This Row],[Date]]),"/",DAY(PlayerGameData[[#This Row],[Date]]),"/",YEAR(PlayerGameData[[#This Row],[Date]])),Table35[],2,FALSE),0)</f>
        <v>0</v>
      </c>
      <c r="BI812" s="197">
        <f ca="1">IF(PlayerGameData[[#This Row],[Visible]]=1,1,1000)</f>
        <v>1000</v>
      </c>
      <c r="BJ812" s="197" t="e">
        <f ca="1">_xlfn.MAXIFS(TeamGameData[Win],TeamGameData[School, Opponent,Game'#],PlayerGameData[[#This Row],[School, Opponent,Game'#]])</f>
        <v>#NAME?</v>
      </c>
      <c r="BK812" s="197" t="e">
        <f ca="1">_xlfn.MAXIFS(TeamGameData[Loss],TeamGameData[School, Opponent,Game'#],PlayerGameData[[#This Row],[School, Opponent,Game'#]])</f>
        <v>#NAME?</v>
      </c>
    </row>
    <row r="813" spans="1:63" x14ac:dyDescent="0.25">
      <c r="A813" s="8" t="str">
        <f t="shared" ca="1" si="393"/>
        <v xml:space="preserve">, </v>
      </c>
      <c r="B813" s="8" t="str">
        <f>Roster!$B$1</f>
        <v>Upton</v>
      </c>
      <c r="C813" s="8">
        <f t="shared" ca="1" si="381"/>
        <v>0</v>
      </c>
      <c r="D813" s="10">
        <f t="shared" ca="1" si="382"/>
        <v>0</v>
      </c>
      <c r="E813" s="8">
        <f t="shared" ca="1" si="383"/>
        <v>0</v>
      </c>
      <c r="F813" s="8">
        <f t="shared" ca="1" si="384"/>
        <v>0</v>
      </c>
      <c r="G813" s="8">
        <f t="shared" ca="1" si="385"/>
        <v>0</v>
      </c>
      <c r="H813" s="8">
        <f t="shared" ca="1" si="386"/>
        <v>0</v>
      </c>
      <c r="I813" s="8">
        <f t="shared" ca="1" si="387"/>
        <v>0</v>
      </c>
      <c r="J813" s="8">
        <f t="shared" ca="1" si="388"/>
        <v>0</v>
      </c>
      <c r="K813" s="8">
        <f t="shared" ca="1" si="389"/>
        <v>0</v>
      </c>
      <c r="L813" s="8">
        <f t="shared" ca="1" si="394"/>
        <v>0</v>
      </c>
      <c r="M813" s="8">
        <f t="shared" ca="1" si="395"/>
        <v>0</v>
      </c>
      <c r="N813" s="8">
        <f t="shared" ca="1" si="396"/>
        <v>0</v>
      </c>
      <c r="O813" s="8">
        <f t="shared" ca="1" si="397"/>
        <v>0</v>
      </c>
      <c r="P813" s="8">
        <f t="shared" ca="1" si="398"/>
        <v>0</v>
      </c>
      <c r="Q813" s="8">
        <f t="shared" ca="1" si="399"/>
        <v>0</v>
      </c>
      <c r="R813" s="8">
        <f t="shared" ca="1" si="400"/>
        <v>0</v>
      </c>
      <c r="S813" s="8">
        <f t="shared" ca="1" si="401"/>
        <v>0</v>
      </c>
      <c r="T813" s="8">
        <f t="shared" ca="1" si="402"/>
        <v>0</v>
      </c>
      <c r="U813" s="8">
        <f t="shared" ca="1" si="403"/>
        <v>0</v>
      </c>
      <c r="V813" s="8">
        <f t="shared" ca="1" si="404"/>
        <v>0</v>
      </c>
      <c r="W813" s="11" t="str">
        <f t="shared" ca="1" si="405"/>
        <v/>
      </c>
      <c r="X813" s="11" t="str">
        <f t="shared" ca="1" si="406"/>
        <v/>
      </c>
      <c r="Y813" s="11" t="str">
        <f t="shared" ca="1" si="407"/>
        <v/>
      </c>
      <c r="Z813" s="11" t="str">
        <f t="shared" ca="1" si="408"/>
        <v/>
      </c>
      <c r="AA813" s="11" t="str">
        <f t="shared" ca="1" si="409"/>
        <v/>
      </c>
      <c r="AB813" s="47">
        <f ca="1">PlayerGameData[[#This Row],[3FGA]]+PlayerGameData[[#This Row],[2FGA]]</f>
        <v>0</v>
      </c>
      <c r="AC813" s="47">
        <f ca="1">PlayerGameData[[#This Row],[OFF REB]]+PlayerGameData[[#This Row],[DEF REB]]</f>
        <v>0</v>
      </c>
      <c r="AD813" s="8">
        <f t="shared" si="390"/>
        <v>34</v>
      </c>
      <c r="AE813" s="8" t="str">
        <f t="shared" ca="1" si="391"/>
        <v>,  - 0 1/0/1900</v>
      </c>
      <c r="AF813" s="8" t="str">
        <f t="shared" ca="1" si="410"/>
        <v/>
      </c>
      <c r="AG813" s="8" t="str">
        <f ca="1">IFERROR(IF(C813=0,"",IF(AND(VLOOKUP(PlayerGameData[[#This Row],[Opponent]],WYTeamInfo,2,FALSE)=Roster!$D$1,VLOOKUP(PlayerGameData[[#This Row],[Opponent]],WYTeamInfo,3,FALSE)=Roster!$D$2),"SR","")),"")</f>
        <v/>
      </c>
      <c r="AH813" s="8" t="str">
        <f>CONCATENATE(Roster!$D$1," ",Roster!$D$5)</f>
        <v>1A BB</v>
      </c>
      <c r="AI813" s="8" t="str">
        <f t="shared" ca="1" si="392"/>
        <v>Blank</v>
      </c>
      <c r="AJ813" s="8">
        <f ca="1">IFERROR(VLOOKUP(PlayerGameData[[#This Row],[School, Opponent,Game'#]],Table3[],2,FALSE),0)</f>
        <v>0</v>
      </c>
      <c r="AK813" s="8">
        <f ca="1">IF(PlayerGameData[[#This Row],[Visible]]=1,1,1000)</f>
        <v>1000</v>
      </c>
      <c r="AL813" s="8">
        <f ca="1">RANK(PlayerGameData[[#This Row],[TL PTS]],PlayerGameData[TL PTS],0)+PlayerGameData[[#This Row],[VisibleOrder]]</f>
        <v>1184</v>
      </c>
      <c r="AM813" s="8">
        <f ca="1">IF(COUNTIF(PlayerGameData[PointOrder],PlayerGameData[[#This Row],[PointOrder]])&gt;1,RANK(PlayerGameData[[#This Row],[FGA]],PlayerGameData[FGA],0)/100,0)+PlayerGameData[[#This Row],[PointOrder]]</f>
        <v>1186.1400000000001</v>
      </c>
      <c r="AN813" s="8">
        <f ca="1">RANK(PlayerGameData[[#This Row],[PointTieBreak]],PlayerGameData[PointTieBreak],1)</f>
        <v>625</v>
      </c>
      <c r="AO813" s="8">
        <f ca="1">RANK(PlayerGameData[[#This Row],[REB]],PlayerGameData[REB],0)+PlayerGameData[[#This Row],[VisibleOrder]]</f>
        <v>1191</v>
      </c>
      <c r="AP813" s="8">
        <f ca="1">IF(COUNTIF(PlayerGameData[REBOrder],PlayerGameData[[#This Row],[REBOrder]])&gt;1,PlayerGameData[[#This Row],[PointRank]]/100+PlayerGameData[[#This Row],[REBOrder]],PlayerGameData[[#This Row],[REBOrder]])</f>
        <v>1197.25</v>
      </c>
      <c r="AQ813" s="8">
        <f ca="1">RANK(PlayerGameData[[#This Row],[REBTieBreak]],PlayerGameData[REBTieBreak],1)</f>
        <v>625</v>
      </c>
      <c r="AR813" s="8">
        <f ca="1">RANK(PlayerGameData[[#This Row],[AST]],PlayerGameData[AST],0)+PlayerGameData[[#This Row],[VisibleOrder]]</f>
        <v>1157</v>
      </c>
      <c r="AS813" s="8">
        <f ca="1">IF(COUNTIF(PlayerGameData[ASTOrder],PlayerGameData[[#This Row],[ASTOrder]])&gt;1,PlayerGameData[[#This Row],[PointRank]]/100+PlayerGameData[[#This Row],[ASTOrder]],PlayerGameData[[#This Row],[ASTOrder]])</f>
        <v>1163.25</v>
      </c>
      <c r="AT813" s="8">
        <f ca="1">RANK(PlayerGameData[[#This Row],[ASTTieBreak]],PlayerGameData[ASTTieBreak],1)</f>
        <v>625</v>
      </c>
      <c r="AU813" s="8">
        <f ca="1">RANK(PlayerGameData[[#This Row],[STL]],PlayerGameData[STL],0)+PlayerGameData[[#This Row],[VisibleOrder]]</f>
        <v>1142</v>
      </c>
      <c r="AV813" s="8">
        <f ca="1">IF(COUNTIF(PlayerGameData[STLOrder],PlayerGameData[[#This Row],[STLOrder]])&gt;1,PlayerGameData[[#This Row],[PointRank]]/100+PlayerGameData[[#This Row],[STLOrder]],PlayerGameData[[#This Row],[STLOrder]])</f>
        <v>1148.25</v>
      </c>
      <c r="AW813" s="8">
        <f ca="1">RANK(PlayerGameData[[#This Row],[STLTieBreak]],PlayerGameData[STLTieBreak],1)</f>
        <v>625</v>
      </c>
      <c r="AX813" s="8">
        <f ca="1">RANK(PlayerGameData[[#This Row],[BLK]],PlayerGameData[BLK],0)+PlayerGameData[[#This Row],[VisibleOrder]]</f>
        <v>1031</v>
      </c>
      <c r="AY813" s="8">
        <f ca="1">IF(COUNTIF(PlayerGameData[BLKOrder],PlayerGameData[[#This Row],[BLKOrder]])&gt;1,PlayerGameData[[#This Row],[PointRank]]/100+PlayerGameData[[#This Row],[BLKOrder]],PlayerGameData[[#This Row],[BLKOrder]])</f>
        <v>1037.25</v>
      </c>
      <c r="AZ813" s="8">
        <f ca="1">RANK(PlayerGameData[[#This Row],[BLKTieBreak]],PlayerGameData[BLKTieBreak],1)</f>
        <v>625</v>
      </c>
      <c r="BA813" s="11">
        <f ca="1">IFERROR(IF(PlayerGameData[[#This Row],[FGA]]&gt;$AA$5,PlayerGameData[[#This Row],[FG%*]],PlayerGameData[[#This Row],[FG%*]]*-1),-2)</f>
        <v>-2</v>
      </c>
      <c r="BB813" s="8">
        <f ca="1">RANK(PlayerGameData[[#This Row],[EligFG]],PlayerGameData[EligFG],0)+PlayerGameData[[#This Row],[VisibleOrder]]</f>
        <v>1214</v>
      </c>
      <c r="BC813" s="8">
        <f ca="1">IF(COUNTIF(PlayerGameData[EligFGOrder],PlayerGameData[[#This Row],[EligFGOrder]])&gt;1,PlayerGameData[[#This Row],[PointRank]]/100+PlayerGameData[[#This Row],[EligFGOrder]],PlayerGameData[[#This Row],[EligFGOrder]])</f>
        <v>1220.25</v>
      </c>
      <c r="BD813" s="8">
        <f ca="1">RANK(PlayerGameData[[#This Row],[EligFGTieBreak]],PlayerGameData[EligFGTieBreak],1)</f>
        <v>625</v>
      </c>
      <c r="BE813" s="8" t="str">
        <f>Roster!$D$3</f>
        <v>East</v>
      </c>
      <c r="BF813" s="8" t="str">
        <f>Roster!$D$2</f>
        <v>Northeast</v>
      </c>
      <c r="BG813" s="8" t="str">
        <f>Roster!$D$4</f>
        <v>North</v>
      </c>
      <c r="BH813" s="197">
        <f ca="1">IFERROR(VLOOKUP(CONCATENATE(PlayerGameData[[#This Row],[Opponent]]," ",MONTH(PlayerGameData[[#This Row],[Date]]),"/",DAY(PlayerGameData[[#This Row],[Date]]),"/",YEAR(PlayerGameData[[#This Row],[Date]])),Table35[],2,FALSE),0)</f>
        <v>0</v>
      </c>
      <c r="BI813" s="197">
        <f ca="1">IF(PlayerGameData[[#This Row],[Visible]]=1,1,1000)</f>
        <v>1000</v>
      </c>
      <c r="BJ813" s="197" t="e">
        <f ca="1">_xlfn.MAXIFS(TeamGameData[Win],TeamGameData[School, Opponent,Game'#],PlayerGameData[[#This Row],[School, Opponent,Game'#]])</f>
        <v>#NAME?</v>
      </c>
      <c r="BK813" s="197" t="e">
        <f ca="1">_xlfn.MAXIFS(TeamGameData[Loss],TeamGameData[School, Opponent,Game'#],PlayerGameData[[#This Row],[School, Opponent,Game'#]])</f>
        <v>#NAME?</v>
      </c>
    </row>
    <row r="814" spans="1:63" x14ac:dyDescent="0.25">
      <c r="A814" s="8" t="str">
        <f t="shared" ca="1" si="393"/>
        <v xml:space="preserve">, </v>
      </c>
      <c r="B814" s="8" t="str">
        <f>Roster!$B$1</f>
        <v>Upton</v>
      </c>
      <c r="C814" s="8">
        <f t="shared" ca="1" si="381"/>
        <v>0</v>
      </c>
      <c r="D814" s="10">
        <f t="shared" ca="1" si="382"/>
        <v>0</v>
      </c>
      <c r="E814" s="8">
        <f t="shared" ca="1" si="383"/>
        <v>0</v>
      </c>
      <c r="F814" s="8">
        <f t="shared" ca="1" si="384"/>
        <v>0</v>
      </c>
      <c r="G814" s="8">
        <f t="shared" ca="1" si="385"/>
        <v>0</v>
      </c>
      <c r="H814" s="8">
        <f t="shared" ca="1" si="386"/>
        <v>0</v>
      </c>
      <c r="I814" s="8">
        <f t="shared" ca="1" si="387"/>
        <v>0</v>
      </c>
      <c r="J814" s="8">
        <f t="shared" ca="1" si="388"/>
        <v>0</v>
      </c>
      <c r="K814" s="8">
        <f t="shared" ca="1" si="389"/>
        <v>0</v>
      </c>
      <c r="L814" s="8">
        <f t="shared" ca="1" si="394"/>
        <v>0</v>
      </c>
      <c r="M814" s="8">
        <f t="shared" ca="1" si="395"/>
        <v>0</v>
      </c>
      <c r="N814" s="8">
        <f t="shared" ca="1" si="396"/>
        <v>0</v>
      </c>
      <c r="O814" s="8">
        <f t="shared" ca="1" si="397"/>
        <v>0</v>
      </c>
      <c r="P814" s="8">
        <f t="shared" ca="1" si="398"/>
        <v>0</v>
      </c>
      <c r="Q814" s="8">
        <f t="shared" ca="1" si="399"/>
        <v>0</v>
      </c>
      <c r="R814" s="8">
        <f t="shared" ca="1" si="400"/>
        <v>0</v>
      </c>
      <c r="S814" s="8">
        <f t="shared" ca="1" si="401"/>
        <v>0</v>
      </c>
      <c r="T814" s="8">
        <f t="shared" ca="1" si="402"/>
        <v>0</v>
      </c>
      <c r="U814" s="8">
        <f t="shared" ca="1" si="403"/>
        <v>0</v>
      </c>
      <c r="V814" s="8">
        <f t="shared" ca="1" si="404"/>
        <v>0</v>
      </c>
      <c r="W814" s="11" t="str">
        <f t="shared" ca="1" si="405"/>
        <v/>
      </c>
      <c r="X814" s="11" t="str">
        <f t="shared" ca="1" si="406"/>
        <v/>
      </c>
      <c r="Y814" s="11" t="str">
        <f t="shared" ca="1" si="407"/>
        <v/>
      </c>
      <c r="Z814" s="11" t="str">
        <f t="shared" ca="1" si="408"/>
        <v/>
      </c>
      <c r="AA814" s="11" t="str">
        <f t="shared" ca="1" si="409"/>
        <v/>
      </c>
      <c r="AB814" s="47">
        <f ca="1">PlayerGameData[[#This Row],[3FGA]]+PlayerGameData[[#This Row],[2FGA]]</f>
        <v>0</v>
      </c>
      <c r="AC814" s="47">
        <f ca="1">PlayerGameData[[#This Row],[OFF REB]]+PlayerGameData[[#This Row],[DEF REB]]</f>
        <v>0</v>
      </c>
      <c r="AD814" s="8">
        <f t="shared" si="390"/>
        <v>34</v>
      </c>
      <c r="AE814" s="8" t="str">
        <f t="shared" ca="1" si="391"/>
        <v>,  - 0 1/0/1900</v>
      </c>
      <c r="AF814" s="8" t="str">
        <f t="shared" ca="1" si="410"/>
        <v/>
      </c>
      <c r="AG814" s="8" t="str">
        <f ca="1">IFERROR(IF(C814=0,"",IF(AND(VLOOKUP(PlayerGameData[[#This Row],[Opponent]],WYTeamInfo,2,FALSE)=Roster!$D$1,VLOOKUP(PlayerGameData[[#This Row],[Opponent]],WYTeamInfo,3,FALSE)=Roster!$D$2),"SR","")),"")</f>
        <v/>
      </c>
      <c r="AH814" s="8" t="str">
        <f>CONCATENATE(Roster!$D$1," ",Roster!$D$5)</f>
        <v>1A BB</v>
      </c>
      <c r="AI814" s="8" t="str">
        <f t="shared" ca="1" si="392"/>
        <v>Blank</v>
      </c>
      <c r="AJ814" s="8">
        <f ca="1">IFERROR(VLOOKUP(PlayerGameData[[#This Row],[School, Opponent,Game'#]],Table3[],2,FALSE),0)</f>
        <v>0</v>
      </c>
      <c r="AK814" s="8">
        <f ca="1">IF(PlayerGameData[[#This Row],[Visible]]=1,1,1000)</f>
        <v>1000</v>
      </c>
      <c r="AL814" s="8">
        <f ca="1">RANK(PlayerGameData[[#This Row],[TL PTS]],PlayerGameData[TL PTS],0)+PlayerGameData[[#This Row],[VisibleOrder]]</f>
        <v>1184</v>
      </c>
      <c r="AM814" s="8">
        <f ca="1">IF(COUNTIF(PlayerGameData[PointOrder],PlayerGameData[[#This Row],[PointOrder]])&gt;1,RANK(PlayerGameData[[#This Row],[FGA]],PlayerGameData[FGA],0)/100,0)+PlayerGameData[[#This Row],[PointOrder]]</f>
        <v>1186.1400000000001</v>
      </c>
      <c r="AN814" s="8">
        <f ca="1">RANK(PlayerGameData[[#This Row],[PointTieBreak]],PlayerGameData[PointTieBreak],1)</f>
        <v>625</v>
      </c>
      <c r="AO814" s="8">
        <f ca="1">RANK(PlayerGameData[[#This Row],[REB]],PlayerGameData[REB],0)+PlayerGameData[[#This Row],[VisibleOrder]]</f>
        <v>1191</v>
      </c>
      <c r="AP814" s="8">
        <f ca="1">IF(COUNTIF(PlayerGameData[REBOrder],PlayerGameData[[#This Row],[REBOrder]])&gt;1,PlayerGameData[[#This Row],[PointRank]]/100+PlayerGameData[[#This Row],[REBOrder]],PlayerGameData[[#This Row],[REBOrder]])</f>
        <v>1197.25</v>
      </c>
      <c r="AQ814" s="8">
        <f ca="1">RANK(PlayerGameData[[#This Row],[REBTieBreak]],PlayerGameData[REBTieBreak],1)</f>
        <v>625</v>
      </c>
      <c r="AR814" s="8">
        <f ca="1">RANK(PlayerGameData[[#This Row],[AST]],PlayerGameData[AST],0)+PlayerGameData[[#This Row],[VisibleOrder]]</f>
        <v>1157</v>
      </c>
      <c r="AS814" s="8">
        <f ca="1">IF(COUNTIF(PlayerGameData[ASTOrder],PlayerGameData[[#This Row],[ASTOrder]])&gt;1,PlayerGameData[[#This Row],[PointRank]]/100+PlayerGameData[[#This Row],[ASTOrder]],PlayerGameData[[#This Row],[ASTOrder]])</f>
        <v>1163.25</v>
      </c>
      <c r="AT814" s="8">
        <f ca="1">RANK(PlayerGameData[[#This Row],[ASTTieBreak]],PlayerGameData[ASTTieBreak],1)</f>
        <v>625</v>
      </c>
      <c r="AU814" s="8">
        <f ca="1">RANK(PlayerGameData[[#This Row],[STL]],PlayerGameData[STL],0)+PlayerGameData[[#This Row],[VisibleOrder]]</f>
        <v>1142</v>
      </c>
      <c r="AV814" s="8">
        <f ca="1">IF(COUNTIF(PlayerGameData[STLOrder],PlayerGameData[[#This Row],[STLOrder]])&gt;1,PlayerGameData[[#This Row],[PointRank]]/100+PlayerGameData[[#This Row],[STLOrder]],PlayerGameData[[#This Row],[STLOrder]])</f>
        <v>1148.25</v>
      </c>
      <c r="AW814" s="8">
        <f ca="1">RANK(PlayerGameData[[#This Row],[STLTieBreak]],PlayerGameData[STLTieBreak],1)</f>
        <v>625</v>
      </c>
      <c r="AX814" s="8">
        <f ca="1">RANK(PlayerGameData[[#This Row],[BLK]],PlayerGameData[BLK],0)+PlayerGameData[[#This Row],[VisibleOrder]]</f>
        <v>1031</v>
      </c>
      <c r="AY814" s="8">
        <f ca="1">IF(COUNTIF(PlayerGameData[BLKOrder],PlayerGameData[[#This Row],[BLKOrder]])&gt;1,PlayerGameData[[#This Row],[PointRank]]/100+PlayerGameData[[#This Row],[BLKOrder]],PlayerGameData[[#This Row],[BLKOrder]])</f>
        <v>1037.25</v>
      </c>
      <c r="AZ814" s="8">
        <f ca="1">RANK(PlayerGameData[[#This Row],[BLKTieBreak]],PlayerGameData[BLKTieBreak],1)</f>
        <v>625</v>
      </c>
      <c r="BA814" s="11">
        <f ca="1">IFERROR(IF(PlayerGameData[[#This Row],[FGA]]&gt;$AA$5,PlayerGameData[[#This Row],[FG%*]],PlayerGameData[[#This Row],[FG%*]]*-1),-2)</f>
        <v>-2</v>
      </c>
      <c r="BB814" s="8">
        <f ca="1">RANK(PlayerGameData[[#This Row],[EligFG]],PlayerGameData[EligFG],0)+PlayerGameData[[#This Row],[VisibleOrder]]</f>
        <v>1214</v>
      </c>
      <c r="BC814" s="8">
        <f ca="1">IF(COUNTIF(PlayerGameData[EligFGOrder],PlayerGameData[[#This Row],[EligFGOrder]])&gt;1,PlayerGameData[[#This Row],[PointRank]]/100+PlayerGameData[[#This Row],[EligFGOrder]],PlayerGameData[[#This Row],[EligFGOrder]])</f>
        <v>1220.25</v>
      </c>
      <c r="BD814" s="8">
        <f ca="1">RANK(PlayerGameData[[#This Row],[EligFGTieBreak]],PlayerGameData[EligFGTieBreak],1)</f>
        <v>625</v>
      </c>
      <c r="BE814" s="8" t="str">
        <f>Roster!$D$3</f>
        <v>East</v>
      </c>
      <c r="BF814" s="8" t="str">
        <f>Roster!$D$2</f>
        <v>Northeast</v>
      </c>
      <c r="BG814" s="8" t="str">
        <f>Roster!$D$4</f>
        <v>North</v>
      </c>
      <c r="BH814" s="197">
        <f ca="1">IFERROR(VLOOKUP(CONCATENATE(PlayerGameData[[#This Row],[Opponent]]," ",MONTH(PlayerGameData[[#This Row],[Date]]),"/",DAY(PlayerGameData[[#This Row],[Date]]),"/",YEAR(PlayerGameData[[#This Row],[Date]])),Table35[],2,FALSE),0)</f>
        <v>0</v>
      </c>
      <c r="BI814" s="197">
        <f ca="1">IF(PlayerGameData[[#This Row],[Visible]]=1,1,1000)</f>
        <v>1000</v>
      </c>
      <c r="BJ814" s="197" t="e">
        <f ca="1">_xlfn.MAXIFS(TeamGameData[Win],TeamGameData[School, Opponent,Game'#],PlayerGameData[[#This Row],[School, Opponent,Game'#]])</f>
        <v>#NAME?</v>
      </c>
      <c r="BK814" s="197" t="e">
        <f ca="1">_xlfn.MAXIFS(TeamGameData[Loss],TeamGameData[School, Opponent,Game'#],PlayerGameData[[#This Row],[School, Opponent,Game'#]])</f>
        <v>#NAME?</v>
      </c>
    </row>
    <row r="815" spans="1:63" x14ac:dyDescent="0.25">
      <c r="A815" s="8" t="str">
        <f t="shared" ca="1" si="393"/>
        <v xml:space="preserve">, </v>
      </c>
      <c r="B815" s="8" t="str">
        <f>Roster!$B$1</f>
        <v>Upton</v>
      </c>
      <c r="C815" s="8">
        <f t="shared" ca="1" si="381"/>
        <v>0</v>
      </c>
      <c r="D815" s="10">
        <f t="shared" ca="1" si="382"/>
        <v>0</v>
      </c>
      <c r="E815" s="8">
        <f t="shared" ca="1" si="383"/>
        <v>0</v>
      </c>
      <c r="F815" s="8">
        <f t="shared" ca="1" si="384"/>
        <v>0</v>
      </c>
      <c r="G815" s="8">
        <f t="shared" ca="1" si="385"/>
        <v>0</v>
      </c>
      <c r="H815" s="8">
        <f t="shared" ca="1" si="386"/>
        <v>0</v>
      </c>
      <c r="I815" s="8">
        <f t="shared" ca="1" si="387"/>
        <v>0</v>
      </c>
      <c r="J815" s="8">
        <f t="shared" ca="1" si="388"/>
        <v>0</v>
      </c>
      <c r="K815" s="8">
        <f t="shared" ca="1" si="389"/>
        <v>0</v>
      </c>
      <c r="L815" s="8">
        <f t="shared" ca="1" si="394"/>
        <v>0</v>
      </c>
      <c r="M815" s="8">
        <f t="shared" ca="1" si="395"/>
        <v>0</v>
      </c>
      <c r="N815" s="8">
        <f t="shared" ca="1" si="396"/>
        <v>0</v>
      </c>
      <c r="O815" s="8">
        <f t="shared" ca="1" si="397"/>
        <v>0</v>
      </c>
      <c r="P815" s="8">
        <f t="shared" ca="1" si="398"/>
        <v>0</v>
      </c>
      <c r="Q815" s="8">
        <f t="shared" ca="1" si="399"/>
        <v>0</v>
      </c>
      <c r="R815" s="8">
        <f t="shared" ca="1" si="400"/>
        <v>0</v>
      </c>
      <c r="S815" s="8">
        <f t="shared" ca="1" si="401"/>
        <v>0</v>
      </c>
      <c r="T815" s="8">
        <f t="shared" ca="1" si="402"/>
        <v>0</v>
      </c>
      <c r="U815" s="8">
        <f t="shared" ca="1" si="403"/>
        <v>0</v>
      </c>
      <c r="V815" s="8">
        <f t="shared" ca="1" si="404"/>
        <v>0</v>
      </c>
      <c r="W815" s="11" t="str">
        <f t="shared" ca="1" si="405"/>
        <v/>
      </c>
      <c r="X815" s="11" t="str">
        <f t="shared" ca="1" si="406"/>
        <v/>
      </c>
      <c r="Y815" s="11" t="str">
        <f t="shared" ca="1" si="407"/>
        <v/>
      </c>
      <c r="Z815" s="11" t="str">
        <f t="shared" ca="1" si="408"/>
        <v/>
      </c>
      <c r="AA815" s="11" t="str">
        <f t="shared" ca="1" si="409"/>
        <v/>
      </c>
      <c r="AB815" s="47">
        <f ca="1">PlayerGameData[[#This Row],[3FGA]]+PlayerGameData[[#This Row],[2FGA]]</f>
        <v>0</v>
      </c>
      <c r="AC815" s="47">
        <f ca="1">PlayerGameData[[#This Row],[OFF REB]]+PlayerGameData[[#This Row],[DEF REB]]</f>
        <v>0</v>
      </c>
      <c r="AD815" s="8">
        <f t="shared" si="390"/>
        <v>34</v>
      </c>
      <c r="AE815" s="8" t="str">
        <f t="shared" ca="1" si="391"/>
        <v>,  - 0 1/0/1900</v>
      </c>
      <c r="AF815" s="8" t="str">
        <f t="shared" ca="1" si="410"/>
        <v/>
      </c>
      <c r="AG815" s="8" t="str">
        <f ca="1">IFERROR(IF(C815=0,"",IF(AND(VLOOKUP(PlayerGameData[[#This Row],[Opponent]],WYTeamInfo,2,FALSE)=Roster!$D$1,VLOOKUP(PlayerGameData[[#This Row],[Opponent]],WYTeamInfo,3,FALSE)=Roster!$D$2),"SR","")),"")</f>
        <v/>
      </c>
      <c r="AH815" s="8" t="str">
        <f>CONCATENATE(Roster!$D$1," ",Roster!$D$5)</f>
        <v>1A BB</v>
      </c>
      <c r="AI815" s="8" t="str">
        <f t="shared" ca="1" si="392"/>
        <v>Blank</v>
      </c>
      <c r="AJ815" s="8">
        <f ca="1">IFERROR(VLOOKUP(PlayerGameData[[#This Row],[School, Opponent,Game'#]],Table3[],2,FALSE),0)</f>
        <v>0</v>
      </c>
      <c r="AK815" s="8">
        <f ca="1">IF(PlayerGameData[[#This Row],[Visible]]=1,1,1000)</f>
        <v>1000</v>
      </c>
      <c r="AL815" s="8">
        <f ca="1">RANK(PlayerGameData[[#This Row],[TL PTS]],PlayerGameData[TL PTS],0)+PlayerGameData[[#This Row],[VisibleOrder]]</f>
        <v>1184</v>
      </c>
      <c r="AM815" s="8">
        <f ca="1">IF(COUNTIF(PlayerGameData[PointOrder],PlayerGameData[[#This Row],[PointOrder]])&gt;1,RANK(PlayerGameData[[#This Row],[FGA]],PlayerGameData[FGA],0)/100,0)+PlayerGameData[[#This Row],[PointOrder]]</f>
        <v>1186.1400000000001</v>
      </c>
      <c r="AN815" s="8">
        <f ca="1">RANK(PlayerGameData[[#This Row],[PointTieBreak]],PlayerGameData[PointTieBreak],1)</f>
        <v>625</v>
      </c>
      <c r="AO815" s="8">
        <f ca="1">RANK(PlayerGameData[[#This Row],[REB]],PlayerGameData[REB],0)+PlayerGameData[[#This Row],[VisibleOrder]]</f>
        <v>1191</v>
      </c>
      <c r="AP815" s="8">
        <f ca="1">IF(COUNTIF(PlayerGameData[REBOrder],PlayerGameData[[#This Row],[REBOrder]])&gt;1,PlayerGameData[[#This Row],[PointRank]]/100+PlayerGameData[[#This Row],[REBOrder]],PlayerGameData[[#This Row],[REBOrder]])</f>
        <v>1197.25</v>
      </c>
      <c r="AQ815" s="8">
        <f ca="1">RANK(PlayerGameData[[#This Row],[REBTieBreak]],PlayerGameData[REBTieBreak],1)</f>
        <v>625</v>
      </c>
      <c r="AR815" s="8">
        <f ca="1">RANK(PlayerGameData[[#This Row],[AST]],PlayerGameData[AST],0)+PlayerGameData[[#This Row],[VisibleOrder]]</f>
        <v>1157</v>
      </c>
      <c r="AS815" s="8">
        <f ca="1">IF(COUNTIF(PlayerGameData[ASTOrder],PlayerGameData[[#This Row],[ASTOrder]])&gt;1,PlayerGameData[[#This Row],[PointRank]]/100+PlayerGameData[[#This Row],[ASTOrder]],PlayerGameData[[#This Row],[ASTOrder]])</f>
        <v>1163.25</v>
      </c>
      <c r="AT815" s="8">
        <f ca="1">RANK(PlayerGameData[[#This Row],[ASTTieBreak]],PlayerGameData[ASTTieBreak],1)</f>
        <v>625</v>
      </c>
      <c r="AU815" s="8">
        <f ca="1">RANK(PlayerGameData[[#This Row],[STL]],PlayerGameData[STL],0)+PlayerGameData[[#This Row],[VisibleOrder]]</f>
        <v>1142</v>
      </c>
      <c r="AV815" s="8">
        <f ca="1">IF(COUNTIF(PlayerGameData[STLOrder],PlayerGameData[[#This Row],[STLOrder]])&gt;1,PlayerGameData[[#This Row],[PointRank]]/100+PlayerGameData[[#This Row],[STLOrder]],PlayerGameData[[#This Row],[STLOrder]])</f>
        <v>1148.25</v>
      </c>
      <c r="AW815" s="8">
        <f ca="1">RANK(PlayerGameData[[#This Row],[STLTieBreak]],PlayerGameData[STLTieBreak],1)</f>
        <v>625</v>
      </c>
      <c r="AX815" s="8">
        <f ca="1">RANK(PlayerGameData[[#This Row],[BLK]],PlayerGameData[BLK],0)+PlayerGameData[[#This Row],[VisibleOrder]]</f>
        <v>1031</v>
      </c>
      <c r="AY815" s="8">
        <f ca="1">IF(COUNTIF(PlayerGameData[BLKOrder],PlayerGameData[[#This Row],[BLKOrder]])&gt;1,PlayerGameData[[#This Row],[PointRank]]/100+PlayerGameData[[#This Row],[BLKOrder]],PlayerGameData[[#This Row],[BLKOrder]])</f>
        <v>1037.25</v>
      </c>
      <c r="AZ815" s="8">
        <f ca="1">RANK(PlayerGameData[[#This Row],[BLKTieBreak]],PlayerGameData[BLKTieBreak],1)</f>
        <v>625</v>
      </c>
      <c r="BA815" s="11">
        <f ca="1">IFERROR(IF(PlayerGameData[[#This Row],[FGA]]&gt;$AA$5,PlayerGameData[[#This Row],[FG%*]],PlayerGameData[[#This Row],[FG%*]]*-1),-2)</f>
        <v>-2</v>
      </c>
      <c r="BB815" s="8">
        <f ca="1">RANK(PlayerGameData[[#This Row],[EligFG]],PlayerGameData[EligFG],0)+PlayerGameData[[#This Row],[VisibleOrder]]</f>
        <v>1214</v>
      </c>
      <c r="BC815" s="8">
        <f ca="1">IF(COUNTIF(PlayerGameData[EligFGOrder],PlayerGameData[[#This Row],[EligFGOrder]])&gt;1,PlayerGameData[[#This Row],[PointRank]]/100+PlayerGameData[[#This Row],[EligFGOrder]],PlayerGameData[[#This Row],[EligFGOrder]])</f>
        <v>1220.25</v>
      </c>
      <c r="BD815" s="8">
        <f ca="1">RANK(PlayerGameData[[#This Row],[EligFGTieBreak]],PlayerGameData[EligFGTieBreak],1)</f>
        <v>625</v>
      </c>
      <c r="BE815" s="8" t="str">
        <f>Roster!$D$3</f>
        <v>East</v>
      </c>
      <c r="BF815" s="8" t="str">
        <f>Roster!$D$2</f>
        <v>Northeast</v>
      </c>
      <c r="BG815" s="8" t="str">
        <f>Roster!$D$4</f>
        <v>North</v>
      </c>
      <c r="BH815" s="197">
        <f ca="1">IFERROR(VLOOKUP(CONCATENATE(PlayerGameData[[#This Row],[Opponent]]," ",MONTH(PlayerGameData[[#This Row],[Date]]),"/",DAY(PlayerGameData[[#This Row],[Date]]),"/",YEAR(PlayerGameData[[#This Row],[Date]])),Table35[],2,FALSE),0)</f>
        <v>0</v>
      </c>
      <c r="BI815" s="197">
        <f ca="1">IF(PlayerGameData[[#This Row],[Visible]]=1,1,1000)</f>
        <v>1000</v>
      </c>
      <c r="BJ815" s="197" t="e">
        <f ca="1">_xlfn.MAXIFS(TeamGameData[Win],TeamGameData[School, Opponent,Game'#],PlayerGameData[[#This Row],[School, Opponent,Game'#]])</f>
        <v>#NAME?</v>
      </c>
      <c r="BK815" s="197" t="e">
        <f ca="1">_xlfn.MAXIFS(TeamGameData[Loss],TeamGameData[School, Opponent,Game'#],PlayerGameData[[#This Row],[School, Opponent,Game'#]])</f>
        <v>#NAME?</v>
      </c>
    </row>
    <row r="816" spans="1:63" x14ac:dyDescent="0.25">
      <c r="A816" s="8" t="str">
        <f t="shared" ca="1" si="393"/>
        <v xml:space="preserve">, </v>
      </c>
      <c r="B816" s="8" t="str">
        <f>Roster!$B$1</f>
        <v>Upton</v>
      </c>
      <c r="C816" s="8">
        <f t="shared" ca="1" si="381"/>
        <v>0</v>
      </c>
      <c r="D816" s="10">
        <f t="shared" ca="1" si="382"/>
        <v>0</v>
      </c>
      <c r="E816" s="8">
        <f t="shared" ca="1" si="383"/>
        <v>0</v>
      </c>
      <c r="F816" s="8">
        <f t="shared" ca="1" si="384"/>
        <v>0</v>
      </c>
      <c r="G816" s="8">
        <f t="shared" ca="1" si="385"/>
        <v>0</v>
      </c>
      <c r="H816" s="8">
        <f t="shared" ca="1" si="386"/>
        <v>0</v>
      </c>
      <c r="I816" s="8">
        <f t="shared" ca="1" si="387"/>
        <v>0</v>
      </c>
      <c r="J816" s="8">
        <f t="shared" ca="1" si="388"/>
        <v>0</v>
      </c>
      <c r="K816" s="8">
        <f t="shared" ca="1" si="389"/>
        <v>0</v>
      </c>
      <c r="L816" s="8">
        <f t="shared" ca="1" si="394"/>
        <v>0</v>
      </c>
      <c r="M816" s="8">
        <f t="shared" ca="1" si="395"/>
        <v>0</v>
      </c>
      <c r="N816" s="8">
        <f t="shared" ca="1" si="396"/>
        <v>0</v>
      </c>
      <c r="O816" s="8">
        <f t="shared" ca="1" si="397"/>
        <v>0</v>
      </c>
      <c r="P816" s="8">
        <f t="shared" ca="1" si="398"/>
        <v>0</v>
      </c>
      <c r="Q816" s="8">
        <f t="shared" ca="1" si="399"/>
        <v>0</v>
      </c>
      <c r="R816" s="8">
        <f t="shared" ca="1" si="400"/>
        <v>0</v>
      </c>
      <c r="S816" s="8">
        <f t="shared" ca="1" si="401"/>
        <v>0</v>
      </c>
      <c r="T816" s="8">
        <f t="shared" ca="1" si="402"/>
        <v>0</v>
      </c>
      <c r="U816" s="8">
        <f t="shared" ca="1" si="403"/>
        <v>0</v>
      </c>
      <c r="V816" s="8">
        <f t="shared" ca="1" si="404"/>
        <v>0</v>
      </c>
      <c r="W816" s="11" t="str">
        <f t="shared" ca="1" si="405"/>
        <v/>
      </c>
      <c r="X816" s="11" t="str">
        <f t="shared" ca="1" si="406"/>
        <v/>
      </c>
      <c r="Y816" s="11" t="str">
        <f t="shared" ca="1" si="407"/>
        <v/>
      </c>
      <c r="Z816" s="11" t="str">
        <f t="shared" ca="1" si="408"/>
        <v/>
      </c>
      <c r="AA816" s="11" t="str">
        <f t="shared" ca="1" si="409"/>
        <v/>
      </c>
      <c r="AB816" s="47">
        <f ca="1">PlayerGameData[[#This Row],[3FGA]]+PlayerGameData[[#This Row],[2FGA]]</f>
        <v>0</v>
      </c>
      <c r="AC816" s="47">
        <f ca="1">PlayerGameData[[#This Row],[OFF REB]]+PlayerGameData[[#This Row],[DEF REB]]</f>
        <v>0</v>
      </c>
      <c r="AD816" s="8">
        <f t="shared" si="390"/>
        <v>34</v>
      </c>
      <c r="AE816" s="8" t="str">
        <f t="shared" ca="1" si="391"/>
        <v>,  - 0 1/0/1900</v>
      </c>
      <c r="AF816" s="8" t="str">
        <f t="shared" ca="1" si="410"/>
        <v/>
      </c>
      <c r="AG816" s="8" t="str">
        <f ca="1">IFERROR(IF(C816=0,"",IF(AND(VLOOKUP(PlayerGameData[[#This Row],[Opponent]],WYTeamInfo,2,FALSE)=Roster!$D$1,VLOOKUP(PlayerGameData[[#This Row],[Opponent]],WYTeamInfo,3,FALSE)=Roster!$D$2),"SR","")),"")</f>
        <v/>
      </c>
      <c r="AH816" s="8" t="str">
        <f>CONCATENATE(Roster!$D$1," ",Roster!$D$5)</f>
        <v>1A BB</v>
      </c>
      <c r="AI816" s="8" t="str">
        <f t="shared" ca="1" si="392"/>
        <v>Blank</v>
      </c>
      <c r="AJ816" s="8">
        <f ca="1">IFERROR(VLOOKUP(PlayerGameData[[#This Row],[School, Opponent,Game'#]],Table3[],2,FALSE),0)</f>
        <v>0</v>
      </c>
      <c r="AK816" s="8">
        <f ca="1">IF(PlayerGameData[[#This Row],[Visible]]=1,1,1000)</f>
        <v>1000</v>
      </c>
      <c r="AL816" s="8">
        <f ca="1">RANK(PlayerGameData[[#This Row],[TL PTS]],PlayerGameData[TL PTS],0)+PlayerGameData[[#This Row],[VisibleOrder]]</f>
        <v>1184</v>
      </c>
      <c r="AM816" s="8">
        <f ca="1">IF(COUNTIF(PlayerGameData[PointOrder],PlayerGameData[[#This Row],[PointOrder]])&gt;1,RANK(PlayerGameData[[#This Row],[FGA]],PlayerGameData[FGA],0)/100,0)+PlayerGameData[[#This Row],[PointOrder]]</f>
        <v>1186.1400000000001</v>
      </c>
      <c r="AN816" s="8">
        <f ca="1">RANK(PlayerGameData[[#This Row],[PointTieBreak]],PlayerGameData[PointTieBreak],1)</f>
        <v>625</v>
      </c>
      <c r="AO816" s="8">
        <f ca="1">RANK(PlayerGameData[[#This Row],[REB]],PlayerGameData[REB],0)+PlayerGameData[[#This Row],[VisibleOrder]]</f>
        <v>1191</v>
      </c>
      <c r="AP816" s="8">
        <f ca="1">IF(COUNTIF(PlayerGameData[REBOrder],PlayerGameData[[#This Row],[REBOrder]])&gt;1,PlayerGameData[[#This Row],[PointRank]]/100+PlayerGameData[[#This Row],[REBOrder]],PlayerGameData[[#This Row],[REBOrder]])</f>
        <v>1197.25</v>
      </c>
      <c r="AQ816" s="8">
        <f ca="1">RANK(PlayerGameData[[#This Row],[REBTieBreak]],PlayerGameData[REBTieBreak],1)</f>
        <v>625</v>
      </c>
      <c r="AR816" s="8">
        <f ca="1">RANK(PlayerGameData[[#This Row],[AST]],PlayerGameData[AST],0)+PlayerGameData[[#This Row],[VisibleOrder]]</f>
        <v>1157</v>
      </c>
      <c r="AS816" s="8">
        <f ca="1">IF(COUNTIF(PlayerGameData[ASTOrder],PlayerGameData[[#This Row],[ASTOrder]])&gt;1,PlayerGameData[[#This Row],[PointRank]]/100+PlayerGameData[[#This Row],[ASTOrder]],PlayerGameData[[#This Row],[ASTOrder]])</f>
        <v>1163.25</v>
      </c>
      <c r="AT816" s="8">
        <f ca="1">RANK(PlayerGameData[[#This Row],[ASTTieBreak]],PlayerGameData[ASTTieBreak],1)</f>
        <v>625</v>
      </c>
      <c r="AU816" s="8">
        <f ca="1">RANK(PlayerGameData[[#This Row],[STL]],PlayerGameData[STL],0)+PlayerGameData[[#This Row],[VisibleOrder]]</f>
        <v>1142</v>
      </c>
      <c r="AV816" s="8">
        <f ca="1">IF(COUNTIF(PlayerGameData[STLOrder],PlayerGameData[[#This Row],[STLOrder]])&gt;1,PlayerGameData[[#This Row],[PointRank]]/100+PlayerGameData[[#This Row],[STLOrder]],PlayerGameData[[#This Row],[STLOrder]])</f>
        <v>1148.25</v>
      </c>
      <c r="AW816" s="8">
        <f ca="1">RANK(PlayerGameData[[#This Row],[STLTieBreak]],PlayerGameData[STLTieBreak],1)</f>
        <v>625</v>
      </c>
      <c r="AX816" s="8">
        <f ca="1">RANK(PlayerGameData[[#This Row],[BLK]],PlayerGameData[BLK],0)+PlayerGameData[[#This Row],[VisibleOrder]]</f>
        <v>1031</v>
      </c>
      <c r="AY816" s="8">
        <f ca="1">IF(COUNTIF(PlayerGameData[BLKOrder],PlayerGameData[[#This Row],[BLKOrder]])&gt;1,PlayerGameData[[#This Row],[PointRank]]/100+PlayerGameData[[#This Row],[BLKOrder]],PlayerGameData[[#This Row],[BLKOrder]])</f>
        <v>1037.25</v>
      </c>
      <c r="AZ816" s="8">
        <f ca="1">RANK(PlayerGameData[[#This Row],[BLKTieBreak]],PlayerGameData[BLKTieBreak],1)</f>
        <v>625</v>
      </c>
      <c r="BA816" s="11">
        <f ca="1">IFERROR(IF(PlayerGameData[[#This Row],[FGA]]&gt;$AA$5,PlayerGameData[[#This Row],[FG%*]],PlayerGameData[[#This Row],[FG%*]]*-1),-2)</f>
        <v>-2</v>
      </c>
      <c r="BB816" s="8">
        <f ca="1">RANK(PlayerGameData[[#This Row],[EligFG]],PlayerGameData[EligFG],0)+PlayerGameData[[#This Row],[VisibleOrder]]</f>
        <v>1214</v>
      </c>
      <c r="BC816" s="8">
        <f ca="1">IF(COUNTIF(PlayerGameData[EligFGOrder],PlayerGameData[[#This Row],[EligFGOrder]])&gt;1,PlayerGameData[[#This Row],[PointRank]]/100+PlayerGameData[[#This Row],[EligFGOrder]],PlayerGameData[[#This Row],[EligFGOrder]])</f>
        <v>1220.25</v>
      </c>
      <c r="BD816" s="8">
        <f ca="1">RANK(PlayerGameData[[#This Row],[EligFGTieBreak]],PlayerGameData[EligFGTieBreak],1)</f>
        <v>625</v>
      </c>
      <c r="BE816" s="8" t="str">
        <f>Roster!$D$3</f>
        <v>East</v>
      </c>
      <c r="BF816" s="8" t="str">
        <f>Roster!$D$2</f>
        <v>Northeast</v>
      </c>
      <c r="BG816" s="8" t="str">
        <f>Roster!$D$4</f>
        <v>North</v>
      </c>
      <c r="BH816" s="197">
        <f ca="1">IFERROR(VLOOKUP(CONCATENATE(PlayerGameData[[#This Row],[Opponent]]," ",MONTH(PlayerGameData[[#This Row],[Date]]),"/",DAY(PlayerGameData[[#This Row],[Date]]),"/",YEAR(PlayerGameData[[#This Row],[Date]])),Table35[],2,FALSE),0)</f>
        <v>0</v>
      </c>
      <c r="BI816" s="197">
        <f ca="1">IF(PlayerGameData[[#This Row],[Visible]]=1,1,1000)</f>
        <v>1000</v>
      </c>
      <c r="BJ816" s="197" t="e">
        <f ca="1">_xlfn.MAXIFS(TeamGameData[Win],TeamGameData[School, Opponent,Game'#],PlayerGameData[[#This Row],[School, Opponent,Game'#]])</f>
        <v>#NAME?</v>
      </c>
      <c r="BK816" s="197" t="e">
        <f ca="1">_xlfn.MAXIFS(TeamGameData[Loss],TeamGameData[School, Opponent,Game'#],PlayerGameData[[#This Row],[School, Opponent,Game'#]])</f>
        <v>#NAME?</v>
      </c>
    </row>
    <row r="817" spans="1:63" x14ac:dyDescent="0.25">
      <c r="A817" s="8" t="str">
        <f t="shared" ca="1" si="393"/>
        <v xml:space="preserve">, </v>
      </c>
      <c r="B817" s="8" t="str">
        <f>Roster!$B$1</f>
        <v>Upton</v>
      </c>
      <c r="C817" s="8">
        <f t="shared" ca="1" si="381"/>
        <v>0</v>
      </c>
      <c r="D817" s="10">
        <f t="shared" ca="1" si="382"/>
        <v>0</v>
      </c>
      <c r="E817" s="8">
        <f t="shared" ca="1" si="383"/>
        <v>0</v>
      </c>
      <c r="F817" s="8">
        <f t="shared" ca="1" si="384"/>
        <v>0</v>
      </c>
      <c r="G817" s="8">
        <f t="shared" ca="1" si="385"/>
        <v>0</v>
      </c>
      <c r="H817" s="8">
        <f t="shared" ca="1" si="386"/>
        <v>0</v>
      </c>
      <c r="I817" s="8">
        <f t="shared" ca="1" si="387"/>
        <v>0</v>
      </c>
      <c r="J817" s="8">
        <f t="shared" ca="1" si="388"/>
        <v>0</v>
      </c>
      <c r="K817" s="8">
        <f t="shared" ca="1" si="389"/>
        <v>0</v>
      </c>
      <c r="L817" s="8">
        <f t="shared" ca="1" si="394"/>
        <v>0</v>
      </c>
      <c r="M817" s="8">
        <f t="shared" ca="1" si="395"/>
        <v>0</v>
      </c>
      <c r="N817" s="8">
        <f t="shared" ca="1" si="396"/>
        <v>0</v>
      </c>
      <c r="O817" s="8">
        <f t="shared" ca="1" si="397"/>
        <v>0</v>
      </c>
      <c r="P817" s="8">
        <f t="shared" ca="1" si="398"/>
        <v>0</v>
      </c>
      <c r="Q817" s="8">
        <f t="shared" ca="1" si="399"/>
        <v>0</v>
      </c>
      <c r="R817" s="8">
        <f t="shared" ca="1" si="400"/>
        <v>0</v>
      </c>
      <c r="S817" s="8">
        <f t="shared" ca="1" si="401"/>
        <v>0</v>
      </c>
      <c r="T817" s="8">
        <f t="shared" ca="1" si="402"/>
        <v>0</v>
      </c>
      <c r="U817" s="8">
        <f t="shared" ca="1" si="403"/>
        <v>0</v>
      </c>
      <c r="V817" s="8">
        <f t="shared" ca="1" si="404"/>
        <v>0</v>
      </c>
      <c r="W817" s="11" t="str">
        <f t="shared" ca="1" si="405"/>
        <v/>
      </c>
      <c r="X817" s="11" t="str">
        <f t="shared" ca="1" si="406"/>
        <v/>
      </c>
      <c r="Y817" s="11" t="str">
        <f t="shared" ca="1" si="407"/>
        <v/>
      </c>
      <c r="Z817" s="11" t="str">
        <f t="shared" ca="1" si="408"/>
        <v/>
      </c>
      <c r="AA817" s="11" t="str">
        <f t="shared" ca="1" si="409"/>
        <v/>
      </c>
      <c r="AB817" s="47">
        <f ca="1">PlayerGameData[[#This Row],[3FGA]]+PlayerGameData[[#This Row],[2FGA]]</f>
        <v>0</v>
      </c>
      <c r="AC817" s="47">
        <f ca="1">PlayerGameData[[#This Row],[OFF REB]]+PlayerGameData[[#This Row],[DEF REB]]</f>
        <v>0</v>
      </c>
      <c r="AD817" s="8">
        <f t="shared" si="390"/>
        <v>34</v>
      </c>
      <c r="AE817" s="8" t="str">
        <f t="shared" ca="1" si="391"/>
        <v>,  - 0 1/0/1900</v>
      </c>
      <c r="AF817" s="8" t="str">
        <f t="shared" ca="1" si="410"/>
        <v/>
      </c>
      <c r="AG817" s="8" t="str">
        <f ca="1">IFERROR(IF(C817=0,"",IF(AND(VLOOKUP(PlayerGameData[[#This Row],[Opponent]],WYTeamInfo,2,FALSE)=Roster!$D$1,VLOOKUP(PlayerGameData[[#This Row],[Opponent]],WYTeamInfo,3,FALSE)=Roster!$D$2),"SR","")),"")</f>
        <v/>
      </c>
      <c r="AH817" s="8" t="str">
        <f>CONCATENATE(Roster!$D$1," ",Roster!$D$5)</f>
        <v>1A BB</v>
      </c>
      <c r="AI817" s="8" t="str">
        <f t="shared" ca="1" si="392"/>
        <v>Blank</v>
      </c>
      <c r="AJ817" s="8">
        <f ca="1">IFERROR(VLOOKUP(PlayerGameData[[#This Row],[School, Opponent,Game'#]],Table3[],2,FALSE),0)</f>
        <v>0</v>
      </c>
      <c r="AK817" s="8">
        <f ca="1">IF(PlayerGameData[[#This Row],[Visible]]=1,1,1000)</f>
        <v>1000</v>
      </c>
      <c r="AL817" s="8">
        <f ca="1">RANK(PlayerGameData[[#This Row],[TL PTS]],PlayerGameData[TL PTS],0)+PlayerGameData[[#This Row],[VisibleOrder]]</f>
        <v>1184</v>
      </c>
      <c r="AM817" s="8">
        <f ca="1">IF(COUNTIF(PlayerGameData[PointOrder],PlayerGameData[[#This Row],[PointOrder]])&gt;1,RANK(PlayerGameData[[#This Row],[FGA]],PlayerGameData[FGA],0)/100,0)+PlayerGameData[[#This Row],[PointOrder]]</f>
        <v>1186.1400000000001</v>
      </c>
      <c r="AN817" s="8">
        <f ca="1">RANK(PlayerGameData[[#This Row],[PointTieBreak]],PlayerGameData[PointTieBreak],1)</f>
        <v>625</v>
      </c>
      <c r="AO817" s="8">
        <f ca="1">RANK(PlayerGameData[[#This Row],[REB]],PlayerGameData[REB],0)+PlayerGameData[[#This Row],[VisibleOrder]]</f>
        <v>1191</v>
      </c>
      <c r="AP817" s="8">
        <f ca="1">IF(COUNTIF(PlayerGameData[REBOrder],PlayerGameData[[#This Row],[REBOrder]])&gt;1,PlayerGameData[[#This Row],[PointRank]]/100+PlayerGameData[[#This Row],[REBOrder]],PlayerGameData[[#This Row],[REBOrder]])</f>
        <v>1197.25</v>
      </c>
      <c r="AQ817" s="8">
        <f ca="1">RANK(PlayerGameData[[#This Row],[REBTieBreak]],PlayerGameData[REBTieBreak],1)</f>
        <v>625</v>
      </c>
      <c r="AR817" s="8">
        <f ca="1">RANK(PlayerGameData[[#This Row],[AST]],PlayerGameData[AST],0)+PlayerGameData[[#This Row],[VisibleOrder]]</f>
        <v>1157</v>
      </c>
      <c r="AS817" s="8">
        <f ca="1">IF(COUNTIF(PlayerGameData[ASTOrder],PlayerGameData[[#This Row],[ASTOrder]])&gt;1,PlayerGameData[[#This Row],[PointRank]]/100+PlayerGameData[[#This Row],[ASTOrder]],PlayerGameData[[#This Row],[ASTOrder]])</f>
        <v>1163.25</v>
      </c>
      <c r="AT817" s="8">
        <f ca="1">RANK(PlayerGameData[[#This Row],[ASTTieBreak]],PlayerGameData[ASTTieBreak],1)</f>
        <v>625</v>
      </c>
      <c r="AU817" s="8">
        <f ca="1">RANK(PlayerGameData[[#This Row],[STL]],PlayerGameData[STL],0)+PlayerGameData[[#This Row],[VisibleOrder]]</f>
        <v>1142</v>
      </c>
      <c r="AV817" s="8">
        <f ca="1">IF(COUNTIF(PlayerGameData[STLOrder],PlayerGameData[[#This Row],[STLOrder]])&gt;1,PlayerGameData[[#This Row],[PointRank]]/100+PlayerGameData[[#This Row],[STLOrder]],PlayerGameData[[#This Row],[STLOrder]])</f>
        <v>1148.25</v>
      </c>
      <c r="AW817" s="8">
        <f ca="1">RANK(PlayerGameData[[#This Row],[STLTieBreak]],PlayerGameData[STLTieBreak],1)</f>
        <v>625</v>
      </c>
      <c r="AX817" s="8">
        <f ca="1">RANK(PlayerGameData[[#This Row],[BLK]],PlayerGameData[BLK],0)+PlayerGameData[[#This Row],[VisibleOrder]]</f>
        <v>1031</v>
      </c>
      <c r="AY817" s="8">
        <f ca="1">IF(COUNTIF(PlayerGameData[BLKOrder],PlayerGameData[[#This Row],[BLKOrder]])&gt;1,PlayerGameData[[#This Row],[PointRank]]/100+PlayerGameData[[#This Row],[BLKOrder]],PlayerGameData[[#This Row],[BLKOrder]])</f>
        <v>1037.25</v>
      </c>
      <c r="AZ817" s="8">
        <f ca="1">RANK(PlayerGameData[[#This Row],[BLKTieBreak]],PlayerGameData[BLKTieBreak],1)</f>
        <v>625</v>
      </c>
      <c r="BA817" s="11">
        <f ca="1">IFERROR(IF(PlayerGameData[[#This Row],[FGA]]&gt;$AA$5,PlayerGameData[[#This Row],[FG%*]],PlayerGameData[[#This Row],[FG%*]]*-1),-2)</f>
        <v>-2</v>
      </c>
      <c r="BB817" s="8">
        <f ca="1">RANK(PlayerGameData[[#This Row],[EligFG]],PlayerGameData[EligFG],0)+PlayerGameData[[#This Row],[VisibleOrder]]</f>
        <v>1214</v>
      </c>
      <c r="BC817" s="8">
        <f ca="1">IF(COUNTIF(PlayerGameData[EligFGOrder],PlayerGameData[[#This Row],[EligFGOrder]])&gt;1,PlayerGameData[[#This Row],[PointRank]]/100+PlayerGameData[[#This Row],[EligFGOrder]],PlayerGameData[[#This Row],[EligFGOrder]])</f>
        <v>1220.25</v>
      </c>
      <c r="BD817" s="8">
        <f ca="1">RANK(PlayerGameData[[#This Row],[EligFGTieBreak]],PlayerGameData[EligFGTieBreak],1)</f>
        <v>625</v>
      </c>
      <c r="BE817" s="8" t="str">
        <f>Roster!$D$3</f>
        <v>East</v>
      </c>
      <c r="BF817" s="8" t="str">
        <f>Roster!$D$2</f>
        <v>Northeast</v>
      </c>
      <c r="BG817" s="8" t="str">
        <f>Roster!$D$4</f>
        <v>North</v>
      </c>
      <c r="BH817" s="197">
        <f ca="1">IFERROR(VLOOKUP(CONCATENATE(PlayerGameData[[#This Row],[Opponent]]," ",MONTH(PlayerGameData[[#This Row],[Date]]),"/",DAY(PlayerGameData[[#This Row],[Date]]),"/",YEAR(PlayerGameData[[#This Row],[Date]])),Table35[],2,FALSE),0)</f>
        <v>0</v>
      </c>
      <c r="BI817" s="197">
        <f ca="1">IF(PlayerGameData[[#This Row],[Visible]]=1,1,1000)</f>
        <v>1000</v>
      </c>
      <c r="BJ817" s="197" t="e">
        <f ca="1">_xlfn.MAXIFS(TeamGameData[Win],TeamGameData[School, Opponent,Game'#],PlayerGameData[[#This Row],[School, Opponent,Game'#]])</f>
        <v>#NAME?</v>
      </c>
      <c r="BK817" s="197" t="e">
        <f ca="1">_xlfn.MAXIFS(TeamGameData[Loss],TeamGameData[School, Opponent,Game'#],PlayerGameData[[#This Row],[School, Opponent,Game'#]])</f>
        <v>#NAME?</v>
      </c>
    </row>
    <row r="818" spans="1:63" x14ac:dyDescent="0.25">
      <c r="A818" s="8" t="str">
        <f t="shared" ca="1" si="393"/>
        <v xml:space="preserve">, </v>
      </c>
      <c r="B818" s="8" t="str">
        <f>Roster!$B$1</f>
        <v>Upton</v>
      </c>
      <c r="C818" s="8">
        <f t="shared" ca="1" si="381"/>
        <v>0</v>
      </c>
      <c r="D818" s="10">
        <f t="shared" ca="1" si="382"/>
        <v>0</v>
      </c>
      <c r="E818" s="8">
        <f t="shared" ca="1" si="383"/>
        <v>0</v>
      </c>
      <c r="F818" s="8">
        <f t="shared" ca="1" si="384"/>
        <v>0</v>
      </c>
      <c r="G818" s="8">
        <f t="shared" ca="1" si="385"/>
        <v>0</v>
      </c>
      <c r="H818" s="8">
        <f t="shared" ca="1" si="386"/>
        <v>0</v>
      </c>
      <c r="I818" s="8">
        <f t="shared" ca="1" si="387"/>
        <v>0</v>
      </c>
      <c r="J818" s="8">
        <f t="shared" ca="1" si="388"/>
        <v>0</v>
      </c>
      <c r="K818" s="8">
        <f t="shared" ca="1" si="389"/>
        <v>0</v>
      </c>
      <c r="L818" s="8">
        <f t="shared" ca="1" si="394"/>
        <v>0</v>
      </c>
      <c r="M818" s="8">
        <f t="shared" ca="1" si="395"/>
        <v>0</v>
      </c>
      <c r="N818" s="8">
        <f t="shared" ca="1" si="396"/>
        <v>0</v>
      </c>
      <c r="O818" s="8">
        <f t="shared" ca="1" si="397"/>
        <v>0</v>
      </c>
      <c r="P818" s="8">
        <f t="shared" ca="1" si="398"/>
        <v>0</v>
      </c>
      <c r="Q818" s="8">
        <f t="shared" ca="1" si="399"/>
        <v>0</v>
      </c>
      <c r="R818" s="8">
        <f t="shared" ca="1" si="400"/>
        <v>0</v>
      </c>
      <c r="S818" s="8">
        <f t="shared" ca="1" si="401"/>
        <v>0</v>
      </c>
      <c r="T818" s="8">
        <f t="shared" ca="1" si="402"/>
        <v>0</v>
      </c>
      <c r="U818" s="8">
        <f t="shared" ca="1" si="403"/>
        <v>0</v>
      </c>
      <c r="V818" s="8">
        <f t="shared" ca="1" si="404"/>
        <v>0</v>
      </c>
      <c r="W818" s="11" t="str">
        <f t="shared" ca="1" si="405"/>
        <v/>
      </c>
      <c r="X818" s="11" t="str">
        <f t="shared" ca="1" si="406"/>
        <v/>
      </c>
      <c r="Y818" s="11" t="str">
        <f t="shared" ca="1" si="407"/>
        <v/>
      </c>
      <c r="Z818" s="11" t="str">
        <f t="shared" ca="1" si="408"/>
        <v/>
      </c>
      <c r="AA818" s="11" t="str">
        <f t="shared" ca="1" si="409"/>
        <v/>
      </c>
      <c r="AB818" s="47">
        <f ca="1">PlayerGameData[[#This Row],[3FGA]]+PlayerGameData[[#This Row],[2FGA]]</f>
        <v>0</v>
      </c>
      <c r="AC818" s="47">
        <f ca="1">PlayerGameData[[#This Row],[OFF REB]]+PlayerGameData[[#This Row],[DEF REB]]</f>
        <v>0</v>
      </c>
      <c r="AD818" s="8">
        <f t="shared" si="390"/>
        <v>34</v>
      </c>
      <c r="AE818" s="8" t="str">
        <f t="shared" ca="1" si="391"/>
        <v>,  - 0 1/0/1900</v>
      </c>
      <c r="AF818" s="8" t="str">
        <f t="shared" ca="1" si="410"/>
        <v/>
      </c>
      <c r="AG818" s="8" t="str">
        <f ca="1">IFERROR(IF(C818=0,"",IF(AND(VLOOKUP(PlayerGameData[[#This Row],[Opponent]],WYTeamInfo,2,FALSE)=Roster!$D$1,VLOOKUP(PlayerGameData[[#This Row],[Opponent]],WYTeamInfo,3,FALSE)=Roster!$D$2),"SR","")),"")</f>
        <v/>
      </c>
      <c r="AH818" s="8" t="str">
        <f>CONCATENATE(Roster!$D$1," ",Roster!$D$5)</f>
        <v>1A BB</v>
      </c>
      <c r="AI818" s="8" t="str">
        <f t="shared" ca="1" si="392"/>
        <v>Blank</v>
      </c>
      <c r="AJ818" s="8">
        <f ca="1">IFERROR(VLOOKUP(PlayerGameData[[#This Row],[School, Opponent,Game'#]],Table3[],2,FALSE),0)</f>
        <v>0</v>
      </c>
      <c r="AK818" s="8">
        <f ca="1">IF(PlayerGameData[[#This Row],[Visible]]=1,1,1000)</f>
        <v>1000</v>
      </c>
      <c r="AL818" s="8">
        <f ca="1">RANK(PlayerGameData[[#This Row],[TL PTS]],PlayerGameData[TL PTS],0)+PlayerGameData[[#This Row],[VisibleOrder]]</f>
        <v>1184</v>
      </c>
      <c r="AM818" s="8">
        <f ca="1">IF(COUNTIF(PlayerGameData[PointOrder],PlayerGameData[[#This Row],[PointOrder]])&gt;1,RANK(PlayerGameData[[#This Row],[FGA]],PlayerGameData[FGA],0)/100,0)+PlayerGameData[[#This Row],[PointOrder]]</f>
        <v>1186.1400000000001</v>
      </c>
      <c r="AN818" s="8">
        <f ca="1">RANK(PlayerGameData[[#This Row],[PointTieBreak]],PlayerGameData[PointTieBreak],1)</f>
        <v>625</v>
      </c>
      <c r="AO818" s="8">
        <f ca="1">RANK(PlayerGameData[[#This Row],[REB]],PlayerGameData[REB],0)+PlayerGameData[[#This Row],[VisibleOrder]]</f>
        <v>1191</v>
      </c>
      <c r="AP818" s="8">
        <f ca="1">IF(COUNTIF(PlayerGameData[REBOrder],PlayerGameData[[#This Row],[REBOrder]])&gt;1,PlayerGameData[[#This Row],[PointRank]]/100+PlayerGameData[[#This Row],[REBOrder]],PlayerGameData[[#This Row],[REBOrder]])</f>
        <v>1197.25</v>
      </c>
      <c r="AQ818" s="8">
        <f ca="1">RANK(PlayerGameData[[#This Row],[REBTieBreak]],PlayerGameData[REBTieBreak],1)</f>
        <v>625</v>
      </c>
      <c r="AR818" s="8">
        <f ca="1">RANK(PlayerGameData[[#This Row],[AST]],PlayerGameData[AST],0)+PlayerGameData[[#This Row],[VisibleOrder]]</f>
        <v>1157</v>
      </c>
      <c r="AS818" s="8">
        <f ca="1">IF(COUNTIF(PlayerGameData[ASTOrder],PlayerGameData[[#This Row],[ASTOrder]])&gt;1,PlayerGameData[[#This Row],[PointRank]]/100+PlayerGameData[[#This Row],[ASTOrder]],PlayerGameData[[#This Row],[ASTOrder]])</f>
        <v>1163.25</v>
      </c>
      <c r="AT818" s="8">
        <f ca="1">RANK(PlayerGameData[[#This Row],[ASTTieBreak]],PlayerGameData[ASTTieBreak],1)</f>
        <v>625</v>
      </c>
      <c r="AU818" s="8">
        <f ca="1">RANK(PlayerGameData[[#This Row],[STL]],PlayerGameData[STL],0)+PlayerGameData[[#This Row],[VisibleOrder]]</f>
        <v>1142</v>
      </c>
      <c r="AV818" s="8">
        <f ca="1">IF(COUNTIF(PlayerGameData[STLOrder],PlayerGameData[[#This Row],[STLOrder]])&gt;1,PlayerGameData[[#This Row],[PointRank]]/100+PlayerGameData[[#This Row],[STLOrder]],PlayerGameData[[#This Row],[STLOrder]])</f>
        <v>1148.25</v>
      </c>
      <c r="AW818" s="8">
        <f ca="1">RANK(PlayerGameData[[#This Row],[STLTieBreak]],PlayerGameData[STLTieBreak],1)</f>
        <v>625</v>
      </c>
      <c r="AX818" s="8">
        <f ca="1">RANK(PlayerGameData[[#This Row],[BLK]],PlayerGameData[BLK],0)+PlayerGameData[[#This Row],[VisibleOrder]]</f>
        <v>1031</v>
      </c>
      <c r="AY818" s="8">
        <f ca="1">IF(COUNTIF(PlayerGameData[BLKOrder],PlayerGameData[[#This Row],[BLKOrder]])&gt;1,PlayerGameData[[#This Row],[PointRank]]/100+PlayerGameData[[#This Row],[BLKOrder]],PlayerGameData[[#This Row],[BLKOrder]])</f>
        <v>1037.25</v>
      </c>
      <c r="AZ818" s="8">
        <f ca="1">RANK(PlayerGameData[[#This Row],[BLKTieBreak]],PlayerGameData[BLKTieBreak],1)</f>
        <v>625</v>
      </c>
      <c r="BA818" s="11">
        <f ca="1">IFERROR(IF(PlayerGameData[[#This Row],[FGA]]&gt;$AA$5,PlayerGameData[[#This Row],[FG%*]],PlayerGameData[[#This Row],[FG%*]]*-1),-2)</f>
        <v>-2</v>
      </c>
      <c r="BB818" s="8">
        <f ca="1">RANK(PlayerGameData[[#This Row],[EligFG]],PlayerGameData[EligFG],0)+PlayerGameData[[#This Row],[VisibleOrder]]</f>
        <v>1214</v>
      </c>
      <c r="BC818" s="8">
        <f ca="1">IF(COUNTIF(PlayerGameData[EligFGOrder],PlayerGameData[[#This Row],[EligFGOrder]])&gt;1,PlayerGameData[[#This Row],[PointRank]]/100+PlayerGameData[[#This Row],[EligFGOrder]],PlayerGameData[[#This Row],[EligFGOrder]])</f>
        <v>1220.25</v>
      </c>
      <c r="BD818" s="8">
        <f ca="1">RANK(PlayerGameData[[#This Row],[EligFGTieBreak]],PlayerGameData[EligFGTieBreak],1)</f>
        <v>625</v>
      </c>
      <c r="BE818" s="8" t="str">
        <f>Roster!$D$3</f>
        <v>East</v>
      </c>
      <c r="BF818" s="8" t="str">
        <f>Roster!$D$2</f>
        <v>Northeast</v>
      </c>
      <c r="BG818" s="8" t="str">
        <f>Roster!$D$4</f>
        <v>North</v>
      </c>
      <c r="BH818" s="197">
        <f ca="1">IFERROR(VLOOKUP(CONCATENATE(PlayerGameData[[#This Row],[Opponent]]," ",MONTH(PlayerGameData[[#This Row],[Date]]),"/",DAY(PlayerGameData[[#This Row],[Date]]),"/",YEAR(PlayerGameData[[#This Row],[Date]])),Table35[],2,FALSE),0)</f>
        <v>0</v>
      </c>
      <c r="BI818" s="197">
        <f ca="1">IF(PlayerGameData[[#This Row],[Visible]]=1,1,1000)</f>
        <v>1000</v>
      </c>
      <c r="BJ818" s="197" t="e">
        <f ca="1">_xlfn.MAXIFS(TeamGameData[Win],TeamGameData[School, Opponent,Game'#],PlayerGameData[[#This Row],[School, Opponent,Game'#]])</f>
        <v>#NAME?</v>
      </c>
      <c r="BK818" s="197" t="e">
        <f ca="1">_xlfn.MAXIFS(TeamGameData[Loss],TeamGameData[School, Opponent,Game'#],PlayerGameData[[#This Row],[School, Opponent,Game'#]])</f>
        <v>#NAME?</v>
      </c>
    </row>
    <row r="819" spans="1:63" x14ac:dyDescent="0.25">
      <c r="A819" s="8" t="str">
        <f t="shared" ca="1" si="393"/>
        <v xml:space="preserve">, </v>
      </c>
      <c r="B819" s="8" t="str">
        <f>Roster!$B$1</f>
        <v>Upton</v>
      </c>
      <c r="C819" s="8">
        <f t="shared" ca="1" si="381"/>
        <v>0</v>
      </c>
      <c r="D819" s="10">
        <f t="shared" ca="1" si="382"/>
        <v>0</v>
      </c>
      <c r="E819" s="8">
        <f t="shared" ca="1" si="383"/>
        <v>0</v>
      </c>
      <c r="F819" s="8">
        <f t="shared" ca="1" si="384"/>
        <v>0</v>
      </c>
      <c r="G819" s="8">
        <f t="shared" ca="1" si="385"/>
        <v>0</v>
      </c>
      <c r="H819" s="8">
        <f t="shared" ca="1" si="386"/>
        <v>0</v>
      </c>
      <c r="I819" s="8">
        <f t="shared" ca="1" si="387"/>
        <v>0</v>
      </c>
      <c r="J819" s="8">
        <f t="shared" ca="1" si="388"/>
        <v>0</v>
      </c>
      <c r="K819" s="8">
        <f t="shared" ca="1" si="389"/>
        <v>0</v>
      </c>
      <c r="L819" s="8">
        <f t="shared" ca="1" si="394"/>
        <v>0</v>
      </c>
      <c r="M819" s="8">
        <f t="shared" ca="1" si="395"/>
        <v>0</v>
      </c>
      <c r="N819" s="8">
        <f t="shared" ca="1" si="396"/>
        <v>0</v>
      </c>
      <c r="O819" s="8">
        <f t="shared" ca="1" si="397"/>
        <v>0</v>
      </c>
      <c r="P819" s="8">
        <f t="shared" ca="1" si="398"/>
        <v>0</v>
      </c>
      <c r="Q819" s="8">
        <f t="shared" ca="1" si="399"/>
        <v>0</v>
      </c>
      <c r="R819" s="8">
        <f t="shared" ca="1" si="400"/>
        <v>0</v>
      </c>
      <c r="S819" s="8">
        <f t="shared" ca="1" si="401"/>
        <v>0</v>
      </c>
      <c r="T819" s="8">
        <f t="shared" ca="1" si="402"/>
        <v>0</v>
      </c>
      <c r="U819" s="8">
        <f t="shared" ca="1" si="403"/>
        <v>0</v>
      </c>
      <c r="V819" s="8">
        <f t="shared" ca="1" si="404"/>
        <v>0</v>
      </c>
      <c r="W819" s="11" t="str">
        <f t="shared" ca="1" si="405"/>
        <v/>
      </c>
      <c r="X819" s="11" t="str">
        <f t="shared" ca="1" si="406"/>
        <v/>
      </c>
      <c r="Y819" s="11" t="str">
        <f t="shared" ca="1" si="407"/>
        <v/>
      </c>
      <c r="Z819" s="11" t="str">
        <f t="shared" ca="1" si="408"/>
        <v/>
      </c>
      <c r="AA819" s="11" t="str">
        <f t="shared" ca="1" si="409"/>
        <v/>
      </c>
      <c r="AB819" s="47">
        <f ca="1">PlayerGameData[[#This Row],[3FGA]]+PlayerGameData[[#This Row],[2FGA]]</f>
        <v>0</v>
      </c>
      <c r="AC819" s="47">
        <f ca="1">PlayerGameData[[#This Row],[OFF REB]]+PlayerGameData[[#This Row],[DEF REB]]</f>
        <v>0</v>
      </c>
      <c r="AD819" s="8">
        <f t="shared" si="390"/>
        <v>34</v>
      </c>
      <c r="AE819" s="8" t="str">
        <f t="shared" ca="1" si="391"/>
        <v>,  - 0 1/0/1900</v>
      </c>
      <c r="AF819" s="8" t="str">
        <f t="shared" ca="1" si="410"/>
        <v/>
      </c>
      <c r="AG819" s="8" t="str">
        <f ca="1">IFERROR(IF(C819=0,"",IF(AND(VLOOKUP(PlayerGameData[[#This Row],[Opponent]],WYTeamInfo,2,FALSE)=Roster!$D$1,VLOOKUP(PlayerGameData[[#This Row],[Opponent]],WYTeamInfo,3,FALSE)=Roster!$D$2),"SR","")),"")</f>
        <v/>
      </c>
      <c r="AH819" s="8" t="str">
        <f>CONCATENATE(Roster!$D$1," ",Roster!$D$5)</f>
        <v>1A BB</v>
      </c>
      <c r="AI819" s="8" t="str">
        <f t="shared" ca="1" si="392"/>
        <v>Blank</v>
      </c>
      <c r="AJ819" s="8">
        <f ca="1">IFERROR(VLOOKUP(PlayerGameData[[#This Row],[School, Opponent,Game'#]],Table3[],2,FALSE),0)</f>
        <v>0</v>
      </c>
      <c r="AK819" s="8">
        <f ca="1">IF(PlayerGameData[[#This Row],[Visible]]=1,1,1000)</f>
        <v>1000</v>
      </c>
      <c r="AL819" s="8">
        <f ca="1">RANK(PlayerGameData[[#This Row],[TL PTS]],PlayerGameData[TL PTS],0)+PlayerGameData[[#This Row],[VisibleOrder]]</f>
        <v>1184</v>
      </c>
      <c r="AM819" s="8">
        <f ca="1">IF(COUNTIF(PlayerGameData[PointOrder],PlayerGameData[[#This Row],[PointOrder]])&gt;1,RANK(PlayerGameData[[#This Row],[FGA]],PlayerGameData[FGA],0)/100,0)+PlayerGameData[[#This Row],[PointOrder]]</f>
        <v>1186.1400000000001</v>
      </c>
      <c r="AN819" s="8">
        <f ca="1">RANK(PlayerGameData[[#This Row],[PointTieBreak]],PlayerGameData[PointTieBreak],1)</f>
        <v>625</v>
      </c>
      <c r="AO819" s="8">
        <f ca="1">RANK(PlayerGameData[[#This Row],[REB]],PlayerGameData[REB],0)+PlayerGameData[[#This Row],[VisibleOrder]]</f>
        <v>1191</v>
      </c>
      <c r="AP819" s="8">
        <f ca="1">IF(COUNTIF(PlayerGameData[REBOrder],PlayerGameData[[#This Row],[REBOrder]])&gt;1,PlayerGameData[[#This Row],[PointRank]]/100+PlayerGameData[[#This Row],[REBOrder]],PlayerGameData[[#This Row],[REBOrder]])</f>
        <v>1197.25</v>
      </c>
      <c r="AQ819" s="8">
        <f ca="1">RANK(PlayerGameData[[#This Row],[REBTieBreak]],PlayerGameData[REBTieBreak],1)</f>
        <v>625</v>
      </c>
      <c r="AR819" s="8">
        <f ca="1">RANK(PlayerGameData[[#This Row],[AST]],PlayerGameData[AST],0)+PlayerGameData[[#This Row],[VisibleOrder]]</f>
        <v>1157</v>
      </c>
      <c r="AS819" s="8">
        <f ca="1">IF(COUNTIF(PlayerGameData[ASTOrder],PlayerGameData[[#This Row],[ASTOrder]])&gt;1,PlayerGameData[[#This Row],[PointRank]]/100+PlayerGameData[[#This Row],[ASTOrder]],PlayerGameData[[#This Row],[ASTOrder]])</f>
        <v>1163.25</v>
      </c>
      <c r="AT819" s="8">
        <f ca="1">RANK(PlayerGameData[[#This Row],[ASTTieBreak]],PlayerGameData[ASTTieBreak],1)</f>
        <v>625</v>
      </c>
      <c r="AU819" s="8">
        <f ca="1">RANK(PlayerGameData[[#This Row],[STL]],PlayerGameData[STL],0)+PlayerGameData[[#This Row],[VisibleOrder]]</f>
        <v>1142</v>
      </c>
      <c r="AV819" s="8">
        <f ca="1">IF(COUNTIF(PlayerGameData[STLOrder],PlayerGameData[[#This Row],[STLOrder]])&gt;1,PlayerGameData[[#This Row],[PointRank]]/100+PlayerGameData[[#This Row],[STLOrder]],PlayerGameData[[#This Row],[STLOrder]])</f>
        <v>1148.25</v>
      </c>
      <c r="AW819" s="8">
        <f ca="1">RANK(PlayerGameData[[#This Row],[STLTieBreak]],PlayerGameData[STLTieBreak],1)</f>
        <v>625</v>
      </c>
      <c r="AX819" s="8">
        <f ca="1">RANK(PlayerGameData[[#This Row],[BLK]],PlayerGameData[BLK],0)+PlayerGameData[[#This Row],[VisibleOrder]]</f>
        <v>1031</v>
      </c>
      <c r="AY819" s="8">
        <f ca="1">IF(COUNTIF(PlayerGameData[BLKOrder],PlayerGameData[[#This Row],[BLKOrder]])&gt;1,PlayerGameData[[#This Row],[PointRank]]/100+PlayerGameData[[#This Row],[BLKOrder]],PlayerGameData[[#This Row],[BLKOrder]])</f>
        <v>1037.25</v>
      </c>
      <c r="AZ819" s="8">
        <f ca="1">RANK(PlayerGameData[[#This Row],[BLKTieBreak]],PlayerGameData[BLKTieBreak],1)</f>
        <v>625</v>
      </c>
      <c r="BA819" s="11">
        <f ca="1">IFERROR(IF(PlayerGameData[[#This Row],[FGA]]&gt;$AA$5,PlayerGameData[[#This Row],[FG%*]],PlayerGameData[[#This Row],[FG%*]]*-1),-2)</f>
        <v>-2</v>
      </c>
      <c r="BB819" s="8">
        <f ca="1">RANK(PlayerGameData[[#This Row],[EligFG]],PlayerGameData[EligFG],0)+PlayerGameData[[#This Row],[VisibleOrder]]</f>
        <v>1214</v>
      </c>
      <c r="BC819" s="8">
        <f ca="1">IF(COUNTIF(PlayerGameData[EligFGOrder],PlayerGameData[[#This Row],[EligFGOrder]])&gt;1,PlayerGameData[[#This Row],[PointRank]]/100+PlayerGameData[[#This Row],[EligFGOrder]],PlayerGameData[[#This Row],[EligFGOrder]])</f>
        <v>1220.25</v>
      </c>
      <c r="BD819" s="8">
        <f ca="1">RANK(PlayerGameData[[#This Row],[EligFGTieBreak]],PlayerGameData[EligFGTieBreak],1)</f>
        <v>625</v>
      </c>
      <c r="BE819" s="8" t="str">
        <f>Roster!$D$3</f>
        <v>East</v>
      </c>
      <c r="BF819" s="8" t="str">
        <f>Roster!$D$2</f>
        <v>Northeast</v>
      </c>
      <c r="BG819" s="8" t="str">
        <f>Roster!$D$4</f>
        <v>North</v>
      </c>
      <c r="BH819" s="197">
        <f ca="1">IFERROR(VLOOKUP(CONCATENATE(PlayerGameData[[#This Row],[Opponent]]," ",MONTH(PlayerGameData[[#This Row],[Date]]),"/",DAY(PlayerGameData[[#This Row],[Date]]),"/",YEAR(PlayerGameData[[#This Row],[Date]])),Table35[],2,FALSE),0)</f>
        <v>0</v>
      </c>
      <c r="BI819" s="197">
        <f ca="1">IF(PlayerGameData[[#This Row],[Visible]]=1,1,1000)</f>
        <v>1000</v>
      </c>
      <c r="BJ819" s="197" t="e">
        <f ca="1">_xlfn.MAXIFS(TeamGameData[Win],TeamGameData[School, Opponent,Game'#],PlayerGameData[[#This Row],[School, Opponent,Game'#]])</f>
        <v>#NAME?</v>
      </c>
      <c r="BK819" s="197" t="e">
        <f ca="1">_xlfn.MAXIFS(TeamGameData[Loss],TeamGameData[School, Opponent,Game'#],PlayerGameData[[#This Row],[School, Opponent,Game'#]])</f>
        <v>#NAME?</v>
      </c>
    </row>
    <row r="820" spans="1:63" x14ac:dyDescent="0.25">
      <c r="A820" s="8" t="str">
        <f t="shared" ca="1" si="393"/>
        <v xml:space="preserve">, </v>
      </c>
      <c r="B820" s="8" t="str">
        <f>Roster!$B$1</f>
        <v>Upton</v>
      </c>
      <c r="C820" s="8">
        <f t="shared" ca="1" si="381"/>
        <v>0</v>
      </c>
      <c r="D820" s="10">
        <f t="shared" ca="1" si="382"/>
        <v>0</v>
      </c>
      <c r="E820" s="8">
        <f t="shared" ca="1" si="383"/>
        <v>0</v>
      </c>
      <c r="F820" s="8">
        <f t="shared" ca="1" si="384"/>
        <v>0</v>
      </c>
      <c r="G820" s="8">
        <f t="shared" ca="1" si="385"/>
        <v>0</v>
      </c>
      <c r="H820" s="8">
        <f t="shared" ca="1" si="386"/>
        <v>0</v>
      </c>
      <c r="I820" s="8">
        <f t="shared" ca="1" si="387"/>
        <v>0</v>
      </c>
      <c r="J820" s="8">
        <f t="shared" ca="1" si="388"/>
        <v>0</v>
      </c>
      <c r="K820" s="8">
        <f t="shared" ca="1" si="389"/>
        <v>0</v>
      </c>
      <c r="L820" s="8">
        <f t="shared" ca="1" si="394"/>
        <v>0</v>
      </c>
      <c r="M820" s="8">
        <f t="shared" ca="1" si="395"/>
        <v>0</v>
      </c>
      <c r="N820" s="8">
        <f t="shared" ca="1" si="396"/>
        <v>0</v>
      </c>
      <c r="O820" s="8">
        <f t="shared" ca="1" si="397"/>
        <v>0</v>
      </c>
      <c r="P820" s="8">
        <f t="shared" ca="1" si="398"/>
        <v>0</v>
      </c>
      <c r="Q820" s="8">
        <f t="shared" ca="1" si="399"/>
        <v>0</v>
      </c>
      <c r="R820" s="8">
        <f t="shared" ca="1" si="400"/>
        <v>0</v>
      </c>
      <c r="S820" s="8">
        <f t="shared" ca="1" si="401"/>
        <v>0</v>
      </c>
      <c r="T820" s="8">
        <f t="shared" ca="1" si="402"/>
        <v>0</v>
      </c>
      <c r="U820" s="8">
        <f t="shared" ca="1" si="403"/>
        <v>0</v>
      </c>
      <c r="V820" s="8">
        <f t="shared" ca="1" si="404"/>
        <v>0</v>
      </c>
      <c r="W820" s="11" t="str">
        <f t="shared" ca="1" si="405"/>
        <v/>
      </c>
      <c r="X820" s="11" t="str">
        <f t="shared" ca="1" si="406"/>
        <v/>
      </c>
      <c r="Y820" s="11" t="str">
        <f t="shared" ca="1" si="407"/>
        <v/>
      </c>
      <c r="Z820" s="11" t="str">
        <f t="shared" ca="1" si="408"/>
        <v/>
      </c>
      <c r="AA820" s="11" t="str">
        <f t="shared" ca="1" si="409"/>
        <v/>
      </c>
      <c r="AB820" s="47">
        <f ca="1">PlayerGameData[[#This Row],[3FGA]]+PlayerGameData[[#This Row],[2FGA]]</f>
        <v>0</v>
      </c>
      <c r="AC820" s="47">
        <f ca="1">PlayerGameData[[#This Row],[OFF REB]]+PlayerGameData[[#This Row],[DEF REB]]</f>
        <v>0</v>
      </c>
      <c r="AD820" s="8">
        <f t="shared" si="390"/>
        <v>34</v>
      </c>
      <c r="AE820" s="8" t="str">
        <f t="shared" ca="1" si="391"/>
        <v>,  - 0 1/0/1900</v>
      </c>
      <c r="AF820" s="8" t="str">
        <f t="shared" ca="1" si="410"/>
        <v/>
      </c>
      <c r="AG820" s="8" t="str">
        <f ca="1">IFERROR(IF(C820=0,"",IF(AND(VLOOKUP(PlayerGameData[[#This Row],[Opponent]],WYTeamInfo,2,FALSE)=Roster!$D$1,VLOOKUP(PlayerGameData[[#This Row],[Opponent]],WYTeamInfo,3,FALSE)=Roster!$D$2),"SR","")),"")</f>
        <v/>
      </c>
      <c r="AH820" s="8" t="str">
        <f>CONCATENATE(Roster!$D$1," ",Roster!$D$5)</f>
        <v>1A BB</v>
      </c>
      <c r="AI820" s="8" t="str">
        <f t="shared" ca="1" si="392"/>
        <v>Blank</v>
      </c>
      <c r="AJ820" s="8">
        <f ca="1">IFERROR(VLOOKUP(PlayerGameData[[#This Row],[School, Opponent,Game'#]],Table3[],2,FALSE),0)</f>
        <v>0</v>
      </c>
      <c r="AK820" s="8">
        <f ca="1">IF(PlayerGameData[[#This Row],[Visible]]=1,1,1000)</f>
        <v>1000</v>
      </c>
      <c r="AL820" s="8">
        <f ca="1">RANK(PlayerGameData[[#This Row],[TL PTS]],PlayerGameData[TL PTS],0)+PlayerGameData[[#This Row],[VisibleOrder]]</f>
        <v>1184</v>
      </c>
      <c r="AM820" s="8">
        <f ca="1">IF(COUNTIF(PlayerGameData[PointOrder],PlayerGameData[[#This Row],[PointOrder]])&gt;1,RANK(PlayerGameData[[#This Row],[FGA]],PlayerGameData[FGA],0)/100,0)+PlayerGameData[[#This Row],[PointOrder]]</f>
        <v>1186.1400000000001</v>
      </c>
      <c r="AN820" s="8">
        <f ca="1">RANK(PlayerGameData[[#This Row],[PointTieBreak]],PlayerGameData[PointTieBreak],1)</f>
        <v>625</v>
      </c>
      <c r="AO820" s="8">
        <f ca="1">RANK(PlayerGameData[[#This Row],[REB]],PlayerGameData[REB],0)+PlayerGameData[[#This Row],[VisibleOrder]]</f>
        <v>1191</v>
      </c>
      <c r="AP820" s="8">
        <f ca="1">IF(COUNTIF(PlayerGameData[REBOrder],PlayerGameData[[#This Row],[REBOrder]])&gt;1,PlayerGameData[[#This Row],[PointRank]]/100+PlayerGameData[[#This Row],[REBOrder]],PlayerGameData[[#This Row],[REBOrder]])</f>
        <v>1197.25</v>
      </c>
      <c r="AQ820" s="8">
        <f ca="1">RANK(PlayerGameData[[#This Row],[REBTieBreak]],PlayerGameData[REBTieBreak],1)</f>
        <v>625</v>
      </c>
      <c r="AR820" s="8">
        <f ca="1">RANK(PlayerGameData[[#This Row],[AST]],PlayerGameData[AST],0)+PlayerGameData[[#This Row],[VisibleOrder]]</f>
        <v>1157</v>
      </c>
      <c r="AS820" s="8">
        <f ca="1">IF(COUNTIF(PlayerGameData[ASTOrder],PlayerGameData[[#This Row],[ASTOrder]])&gt;1,PlayerGameData[[#This Row],[PointRank]]/100+PlayerGameData[[#This Row],[ASTOrder]],PlayerGameData[[#This Row],[ASTOrder]])</f>
        <v>1163.25</v>
      </c>
      <c r="AT820" s="8">
        <f ca="1">RANK(PlayerGameData[[#This Row],[ASTTieBreak]],PlayerGameData[ASTTieBreak],1)</f>
        <v>625</v>
      </c>
      <c r="AU820" s="8">
        <f ca="1">RANK(PlayerGameData[[#This Row],[STL]],PlayerGameData[STL],0)+PlayerGameData[[#This Row],[VisibleOrder]]</f>
        <v>1142</v>
      </c>
      <c r="AV820" s="8">
        <f ca="1">IF(COUNTIF(PlayerGameData[STLOrder],PlayerGameData[[#This Row],[STLOrder]])&gt;1,PlayerGameData[[#This Row],[PointRank]]/100+PlayerGameData[[#This Row],[STLOrder]],PlayerGameData[[#This Row],[STLOrder]])</f>
        <v>1148.25</v>
      </c>
      <c r="AW820" s="8">
        <f ca="1">RANK(PlayerGameData[[#This Row],[STLTieBreak]],PlayerGameData[STLTieBreak],1)</f>
        <v>625</v>
      </c>
      <c r="AX820" s="8">
        <f ca="1">RANK(PlayerGameData[[#This Row],[BLK]],PlayerGameData[BLK],0)+PlayerGameData[[#This Row],[VisibleOrder]]</f>
        <v>1031</v>
      </c>
      <c r="AY820" s="8">
        <f ca="1">IF(COUNTIF(PlayerGameData[BLKOrder],PlayerGameData[[#This Row],[BLKOrder]])&gt;1,PlayerGameData[[#This Row],[PointRank]]/100+PlayerGameData[[#This Row],[BLKOrder]],PlayerGameData[[#This Row],[BLKOrder]])</f>
        <v>1037.25</v>
      </c>
      <c r="AZ820" s="8">
        <f ca="1">RANK(PlayerGameData[[#This Row],[BLKTieBreak]],PlayerGameData[BLKTieBreak],1)</f>
        <v>625</v>
      </c>
      <c r="BA820" s="11">
        <f ca="1">IFERROR(IF(PlayerGameData[[#This Row],[FGA]]&gt;$AA$5,PlayerGameData[[#This Row],[FG%*]],PlayerGameData[[#This Row],[FG%*]]*-1),-2)</f>
        <v>-2</v>
      </c>
      <c r="BB820" s="8">
        <f ca="1">RANK(PlayerGameData[[#This Row],[EligFG]],PlayerGameData[EligFG],0)+PlayerGameData[[#This Row],[VisibleOrder]]</f>
        <v>1214</v>
      </c>
      <c r="BC820" s="8">
        <f ca="1">IF(COUNTIF(PlayerGameData[EligFGOrder],PlayerGameData[[#This Row],[EligFGOrder]])&gt;1,PlayerGameData[[#This Row],[PointRank]]/100+PlayerGameData[[#This Row],[EligFGOrder]],PlayerGameData[[#This Row],[EligFGOrder]])</f>
        <v>1220.25</v>
      </c>
      <c r="BD820" s="8">
        <f ca="1">RANK(PlayerGameData[[#This Row],[EligFGTieBreak]],PlayerGameData[EligFGTieBreak],1)</f>
        <v>625</v>
      </c>
      <c r="BE820" s="8" t="str">
        <f>Roster!$D$3</f>
        <v>East</v>
      </c>
      <c r="BF820" s="8" t="str">
        <f>Roster!$D$2</f>
        <v>Northeast</v>
      </c>
      <c r="BG820" s="8" t="str">
        <f>Roster!$D$4</f>
        <v>North</v>
      </c>
      <c r="BH820" s="197">
        <f ca="1">IFERROR(VLOOKUP(CONCATENATE(PlayerGameData[[#This Row],[Opponent]]," ",MONTH(PlayerGameData[[#This Row],[Date]]),"/",DAY(PlayerGameData[[#This Row],[Date]]),"/",YEAR(PlayerGameData[[#This Row],[Date]])),Table35[],2,FALSE),0)</f>
        <v>0</v>
      </c>
      <c r="BI820" s="197">
        <f ca="1">IF(PlayerGameData[[#This Row],[Visible]]=1,1,1000)</f>
        <v>1000</v>
      </c>
      <c r="BJ820" s="197" t="e">
        <f ca="1">_xlfn.MAXIFS(TeamGameData[Win],TeamGameData[School, Opponent,Game'#],PlayerGameData[[#This Row],[School, Opponent,Game'#]])</f>
        <v>#NAME?</v>
      </c>
      <c r="BK820" s="197" t="e">
        <f ca="1">_xlfn.MAXIFS(TeamGameData[Loss],TeamGameData[School, Opponent,Game'#],PlayerGameData[[#This Row],[School, Opponent,Game'#]])</f>
        <v>#NAME?</v>
      </c>
    </row>
    <row r="821" spans="1:63" x14ac:dyDescent="0.25">
      <c r="A821" s="8" t="str">
        <f t="shared" ca="1" si="393"/>
        <v xml:space="preserve">, </v>
      </c>
      <c r="B821" s="8" t="str">
        <f>Roster!$B$1</f>
        <v>Upton</v>
      </c>
      <c r="C821" s="8">
        <f t="shared" ca="1" si="381"/>
        <v>0</v>
      </c>
      <c r="D821" s="10">
        <f t="shared" ca="1" si="382"/>
        <v>0</v>
      </c>
      <c r="E821" s="8">
        <f t="shared" ca="1" si="383"/>
        <v>0</v>
      </c>
      <c r="F821" s="8">
        <f t="shared" ca="1" si="384"/>
        <v>0</v>
      </c>
      <c r="G821" s="8">
        <f t="shared" ca="1" si="385"/>
        <v>0</v>
      </c>
      <c r="H821" s="8">
        <f t="shared" ca="1" si="386"/>
        <v>0</v>
      </c>
      <c r="I821" s="8">
        <f t="shared" ca="1" si="387"/>
        <v>0</v>
      </c>
      <c r="J821" s="8">
        <f t="shared" ca="1" si="388"/>
        <v>0</v>
      </c>
      <c r="K821" s="8">
        <f t="shared" ca="1" si="389"/>
        <v>0</v>
      </c>
      <c r="L821" s="8">
        <f t="shared" ca="1" si="394"/>
        <v>0</v>
      </c>
      <c r="M821" s="8">
        <f t="shared" ca="1" si="395"/>
        <v>0</v>
      </c>
      <c r="N821" s="8">
        <f t="shared" ca="1" si="396"/>
        <v>0</v>
      </c>
      <c r="O821" s="8">
        <f t="shared" ca="1" si="397"/>
        <v>0</v>
      </c>
      <c r="P821" s="8">
        <f t="shared" ca="1" si="398"/>
        <v>0</v>
      </c>
      <c r="Q821" s="8">
        <f t="shared" ca="1" si="399"/>
        <v>0</v>
      </c>
      <c r="R821" s="8">
        <f t="shared" ca="1" si="400"/>
        <v>0</v>
      </c>
      <c r="S821" s="8">
        <f t="shared" ca="1" si="401"/>
        <v>0</v>
      </c>
      <c r="T821" s="8">
        <f t="shared" ca="1" si="402"/>
        <v>0</v>
      </c>
      <c r="U821" s="8">
        <f t="shared" ca="1" si="403"/>
        <v>0</v>
      </c>
      <c r="V821" s="8">
        <f t="shared" ca="1" si="404"/>
        <v>0</v>
      </c>
      <c r="W821" s="11" t="str">
        <f t="shared" ca="1" si="405"/>
        <v/>
      </c>
      <c r="X821" s="11" t="str">
        <f t="shared" ca="1" si="406"/>
        <v/>
      </c>
      <c r="Y821" s="11" t="str">
        <f t="shared" ca="1" si="407"/>
        <v/>
      </c>
      <c r="Z821" s="11" t="str">
        <f t="shared" ca="1" si="408"/>
        <v/>
      </c>
      <c r="AA821" s="11" t="str">
        <f t="shared" ca="1" si="409"/>
        <v/>
      </c>
      <c r="AB821" s="47">
        <f ca="1">PlayerGameData[[#This Row],[3FGA]]+PlayerGameData[[#This Row],[2FGA]]</f>
        <v>0</v>
      </c>
      <c r="AC821" s="47">
        <f ca="1">PlayerGameData[[#This Row],[OFF REB]]+PlayerGameData[[#This Row],[DEF REB]]</f>
        <v>0</v>
      </c>
      <c r="AD821" s="8">
        <f t="shared" si="390"/>
        <v>34</v>
      </c>
      <c r="AE821" s="8" t="str">
        <f t="shared" ca="1" si="391"/>
        <v>,  - 0 1/0/1900</v>
      </c>
      <c r="AF821" s="8" t="str">
        <f t="shared" ca="1" si="410"/>
        <v/>
      </c>
      <c r="AG821" s="8" t="str">
        <f ca="1">IFERROR(IF(C821=0,"",IF(AND(VLOOKUP(PlayerGameData[[#This Row],[Opponent]],WYTeamInfo,2,FALSE)=Roster!$D$1,VLOOKUP(PlayerGameData[[#This Row],[Opponent]],WYTeamInfo,3,FALSE)=Roster!$D$2),"SR","")),"")</f>
        <v/>
      </c>
      <c r="AH821" s="8" t="str">
        <f>CONCATENATE(Roster!$D$1," ",Roster!$D$5)</f>
        <v>1A BB</v>
      </c>
      <c r="AI821" s="8" t="str">
        <f t="shared" ca="1" si="392"/>
        <v>Blank</v>
      </c>
      <c r="AJ821" s="8">
        <f ca="1">IFERROR(VLOOKUP(PlayerGameData[[#This Row],[School, Opponent,Game'#]],Table3[],2,FALSE),0)</f>
        <v>0</v>
      </c>
      <c r="AK821" s="8">
        <f ca="1">IF(PlayerGameData[[#This Row],[Visible]]=1,1,1000)</f>
        <v>1000</v>
      </c>
      <c r="AL821" s="8">
        <f ca="1">RANK(PlayerGameData[[#This Row],[TL PTS]],PlayerGameData[TL PTS],0)+PlayerGameData[[#This Row],[VisibleOrder]]</f>
        <v>1184</v>
      </c>
      <c r="AM821" s="8">
        <f ca="1">IF(COUNTIF(PlayerGameData[PointOrder],PlayerGameData[[#This Row],[PointOrder]])&gt;1,RANK(PlayerGameData[[#This Row],[FGA]],PlayerGameData[FGA],0)/100,0)+PlayerGameData[[#This Row],[PointOrder]]</f>
        <v>1186.1400000000001</v>
      </c>
      <c r="AN821" s="8">
        <f ca="1">RANK(PlayerGameData[[#This Row],[PointTieBreak]],PlayerGameData[PointTieBreak],1)</f>
        <v>625</v>
      </c>
      <c r="AO821" s="8">
        <f ca="1">RANK(PlayerGameData[[#This Row],[REB]],PlayerGameData[REB],0)+PlayerGameData[[#This Row],[VisibleOrder]]</f>
        <v>1191</v>
      </c>
      <c r="AP821" s="8">
        <f ca="1">IF(COUNTIF(PlayerGameData[REBOrder],PlayerGameData[[#This Row],[REBOrder]])&gt;1,PlayerGameData[[#This Row],[PointRank]]/100+PlayerGameData[[#This Row],[REBOrder]],PlayerGameData[[#This Row],[REBOrder]])</f>
        <v>1197.25</v>
      </c>
      <c r="AQ821" s="8">
        <f ca="1">RANK(PlayerGameData[[#This Row],[REBTieBreak]],PlayerGameData[REBTieBreak],1)</f>
        <v>625</v>
      </c>
      <c r="AR821" s="8">
        <f ca="1">RANK(PlayerGameData[[#This Row],[AST]],PlayerGameData[AST],0)+PlayerGameData[[#This Row],[VisibleOrder]]</f>
        <v>1157</v>
      </c>
      <c r="AS821" s="8">
        <f ca="1">IF(COUNTIF(PlayerGameData[ASTOrder],PlayerGameData[[#This Row],[ASTOrder]])&gt;1,PlayerGameData[[#This Row],[PointRank]]/100+PlayerGameData[[#This Row],[ASTOrder]],PlayerGameData[[#This Row],[ASTOrder]])</f>
        <v>1163.25</v>
      </c>
      <c r="AT821" s="8">
        <f ca="1">RANK(PlayerGameData[[#This Row],[ASTTieBreak]],PlayerGameData[ASTTieBreak],1)</f>
        <v>625</v>
      </c>
      <c r="AU821" s="8">
        <f ca="1">RANK(PlayerGameData[[#This Row],[STL]],PlayerGameData[STL],0)+PlayerGameData[[#This Row],[VisibleOrder]]</f>
        <v>1142</v>
      </c>
      <c r="AV821" s="8">
        <f ca="1">IF(COUNTIF(PlayerGameData[STLOrder],PlayerGameData[[#This Row],[STLOrder]])&gt;1,PlayerGameData[[#This Row],[PointRank]]/100+PlayerGameData[[#This Row],[STLOrder]],PlayerGameData[[#This Row],[STLOrder]])</f>
        <v>1148.25</v>
      </c>
      <c r="AW821" s="8">
        <f ca="1">RANK(PlayerGameData[[#This Row],[STLTieBreak]],PlayerGameData[STLTieBreak],1)</f>
        <v>625</v>
      </c>
      <c r="AX821" s="8">
        <f ca="1">RANK(PlayerGameData[[#This Row],[BLK]],PlayerGameData[BLK],0)+PlayerGameData[[#This Row],[VisibleOrder]]</f>
        <v>1031</v>
      </c>
      <c r="AY821" s="8">
        <f ca="1">IF(COUNTIF(PlayerGameData[BLKOrder],PlayerGameData[[#This Row],[BLKOrder]])&gt;1,PlayerGameData[[#This Row],[PointRank]]/100+PlayerGameData[[#This Row],[BLKOrder]],PlayerGameData[[#This Row],[BLKOrder]])</f>
        <v>1037.25</v>
      </c>
      <c r="AZ821" s="8">
        <f ca="1">RANK(PlayerGameData[[#This Row],[BLKTieBreak]],PlayerGameData[BLKTieBreak],1)</f>
        <v>625</v>
      </c>
      <c r="BA821" s="11">
        <f ca="1">IFERROR(IF(PlayerGameData[[#This Row],[FGA]]&gt;$AA$5,PlayerGameData[[#This Row],[FG%*]],PlayerGameData[[#This Row],[FG%*]]*-1),-2)</f>
        <v>-2</v>
      </c>
      <c r="BB821" s="8">
        <f ca="1">RANK(PlayerGameData[[#This Row],[EligFG]],PlayerGameData[EligFG],0)+PlayerGameData[[#This Row],[VisibleOrder]]</f>
        <v>1214</v>
      </c>
      <c r="BC821" s="8">
        <f ca="1">IF(COUNTIF(PlayerGameData[EligFGOrder],PlayerGameData[[#This Row],[EligFGOrder]])&gt;1,PlayerGameData[[#This Row],[PointRank]]/100+PlayerGameData[[#This Row],[EligFGOrder]],PlayerGameData[[#This Row],[EligFGOrder]])</f>
        <v>1220.25</v>
      </c>
      <c r="BD821" s="8">
        <f ca="1">RANK(PlayerGameData[[#This Row],[EligFGTieBreak]],PlayerGameData[EligFGTieBreak],1)</f>
        <v>625</v>
      </c>
      <c r="BE821" s="8" t="str">
        <f>Roster!$D$3</f>
        <v>East</v>
      </c>
      <c r="BF821" s="8" t="str">
        <f>Roster!$D$2</f>
        <v>Northeast</v>
      </c>
      <c r="BG821" s="8" t="str">
        <f>Roster!$D$4</f>
        <v>North</v>
      </c>
      <c r="BH821" s="197">
        <f ca="1">IFERROR(VLOOKUP(CONCATENATE(PlayerGameData[[#This Row],[Opponent]]," ",MONTH(PlayerGameData[[#This Row],[Date]]),"/",DAY(PlayerGameData[[#This Row],[Date]]),"/",YEAR(PlayerGameData[[#This Row],[Date]])),Table35[],2,FALSE),0)</f>
        <v>0</v>
      </c>
      <c r="BI821" s="197">
        <f ca="1">IF(PlayerGameData[[#This Row],[Visible]]=1,1,1000)</f>
        <v>1000</v>
      </c>
      <c r="BJ821" s="197" t="e">
        <f ca="1">_xlfn.MAXIFS(TeamGameData[Win],TeamGameData[School, Opponent,Game'#],PlayerGameData[[#This Row],[School, Opponent,Game'#]])</f>
        <v>#NAME?</v>
      </c>
      <c r="BK821" s="197" t="e">
        <f ca="1">_xlfn.MAXIFS(TeamGameData[Loss],TeamGameData[School, Opponent,Game'#],PlayerGameData[[#This Row],[School, Opponent,Game'#]])</f>
        <v>#NAME?</v>
      </c>
    </row>
    <row r="822" spans="1:63" x14ac:dyDescent="0.25">
      <c r="A822" s="8" t="str">
        <f t="shared" ca="1" si="393"/>
        <v xml:space="preserve">Team, </v>
      </c>
      <c r="B822" s="8" t="str">
        <f>Roster!$B$1</f>
        <v>Upton</v>
      </c>
      <c r="C822" s="8">
        <f t="shared" ca="1" si="381"/>
        <v>0</v>
      </c>
      <c r="D822" s="10">
        <f t="shared" ca="1" si="382"/>
        <v>0</v>
      </c>
      <c r="E822" s="8">
        <f t="shared" ca="1" si="383"/>
        <v>0</v>
      </c>
      <c r="F822" s="8">
        <f t="shared" ca="1" si="384"/>
        <v>0</v>
      </c>
      <c r="G822" s="8">
        <f t="shared" ca="1" si="385"/>
        <v>0</v>
      </c>
      <c r="H822" s="8">
        <f t="shared" ca="1" si="386"/>
        <v>0</v>
      </c>
      <c r="I822" s="8">
        <f t="shared" ca="1" si="387"/>
        <v>0</v>
      </c>
      <c r="J822" s="8">
        <f t="shared" ca="1" si="388"/>
        <v>0</v>
      </c>
      <c r="K822" s="8">
        <f t="shared" ca="1" si="389"/>
        <v>0</v>
      </c>
      <c r="L822" s="8">
        <f t="shared" ca="1" si="394"/>
        <v>0</v>
      </c>
      <c r="M822" s="8">
        <f t="shared" ca="1" si="395"/>
        <v>0</v>
      </c>
      <c r="N822" s="8">
        <f t="shared" ca="1" si="396"/>
        <v>0</v>
      </c>
      <c r="O822" s="8">
        <f t="shared" ca="1" si="397"/>
        <v>0</v>
      </c>
      <c r="P822" s="8">
        <f t="shared" ca="1" si="398"/>
        <v>0</v>
      </c>
      <c r="Q822" s="8">
        <f t="shared" ca="1" si="399"/>
        <v>0</v>
      </c>
      <c r="R822" s="8">
        <f t="shared" ca="1" si="400"/>
        <v>0</v>
      </c>
      <c r="S822" s="8">
        <f t="shared" ca="1" si="401"/>
        <v>0</v>
      </c>
      <c r="T822" s="8">
        <f t="shared" ca="1" si="402"/>
        <v>0</v>
      </c>
      <c r="U822" s="8">
        <f t="shared" ca="1" si="403"/>
        <v>0</v>
      </c>
      <c r="V822" s="8">
        <f t="shared" ca="1" si="404"/>
        <v>0</v>
      </c>
      <c r="W822" s="11" t="str">
        <f t="shared" ca="1" si="405"/>
        <v/>
      </c>
      <c r="X822" s="11" t="str">
        <f t="shared" ca="1" si="406"/>
        <v/>
      </c>
      <c r="Y822" s="11" t="str">
        <f t="shared" ca="1" si="407"/>
        <v/>
      </c>
      <c r="Z822" s="11" t="str">
        <f t="shared" ca="1" si="408"/>
        <v/>
      </c>
      <c r="AA822" s="11" t="str">
        <f t="shared" ca="1" si="409"/>
        <v/>
      </c>
      <c r="AB822" s="47">
        <f ca="1">PlayerGameData[[#This Row],[3FGA]]+PlayerGameData[[#This Row],[2FGA]]</f>
        <v>0</v>
      </c>
      <c r="AC822" s="47">
        <f ca="1">PlayerGameData[[#This Row],[OFF REB]]+PlayerGameData[[#This Row],[DEF REB]]</f>
        <v>0</v>
      </c>
      <c r="AD822" s="8">
        <f t="shared" si="390"/>
        <v>34</v>
      </c>
      <c r="AE822" s="8" t="str">
        <f t="shared" ca="1" si="391"/>
        <v>Team,  - 0 1/0/1900</v>
      </c>
      <c r="AF822" s="8" t="str">
        <f t="shared" ca="1" si="410"/>
        <v/>
      </c>
      <c r="AG822" s="8" t="str">
        <f ca="1">IFERROR(IF(C822=0,"",IF(AND(VLOOKUP(PlayerGameData[[#This Row],[Opponent]],WYTeamInfo,2,FALSE)=Roster!$D$1,VLOOKUP(PlayerGameData[[#This Row],[Opponent]],WYTeamInfo,3,FALSE)=Roster!$D$2),"SR","")),"")</f>
        <v/>
      </c>
      <c r="AH822" s="8" t="str">
        <f>CONCATENATE(Roster!$D$1," ",Roster!$D$5)</f>
        <v>1A BB</v>
      </c>
      <c r="AI822" s="8" t="str">
        <f t="shared" ca="1" si="392"/>
        <v>Blank</v>
      </c>
      <c r="AJ822" s="8">
        <f ca="1">IFERROR(VLOOKUP(PlayerGameData[[#This Row],[School, Opponent,Game'#]],Table3[],2,FALSE),0)</f>
        <v>0</v>
      </c>
      <c r="AK822" s="8">
        <f ca="1">IF(PlayerGameData[[#This Row],[Visible]]=1,1,1000)</f>
        <v>1000</v>
      </c>
      <c r="AL822" s="8">
        <f ca="1">RANK(PlayerGameData[[#This Row],[TL PTS]],PlayerGameData[TL PTS],0)+PlayerGameData[[#This Row],[VisibleOrder]]</f>
        <v>1184</v>
      </c>
      <c r="AM822" s="8">
        <f ca="1">IF(COUNTIF(PlayerGameData[PointOrder],PlayerGameData[[#This Row],[PointOrder]])&gt;1,RANK(PlayerGameData[[#This Row],[FGA]],PlayerGameData[FGA],0)/100,0)+PlayerGameData[[#This Row],[PointOrder]]</f>
        <v>1186.1400000000001</v>
      </c>
      <c r="AN822" s="8">
        <f ca="1">RANK(PlayerGameData[[#This Row],[PointTieBreak]],PlayerGameData[PointTieBreak],1)</f>
        <v>625</v>
      </c>
      <c r="AO822" s="8">
        <f ca="1">RANK(PlayerGameData[[#This Row],[REB]],PlayerGameData[REB],0)+PlayerGameData[[#This Row],[VisibleOrder]]</f>
        <v>1191</v>
      </c>
      <c r="AP822" s="8">
        <f ca="1">IF(COUNTIF(PlayerGameData[REBOrder],PlayerGameData[[#This Row],[REBOrder]])&gt;1,PlayerGameData[[#This Row],[PointRank]]/100+PlayerGameData[[#This Row],[REBOrder]],PlayerGameData[[#This Row],[REBOrder]])</f>
        <v>1197.25</v>
      </c>
      <c r="AQ822" s="8">
        <f ca="1">RANK(PlayerGameData[[#This Row],[REBTieBreak]],PlayerGameData[REBTieBreak],1)</f>
        <v>625</v>
      </c>
      <c r="AR822" s="8">
        <f ca="1">RANK(PlayerGameData[[#This Row],[AST]],PlayerGameData[AST],0)+PlayerGameData[[#This Row],[VisibleOrder]]</f>
        <v>1157</v>
      </c>
      <c r="AS822" s="8">
        <f ca="1">IF(COUNTIF(PlayerGameData[ASTOrder],PlayerGameData[[#This Row],[ASTOrder]])&gt;1,PlayerGameData[[#This Row],[PointRank]]/100+PlayerGameData[[#This Row],[ASTOrder]],PlayerGameData[[#This Row],[ASTOrder]])</f>
        <v>1163.25</v>
      </c>
      <c r="AT822" s="8">
        <f ca="1">RANK(PlayerGameData[[#This Row],[ASTTieBreak]],PlayerGameData[ASTTieBreak],1)</f>
        <v>625</v>
      </c>
      <c r="AU822" s="8">
        <f ca="1">RANK(PlayerGameData[[#This Row],[STL]],PlayerGameData[STL],0)+PlayerGameData[[#This Row],[VisibleOrder]]</f>
        <v>1142</v>
      </c>
      <c r="AV822" s="8">
        <f ca="1">IF(COUNTIF(PlayerGameData[STLOrder],PlayerGameData[[#This Row],[STLOrder]])&gt;1,PlayerGameData[[#This Row],[PointRank]]/100+PlayerGameData[[#This Row],[STLOrder]],PlayerGameData[[#This Row],[STLOrder]])</f>
        <v>1148.25</v>
      </c>
      <c r="AW822" s="8">
        <f ca="1">RANK(PlayerGameData[[#This Row],[STLTieBreak]],PlayerGameData[STLTieBreak],1)</f>
        <v>625</v>
      </c>
      <c r="AX822" s="8">
        <f ca="1">RANK(PlayerGameData[[#This Row],[BLK]],PlayerGameData[BLK],0)+PlayerGameData[[#This Row],[VisibleOrder]]</f>
        <v>1031</v>
      </c>
      <c r="AY822" s="8">
        <f ca="1">IF(COUNTIF(PlayerGameData[BLKOrder],PlayerGameData[[#This Row],[BLKOrder]])&gt;1,PlayerGameData[[#This Row],[PointRank]]/100+PlayerGameData[[#This Row],[BLKOrder]],PlayerGameData[[#This Row],[BLKOrder]])</f>
        <v>1037.25</v>
      </c>
      <c r="AZ822" s="8">
        <f ca="1">RANK(PlayerGameData[[#This Row],[BLKTieBreak]],PlayerGameData[BLKTieBreak],1)</f>
        <v>625</v>
      </c>
      <c r="BA822" s="11">
        <f ca="1">IFERROR(IF(PlayerGameData[[#This Row],[FGA]]&gt;$AA$5,PlayerGameData[[#This Row],[FG%*]],PlayerGameData[[#This Row],[FG%*]]*-1),-2)</f>
        <v>-2</v>
      </c>
      <c r="BB822" s="8">
        <f ca="1">RANK(PlayerGameData[[#This Row],[EligFG]],PlayerGameData[EligFG],0)+PlayerGameData[[#This Row],[VisibleOrder]]</f>
        <v>1214</v>
      </c>
      <c r="BC822" s="8">
        <f ca="1">IF(COUNTIF(PlayerGameData[EligFGOrder],PlayerGameData[[#This Row],[EligFGOrder]])&gt;1,PlayerGameData[[#This Row],[PointRank]]/100+PlayerGameData[[#This Row],[EligFGOrder]],PlayerGameData[[#This Row],[EligFGOrder]])</f>
        <v>1220.25</v>
      </c>
      <c r="BD822" s="8">
        <f ca="1">RANK(PlayerGameData[[#This Row],[EligFGTieBreak]],PlayerGameData[EligFGTieBreak],1)</f>
        <v>625</v>
      </c>
      <c r="BE822" s="8" t="str">
        <f>Roster!$D$3</f>
        <v>East</v>
      </c>
      <c r="BF822" s="8" t="str">
        <f>Roster!$D$2</f>
        <v>Northeast</v>
      </c>
      <c r="BG822" s="8" t="str">
        <f>Roster!$D$4</f>
        <v>North</v>
      </c>
      <c r="BH822" s="197">
        <f ca="1">IFERROR(VLOOKUP(CONCATENATE(PlayerGameData[[#This Row],[Opponent]]," ",MONTH(PlayerGameData[[#This Row],[Date]]),"/",DAY(PlayerGameData[[#This Row],[Date]]),"/",YEAR(PlayerGameData[[#This Row],[Date]])),Table35[],2,FALSE),0)</f>
        <v>0</v>
      </c>
      <c r="BI822" s="197">
        <f ca="1">IF(PlayerGameData[[#This Row],[Visible]]=1,1,1000)</f>
        <v>1000</v>
      </c>
      <c r="BJ822" s="197" t="e">
        <f ca="1">_xlfn.MAXIFS(TeamGameData[Win],TeamGameData[School, Opponent,Game'#],PlayerGameData[[#This Row],[School, Opponent,Game'#]])</f>
        <v>#NAME?</v>
      </c>
      <c r="BK822" s="197" t="e">
        <f ca="1">_xlfn.MAXIFS(TeamGameData[Loss],TeamGameData[School, Opponent,Game'#],PlayerGameData[[#This Row],[School, Opponent,Game'#]])</f>
        <v>#NAME?</v>
      </c>
    </row>
    <row r="823" spans="1:63" x14ac:dyDescent="0.25">
      <c r="A823" s="8" t="str">
        <f t="shared" ca="1" si="393"/>
        <v>Landon Butler, 1</v>
      </c>
      <c r="B823" s="8" t="str">
        <f>Roster!$B$1</f>
        <v>Upton</v>
      </c>
      <c r="C823" s="8">
        <f t="shared" ca="1" si="381"/>
        <v>0</v>
      </c>
      <c r="D823" s="10">
        <f t="shared" ca="1" si="382"/>
        <v>0</v>
      </c>
      <c r="E823" s="8">
        <f t="shared" ca="1" si="383"/>
        <v>0</v>
      </c>
      <c r="F823" s="8">
        <f t="shared" ca="1" si="384"/>
        <v>0</v>
      </c>
      <c r="G823" s="8">
        <f t="shared" ca="1" si="385"/>
        <v>0</v>
      </c>
      <c r="H823" s="8">
        <f t="shared" ca="1" si="386"/>
        <v>0</v>
      </c>
      <c r="I823" s="8">
        <f t="shared" ca="1" si="387"/>
        <v>0</v>
      </c>
      <c r="J823" s="8">
        <f t="shared" ca="1" si="388"/>
        <v>0</v>
      </c>
      <c r="K823" s="8">
        <f t="shared" ca="1" si="389"/>
        <v>0</v>
      </c>
      <c r="L823" s="8">
        <f t="shared" ca="1" si="394"/>
        <v>0</v>
      </c>
      <c r="M823" s="8">
        <f t="shared" ca="1" si="395"/>
        <v>0</v>
      </c>
      <c r="N823" s="8">
        <f t="shared" ca="1" si="396"/>
        <v>0</v>
      </c>
      <c r="O823" s="8">
        <f t="shared" ca="1" si="397"/>
        <v>0</v>
      </c>
      <c r="P823" s="8">
        <f t="shared" ca="1" si="398"/>
        <v>0</v>
      </c>
      <c r="Q823" s="8">
        <f t="shared" ca="1" si="399"/>
        <v>0</v>
      </c>
      <c r="R823" s="8">
        <f t="shared" ca="1" si="400"/>
        <v>0</v>
      </c>
      <c r="S823" s="8">
        <f t="shared" ca="1" si="401"/>
        <v>0</v>
      </c>
      <c r="T823" s="8">
        <f t="shared" ca="1" si="402"/>
        <v>0</v>
      </c>
      <c r="U823" s="8">
        <f t="shared" ca="1" si="403"/>
        <v>0</v>
      </c>
      <c r="V823" s="8">
        <f t="shared" ca="1" si="404"/>
        <v>0</v>
      </c>
      <c r="W823" s="11" t="str">
        <f t="shared" ca="1" si="405"/>
        <v/>
      </c>
      <c r="X823" s="11" t="str">
        <f t="shared" ca="1" si="406"/>
        <v/>
      </c>
      <c r="Y823" s="11" t="str">
        <f t="shared" ca="1" si="407"/>
        <v/>
      </c>
      <c r="Z823" s="11" t="str">
        <f t="shared" ca="1" si="408"/>
        <v/>
      </c>
      <c r="AA823" s="11" t="str">
        <f t="shared" ca="1" si="409"/>
        <v/>
      </c>
      <c r="AB823" s="47">
        <f ca="1">PlayerGameData[[#This Row],[3FGA]]+PlayerGameData[[#This Row],[2FGA]]</f>
        <v>0</v>
      </c>
      <c r="AC823" s="47">
        <f ca="1">PlayerGameData[[#This Row],[OFF REB]]+PlayerGameData[[#This Row],[DEF REB]]</f>
        <v>0</v>
      </c>
      <c r="AD823" s="8">
        <f t="shared" si="390"/>
        <v>35</v>
      </c>
      <c r="AE823" s="8" t="str">
        <f t="shared" ca="1" si="391"/>
        <v>Landon Butler, 1 - 0 1/0/1900</v>
      </c>
      <c r="AF823" s="8" t="str">
        <f t="shared" ca="1" si="410"/>
        <v/>
      </c>
      <c r="AG823" s="8" t="str">
        <f ca="1">IFERROR(IF(C823=0,"",IF(AND(VLOOKUP(PlayerGameData[[#This Row],[Opponent]],WYTeamInfo,2,FALSE)=Roster!$D$1,VLOOKUP(PlayerGameData[[#This Row],[Opponent]],WYTeamInfo,3,FALSE)=Roster!$D$2),"SR","")),"")</f>
        <v/>
      </c>
      <c r="AH823" s="8" t="str">
        <f>CONCATENATE(Roster!$D$1," ",Roster!$D$5)</f>
        <v>1A BB</v>
      </c>
      <c r="AI823" s="8" t="str">
        <f t="shared" ca="1" si="392"/>
        <v>Blank</v>
      </c>
      <c r="AJ823" s="8">
        <f ca="1">IFERROR(VLOOKUP(PlayerGameData[[#This Row],[School, Opponent,Game'#]],Table3[],2,FALSE),0)</f>
        <v>0</v>
      </c>
      <c r="AK823" s="8">
        <f ca="1">IF(PlayerGameData[[#This Row],[Visible]]=1,1,1000)</f>
        <v>1000</v>
      </c>
      <c r="AL823" s="8">
        <f ca="1">RANK(PlayerGameData[[#This Row],[TL PTS]],PlayerGameData[TL PTS],0)+PlayerGameData[[#This Row],[VisibleOrder]]</f>
        <v>1184</v>
      </c>
      <c r="AM823" s="8">
        <f ca="1">IF(COUNTIF(PlayerGameData[PointOrder],PlayerGameData[[#This Row],[PointOrder]])&gt;1,RANK(PlayerGameData[[#This Row],[FGA]],PlayerGameData[FGA],0)/100,0)+PlayerGameData[[#This Row],[PointOrder]]</f>
        <v>1186.1400000000001</v>
      </c>
      <c r="AN823" s="8">
        <f ca="1">RANK(PlayerGameData[[#This Row],[PointTieBreak]],PlayerGameData[PointTieBreak],1)</f>
        <v>625</v>
      </c>
      <c r="AO823" s="8">
        <f ca="1">RANK(PlayerGameData[[#This Row],[REB]],PlayerGameData[REB],0)+PlayerGameData[[#This Row],[VisibleOrder]]</f>
        <v>1191</v>
      </c>
      <c r="AP823" s="8">
        <f ca="1">IF(COUNTIF(PlayerGameData[REBOrder],PlayerGameData[[#This Row],[REBOrder]])&gt;1,PlayerGameData[[#This Row],[PointRank]]/100+PlayerGameData[[#This Row],[REBOrder]],PlayerGameData[[#This Row],[REBOrder]])</f>
        <v>1197.25</v>
      </c>
      <c r="AQ823" s="8">
        <f ca="1">RANK(PlayerGameData[[#This Row],[REBTieBreak]],PlayerGameData[REBTieBreak],1)</f>
        <v>625</v>
      </c>
      <c r="AR823" s="8">
        <f ca="1">RANK(PlayerGameData[[#This Row],[AST]],PlayerGameData[AST],0)+PlayerGameData[[#This Row],[VisibleOrder]]</f>
        <v>1157</v>
      </c>
      <c r="AS823" s="8">
        <f ca="1">IF(COUNTIF(PlayerGameData[ASTOrder],PlayerGameData[[#This Row],[ASTOrder]])&gt;1,PlayerGameData[[#This Row],[PointRank]]/100+PlayerGameData[[#This Row],[ASTOrder]],PlayerGameData[[#This Row],[ASTOrder]])</f>
        <v>1163.25</v>
      </c>
      <c r="AT823" s="8">
        <f ca="1">RANK(PlayerGameData[[#This Row],[ASTTieBreak]],PlayerGameData[ASTTieBreak],1)</f>
        <v>625</v>
      </c>
      <c r="AU823" s="8">
        <f ca="1">RANK(PlayerGameData[[#This Row],[STL]],PlayerGameData[STL],0)+PlayerGameData[[#This Row],[VisibleOrder]]</f>
        <v>1142</v>
      </c>
      <c r="AV823" s="8">
        <f ca="1">IF(COUNTIF(PlayerGameData[STLOrder],PlayerGameData[[#This Row],[STLOrder]])&gt;1,PlayerGameData[[#This Row],[PointRank]]/100+PlayerGameData[[#This Row],[STLOrder]],PlayerGameData[[#This Row],[STLOrder]])</f>
        <v>1148.25</v>
      </c>
      <c r="AW823" s="8">
        <f ca="1">RANK(PlayerGameData[[#This Row],[STLTieBreak]],PlayerGameData[STLTieBreak],1)</f>
        <v>625</v>
      </c>
      <c r="AX823" s="8">
        <f ca="1">RANK(PlayerGameData[[#This Row],[BLK]],PlayerGameData[BLK],0)+PlayerGameData[[#This Row],[VisibleOrder]]</f>
        <v>1031</v>
      </c>
      <c r="AY823" s="8">
        <f ca="1">IF(COUNTIF(PlayerGameData[BLKOrder],PlayerGameData[[#This Row],[BLKOrder]])&gt;1,PlayerGameData[[#This Row],[PointRank]]/100+PlayerGameData[[#This Row],[BLKOrder]],PlayerGameData[[#This Row],[BLKOrder]])</f>
        <v>1037.25</v>
      </c>
      <c r="AZ823" s="8">
        <f ca="1">RANK(PlayerGameData[[#This Row],[BLKTieBreak]],PlayerGameData[BLKTieBreak],1)</f>
        <v>625</v>
      </c>
      <c r="BA823" s="11">
        <f ca="1">IFERROR(IF(PlayerGameData[[#This Row],[FGA]]&gt;$AA$5,PlayerGameData[[#This Row],[FG%*]],PlayerGameData[[#This Row],[FG%*]]*-1),-2)</f>
        <v>-2</v>
      </c>
      <c r="BB823" s="8">
        <f ca="1">RANK(PlayerGameData[[#This Row],[EligFG]],PlayerGameData[EligFG],0)+PlayerGameData[[#This Row],[VisibleOrder]]</f>
        <v>1214</v>
      </c>
      <c r="BC823" s="8">
        <f ca="1">IF(COUNTIF(PlayerGameData[EligFGOrder],PlayerGameData[[#This Row],[EligFGOrder]])&gt;1,PlayerGameData[[#This Row],[PointRank]]/100+PlayerGameData[[#This Row],[EligFGOrder]],PlayerGameData[[#This Row],[EligFGOrder]])</f>
        <v>1220.25</v>
      </c>
      <c r="BD823" s="8">
        <f ca="1">RANK(PlayerGameData[[#This Row],[EligFGTieBreak]],PlayerGameData[EligFGTieBreak],1)</f>
        <v>625</v>
      </c>
      <c r="BE823" s="8" t="str">
        <f>Roster!$D$3</f>
        <v>East</v>
      </c>
      <c r="BF823" s="8" t="str">
        <f>Roster!$D$2</f>
        <v>Northeast</v>
      </c>
      <c r="BG823" s="8" t="str">
        <f>Roster!$D$4</f>
        <v>North</v>
      </c>
      <c r="BH823" s="197">
        <f ca="1">IFERROR(VLOOKUP(CONCATENATE(PlayerGameData[[#This Row],[Opponent]]," ",MONTH(PlayerGameData[[#This Row],[Date]]),"/",DAY(PlayerGameData[[#This Row],[Date]]),"/",YEAR(PlayerGameData[[#This Row],[Date]])),Table35[],2,FALSE),0)</f>
        <v>0</v>
      </c>
      <c r="BI823" s="197">
        <f ca="1">IF(PlayerGameData[[#This Row],[Visible]]=1,1,1000)</f>
        <v>1000</v>
      </c>
      <c r="BJ823" s="197" t="e">
        <f ca="1">_xlfn.MAXIFS(TeamGameData[Win],TeamGameData[School, Opponent,Game'#],PlayerGameData[[#This Row],[School, Opponent,Game'#]])</f>
        <v>#NAME?</v>
      </c>
      <c r="BK823" s="197" t="e">
        <f ca="1">_xlfn.MAXIFS(TeamGameData[Loss],TeamGameData[School, Opponent,Game'#],PlayerGameData[[#This Row],[School, Opponent,Game'#]])</f>
        <v>#NAME?</v>
      </c>
    </row>
    <row r="824" spans="1:63" x14ac:dyDescent="0.25">
      <c r="A824" s="8" t="str">
        <f t="shared" ca="1" si="393"/>
        <v>Logan Timberman, 3</v>
      </c>
      <c r="B824" s="8" t="str">
        <f>Roster!$B$1</f>
        <v>Upton</v>
      </c>
      <c r="C824" s="8">
        <f t="shared" ca="1" si="381"/>
        <v>0</v>
      </c>
      <c r="D824" s="10">
        <f t="shared" ca="1" si="382"/>
        <v>0</v>
      </c>
      <c r="E824" s="8">
        <f t="shared" ca="1" si="383"/>
        <v>0</v>
      </c>
      <c r="F824" s="8">
        <f t="shared" ca="1" si="384"/>
        <v>0</v>
      </c>
      <c r="G824" s="8">
        <f t="shared" ca="1" si="385"/>
        <v>0</v>
      </c>
      <c r="H824" s="8">
        <f t="shared" ca="1" si="386"/>
        <v>0</v>
      </c>
      <c r="I824" s="8">
        <f t="shared" ca="1" si="387"/>
        <v>0</v>
      </c>
      <c r="J824" s="8">
        <f t="shared" ca="1" si="388"/>
        <v>0</v>
      </c>
      <c r="K824" s="8">
        <f t="shared" ca="1" si="389"/>
        <v>0</v>
      </c>
      <c r="L824" s="8">
        <f t="shared" ca="1" si="394"/>
        <v>0</v>
      </c>
      <c r="M824" s="8">
        <f t="shared" ca="1" si="395"/>
        <v>0</v>
      </c>
      <c r="N824" s="8">
        <f t="shared" ca="1" si="396"/>
        <v>0</v>
      </c>
      <c r="O824" s="8">
        <f t="shared" ca="1" si="397"/>
        <v>0</v>
      </c>
      <c r="P824" s="8">
        <f t="shared" ca="1" si="398"/>
        <v>0</v>
      </c>
      <c r="Q824" s="8">
        <f t="shared" ca="1" si="399"/>
        <v>0</v>
      </c>
      <c r="R824" s="8">
        <f t="shared" ca="1" si="400"/>
        <v>0</v>
      </c>
      <c r="S824" s="8">
        <f t="shared" ca="1" si="401"/>
        <v>0</v>
      </c>
      <c r="T824" s="8">
        <f t="shared" ca="1" si="402"/>
        <v>0</v>
      </c>
      <c r="U824" s="8">
        <f t="shared" ca="1" si="403"/>
        <v>0</v>
      </c>
      <c r="V824" s="8">
        <f t="shared" ca="1" si="404"/>
        <v>0</v>
      </c>
      <c r="W824" s="11" t="str">
        <f t="shared" ca="1" si="405"/>
        <v/>
      </c>
      <c r="X824" s="11" t="str">
        <f t="shared" ca="1" si="406"/>
        <v/>
      </c>
      <c r="Y824" s="11" t="str">
        <f t="shared" ca="1" si="407"/>
        <v/>
      </c>
      <c r="Z824" s="11" t="str">
        <f t="shared" ca="1" si="408"/>
        <v/>
      </c>
      <c r="AA824" s="11" t="str">
        <f t="shared" ca="1" si="409"/>
        <v/>
      </c>
      <c r="AB824" s="47">
        <f ca="1">PlayerGameData[[#This Row],[3FGA]]+PlayerGameData[[#This Row],[2FGA]]</f>
        <v>0</v>
      </c>
      <c r="AC824" s="47">
        <f ca="1">PlayerGameData[[#This Row],[OFF REB]]+PlayerGameData[[#This Row],[DEF REB]]</f>
        <v>0</v>
      </c>
      <c r="AD824" s="8">
        <f t="shared" si="390"/>
        <v>35</v>
      </c>
      <c r="AE824" s="8" t="str">
        <f t="shared" ca="1" si="391"/>
        <v>Logan Timberman, 3 - 0 1/0/1900</v>
      </c>
      <c r="AF824" s="8" t="str">
        <f t="shared" ca="1" si="410"/>
        <v/>
      </c>
      <c r="AG824" s="8" t="str">
        <f ca="1">IFERROR(IF(C824=0,"",IF(AND(VLOOKUP(PlayerGameData[[#This Row],[Opponent]],WYTeamInfo,2,FALSE)=Roster!$D$1,VLOOKUP(PlayerGameData[[#This Row],[Opponent]],WYTeamInfo,3,FALSE)=Roster!$D$2),"SR","")),"")</f>
        <v/>
      </c>
      <c r="AH824" s="8" t="str">
        <f>CONCATENATE(Roster!$D$1," ",Roster!$D$5)</f>
        <v>1A BB</v>
      </c>
      <c r="AI824" s="8" t="str">
        <f t="shared" ca="1" si="392"/>
        <v>Blank</v>
      </c>
      <c r="AJ824" s="8">
        <f ca="1">IFERROR(VLOOKUP(PlayerGameData[[#This Row],[School, Opponent,Game'#]],Table3[],2,FALSE),0)</f>
        <v>0</v>
      </c>
      <c r="AK824" s="8">
        <f ca="1">IF(PlayerGameData[[#This Row],[Visible]]=1,1,1000)</f>
        <v>1000</v>
      </c>
      <c r="AL824" s="8">
        <f ca="1">RANK(PlayerGameData[[#This Row],[TL PTS]],PlayerGameData[TL PTS],0)+PlayerGameData[[#This Row],[VisibleOrder]]</f>
        <v>1184</v>
      </c>
      <c r="AM824" s="8">
        <f ca="1">IF(COUNTIF(PlayerGameData[PointOrder],PlayerGameData[[#This Row],[PointOrder]])&gt;1,RANK(PlayerGameData[[#This Row],[FGA]],PlayerGameData[FGA],0)/100,0)+PlayerGameData[[#This Row],[PointOrder]]</f>
        <v>1186.1400000000001</v>
      </c>
      <c r="AN824" s="8">
        <f ca="1">RANK(PlayerGameData[[#This Row],[PointTieBreak]],PlayerGameData[PointTieBreak],1)</f>
        <v>625</v>
      </c>
      <c r="AO824" s="8">
        <f ca="1">RANK(PlayerGameData[[#This Row],[REB]],PlayerGameData[REB],0)+PlayerGameData[[#This Row],[VisibleOrder]]</f>
        <v>1191</v>
      </c>
      <c r="AP824" s="8">
        <f ca="1">IF(COUNTIF(PlayerGameData[REBOrder],PlayerGameData[[#This Row],[REBOrder]])&gt;1,PlayerGameData[[#This Row],[PointRank]]/100+PlayerGameData[[#This Row],[REBOrder]],PlayerGameData[[#This Row],[REBOrder]])</f>
        <v>1197.25</v>
      </c>
      <c r="AQ824" s="8">
        <f ca="1">RANK(PlayerGameData[[#This Row],[REBTieBreak]],PlayerGameData[REBTieBreak],1)</f>
        <v>625</v>
      </c>
      <c r="AR824" s="8">
        <f ca="1">RANK(PlayerGameData[[#This Row],[AST]],PlayerGameData[AST],0)+PlayerGameData[[#This Row],[VisibleOrder]]</f>
        <v>1157</v>
      </c>
      <c r="AS824" s="8">
        <f ca="1">IF(COUNTIF(PlayerGameData[ASTOrder],PlayerGameData[[#This Row],[ASTOrder]])&gt;1,PlayerGameData[[#This Row],[PointRank]]/100+PlayerGameData[[#This Row],[ASTOrder]],PlayerGameData[[#This Row],[ASTOrder]])</f>
        <v>1163.25</v>
      </c>
      <c r="AT824" s="8">
        <f ca="1">RANK(PlayerGameData[[#This Row],[ASTTieBreak]],PlayerGameData[ASTTieBreak],1)</f>
        <v>625</v>
      </c>
      <c r="AU824" s="8">
        <f ca="1">RANK(PlayerGameData[[#This Row],[STL]],PlayerGameData[STL],0)+PlayerGameData[[#This Row],[VisibleOrder]]</f>
        <v>1142</v>
      </c>
      <c r="AV824" s="8">
        <f ca="1">IF(COUNTIF(PlayerGameData[STLOrder],PlayerGameData[[#This Row],[STLOrder]])&gt;1,PlayerGameData[[#This Row],[PointRank]]/100+PlayerGameData[[#This Row],[STLOrder]],PlayerGameData[[#This Row],[STLOrder]])</f>
        <v>1148.25</v>
      </c>
      <c r="AW824" s="8">
        <f ca="1">RANK(PlayerGameData[[#This Row],[STLTieBreak]],PlayerGameData[STLTieBreak],1)</f>
        <v>625</v>
      </c>
      <c r="AX824" s="8">
        <f ca="1">RANK(PlayerGameData[[#This Row],[BLK]],PlayerGameData[BLK],0)+PlayerGameData[[#This Row],[VisibleOrder]]</f>
        <v>1031</v>
      </c>
      <c r="AY824" s="8">
        <f ca="1">IF(COUNTIF(PlayerGameData[BLKOrder],PlayerGameData[[#This Row],[BLKOrder]])&gt;1,PlayerGameData[[#This Row],[PointRank]]/100+PlayerGameData[[#This Row],[BLKOrder]],PlayerGameData[[#This Row],[BLKOrder]])</f>
        <v>1037.25</v>
      </c>
      <c r="AZ824" s="8">
        <f ca="1">RANK(PlayerGameData[[#This Row],[BLKTieBreak]],PlayerGameData[BLKTieBreak],1)</f>
        <v>625</v>
      </c>
      <c r="BA824" s="11">
        <f ca="1">IFERROR(IF(PlayerGameData[[#This Row],[FGA]]&gt;$AA$5,PlayerGameData[[#This Row],[FG%*]],PlayerGameData[[#This Row],[FG%*]]*-1),-2)</f>
        <v>-2</v>
      </c>
      <c r="BB824" s="8">
        <f ca="1">RANK(PlayerGameData[[#This Row],[EligFG]],PlayerGameData[EligFG],0)+PlayerGameData[[#This Row],[VisibleOrder]]</f>
        <v>1214</v>
      </c>
      <c r="BC824" s="8">
        <f ca="1">IF(COUNTIF(PlayerGameData[EligFGOrder],PlayerGameData[[#This Row],[EligFGOrder]])&gt;1,PlayerGameData[[#This Row],[PointRank]]/100+PlayerGameData[[#This Row],[EligFGOrder]],PlayerGameData[[#This Row],[EligFGOrder]])</f>
        <v>1220.25</v>
      </c>
      <c r="BD824" s="8">
        <f ca="1">RANK(PlayerGameData[[#This Row],[EligFGTieBreak]],PlayerGameData[EligFGTieBreak],1)</f>
        <v>625</v>
      </c>
      <c r="BE824" s="8" t="str">
        <f>Roster!$D$3</f>
        <v>East</v>
      </c>
      <c r="BF824" s="8" t="str">
        <f>Roster!$D$2</f>
        <v>Northeast</v>
      </c>
      <c r="BG824" s="8" t="str">
        <f>Roster!$D$4</f>
        <v>North</v>
      </c>
      <c r="BH824" s="197">
        <f ca="1">IFERROR(VLOOKUP(CONCATENATE(PlayerGameData[[#This Row],[Opponent]]," ",MONTH(PlayerGameData[[#This Row],[Date]]),"/",DAY(PlayerGameData[[#This Row],[Date]]),"/",YEAR(PlayerGameData[[#This Row],[Date]])),Table35[],2,FALSE),0)</f>
        <v>0</v>
      </c>
      <c r="BI824" s="197">
        <f ca="1">IF(PlayerGameData[[#This Row],[Visible]]=1,1,1000)</f>
        <v>1000</v>
      </c>
      <c r="BJ824" s="197" t="e">
        <f ca="1">_xlfn.MAXIFS(TeamGameData[Win],TeamGameData[School, Opponent,Game'#],PlayerGameData[[#This Row],[School, Opponent,Game'#]])</f>
        <v>#NAME?</v>
      </c>
      <c r="BK824" s="197" t="e">
        <f ca="1">_xlfn.MAXIFS(TeamGameData[Loss],TeamGameData[School, Opponent,Game'#],PlayerGameData[[#This Row],[School, Opponent,Game'#]])</f>
        <v>#NAME?</v>
      </c>
    </row>
    <row r="825" spans="1:63" x14ac:dyDescent="0.25">
      <c r="A825" s="8" t="str">
        <f t="shared" ca="1" si="393"/>
        <v>Chase Mills, 5</v>
      </c>
      <c r="B825" s="8" t="str">
        <f>Roster!$B$1</f>
        <v>Upton</v>
      </c>
      <c r="C825" s="8">
        <f t="shared" ca="1" si="381"/>
        <v>0</v>
      </c>
      <c r="D825" s="10">
        <f t="shared" ca="1" si="382"/>
        <v>0</v>
      </c>
      <c r="E825" s="8">
        <f t="shared" ca="1" si="383"/>
        <v>0</v>
      </c>
      <c r="F825" s="8">
        <f t="shared" ca="1" si="384"/>
        <v>0</v>
      </c>
      <c r="G825" s="8">
        <f t="shared" ca="1" si="385"/>
        <v>0</v>
      </c>
      <c r="H825" s="8">
        <f t="shared" ca="1" si="386"/>
        <v>0</v>
      </c>
      <c r="I825" s="8">
        <f t="shared" ca="1" si="387"/>
        <v>0</v>
      </c>
      <c r="J825" s="8">
        <f t="shared" ca="1" si="388"/>
        <v>0</v>
      </c>
      <c r="K825" s="8">
        <f t="shared" ca="1" si="389"/>
        <v>0</v>
      </c>
      <c r="L825" s="8">
        <f t="shared" ca="1" si="394"/>
        <v>0</v>
      </c>
      <c r="M825" s="8">
        <f t="shared" ca="1" si="395"/>
        <v>0</v>
      </c>
      <c r="N825" s="8">
        <f t="shared" ca="1" si="396"/>
        <v>0</v>
      </c>
      <c r="O825" s="8">
        <f t="shared" ca="1" si="397"/>
        <v>0</v>
      </c>
      <c r="P825" s="8">
        <f t="shared" ca="1" si="398"/>
        <v>0</v>
      </c>
      <c r="Q825" s="8">
        <f t="shared" ca="1" si="399"/>
        <v>0</v>
      </c>
      <c r="R825" s="8">
        <f t="shared" ca="1" si="400"/>
        <v>0</v>
      </c>
      <c r="S825" s="8">
        <f t="shared" ca="1" si="401"/>
        <v>0</v>
      </c>
      <c r="T825" s="8">
        <f t="shared" ca="1" si="402"/>
        <v>0</v>
      </c>
      <c r="U825" s="8">
        <f t="shared" ca="1" si="403"/>
        <v>0</v>
      </c>
      <c r="V825" s="8">
        <f t="shared" ca="1" si="404"/>
        <v>0</v>
      </c>
      <c r="W825" s="11" t="str">
        <f t="shared" ca="1" si="405"/>
        <v/>
      </c>
      <c r="X825" s="11" t="str">
        <f t="shared" ca="1" si="406"/>
        <v/>
      </c>
      <c r="Y825" s="11" t="str">
        <f t="shared" ca="1" si="407"/>
        <v/>
      </c>
      <c r="Z825" s="11" t="str">
        <f t="shared" ca="1" si="408"/>
        <v/>
      </c>
      <c r="AA825" s="11" t="str">
        <f t="shared" ca="1" si="409"/>
        <v/>
      </c>
      <c r="AB825" s="47">
        <f ca="1">PlayerGameData[[#This Row],[3FGA]]+PlayerGameData[[#This Row],[2FGA]]</f>
        <v>0</v>
      </c>
      <c r="AC825" s="47">
        <f ca="1">PlayerGameData[[#This Row],[OFF REB]]+PlayerGameData[[#This Row],[DEF REB]]</f>
        <v>0</v>
      </c>
      <c r="AD825" s="8">
        <f t="shared" si="390"/>
        <v>35</v>
      </c>
      <c r="AE825" s="8" t="str">
        <f t="shared" ca="1" si="391"/>
        <v>Chase Mills, 5 - 0 1/0/1900</v>
      </c>
      <c r="AF825" s="8" t="str">
        <f t="shared" ca="1" si="410"/>
        <v/>
      </c>
      <c r="AG825" s="8" t="str">
        <f ca="1">IFERROR(IF(C825=0,"",IF(AND(VLOOKUP(PlayerGameData[[#This Row],[Opponent]],WYTeamInfo,2,FALSE)=Roster!$D$1,VLOOKUP(PlayerGameData[[#This Row],[Opponent]],WYTeamInfo,3,FALSE)=Roster!$D$2),"SR","")),"")</f>
        <v/>
      </c>
      <c r="AH825" s="8" t="str">
        <f>CONCATENATE(Roster!$D$1," ",Roster!$D$5)</f>
        <v>1A BB</v>
      </c>
      <c r="AI825" s="8" t="str">
        <f t="shared" ca="1" si="392"/>
        <v>Blank</v>
      </c>
      <c r="AJ825" s="8">
        <f ca="1">IFERROR(VLOOKUP(PlayerGameData[[#This Row],[School, Opponent,Game'#]],Table3[],2,FALSE),0)</f>
        <v>0</v>
      </c>
      <c r="AK825" s="8">
        <f ca="1">IF(PlayerGameData[[#This Row],[Visible]]=1,1,1000)</f>
        <v>1000</v>
      </c>
      <c r="AL825" s="8">
        <f ca="1">RANK(PlayerGameData[[#This Row],[TL PTS]],PlayerGameData[TL PTS],0)+PlayerGameData[[#This Row],[VisibleOrder]]</f>
        <v>1184</v>
      </c>
      <c r="AM825" s="8">
        <f ca="1">IF(COUNTIF(PlayerGameData[PointOrder],PlayerGameData[[#This Row],[PointOrder]])&gt;1,RANK(PlayerGameData[[#This Row],[FGA]],PlayerGameData[FGA],0)/100,0)+PlayerGameData[[#This Row],[PointOrder]]</f>
        <v>1186.1400000000001</v>
      </c>
      <c r="AN825" s="8">
        <f ca="1">RANK(PlayerGameData[[#This Row],[PointTieBreak]],PlayerGameData[PointTieBreak],1)</f>
        <v>625</v>
      </c>
      <c r="AO825" s="8">
        <f ca="1">RANK(PlayerGameData[[#This Row],[REB]],PlayerGameData[REB],0)+PlayerGameData[[#This Row],[VisibleOrder]]</f>
        <v>1191</v>
      </c>
      <c r="AP825" s="8">
        <f ca="1">IF(COUNTIF(PlayerGameData[REBOrder],PlayerGameData[[#This Row],[REBOrder]])&gt;1,PlayerGameData[[#This Row],[PointRank]]/100+PlayerGameData[[#This Row],[REBOrder]],PlayerGameData[[#This Row],[REBOrder]])</f>
        <v>1197.25</v>
      </c>
      <c r="AQ825" s="8">
        <f ca="1">RANK(PlayerGameData[[#This Row],[REBTieBreak]],PlayerGameData[REBTieBreak],1)</f>
        <v>625</v>
      </c>
      <c r="AR825" s="8">
        <f ca="1">RANK(PlayerGameData[[#This Row],[AST]],PlayerGameData[AST],0)+PlayerGameData[[#This Row],[VisibleOrder]]</f>
        <v>1157</v>
      </c>
      <c r="AS825" s="8">
        <f ca="1">IF(COUNTIF(PlayerGameData[ASTOrder],PlayerGameData[[#This Row],[ASTOrder]])&gt;1,PlayerGameData[[#This Row],[PointRank]]/100+PlayerGameData[[#This Row],[ASTOrder]],PlayerGameData[[#This Row],[ASTOrder]])</f>
        <v>1163.25</v>
      </c>
      <c r="AT825" s="8">
        <f ca="1">RANK(PlayerGameData[[#This Row],[ASTTieBreak]],PlayerGameData[ASTTieBreak],1)</f>
        <v>625</v>
      </c>
      <c r="AU825" s="8">
        <f ca="1">RANK(PlayerGameData[[#This Row],[STL]],PlayerGameData[STL],0)+PlayerGameData[[#This Row],[VisibleOrder]]</f>
        <v>1142</v>
      </c>
      <c r="AV825" s="8">
        <f ca="1">IF(COUNTIF(PlayerGameData[STLOrder],PlayerGameData[[#This Row],[STLOrder]])&gt;1,PlayerGameData[[#This Row],[PointRank]]/100+PlayerGameData[[#This Row],[STLOrder]],PlayerGameData[[#This Row],[STLOrder]])</f>
        <v>1148.25</v>
      </c>
      <c r="AW825" s="8">
        <f ca="1">RANK(PlayerGameData[[#This Row],[STLTieBreak]],PlayerGameData[STLTieBreak],1)</f>
        <v>625</v>
      </c>
      <c r="AX825" s="8">
        <f ca="1">RANK(PlayerGameData[[#This Row],[BLK]],PlayerGameData[BLK],0)+PlayerGameData[[#This Row],[VisibleOrder]]</f>
        <v>1031</v>
      </c>
      <c r="AY825" s="8">
        <f ca="1">IF(COUNTIF(PlayerGameData[BLKOrder],PlayerGameData[[#This Row],[BLKOrder]])&gt;1,PlayerGameData[[#This Row],[PointRank]]/100+PlayerGameData[[#This Row],[BLKOrder]],PlayerGameData[[#This Row],[BLKOrder]])</f>
        <v>1037.25</v>
      </c>
      <c r="AZ825" s="8">
        <f ca="1">RANK(PlayerGameData[[#This Row],[BLKTieBreak]],PlayerGameData[BLKTieBreak],1)</f>
        <v>625</v>
      </c>
      <c r="BA825" s="11">
        <f ca="1">IFERROR(IF(PlayerGameData[[#This Row],[FGA]]&gt;$AA$5,PlayerGameData[[#This Row],[FG%*]],PlayerGameData[[#This Row],[FG%*]]*-1),-2)</f>
        <v>-2</v>
      </c>
      <c r="BB825" s="8">
        <f ca="1">RANK(PlayerGameData[[#This Row],[EligFG]],PlayerGameData[EligFG],0)+PlayerGameData[[#This Row],[VisibleOrder]]</f>
        <v>1214</v>
      </c>
      <c r="BC825" s="8">
        <f ca="1">IF(COUNTIF(PlayerGameData[EligFGOrder],PlayerGameData[[#This Row],[EligFGOrder]])&gt;1,PlayerGameData[[#This Row],[PointRank]]/100+PlayerGameData[[#This Row],[EligFGOrder]],PlayerGameData[[#This Row],[EligFGOrder]])</f>
        <v>1220.25</v>
      </c>
      <c r="BD825" s="8">
        <f ca="1">RANK(PlayerGameData[[#This Row],[EligFGTieBreak]],PlayerGameData[EligFGTieBreak],1)</f>
        <v>625</v>
      </c>
      <c r="BE825" s="8" t="str">
        <f>Roster!$D$3</f>
        <v>East</v>
      </c>
      <c r="BF825" s="8" t="str">
        <f>Roster!$D$2</f>
        <v>Northeast</v>
      </c>
      <c r="BG825" s="8" t="str">
        <f>Roster!$D$4</f>
        <v>North</v>
      </c>
      <c r="BH825" s="197">
        <f ca="1">IFERROR(VLOOKUP(CONCATENATE(PlayerGameData[[#This Row],[Opponent]]," ",MONTH(PlayerGameData[[#This Row],[Date]]),"/",DAY(PlayerGameData[[#This Row],[Date]]),"/",YEAR(PlayerGameData[[#This Row],[Date]])),Table35[],2,FALSE),0)</f>
        <v>0</v>
      </c>
      <c r="BI825" s="197">
        <f ca="1">IF(PlayerGameData[[#This Row],[Visible]]=1,1,1000)</f>
        <v>1000</v>
      </c>
      <c r="BJ825" s="197" t="e">
        <f ca="1">_xlfn.MAXIFS(TeamGameData[Win],TeamGameData[School, Opponent,Game'#],PlayerGameData[[#This Row],[School, Opponent,Game'#]])</f>
        <v>#NAME?</v>
      </c>
      <c r="BK825" s="197" t="e">
        <f ca="1">_xlfn.MAXIFS(TeamGameData[Loss],TeamGameData[School, Opponent,Game'#],PlayerGameData[[#This Row],[School, Opponent,Game'#]])</f>
        <v>#NAME?</v>
      </c>
    </row>
    <row r="826" spans="1:63" x14ac:dyDescent="0.25">
      <c r="A826" s="8" t="str">
        <f t="shared" ca="1" si="393"/>
        <v>Rhett Watt, 10</v>
      </c>
      <c r="B826" s="8" t="str">
        <f>Roster!$B$1</f>
        <v>Upton</v>
      </c>
      <c r="C826" s="8">
        <f t="shared" ca="1" si="381"/>
        <v>0</v>
      </c>
      <c r="D826" s="10">
        <f t="shared" ca="1" si="382"/>
        <v>0</v>
      </c>
      <c r="E826" s="8">
        <f t="shared" ca="1" si="383"/>
        <v>0</v>
      </c>
      <c r="F826" s="8">
        <f t="shared" ca="1" si="384"/>
        <v>0</v>
      </c>
      <c r="G826" s="8">
        <f t="shared" ca="1" si="385"/>
        <v>0</v>
      </c>
      <c r="H826" s="8">
        <f t="shared" ca="1" si="386"/>
        <v>0</v>
      </c>
      <c r="I826" s="8">
        <f t="shared" ca="1" si="387"/>
        <v>0</v>
      </c>
      <c r="J826" s="8">
        <f t="shared" ca="1" si="388"/>
        <v>0</v>
      </c>
      <c r="K826" s="8">
        <f t="shared" ca="1" si="389"/>
        <v>0</v>
      </c>
      <c r="L826" s="8">
        <f t="shared" ca="1" si="394"/>
        <v>0</v>
      </c>
      <c r="M826" s="8">
        <f t="shared" ca="1" si="395"/>
        <v>0</v>
      </c>
      <c r="N826" s="8">
        <f t="shared" ca="1" si="396"/>
        <v>0</v>
      </c>
      <c r="O826" s="8">
        <f t="shared" ca="1" si="397"/>
        <v>0</v>
      </c>
      <c r="P826" s="8">
        <f t="shared" ca="1" si="398"/>
        <v>0</v>
      </c>
      <c r="Q826" s="8">
        <f t="shared" ca="1" si="399"/>
        <v>0</v>
      </c>
      <c r="R826" s="8">
        <f t="shared" ca="1" si="400"/>
        <v>0</v>
      </c>
      <c r="S826" s="8">
        <f t="shared" ca="1" si="401"/>
        <v>0</v>
      </c>
      <c r="T826" s="8">
        <f t="shared" ca="1" si="402"/>
        <v>0</v>
      </c>
      <c r="U826" s="8">
        <f t="shared" ca="1" si="403"/>
        <v>0</v>
      </c>
      <c r="V826" s="8">
        <f t="shared" ca="1" si="404"/>
        <v>0</v>
      </c>
      <c r="W826" s="11" t="str">
        <f t="shared" ca="1" si="405"/>
        <v/>
      </c>
      <c r="X826" s="11" t="str">
        <f t="shared" ca="1" si="406"/>
        <v/>
      </c>
      <c r="Y826" s="11" t="str">
        <f t="shared" ca="1" si="407"/>
        <v/>
      </c>
      <c r="Z826" s="11" t="str">
        <f t="shared" ca="1" si="408"/>
        <v/>
      </c>
      <c r="AA826" s="11" t="str">
        <f t="shared" ca="1" si="409"/>
        <v/>
      </c>
      <c r="AB826" s="47">
        <f ca="1">PlayerGameData[[#This Row],[3FGA]]+PlayerGameData[[#This Row],[2FGA]]</f>
        <v>0</v>
      </c>
      <c r="AC826" s="47">
        <f ca="1">PlayerGameData[[#This Row],[OFF REB]]+PlayerGameData[[#This Row],[DEF REB]]</f>
        <v>0</v>
      </c>
      <c r="AD826" s="8">
        <f t="shared" si="390"/>
        <v>35</v>
      </c>
      <c r="AE826" s="8" t="str">
        <f t="shared" ca="1" si="391"/>
        <v>Rhett Watt, 10 - 0 1/0/1900</v>
      </c>
      <c r="AF826" s="8" t="str">
        <f t="shared" ca="1" si="410"/>
        <v/>
      </c>
      <c r="AG826" s="8" t="str">
        <f ca="1">IFERROR(IF(C826=0,"",IF(AND(VLOOKUP(PlayerGameData[[#This Row],[Opponent]],WYTeamInfo,2,FALSE)=Roster!$D$1,VLOOKUP(PlayerGameData[[#This Row],[Opponent]],WYTeamInfo,3,FALSE)=Roster!$D$2),"SR","")),"")</f>
        <v/>
      </c>
      <c r="AH826" s="8" t="str">
        <f>CONCATENATE(Roster!$D$1," ",Roster!$D$5)</f>
        <v>1A BB</v>
      </c>
      <c r="AI826" s="8" t="str">
        <f t="shared" ca="1" si="392"/>
        <v>Blank</v>
      </c>
      <c r="AJ826" s="8">
        <f ca="1">IFERROR(VLOOKUP(PlayerGameData[[#This Row],[School, Opponent,Game'#]],Table3[],2,FALSE),0)</f>
        <v>0</v>
      </c>
      <c r="AK826" s="8">
        <f ca="1">IF(PlayerGameData[[#This Row],[Visible]]=1,1,1000)</f>
        <v>1000</v>
      </c>
      <c r="AL826" s="8">
        <f ca="1">RANK(PlayerGameData[[#This Row],[TL PTS]],PlayerGameData[TL PTS],0)+PlayerGameData[[#This Row],[VisibleOrder]]</f>
        <v>1184</v>
      </c>
      <c r="AM826" s="8">
        <f ca="1">IF(COUNTIF(PlayerGameData[PointOrder],PlayerGameData[[#This Row],[PointOrder]])&gt;1,RANK(PlayerGameData[[#This Row],[FGA]],PlayerGameData[FGA],0)/100,0)+PlayerGameData[[#This Row],[PointOrder]]</f>
        <v>1186.1400000000001</v>
      </c>
      <c r="AN826" s="8">
        <f ca="1">RANK(PlayerGameData[[#This Row],[PointTieBreak]],PlayerGameData[PointTieBreak],1)</f>
        <v>625</v>
      </c>
      <c r="AO826" s="8">
        <f ca="1">RANK(PlayerGameData[[#This Row],[REB]],PlayerGameData[REB],0)+PlayerGameData[[#This Row],[VisibleOrder]]</f>
        <v>1191</v>
      </c>
      <c r="AP826" s="8">
        <f ca="1">IF(COUNTIF(PlayerGameData[REBOrder],PlayerGameData[[#This Row],[REBOrder]])&gt;1,PlayerGameData[[#This Row],[PointRank]]/100+PlayerGameData[[#This Row],[REBOrder]],PlayerGameData[[#This Row],[REBOrder]])</f>
        <v>1197.25</v>
      </c>
      <c r="AQ826" s="8">
        <f ca="1">RANK(PlayerGameData[[#This Row],[REBTieBreak]],PlayerGameData[REBTieBreak],1)</f>
        <v>625</v>
      </c>
      <c r="AR826" s="8">
        <f ca="1">RANK(PlayerGameData[[#This Row],[AST]],PlayerGameData[AST],0)+PlayerGameData[[#This Row],[VisibleOrder]]</f>
        <v>1157</v>
      </c>
      <c r="AS826" s="8">
        <f ca="1">IF(COUNTIF(PlayerGameData[ASTOrder],PlayerGameData[[#This Row],[ASTOrder]])&gt;1,PlayerGameData[[#This Row],[PointRank]]/100+PlayerGameData[[#This Row],[ASTOrder]],PlayerGameData[[#This Row],[ASTOrder]])</f>
        <v>1163.25</v>
      </c>
      <c r="AT826" s="8">
        <f ca="1">RANK(PlayerGameData[[#This Row],[ASTTieBreak]],PlayerGameData[ASTTieBreak],1)</f>
        <v>625</v>
      </c>
      <c r="AU826" s="8">
        <f ca="1">RANK(PlayerGameData[[#This Row],[STL]],PlayerGameData[STL],0)+PlayerGameData[[#This Row],[VisibleOrder]]</f>
        <v>1142</v>
      </c>
      <c r="AV826" s="8">
        <f ca="1">IF(COUNTIF(PlayerGameData[STLOrder],PlayerGameData[[#This Row],[STLOrder]])&gt;1,PlayerGameData[[#This Row],[PointRank]]/100+PlayerGameData[[#This Row],[STLOrder]],PlayerGameData[[#This Row],[STLOrder]])</f>
        <v>1148.25</v>
      </c>
      <c r="AW826" s="8">
        <f ca="1">RANK(PlayerGameData[[#This Row],[STLTieBreak]],PlayerGameData[STLTieBreak],1)</f>
        <v>625</v>
      </c>
      <c r="AX826" s="8">
        <f ca="1">RANK(PlayerGameData[[#This Row],[BLK]],PlayerGameData[BLK],0)+PlayerGameData[[#This Row],[VisibleOrder]]</f>
        <v>1031</v>
      </c>
      <c r="AY826" s="8">
        <f ca="1">IF(COUNTIF(PlayerGameData[BLKOrder],PlayerGameData[[#This Row],[BLKOrder]])&gt;1,PlayerGameData[[#This Row],[PointRank]]/100+PlayerGameData[[#This Row],[BLKOrder]],PlayerGameData[[#This Row],[BLKOrder]])</f>
        <v>1037.25</v>
      </c>
      <c r="AZ826" s="8">
        <f ca="1">RANK(PlayerGameData[[#This Row],[BLKTieBreak]],PlayerGameData[BLKTieBreak],1)</f>
        <v>625</v>
      </c>
      <c r="BA826" s="11">
        <f ca="1">IFERROR(IF(PlayerGameData[[#This Row],[FGA]]&gt;$AA$5,PlayerGameData[[#This Row],[FG%*]],PlayerGameData[[#This Row],[FG%*]]*-1),-2)</f>
        <v>-2</v>
      </c>
      <c r="BB826" s="8">
        <f ca="1">RANK(PlayerGameData[[#This Row],[EligFG]],PlayerGameData[EligFG],0)+PlayerGameData[[#This Row],[VisibleOrder]]</f>
        <v>1214</v>
      </c>
      <c r="BC826" s="8">
        <f ca="1">IF(COUNTIF(PlayerGameData[EligFGOrder],PlayerGameData[[#This Row],[EligFGOrder]])&gt;1,PlayerGameData[[#This Row],[PointRank]]/100+PlayerGameData[[#This Row],[EligFGOrder]],PlayerGameData[[#This Row],[EligFGOrder]])</f>
        <v>1220.25</v>
      </c>
      <c r="BD826" s="8">
        <f ca="1">RANK(PlayerGameData[[#This Row],[EligFGTieBreak]],PlayerGameData[EligFGTieBreak],1)</f>
        <v>625</v>
      </c>
      <c r="BE826" s="8" t="str">
        <f>Roster!$D$3</f>
        <v>East</v>
      </c>
      <c r="BF826" s="8" t="str">
        <f>Roster!$D$2</f>
        <v>Northeast</v>
      </c>
      <c r="BG826" s="8" t="str">
        <f>Roster!$D$4</f>
        <v>North</v>
      </c>
      <c r="BH826" s="197">
        <f ca="1">IFERROR(VLOOKUP(CONCATENATE(PlayerGameData[[#This Row],[Opponent]]," ",MONTH(PlayerGameData[[#This Row],[Date]]),"/",DAY(PlayerGameData[[#This Row],[Date]]),"/",YEAR(PlayerGameData[[#This Row],[Date]])),Table35[],2,FALSE),0)</f>
        <v>0</v>
      </c>
      <c r="BI826" s="197">
        <f ca="1">IF(PlayerGameData[[#This Row],[Visible]]=1,1,1000)</f>
        <v>1000</v>
      </c>
      <c r="BJ826" s="197" t="e">
        <f ca="1">_xlfn.MAXIFS(TeamGameData[Win],TeamGameData[School, Opponent,Game'#],PlayerGameData[[#This Row],[School, Opponent,Game'#]])</f>
        <v>#NAME?</v>
      </c>
      <c r="BK826" s="197" t="e">
        <f ca="1">_xlfn.MAXIFS(TeamGameData[Loss],TeamGameData[School, Opponent,Game'#],PlayerGameData[[#This Row],[School, Opponent,Game'#]])</f>
        <v>#NAME?</v>
      </c>
    </row>
    <row r="827" spans="1:63" x14ac:dyDescent="0.25">
      <c r="A827" s="8" t="str">
        <f t="shared" ca="1" si="393"/>
        <v>Keith Coburn, 11</v>
      </c>
      <c r="B827" s="8" t="str">
        <f>Roster!$B$1</f>
        <v>Upton</v>
      </c>
      <c r="C827" s="8">
        <f t="shared" ca="1" si="381"/>
        <v>0</v>
      </c>
      <c r="D827" s="10">
        <f t="shared" ca="1" si="382"/>
        <v>0</v>
      </c>
      <c r="E827" s="8">
        <f t="shared" ca="1" si="383"/>
        <v>0</v>
      </c>
      <c r="F827" s="8">
        <f t="shared" ca="1" si="384"/>
        <v>0</v>
      </c>
      <c r="G827" s="8">
        <f t="shared" ca="1" si="385"/>
        <v>0</v>
      </c>
      <c r="H827" s="8">
        <f t="shared" ca="1" si="386"/>
        <v>0</v>
      </c>
      <c r="I827" s="8">
        <f t="shared" ca="1" si="387"/>
        <v>0</v>
      </c>
      <c r="J827" s="8">
        <f t="shared" ca="1" si="388"/>
        <v>0</v>
      </c>
      <c r="K827" s="8">
        <f t="shared" ca="1" si="389"/>
        <v>0</v>
      </c>
      <c r="L827" s="8">
        <f t="shared" ca="1" si="394"/>
        <v>0</v>
      </c>
      <c r="M827" s="8">
        <f t="shared" ca="1" si="395"/>
        <v>0</v>
      </c>
      <c r="N827" s="8">
        <f t="shared" ca="1" si="396"/>
        <v>0</v>
      </c>
      <c r="O827" s="8">
        <f t="shared" ca="1" si="397"/>
        <v>0</v>
      </c>
      <c r="P827" s="8">
        <f t="shared" ca="1" si="398"/>
        <v>0</v>
      </c>
      <c r="Q827" s="8">
        <f t="shared" ca="1" si="399"/>
        <v>0</v>
      </c>
      <c r="R827" s="8">
        <f t="shared" ca="1" si="400"/>
        <v>0</v>
      </c>
      <c r="S827" s="8">
        <f t="shared" ca="1" si="401"/>
        <v>0</v>
      </c>
      <c r="T827" s="8">
        <f t="shared" ca="1" si="402"/>
        <v>0</v>
      </c>
      <c r="U827" s="8">
        <f t="shared" ca="1" si="403"/>
        <v>0</v>
      </c>
      <c r="V827" s="8">
        <f t="shared" ca="1" si="404"/>
        <v>0</v>
      </c>
      <c r="W827" s="11" t="str">
        <f t="shared" ca="1" si="405"/>
        <v/>
      </c>
      <c r="X827" s="11" t="str">
        <f t="shared" ca="1" si="406"/>
        <v/>
      </c>
      <c r="Y827" s="11" t="str">
        <f t="shared" ca="1" si="407"/>
        <v/>
      </c>
      <c r="Z827" s="11" t="str">
        <f t="shared" ca="1" si="408"/>
        <v/>
      </c>
      <c r="AA827" s="11" t="str">
        <f t="shared" ca="1" si="409"/>
        <v/>
      </c>
      <c r="AB827" s="47">
        <f ca="1">PlayerGameData[[#This Row],[3FGA]]+PlayerGameData[[#This Row],[2FGA]]</f>
        <v>0</v>
      </c>
      <c r="AC827" s="47">
        <f ca="1">PlayerGameData[[#This Row],[OFF REB]]+PlayerGameData[[#This Row],[DEF REB]]</f>
        <v>0</v>
      </c>
      <c r="AD827" s="8">
        <f t="shared" si="390"/>
        <v>35</v>
      </c>
      <c r="AE827" s="8" t="str">
        <f t="shared" ca="1" si="391"/>
        <v>Keith Coburn, 11 - 0 1/0/1900</v>
      </c>
      <c r="AF827" s="8" t="str">
        <f t="shared" ca="1" si="410"/>
        <v/>
      </c>
      <c r="AG827" s="8" t="str">
        <f ca="1">IFERROR(IF(C827=0,"",IF(AND(VLOOKUP(PlayerGameData[[#This Row],[Opponent]],WYTeamInfo,2,FALSE)=Roster!$D$1,VLOOKUP(PlayerGameData[[#This Row],[Opponent]],WYTeamInfo,3,FALSE)=Roster!$D$2),"SR","")),"")</f>
        <v/>
      </c>
      <c r="AH827" s="8" t="str">
        <f>CONCATENATE(Roster!$D$1," ",Roster!$D$5)</f>
        <v>1A BB</v>
      </c>
      <c r="AI827" s="8" t="str">
        <f t="shared" ca="1" si="392"/>
        <v>Blank</v>
      </c>
      <c r="AJ827" s="8">
        <f ca="1">IFERROR(VLOOKUP(PlayerGameData[[#This Row],[School, Opponent,Game'#]],Table3[],2,FALSE),0)</f>
        <v>0</v>
      </c>
      <c r="AK827" s="8">
        <f ca="1">IF(PlayerGameData[[#This Row],[Visible]]=1,1,1000)</f>
        <v>1000</v>
      </c>
      <c r="AL827" s="8">
        <f ca="1">RANK(PlayerGameData[[#This Row],[TL PTS]],PlayerGameData[TL PTS],0)+PlayerGameData[[#This Row],[VisibleOrder]]</f>
        <v>1184</v>
      </c>
      <c r="AM827" s="8">
        <f ca="1">IF(COUNTIF(PlayerGameData[PointOrder],PlayerGameData[[#This Row],[PointOrder]])&gt;1,RANK(PlayerGameData[[#This Row],[FGA]],PlayerGameData[FGA],0)/100,0)+PlayerGameData[[#This Row],[PointOrder]]</f>
        <v>1186.1400000000001</v>
      </c>
      <c r="AN827" s="8">
        <f ca="1">RANK(PlayerGameData[[#This Row],[PointTieBreak]],PlayerGameData[PointTieBreak],1)</f>
        <v>625</v>
      </c>
      <c r="AO827" s="8">
        <f ca="1">RANK(PlayerGameData[[#This Row],[REB]],PlayerGameData[REB],0)+PlayerGameData[[#This Row],[VisibleOrder]]</f>
        <v>1191</v>
      </c>
      <c r="AP827" s="8">
        <f ca="1">IF(COUNTIF(PlayerGameData[REBOrder],PlayerGameData[[#This Row],[REBOrder]])&gt;1,PlayerGameData[[#This Row],[PointRank]]/100+PlayerGameData[[#This Row],[REBOrder]],PlayerGameData[[#This Row],[REBOrder]])</f>
        <v>1197.25</v>
      </c>
      <c r="AQ827" s="8">
        <f ca="1">RANK(PlayerGameData[[#This Row],[REBTieBreak]],PlayerGameData[REBTieBreak],1)</f>
        <v>625</v>
      </c>
      <c r="AR827" s="8">
        <f ca="1">RANK(PlayerGameData[[#This Row],[AST]],PlayerGameData[AST],0)+PlayerGameData[[#This Row],[VisibleOrder]]</f>
        <v>1157</v>
      </c>
      <c r="AS827" s="8">
        <f ca="1">IF(COUNTIF(PlayerGameData[ASTOrder],PlayerGameData[[#This Row],[ASTOrder]])&gt;1,PlayerGameData[[#This Row],[PointRank]]/100+PlayerGameData[[#This Row],[ASTOrder]],PlayerGameData[[#This Row],[ASTOrder]])</f>
        <v>1163.25</v>
      </c>
      <c r="AT827" s="8">
        <f ca="1">RANK(PlayerGameData[[#This Row],[ASTTieBreak]],PlayerGameData[ASTTieBreak],1)</f>
        <v>625</v>
      </c>
      <c r="AU827" s="8">
        <f ca="1">RANK(PlayerGameData[[#This Row],[STL]],PlayerGameData[STL],0)+PlayerGameData[[#This Row],[VisibleOrder]]</f>
        <v>1142</v>
      </c>
      <c r="AV827" s="8">
        <f ca="1">IF(COUNTIF(PlayerGameData[STLOrder],PlayerGameData[[#This Row],[STLOrder]])&gt;1,PlayerGameData[[#This Row],[PointRank]]/100+PlayerGameData[[#This Row],[STLOrder]],PlayerGameData[[#This Row],[STLOrder]])</f>
        <v>1148.25</v>
      </c>
      <c r="AW827" s="8">
        <f ca="1">RANK(PlayerGameData[[#This Row],[STLTieBreak]],PlayerGameData[STLTieBreak],1)</f>
        <v>625</v>
      </c>
      <c r="AX827" s="8">
        <f ca="1">RANK(PlayerGameData[[#This Row],[BLK]],PlayerGameData[BLK],0)+PlayerGameData[[#This Row],[VisibleOrder]]</f>
        <v>1031</v>
      </c>
      <c r="AY827" s="8">
        <f ca="1">IF(COUNTIF(PlayerGameData[BLKOrder],PlayerGameData[[#This Row],[BLKOrder]])&gt;1,PlayerGameData[[#This Row],[PointRank]]/100+PlayerGameData[[#This Row],[BLKOrder]],PlayerGameData[[#This Row],[BLKOrder]])</f>
        <v>1037.25</v>
      </c>
      <c r="AZ827" s="8">
        <f ca="1">RANK(PlayerGameData[[#This Row],[BLKTieBreak]],PlayerGameData[BLKTieBreak],1)</f>
        <v>625</v>
      </c>
      <c r="BA827" s="11">
        <f ca="1">IFERROR(IF(PlayerGameData[[#This Row],[FGA]]&gt;$AA$5,PlayerGameData[[#This Row],[FG%*]],PlayerGameData[[#This Row],[FG%*]]*-1),-2)</f>
        <v>-2</v>
      </c>
      <c r="BB827" s="8">
        <f ca="1">RANK(PlayerGameData[[#This Row],[EligFG]],PlayerGameData[EligFG],0)+PlayerGameData[[#This Row],[VisibleOrder]]</f>
        <v>1214</v>
      </c>
      <c r="BC827" s="8">
        <f ca="1">IF(COUNTIF(PlayerGameData[EligFGOrder],PlayerGameData[[#This Row],[EligFGOrder]])&gt;1,PlayerGameData[[#This Row],[PointRank]]/100+PlayerGameData[[#This Row],[EligFGOrder]],PlayerGameData[[#This Row],[EligFGOrder]])</f>
        <v>1220.25</v>
      </c>
      <c r="BD827" s="8">
        <f ca="1">RANK(PlayerGameData[[#This Row],[EligFGTieBreak]],PlayerGameData[EligFGTieBreak],1)</f>
        <v>625</v>
      </c>
      <c r="BE827" s="8" t="str">
        <f>Roster!$D$3</f>
        <v>East</v>
      </c>
      <c r="BF827" s="8" t="str">
        <f>Roster!$D$2</f>
        <v>Northeast</v>
      </c>
      <c r="BG827" s="8" t="str">
        <f>Roster!$D$4</f>
        <v>North</v>
      </c>
      <c r="BH827" s="197">
        <f ca="1">IFERROR(VLOOKUP(CONCATENATE(PlayerGameData[[#This Row],[Opponent]]," ",MONTH(PlayerGameData[[#This Row],[Date]]),"/",DAY(PlayerGameData[[#This Row],[Date]]),"/",YEAR(PlayerGameData[[#This Row],[Date]])),Table35[],2,FALSE),0)</f>
        <v>0</v>
      </c>
      <c r="BI827" s="197">
        <f ca="1">IF(PlayerGameData[[#This Row],[Visible]]=1,1,1000)</f>
        <v>1000</v>
      </c>
      <c r="BJ827" s="197" t="e">
        <f ca="1">_xlfn.MAXIFS(TeamGameData[Win],TeamGameData[School, Opponent,Game'#],PlayerGameData[[#This Row],[School, Opponent,Game'#]])</f>
        <v>#NAME?</v>
      </c>
      <c r="BK827" s="197" t="e">
        <f ca="1">_xlfn.MAXIFS(TeamGameData[Loss],TeamGameData[School, Opponent,Game'#],PlayerGameData[[#This Row],[School, Opponent,Game'#]])</f>
        <v>#NAME?</v>
      </c>
    </row>
    <row r="828" spans="1:63" x14ac:dyDescent="0.25">
      <c r="A828" s="8" t="str">
        <f t="shared" ca="1" si="393"/>
        <v>Carson Barritt, 14</v>
      </c>
      <c r="B828" s="8" t="str">
        <f>Roster!$B$1</f>
        <v>Upton</v>
      </c>
      <c r="C828" s="8">
        <f t="shared" ca="1" si="381"/>
        <v>0</v>
      </c>
      <c r="D828" s="10">
        <f t="shared" ca="1" si="382"/>
        <v>0</v>
      </c>
      <c r="E828" s="8">
        <f t="shared" ca="1" si="383"/>
        <v>0</v>
      </c>
      <c r="F828" s="8">
        <f t="shared" ca="1" si="384"/>
        <v>0</v>
      </c>
      <c r="G828" s="8">
        <f t="shared" ca="1" si="385"/>
        <v>0</v>
      </c>
      <c r="H828" s="8">
        <f t="shared" ca="1" si="386"/>
        <v>0</v>
      </c>
      <c r="I828" s="8">
        <f t="shared" ca="1" si="387"/>
        <v>0</v>
      </c>
      <c r="J828" s="8">
        <f t="shared" ca="1" si="388"/>
        <v>0</v>
      </c>
      <c r="K828" s="8">
        <f t="shared" ca="1" si="389"/>
        <v>0</v>
      </c>
      <c r="L828" s="8">
        <f t="shared" ca="1" si="394"/>
        <v>0</v>
      </c>
      <c r="M828" s="8">
        <f t="shared" ca="1" si="395"/>
        <v>0</v>
      </c>
      <c r="N828" s="8">
        <f t="shared" ca="1" si="396"/>
        <v>0</v>
      </c>
      <c r="O828" s="8">
        <f t="shared" ca="1" si="397"/>
        <v>0</v>
      </c>
      <c r="P828" s="8">
        <f t="shared" ca="1" si="398"/>
        <v>0</v>
      </c>
      <c r="Q828" s="8">
        <f t="shared" ca="1" si="399"/>
        <v>0</v>
      </c>
      <c r="R828" s="8">
        <f t="shared" ca="1" si="400"/>
        <v>0</v>
      </c>
      <c r="S828" s="8">
        <f t="shared" ca="1" si="401"/>
        <v>0</v>
      </c>
      <c r="T828" s="8">
        <f t="shared" ca="1" si="402"/>
        <v>0</v>
      </c>
      <c r="U828" s="8">
        <f t="shared" ca="1" si="403"/>
        <v>0</v>
      </c>
      <c r="V828" s="8">
        <f t="shared" ca="1" si="404"/>
        <v>0</v>
      </c>
      <c r="W828" s="11" t="str">
        <f t="shared" ca="1" si="405"/>
        <v/>
      </c>
      <c r="X828" s="11" t="str">
        <f t="shared" ca="1" si="406"/>
        <v/>
      </c>
      <c r="Y828" s="11" t="str">
        <f t="shared" ca="1" si="407"/>
        <v/>
      </c>
      <c r="Z828" s="11" t="str">
        <f t="shared" ca="1" si="408"/>
        <v/>
      </c>
      <c r="AA828" s="11" t="str">
        <f t="shared" ca="1" si="409"/>
        <v/>
      </c>
      <c r="AB828" s="47">
        <f ca="1">PlayerGameData[[#This Row],[3FGA]]+PlayerGameData[[#This Row],[2FGA]]</f>
        <v>0</v>
      </c>
      <c r="AC828" s="47">
        <f ca="1">PlayerGameData[[#This Row],[OFF REB]]+PlayerGameData[[#This Row],[DEF REB]]</f>
        <v>0</v>
      </c>
      <c r="AD828" s="8">
        <f t="shared" si="390"/>
        <v>35</v>
      </c>
      <c r="AE828" s="8" t="str">
        <f t="shared" ca="1" si="391"/>
        <v>Carson Barritt, 14 - 0 1/0/1900</v>
      </c>
      <c r="AF828" s="8" t="str">
        <f t="shared" ca="1" si="410"/>
        <v/>
      </c>
      <c r="AG828" s="8" t="str">
        <f ca="1">IFERROR(IF(C828=0,"",IF(AND(VLOOKUP(PlayerGameData[[#This Row],[Opponent]],WYTeamInfo,2,FALSE)=Roster!$D$1,VLOOKUP(PlayerGameData[[#This Row],[Opponent]],WYTeamInfo,3,FALSE)=Roster!$D$2),"SR","")),"")</f>
        <v/>
      </c>
      <c r="AH828" s="8" t="str">
        <f>CONCATENATE(Roster!$D$1," ",Roster!$D$5)</f>
        <v>1A BB</v>
      </c>
      <c r="AI828" s="8" t="str">
        <f t="shared" ca="1" si="392"/>
        <v>Blank</v>
      </c>
      <c r="AJ828" s="8">
        <f ca="1">IFERROR(VLOOKUP(PlayerGameData[[#This Row],[School, Opponent,Game'#]],Table3[],2,FALSE),0)</f>
        <v>0</v>
      </c>
      <c r="AK828" s="8">
        <f ca="1">IF(PlayerGameData[[#This Row],[Visible]]=1,1,1000)</f>
        <v>1000</v>
      </c>
      <c r="AL828" s="8">
        <f ca="1">RANK(PlayerGameData[[#This Row],[TL PTS]],PlayerGameData[TL PTS],0)+PlayerGameData[[#This Row],[VisibleOrder]]</f>
        <v>1184</v>
      </c>
      <c r="AM828" s="8">
        <f ca="1">IF(COUNTIF(PlayerGameData[PointOrder],PlayerGameData[[#This Row],[PointOrder]])&gt;1,RANK(PlayerGameData[[#This Row],[FGA]],PlayerGameData[FGA],0)/100,0)+PlayerGameData[[#This Row],[PointOrder]]</f>
        <v>1186.1400000000001</v>
      </c>
      <c r="AN828" s="8">
        <f ca="1">RANK(PlayerGameData[[#This Row],[PointTieBreak]],PlayerGameData[PointTieBreak],1)</f>
        <v>625</v>
      </c>
      <c r="AO828" s="8">
        <f ca="1">RANK(PlayerGameData[[#This Row],[REB]],PlayerGameData[REB],0)+PlayerGameData[[#This Row],[VisibleOrder]]</f>
        <v>1191</v>
      </c>
      <c r="AP828" s="8">
        <f ca="1">IF(COUNTIF(PlayerGameData[REBOrder],PlayerGameData[[#This Row],[REBOrder]])&gt;1,PlayerGameData[[#This Row],[PointRank]]/100+PlayerGameData[[#This Row],[REBOrder]],PlayerGameData[[#This Row],[REBOrder]])</f>
        <v>1197.25</v>
      </c>
      <c r="AQ828" s="8">
        <f ca="1">RANK(PlayerGameData[[#This Row],[REBTieBreak]],PlayerGameData[REBTieBreak],1)</f>
        <v>625</v>
      </c>
      <c r="AR828" s="8">
        <f ca="1">RANK(PlayerGameData[[#This Row],[AST]],PlayerGameData[AST],0)+PlayerGameData[[#This Row],[VisibleOrder]]</f>
        <v>1157</v>
      </c>
      <c r="AS828" s="8">
        <f ca="1">IF(COUNTIF(PlayerGameData[ASTOrder],PlayerGameData[[#This Row],[ASTOrder]])&gt;1,PlayerGameData[[#This Row],[PointRank]]/100+PlayerGameData[[#This Row],[ASTOrder]],PlayerGameData[[#This Row],[ASTOrder]])</f>
        <v>1163.25</v>
      </c>
      <c r="AT828" s="8">
        <f ca="1">RANK(PlayerGameData[[#This Row],[ASTTieBreak]],PlayerGameData[ASTTieBreak],1)</f>
        <v>625</v>
      </c>
      <c r="AU828" s="8">
        <f ca="1">RANK(PlayerGameData[[#This Row],[STL]],PlayerGameData[STL],0)+PlayerGameData[[#This Row],[VisibleOrder]]</f>
        <v>1142</v>
      </c>
      <c r="AV828" s="8">
        <f ca="1">IF(COUNTIF(PlayerGameData[STLOrder],PlayerGameData[[#This Row],[STLOrder]])&gt;1,PlayerGameData[[#This Row],[PointRank]]/100+PlayerGameData[[#This Row],[STLOrder]],PlayerGameData[[#This Row],[STLOrder]])</f>
        <v>1148.25</v>
      </c>
      <c r="AW828" s="8">
        <f ca="1">RANK(PlayerGameData[[#This Row],[STLTieBreak]],PlayerGameData[STLTieBreak],1)</f>
        <v>625</v>
      </c>
      <c r="AX828" s="8">
        <f ca="1">RANK(PlayerGameData[[#This Row],[BLK]],PlayerGameData[BLK],0)+PlayerGameData[[#This Row],[VisibleOrder]]</f>
        <v>1031</v>
      </c>
      <c r="AY828" s="8">
        <f ca="1">IF(COUNTIF(PlayerGameData[BLKOrder],PlayerGameData[[#This Row],[BLKOrder]])&gt;1,PlayerGameData[[#This Row],[PointRank]]/100+PlayerGameData[[#This Row],[BLKOrder]],PlayerGameData[[#This Row],[BLKOrder]])</f>
        <v>1037.25</v>
      </c>
      <c r="AZ828" s="8">
        <f ca="1">RANK(PlayerGameData[[#This Row],[BLKTieBreak]],PlayerGameData[BLKTieBreak],1)</f>
        <v>625</v>
      </c>
      <c r="BA828" s="11">
        <f ca="1">IFERROR(IF(PlayerGameData[[#This Row],[FGA]]&gt;$AA$5,PlayerGameData[[#This Row],[FG%*]],PlayerGameData[[#This Row],[FG%*]]*-1),-2)</f>
        <v>-2</v>
      </c>
      <c r="BB828" s="8">
        <f ca="1">RANK(PlayerGameData[[#This Row],[EligFG]],PlayerGameData[EligFG],0)+PlayerGameData[[#This Row],[VisibleOrder]]</f>
        <v>1214</v>
      </c>
      <c r="BC828" s="8">
        <f ca="1">IF(COUNTIF(PlayerGameData[EligFGOrder],PlayerGameData[[#This Row],[EligFGOrder]])&gt;1,PlayerGameData[[#This Row],[PointRank]]/100+PlayerGameData[[#This Row],[EligFGOrder]],PlayerGameData[[#This Row],[EligFGOrder]])</f>
        <v>1220.25</v>
      </c>
      <c r="BD828" s="8">
        <f ca="1">RANK(PlayerGameData[[#This Row],[EligFGTieBreak]],PlayerGameData[EligFGTieBreak],1)</f>
        <v>625</v>
      </c>
      <c r="BE828" s="8" t="str">
        <f>Roster!$D$3</f>
        <v>East</v>
      </c>
      <c r="BF828" s="8" t="str">
        <f>Roster!$D$2</f>
        <v>Northeast</v>
      </c>
      <c r="BG828" s="8" t="str">
        <f>Roster!$D$4</f>
        <v>North</v>
      </c>
      <c r="BH828" s="197">
        <f ca="1">IFERROR(VLOOKUP(CONCATENATE(PlayerGameData[[#This Row],[Opponent]]," ",MONTH(PlayerGameData[[#This Row],[Date]]),"/",DAY(PlayerGameData[[#This Row],[Date]]),"/",YEAR(PlayerGameData[[#This Row],[Date]])),Table35[],2,FALSE),0)</f>
        <v>0</v>
      </c>
      <c r="BI828" s="197">
        <f ca="1">IF(PlayerGameData[[#This Row],[Visible]]=1,1,1000)</f>
        <v>1000</v>
      </c>
      <c r="BJ828" s="197" t="e">
        <f ca="1">_xlfn.MAXIFS(TeamGameData[Win],TeamGameData[School, Opponent,Game'#],PlayerGameData[[#This Row],[School, Opponent,Game'#]])</f>
        <v>#NAME?</v>
      </c>
      <c r="BK828" s="197" t="e">
        <f ca="1">_xlfn.MAXIFS(TeamGameData[Loss],TeamGameData[School, Opponent,Game'#],PlayerGameData[[#This Row],[School, Opponent,Game'#]])</f>
        <v>#NAME?</v>
      </c>
    </row>
    <row r="829" spans="1:63" x14ac:dyDescent="0.25">
      <c r="A829" s="8" t="str">
        <f t="shared" ca="1" si="393"/>
        <v>Ben Carpenter, 21</v>
      </c>
      <c r="B829" s="8" t="str">
        <f>Roster!$B$1</f>
        <v>Upton</v>
      </c>
      <c r="C829" s="8">
        <f t="shared" ca="1" si="381"/>
        <v>0</v>
      </c>
      <c r="D829" s="10">
        <f t="shared" ca="1" si="382"/>
        <v>0</v>
      </c>
      <c r="E829" s="8">
        <f t="shared" ca="1" si="383"/>
        <v>0</v>
      </c>
      <c r="F829" s="8">
        <f t="shared" ca="1" si="384"/>
        <v>0</v>
      </c>
      <c r="G829" s="8">
        <f t="shared" ca="1" si="385"/>
        <v>0</v>
      </c>
      <c r="H829" s="8">
        <f t="shared" ca="1" si="386"/>
        <v>0</v>
      </c>
      <c r="I829" s="8">
        <f t="shared" ca="1" si="387"/>
        <v>0</v>
      </c>
      <c r="J829" s="8">
        <f t="shared" ca="1" si="388"/>
        <v>0</v>
      </c>
      <c r="K829" s="8">
        <f t="shared" ca="1" si="389"/>
        <v>0</v>
      </c>
      <c r="L829" s="8">
        <f t="shared" ca="1" si="394"/>
        <v>0</v>
      </c>
      <c r="M829" s="8">
        <f t="shared" ca="1" si="395"/>
        <v>0</v>
      </c>
      <c r="N829" s="8">
        <f t="shared" ca="1" si="396"/>
        <v>0</v>
      </c>
      <c r="O829" s="8">
        <f t="shared" ca="1" si="397"/>
        <v>0</v>
      </c>
      <c r="P829" s="8">
        <f t="shared" ca="1" si="398"/>
        <v>0</v>
      </c>
      <c r="Q829" s="8">
        <f t="shared" ca="1" si="399"/>
        <v>0</v>
      </c>
      <c r="R829" s="8">
        <f t="shared" ca="1" si="400"/>
        <v>0</v>
      </c>
      <c r="S829" s="8">
        <f t="shared" ca="1" si="401"/>
        <v>0</v>
      </c>
      <c r="T829" s="8">
        <f t="shared" ca="1" si="402"/>
        <v>0</v>
      </c>
      <c r="U829" s="8">
        <f t="shared" ca="1" si="403"/>
        <v>0</v>
      </c>
      <c r="V829" s="8">
        <f t="shared" ca="1" si="404"/>
        <v>0</v>
      </c>
      <c r="W829" s="11" t="str">
        <f t="shared" ca="1" si="405"/>
        <v/>
      </c>
      <c r="X829" s="11" t="str">
        <f t="shared" ca="1" si="406"/>
        <v/>
      </c>
      <c r="Y829" s="11" t="str">
        <f t="shared" ca="1" si="407"/>
        <v/>
      </c>
      <c r="Z829" s="11" t="str">
        <f t="shared" ca="1" si="408"/>
        <v/>
      </c>
      <c r="AA829" s="11" t="str">
        <f t="shared" ca="1" si="409"/>
        <v/>
      </c>
      <c r="AB829" s="47">
        <f ca="1">PlayerGameData[[#This Row],[3FGA]]+PlayerGameData[[#This Row],[2FGA]]</f>
        <v>0</v>
      </c>
      <c r="AC829" s="47">
        <f ca="1">PlayerGameData[[#This Row],[OFF REB]]+PlayerGameData[[#This Row],[DEF REB]]</f>
        <v>0</v>
      </c>
      <c r="AD829" s="8">
        <f t="shared" si="390"/>
        <v>35</v>
      </c>
      <c r="AE829" s="8" t="str">
        <f t="shared" ca="1" si="391"/>
        <v>Ben Carpenter, 21 - 0 1/0/1900</v>
      </c>
      <c r="AF829" s="8" t="str">
        <f t="shared" ca="1" si="410"/>
        <v/>
      </c>
      <c r="AG829" s="8" t="str">
        <f ca="1">IFERROR(IF(C829=0,"",IF(AND(VLOOKUP(PlayerGameData[[#This Row],[Opponent]],WYTeamInfo,2,FALSE)=Roster!$D$1,VLOOKUP(PlayerGameData[[#This Row],[Opponent]],WYTeamInfo,3,FALSE)=Roster!$D$2),"SR","")),"")</f>
        <v/>
      </c>
      <c r="AH829" s="8" t="str">
        <f>CONCATENATE(Roster!$D$1," ",Roster!$D$5)</f>
        <v>1A BB</v>
      </c>
      <c r="AI829" s="8" t="str">
        <f t="shared" ca="1" si="392"/>
        <v>Blank</v>
      </c>
      <c r="AJ829" s="8">
        <f ca="1">IFERROR(VLOOKUP(PlayerGameData[[#This Row],[School, Opponent,Game'#]],Table3[],2,FALSE),0)</f>
        <v>0</v>
      </c>
      <c r="AK829" s="8">
        <f ca="1">IF(PlayerGameData[[#This Row],[Visible]]=1,1,1000)</f>
        <v>1000</v>
      </c>
      <c r="AL829" s="8">
        <f ca="1">RANK(PlayerGameData[[#This Row],[TL PTS]],PlayerGameData[TL PTS],0)+PlayerGameData[[#This Row],[VisibleOrder]]</f>
        <v>1184</v>
      </c>
      <c r="AM829" s="8">
        <f ca="1">IF(COUNTIF(PlayerGameData[PointOrder],PlayerGameData[[#This Row],[PointOrder]])&gt;1,RANK(PlayerGameData[[#This Row],[FGA]],PlayerGameData[FGA],0)/100,0)+PlayerGameData[[#This Row],[PointOrder]]</f>
        <v>1186.1400000000001</v>
      </c>
      <c r="AN829" s="8">
        <f ca="1">RANK(PlayerGameData[[#This Row],[PointTieBreak]],PlayerGameData[PointTieBreak],1)</f>
        <v>625</v>
      </c>
      <c r="AO829" s="8">
        <f ca="1">RANK(PlayerGameData[[#This Row],[REB]],PlayerGameData[REB],0)+PlayerGameData[[#This Row],[VisibleOrder]]</f>
        <v>1191</v>
      </c>
      <c r="AP829" s="8">
        <f ca="1">IF(COUNTIF(PlayerGameData[REBOrder],PlayerGameData[[#This Row],[REBOrder]])&gt;1,PlayerGameData[[#This Row],[PointRank]]/100+PlayerGameData[[#This Row],[REBOrder]],PlayerGameData[[#This Row],[REBOrder]])</f>
        <v>1197.25</v>
      </c>
      <c r="AQ829" s="8">
        <f ca="1">RANK(PlayerGameData[[#This Row],[REBTieBreak]],PlayerGameData[REBTieBreak],1)</f>
        <v>625</v>
      </c>
      <c r="AR829" s="8">
        <f ca="1">RANK(PlayerGameData[[#This Row],[AST]],PlayerGameData[AST],0)+PlayerGameData[[#This Row],[VisibleOrder]]</f>
        <v>1157</v>
      </c>
      <c r="AS829" s="8">
        <f ca="1">IF(COUNTIF(PlayerGameData[ASTOrder],PlayerGameData[[#This Row],[ASTOrder]])&gt;1,PlayerGameData[[#This Row],[PointRank]]/100+PlayerGameData[[#This Row],[ASTOrder]],PlayerGameData[[#This Row],[ASTOrder]])</f>
        <v>1163.25</v>
      </c>
      <c r="AT829" s="8">
        <f ca="1">RANK(PlayerGameData[[#This Row],[ASTTieBreak]],PlayerGameData[ASTTieBreak],1)</f>
        <v>625</v>
      </c>
      <c r="AU829" s="8">
        <f ca="1">RANK(PlayerGameData[[#This Row],[STL]],PlayerGameData[STL],0)+PlayerGameData[[#This Row],[VisibleOrder]]</f>
        <v>1142</v>
      </c>
      <c r="AV829" s="8">
        <f ca="1">IF(COUNTIF(PlayerGameData[STLOrder],PlayerGameData[[#This Row],[STLOrder]])&gt;1,PlayerGameData[[#This Row],[PointRank]]/100+PlayerGameData[[#This Row],[STLOrder]],PlayerGameData[[#This Row],[STLOrder]])</f>
        <v>1148.25</v>
      </c>
      <c r="AW829" s="8">
        <f ca="1">RANK(PlayerGameData[[#This Row],[STLTieBreak]],PlayerGameData[STLTieBreak],1)</f>
        <v>625</v>
      </c>
      <c r="AX829" s="8">
        <f ca="1">RANK(PlayerGameData[[#This Row],[BLK]],PlayerGameData[BLK],0)+PlayerGameData[[#This Row],[VisibleOrder]]</f>
        <v>1031</v>
      </c>
      <c r="AY829" s="8">
        <f ca="1">IF(COUNTIF(PlayerGameData[BLKOrder],PlayerGameData[[#This Row],[BLKOrder]])&gt;1,PlayerGameData[[#This Row],[PointRank]]/100+PlayerGameData[[#This Row],[BLKOrder]],PlayerGameData[[#This Row],[BLKOrder]])</f>
        <v>1037.25</v>
      </c>
      <c r="AZ829" s="8">
        <f ca="1">RANK(PlayerGameData[[#This Row],[BLKTieBreak]],PlayerGameData[BLKTieBreak],1)</f>
        <v>625</v>
      </c>
      <c r="BA829" s="11">
        <f ca="1">IFERROR(IF(PlayerGameData[[#This Row],[FGA]]&gt;$AA$5,PlayerGameData[[#This Row],[FG%*]],PlayerGameData[[#This Row],[FG%*]]*-1),-2)</f>
        <v>-2</v>
      </c>
      <c r="BB829" s="8">
        <f ca="1">RANK(PlayerGameData[[#This Row],[EligFG]],PlayerGameData[EligFG],0)+PlayerGameData[[#This Row],[VisibleOrder]]</f>
        <v>1214</v>
      </c>
      <c r="BC829" s="8">
        <f ca="1">IF(COUNTIF(PlayerGameData[EligFGOrder],PlayerGameData[[#This Row],[EligFGOrder]])&gt;1,PlayerGameData[[#This Row],[PointRank]]/100+PlayerGameData[[#This Row],[EligFGOrder]],PlayerGameData[[#This Row],[EligFGOrder]])</f>
        <v>1220.25</v>
      </c>
      <c r="BD829" s="8">
        <f ca="1">RANK(PlayerGameData[[#This Row],[EligFGTieBreak]],PlayerGameData[EligFGTieBreak],1)</f>
        <v>625</v>
      </c>
      <c r="BE829" s="8" t="str">
        <f>Roster!$D$3</f>
        <v>East</v>
      </c>
      <c r="BF829" s="8" t="str">
        <f>Roster!$D$2</f>
        <v>Northeast</v>
      </c>
      <c r="BG829" s="8" t="str">
        <f>Roster!$D$4</f>
        <v>North</v>
      </c>
      <c r="BH829" s="197">
        <f ca="1">IFERROR(VLOOKUP(CONCATENATE(PlayerGameData[[#This Row],[Opponent]]," ",MONTH(PlayerGameData[[#This Row],[Date]]),"/",DAY(PlayerGameData[[#This Row],[Date]]),"/",YEAR(PlayerGameData[[#This Row],[Date]])),Table35[],2,FALSE),0)</f>
        <v>0</v>
      </c>
      <c r="BI829" s="197">
        <f ca="1">IF(PlayerGameData[[#This Row],[Visible]]=1,1,1000)</f>
        <v>1000</v>
      </c>
      <c r="BJ829" s="197" t="e">
        <f ca="1">_xlfn.MAXIFS(TeamGameData[Win],TeamGameData[School, Opponent,Game'#],PlayerGameData[[#This Row],[School, Opponent,Game'#]])</f>
        <v>#NAME?</v>
      </c>
      <c r="BK829" s="197" t="e">
        <f ca="1">_xlfn.MAXIFS(TeamGameData[Loss],TeamGameData[School, Opponent,Game'#],PlayerGameData[[#This Row],[School, Opponent,Game'#]])</f>
        <v>#NAME?</v>
      </c>
    </row>
    <row r="830" spans="1:63" x14ac:dyDescent="0.25">
      <c r="A830" s="8" t="str">
        <f t="shared" ca="1" si="393"/>
        <v>Ethan Schiller, 23</v>
      </c>
      <c r="B830" s="8" t="str">
        <f>Roster!$B$1</f>
        <v>Upton</v>
      </c>
      <c r="C830" s="8">
        <f t="shared" ca="1" si="381"/>
        <v>0</v>
      </c>
      <c r="D830" s="10">
        <f t="shared" ca="1" si="382"/>
        <v>0</v>
      </c>
      <c r="E830" s="8">
        <f t="shared" ca="1" si="383"/>
        <v>0</v>
      </c>
      <c r="F830" s="8">
        <f t="shared" ca="1" si="384"/>
        <v>0</v>
      </c>
      <c r="G830" s="8">
        <f t="shared" ca="1" si="385"/>
        <v>0</v>
      </c>
      <c r="H830" s="8">
        <f t="shared" ca="1" si="386"/>
        <v>0</v>
      </c>
      <c r="I830" s="8">
        <f t="shared" ca="1" si="387"/>
        <v>0</v>
      </c>
      <c r="J830" s="8">
        <f t="shared" ca="1" si="388"/>
        <v>0</v>
      </c>
      <c r="K830" s="8">
        <f t="shared" ca="1" si="389"/>
        <v>0</v>
      </c>
      <c r="L830" s="8">
        <f t="shared" ca="1" si="394"/>
        <v>0</v>
      </c>
      <c r="M830" s="8">
        <f t="shared" ca="1" si="395"/>
        <v>0</v>
      </c>
      <c r="N830" s="8">
        <f t="shared" ca="1" si="396"/>
        <v>0</v>
      </c>
      <c r="O830" s="8">
        <f t="shared" ca="1" si="397"/>
        <v>0</v>
      </c>
      <c r="P830" s="8">
        <f t="shared" ca="1" si="398"/>
        <v>0</v>
      </c>
      <c r="Q830" s="8">
        <f t="shared" ca="1" si="399"/>
        <v>0</v>
      </c>
      <c r="R830" s="8">
        <f t="shared" ca="1" si="400"/>
        <v>0</v>
      </c>
      <c r="S830" s="8">
        <f t="shared" ca="1" si="401"/>
        <v>0</v>
      </c>
      <c r="T830" s="8">
        <f t="shared" ca="1" si="402"/>
        <v>0</v>
      </c>
      <c r="U830" s="8">
        <f t="shared" ca="1" si="403"/>
        <v>0</v>
      </c>
      <c r="V830" s="8">
        <f t="shared" ca="1" si="404"/>
        <v>0</v>
      </c>
      <c r="W830" s="11" t="str">
        <f t="shared" ca="1" si="405"/>
        <v/>
      </c>
      <c r="X830" s="11" t="str">
        <f t="shared" ca="1" si="406"/>
        <v/>
      </c>
      <c r="Y830" s="11" t="str">
        <f t="shared" ca="1" si="407"/>
        <v/>
      </c>
      <c r="Z830" s="11" t="str">
        <f t="shared" ca="1" si="408"/>
        <v/>
      </c>
      <c r="AA830" s="11" t="str">
        <f t="shared" ca="1" si="409"/>
        <v/>
      </c>
      <c r="AB830" s="47">
        <f ca="1">PlayerGameData[[#This Row],[3FGA]]+PlayerGameData[[#This Row],[2FGA]]</f>
        <v>0</v>
      </c>
      <c r="AC830" s="47">
        <f ca="1">PlayerGameData[[#This Row],[OFF REB]]+PlayerGameData[[#This Row],[DEF REB]]</f>
        <v>0</v>
      </c>
      <c r="AD830" s="8">
        <f t="shared" si="390"/>
        <v>35</v>
      </c>
      <c r="AE830" s="8" t="str">
        <f t="shared" ca="1" si="391"/>
        <v>Ethan Schiller, 23 - 0 1/0/1900</v>
      </c>
      <c r="AF830" s="8" t="str">
        <f t="shared" ca="1" si="410"/>
        <v/>
      </c>
      <c r="AG830" s="8" t="str">
        <f ca="1">IFERROR(IF(C830=0,"",IF(AND(VLOOKUP(PlayerGameData[[#This Row],[Opponent]],WYTeamInfo,2,FALSE)=Roster!$D$1,VLOOKUP(PlayerGameData[[#This Row],[Opponent]],WYTeamInfo,3,FALSE)=Roster!$D$2),"SR","")),"")</f>
        <v/>
      </c>
      <c r="AH830" s="8" t="str">
        <f>CONCATENATE(Roster!$D$1," ",Roster!$D$5)</f>
        <v>1A BB</v>
      </c>
      <c r="AI830" s="8" t="str">
        <f t="shared" ca="1" si="392"/>
        <v>Blank</v>
      </c>
      <c r="AJ830" s="8">
        <f ca="1">IFERROR(VLOOKUP(PlayerGameData[[#This Row],[School, Opponent,Game'#]],Table3[],2,FALSE),0)</f>
        <v>0</v>
      </c>
      <c r="AK830" s="8">
        <f ca="1">IF(PlayerGameData[[#This Row],[Visible]]=1,1,1000)</f>
        <v>1000</v>
      </c>
      <c r="AL830" s="8">
        <f ca="1">RANK(PlayerGameData[[#This Row],[TL PTS]],PlayerGameData[TL PTS],0)+PlayerGameData[[#This Row],[VisibleOrder]]</f>
        <v>1184</v>
      </c>
      <c r="AM830" s="8">
        <f ca="1">IF(COUNTIF(PlayerGameData[PointOrder],PlayerGameData[[#This Row],[PointOrder]])&gt;1,RANK(PlayerGameData[[#This Row],[FGA]],PlayerGameData[FGA],0)/100,0)+PlayerGameData[[#This Row],[PointOrder]]</f>
        <v>1186.1400000000001</v>
      </c>
      <c r="AN830" s="8">
        <f ca="1">RANK(PlayerGameData[[#This Row],[PointTieBreak]],PlayerGameData[PointTieBreak],1)</f>
        <v>625</v>
      </c>
      <c r="AO830" s="8">
        <f ca="1">RANK(PlayerGameData[[#This Row],[REB]],PlayerGameData[REB],0)+PlayerGameData[[#This Row],[VisibleOrder]]</f>
        <v>1191</v>
      </c>
      <c r="AP830" s="8">
        <f ca="1">IF(COUNTIF(PlayerGameData[REBOrder],PlayerGameData[[#This Row],[REBOrder]])&gt;1,PlayerGameData[[#This Row],[PointRank]]/100+PlayerGameData[[#This Row],[REBOrder]],PlayerGameData[[#This Row],[REBOrder]])</f>
        <v>1197.25</v>
      </c>
      <c r="AQ830" s="8">
        <f ca="1">RANK(PlayerGameData[[#This Row],[REBTieBreak]],PlayerGameData[REBTieBreak],1)</f>
        <v>625</v>
      </c>
      <c r="AR830" s="8">
        <f ca="1">RANK(PlayerGameData[[#This Row],[AST]],PlayerGameData[AST],0)+PlayerGameData[[#This Row],[VisibleOrder]]</f>
        <v>1157</v>
      </c>
      <c r="AS830" s="8">
        <f ca="1">IF(COUNTIF(PlayerGameData[ASTOrder],PlayerGameData[[#This Row],[ASTOrder]])&gt;1,PlayerGameData[[#This Row],[PointRank]]/100+PlayerGameData[[#This Row],[ASTOrder]],PlayerGameData[[#This Row],[ASTOrder]])</f>
        <v>1163.25</v>
      </c>
      <c r="AT830" s="8">
        <f ca="1">RANK(PlayerGameData[[#This Row],[ASTTieBreak]],PlayerGameData[ASTTieBreak],1)</f>
        <v>625</v>
      </c>
      <c r="AU830" s="8">
        <f ca="1">RANK(PlayerGameData[[#This Row],[STL]],PlayerGameData[STL],0)+PlayerGameData[[#This Row],[VisibleOrder]]</f>
        <v>1142</v>
      </c>
      <c r="AV830" s="8">
        <f ca="1">IF(COUNTIF(PlayerGameData[STLOrder],PlayerGameData[[#This Row],[STLOrder]])&gt;1,PlayerGameData[[#This Row],[PointRank]]/100+PlayerGameData[[#This Row],[STLOrder]],PlayerGameData[[#This Row],[STLOrder]])</f>
        <v>1148.25</v>
      </c>
      <c r="AW830" s="8">
        <f ca="1">RANK(PlayerGameData[[#This Row],[STLTieBreak]],PlayerGameData[STLTieBreak],1)</f>
        <v>625</v>
      </c>
      <c r="AX830" s="8">
        <f ca="1">RANK(PlayerGameData[[#This Row],[BLK]],PlayerGameData[BLK],0)+PlayerGameData[[#This Row],[VisibleOrder]]</f>
        <v>1031</v>
      </c>
      <c r="AY830" s="8">
        <f ca="1">IF(COUNTIF(PlayerGameData[BLKOrder],PlayerGameData[[#This Row],[BLKOrder]])&gt;1,PlayerGameData[[#This Row],[PointRank]]/100+PlayerGameData[[#This Row],[BLKOrder]],PlayerGameData[[#This Row],[BLKOrder]])</f>
        <v>1037.25</v>
      </c>
      <c r="AZ830" s="8">
        <f ca="1">RANK(PlayerGameData[[#This Row],[BLKTieBreak]],PlayerGameData[BLKTieBreak],1)</f>
        <v>625</v>
      </c>
      <c r="BA830" s="11">
        <f ca="1">IFERROR(IF(PlayerGameData[[#This Row],[FGA]]&gt;$AA$5,PlayerGameData[[#This Row],[FG%*]],PlayerGameData[[#This Row],[FG%*]]*-1),-2)</f>
        <v>-2</v>
      </c>
      <c r="BB830" s="8">
        <f ca="1">RANK(PlayerGameData[[#This Row],[EligFG]],PlayerGameData[EligFG],0)+PlayerGameData[[#This Row],[VisibleOrder]]</f>
        <v>1214</v>
      </c>
      <c r="BC830" s="8">
        <f ca="1">IF(COUNTIF(PlayerGameData[EligFGOrder],PlayerGameData[[#This Row],[EligFGOrder]])&gt;1,PlayerGameData[[#This Row],[PointRank]]/100+PlayerGameData[[#This Row],[EligFGOrder]],PlayerGameData[[#This Row],[EligFGOrder]])</f>
        <v>1220.25</v>
      </c>
      <c r="BD830" s="8">
        <f ca="1">RANK(PlayerGameData[[#This Row],[EligFGTieBreak]],PlayerGameData[EligFGTieBreak],1)</f>
        <v>625</v>
      </c>
      <c r="BE830" s="8" t="str">
        <f>Roster!$D$3</f>
        <v>East</v>
      </c>
      <c r="BF830" s="8" t="str">
        <f>Roster!$D$2</f>
        <v>Northeast</v>
      </c>
      <c r="BG830" s="8" t="str">
        <f>Roster!$D$4</f>
        <v>North</v>
      </c>
      <c r="BH830" s="197">
        <f ca="1">IFERROR(VLOOKUP(CONCATENATE(PlayerGameData[[#This Row],[Opponent]]," ",MONTH(PlayerGameData[[#This Row],[Date]]),"/",DAY(PlayerGameData[[#This Row],[Date]]),"/",YEAR(PlayerGameData[[#This Row],[Date]])),Table35[],2,FALSE),0)</f>
        <v>0</v>
      </c>
      <c r="BI830" s="197">
        <f ca="1">IF(PlayerGameData[[#This Row],[Visible]]=1,1,1000)</f>
        <v>1000</v>
      </c>
      <c r="BJ830" s="197" t="e">
        <f ca="1">_xlfn.MAXIFS(TeamGameData[Win],TeamGameData[School, Opponent,Game'#],PlayerGameData[[#This Row],[School, Opponent,Game'#]])</f>
        <v>#NAME?</v>
      </c>
      <c r="BK830" s="197" t="e">
        <f ca="1">_xlfn.MAXIFS(TeamGameData[Loss],TeamGameData[School, Opponent,Game'#],PlayerGameData[[#This Row],[School, Opponent,Game'#]])</f>
        <v>#NAME?</v>
      </c>
    </row>
    <row r="831" spans="1:63" x14ac:dyDescent="0.25">
      <c r="A831" s="8" t="str">
        <f t="shared" ca="1" si="393"/>
        <v>Bridger Bruce, 25</v>
      </c>
      <c r="B831" s="8" t="str">
        <f>Roster!$B$1</f>
        <v>Upton</v>
      </c>
      <c r="C831" s="8">
        <f t="shared" ca="1" si="381"/>
        <v>0</v>
      </c>
      <c r="D831" s="10">
        <f t="shared" ca="1" si="382"/>
        <v>0</v>
      </c>
      <c r="E831" s="8">
        <f t="shared" ca="1" si="383"/>
        <v>0</v>
      </c>
      <c r="F831" s="8">
        <f t="shared" ca="1" si="384"/>
        <v>0</v>
      </c>
      <c r="G831" s="8">
        <f t="shared" ca="1" si="385"/>
        <v>0</v>
      </c>
      <c r="H831" s="8">
        <f t="shared" ca="1" si="386"/>
        <v>0</v>
      </c>
      <c r="I831" s="8">
        <f t="shared" ca="1" si="387"/>
        <v>0</v>
      </c>
      <c r="J831" s="8">
        <f t="shared" ca="1" si="388"/>
        <v>0</v>
      </c>
      <c r="K831" s="8">
        <f t="shared" ca="1" si="389"/>
        <v>0</v>
      </c>
      <c r="L831" s="8">
        <f t="shared" ca="1" si="394"/>
        <v>0</v>
      </c>
      <c r="M831" s="8">
        <f t="shared" ca="1" si="395"/>
        <v>0</v>
      </c>
      <c r="N831" s="8">
        <f t="shared" ca="1" si="396"/>
        <v>0</v>
      </c>
      <c r="O831" s="8">
        <f t="shared" ca="1" si="397"/>
        <v>0</v>
      </c>
      <c r="P831" s="8">
        <f t="shared" ca="1" si="398"/>
        <v>0</v>
      </c>
      <c r="Q831" s="8">
        <f t="shared" ca="1" si="399"/>
        <v>0</v>
      </c>
      <c r="R831" s="8">
        <f t="shared" ca="1" si="400"/>
        <v>0</v>
      </c>
      <c r="S831" s="8">
        <f t="shared" ca="1" si="401"/>
        <v>0</v>
      </c>
      <c r="T831" s="8">
        <f t="shared" ca="1" si="402"/>
        <v>0</v>
      </c>
      <c r="U831" s="8">
        <f t="shared" ca="1" si="403"/>
        <v>0</v>
      </c>
      <c r="V831" s="8">
        <f t="shared" ca="1" si="404"/>
        <v>0</v>
      </c>
      <c r="W831" s="11" t="str">
        <f t="shared" ca="1" si="405"/>
        <v/>
      </c>
      <c r="X831" s="11" t="str">
        <f t="shared" ca="1" si="406"/>
        <v/>
      </c>
      <c r="Y831" s="11" t="str">
        <f t="shared" ca="1" si="407"/>
        <v/>
      </c>
      <c r="Z831" s="11" t="str">
        <f t="shared" ca="1" si="408"/>
        <v/>
      </c>
      <c r="AA831" s="11" t="str">
        <f t="shared" ca="1" si="409"/>
        <v/>
      </c>
      <c r="AB831" s="47">
        <f ca="1">PlayerGameData[[#This Row],[3FGA]]+PlayerGameData[[#This Row],[2FGA]]</f>
        <v>0</v>
      </c>
      <c r="AC831" s="47">
        <f ca="1">PlayerGameData[[#This Row],[OFF REB]]+PlayerGameData[[#This Row],[DEF REB]]</f>
        <v>0</v>
      </c>
      <c r="AD831" s="8">
        <f t="shared" si="390"/>
        <v>35</v>
      </c>
      <c r="AE831" s="8" t="str">
        <f t="shared" ca="1" si="391"/>
        <v>Bridger Bruce, 25 - 0 1/0/1900</v>
      </c>
      <c r="AF831" s="8" t="str">
        <f t="shared" ca="1" si="410"/>
        <v/>
      </c>
      <c r="AG831" s="8" t="str">
        <f ca="1">IFERROR(IF(C831=0,"",IF(AND(VLOOKUP(PlayerGameData[[#This Row],[Opponent]],WYTeamInfo,2,FALSE)=Roster!$D$1,VLOOKUP(PlayerGameData[[#This Row],[Opponent]],WYTeamInfo,3,FALSE)=Roster!$D$2),"SR","")),"")</f>
        <v/>
      </c>
      <c r="AH831" s="8" t="str">
        <f>CONCATENATE(Roster!$D$1," ",Roster!$D$5)</f>
        <v>1A BB</v>
      </c>
      <c r="AI831" s="8" t="str">
        <f t="shared" ca="1" si="392"/>
        <v>Blank</v>
      </c>
      <c r="AJ831" s="8">
        <f ca="1">IFERROR(VLOOKUP(PlayerGameData[[#This Row],[School, Opponent,Game'#]],Table3[],2,FALSE),0)</f>
        <v>0</v>
      </c>
      <c r="AK831" s="8">
        <f ca="1">IF(PlayerGameData[[#This Row],[Visible]]=1,1,1000)</f>
        <v>1000</v>
      </c>
      <c r="AL831" s="8">
        <f ca="1">RANK(PlayerGameData[[#This Row],[TL PTS]],PlayerGameData[TL PTS],0)+PlayerGameData[[#This Row],[VisibleOrder]]</f>
        <v>1184</v>
      </c>
      <c r="AM831" s="8">
        <f ca="1">IF(COUNTIF(PlayerGameData[PointOrder],PlayerGameData[[#This Row],[PointOrder]])&gt;1,RANK(PlayerGameData[[#This Row],[FGA]],PlayerGameData[FGA],0)/100,0)+PlayerGameData[[#This Row],[PointOrder]]</f>
        <v>1186.1400000000001</v>
      </c>
      <c r="AN831" s="8">
        <f ca="1">RANK(PlayerGameData[[#This Row],[PointTieBreak]],PlayerGameData[PointTieBreak],1)</f>
        <v>625</v>
      </c>
      <c r="AO831" s="8">
        <f ca="1">RANK(PlayerGameData[[#This Row],[REB]],PlayerGameData[REB],0)+PlayerGameData[[#This Row],[VisibleOrder]]</f>
        <v>1191</v>
      </c>
      <c r="AP831" s="8">
        <f ca="1">IF(COUNTIF(PlayerGameData[REBOrder],PlayerGameData[[#This Row],[REBOrder]])&gt;1,PlayerGameData[[#This Row],[PointRank]]/100+PlayerGameData[[#This Row],[REBOrder]],PlayerGameData[[#This Row],[REBOrder]])</f>
        <v>1197.25</v>
      </c>
      <c r="AQ831" s="8">
        <f ca="1">RANK(PlayerGameData[[#This Row],[REBTieBreak]],PlayerGameData[REBTieBreak],1)</f>
        <v>625</v>
      </c>
      <c r="AR831" s="8">
        <f ca="1">RANK(PlayerGameData[[#This Row],[AST]],PlayerGameData[AST],0)+PlayerGameData[[#This Row],[VisibleOrder]]</f>
        <v>1157</v>
      </c>
      <c r="AS831" s="8">
        <f ca="1">IF(COUNTIF(PlayerGameData[ASTOrder],PlayerGameData[[#This Row],[ASTOrder]])&gt;1,PlayerGameData[[#This Row],[PointRank]]/100+PlayerGameData[[#This Row],[ASTOrder]],PlayerGameData[[#This Row],[ASTOrder]])</f>
        <v>1163.25</v>
      </c>
      <c r="AT831" s="8">
        <f ca="1">RANK(PlayerGameData[[#This Row],[ASTTieBreak]],PlayerGameData[ASTTieBreak],1)</f>
        <v>625</v>
      </c>
      <c r="AU831" s="8">
        <f ca="1">RANK(PlayerGameData[[#This Row],[STL]],PlayerGameData[STL],0)+PlayerGameData[[#This Row],[VisibleOrder]]</f>
        <v>1142</v>
      </c>
      <c r="AV831" s="8">
        <f ca="1">IF(COUNTIF(PlayerGameData[STLOrder],PlayerGameData[[#This Row],[STLOrder]])&gt;1,PlayerGameData[[#This Row],[PointRank]]/100+PlayerGameData[[#This Row],[STLOrder]],PlayerGameData[[#This Row],[STLOrder]])</f>
        <v>1148.25</v>
      </c>
      <c r="AW831" s="8">
        <f ca="1">RANK(PlayerGameData[[#This Row],[STLTieBreak]],PlayerGameData[STLTieBreak],1)</f>
        <v>625</v>
      </c>
      <c r="AX831" s="8">
        <f ca="1">RANK(PlayerGameData[[#This Row],[BLK]],PlayerGameData[BLK],0)+PlayerGameData[[#This Row],[VisibleOrder]]</f>
        <v>1031</v>
      </c>
      <c r="AY831" s="8">
        <f ca="1">IF(COUNTIF(PlayerGameData[BLKOrder],PlayerGameData[[#This Row],[BLKOrder]])&gt;1,PlayerGameData[[#This Row],[PointRank]]/100+PlayerGameData[[#This Row],[BLKOrder]],PlayerGameData[[#This Row],[BLKOrder]])</f>
        <v>1037.25</v>
      </c>
      <c r="AZ831" s="8">
        <f ca="1">RANK(PlayerGameData[[#This Row],[BLKTieBreak]],PlayerGameData[BLKTieBreak],1)</f>
        <v>625</v>
      </c>
      <c r="BA831" s="11">
        <f ca="1">IFERROR(IF(PlayerGameData[[#This Row],[FGA]]&gt;$AA$5,PlayerGameData[[#This Row],[FG%*]],PlayerGameData[[#This Row],[FG%*]]*-1),-2)</f>
        <v>-2</v>
      </c>
      <c r="BB831" s="8">
        <f ca="1">RANK(PlayerGameData[[#This Row],[EligFG]],PlayerGameData[EligFG],0)+PlayerGameData[[#This Row],[VisibleOrder]]</f>
        <v>1214</v>
      </c>
      <c r="BC831" s="8">
        <f ca="1">IF(COUNTIF(PlayerGameData[EligFGOrder],PlayerGameData[[#This Row],[EligFGOrder]])&gt;1,PlayerGameData[[#This Row],[PointRank]]/100+PlayerGameData[[#This Row],[EligFGOrder]],PlayerGameData[[#This Row],[EligFGOrder]])</f>
        <v>1220.25</v>
      </c>
      <c r="BD831" s="8">
        <f ca="1">RANK(PlayerGameData[[#This Row],[EligFGTieBreak]],PlayerGameData[EligFGTieBreak],1)</f>
        <v>625</v>
      </c>
      <c r="BE831" s="8" t="str">
        <f>Roster!$D$3</f>
        <v>East</v>
      </c>
      <c r="BF831" s="8" t="str">
        <f>Roster!$D$2</f>
        <v>Northeast</v>
      </c>
      <c r="BG831" s="8" t="str">
        <f>Roster!$D$4</f>
        <v>North</v>
      </c>
      <c r="BH831" s="197">
        <f ca="1">IFERROR(VLOOKUP(CONCATENATE(PlayerGameData[[#This Row],[Opponent]]," ",MONTH(PlayerGameData[[#This Row],[Date]]),"/",DAY(PlayerGameData[[#This Row],[Date]]),"/",YEAR(PlayerGameData[[#This Row],[Date]])),Table35[],2,FALSE),0)</f>
        <v>0</v>
      </c>
      <c r="BI831" s="197">
        <f ca="1">IF(PlayerGameData[[#This Row],[Visible]]=1,1,1000)</f>
        <v>1000</v>
      </c>
      <c r="BJ831" s="197" t="e">
        <f ca="1">_xlfn.MAXIFS(TeamGameData[Win],TeamGameData[School, Opponent,Game'#],PlayerGameData[[#This Row],[School, Opponent,Game'#]])</f>
        <v>#NAME?</v>
      </c>
      <c r="BK831" s="197" t="e">
        <f ca="1">_xlfn.MAXIFS(TeamGameData[Loss],TeamGameData[School, Opponent,Game'#],PlayerGameData[[#This Row],[School, Opponent,Game'#]])</f>
        <v>#NAME?</v>
      </c>
    </row>
    <row r="832" spans="1:63" x14ac:dyDescent="0.25">
      <c r="A832" s="8" t="str">
        <f t="shared" ca="1" si="393"/>
        <v>Kailer Duarte, 31</v>
      </c>
      <c r="B832" s="8" t="str">
        <f>Roster!$B$1</f>
        <v>Upton</v>
      </c>
      <c r="C832" s="8">
        <f t="shared" ca="1" si="381"/>
        <v>0</v>
      </c>
      <c r="D832" s="10">
        <f t="shared" ca="1" si="382"/>
        <v>0</v>
      </c>
      <c r="E832" s="8">
        <f t="shared" ca="1" si="383"/>
        <v>0</v>
      </c>
      <c r="F832" s="8">
        <f t="shared" ca="1" si="384"/>
        <v>0</v>
      </c>
      <c r="G832" s="8">
        <f t="shared" ca="1" si="385"/>
        <v>0</v>
      </c>
      <c r="H832" s="8">
        <f t="shared" ca="1" si="386"/>
        <v>0</v>
      </c>
      <c r="I832" s="8">
        <f t="shared" ca="1" si="387"/>
        <v>0</v>
      </c>
      <c r="J832" s="8">
        <f t="shared" ca="1" si="388"/>
        <v>0</v>
      </c>
      <c r="K832" s="8">
        <f t="shared" ca="1" si="389"/>
        <v>0</v>
      </c>
      <c r="L832" s="8">
        <f t="shared" ca="1" si="394"/>
        <v>0</v>
      </c>
      <c r="M832" s="8">
        <f t="shared" ca="1" si="395"/>
        <v>0</v>
      </c>
      <c r="N832" s="8">
        <f t="shared" ca="1" si="396"/>
        <v>0</v>
      </c>
      <c r="O832" s="8">
        <f t="shared" ca="1" si="397"/>
        <v>0</v>
      </c>
      <c r="P832" s="8">
        <f t="shared" ca="1" si="398"/>
        <v>0</v>
      </c>
      <c r="Q832" s="8">
        <f t="shared" ca="1" si="399"/>
        <v>0</v>
      </c>
      <c r="R832" s="8">
        <f t="shared" ca="1" si="400"/>
        <v>0</v>
      </c>
      <c r="S832" s="8">
        <f t="shared" ca="1" si="401"/>
        <v>0</v>
      </c>
      <c r="T832" s="8">
        <f t="shared" ca="1" si="402"/>
        <v>0</v>
      </c>
      <c r="U832" s="8">
        <f t="shared" ca="1" si="403"/>
        <v>0</v>
      </c>
      <c r="V832" s="8">
        <f t="shared" ca="1" si="404"/>
        <v>0</v>
      </c>
      <c r="W832" s="11" t="str">
        <f t="shared" ca="1" si="405"/>
        <v/>
      </c>
      <c r="X832" s="11" t="str">
        <f t="shared" ca="1" si="406"/>
        <v/>
      </c>
      <c r="Y832" s="11" t="str">
        <f t="shared" ca="1" si="407"/>
        <v/>
      </c>
      <c r="Z832" s="11" t="str">
        <f t="shared" ca="1" si="408"/>
        <v/>
      </c>
      <c r="AA832" s="11" t="str">
        <f t="shared" ca="1" si="409"/>
        <v/>
      </c>
      <c r="AB832" s="47">
        <f ca="1">PlayerGameData[[#This Row],[3FGA]]+PlayerGameData[[#This Row],[2FGA]]</f>
        <v>0</v>
      </c>
      <c r="AC832" s="47">
        <f ca="1">PlayerGameData[[#This Row],[OFF REB]]+PlayerGameData[[#This Row],[DEF REB]]</f>
        <v>0</v>
      </c>
      <c r="AD832" s="8">
        <f t="shared" si="390"/>
        <v>35</v>
      </c>
      <c r="AE832" s="8" t="str">
        <f t="shared" ca="1" si="391"/>
        <v>Kailer Duarte, 31 - 0 1/0/1900</v>
      </c>
      <c r="AF832" s="8" t="str">
        <f t="shared" ca="1" si="410"/>
        <v/>
      </c>
      <c r="AG832" s="8" t="str">
        <f ca="1">IFERROR(IF(C832=0,"",IF(AND(VLOOKUP(PlayerGameData[[#This Row],[Opponent]],WYTeamInfo,2,FALSE)=Roster!$D$1,VLOOKUP(PlayerGameData[[#This Row],[Opponent]],WYTeamInfo,3,FALSE)=Roster!$D$2),"SR","")),"")</f>
        <v/>
      </c>
      <c r="AH832" s="8" t="str">
        <f>CONCATENATE(Roster!$D$1," ",Roster!$D$5)</f>
        <v>1A BB</v>
      </c>
      <c r="AI832" s="8" t="str">
        <f t="shared" ca="1" si="392"/>
        <v>Blank</v>
      </c>
      <c r="AJ832" s="8">
        <f ca="1">IFERROR(VLOOKUP(PlayerGameData[[#This Row],[School, Opponent,Game'#]],Table3[],2,FALSE),0)</f>
        <v>0</v>
      </c>
      <c r="AK832" s="8">
        <f ca="1">IF(PlayerGameData[[#This Row],[Visible]]=1,1,1000)</f>
        <v>1000</v>
      </c>
      <c r="AL832" s="8">
        <f ca="1">RANK(PlayerGameData[[#This Row],[TL PTS]],PlayerGameData[TL PTS],0)+PlayerGameData[[#This Row],[VisibleOrder]]</f>
        <v>1184</v>
      </c>
      <c r="AM832" s="8">
        <f ca="1">IF(COUNTIF(PlayerGameData[PointOrder],PlayerGameData[[#This Row],[PointOrder]])&gt;1,RANK(PlayerGameData[[#This Row],[FGA]],PlayerGameData[FGA],0)/100,0)+PlayerGameData[[#This Row],[PointOrder]]</f>
        <v>1186.1400000000001</v>
      </c>
      <c r="AN832" s="8">
        <f ca="1">RANK(PlayerGameData[[#This Row],[PointTieBreak]],PlayerGameData[PointTieBreak],1)</f>
        <v>625</v>
      </c>
      <c r="AO832" s="8">
        <f ca="1">RANK(PlayerGameData[[#This Row],[REB]],PlayerGameData[REB],0)+PlayerGameData[[#This Row],[VisibleOrder]]</f>
        <v>1191</v>
      </c>
      <c r="AP832" s="8">
        <f ca="1">IF(COUNTIF(PlayerGameData[REBOrder],PlayerGameData[[#This Row],[REBOrder]])&gt;1,PlayerGameData[[#This Row],[PointRank]]/100+PlayerGameData[[#This Row],[REBOrder]],PlayerGameData[[#This Row],[REBOrder]])</f>
        <v>1197.25</v>
      </c>
      <c r="AQ832" s="8">
        <f ca="1">RANK(PlayerGameData[[#This Row],[REBTieBreak]],PlayerGameData[REBTieBreak],1)</f>
        <v>625</v>
      </c>
      <c r="AR832" s="8">
        <f ca="1">RANK(PlayerGameData[[#This Row],[AST]],PlayerGameData[AST],0)+PlayerGameData[[#This Row],[VisibleOrder]]</f>
        <v>1157</v>
      </c>
      <c r="AS832" s="8">
        <f ca="1">IF(COUNTIF(PlayerGameData[ASTOrder],PlayerGameData[[#This Row],[ASTOrder]])&gt;1,PlayerGameData[[#This Row],[PointRank]]/100+PlayerGameData[[#This Row],[ASTOrder]],PlayerGameData[[#This Row],[ASTOrder]])</f>
        <v>1163.25</v>
      </c>
      <c r="AT832" s="8">
        <f ca="1">RANK(PlayerGameData[[#This Row],[ASTTieBreak]],PlayerGameData[ASTTieBreak],1)</f>
        <v>625</v>
      </c>
      <c r="AU832" s="8">
        <f ca="1">RANK(PlayerGameData[[#This Row],[STL]],PlayerGameData[STL],0)+PlayerGameData[[#This Row],[VisibleOrder]]</f>
        <v>1142</v>
      </c>
      <c r="AV832" s="8">
        <f ca="1">IF(COUNTIF(PlayerGameData[STLOrder],PlayerGameData[[#This Row],[STLOrder]])&gt;1,PlayerGameData[[#This Row],[PointRank]]/100+PlayerGameData[[#This Row],[STLOrder]],PlayerGameData[[#This Row],[STLOrder]])</f>
        <v>1148.25</v>
      </c>
      <c r="AW832" s="8">
        <f ca="1">RANK(PlayerGameData[[#This Row],[STLTieBreak]],PlayerGameData[STLTieBreak],1)</f>
        <v>625</v>
      </c>
      <c r="AX832" s="8">
        <f ca="1">RANK(PlayerGameData[[#This Row],[BLK]],PlayerGameData[BLK],0)+PlayerGameData[[#This Row],[VisibleOrder]]</f>
        <v>1031</v>
      </c>
      <c r="AY832" s="8">
        <f ca="1">IF(COUNTIF(PlayerGameData[BLKOrder],PlayerGameData[[#This Row],[BLKOrder]])&gt;1,PlayerGameData[[#This Row],[PointRank]]/100+PlayerGameData[[#This Row],[BLKOrder]],PlayerGameData[[#This Row],[BLKOrder]])</f>
        <v>1037.25</v>
      </c>
      <c r="AZ832" s="8">
        <f ca="1">RANK(PlayerGameData[[#This Row],[BLKTieBreak]],PlayerGameData[BLKTieBreak],1)</f>
        <v>625</v>
      </c>
      <c r="BA832" s="11">
        <f ca="1">IFERROR(IF(PlayerGameData[[#This Row],[FGA]]&gt;$AA$5,PlayerGameData[[#This Row],[FG%*]],PlayerGameData[[#This Row],[FG%*]]*-1),-2)</f>
        <v>-2</v>
      </c>
      <c r="BB832" s="8">
        <f ca="1">RANK(PlayerGameData[[#This Row],[EligFG]],PlayerGameData[EligFG],0)+PlayerGameData[[#This Row],[VisibleOrder]]</f>
        <v>1214</v>
      </c>
      <c r="BC832" s="8">
        <f ca="1">IF(COUNTIF(PlayerGameData[EligFGOrder],PlayerGameData[[#This Row],[EligFGOrder]])&gt;1,PlayerGameData[[#This Row],[PointRank]]/100+PlayerGameData[[#This Row],[EligFGOrder]],PlayerGameData[[#This Row],[EligFGOrder]])</f>
        <v>1220.25</v>
      </c>
      <c r="BD832" s="8">
        <f ca="1">RANK(PlayerGameData[[#This Row],[EligFGTieBreak]],PlayerGameData[EligFGTieBreak],1)</f>
        <v>625</v>
      </c>
      <c r="BE832" s="8" t="str">
        <f>Roster!$D$3</f>
        <v>East</v>
      </c>
      <c r="BF832" s="8" t="str">
        <f>Roster!$D$2</f>
        <v>Northeast</v>
      </c>
      <c r="BG832" s="8" t="str">
        <f>Roster!$D$4</f>
        <v>North</v>
      </c>
      <c r="BH832" s="197">
        <f ca="1">IFERROR(VLOOKUP(CONCATENATE(PlayerGameData[[#This Row],[Opponent]]," ",MONTH(PlayerGameData[[#This Row],[Date]]),"/",DAY(PlayerGameData[[#This Row],[Date]]),"/",YEAR(PlayerGameData[[#This Row],[Date]])),Table35[],2,FALSE),0)</f>
        <v>0</v>
      </c>
      <c r="BI832" s="197">
        <f ca="1">IF(PlayerGameData[[#This Row],[Visible]]=1,1,1000)</f>
        <v>1000</v>
      </c>
      <c r="BJ832" s="197" t="e">
        <f ca="1">_xlfn.MAXIFS(TeamGameData[Win],TeamGameData[School, Opponent,Game'#],PlayerGameData[[#This Row],[School, Opponent,Game'#]])</f>
        <v>#NAME?</v>
      </c>
      <c r="BK832" s="197" t="e">
        <f ca="1">_xlfn.MAXIFS(TeamGameData[Loss],TeamGameData[School, Opponent,Game'#],PlayerGameData[[#This Row],[School, Opponent,Game'#]])</f>
        <v>#NAME?</v>
      </c>
    </row>
    <row r="833" spans="1:63" x14ac:dyDescent="0.25">
      <c r="A833" s="8" t="str">
        <f t="shared" ca="1" si="393"/>
        <v>Matt Stirmel, 33</v>
      </c>
      <c r="B833" s="8" t="str">
        <f>Roster!$B$1</f>
        <v>Upton</v>
      </c>
      <c r="C833" s="8">
        <f t="shared" ca="1" si="381"/>
        <v>0</v>
      </c>
      <c r="D833" s="10">
        <f t="shared" ca="1" si="382"/>
        <v>0</v>
      </c>
      <c r="E833" s="8">
        <f t="shared" ca="1" si="383"/>
        <v>0</v>
      </c>
      <c r="F833" s="8">
        <f t="shared" ca="1" si="384"/>
        <v>0</v>
      </c>
      <c r="G833" s="8">
        <f t="shared" ca="1" si="385"/>
        <v>0</v>
      </c>
      <c r="H833" s="8">
        <f t="shared" ca="1" si="386"/>
        <v>0</v>
      </c>
      <c r="I833" s="8">
        <f t="shared" ca="1" si="387"/>
        <v>0</v>
      </c>
      <c r="J833" s="8">
        <f t="shared" ca="1" si="388"/>
        <v>0</v>
      </c>
      <c r="K833" s="8">
        <f t="shared" ca="1" si="389"/>
        <v>0</v>
      </c>
      <c r="L833" s="8">
        <f t="shared" ca="1" si="394"/>
        <v>0</v>
      </c>
      <c r="M833" s="8">
        <f t="shared" ca="1" si="395"/>
        <v>0</v>
      </c>
      <c r="N833" s="8">
        <f t="shared" ca="1" si="396"/>
        <v>0</v>
      </c>
      <c r="O833" s="8">
        <f t="shared" ca="1" si="397"/>
        <v>0</v>
      </c>
      <c r="P833" s="8">
        <f t="shared" ca="1" si="398"/>
        <v>0</v>
      </c>
      <c r="Q833" s="8">
        <f t="shared" ca="1" si="399"/>
        <v>0</v>
      </c>
      <c r="R833" s="8">
        <f t="shared" ca="1" si="400"/>
        <v>0</v>
      </c>
      <c r="S833" s="8">
        <f t="shared" ca="1" si="401"/>
        <v>0</v>
      </c>
      <c r="T833" s="8">
        <f t="shared" ca="1" si="402"/>
        <v>0</v>
      </c>
      <c r="U833" s="8">
        <f t="shared" ca="1" si="403"/>
        <v>0</v>
      </c>
      <c r="V833" s="8">
        <f t="shared" ca="1" si="404"/>
        <v>0</v>
      </c>
      <c r="W833" s="11" t="str">
        <f t="shared" ca="1" si="405"/>
        <v/>
      </c>
      <c r="X833" s="11" t="str">
        <f t="shared" ca="1" si="406"/>
        <v/>
      </c>
      <c r="Y833" s="11" t="str">
        <f t="shared" ca="1" si="407"/>
        <v/>
      </c>
      <c r="Z833" s="11" t="str">
        <f t="shared" ca="1" si="408"/>
        <v/>
      </c>
      <c r="AA833" s="11" t="str">
        <f t="shared" ca="1" si="409"/>
        <v/>
      </c>
      <c r="AB833" s="47">
        <f ca="1">PlayerGameData[[#This Row],[3FGA]]+PlayerGameData[[#This Row],[2FGA]]</f>
        <v>0</v>
      </c>
      <c r="AC833" s="47">
        <f ca="1">PlayerGameData[[#This Row],[OFF REB]]+PlayerGameData[[#This Row],[DEF REB]]</f>
        <v>0</v>
      </c>
      <c r="AD833" s="8">
        <f t="shared" si="390"/>
        <v>35</v>
      </c>
      <c r="AE833" s="8" t="str">
        <f t="shared" ca="1" si="391"/>
        <v>Matt Stirmel, 33 - 0 1/0/1900</v>
      </c>
      <c r="AF833" s="8" t="str">
        <f t="shared" ca="1" si="410"/>
        <v/>
      </c>
      <c r="AG833" s="8" t="str">
        <f ca="1">IFERROR(IF(C833=0,"",IF(AND(VLOOKUP(PlayerGameData[[#This Row],[Opponent]],WYTeamInfo,2,FALSE)=Roster!$D$1,VLOOKUP(PlayerGameData[[#This Row],[Opponent]],WYTeamInfo,3,FALSE)=Roster!$D$2),"SR","")),"")</f>
        <v/>
      </c>
      <c r="AH833" s="8" t="str">
        <f>CONCATENATE(Roster!$D$1," ",Roster!$D$5)</f>
        <v>1A BB</v>
      </c>
      <c r="AI833" s="8" t="str">
        <f t="shared" ca="1" si="392"/>
        <v>Blank</v>
      </c>
      <c r="AJ833" s="8">
        <f ca="1">IFERROR(VLOOKUP(PlayerGameData[[#This Row],[School, Opponent,Game'#]],Table3[],2,FALSE),0)</f>
        <v>0</v>
      </c>
      <c r="AK833" s="8">
        <f ca="1">IF(PlayerGameData[[#This Row],[Visible]]=1,1,1000)</f>
        <v>1000</v>
      </c>
      <c r="AL833" s="8">
        <f ca="1">RANK(PlayerGameData[[#This Row],[TL PTS]],PlayerGameData[TL PTS],0)+PlayerGameData[[#This Row],[VisibleOrder]]</f>
        <v>1184</v>
      </c>
      <c r="AM833" s="8">
        <f ca="1">IF(COUNTIF(PlayerGameData[PointOrder],PlayerGameData[[#This Row],[PointOrder]])&gt;1,RANK(PlayerGameData[[#This Row],[FGA]],PlayerGameData[FGA],0)/100,0)+PlayerGameData[[#This Row],[PointOrder]]</f>
        <v>1186.1400000000001</v>
      </c>
      <c r="AN833" s="8">
        <f ca="1">RANK(PlayerGameData[[#This Row],[PointTieBreak]],PlayerGameData[PointTieBreak],1)</f>
        <v>625</v>
      </c>
      <c r="AO833" s="8">
        <f ca="1">RANK(PlayerGameData[[#This Row],[REB]],PlayerGameData[REB],0)+PlayerGameData[[#This Row],[VisibleOrder]]</f>
        <v>1191</v>
      </c>
      <c r="AP833" s="8">
        <f ca="1">IF(COUNTIF(PlayerGameData[REBOrder],PlayerGameData[[#This Row],[REBOrder]])&gt;1,PlayerGameData[[#This Row],[PointRank]]/100+PlayerGameData[[#This Row],[REBOrder]],PlayerGameData[[#This Row],[REBOrder]])</f>
        <v>1197.25</v>
      </c>
      <c r="AQ833" s="8">
        <f ca="1">RANK(PlayerGameData[[#This Row],[REBTieBreak]],PlayerGameData[REBTieBreak],1)</f>
        <v>625</v>
      </c>
      <c r="AR833" s="8">
        <f ca="1">RANK(PlayerGameData[[#This Row],[AST]],PlayerGameData[AST],0)+PlayerGameData[[#This Row],[VisibleOrder]]</f>
        <v>1157</v>
      </c>
      <c r="AS833" s="8">
        <f ca="1">IF(COUNTIF(PlayerGameData[ASTOrder],PlayerGameData[[#This Row],[ASTOrder]])&gt;1,PlayerGameData[[#This Row],[PointRank]]/100+PlayerGameData[[#This Row],[ASTOrder]],PlayerGameData[[#This Row],[ASTOrder]])</f>
        <v>1163.25</v>
      </c>
      <c r="AT833" s="8">
        <f ca="1">RANK(PlayerGameData[[#This Row],[ASTTieBreak]],PlayerGameData[ASTTieBreak],1)</f>
        <v>625</v>
      </c>
      <c r="AU833" s="8">
        <f ca="1">RANK(PlayerGameData[[#This Row],[STL]],PlayerGameData[STL],0)+PlayerGameData[[#This Row],[VisibleOrder]]</f>
        <v>1142</v>
      </c>
      <c r="AV833" s="8">
        <f ca="1">IF(COUNTIF(PlayerGameData[STLOrder],PlayerGameData[[#This Row],[STLOrder]])&gt;1,PlayerGameData[[#This Row],[PointRank]]/100+PlayerGameData[[#This Row],[STLOrder]],PlayerGameData[[#This Row],[STLOrder]])</f>
        <v>1148.25</v>
      </c>
      <c r="AW833" s="8">
        <f ca="1">RANK(PlayerGameData[[#This Row],[STLTieBreak]],PlayerGameData[STLTieBreak],1)</f>
        <v>625</v>
      </c>
      <c r="AX833" s="8">
        <f ca="1">RANK(PlayerGameData[[#This Row],[BLK]],PlayerGameData[BLK],0)+PlayerGameData[[#This Row],[VisibleOrder]]</f>
        <v>1031</v>
      </c>
      <c r="AY833" s="8">
        <f ca="1">IF(COUNTIF(PlayerGameData[BLKOrder],PlayerGameData[[#This Row],[BLKOrder]])&gt;1,PlayerGameData[[#This Row],[PointRank]]/100+PlayerGameData[[#This Row],[BLKOrder]],PlayerGameData[[#This Row],[BLKOrder]])</f>
        <v>1037.25</v>
      </c>
      <c r="AZ833" s="8">
        <f ca="1">RANK(PlayerGameData[[#This Row],[BLKTieBreak]],PlayerGameData[BLKTieBreak],1)</f>
        <v>625</v>
      </c>
      <c r="BA833" s="11">
        <f ca="1">IFERROR(IF(PlayerGameData[[#This Row],[FGA]]&gt;$AA$5,PlayerGameData[[#This Row],[FG%*]],PlayerGameData[[#This Row],[FG%*]]*-1),-2)</f>
        <v>-2</v>
      </c>
      <c r="BB833" s="8">
        <f ca="1">RANK(PlayerGameData[[#This Row],[EligFG]],PlayerGameData[EligFG],0)+PlayerGameData[[#This Row],[VisibleOrder]]</f>
        <v>1214</v>
      </c>
      <c r="BC833" s="8">
        <f ca="1">IF(COUNTIF(PlayerGameData[EligFGOrder],PlayerGameData[[#This Row],[EligFGOrder]])&gt;1,PlayerGameData[[#This Row],[PointRank]]/100+PlayerGameData[[#This Row],[EligFGOrder]],PlayerGameData[[#This Row],[EligFGOrder]])</f>
        <v>1220.25</v>
      </c>
      <c r="BD833" s="8">
        <f ca="1">RANK(PlayerGameData[[#This Row],[EligFGTieBreak]],PlayerGameData[EligFGTieBreak],1)</f>
        <v>625</v>
      </c>
      <c r="BE833" s="8" t="str">
        <f>Roster!$D$3</f>
        <v>East</v>
      </c>
      <c r="BF833" s="8" t="str">
        <f>Roster!$D$2</f>
        <v>Northeast</v>
      </c>
      <c r="BG833" s="8" t="str">
        <f>Roster!$D$4</f>
        <v>North</v>
      </c>
      <c r="BH833" s="197">
        <f ca="1">IFERROR(VLOOKUP(CONCATENATE(PlayerGameData[[#This Row],[Opponent]]," ",MONTH(PlayerGameData[[#This Row],[Date]]),"/",DAY(PlayerGameData[[#This Row],[Date]]),"/",YEAR(PlayerGameData[[#This Row],[Date]])),Table35[],2,FALSE),0)</f>
        <v>0</v>
      </c>
      <c r="BI833" s="197">
        <f ca="1">IF(PlayerGameData[[#This Row],[Visible]]=1,1,1000)</f>
        <v>1000</v>
      </c>
      <c r="BJ833" s="197" t="e">
        <f ca="1">_xlfn.MAXIFS(TeamGameData[Win],TeamGameData[School, Opponent,Game'#],PlayerGameData[[#This Row],[School, Opponent,Game'#]])</f>
        <v>#NAME?</v>
      </c>
      <c r="BK833" s="197" t="e">
        <f ca="1">_xlfn.MAXIFS(TeamGameData[Loss],TeamGameData[School, Opponent,Game'#],PlayerGameData[[#This Row],[School, Opponent,Game'#]])</f>
        <v>#NAME?</v>
      </c>
    </row>
    <row r="834" spans="1:63" x14ac:dyDescent="0.25">
      <c r="A834" s="8" t="str">
        <f t="shared" ca="1" si="393"/>
        <v>Jacob McNutt, 34</v>
      </c>
      <c r="B834" s="8" t="str">
        <f>Roster!$B$1</f>
        <v>Upton</v>
      </c>
      <c r="C834" s="8">
        <f t="shared" ca="1" si="381"/>
        <v>0</v>
      </c>
      <c r="D834" s="10">
        <f t="shared" ca="1" si="382"/>
        <v>0</v>
      </c>
      <c r="E834" s="8">
        <f t="shared" ca="1" si="383"/>
        <v>0</v>
      </c>
      <c r="F834" s="8">
        <f t="shared" ca="1" si="384"/>
        <v>0</v>
      </c>
      <c r="G834" s="8">
        <f t="shared" ca="1" si="385"/>
        <v>0</v>
      </c>
      <c r="H834" s="8">
        <f t="shared" ca="1" si="386"/>
        <v>0</v>
      </c>
      <c r="I834" s="8">
        <f t="shared" ca="1" si="387"/>
        <v>0</v>
      </c>
      <c r="J834" s="8">
        <f t="shared" ca="1" si="388"/>
        <v>0</v>
      </c>
      <c r="K834" s="8">
        <f t="shared" ca="1" si="389"/>
        <v>0</v>
      </c>
      <c r="L834" s="8">
        <f t="shared" ca="1" si="394"/>
        <v>0</v>
      </c>
      <c r="M834" s="8">
        <f t="shared" ca="1" si="395"/>
        <v>0</v>
      </c>
      <c r="N834" s="8">
        <f t="shared" ca="1" si="396"/>
        <v>0</v>
      </c>
      <c r="O834" s="8">
        <f t="shared" ca="1" si="397"/>
        <v>0</v>
      </c>
      <c r="P834" s="8">
        <f t="shared" ca="1" si="398"/>
        <v>0</v>
      </c>
      <c r="Q834" s="8">
        <f t="shared" ca="1" si="399"/>
        <v>0</v>
      </c>
      <c r="R834" s="8">
        <f t="shared" ca="1" si="400"/>
        <v>0</v>
      </c>
      <c r="S834" s="8">
        <f t="shared" ca="1" si="401"/>
        <v>0</v>
      </c>
      <c r="T834" s="8">
        <f t="shared" ca="1" si="402"/>
        <v>0</v>
      </c>
      <c r="U834" s="8">
        <f t="shared" ca="1" si="403"/>
        <v>0</v>
      </c>
      <c r="V834" s="8">
        <f t="shared" ca="1" si="404"/>
        <v>0</v>
      </c>
      <c r="W834" s="11" t="str">
        <f t="shared" ca="1" si="405"/>
        <v/>
      </c>
      <c r="X834" s="11" t="str">
        <f t="shared" ca="1" si="406"/>
        <v/>
      </c>
      <c r="Y834" s="11" t="str">
        <f t="shared" ca="1" si="407"/>
        <v/>
      </c>
      <c r="Z834" s="11" t="str">
        <f t="shared" ca="1" si="408"/>
        <v/>
      </c>
      <c r="AA834" s="11" t="str">
        <f t="shared" ca="1" si="409"/>
        <v/>
      </c>
      <c r="AB834" s="47">
        <f ca="1">PlayerGameData[[#This Row],[3FGA]]+PlayerGameData[[#This Row],[2FGA]]</f>
        <v>0</v>
      </c>
      <c r="AC834" s="47">
        <f ca="1">PlayerGameData[[#This Row],[OFF REB]]+PlayerGameData[[#This Row],[DEF REB]]</f>
        <v>0</v>
      </c>
      <c r="AD834" s="8">
        <f t="shared" si="390"/>
        <v>35</v>
      </c>
      <c r="AE834" s="8" t="str">
        <f t="shared" ca="1" si="391"/>
        <v>Jacob McNutt, 34 - 0 1/0/1900</v>
      </c>
      <c r="AF834" s="8" t="str">
        <f t="shared" ca="1" si="410"/>
        <v/>
      </c>
      <c r="AG834" s="8" t="str">
        <f ca="1">IFERROR(IF(C834=0,"",IF(AND(VLOOKUP(PlayerGameData[[#This Row],[Opponent]],WYTeamInfo,2,FALSE)=Roster!$D$1,VLOOKUP(PlayerGameData[[#This Row],[Opponent]],WYTeamInfo,3,FALSE)=Roster!$D$2),"SR","")),"")</f>
        <v/>
      </c>
      <c r="AH834" s="8" t="str">
        <f>CONCATENATE(Roster!$D$1," ",Roster!$D$5)</f>
        <v>1A BB</v>
      </c>
      <c r="AI834" s="8" t="str">
        <f t="shared" ca="1" si="392"/>
        <v>Blank</v>
      </c>
      <c r="AJ834" s="8">
        <f ca="1">IFERROR(VLOOKUP(PlayerGameData[[#This Row],[School, Opponent,Game'#]],Table3[],2,FALSE),0)</f>
        <v>0</v>
      </c>
      <c r="AK834" s="8">
        <f ca="1">IF(PlayerGameData[[#This Row],[Visible]]=1,1,1000)</f>
        <v>1000</v>
      </c>
      <c r="AL834" s="8">
        <f ca="1">RANK(PlayerGameData[[#This Row],[TL PTS]],PlayerGameData[TL PTS],0)+PlayerGameData[[#This Row],[VisibleOrder]]</f>
        <v>1184</v>
      </c>
      <c r="AM834" s="8">
        <f ca="1">IF(COUNTIF(PlayerGameData[PointOrder],PlayerGameData[[#This Row],[PointOrder]])&gt;1,RANK(PlayerGameData[[#This Row],[FGA]],PlayerGameData[FGA],0)/100,0)+PlayerGameData[[#This Row],[PointOrder]]</f>
        <v>1186.1400000000001</v>
      </c>
      <c r="AN834" s="8">
        <f ca="1">RANK(PlayerGameData[[#This Row],[PointTieBreak]],PlayerGameData[PointTieBreak],1)</f>
        <v>625</v>
      </c>
      <c r="AO834" s="8">
        <f ca="1">RANK(PlayerGameData[[#This Row],[REB]],PlayerGameData[REB],0)+PlayerGameData[[#This Row],[VisibleOrder]]</f>
        <v>1191</v>
      </c>
      <c r="AP834" s="8">
        <f ca="1">IF(COUNTIF(PlayerGameData[REBOrder],PlayerGameData[[#This Row],[REBOrder]])&gt;1,PlayerGameData[[#This Row],[PointRank]]/100+PlayerGameData[[#This Row],[REBOrder]],PlayerGameData[[#This Row],[REBOrder]])</f>
        <v>1197.25</v>
      </c>
      <c r="AQ834" s="8">
        <f ca="1">RANK(PlayerGameData[[#This Row],[REBTieBreak]],PlayerGameData[REBTieBreak],1)</f>
        <v>625</v>
      </c>
      <c r="AR834" s="8">
        <f ca="1">RANK(PlayerGameData[[#This Row],[AST]],PlayerGameData[AST],0)+PlayerGameData[[#This Row],[VisibleOrder]]</f>
        <v>1157</v>
      </c>
      <c r="AS834" s="8">
        <f ca="1">IF(COUNTIF(PlayerGameData[ASTOrder],PlayerGameData[[#This Row],[ASTOrder]])&gt;1,PlayerGameData[[#This Row],[PointRank]]/100+PlayerGameData[[#This Row],[ASTOrder]],PlayerGameData[[#This Row],[ASTOrder]])</f>
        <v>1163.25</v>
      </c>
      <c r="AT834" s="8">
        <f ca="1">RANK(PlayerGameData[[#This Row],[ASTTieBreak]],PlayerGameData[ASTTieBreak],1)</f>
        <v>625</v>
      </c>
      <c r="AU834" s="8">
        <f ca="1">RANK(PlayerGameData[[#This Row],[STL]],PlayerGameData[STL],0)+PlayerGameData[[#This Row],[VisibleOrder]]</f>
        <v>1142</v>
      </c>
      <c r="AV834" s="8">
        <f ca="1">IF(COUNTIF(PlayerGameData[STLOrder],PlayerGameData[[#This Row],[STLOrder]])&gt;1,PlayerGameData[[#This Row],[PointRank]]/100+PlayerGameData[[#This Row],[STLOrder]],PlayerGameData[[#This Row],[STLOrder]])</f>
        <v>1148.25</v>
      </c>
      <c r="AW834" s="8">
        <f ca="1">RANK(PlayerGameData[[#This Row],[STLTieBreak]],PlayerGameData[STLTieBreak],1)</f>
        <v>625</v>
      </c>
      <c r="AX834" s="8">
        <f ca="1">RANK(PlayerGameData[[#This Row],[BLK]],PlayerGameData[BLK],0)+PlayerGameData[[#This Row],[VisibleOrder]]</f>
        <v>1031</v>
      </c>
      <c r="AY834" s="8">
        <f ca="1">IF(COUNTIF(PlayerGameData[BLKOrder],PlayerGameData[[#This Row],[BLKOrder]])&gt;1,PlayerGameData[[#This Row],[PointRank]]/100+PlayerGameData[[#This Row],[BLKOrder]],PlayerGameData[[#This Row],[BLKOrder]])</f>
        <v>1037.25</v>
      </c>
      <c r="AZ834" s="8">
        <f ca="1">RANK(PlayerGameData[[#This Row],[BLKTieBreak]],PlayerGameData[BLKTieBreak],1)</f>
        <v>625</v>
      </c>
      <c r="BA834" s="11">
        <f ca="1">IFERROR(IF(PlayerGameData[[#This Row],[FGA]]&gt;$AA$5,PlayerGameData[[#This Row],[FG%*]],PlayerGameData[[#This Row],[FG%*]]*-1),-2)</f>
        <v>-2</v>
      </c>
      <c r="BB834" s="8">
        <f ca="1">RANK(PlayerGameData[[#This Row],[EligFG]],PlayerGameData[EligFG],0)+PlayerGameData[[#This Row],[VisibleOrder]]</f>
        <v>1214</v>
      </c>
      <c r="BC834" s="8">
        <f ca="1">IF(COUNTIF(PlayerGameData[EligFGOrder],PlayerGameData[[#This Row],[EligFGOrder]])&gt;1,PlayerGameData[[#This Row],[PointRank]]/100+PlayerGameData[[#This Row],[EligFGOrder]],PlayerGameData[[#This Row],[EligFGOrder]])</f>
        <v>1220.25</v>
      </c>
      <c r="BD834" s="8">
        <f ca="1">RANK(PlayerGameData[[#This Row],[EligFGTieBreak]],PlayerGameData[EligFGTieBreak],1)</f>
        <v>625</v>
      </c>
      <c r="BE834" s="8" t="str">
        <f>Roster!$D$3</f>
        <v>East</v>
      </c>
      <c r="BF834" s="8" t="str">
        <f>Roster!$D$2</f>
        <v>Northeast</v>
      </c>
      <c r="BG834" s="8" t="str">
        <f>Roster!$D$4</f>
        <v>North</v>
      </c>
      <c r="BH834" s="197">
        <f ca="1">IFERROR(VLOOKUP(CONCATENATE(PlayerGameData[[#This Row],[Opponent]]," ",MONTH(PlayerGameData[[#This Row],[Date]]),"/",DAY(PlayerGameData[[#This Row],[Date]]),"/",YEAR(PlayerGameData[[#This Row],[Date]])),Table35[],2,FALSE),0)</f>
        <v>0</v>
      </c>
      <c r="BI834" s="197">
        <f ca="1">IF(PlayerGameData[[#This Row],[Visible]]=1,1,1000)</f>
        <v>1000</v>
      </c>
      <c r="BJ834" s="197" t="e">
        <f ca="1">_xlfn.MAXIFS(TeamGameData[Win],TeamGameData[School, Opponent,Game'#],PlayerGameData[[#This Row],[School, Opponent,Game'#]])</f>
        <v>#NAME?</v>
      </c>
      <c r="BK834" s="197" t="e">
        <f ca="1">_xlfn.MAXIFS(TeamGameData[Loss],TeamGameData[School, Opponent,Game'#],PlayerGameData[[#This Row],[School, Opponent,Game'#]])</f>
        <v>#NAME?</v>
      </c>
    </row>
    <row r="835" spans="1:63" x14ac:dyDescent="0.25">
      <c r="A835" s="8" t="str">
        <f t="shared" ca="1" si="393"/>
        <v>Ryan Baker, 35</v>
      </c>
      <c r="B835" s="8" t="str">
        <f>Roster!$B$1</f>
        <v>Upton</v>
      </c>
      <c r="C835" s="8">
        <f t="shared" ca="1" si="381"/>
        <v>0</v>
      </c>
      <c r="D835" s="10">
        <f t="shared" ca="1" si="382"/>
        <v>0</v>
      </c>
      <c r="E835" s="8">
        <f t="shared" ca="1" si="383"/>
        <v>0</v>
      </c>
      <c r="F835" s="8">
        <f t="shared" ca="1" si="384"/>
        <v>0</v>
      </c>
      <c r="G835" s="8">
        <f t="shared" ca="1" si="385"/>
        <v>0</v>
      </c>
      <c r="H835" s="8">
        <f t="shared" ca="1" si="386"/>
        <v>0</v>
      </c>
      <c r="I835" s="8">
        <f t="shared" ca="1" si="387"/>
        <v>0</v>
      </c>
      <c r="J835" s="8">
        <f t="shared" ca="1" si="388"/>
        <v>0</v>
      </c>
      <c r="K835" s="8">
        <f t="shared" ca="1" si="389"/>
        <v>0</v>
      </c>
      <c r="L835" s="8">
        <f t="shared" ca="1" si="394"/>
        <v>0</v>
      </c>
      <c r="M835" s="8">
        <f t="shared" ca="1" si="395"/>
        <v>0</v>
      </c>
      <c r="N835" s="8">
        <f t="shared" ca="1" si="396"/>
        <v>0</v>
      </c>
      <c r="O835" s="8">
        <f t="shared" ca="1" si="397"/>
        <v>0</v>
      </c>
      <c r="P835" s="8">
        <f t="shared" ca="1" si="398"/>
        <v>0</v>
      </c>
      <c r="Q835" s="8">
        <f t="shared" ca="1" si="399"/>
        <v>0</v>
      </c>
      <c r="R835" s="8">
        <f t="shared" ca="1" si="400"/>
        <v>0</v>
      </c>
      <c r="S835" s="8">
        <f t="shared" ca="1" si="401"/>
        <v>0</v>
      </c>
      <c r="T835" s="8">
        <f t="shared" ca="1" si="402"/>
        <v>0</v>
      </c>
      <c r="U835" s="8">
        <f t="shared" ca="1" si="403"/>
        <v>0</v>
      </c>
      <c r="V835" s="8">
        <f t="shared" ca="1" si="404"/>
        <v>0</v>
      </c>
      <c r="W835" s="11" t="str">
        <f t="shared" ca="1" si="405"/>
        <v/>
      </c>
      <c r="X835" s="11" t="str">
        <f t="shared" ca="1" si="406"/>
        <v/>
      </c>
      <c r="Y835" s="11" t="str">
        <f t="shared" ca="1" si="407"/>
        <v/>
      </c>
      <c r="Z835" s="11" t="str">
        <f t="shared" ca="1" si="408"/>
        <v/>
      </c>
      <c r="AA835" s="11" t="str">
        <f t="shared" ca="1" si="409"/>
        <v/>
      </c>
      <c r="AB835" s="47">
        <f ca="1">PlayerGameData[[#This Row],[3FGA]]+PlayerGameData[[#This Row],[2FGA]]</f>
        <v>0</v>
      </c>
      <c r="AC835" s="47">
        <f ca="1">PlayerGameData[[#This Row],[OFF REB]]+PlayerGameData[[#This Row],[DEF REB]]</f>
        <v>0</v>
      </c>
      <c r="AD835" s="8">
        <f t="shared" si="390"/>
        <v>35</v>
      </c>
      <c r="AE835" s="8" t="str">
        <f t="shared" ca="1" si="391"/>
        <v>Ryan Baker, 35 - 0 1/0/1900</v>
      </c>
      <c r="AF835" s="8" t="str">
        <f t="shared" ca="1" si="410"/>
        <v/>
      </c>
      <c r="AG835" s="8" t="str">
        <f ca="1">IFERROR(IF(C835=0,"",IF(AND(VLOOKUP(PlayerGameData[[#This Row],[Opponent]],WYTeamInfo,2,FALSE)=Roster!$D$1,VLOOKUP(PlayerGameData[[#This Row],[Opponent]],WYTeamInfo,3,FALSE)=Roster!$D$2),"SR","")),"")</f>
        <v/>
      </c>
      <c r="AH835" s="8" t="str">
        <f>CONCATENATE(Roster!$D$1," ",Roster!$D$5)</f>
        <v>1A BB</v>
      </c>
      <c r="AI835" s="8" t="str">
        <f t="shared" ca="1" si="392"/>
        <v>Blank</v>
      </c>
      <c r="AJ835" s="8">
        <f ca="1">IFERROR(VLOOKUP(PlayerGameData[[#This Row],[School, Opponent,Game'#]],Table3[],2,FALSE),0)</f>
        <v>0</v>
      </c>
      <c r="AK835" s="8">
        <f ca="1">IF(PlayerGameData[[#This Row],[Visible]]=1,1,1000)</f>
        <v>1000</v>
      </c>
      <c r="AL835" s="8">
        <f ca="1">RANK(PlayerGameData[[#This Row],[TL PTS]],PlayerGameData[TL PTS],0)+PlayerGameData[[#This Row],[VisibleOrder]]</f>
        <v>1184</v>
      </c>
      <c r="AM835" s="8">
        <f ca="1">IF(COUNTIF(PlayerGameData[PointOrder],PlayerGameData[[#This Row],[PointOrder]])&gt;1,RANK(PlayerGameData[[#This Row],[FGA]],PlayerGameData[FGA],0)/100,0)+PlayerGameData[[#This Row],[PointOrder]]</f>
        <v>1186.1400000000001</v>
      </c>
      <c r="AN835" s="8">
        <f ca="1">RANK(PlayerGameData[[#This Row],[PointTieBreak]],PlayerGameData[PointTieBreak],1)</f>
        <v>625</v>
      </c>
      <c r="AO835" s="8">
        <f ca="1">RANK(PlayerGameData[[#This Row],[REB]],PlayerGameData[REB],0)+PlayerGameData[[#This Row],[VisibleOrder]]</f>
        <v>1191</v>
      </c>
      <c r="AP835" s="8">
        <f ca="1">IF(COUNTIF(PlayerGameData[REBOrder],PlayerGameData[[#This Row],[REBOrder]])&gt;1,PlayerGameData[[#This Row],[PointRank]]/100+PlayerGameData[[#This Row],[REBOrder]],PlayerGameData[[#This Row],[REBOrder]])</f>
        <v>1197.25</v>
      </c>
      <c r="AQ835" s="8">
        <f ca="1">RANK(PlayerGameData[[#This Row],[REBTieBreak]],PlayerGameData[REBTieBreak],1)</f>
        <v>625</v>
      </c>
      <c r="AR835" s="8">
        <f ca="1">RANK(PlayerGameData[[#This Row],[AST]],PlayerGameData[AST],0)+PlayerGameData[[#This Row],[VisibleOrder]]</f>
        <v>1157</v>
      </c>
      <c r="AS835" s="8">
        <f ca="1">IF(COUNTIF(PlayerGameData[ASTOrder],PlayerGameData[[#This Row],[ASTOrder]])&gt;1,PlayerGameData[[#This Row],[PointRank]]/100+PlayerGameData[[#This Row],[ASTOrder]],PlayerGameData[[#This Row],[ASTOrder]])</f>
        <v>1163.25</v>
      </c>
      <c r="AT835" s="8">
        <f ca="1">RANK(PlayerGameData[[#This Row],[ASTTieBreak]],PlayerGameData[ASTTieBreak],1)</f>
        <v>625</v>
      </c>
      <c r="AU835" s="8">
        <f ca="1">RANK(PlayerGameData[[#This Row],[STL]],PlayerGameData[STL],0)+PlayerGameData[[#This Row],[VisibleOrder]]</f>
        <v>1142</v>
      </c>
      <c r="AV835" s="8">
        <f ca="1">IF(COUNTIF(PlayerGameData[STLOrder],PlayerGameData[[#This Row],[STLOrder]])&gt;1,PlayerGameData[[#This Row],[PointRank]]/100+PlayerGameData[[#This Row],[STLOrder]],PlayerGameData[[#This Row],[STLOrder]])</f>
        <v>1148.25</v>
      </c>
      <c r="AW835" s="8">
        <f ca="1">RANK(PlayerGameData[[#This Row],[STLTieBreak]],PlayerGameData[STLTieBreak],1)</f>
        <v>625</v>
      </c>
      <c r="AX835" s="8">
        <f ca="1">RANK(PlayerGameData[[#This Row],[BLK]],PlayerGameData[BLK],0)+PlayerGameData[[#This Row],[VisibleOrder]]</f>
        <v>1031</v>
      </c>
      <c r="AY835" s="8">
        <f ca="1">IF(COUNTIF(PlayerGameData[BLKOrder],PlayerGameData[[#This Row],[BLKOrder]])&gt;1,PlayerGameData[[#This Row],[PointRank]]/100+PlayerGameData[[#This Row],[BLKOrder]],PlayerGameData[[#This Row],[BLKOrder]])</f>
        <v>1037.25</v>
      </c>
      <c r="AZ835" s="8">
        <f ca="1">RANK(PlayerGameData[[#This Row],[BLKTieBreak]],PlayerGameData[BLKTieBreak],1)</f>
        <v>625</v>
      </c>
      <c r="BA835" s="11">
        <f ca="1">IFERROR(IF(PlayerGameData[[#This Row],[FGA]]&gt;$AA$5,PlayerGameData[[#This Row],[FG%*]],PlayerGameData[[#This Row],[FG%*]]*-1),-2)</f>
        <v>-2</v>
      </c>
      <c r="BB835" s="8">
        <f ca="1">RANK(PlayerGameData[[#This Row],[EligFG]],PlayerGameData[EligFG],0)+PlayerGameData[[#This Row],[VisibleOrder]]</f>
        <v>1214</v>
      </c>
      <c r="BC835" s="8">
        <f ca="1">IF(COUNTIF(PlayerGameData[EligFGOrder],PlayerGameData[[#This Row],[EligFGOrder]])&gt;1,PlayerGameData[[#This Row],[PointRank]]/100+PlayerGameData[[#This Row],[EligFGOrder]],PlayerGameData[[#This Row],[EligFGOrder]])</f>
        <v>1220.25</v>
      </c>
      <c r="BD835" s="8">
        <f ca="1">RANK(PlayerGameData[[#This Row],[EligFGTieBreak]],PlayerGameData[EligFGTieBreak],1)</f>
        <v>625</v>
      </c>
      <c r="BE835" s="8" t="str">
        <f>Roster!$D$3</f>
        <v>East</v>
      </c>
      <c r="BF835" s="8" t="str">
        <f>Roster!$D$2</f>
        <v>Northeast</v>
      </c>
      <c r="BG835" s="8" t="str">
        <f>Roster!$D$4</f>
        <v>North</v>
      </c>
      <c r="BH835" s="197">
        <f ca="1">IFERROR(VLOOKUP(CONCATENATE(PlayerGameData[[#This Row],[Opponent]]," ",MONTH(PlayerGameData[[#This Row],[Date]]),"/",DAY(PlayerGameData[[#This Row],[Date]]),"/",YEAR(PlayerGameData[[#This Row],[Date]])),Table35[],2,FALSE),0)</f>
        <v>0</v>
      </c>
      <c r="BI835" s="197">
        <f ca="1">IF(PlayerGameData[[#This Row],[Visible]]=1,1,1000)</f>
        <v>1000</v>
      </c>
      <c r="BJ835" s="197" t="e">
        <f ca="1">_xlfn.MAXIFS(TeamGameData[Win],TeamGameData[School, Opponent,Game'#],PlayerGameData[[#This Row],[School, Opponent,Game'#]])</f>
        <v>#NAME?</v>
      </c>
      <c r="BK835" s="197" t="e">
        <f ca="1">_xlfn.MAXIFS(TeamGameData[Loss],TeamGameData[School, Opponent,Game'#],PlayerGameData[[#This Row],[School, Opponent,Game'#]])</f>
        <v>#NAME?</v>
      </c>
    </row>
    <row r="836" spans="1:63" x14ac:dyDescent="0.25">
      <c r="A836" s="8" t="str">
        <f t="shared" ca="1" si="393"/>
        <v xml:space="preserve">, </v>
      </c>
      <c r="B836" s="8" t="str">
        <f>Roster!$B$1</f>
        <v>Upton</v>
      </c>
      <c r="C836" s="8">
        <f t="shared" ca="1" si="381"/>
        <v>0</v>
      </c>
      <c r="D836" s="10">
        <f t="shared" ca="1" si="382"/>
        <v>0</v>
      </c>
      <c r="E836" s="8">
        <f t="shared" ca="1" si="383"/>
        <v>0</v>
      </c>
      <c r="F836" s="8">
        <f t="shared" ca="1" si="384"/>
        <v>0</v>
      </c>
      <c r="G836" s="8">
        <f t="shared" ca="1" si="385"/>
        <v>0</v>
      </c>
      <c r="H836" s="8">
        <f t="shared" ca="1" si="386"/>
        <v>0</v>
      </c>
      <c r="I836" s="8">
        <f t="shared" ca="1" si="387"/>
        <v>0</v>
      </c>
      <c r="J836" s="8">
        <f t="shared" ca="1" si="388"/>
        <v>0</v>
      </c>
      <c r="K836" s="8">
        <f t="shared" ca="1" si="389"/>
        <v>0</v>
      </c>
      <c r="L836" s="8">
        <f t="shared" ca="1" si="394"/>
        <v>0</v>
      </c>
      <c r="M836" s="8">
        <f t="shared" ca="1" si="395"/>
        <v>0</v>
      </c>
      <c r="N836" s="8">
        <f t="shared" ca="1" si="396"/>
        <v>0</v>
      </c>
      <c r="O836" s="8">
        <f t="shared" ca="1" si="397"/>
        <v>0</v>
      </c>
      <c r="P836" s="8">
        <f t="shared" ca="1" si="398"/>
        <v>0</v>
      </c>
      <c r="Q836" s="8">
        <f t="shared" ca="1" si="399"/>
        <v>0</v>
      </c>
      <c r="R836" s="8">
        <f t="shared" ca="1" si="400"/>
        <v>0</v>
      </c>
      <c r="S836" s="8">
        <f t="shared" ca="1" si="401"/>
        <v>0</v>
      </c>
      <c r="T836" s="8">
        <f t="shared" ca="1" si="402"/>
        <v>0</v>
      </c>
      <c r="U836" s="8">
        <f t="shared" ca="1" si="403"/>
        <v>0</v>
      </c>
      <c r="V836" s="8">
        <f t="shared" ca="1" si="404"/>
        <v>0</v>
      </c>
      <c r="W836" s="11" t="str">
        <f t="shared" ca="1" si="405"/>
        <v/>
      </c>
      <c r="X836" s="11" t="str">
        <f t="shared" ca="1" si="406"/>
        <v/>
      </c>
      <c r="Y836" s="11" t="str">
        <f t="shared" ca="1" si="407"/>
        <v/>
      </c>
      <c r="Z836" s="11" t="str">
        <f t="shared" ca="1" si="408"/>
        <v/>
      </c>
      <c r="AA836" s="11" t="str">
        <f t="shared" ca="1" si="409"/>
        <v/>
      </c>
      <c r="AB836" s="47">
        <f ca="1">PlayerGameData[[#This Row],[3FGA]]+PlayerGameData[[#This Row],[2FGA]]</f>
        <v>0</v>
      </c>
      <c r="AC836" s="47">
        <f ca="1">PlayerGameData[[#This Row],[OFF REB]]+PlayerGameData[[#This Row],[DEF REB]]</f>
        <v>0</v>
      </c>
      <c r="AD836" s="8">
        <f t="shared" si="390"/>
        <v>35</v>
      </c>
      <c r="AE836" s="8" t="str">
        <f t="shared" ca="1" si="391"/>
        <v>,  - 0 1/0/1900</v>
      </c>
      <c r="AF836" s="8" t="str">
        <f t="shared" ca="1" si="410"/>
        <v/>
      </c>
      <c r="AG836" s="8" t="str">
        <f ca="1">IFERROR(IF(C836=0,"",IF(AND(VLOOKUP(PlayerGameData[[#This Row],[Opponent]],WYTeamInfo,2,FALSE)=Roster!$D$1,VLOOKUP(PlayerGameData[[#This Row],[Opponent]],WYTeamInfo,3,FALSE)=Roster!$D$2),"SR","")),"")</f>
        <v/>
      </c>
      <c r="AH836" s="8" t="str">
        <f>CONCATENATE(Roster!$D$1," ",Roster!$D$5)</f>
        <v>1A BB</v>
      </c>
      <c r="AI836" s="8" t="str">
        <f t="shared" ca="1" si="392"/>
        <v>Blank</v>
      </c>
      <c r="AJ836" s="8">
        <f ca="1">IFERROR(VLOOKUP(PlayerGameData[[#This Row],[School, Opponent,Game'#]],Table3[],2,FALSE),0)</f>
        <v>0</v>
      </c>
      <c r="AK836" s="8">
        <f ca="1">IF(PlayerGameData[[#This Row],[Visible]]=1,1,1000)</f>
        <v>1000</v>
      </c>
      <c r="AL836" s="8">
        <f ca="1">RANK(PlayerGameData[[#This Row],[TL PTS]],PlayerGameData[TL PTS],0)+PlayerGameData[[#This Row],[VisibleOrder]]</f>
        <v>1184</v>
      </c>
      <c r="AM836" s="8">
        <f ca="1">IF(COUNTIF(PlayerGameData[PointOrder],PlayerGameData[[#This Row],[PointOrder]])&gt;1,RANK(PlayerGameData[[#This Row],[FGA]],PlayerGameData[FGA],0)/100,0)+PlayerGameData[[#This Row],[PointOrder]]</f>
        <v>1186.1400000000001</v>
      </c>
      <c r="AN836" s="8">
        <f ca="1">RANK(PlayerGameData[[#This Row],[PointTieBreak]],PlayerGameData[PointTieBreak],1)</f>
        <v>625</v>
      </c>
      <c r="AO836" s="8">
        <f ca="1">RANK(PlayerGameData[[#This Row],[REB]],PlayerGameData[REB],0)+PlayerGameData[[#This Row],[VisibleOrder]]</f>
        <v>1191</v>
      </c>
      <c r="AP836" s="8">
        <f ca="1">IF(COUNTIF(PlayerGameData[REBOrder],PlayerGameData[[#This Row],[REBOrder]])&gt;1,PlayerGameData[[#This Row],[PointRank]]/100+PlayerGameData[[#This Row],[REBOrder]],PlayerGameData[[#This Row],[REBOrder]])</f>
        <v>1197.25</v>
      </c>
      <c r="AQ836" s="8">
        <f ca="1">RANK(PlayerGameData[[#This Row],[REBTieBreak]],PlayerGameData[REBTieBreak],1)</f>
        <v>625</v>
      </c>
      <c r="AR836" s="8">
        <f ca="1">RANK(PlayerGameData[[#This Row],[AST]],PlayerGameData[AST],0)+PlayerGameData[[#This Row],[VisibleOrder]]</f>
        <v>1157</v>
      </c>
      <c r="AS836" s="8">
        <f ca="1">IF(COUNTIF(PlayerGameData[ASTOrder],PlayerGameData[[#This Row],[ASTOrder]])&gt;1,PlayerGameData[[#This Row],[PointRank]]/100+PlayerGameData[[#This Row],[ASTOrder]],PlayerGameData[[#This Row],[ASTOrder]])</f>
        <v>1163.25</v>
      </c>
      <c r="AT836" s="8">
        <f ca="1">RANK(PlayerGameData[[#This Row],[ASTTieBreak]],PlayerGameData[ASTTieBreak],1)</f>
        <v>625</v>
      </c>
      <c r="AU836" s="8">
        <f ca="1">RANK(PlayerGameData[[#This Row],[STL]],PlayerGameData[STL],0)+PlayerGameData[[#This Row],[VisibleOrder]]</f>
        <v>1142</v>
      </c>
      <c r="AV836" s="8">
        <f ca="1">IF(COUNTIF(PlayerGameData[STLOrder],PlayerGameData[[#This Row],[STLOrder]])&gt;1,PlayerGameData[[#This Row],[PointRank]]/100+PlayerGameData[[#This Row],[STLOrder]],PlayerGameData[[#This Row],[STLOrder]])</f>
        <v>1148.25</v>
      </c>
      <c r="AW836" s="8">
        <f ca="1">RANK(PlayerGameData[[#This Row],[STLTieBreak]],PlayerGameData[STLTieBreak],1)</f>
        <v>625</v>
      </c>
      <c r="AX836" s="8">
        <f ca="1">RANK(PlayerGameData[[#This Row],[BLK]],PlayerGameData[BLK],0)+PlayerGameData[[#This Row],[VisibleOrder]]</f>
        <v>1031</v>
      </c>
      <c r="AY836" s="8">
        <f ca="1">IF(COUNTIF(PlayerGameData[BLKOrder],PlayerGameData[[#This Row],[BLKOrder]])&gt;1,PlayerGameData[[#This Row],[PointRank]]/100+PlayerGameData[[#This Row],[BLKOrder]],PlayerGameData[[#This Row],[BLKOrder]])</f>
        <v>1037.25</v>
      </c>
      <c r="AZ836" s="8">
        <f ca="1">RANK(PlayerGameData[[#This Row],[BLKTieBreak]],PlayerGameData[BLKTieBreak],1)</f>
        <v>625</v>
      </c>
      <c r="BA836" s="11">
        <f ca="1">IFERROR(IF(PlayerGameData[[#This Row],[FGA]]&gt;$AA$5,PlayerGameData[[#This Row],[FG%*]],PlayerGameData[[#This Row],[FG%*]]*-1),-2)</f>
        <v>-2</v>
      </c>
      <c r="BB836" s="8">
        <f ca="1">RANK(PlayerGameData[[#This Row],[EligFG]],PlayerGameData[EligFG],0)+PlayerGameData[[#This Row],[VisibleOrder]]</f>
        <v>1214</v>
      </c>
      <c r="BC836" s="8">
        <f ca="1">IF(COUNTIF(PlayerGameData[EligFGOrder],PlayerGameData[[#This Row],[EligFGOrder]])&gt;1,PlayerGameData[[#This Row],[PointRank]]/100+PlayerGameData[[#This Row],[EligFGOrder]],PlayerGameData[[#This Row],[EligFGOrder]])</f>
        <v>1220.25</v>
      </c>
      <c r="BD836" s="8">
        <f ca="1">RANK(PlayerGameData[[#This Row],[EligFGTieBreak]],PlayerGameData[EligFGTieBreak],1)</f>
        <v>625</v>
      </c>
      <c r="BE836" s="8" t="str">
        <f>Roster!$D$3</f>
        <v>East</v>
      </c>
      <c r="BF836" s="8" t="str">
        <f>Roster!$D$2</f>
        <v>Northeast</v>
      </c>
      <c r="BG836" s="8" t="str">
        <f>Roster!$D$4</f>
        <v>North</v>
      </c>
      <c r="BH836" s="197">
        <f ca="1">IFERROR(VLOOKUP(CONCATENATE(PlayerGameData[[#This Row],[Opponent]]," ",MONTH(PlayerGameData[[#This Row],[Date]]),"/",DAY(PlayerGameData[[#This Row],[Date]]),"/",YEAR(PlayerGameData[[#This Row],[Date]])),Table35[],2,FALSE),0)</f>
        <v>0</v>
      </c>
      <c r="BI836" s="197">
        <f ca="1">IF(PlayerGameData[[#This Row],[Visible]]=1,1,1000)</f>
        <v>1000</v>
      </c>
      <c r="BJ836" s="197" t="e">
        <f ca="1">_xlfn.MAXIFS(TeamGameData[Win],TeamGameData[School, Opponent,Game'#],PlayerGameData[[#This Row],[School, Opponent,Game'#]])</f>
        <v>#NAME?</v>
      </c>
      <c r="BK836" s="197" t="e">
        <f ca="1">_xlfn.MAXIFS(TeamGameData[Loss],TeamGameData[School, Opponent,Game'#],PlayerGameData[[#This Row],[School, Opponent,Game'#]])</f>
        <v>#NAME?</v>
      </c>
    </row>
    <row r="837" spans="1:63" x14ac:dyDescent="0.25">
      <c r="A837" s="8" t="str">
        <f t="shared" ca="1" si="393"/>
        <v xml:space="preserve">, </v>
      </c>
      <c r="B837" s="8" t="str">
        <f>Roster!$B$1</f>
        <v>Upton</v>
      </c>
      <c r="C837" s="8">
        <f t="shared" ca="1" si="381"/>
        <v>0</v>
      </c>
      <c r="D837" s="10">
        <f t="shared" ca="1" si="382"/>
        <v>0</v>
      </c>
      <c r="E837" s="8">
        <f t="shared" ca="1" si="383"/>
        <v>0</v>
      </c>
      <c r="F837" s="8">
        <f t="shared" ca="1" si="384"/>
        <v>0</v>
      </c>
      <c r="G837" s="8">
        <f t="shared" ca="1" si="385"/>
        <v>0</v>
      </c>
      <c r="H837" s="8">
        <f t="shared" ca="1" si="386"/>
        <v>0</v>
      </c>
      <c r="I837" s="8">
        <f t="shared" ca="1" si="387"/>
        <v>0</v>
      </c>
      <c r="J837" s="8">
        <f t="shared" ca="1" si="388"/>
        <v>0</v>
      </c>
      <c r="K837" s="8">
        <f t="shared" ca="1" si="389"/>
        <v>0</v>
      </c>
      <c r="L837" s="8">
        <f t="shared" ca="1" si="394"/>
        <v>0</v>
      </c>
      <c r="M837" s="8">
        <f t="shared" ca="1" si="395"/>
        <v>0</v>
      </c>
      <c r="N837" s="8">
        <f t="shared" ca="1" si="396"/>
        <v>0</v>
      </c>
      <c r="O837" s="8">
        <f t="shared" ca="1" si="397"/>
        <v>0</v>
      </c>
      <c r="P837" s="8">
        <f t="shared" ca="1" si="398"/>
        <v>0</v>
      </c>
      <c r="Q837" s="8">
        <f t="shared" ca="1" si="399"/>
        <v>0</v>
      </c>
      <c r="R837" s="8">
        <f t="shared" ca="1" si="400"/>
        <v>0</v>
      </c>
      <c r="S837" s="8">
        <f t="shared" ca="1" si="401"/>
        <v>0</v>
      </c>
      <c r="T837" s="8">
        <f t="shared" ca="1" si="402"/>
        <v>0</v>
      </c>
      <c r="U837" s="8">
        <f t="shared" ca="1" si="403"/>
        <v>0</v>
      </c>
      <c r="V837" s="8">
        <f t="shared" ca="1" si="404"/>
        <v>0</v>
      </c>
      <c r="W837" s="11" t="str">
        <f t="shared" ca="1" si="405"/>
        <v/>
      </c>
      <c r="X837" s="11" t="str">
        <f t="shared" ca="1" si="406"/>
        <v/>
      </c>
      <c r="Y837" s="11" t="str">
        <f t="shared" ca="1" si="407"/>
        <v/>
      </c>
      <c r="Z837" s="11" t="str">
        <f t="shared" ca="1" si="408"/>
        <v/>
      </c>
      <c r="AA837" s="11" t="str">
        <f t="shared" ca="1" si="409"/>
        <v/>
      </c>
      <c r="AB837" s="47">
        <f ca="1">PlayerGameData[[#This Row],[3FGA]]+PlayerGameData[[#This Row],[2FGA]]</f>
        <v>0</v>
      </c>
      <c r="AC837" s="47">
        <f ca="1">PlayerGameData[[#This Row],[OFF REB]]+PlayerGameData[[#This Row],[DEF REB]]</f>
        <v>0</v>
      </c>
      <c r="AD837" s="8">
        <f t="shared" si="390"/>
        <v>35</v>
      </c>
      <c r="AE837" s="8" t="str">
        <f t="shared" ca="1" si="391"/>
        <v>,  - 0 1/0/1900</v>
      </c>
      <c r="AF837" s="8" t="str">
        <f t="shared" ca="1" si="410"/>
        <v/>
      </c>
      <c r="AG837" s="8" t="str">
        <f ca="1">IFERROR(IF(C837=0,"",IF(AND(VLOOKUP(PlayerGameData[[#This Row],[Opponent]],WYTeamInfo,2,FALSE)=Roster!$D$1,VLOOKUP(PlayerGameData[[#This Row],[Opponent]],WYTeamInfo,3,FALSE)=Roster!$D$2),"SR","")),"")</f>
        <v/>
      </c>
      <c r="AH837" s="8" t="str">
        <f>CONCATENATE(Roster!$D$1," ",Roster!$D$5)</f>
        <v>1A BB</v>
      </c>
      <c r="AI837" s="8" t="str">
        <f t="shared" ca="1" si="392"/>
        <v>Blank</v>
      </c>
      <c r="AJ837" s="8">
        <f ca="1">IFERROR(VLOOKUP(PlayerGameData[[#This Row],[School, Opponent,Game'#]],Table3[],2,FALSE),0)</f>
        <v>0</v>
      </c>
      <c r="AK837" s="8">
        <f ca="1">IF(PlayerGameData[[#This Row],[Visible]]=1,1,1000)</f>
        <v>1000</v>
      </c>
      <c r="AL837" s="8">
        <f ca="1">RANK(PlayerGameData[[#This Row],[TL PTS]],PlayerGameData[TL PTS],0)+PlayerGameData[[#This Row],[VisibleOrder]]</f>
        <v>1184</v>
      </c>
      <c r="AM837" s="8">
        <f ca="1">IF(COUNTIF(PlayerGameData[PointOrder],PlayerGameData[[#This Row],[PointOrder]])&gt;1,RANK(PlayerGameData[[#This Row],[FGA]],PlayerGameData[FGA],0)/100,0)+PlayerGameData[[#This Row],[PointOrder]]</f>
        <v>1186.1400000000001</v>
      </c>
      <c r="AN837" s="8">
        <f ca="1">RANK(PlayerGameData[[#This Row],[PointTieBreak]],PlayerGameData[PointTieBreak],1)</f>
        <v>625</v>
      </c>
      <c r="AO837" s="8">
        <f ca="1">RANK(PlayerGameData[[#This Row],[REB]],PlayerGameData[REB],0)+PlayerGameData[[#This Row],[VisibleOrder]]</f>
        <v>1191</v>
      </c>
      <c r="AP837" s="8">
        <f ca="1">IF(COUNTIF(PlayerGameData[REBOrder],PlayerGameData[[#This Row],[REBOrder]])&gt;1,PlayerGameData[[#This Row],[PointRank]]/100+PlayerGameData[[#This Row],[REBOrder]],PlayerGameData[[#This Row],[REBOrder]])</f>
        <v>1197.25</v>
      </c>
      <c r="AQ837" s="8">
        <f ca="1">RANK(PlayerGameData[[#This Row],[REBTieBreak]],PlayerGameData[REBTieBreak],1)</f>
        <v>625</v>
      </c>
      <c r="AR837" s="8">
        <f ca="1">RANK(PlayerGameData[[#This Row],[AST]],PlayerGameData[AST],0)+PlayerGameData[[#This Row],[VisibleOrder]]</f>
        <v>1157</v>
      </c>
      <c r="AS837" s="8">
        <f ca="1">IF(COUNTIF(PlayerGameData[ASTOrder],PlayerGameData[[#This Row],[ASTOrder]])&gt;1,PlayerGameData[[#This Row],[PointRank]]/100+PlayerGameData[[#This Row],[ASTOrder]],PlayerGameData[[#This Row],[ASTOrder]])</f>
        <v>1163.25</v>
      </c>
      <c r="AT837" s="8">
        <f ca="1">RANK(PlayerGameData[[#This Row],[ASTTieBreak]],PlayerGameData[ASTTieBreak],1)</f>
        <v>625</v>
      </c>
      <c r="AU837" s="8">
        <f ca="1">RANK(PlayerGameData[[#This Row],[STL]],PlayerGameData[STL],0)+PlayerGameData[[#This Row],[VisibleOrder]]</f>
        <v>1142</v>
      </c>
      <c r="AV837" s="8">
        <f ca="1">IF(COUNTIF(PlayerGameData[STLOrder],PlayerGameData[[#This Row],[STLOrder]])&gt;1,PlayerGameData[[#This Row],[PointRank]]/100+PlayerGameData[[#This Row],[STLOrder]],PlayerGameData[[#This Row],[STLOrder]])</f>
        <v>1148.25</v>
      </c>
      <c r="AW837" s="8">
        <f ca="1">RANK(PlayerGameData[[#This Row],[STLTieBreak]],PlayerGameData[STLTieBreak],1)</f>
        <v>625</v>
      </c>
      <c r="AX837" s="8">
        <f ca="1">RANK(PlayerGameData[[#This Row],[BLK]],PlayerGameData[BLK],0)+PlayerGameData[[#This Row],[VisibleOrder]]</f>
        <v>1031</v>
      </c>
      <c r="AY837" s="8">
        <f ca="1">IF(COUNTIF(PlayerGameData[BLKOrder],PlayerGameData[[#This Row],[BLKOrder]])&gt;1,PlayerGameData[[#This Row],[PointRank]]/100+PlayerGameData[[#This Row],[BLKOrder]],PlayerGameData[[#This Row],[BLKOrder]])</f>
        <v>1037.25</v>
      </c>
      <c r="AZ837" s="8">
        <f ca="1">RANK(PlayerGameData[[#This Row],[BLKTieBreak]],PlayerGameData[BLKTieBreak],1)</f>
        <v>625</v>
      </c>
      <c r="BA837" s="11">
        <f ca="1">IFERROR(IF(PlayerGameData[[#This Row],[FGA]]&gt;$AA$5,PlayerGameData[[#This Row],[FG%*]],PlayerGameData[[#This Row],[FG%*]]*-1),-2)</f>
        <v>-2</v>
      </c>
      <c r="BB837" s="8">
        <f ca="1">RANK(PlayerGameData[[#This Row],[EligFG]],PlayerGameData[EligFG],0)+PlayerGameData[[#This Row],[VisibleOrder]]</f>
        <v>1214</v>
      </c>
      <c r="BC837" s="8">
        <f ca="1">IF(COUNTIF(PlayerGameData[EligFGOrder],PlayerGameData[[#This Row],[EligFGOrder]])&gt;1,PlayerGameData[[#This Row],[PointRank]]/100+PlayerGameData[[#This Row],[EligFGOrder]],PlayerGameData[[#This Row],[EligFGOrder]])</f>
        <v>1220.25</v>
      </c>
      <c r="BD837" s="8">
        <f ca="1">RANK(PlayerGameData[[#This Row],[EligFGTieBreak]],PlayerGameData[EligFGTieBreak],1)</f>
        <v>625</v>
      </c>
      <c r="BE837" s="8" t="str">
        <f>Roster!$D$3</f>
        <v>East</v>
      </c>
      <c r="BF837" s="8" t="str">
        <f>Roster!$D$2</f>
        <v>Northeast</v>
      </c>
      <c r="BG837" s="8" t="str">
        <f>Roster!$D$4</f>
        <v>North</v>
      </c>
      <c r="BH837" s="197">
        <f ca="1">IFERROR(VLOOKUP(CONCATENATE(PlayerGameData[[#This Row],[Opponent]]," ",MONTH(PlayerGameData[[#This Row],[Date]]),"/",DAY(PlayerGameData[[#This Row],[Date]]),"/",YEAR(PlayerGameData[[#This Row],[Date]])),Table35[],2,FALSE),0)</f>
        <v>0</v>
      </c>
      <c r="BI837" s="197">
        <f ca="1">IF(PlayerGameData[[#This Row],[Visible]]=1,1,1000)</f>
        <v>1000</v>
      </c>
      <c r="BJ837" s="197" t="e">
        <f ca="1">_xlfn.MAXIFS(TeamGameData[Win],TeamGameData[School, Opponent,Game'#],PlayerGameData[[#This Row],[School, Opponent,Game'#]])</f>
        <v>#NAME?</v>
      </c>
      <c r="BK837" s="197" t="e">
        <f ca="1">_xlfn.MAXIFS(TeamGameData[Loss],TeamGameData[School, Opponent,Game'#],PlayerGameData[[#This Row],[School, Opponent,Game'#]])</f>
        <v>#NAME?</v>
      </c>
    </row>
    <row r="838" spans="1:63" x14ac:dyDescent="0.25">
      <c r="A838" s="8" t="str">
        <f t="shared" ca="1" si="393"/>
        <v xml:space="preserve">, </v>
      </c>
      <c r="B838" s="8" t="str">
        <f>Roster!$B$1</f>
        <v>Upton</v>
      </c>
      <c r="C838" s="8">
        <f t="shared" ca="1" si="381"/>
        <v>0</v>
      </c>
      <c r="D838" s="10">
        <f t="shared" ca="1" si="382"/>
        <v>0</v>
      </c>
      <c r="E838" s="8">
        <f t="shared" ca="1" si="383"/>
        <v>0</v>
      </c>
      <c r="F838" s="8">
        <f t="shared" ca="1" si="384"/>
        <v>0</v>
      </c>
      <c r="G838" s="8">
        <f t="shared" ca="1" si="385"/>
        <v>0</v>
      </c>
      <c r="H838" s="8">
        <f t="shared" ca="1" si="386"/>
        <v>0</v>
      </c>
      <c r="I838" s="8">
        <f t="shared" ca="1" si="387"/>
        <v>0</v>
      </c>
      <c r="J838" s="8">
        <f t="shared" ca="1" si="388"/>
        <v>0</v>
      </c>
      <c r="K838" s="8">
        <f t="shared" ca="1" si="389"/>
        <v>0</v>
      </c>
      <c r="L838" s="8">
        <f t="shared" ca="1" si="394"/>
        <v>0</v>
      </c>
      <c r="M838" s="8">
        <f t="shared" ca="1" si="395"/>
        <v>0</v>
      </c>
      <c r="N838" s="8">
        <f t="shared" ca="1" si="396"/>
        <v>0</v>
      </c>
      <c r="O838" s="8">
        <f t="shared" ca="1" si="397"/>
        <v>0</v>
      </c>
      <c r="P838" s="8">
        <f t="shared" ca="1" si="398"/>
        <v>0</v>
      </c>
      <c r="Q838" s="8">
        <f t="shared" ca="1" si="399"/>
        <v>0</v>
      </c>
      <c r="R838" s="8">
        <f t="shared" ca="1" si="400"/>
        <v>0</v>
      </c>
      <c r="S838" s="8">
        <f t="shared" ca="1" si="401"/>
        <v>0</v>
      </c>
      <c r="T838" s="8">
        <f t="shared" ca="1" si="402"/>
        <v>0</v>
      </c>
      <c r="U838" s="8">
        <f t="shared" ca="1" si="403"/>
        <v>0</v>
      </c>
      <c r="V838" s="8">
        <f t="shared" ca="1" si="404"/>
        <v>0</v>
      </c>
      <c r="W838" s="11" t="str">
        <f t="shared" ca="1" si="405"/>
        <v/>
      </c>
      <c r="X838" s="11" t="str">
        <f t="shared" ca="1" si="406"/>
        <v/>
      </c>
      <c r="Y838" s="11" t="str">
        <f t="shared" ca="1" si="407"/>
        <v/>
      </c>
      <c r="Z838" s="11" t="str">
        <f t="shared" ca="1" si="408"/>
        <v/>
      </c>
      <c r="AA838" s="11" t="str">
        <f t="shared" ca="1" si="409"/>
        <v/>
      </c>
      <c r="AB838" s="47">
        <f ca="1">PlayerGameData[[#This Row],[3FGA]]+PlayerGameData[[#This Row],[2FGA]]</f>
        <v>0</v>
      </c>
      <c r="AC838" s="47">
        <f ca="1">PlayerGameData[[#This Row],[OFF REB]]+PlayerGameData[[#This Row],[DEF REB]]</f>
        <v>0</v>
      </c>
      <c r="AD838" s="8">
        <f t="shared" si="390"/>
        <v>35</v>
      </c>
      <c r="AE838" s="8" t="str">
        <f t="shared" ca="1" si="391"/>
        <v>,  - 0 1/0/1900</v>
      </c>
      <c r="AF838" s="8" t="str">
        <f t="shared" ca="1" si="410"/>
        <v/>
      </c>
      <c r="AG838" s="8" t="str">
        <f ca="1">IFERROR(IF(C838=0,"",IF(AND(VLOOKUP(PlayerGameData[[#This Row],[Opponent]],WYTeamInfo,2,FALSE)=Roster!$D$1,VLOOKUP(PlayerGameData[[#This Row],[Opponent]],WYTeamInfo,3,FALSE)=Roster!$D$2),"SR","")),"")</f>
        <v/>
      </c>
      <c r="AH838" s="8" t="str">
        <f>CONCATENATE(Roster!$D$1," ",Roster!$D$5)</f>
        <v>1A BB</v>
      </c>
      <c r="AI838" s="8" t="str">
        <f t="shared" ca="1" si="392"/>
        <v>Blank</v>
      </c>
      <c r="AJ838" s="8">
        <f ca="1">IFERROR(VLOOKUP(PlayerGameData[[#This Row],[School, Opponent,Game'#]],Table3[],2,FALSE),0)</f>
        <v>0</v>
      </c>
      <c r="AK838" s="8">
        <f ca="1">IF(PlayerGameData[[#This Row],[Visible]]=1,1,1000)</f>
        <v>1000</v>
      </c>
      <c r="AL838" s="8">
        <f ca="1">RANK(PlayerGameData[[#This Row],[TL PTS]],PlayerGameData[TL PTS],0)+PlayerGameData[[#This Row],[VisibleOrder]]</f>
        <v>1184</v>
      </c>
      <c r="AM838" s="8">
        <f ca="1">IF(COUNTIF(PlayerGameData[PointOrder],PlayerGameData[[#This Row],[PointOrder]])&gt;1,RANK(PlayerGameData[[#This Row],[FGA]],PlayerGameData[FGA],0)/100,0)+PlayerGameData[[#This Row],[PointOrder]]</f>
        <v>1186.1400000000001</v>
      </c>
      <c r="AN838" s="8">
        <f ca="1">RANK(PlayerGameData[[#This Row],[PointTieBreak]],PlayerGameData[PointTieBreak],1)</f>
        <v>625</v>
      </c>
      <c r="AO838" s="8">
        <f ca="1">RANK(PlayerGameData[[#This Row],[REB]],PlayerGameData[REB],0)+PlayerGameData[[#This Row],[VisibleOrder]]</f>
        <v>1191</v>
      </c>
      <c r="AP838" s="8">
        <f ca="1">IF(COUNTIF(PlayerGameData[REBOrder],PlayerGameData[[#This Row],[REBOrder]])&gt;1,PlayerGameData[[#This Row],[PointRank]]/100+PlayerGameData[[#This Row],[REBOrder]],PlayerGameData[[#This Row],[REBOrder]])</f>
        <v>1197.25</v>
      </c>
      <c r="AQ838" s="8">
        <f ca="1">RANK(PlayerGameData[[#This Row],[REBTieBreak]],PlayerGameData[REBTieBreak],1)</f>
        <v>625</v>
      </c>
      <c r="AR838" s="8">
        <f ca="1">RANK(PlayerGameData[[#This Row],[AST]],PlayerGameData[AST],0)+PlayerGameData[[#This Row],[VisibleOrder]]</f>
        <v>1157</v>
      </c>
      <c r="AS838" s="8">
        <f ca="1">IF(COUNTIF(PlayerGameData[ASTOrder],PlayerGameData[[#This Row],[ASTOrder]])&gt;1,PlayerGameData[[#This Row],[PointRank]]/100+PlayerGameData[[#This Row],[ASTOrder]],PlayerGameData[[#This Row],[ASTOrder]])</f>
        <v>1163.25</v>
      </c>
      <c r="AT838" s="8">
        <f ca="1">RANK(PlayerGameData[[#This Row],[ASTTieBreak]],PlayerGameData[ASTTieBreak],1)</f>
        <v>625</v>
      </c>
      <c r="AU838" s="8">
        <f ca="1">RANK(PlayerGameData[[#This Row],[STL]],PlayerGameData[STL],0)+PlayerGameData[[#This Row],[VisibleOrder]]</f>
        <v>1142</v>
      </c>
      <c r="AV838" s="8">
        <f ca="1">IF(COUNTIF(PlayerGameData[STLOrder],PlayerGameData[[#This Row],[STLOrder]])&gt;1,PlayerGameData[[#This Row],[PointRank]]/100+PlayerGameData[[#This Row],[STLOrder]],PlayerGameData[[#This Row],[STLOrder]])</f>
        <v>1148.25</v>
      </c>
      <c r="AW838" s="8">
        <f ca="1">RANK(PlayerGameData[[#This Row],[STLTieBreak]],PlayerGameData[STLTieBreak],1)</f>
        <v>625</v>
      </c>
      <c r="AX838" s="8">
        <f ca="1">RANK(PlayerGameData[[#This Row],[BLK]],PlayerGameData[BLK],0)+PlayerGameData[[#This Row],[VisibleOrder]]</f>
        <v>1031</v>
      </c>
      <c r="AY838" s="8">
        <f ca="1">IF(COUNTIF(PlayerGameData[BLKOrder],PlayerGameData[[#This Row],[BLKOrder]])&gt;1,PlayerGameData[[#This Row],[PointRank]]/100+PlayerGameData[[#This Row],[BLKOrder]],PlayerGameData[[#This Row],[BLKOrder]])</f>
        <v>1037.25</v>
      </c>
      <c r="AZ838" s="8">
        <f ca="1">RANK(PlayerGameData[[#This Row],[BLKTieBreak]],PlayerGameData[BLKTieBreak],1)</f>
        <v>625</v>
      </c>
      <c r="BA838" s="11">
        <f ca="1">IFERROR(IF(PlayerGameData[[#This Row],[FGA]]&gt;$AA$5,PlayerGameData[[#This Row],[FG%*]],PlayerGameData[[#This Row],[FG%*]]*-1),-2)</f>
        <v>-2</v>
      </c>
      <c r="BB838" s="8">
        <f ca="1">RANK(PlayerGameData[[#This Row],[EligFG]],PlayerGameData[EligFG],0)+PlayerGameData[[#This Row],[VisibleOrder]]</f>
        <v>1214</v>
      </c>
      <c r="BC838" s="8">
        <f ca="1">IF(COUNTIF(PlayerGameData[EligFGOrder],PlayerGameData[[#This Row],[EligFGOrder]])&gt;1,PlayerGameData[[#This Row],[PointRank]]/100+PlayerGameData[[#This Row],[EligFGOrder]],PlayerGameData[[#This Row],[EligFGOrder]])</f>
        <v>1220.25</v>
      </c>
      <c r="BD838" s="8">
        <f ca="1">RANK(PlayerGameData[[#This Row],[EligFGTieBreak]],PlayerGameData[EligFGTieBreak],1)</f>
        <v>625</v>
      </c>
      <c r="BE838" s="8" t="str">
        <f>Roster!$D$3</f>
        <v>East</v>
      </c>
      <c r="BF838" s="8" t="str">
        <f>Roster!$D$2</f>
        <v>Northeast</v>
      </c>
      <c r="BG838" s="8" t="str">
        <f>Roster!$D$4</f>
        <v>North</v>
      </c>
      <c r="BH838" s="197">
        <f ca="1">IFERROR(VLOOKUP(CONCATENATE(PlayerGameData[[#This Row],[Opponent]]," ",MONTH(PlayerGameData[[#This Row],[Date]]),"/",DAY(PlayerGameData[[#This Row],[Date]]),"/",YEAR(PlayerGameData[[#This Row],[Date]])),Table35[],2,FALSE),0)</f>
        <v>0</v>
      </c>
      <c r="BI838" s="197">
        <f ca="1">IF(PlayerGameData[[#This Row],[Visible]]=1,1,1000)</f>
        <v>1000</v>
      </c>
      <c r="BJ838" s="197" t="e">
        <f ca="1">_xlfn.MAXIFS(TeamGameData[Win],TeamGameData[School, Opponent,Game'#],PlayerGameData[[#This Row],[School, Opponent,Game'#]])</f>
        <v>#NAME?</v>
      </c>
      <c r="BK838" s="197" t="e">
        <f ca="1">_xlfn.MAXIFS(TeamGameData[Loss],TeamGameData[School, Opponent,Game'#],PlayerGameData[[#This Row],[School, Opponent,Game'#]])</f>
        <v>#NAME?</v>
      </c>
    </row>
    <row r="839" spans="1:63" x14ac:dyDescent="0.25">
      <c r="A839" s="8" t="str">
        <f t="shared" ca="1" si="393"/>
        <v xml:space="preserve">, </v>
      </c>
      <c r="B839" s="8" t="str">
        <f>Roster!$B$1</f>
        <v>Upton</v>
      </c>
      <c r="C839" s="8">
        <f t="shared" ref="C839:C902" ca="1" si="411">INDIRECT("'game1 ("&amp;$AD839&amp;")'!$b$3")</f>
        <v>0</v>
      </c>
      <c r="D839" s="10">
        <f t="shared" ref="D839:D902" ca="1" si="412">INDIRECT("'game1 ("&amp;$AD839&amp;")'!$m$4")</f>
        <v>0</v>
      </c>
      <c r="E839" s="8">
        <f t="shared" ref="E839:E902" ca="1" si="413">INDIRECT("'game1 ("&amp;$AD839&amp;")'!"&amp;ADDRESS(ROW(A$7)+MOD(ROW(A839)-7,24),COLUMN(D839)))</f>
        <v>0</v>
      </c>
      <c r="F839" s="8">
        <f t="shared" ref="F839:F902" ca="1" si="414">IF(INDIRECT("'game1 ("&amp;$AD839&amp;")'!"&amp;ADDRESS(ROW(B$7)+MOD(ROW(B839)-7,24),COLUMN(C839)))="s",1,0)</f>
        <v>0</v>
      </c>
      <c r="G839" s="8">
        <f t="shared" ref="G839:G902" ca="1" si="415">INDIRECT("'game1 ("&amp;$AD839&amp;")'!"&amp;ADDRESS(ROW(B$7)+MOD(ROW(B839)-7,24),COLUMN(E839)))</f>
        <v>0</v>
      </c>
      <c r="H839" s="8">
        <f t="shared" ref="H839:H902" ca="1" si="416">INDIRECT("'game1 ("&amp;$AD839&amp;")'!"&amp;ADDRESS(ROW(B$7)+MOD(ROW(B839)-7,24),COLUMN(F839)))</f>
        <v>0</v>
      </c>
      <c r="I839" s="8">
        <f t="shared" ref="I839:I902" ca="1" si="417">INDIRECT("'game1 ("&amp;$AD839&amp;")'!"&amp;ADDRESS(ROW(C$7)+MOD(ROW(C839)-7,24),COLUMN(G839)))</f>
        <v>0</v>
      </c>
      <c r="J839" s="8">
        <f t="shared" ref="J839:J902" ca="1" si="418">INDIRECT("'game1 ("&amp;$AD839&amp;")'!"&amp;ADDRESS(ROW(D$7)+MOD(ROW(D839)-7,24),COLUMN(H839)))</f>
        <v>0</v>
      </c>
      <c r="K839" s="8">
        <f t="shared" ref="K839:K902" ca="1" si="419">INDIRECT("'game1 ("&amp;$AD839&amp;")'!"&amp;ADDRESS(ROW(E$7)+MOD(ROW(E839)-7,24),COLUMN(I839)))</f>
        <v>0</v>
      </c>
      <c r="L839" s="8">
        <f t="shared" ca="1" si="394"/>
        <v>0</v>
      </c>
      <c r="M839" s="8">
        <f t="shared" ca="1" si="395"/>
        <v>0</v>
      </c>
      <c r="N839" s="8">
        <f t="shared" ca="1" si="396"/>
        <v>0</v>
      </c>
      <c r="O839" s="8">
        <f t="shared" ca="1" si="397"/>
        <v>0</v>
      </c>
      <c r="P839" s="8">
        <f t="shared" ca="1" si="398"/>
        <v>0</v>
      </c>
      <c r="Q839" s="8">
        <f t="shared" ca="1" si="399"/>
        <v>0</v>
      </c>
      <c r="R839" s="8">
        <f t="shared" ca="1" si="400"/>
        <v>0</v>
      </c>
      <c r="S839" s="8">
        <f t="shared" ca="1" si="401"/>
        <v>0</v>
      </c>
      <c r="T839" s="8">
        <f t="shared" ca="1" si="402"/>
        <v>0</v>
      </c>
      <c r="U839" s="8">
        <f t="shared" ca="1" si="403"/>
        <v>0</v>
      </c>
      <c r="V839" s="8">
        <f t="shared" ca="1" si="404"/>
        <v>0</v>
      </c>
      <c r="W839" s="11" t="str">
        <f t="shared" ca="1" si="405"/>
        <v/>
      </c>
      <c r="X839" s="11" t="str">
        <f t="shared" ca="1" si="406"/>
        <v/>
      </c>
      <c r="Y839" s="11" t="str">
        <f t="shared" ca="1" si="407"/>
        <v/>
      </c>
      <c r="Z839" s="11" t="str">
        <f t="shared" ca="1" si="408"/>
        <v/>
      </c>
      <c r="AA839" s="11" t="str">
        <f t="shared" ca="1" si="409"/>
        <v/>
      </c>
      <c r="AB839" s="47">
        <f ca="1">PlayerGameData[[#This Row],[3FGA]]+PlayerGameData[[#This Row],[2FGA]]</f>
        <v>0</v>
      </c>
      <c r="AC839" s="47">
        <f ca="1">PlayerGameData[[#This Row],[OFF REB]]+PlayerGameData[[#This Row],[DEF REB]]</f>
        <v>0</v>
      </c>
      <c r="AD839" s="8">
        <f t="shared" ref="AD839:AD902" si="420">INT((ROW(A839)-7)/24)+1</f>
        <v>35</v>
      </c>
      <c r="AE839" s="8" t="str">
        <f t="shared" ref="AE839:AE902" ca="1" si="421">CONCATENATE(A839," - ",C839," ",MONTH(D839),"/",DAY(D839),"/",YEAR(D839))</f>
        <v>,  - 0 1/0/1900</v>
      </c>
      <c r="AF839" s="8" t="str">
        <f t="shared" ca="1" si="410"/>
        <v/>
      </c>
      <c r="AG839" s="8" t="str">
        <f ca="1">IFERROR(IF(C839=0,"",IF(AND(VLOOKUP(PlayerGameData[[#This Row],[Opponent]],WYTeamInfo,2,FALSE)=Roster!$D$1,VLOOKUP(PlayerGameData[[#This Row],[Opponent]],WYTeamInfo,3,FALSE)=Roster!$D$2),"SR","")),"")</f>
        <v/>
      </c>
      <c r="AH839" s="8" t="str">
        <f>CONCATENATE(Roster!$D$1," ",Roster!$D$5)</f>
        <v>1A BB</v>
      </c>
      <c r="AI839" s="8" t="str">
        <f t="shared" ref="AI839:AI902" ca="1" si="422">IF($C839&lt;&gt;0,CONCATENATE($B839," - ",$C839," ",MONTH($D839),"/",DAY($D839),"/",YEAR($D839)),"Blank")</f>
        <v>Blank</v>
      </c>
      <c r="AJ839" s="8">
        <f ca="1">IFERROR(VLOOKUP(PlayerGameData[[#This Row],[School, Opponent,Game'#]],Table3[],2,FALSE),0)</f>
        <v>0</v>
      </c>
      <c r="AK839" s="8">
        <f ca="1">IF(PlayerGameData[[#This Row],[Visible]]=1,1,1000)</f>
        <v>1000</v>
      </c>
      <c r="AL839" s="8">
        <f ca="1">RANK(PlayerGameData[[#This Row],[TL PTS]],PlayerGameData[TL PTS],0)+PlayerGameData[[#This Row],[VisibleOrder]]</f>
        <v>1184</v>
      </c>
      <c r="AM839" s="8">
        <f ca="1">IF(COUNTIF(PlayerGameData[PointOrder],PlayerGameData[[#This Row],[PointOrder]])&gt;1,RANK(PlayerGameData[[#This Row],[FGA]],PlayerGameData[FGA],0)/100,0)+PlayerGameData[[#This Row],[PointOrder]]</f>
        <v>1186.1400000000001</v>
      </c>
      <c r="AN839" s="8">
        <f ca="1">RANK(PlayerGameData[[#This Row],[PointTieBreak]],PlayerGameData[PointTieBreak],1)</f>
        <v>625</v>
      </c>
      <c r="AO839" s="8">
        <f ca="1">RANK(PlayerGameData[[#This Row],[REB]],PlayerGameData[REB],0)+PlayerGameData[[#This Row],[VisibleOrder]]</f>
        <v>1191</v>
      </c>
      <c r="AP839" s="8">
        <f ca="1">IF(COUNTIF(PlayerGameData[REBOrder],PlayerGameData[[#This Row],[REBOrder]])&gt;1,PlayerGameData[[#This Row],[PointRank]]/100+PlayerGameData[[#This Row],[REBOrder]],PlayerGameData[[#This Row],[REBOrder]])</f>
        <v>1197.25</v>
      </c>
      <c r="AQ839" s="8">
        <f ca="1">RANK(PlayerGameData[[#This Row],[REBTieBreak]],PlayerGameData[REBTieBreak],1)</f>
        <v>625</v>
      </c>
      <c r="AR839" s="8">
        <f ca="1">RANK(PlayerGameData[[#This Row],[AST]],PlayerGameData[AST],0)+PlayerGameData[[#This Row],[VisibleOrder]]</f>
        <v>1157</v>
      </c>
      <c r="AS839" s="8">
        <f ca="1">IF(COUNTIF(PlayerGameData[ASTOrder],PlayerGameData[[#This Row],[ASTOrder]])&gt;1,PlayerGameData[[#This Row],[PointRank]]/100+PlayerGameData[[#This Row],[ASTOrder]],PlayerGameData[[#This Row],[ASTOrder]])</f>
        <v>1163.25</v>
      </c>
      <c r="AT839" s="8">
        <f ca="1">RANK(PlayerGameData[[#This Row],[ASTTieBreak]],PlayerGameData[ASTTieBreak],1)</f>
        <v>625</v>
      </c>
      <c r="AU839" s="8">
        <f ca="1">RANK(PlayerGameData[[#This Row],[STL]],PlayerGameData[STL],0)+PlayerGameData[[#This Row],[VisibleOrder]]</f>
        <v>1142</v>
      </c>
      <c r="AV839" s="8">
        <f ca="1">IF(COUNTIF(PlayerGameData[STLOrder],PlayerGameData[[#This Row],[STLOrder]])&gt;1,PlayerGameData[[#This Row],[PointRank]]/100+PlayerGameData[[#This Row],[STLOrder]],PlayerGameData[[#This Row],[STLOrder]])</f>
        <v>1148.25</v>
      </c>
      <c r="AW839" s="8">
        <f ca="1">RANK(PlayerGameData[[#This Row],[STLTieBreak]],PlayerGameData[STLTieBreak],1)</f>
        <v>625</v>
      </c>
      <c r="AX839" s="8">
        <f ca="1">RANK(PlayerGameData[[#This Row],[BLK]],PlayerGameData[BLK],0)+PlayerGameData[[#This Row],[VisibleOrder]]</f>
        <v>1031</v>
      </c>
      <c r="AY839" s="8">
        <f ca="1">IF(COUNTIF(PlayerGameData[BLKOrder],PlayerGameData[[#This Row],[BLKOrder]])&gt;1,PlayerGameData[[#This Row],[PointRank]]/100+PlayerGameData[[#This Row],[BLKOrder]],PlayerGameData[[#This Row],[BLKOrder]])</f>
        <v>1037.25</v>
      </c>
      <c r="AZ839" s="8">
        <f ca="1">RANK(PlayerGameData[[#This Row],[BLKTieBreak]],PlayerGameData[BLKTieBreak],1)</f>
        <v>625</v>
      </c>
      <c r="BA839" s="11">
        <f ca="1">IFERROR(IF(PlayerGameData[[#This Row],[FGA]]&gt;$AA$5,PlayerGameData[[#This Row],[FG%*]],PlayerGameData[[#This Row],[FG%*]]*-1),-2)</f>
        <v>-2</v>
      </c>
      <c r="BB839" s="8">
        <f ca="1">RANK(PlayerGameData[[#This Row],[EligFG]],PlayerGameData[EligFG],0)+PlayerGameData[[#This Row],[VisibleOrder]]</f>
        <v>1214</v>
      </c>
      <c r="BC839" s="8">
        <f ca="1">IF(COUNTIF(PlayerGameData[EligFGOrder],PlayerGameData[[#This Row],[EligFGOrder]])&gt;1,PlayerGameData[[#This Row],[PointRank]]/100+PlayerGameData[[#This Row],[EligFGOrder]],PlayerGameData[[#This Row],[EligFGOrder]])</f>
        <v>1220.25</v>
      </c>
      <c r="BD839" s="8">
        <f ca="1">RANK(PlayerGameData[[#This Row],[EligFGTieBreak]],PlayerGameData[EligFGTieBreak],1)</f>
        <v>625</v>
      </c>
      <c r="BE839" s="8" t="str">
        <f>Roster!$D$3</f>
        <v>East</v>
      </c>
      <c r="BF839" s="8" t="str">
        <f>Roster!$D$2</f>
        <v>Northeast</v>
      </c>
      <c r="BG839" s="8" t="str">
        <f>Roster!$D$4</f>
        <v>North</v>
      </c>
      <c r="BH839" s="197">
        <f ca="1">IFERROR(VLOOKUP(CONCATENATE(PlayerGameData[[#This Row],[Opponent]]," ",MONTH(PlayerGameData[[#This Row],[Date]]),"/",DAY(PlayerGameData[[#This Row],[Date]]),"/",YEAR(PlayerGameData[[#This Row],[Date]])),Table35[],2,FALSE),0)</f>
        <v>0</v>
      </c>
      <c r="BI839" s="197">
        <f ca="1">IF(PlayerGameData[[#This Row],[Visible]]=1,1,1000)</f>
        <v>1000</v>
      </c>
      <c r="BJ839" s="197" t="e">
        <f ca="1">_xlfn.MAXIFS(TeamGameData[Win],TeamGameData[School, Opponent,Game'#],PlayerGameData[[#This Row],[School, Opponent,Game'#]])</f>
        <v>#NAME?</v>
      </c>
      <c r="BK839" s="197" t="e">
        <f ca="1">_xlfn.MAXIFS(TeamGameData[Loss],TeamGameData[School, Opponent,Game'#],PlayerGameData[[#This Row],[School, Opponent,Game'#]])</f>
        <v>#NAME?</v>
      </c>
    </row>
    <row r="840" spans="1:63" x14ac:dyDescent="0.25">
      <c r="A840" s="8" t="str">
        <f t="shared" ref="A840:A903" ca="1" si="423">CONCATENATE(INDIRECT("Roster!B"&amp;ROW(A$7)+MOD(ROW(A840)-7,24)),", ",INDIRECT("Roster!a"&amp;ROW(A$7)+MOD(ROW(A840)-7,24)))</f>
        <v xml:space="preserve">, </v>
      </c>
      <c r="B840" s="8" t="str">
        <f>Roster!$B$1</f>
        <v>Upton</v>
      </c>
      <c r="C840" s="8">
        <f t="shared" ca="1" si="411"/>
        <v>0</v>
      </c>
      <c r="D840" s="10">
        <f t="shared" ca="1" si="412"/>
        <v>0</v>
      </c>
      <c r="E840" s="8">
        <f t="shared" ca="1" si="413"/>
        <v>0</v>
      </c>
      <c r="F840" s="8">
        <f t="shared" ca="1" si="414"/>
        <v>0</v>
      </c>
      <c r="G840" s="8">
        <f t="shared" ca="1" si="415"/>
        <v>0</v>
      </c>
      <c r="H840" s="8">
        <f t="shared" ca="1" si="416"/>
        <v>0</v>
      </c>
      <c r="I840" s="8">
        <f t="shared" ca="1" si="417"/>
        <v>0</v>
      </c>
      <c r="J840" s="8">
        <f t="shared" ca="1" si="418"/>
        <v>0</v>
      </c>
      <c r="K840" s="8">
        <f t="shared" ca="1" si="419"/>
        <v>0</v>
      </c>
      <c r="L840" s="8">
        <f t="shared" ref="L840:L903" ca="1" si="424">INDIRECT("'game1 ("&amp;$AD840&amp;")'!"&amp;ADDRESS(ROW(G$7)+MOD(ROW(G840)-7,24),COLUMN(J840)))</f>
        <v>0</v>
      </c>
      <c r="M840" s="8">
        <f t="shared" ref="M840:M903" ca="1" si="425">INDIRECT("'game1 ("&amp;$AD840&amp;")'!"&amp;ADDRESS(ROW(H$7)+MOD(ROW(H840)-7,24),COLUMN(K840)))</f>
        <v>0</v>
      </c>
      <c r="N840" s="8">
        <f t="shared" ref="N840:N903" ca="1" si="426">INDIRECT("'game1 ("&amp;$AD840&amp;")'!"&amp;ADDRESS(ROW(I$7)+MOD(ROW(I840)-7,24),COLUMN(L840)))</f>
        <v>0</v>
      </c>
      <c r="O840" s="8">
        <f t="shared" ref="O840:O903" ca="1" si="427">INDIRECT("'game1 ("&amp;$AD840&amp;")'!"&amp;ADDRESS(ROW(J$7)+MOD(ROW(J840)-7,24),COLUMN(M840)))</f>
        <v>0</v>
      </c>
      <c r="P840" s="8">
        <f t="shared" ref="P840:P903" ca="1" si="428">INDIRECT("'game1 ("&amp;$AD840&amp;")'!"&amp;ADDRESS(ROW(K$7)+MOD(ROW(K840)-7,24),COLUMN(N840)))</f>
        <v>0</v>
      </c>
      <c r="Q840" s="8">
        <f t="shared" ref="Q840:Q903" ca="1" si="429">INDIRECT("'game1 ("&amp;$AD840&amp;")'!"&amp;ADDRESS(ROW(L$7)+MOD(ROW(L840)-7,24),COLUMN(O840)))</f>
        <v>0</v>
      </c>
      <c r="R840" s="8">
        <f t="shared" ref="R840:R903" ca="1" si="430">INDIRECT("'game1 ("&amp;$AD840&amp;")'!"&amp;ADDRESS(ROW(M$7)+MOD(ROW(M840)-7,24),COLUMN(P840)))</f>
        <v>0</v>
      </c>
      <c r="S840" s="8">
        <f t="shared" ref="S840:S903" ca="1" si="431">INDIRECT("'game1 ("&amp;$AD840&amp;")'!"&amp;ADDRESS(ROW(N$7)+MOD(ROW(N840)-7,24),COLUMN(Q840)))</f>
        <v>0</v>
      </c>
      <c r="T840" s="8">
        <f t="shared" ref="T840:T903" ca="1" si="432">INDIRECT("'game1 ("&amp;$AD840&amp;")'!"&amp;ADDRESS(ROW(O$7)+MOD(ROW(O840)-7,24),COLUMN(R840)))</f>
        <v>0</v>
      </c>
      <c r="U840" s="8">
        <f t="shared" ref="U840:U903" ca="1" si="433">INDIRECT("'game1 ("&amp;$AD840&amp;")'!"&amp;ADDRESS(ROW(P$7)+MOD(ROW(P840)-7,24),COLUMN(S840)))</f>
        <v>0</v>
      </c>
      <c r="V840" s="8">
        <f t="shared" ref="V840:V903" ca="1" si="434">INDIRECT("'game1 ("&amp;$AD840&amp;")'!"&amp;ADDRESS(ROW(Q$7)+MOD(ROW(Q840)-7,24),COLUMN(T840)))</f>
        <v>0</v>
      </c>
      <c r="W840" s="11" t="str">
        <f t="shared" ref="W840:W903" ca="1" si="435">INDIRECT("'game1 ("&amp;$AD840&amp;")'!"&amp;ADDRESS(ROW(R$7)+MOD(ROW(R840)-7,24),COLUMN(U840)))</f>
        <v/>
      </c>
      <c r="X840" s="11" t="str">
        <f t="shared" ref="X840:X903" ca="1" si="436">INDIRECT("'game1 ("&amp;$AD840&amp;")'!"&amp;ADDRESS(ROW(S$7)+MOD(ROW(S840)-7,24),COLUMN(V840)))</f>
        <v/>
      </c>
      <c r="Y840" s="11" t="str">
        <f t="shared" ref="Y840:Y903" ca="1" si="437">INDIRECT("'game1 ("&amp;$AD840&amp;")'!"&amp;ADDRESS(ROW(T$7)+MOD(ROW(T840)-7,24),COLUMN(W840)))</f>
        <v/>
      </c>
      <c r="Z840" s="11" t="str">
        <f t="shared" ref="Z840:Z903" ca="1" si="438">INDIRECT("'game1 ("&amp;$AD840&amp;")'!"&amp;ADDRESS(ROW(U$7)+MOD(ROW(U840)-7,24),COLUMN(X840)))</f>
        <v/>
      </c>
      <c r="AA840" s="11" t="str">
        <f t="shared" ref="AA840:AA903" ca="1" si="439">INDIRECT("'game1 ("&amp;$AD840&amp;")'!"&amp;ADDRESS(ROW(V$7)+MOD(ROW(V840)-7,24),COLUMN(Y840)))</f>
        <v/>
      </c>
      <c r="AB840" s="47">
        <f ca="1">PlayerGameData[[#This Row],[3FGA]]+PlayerGameData[[#This Row],[2FGA]]</f>
        <v>0</v>
      </c>
      <c r="AC840" s="47">
        <f ca="1">PlayerGameData[[#This Row],[OFF REB]]+PlayerGameData[[#This Row],[DEF REB]]</f>
        <v>0</v>
      </c>
      <c r="AD840" s="8">
        <f t="shared" si="420"/>
        <v>35</v>
      </c>
      <c r="AE840" s="8" t="str">
        <f t="shared" ca="1" si="421"/>
        <v>,  - 0 1/0/1900</v>
      </c>
      <c r="AF840" s="8" t="str">
        <f t="shared" ref="AF840:AF903" ca="1" si="440">IFERROR(INDIRECT("'game1 ("&amp;$AD840&amp;")'!$a$2"),"")</f>
        <v/>
      </c>
      <c r="AG840" s="8" t="str">
        <f ca="1">IFERROR(IF(C840=0,"",IF(AND(VLOOKUP(PlayerGameData[[#This Row],[Opponent]],WYTeamInfo,2,FALSE)=Roster!$D$1,VLOOKUP(PlayerGameData[[#This Row],[Opponent]],WYTeamInfo,3,FALSE)=Roster!$D$2),"SR","")),"")</f>
        <v/>
      </c>
      <c r="AH840" s="8" t="str">
        <f>CONCATENATE(Roster!$D$1," ",Roster!$D$5)</f>
        <v>1A BB</v>
      </c>
      <c r="AI840" s="8" t="str">
        <f t="shared" ca="1" si="422"/>
        <v>Blank</v>
      </c>
      <c r="AJ840" s="8">
        <f ca="1">IFERROR(VLOOKUP(PlayerGameData[[#This Row],[School, Opponent,Game'#]],Table3[],2,FALSE),0)</f>
        <v>0</v>
      </c>
      <c r="AK840" s="8">
        <f ca="1">IF(PlayerGameData[[#This Row],[Visible]]=1,1,1000)</f>
        <v>1000</v>
      </c>
      <c r="AL840" s="8">
        <f ca="1">RANK(PlayerGameData[[#This Row],[TL PTS]],PlayerGameData[TL PTS],0)+PlayerGameData[[#This Row],[VisibleOrder]]</f>
        <v>1184</v>
      </c>
      <c r="AM840" s="8">
        <f ca="1">IF(COUNTIF(PlayerGameData[PointOrder],PlayerGameData[[#This Row],[PointOrder]])&gt;1,RANK(PlayerGameData[[#This Row],[FGA]],PlayerGameData[FGA],0)/100,0)+PlayerGameData[[#This Row],[PointOrder]]</f>
        <v>1186.1400000000001</v>
      </c>
      <c r="AN840" s="8">
        <f ca="1">RANK(PlayerGameData[[#This Row],[PointTieBreak]],PlayerGameData[PointTieBreak],1)</f>
        <v>625</v>
      </c>
      <c r="AO840" s="8">
        <f ca="1">RANK(PlayerGameData[[#This Row],[REB]],PlayerGameData[REB],0)+PlayerGameData[[#This Row],[VisibleOrder]]</f>
        <v>1191</v>
      </c>
      <c r="AP840" s="8">
        <f ca="1">IF(COUNTIF(PlayerGameData[REBOrder],PlayerGameData[[#This Row],[REBOrder]])&gt;1,PlayerGameData[[#This Row],[PointRank]]/100+PlayerGameData[[#This Row],[REBOrder]],PlayerGameData[[#This Row],[REBOrder]])</f>
        <v>1197.25</v>
      </c>
      <c r="AQ840" s="8">
        <f ca="1">RANK(PlayerGameData[[#This Row],[REBTieBreak]],PlayerGameData[REBTieBreak],1)</f>
        <v>625</v>
      </c>
      <c r="AR840" s="8">
        <f ca="1">RANK(PlayerGameData[[#This Row],[AST]],PlayerGameData[AST],0)+PlayerGameData[[#This Row],[VisibleOrder]]</f>
        <v>1157</v>
      </c>
      <c r="AS840" s="8">
        <f ca="1">IF(COUNTIF(PlayerGameData[ASTOrder],PlayerGameData[[#This Row],[ASTOrder]])&gt;1,PlayerGameData[[#This Row],[PointRank]]/100+PlayerGameData[[#This Row],[ASTOrder]],PlayerGameData[[#This Row],[ASTOrder]])</f>
        <v>1163.25</v>
      </c>
      <c r="AT840" s="8">
        <f ca="1">RANK(PlayerGameData[[#This Row],[ASTTieBreak]],PlayerGameData[ASTTieBreak],1)</f>
        <v>625</v>
      </c>
      <c r="AU840" s="8">
        <f ca="1">RANK(PlayerGameData[[#This Row],[STL]],PlayerGameData[STL],0)+PlayerGameData[[#This Row],[VisibleOrder]]</f>
        <v>1142</v>
      </c>
      <c r="AV840" s="8">
        <f ca="1">IF(COUNTIF(PlayerGameData[STLOrder],PlayerGameData[[#This Row],[STLOrder]])&gt;1,PlayerGameData[[#This Row],[PointRank]]/100+PlayerGameData[[#This Row],[STLOrder]],PlayerGameData[[#This Row],[STLOrder]])</f>
        <v>1148.25</v>
      </c>
      <c r="AW840" s="8">
        <f ca="1">RANK(PlayerGameData[[#This Row],[STLTieBreak]],PlayerGameData[STLTieBreak],1)</f>
        <v>625</v>
      </c>
      <c r="AX840" s="8">
        <f ca="1">RANK(PlayerGameData[[#This Row],[BLK]],PlayerGameData[BLK],0)+PlayerGameData[[#This Row],[VisibleOrder]]</f>
        <v>1031</v>
      </c>
      <c r="AY840" s="8">
        <f ca="1">IF(COUNTIF(PlayerGameData[BLKOrder],PlayerGameData[[#This Row],[BLKOrder]])&gt;1,PlayerGameData[[#This Row],[PointRank]]/100+PlayerGameData[[#This Row],[BLKOrder]],PlayerGameData[[#This Row],[BLKOrder]])</f>
        <v>1037.25</v>
      </c>
      <c r="AZ840" s="8">
        <f ca="1">RANK(PlayerGameData[[#This Row],[BLKTieBreak]],PlayerGameData[BLKTieBreak],1)</f>
        <v>625</v>
      </c>
      <c r="BA840" s="11">
        <f ca="1">IFERROR(IF(PlayerGameData[[#This Row],[FGA]]&gt;$AA$5,PlayerGameData[[#This Row],[FG%*]],PlayerGameData[[#This Row],[FG%*]]*-1),-2)</f>
        <v>-2</v>
      </c>
      <c r="BB840" s="8">
        <f ca="1">RANK(PlayerGameData[[#This Row],[EligFG]],PlayerGameData[EligFG],0)+PlayerGameData[[#This Row],[VisibleOrder]]</f>
        <v>1214</v>
      </c>
      <c r="BC840" s="8">
        <f ca="1">IF(COUNTIF(PlayerGameData[EligFGOrder],PlayerGameData[[#This Row],[EligFGOrder]])&gt;1,PlayerGameData[[#This Row],[PointRank]]/100+PlayerGameData[[#This Row],[EligFGOrder]],PlayerGameData[[#This Row],[EligFGOrder]])</f>
        <v>1220.25</v>
      </c>
      <c r="BD840" s="8">
        <f ca="1">RANK(PlayerGameData[[#This Row],[EligFGTieBreak]],PlayerGameData[EligFGTieBreak],1)</f>
        <v>625</v>
      </c>
      <c r="BE840" s="8" t="str">
        <f>Roster!$D$3</f>
        <v>East</v>
      </c>
      <c r="BF840" s="8" t="str">
        <f>Roster!$D$2</f>
        <v>Northeast</v>
      </c>
      <c r="BG840" s="8" t="str">
        <f>Roster!$D$4</f>
        <v>North</v>
      </c>
      <c r="BH840" s="197">
        <f ca="1">IFERROR(VLOOKUP(CONCATENATE(PlayerGameData[[#This Row],[Opponent]]," ",MONTH(PlayerGameData[[#This Row],[Date]]),"/",DAY(PlayerGameData[[#This Row],[Date]]),"/",YEAR(PlayerGameData[[#This Row],[Date]])),Table35[],2,FALSE),0)</f>
        <v>0</v>
      </c>
      <c r="BI840" s="197">
        <f ca="1">IF(PlayerGameData[[#This Row],[Visible]]=1,1,1000)</f>
        <v>1000</v>
      </c>
      <c r="BJ840" s="197" t="e">
        <f ca="1">_xlfn.MAXIFS(TeamGameData[Win],TeamGameData[School, Opponent,Game'#],PlayerGameData[[#This Row],[School, Opponent,Game'#]])</f>
        <v>#NAME?</v>
      </c>
      <c r="BK840" s="197" t="e">
        <f ca="1">_xlfn.MAXIFS(TeamGameData[Loss],TeamGameData[School, Opponent,Game'#],PlayerGameData[[#This Row],[School, Opponent,Game'#]])</f>
        <v>#NAME?</v>
      </c>
    </row>
    <row r="841" spans="1:63" x14ac:dyDescent="0.25">
      <c r="A841" s="8" t="str">
        <f t="shared" ca="1" si="423"/>
        <v xml:space="preserve">, </v>
      </c>
      <c r="B841" s="8" t="str">
        <f>Roster!$B$1</f>
        <v>Upton</v>
      </c>
      <c r="C841" s="8">
        <f t="shared" ca="1" si="411"/>
        <v>0</v>
      </c>
      <c r="D841" s="10">
        <f t="shared" ca="1" si="412"/>
        <v>0</v>
      </c>
      <c r="E841" s="8">
        <f t="shared" ca="1" si="413"/>
        <v>0</v>
      </c>
      <c r="F841" s="8">
        <f t="shared" ca="1" si="414"/>
        <v>0</v>
      </c>
      <c r="G841" s="8">
        <f t="shared" ca="1" si="415"/>
        <v>0</v>
      </c>
      <c r="H841" s="8">
        <f t="shared" ca="1" si="416"/>
        <v>0</v>
      </c>
      <c r="I841" s="8">
        <f t="shared" ca="1" si="417"/>
        <v>0</v>
      </c>
      <c r="J841" s="8">
        <f t="shared" ca="1" si="418"/>
        <v>0</v>
      </c>
      <c r="K841" s="8">
        <f t="shared" ca="1" si="419"/>
        <v>0</v>
      </c>
      <c r="L841" s="8">
        <f t="shared" ca="1" si="424"/>
        <v>0</v>
      </c>
      <c r="M841" s="8">
        <f t="shared" ca="1" si="425"/>
        <v>0</v>
      </c>
      <c r="N841" s="8">
        <f t="shared" ca="1" si="426"/>
        <v>0</v>
      </c>
      <c r="O841" s="8">
        <f t="shared" ca="1" si="427"/>
        <v>0</v>
      </c>
      <c r="P841" s="8">
        <f t="shared" ca="1" si="428"/>
        <v>0</v>
      </c>
      <c r="Q841" s="8">
        <f t="shared" ca="1" si="429"/>
        <v>0</v>
      </c>
      <c r="R841" s="8">
        <f t="shared" ca="1" si="430"/>
        <v>0</v>
      </c>
      <c r="S841" s="8">
        <f t="shared" ca="1" si="431"/>
        <v>0</v>
      </c>
      <c r="T841" s="8">
        <f t="shared" ca="1" si="432"/>
        <v>0</v>
      </c>
      <c r="U841" s="8">
        <f t="shared" ca="1" si="433"/>
        <v>0</v>
      </c>
      <c r="V841" s="8">
        <f t="shared" ca="1" si="434"/>
        <v>0</v>
      </c>
      <c r="W841" s="11" t="str">
        <f t="shared" ca="1" si="435"/>
        <v/>
      </c>
      <c r="X841" s="11" t="str">
        <f t="shared" ca="1" si="436"/>
        <v/>
      </c>
      <c r="Y841" s="11" t="str">
        <f t="shared" ca="1" si="437"/>
        <v/>
      </c>
      <c r="Z841" s="11" t="str">
        <f t="shared" ca="1" si="438"/>
        <v/>
      </c>
      <c r="AA841" s="11" t="str">
        <f t="shared" ca="1" si="439"/>
        <v/>
      </c>
      <c r="AB841" s="47">
        <f ca="1">PlayerGameData[[#This Row],[3FGA]]+PlayerGameData[[#This Row],[2FGA]]</f>
        <v>0</v>
      </c>
      <c r="AC841" s="47">
        <f ca="1">PlayerGameData[[#This Row],[OFF REB]]+PlayerGameData[[#This Row],[DEF REB]]</f>
        <v>0</v>
      </c>
      <c r="AD841" s="8">
        <f t="shared" si="420"/>
        <v>35</v>
      </c>
      <c r="AE841" s="8" t="str">
        <f t="shared" ca="1" si="421"/>
        <v>,  - 0 1/0/1900</v>
      </c>
      <c r="AF841" s="8" t="str">
        <f t="shared" ca="1" si="440"/>
        <v/>
      </c>
      <c r="AG841" s="8" t="str">
        <f ca="1">IFERROR(IF(C841=0,"",IF(AND(VLOOKUP(PlayerGameData[[#This Row],[Opponent]],WYTeamInfo,2,FALSE)=Roster!$D$1,VLOOKUP(PlayerGameData[[#This Row],[Opponent]],WYTeamInfo,3,FALSE)=Roster!$D$2),"SR","")),"")</f>
        <v/>
      </c>
      <c r="AH841" s="8" t="str">
        <f>CONCATENATE(Roster!$D$1," ",Roster!$D$5)</f>
        <v>1A BB</v>
      </c>
      <c r="AI841" s="8" t="str">
        <f t="shared" ca="1" si="422"/>
        <v>Blank</v>
      </c>
      <c r="AJ841" s="8">
        <f ca="1">IFERROR(VLOOKUP(PlayerGameData[[#This Row],[School, Opponent,Game'#]],Table3[],2,FALSE),0)</f>
        <v>0</v>
      </c>
      <c r="AK841" s="8">
        <f ca="1">IF(PlayerGameData[[#This Row],[Visible]]=1,1,1000)</f>
        <v>1000</v>
      </c>
      <c r="AL841" s="8">
        <f ca="1">RANK(PlayerGameData[[#This Row],[TL PTS]],PlayerGameData[TL PTS],0)+PlayerGameData[[#This Row],[VisibleOrder]]</f>
        <v>1184</v>
      </c>
      <c r="AM841" s="8">
        <f ca="1">IF(COUNTIF(PlayerGameData[PointOrder],PlayerGameData[[#This Row],[PointOrder]])&gt;1,RANK(PlayerGameData[[#This Row],[FGA]],PlayerGameData[FGA],0)/100,0)+PlayerGameData[[#This Row],[PointOrder]]</f>
        <v>1186.1400000000001</v>
      </c>
      <c r="AN841" s="8">
        <f ca="1">RANK(PlayerGameData[[#This Row],[PointTieBreak]],PlayerGameData[PointTieBreak],1)</f>
        <v>625</v>
      </c>
      <c r="AO841" s="8">
        <f ca="1">RANK(PlayerGameData[[#This Row],[REB]],PlayerGameData[REB],0)+PlayerGameData[[#This Row],[VisibleOrder]]</f>
        <v>1191</v>
      </c>
      <c r="AP841" s="8">
        <f ca="1">IF(COUNTIF(PlayerGameData[REBOrder],PlayerGameData[[#This Row],[REBOrder]])&gt;1,PlayerGameData[[#This Row],[PointRank]]/100+PlayerGameData[[#This Row],[REBOrder]],PlayerGameData[[#This Row],[REBOrder]])</f>
        <v>1197.25</v>
      </c>
      <c r="AQ841" s="8">
        <f ca="1">RANK(PlayerGameData[[#This Row],[REBTieBreak]],PlayerGameData[REBTieBreak],1)</f>
        <v>625</v>
      </c>
      <c r="AR841" s="8">
        <f ca="1">RANK(PlayerGameData[[#This Row],[AST]],PlayerGameData[AST],0)+PlayerGameData[[#This Row],[VisibleOrder]]</f>
        <v>1157</v>
      </c>
      <c r="AS841" s="8">
        <f ca="1">IF(COUNTIF(PlayerGameData[ASTOrder],PlayerGameData[[#This Row],[ASTOrder]])&gt;1,PlayerGameData[[#This Row],[PointRank]]/100+PlayerGameData[[#This Row],[ASTOrder]],PlayerGameData[[#This Row],[ASTOrder]])</f>
        <v>1163.25</v>
      </c>
      <c r="AT841" s="8">
        <f ca="1">RANK(PlayerGameData[[#This Row],[ASTTieBreak]],PlayerGameData[ASTTieBreak],1)</f>
        <v>625</v>
      </c>
      <c r="AU841" s="8">
        <f ca="1">RANK(PlayerGameData[[#This Row],[STL]],PlayerGameData[STL],0)+PlayerGameData[[#This Row],[VisibleOrder]]</f>
        <v>1142</v>
      </c>
      <c r="AV841" s="8">
        <f ca="1">IF(COUNTIF(PlayerGameData[STLOrder],PlayerGameData[[#This Row],[STLOrder]])&gt;1,PlayerGameData[[#This Row],[PointRank]]/100+PlayerGameData[[#This Row],[STLOrder]],PlayerGameData[[#This Row],[STLOrder]])</f>
        <v>1148.25</v>
      </c>
      <c r="AW841" s="8">
        <f ca="1">RANK(PlayerGameData[[#This Row],[STLTieBreak]],PlayerGameData[STLTieBreak],1)</f>
        <v>625</v>
      </c>
      <c r="AX841" s="8">
        <f ca="1">RANK(PlayerGameData[[#This Row],[BLK]],PlayerGameData[BLK],0)+PlayerGameData[[#This Row],[VisibleOrder]]</f>
        <v>1031</v>
      </c>
      <c r="AY841" s="8">
        <f ca="1">IF(COUNTIF(PlayerGameData[BLKOrder],PlayerGameData[[#This Row],[BLKOrder]])&gt;1,PlayerGameData[[#This Row],[PointRank]]/100+PlayerGameData[[#This Row],[BLKOrder]],PlayerGameData[[#This Row],[BLKOrder]])</f>
        <v>1037.25</v>
      </c>
      <c r="AZ841" s="8">
        <f ca="1">RANK(PlayerGameData[[#This Row],[BLKTieBreak]],PlayerGameData[BLKTieBreak],1)</f>
        <v>625</v>
      </c>
      <c r="BA841" s="11">
        <f ca="1">IFERROR(IF(PlayerGameData[[#This Row],[FGA]]&gt;$AA$5,PlayerGameData[[#This Row],[FG%*]],PlayerGameData[[#This Row],[FG%*]]*-1),-2)</f>
        <v>-2</v>
      </c>
      <c r="BB841" s="8">
        <f ca="1">RANK(PlayerGameData[[#This Row],[EligFG]],PlayerGameData[EligFG],0)+PlayerGameData[[#This Row],[VisibleOrder]]</f>
        <v>1214</v>
      </c>
      <c r="BC841" s="8">
        <f ca="1">IF(COUNTIF(PlayerGameData[EligFGOrder],PlayerGameData[[#This Row],[EligFGOrder]])&gt;1,PlayerGameData[[#This Row],[PointRank]]/100+PlayerGameData[[#This Row],[EligFGOrder]],PlayerGameData[[#This Row],[EligFGOrder]])</f>
        <v>1220.25</v>
      </c>
      <c r="BD841" s="8">
        <f ca="1">RANK(PlayerGameData[[#This Row],[EligFGTieBreak]],PlayerGameData[EligFGTieBreak],1)</f>
        <v>625</v>
      </c>
      <c r="BE841" s="8" t="str">
        <f>Roster!$D$3</f>
        <v>East</v>
      </c>
      <c r="BF841" s="8" t="str">
        <f>Roster!$D$2</f>
        <v>Northeast</v>
      </c>
      <c r="BG841" s="8" t="str">
        <f>Roster!$D$4</f>
        <v>North</v>
      </c>
      <c r="BH841" s="197">
        <f ca="1">IFERROR(VLOOKUP(CONCATENATE(PlayerGameData[[#This Row],[Opponent]]," ",MONTH(PlayerGameData[[#This Row],[Date]]),"/",DAY(PlayerGameData[[#This Row],[Date]]),"/",YEAR(PlayerGameData[[#This Row],[Date]])),Table35[],2,FALSE),0)</f>
        <v>0</v>
      </c>
      <c r="BI841" s="197">
        <f ca="1">IF(PlayerGameData[[#This Row],[Visible]]=1,1,1000)</f>
        <v>1000</v>
      </c>
      <c r="BJ841" s="197" t="e">
        <f ca="1">_xlfn.MAXIFS(TeamGameData[Win],TeamGameData[School, Opponent,Game'#],PlayerGameData[[#This Row],[School, Opponent,Game'#]])</f>
        <v>#NAME?</v>
      </c>
      <c r="BK841" s="197" t="e">
        <f ca="1">_xlfn.MAXIFS(TeamGameData[Loss],TeamGameData[School, Opponent,Game'#],PlayerGameData[[#This Row],[School, Opponent,Game'#]])</f>
        <v>#NAME?</v>
      </c>
    </row>
    <row r="842" spans="1:63" x14ac:dyDescent="0.25">
      <c r="A842" s="8" t="str">
        <f t="shared" ca="1" si="423"/>
        <v xml:space="preserve">, </v>
      </c>
      <c r="B842" s="8" t="str">
        <f>Roster!$B$1</f>
        <v>Upton</v>
      </c>
      <c r="C842" s="8">
        <f t="shared" ca="1" si="411"/>
        <v>0</v>
      </c>
      <c r="D842" s="10">
        <f t="shared" ca="1" si="412"/>
        <v>0</v>
      </c>
      <c r="E842" s="8">
        <f t="shared" ca="1" si="413"/>
        <v>0</v>
      </c>
      <c r="F842" s="8">
        <f t="shared" ca="1" si="414"/>
        <v>0</v>
      </c>
      <c r="G842" s="8">
        <f t="shared" ca="1" si="415"/>
        <v>0</v>
      </c>
      <c r="H842" s="8">
        <f t="shared" ca="1" si="416"/>
        <v>0</v>
      </c>
      <c r="I842" s="8">
        <f t="shared" ca="1" si="417"/>
        <v>0</v>
      </c>
      <c r="J842" s="8">
        <f t="shared" ca="1" si="418"/>
        <v>0</v>
      </c>
      <c r="K842" s="8">
        <f t="shared" ca="1" si="419"/>
        <v>0</v>
      </c>
      <c r="L842" s="8">
        <f t="shared" ca="1" si="424"/>
        <v>0</v>
      </c>
      <c r="M842" s="8">
        <f t="shared" ca="1" si="425"/>
        <v>0</v>
      </c>
      <c r="N842" s="8">
        <f t="shared" ca="1" si="426"/>
        <v>0</v>
      </c>
      <c r="O842" s="8">
        <f t="shared" ca="1" si="427"/>
        <v>0</v>
      </c>
      <c r="P842" s="8">
        <f t="shared" ca="1" si="428"/>
        <v>0</v>
      </c>
      <c r="Q842" s="8">
        <f t="shared" ca="1" si="429"/>
        <v>0</v>
      </c>
      <c r="R842" s="8">
        <f t="shared" ca="1" si="430"/>
        <v>0</v>
      </c>
      <c r="S842" s="8">
        <f t="shared" ca="1" si="431"/>
        <v>0</v>
      </c>
      <c r="T842" s="8">
        <f t="shared" ca="1" si="432"/>
        <v>0</v>
      </c>
      <c r="U842" s="8">
        <f t="shared" ca="1" si="433"/>
        <v>0</v>
      </c>
      <c r="V842" s="8">
        <f t="shared" ca="1" si="434"/>
        <v>0</v>
      </c>
      <c r="W842" s="11" t="str">
        <f t="shared" ca="1" si="435"/>
        <v/>
      </c>
      <c r="X842" s="11" t="str">
        <f t="shared" ca="1" si="436"/>
        <v/>
      </c>
      <c r="Y842" s="11" t="str">
        <f t="shared" ca="1" si="437"/>
        <v/>
      </c>
      <c r="Z842" s="11" t="str">
        <f t="shared" ca="1" si="438"/>
        <v/>
      </c>
      <c r="AA842" s="11" t="str">
        <f t="shared" ca="1" si="439"/>
        <v/>
      </c>
      <c r="AB842" s="47">
        <f ca="1">PlayerGameData[[#This Row],[3FGA]]+PlayerGameData[[#This Row],[2FGA]]</f>
        <v>0</v>
      </c>
      <c r="AC842" s="47">
        <f ca="1">PlayerGameData[[#This Row],[OFF REB]]+PlayerGameData[[#This Row],[DEF REB]]</f>
        <v>0</v>
      </c>
      <c r="AD842" s="8">
        <f t="shared" si="420"/>
        <v>35</v>
      </c>
      <c r="AE842" s="8" t="str">
        <f t="shared" ca="1" si="421"/>
        <v>,  - 0 1/0/1900</v>
      </c>
      <c r="AF842" s="8" t="str">
        <f t="shared" ca="1" si="440"/>
        <v/>
      </c>
      <c r="AG842" s="8" t="str">
        <f ca="1">IFERROR(IF(C842=0,"",IF(AND(VLOOKUP(PlayerGameData[[#This Row],[Opponent]],WYTeamInfo,2,FALSE)=Roster!$D$1,VLOOKUP(PlayerGameData[[#This Row],[Opponent]],WYTeamInfo,3,FALSE)=Roster!$D$2),"SR","")),"")</f>
        <v/>
      </c>
      <c r="AH842" s="8" t="str">
        <f>CONCATENATE(Roster!$D$1," ",Roster!$D$5)</f>
        <v>1A BB</v>
      </c>
      <c r="AI842" s="8" t="str">
        <f t="shared" ca="1" si="422"/>
        <v>Blank</v>
      </c>
      <c r="AJ842" s="8">
        <f ca="1">IFERROR(VLOOKUP(PlayerGameData[[#This Row],[School, Opponent,Game'#]],Table3[],2,FALSE),0)</f>
        <v>0</v>
      </c>
      <c r="AK842" s="8">
        <f ca="1">IF(PlayerGameData[[#This Row],[Visible]]=1,1,1000)</f>
        <v>1000</v>
      </c>
      <c r="AL842" s="8">
        <f ca="1">RANK(PlayerGameData[[#This Row],[TL PTS]],PlayerGameData[TL PTS],0)+PlayerGameData[[#This Row],[VisibleOrder]]</f>
        <v>1184</v>
      </c>
      <c r="AM842" s="8">
        <f ca="1">IF(COUNTIF(PlayerGameData[PointOrder],PlayerGameData[[#This Row],[PointOrder]])&gt;1,RANK(PlayerGameData[[#This Row],[FGA]],PlayerGameData[FGA],0)/100,0)+PlayerGameData[[#This Row],[PointOrder]]</f>
        <v>1186.1400000000001</v>
      </c>
      <c r="AN842" s="8">
        <f ca="1">RANK(PlayerGameData[[#This Row],[PointTieBreak]],PlayerGameData[PointTieBreak],1)</f>
        <v>625</v>
      </c>
      <c r="AO842" s="8">
        <f ca="1">RANK(PlayerGameData[[#This Row],[REB]],PlayerGameData[REB],0)+PlayerGameData[[#This Row],[VisibleOrder]]</f>
        <v>1191</v>
      </c>
      <c r="AP842" s="8">
        <f ca="1">IF(COUNTIF(PlayerGameData[REBOrder],PlayerGameData[[#This Row],[REBOrder]])&gt;1,PlayerGameData[[#This Row],[PointRank]]/100+PlayerGameData[[#This Row],[REBOrder]],PlayerGameData[[#This Row],[REBOrder]])</f>
        <v>1197.25</v>
      </c>
      <c r="AQ842" s="8">
        <f ca="1">RANK(PlayerGameData[[#This Row],[REBTieBreak]],PlayerGameData[REBTieBreak],1)</f>
        <v>625</v>
      </c>
      <c r="AR842" s="8">
        <f ca="1">RANK(PlayerGameData[[#This Row],[AST]],PlayerGameData[AST],0)+PlayerGameData[[#This Row],[VisibleOrder]]</f>
        <v>1157</v>
      </c>
      <c r="AS842" s="8">
        <f ca="1">IF(COUNTIF(PlayerGameData[ASTOrder],PlayerGameData[[#This Row],[ASTOrder]])&gt;1,PlayerGameData[[#This Row],[PointRank]]/100+PlayerGameData[[#This Row],[ASTOrder]],PlayerGameData[[#This Row],[ASTOrder]])</f>
        <v>1163.25</v>
      </c>
      <c r="AT842" s="8">
        <f ca="1">RANK(PlayerGameData[[#This Row],[ASTTieBreak]],PlayerGameData[ASTTieBreak],1)</f>
        <v>625</v>
      </c>
      <c r="AU842" s="8">
        <f ca="1">RANK(PlayerGameData[[#This Row],[STL]],PlayerGameData[STL],0)+PlayerGameData[[#This Row],[VisibleOrder]]</f>
        <v>1142</v>
      </c>
      <c r="AV842" s="8">
        <f ca="1">IF(COUNTIF(PlayerGameData[STLOrder],PlayerGameData[[#This Row],[STLOrder]])&gt;1,PlayerGameData[[#This Row],[PointRank]]/100+PlayerGameData[[#This Row],[STLOrder]],PlayerGameData[[#This Row],[STLOrder]])</f>
        <v>1148.25</v>
      </c>
      <c r="AW842" s="8">
        <f ca="1">RANK(PlayerGameData[[#This Row],[STLTieBreak]],PlayerGameData[STLTieBreak],1)</f>
        <v>625</v>
      </c>
      <c r="AX842" s="8">
        <f ca="1">RANK(PlayerGameData[[#This Row],[BLK]],PlayerGameData[BLK],0)+PlayerGameData[[#This Row],[VisibleOrder]]</f>
        <v>1031</v>
      </c>
      <c r="AY842" s="8">
        <f ca="1">IF(COUNTIF(PlayerGameData[BLKOrder],PlayerGameData[[#This Row],[BLKOrder]])&gt;1,PlayerGameData[[#This Row],[PointRank]]/100+PlayerGameData[[#This Row],[BLKOrder]],PlayerGameData[[#This Row],[BLKOrder]])</f>
        <v>1037.25</v>
      </c>
      <c r="AZ842" s="8">
        <f ca="1">RANK(PlayerGameData[[#This Row],[BLKTieBreak]],PlayerGameData[BLKTieBreak],1)</f>
        <v>625</v>
      </c>
      <c r="BA842" s="11">
        <f ca="1">IFERROR(IF(PlayerGameData[[#This Row],[FGA]]&gt;$AA$5,PlayerGameData[[#This Row],[FG%*]],PlayerGameData[[#This Row],[FG%*]]*-1),-2)</f>
        <v>-2</v>
      </c>
      <c r="BB842" s="8">
        <f ca="1">RANK(PlayerGameData[[#This Row],[EligFG]],PlayerGameData[EligFG],0)+PlayerGameData[[#This Row],[VisibleOrder]]</f>
        <v>1214</v>
      </c>
      <c r="BC842" s="8">
        <f ca="1">IF(COUNTIF(PlayerGameData[EligFGOrder],PlayerGameData[[#This Row],[EligFGOrder]])&gt;1,PlayerGameData[[#This Row],[PointRank]]/100+PlayerGameData[[#This Row],[EligFGOrder]],PlayerGameData[[#This Row],[EligFGOrder]])</f>
        <v>1220.25</v>
      </c>
      <c r="BD842" s="8">
        <f ca="1">RANK(PlayerGameData[[#This Row],[EligFGTieBreak]],PlayerGameData[EligFGTieBreak],1)</f>
        <v>625</v>
      </c>
      <c r="BE842" s="8" t="str">
        <f>Roster!$D$3</f>
        <v>East</v>
      </c>
      <c r="BF842" s="8" t="str">
        <f>Roster!$D$2</f>
        <v>Northeast</v>
      </c>
      <c r="BG842" s="8" t="str">
        <f>Roster!$D$4</f>
        <v>North</v>
      </c>
      <c r="BH842" s="197">
        <f ca="1">IFERROR(VLOOKUP(CONCATENATE(PlayerGameData[[#This Row],[Opponent]]," ",MONTH(PlayerGameData[[#This Row],[Date]]),"/",DAY(PlayerGameData[[#This Row],[Date]]),"/",YEAR(PlayerGameData[[#This Row],[Date]])),Table35[],2,FALSE),0)</f>
        <v>0</v>
      </c>
      <c r="BI842" s="197">
        <f ca="1">IF(PlayerGameData[[#This Row],[Visible]]=1,1,1000)</f>
        <v>1000</v>
      </c>
      <c r="BJ842" s="197" t="e">
        <f ca="1">_xlfn.MAXIFS(TeamGameData[Win],TeamGameData[School, Opponent,Game'#],PlayerGameData[[#This Row],[School, Opponent,Game'#]])</f>
        <v>#NAME?</v>
      </c>
      <c r="BK842" s="197" t="e">
        <f ca="1">_xlfn.MAXIFS(TeamGameData[Loss],TeamGameData[School, Opponent,Game'#],PlayerGameData[[#This Row],[School, Opponent,Game'#]])</f>
        <v>#NAME?</v>
      </c>
    </row>
    <row r="843" spans="1:63" x14ac:dyDescent="0.25">
      <c r="A843" s="8" t="str">
        <f t="shared" ca="1" si="423"/>
        <v xml:space="preserve">, </v>
      </c>
      <c r="B843" s="8" t="str">
        <f>Roster!$B$1</f>
        <v>Upton</v>
      </c>
      <c r="C843" s="8">
        <f t="shared" ca="1" si="411"/>
        <v>0</v>
      </c>
      <c r="D843" s="10">
        <f t="shared" ca="1" si="412"/>
        <v>0</v>
      </c>
      <c r="E843" s="8">
        <f t="shared" ca="1" si="413"/>
        <v>0</v>
      </c>
      <c r="F843" s="8">
        <f t="shared" ca="1" si="414"/>
        <v>0</v>
      </c>
      <c r="G843" s="8">
        <f t="shared" ca="1" si="415"/>
        <v>0</v>
      </c>
      <c r="H843" s="8">
        <f t="shared" ca="1" si="416"/>
        <v>0</v>
      </c>
      <c r="I843" s="8">
        <f t="shared" ca="1" si="417"/>
        <v>0</v>
      </c>
      <c r="J843" s="8">
        <f t="shared" ca="1" si="418"/>
        <v>0</v>
      </c>
      <c r="K843" s="8">
        <f t="shared" ca="1" si="419"/>
        <v>0</v>
      </c>
      <c r="L843" s="8">
        <f t="shared" ca="1" si="424"/>
        <v>0</v>
      </c>
      <c r="M843" s="8">
        <f t="shared" ca="1" si="425"/>
        <v>0</v>
      </c>
      <c r="N843" s="8">
        <f t="shared" ca="1" si="426"/>
        <v>0</v>
      </c>
      <c r="O843" s="8">
        <f t="shared" ca="1" si="427"/>
        <v>0</v>
      </c>
      <c r="P843" s="8">
        <f t="shared" ca="1" si="428"/>
        <v>0</v>
      </c>
      <c r="Q843" s="8">
        <f t="shared" ca="1" si="429"/>
        <v>0</v>
      </c>
      <c r="R843" s="8">
        <f t="shared" ca="1" si="430"/>
        <v>0</v>
      </c>
      <c r="S843" s="8">
        <f t="shared" ca="1" si="431"/>
        <v>0</v>
      </c>
      <c r="T843" s="8">
        <f t="shared" ca="1" si="432"/>
        <v>0</v>
      </c>
      <c r="U843" s="8">
        <f t="shared" ca="1" si="433"/>
        <v>0</v>
      </c>
      <c r="V843" s="8">
        <f t="shared" ca="1" si="434"/>
        <v>0</v>
      </c>
      <c r="W843" s="11" t="str">
        <f t="shared" ca="1" si="435"/>
        <v/>
      </c>
      <c r="X843" s="11" t="str">
        <f t="shared" ca="1" si="436"/>
        <v/>
      </c>
      <c r="Y843" s="11" t="str">
        <f t="shared" ca="1" si="437"/>
        <v/>
      </c>
      <c r="Z843" s="11" t="str">
        <f t="shared" ca="1" si="438"/>
        <v/>
      </c>
      <c r="AA843" s="11" t="str">
        <f t="shared" ca="1" si="439"/>
        <v/>
      </c>
      <c r="AB843" s="47">
        <f ca="1">PlayerGameData[[#This Row],[3FGA]]+PlayerGameData[[#This Row],[2FGA]]</f>
        <v>0</v>
      </c>
      <c r="AC843" s="47">
        <f ca="1">PlayerGameData[[#This Row],[OFF REB]]+PlayerGameData[[#This Row],[DEF REB]]</f>
        <v>0</v>
      </c>
      <c r="AD843" s="8">
        <f t="shared" si="420"/>
        <v>35</v>
      </c>
      <c r="AE843" s="8" t="str">
        <f t="shared" ca="1" si="421"/>
        <v>,  - 0 1/0/1900</v>
      </c>
      <c r="AF843" s="8" t="str">
        <f t="shared" ca="1" si="440"/>
        <v/>
      </c>
      <c r="AG843" s="8" t="str">
        <f ca="1">IFERROR(IF(C843=0,"",IF(AND(VLOOKUP(PlayerGameData[[#This Row],[Opponent]],WYTeamInfo,2,FALSE)=Roster!$D$1,VLOOKUP(PlayerGameData[[#This Row],[Opponent]],WYTeamInfo,3,FALSE)=Roster!$D$2),"SR","")),"")</f>
        <v/>
      </c>
      <c r="AH843" s="8" t="str">
        <f>CONCATENATE(Roster!$D$1," ",Roster!$D$5)</f>
        <v>1A BB</v>
      </c>
      <c r="AI843" s="8" t="str">
        <f t="shared" ca="1" si="422"/>
        <v>Blank</v>
      </c>
      <c r="AJ843" s="8">
        <f ca="1">IFERROR(VLOOKUP(PlayerGameData[[#This Row],[School, Opponent,Game'#]],Table3[],2,FALSE),0)</f>
        <v>0</v>
      </c>
      <c r="AK843" s="8">
        <f ca="1">IF(PlayerGameData[[#This Row],[Visible]]=1,1,1000)</f>
        <v>1000</v>
      </c>
      <c r="AL843" s="8">
        <f ca="1">RANK(PlayerGameData[[#This Row],[TL PTS]],PlayerGameData[TL PTS],0)+PlayerGameData[[#This Row],[VisibleOrder]]</f>
        <v>1184</v>
      </c>
      <c r="AM843" s="8">
        <f ca="1">IF(COUNTIF(PlayerGameData[PointOrder],PlayerGameData[[#This Row],[PointOrder]])&gt;1,RANK(PlayerGameData[[#This Row],[FGA]],PlayerGameData[FGA],0)/100,0)+PlayerGameData[[#This Row],[PointOrder]]</f>
        <v>1186.1400000000001</v>
      </c>
      <c r="AN843" s="8">
        <f ca="1">RANK(PlayerGameData[[#This Row],[PointTieBreak]],PlayerGameData[PointTieBreak],1)</f>
        <v>625</v>
      </c>
      <c r="AO843" s="8">
        <f ca="1">RANK(PlayerGameData[[#This Row],[REB]],PlayerGameData[REB],0)+PlayerGameData[[#This Row],[VisibleOrder]]</f>
        <v>1191</v>
      </c>
      <c r="AP843" s="8">
        <f ca="1">IF(COUNTIF(PlayerGameData[REBOrder],PlayerGameData[[#This Row],[REBOrder]])&gt;1,PlayerGameData[[#This Row],[PointRank]]/100+PlayerGameData[[#This Row],[REBOrder]],PlayerGameData[[#This Row],[REBOrder]])</f>
        <v>1197.25</v>
      </c>
      <c r="AQ843" s="8">
        <f ca="1">RANK(PlayerGameData[[#This Row],[REBTieBreak]],PlayerGameData[REBTieBreak],1)</f>
        <v>625</v>
      </c>
      <c r="AR843" s="8">
        <f ca="1">RANK(PlayerGameData[[#This Row],[AST]],PlayerGameData[AST],0)+PlayerGameData[[#This Row],[VisibleOrder]]</f>
        <v>1157</v>
      </c>
      <c r="AS843" s="8">
        <f ca="1">IF(COUNTIF(PlayerGameData[ASTOrder],PlayerGameData[[#This Row],[ASTOrder]])&gt;1,PlayerGameData[[#This Row],[PointRank]]/100+PlayerGameData[[#This Row],[ASTOrder]],PlayerGameData[[#This Row],[ASTOrder]])</f>
        <v>1163.25</v>
      </c>
      <c r="AT843" s="8">
        <f ca="1">RANK(PlayerGameData[[#This Row],[ASTTieBreak]],PlayerGameData[ASTTieBreak],1)</f>
        <v>625</v>
      </c>
      <c r="AU843" s="8">
        <f ca="1">RANK(PlayerGameData[[#This Row],[STL]],PlayerGameData[STL],0)+PlayerGameData[[#This Row],[VisibleOrder]]</f>
        <v>1142</v>
      </c>
      <c r="AV843" s="8">
        <f ca="1">IF(COUNTIF(PlayerGameData[STLOrder],PlayerGameData[[#This Row],[STLOrder]])&gt;1,PlayerGameData[[#This Row],[PointRank]]/100+PlayerGameData[[#This Row],[STLOrder]],PlayerGameData[[#This Row],[STLOrder]])</f>
        <v>1148.25</v>
      </c>
      <c r="AW843" s="8">
        <f ca="1">RANK(PlayerGameData[[#This Row],[STLTieBreak]],PlayerGameData[STLTieBreak],1)</f>
        <v>625</v>
      </c>
      <c r="AX843" s="8">
        <f ca="1">RANK(PlayerGameData[[#This Row],[BLK]],PlayerGameData[BLK],0)+PlayerGameData[[#This Row],[VisibleOrder]]</f>
        <v>1031</v>
      </c>
      <c r="AY843" s="8">
        <f ca="1">IF(COUNTIF(PlayerGameData[BLKOrder],PlayerGameData[[#This Row],[BLKOrder]])&gt;1,PlayerGameData[[#This Row],[PointRank]]/100+PlayerGameData[[#This Row],[BLKOrder]],PlayerGameData[[#This Row],[BLKOrder]])</f>
        <v>1037.25</v>
      </c>
      <c r="AZ843" s="8">
        <f ca="1">RANK(PlayerGameData[[#This Row],[BLKTieBreak]],PlayerGameData[BLKTieBreak],1)</f>
        <v>625</v>
      </c>
      <c r="BA843" s="11">
        <f ca="1">IFERROR(IF(PlayerGameData[[#This Row],[FGA]]&gt;$AA$5,PlayerGameData[[#This Row],[FG%*]],PlayerGameData[[#This Row],[FG%*]]*-1),-2)</f>
        <v>-2</v>
      </c>
      <c r="BB843" s="8">
        <f ca="1">RANK(PlayerGameData[[#This Row],[EligFG]],PlayerGameData[EligFG],0)+PlayerGameData[[#This Row],[VisibleOrder]]</f>
        <v>1214</v>
      </c>
      <c r="BC843" s="8">
        <f ca="1">IF(COUNTIF(PlayerGameData[EligFGOrder],PlayerGameData[[#This Row],[EligFGOrder]])&gt;1,PlayerGameData[[#This Row],[PointRank]]/100+PlayerGameData[[#This Row],[EligFGOrder]],PlayerGameData[[#This Row],[EligFGOrder]])</f>
        <v>1220.25</v>
      </c>
      <c r="BD843" s="8">
        <f ca="1">RANK(PlayerGameData[[#This Row],[EligFGTieBreak]],PlayerGameData[EligFGTieBreak],1)</f>
        <v>625</v>
      </c>
      <c r="BE843" s="8" t="str">
        <f>Roster!$D$3</f>
        <v>East</v>
      </c>
      <c r="BF843" s="8" t="str">
        <f>Roster!$D$2</f>
        <v>Northeast</v>
      </c>
      <c r="BG843" s="8" t="str">
        <f>Roster!$D$4</f>
        <v>North</v>
      </c>
      <c r="BH843" s="197">
        <f ca="1">IFERROR(VLOOKUP(CONCATENATE(PlayerGameData[[#This Row],[Opponent]]," ",MONTH(PlayerGameData[[#This Row],[Date]]),"/",DAY(PlayerGameData[[#This Row],[Date]]),"/",YEAR(PlayerGameData[[#This Row],[Date]])),Table35[],2,FALSE),0)</f>
        <v>0</v>
      </c>
      <c r="BI843" s="197">
        <f ca="1">IF(PlayerGameData[[#This Row],[Visible]]=1,1,1000)</f>
        <v>1000</v>
      </c>
      <c r="BJ843" s="197" t="e">
        <f ca="1">_xlfn.MAXIFS(TeamGameData[Win],TeamGameData[School, Opponent,Game'#],PlayerGameData[[#This Row],[School, Opponent,Game'#]])</f>
        <v>#NAME?</v>
      </c>
      <c r="BK843" s="197" t="e">
        <f ca="1">_xlfn.MAXIFS(TeamGameData[Loss],TeamGameData[School, Opponent,Game'#],PlayerGameData[[#This Row],[School, Opponent,Game'#]])</f>
        <v>#NAME?</v>
      </c>
    </row>
    <row r="844" spans="1:63" x14ac:dyDescent="0.25">
      <c r="A844" s="8" t="str">
        <f t="shared" ca="1" si="423"/>
        <v xml:space="preserve">, </v>
      </c>
      <c r="B844" s="8" t="str">
        <f>Roster!$B$1</f>
        <v>Upton</v>
      </c>
      <c r="C844" s="8">
        <f t="shared" ca="1" si="411"/>
        <v>0</v>
      </c>
      <c r="D844" s="10">
        <f t="shared" ca="1" si="412"/>
        <v>0</v>
      </c>
      <c r="E844" s="8">
        <f t="shared" ca="1" si="413"/>
        <v>0</v>
      </c>
      <c r="F844" s="8">
        <f t="shared" ca="1" si="414"/>
        <v>0</v>
      </c>
      <c r="G844" s="8">
        <f t="shared" ca="1" si="415"/>
        <v>0</v>
      </c>
      <c r="H844" s="8">
        <f t="shared" ca="1" si="416"/>
        <v>0</v>
      </c>
      <c r="I844" s="8">
        <f t="shared" ca="1" si="417"/>
        <v>0</v>
      </c>
      <c r="J844" s="8">
        <f t="shared" ca="1" si="418"/>
        <v>0</v>
      </c>
      <c r="K844" s="8">
        <f t="shared" ca="1" si="419"/>
        <v>0</v>
      </c>
      <c r="L844" s="8">
        <f t="shared" ca="1" si="424"/>
        <v>0</v>
      </c>
      <c r="M844" s="8">
        <f t="shared" ca="1" si="425"/>
        <v>0</v>
      </c>
      <c r="N844" s="8">
        <f t="shared" ca="1" si="426"/>
        <v>0</v>
      </c>
      <c r="O844" s="8">
        <f t="shared" ca="1" si="427"/>
        <v>0</v>
      </c>
      <c r="P844" s="8">
        <f t="shared" ca="1" si="428"/>
        <v>0</v>
      </c>
      <c r="Q844" s="8">
        <f t="shared" ca="1" si="429"/>
        <v>0</v>
      </c>
      <c r="R844" s="8">
        <f t="shared" ca="1" si="430"/>
        <v>0</v>
      </c>
      <c r="S844" s="8">
        <f t="shared" ca="1" si="431"/>
        <v>0</v>
      </c>
      <c r="T844" s="8">
        <f t="shared" ca="1" si="432"/>
        <v>0</v>
      </c>
      <c r="U844" s="8">
        <f t="shared" ca="1" si="433"/>
        <v>0</v>
      </c>
      <c r="V844" s="8">
        <f t="shared" ca="1" si="434"/>
        <v>0</v>
      </c>
      <c r="W844" s="11" t="str">
        <f t="shared" ca="1" si="435"/>
        <v/>
      </c>
      <c r="X844" s="11" t="str">
        <f t="shared" ca="1" si="436"/>
        <v/>
      </c>
      <c r="Y844" s="11" t="str">
        <f t="shared" ca="1" si="437"/>
        <v/>
      </c>
      <c r="Z844" s="11" t="str">
        <f t="shared" ca="1" si="438"/>
        <v/>
      </c>
      <c r="AA844" s="11" t="str">
        <f t="shared" ca="1" si="439"/>
        <v/>
      </c>
      <c r="AB844" s="47">
        <f ca="1">PlayerGameData[[#This Row],[3FGA]]+PlayerGameData[[#This Row],[2FGA]]</f>
        <v>0</v>
      </c>
      <c r="AC844" s="47">
        <f ca="1">PlayerGameData[[#This Row],[OFF REB]]+PlayerGameData[[#This Row],[DEF REB]]</f>
        <v>0</v>
      </c>
      <c r="AD844" s="8">
        <f t="shared" si="420"/>
        <v>35</v>
      </c>
      <c r="AE844" s="8" t="str">
        <f t="shared" ca="1" si="421"/>
        <v>,  - 0 1/0/1900</v>
      </c>
      <c r="AF844" s="8" t="str">
        <f t="shared" ca="1" si="440"/>
        <v/>
      </c>
      <c r="AG844" s="8" t="str">
        <f ca="1">IFERROR(IF(C844=0,"",IF(AND(VLOOKUP(PlayerGameData[[#This Row],[Opponent]],WYTeamInfo,2,FALSE)=Roster!$D$1,VLOOKUP(PlayerGameData[[#This Row],[Opponent]],WYTeamInfo,3,FALSE)=Roster!$D$2),"SR","")),"")</f>
        <v/>
      </c>
      <c r="AH844" s="8" t="str">
        <f>CONCATENATE(Roster!$D$1," ",Roster!$D$5)</f>
        <v>1A BB</v>
      </c>
      <c r="AI844" s="8" t="str">
        <f t="shared" ca="1" si="422"/>
        <v>Blank</v>
      </c>
      <c r="AJ844" s="8">
        <f ca="1">IFERROR(VLOOKUP(PlayerGameData[[#This Row],[School, Opponent,Game'#]],Table3[],2,FALSE),0)</f>
        <v>0</v>
      </c>
      <c r="AK844" s="8">
        <f ca="1">IF(PlayerGameData[[#This Row],[Visible]]=1,1,1000)</f>
        <v>1000</v>
      </c>
      <c r="AL844" s="8">
        <f ca="1">RANK(PlayerGameData[[#This Row],[TL PTS]],PlayerGameData[TL PTS],0)+PlayerGameData[[#This Row],[VisibleOrder]]</f>
        <v>1184</v>
      </c>
      <c r="AM844" s="8">
        <f ca="1">IF(COUNTIF(PlayerGameData[PointOrder],PlayerGameData[[#This Row],[PointOrder]])&gt;1,RANK(PlayerGameData[[#This Row],[FGA]],PlayerGameData[FGA],0)/100,0)+PlayerGameData[[#This Row],[PointOrder]]</f>
        <v>1186.1400000000001</v>
      </c>
      <c r="AN844" s="8">
        <f ca="1">RANK(PlayerGameData[[#This Row],[PointTieBreak]],PlayerGameData[PointTieBreak],1)</f>
        <v>625</v>
      </c>
      <c r="AO844" s="8">
        <f ca="1">RANK(PlayerGameData[[#This Row],[REB]],PlayerGameData[REB],0)+PlayerGameData[[#This Row],[VisibleOrder]]</f>
        <v>1191</v>
      </c>
      <c r="AP844" s="8">
        <f ca="1">IF(COUNTIF(PlayerGameData[REBOrder],PlayerGameData[[#This Row],[REBOrder]])&gt;1,PlayerGameData[[#This Row],[PointRank]]/100+PlayerGameData[[#This Row],[REBOrder]],PlayerGameData[[#This Row],[REBOrder]])</f>
        <v>1197.25</v>
      </c>
      <c r="AQ844" s="8">
        <f ca="1">RANK(PlayerGameData[[#This Row],[REBTieBreak]],PlayerGameData[REBTieBreak],1)</f>
        <v>625</v>
      </c>
      <c r="AR844" s="8">
        <f ca="1">RANK(PlayerGameData[[#This Row],[AST]],PlayerGameData[AST],0)+PlayerGameData[[#This Row],[VisibleOrder]]</f>
        <v>1157</v>
      </c>
      <c r="AS844" s="8">
        <f ca="1">IF(COUNTIF(PlayerGameData[ASTOrder],PlayerGameData[[#This Row],[ASTOrder]])&gt;1,PlayerGameData[[#This Row],[PointRank]]/100+PlayerGameData[[#This Row],[ASTOrder]],PlayerGameData[[#This Row],[ASTOrder]])</f>
        <v>1163.25</v>
      </c>
      <c r="AT844" s="8">
        <f ca="1">RANK(PlayerGameData[[#This Row],[ASTTieBreak]],PlayerGameData[ASTTieBreak],1)</f>
        <v>625</v>
      </c>
      <c r="AU844" s="8">
        <f ca="1">RANK(PlayerGameData[[#This Row],[STL]],PlayerGameData[STL],0)+PlayerGameData[[#This Row],[VisibleOrder]]</f>
        <v>1142</v>
      </c>
      <c r="AV844" s="8">
        <f ca="1">IF(COUNTIF(PlayerGameData[STLOrder],PlayerGameData[[#This Row],[STLOrder]])&gt;1,PlayerGameData[[#This Row],[PointRank]]/100+PlayerGameData[[#This Row],[STLOrder]],PlayerGameData[[#This Row],[STLOrder]])</f>
        <v>1148.25</v>
      </c>
      <c r="AW844" s="8">
        <f ca="1">RANK(PlayerGameData[[#This Row],[STLTieBreak]],PlayerGameData[STLTieBreak],1)</f>
        <v>625</v>
      </c>
      <c r="AX844" s="8">
        <f ca="1">RANK(PlayerGameData[[#This Row],[BLK]],PlayerGameData[BLK],0)+PlayerGameData[[#This Row],[VisibleOrder]]</f>
        <v>1031</v>
      </c>
      <c r="AY844" s="8">
        <f ca="1">IF(COUNTIF(PlayerGameData[BLKOrder],PlayerGameData[[#This Row],[BLKOrder]])&gt;1,PlayerGameData[[#This Row],[PointRank]]/100+PlayerGameData[[#This Row],[BLKOrder]],PlayerGameData[[#This Row],[BLKOrder]])</f>
        <v>1037.25</v>
      </c>
      <c r="AZ844" s="8">
        <f ca="1">RANK(PlayerGameData[[#This Row],[BLKTieBreak]],PlayerGameData[BLKTieBreak],1)</f>
        <v>625</v>
      </c>
      <c r="BA844" s="11">
        <f ca="1">IFERROR(IF(PlayerGameData[[#This Row],[FGA]]&gt;$AA$5,PlayerGameData[[#This Row],[FG%*]],PlayerGameData[[#This Row],[FG%*]]*-1),-2)</f>
        <v>-2</v>
      </c>
      <c r="BB844" s="8">
        <f ca="1">RANK(PlayerGameData[[#This Row],[EligFG]],PlayerGameData[EligFG],0)+PlayerGameData[[#This Row],[VisibleOrder]]</f>
        <v>1214</v>
      </c>
      <c r="BC844" s="8">
        <f ca="1">IF(COUNTIF(PlayerGameData[EligFGOrder],PlayerGameData[[#This Row],[EligFGOrder]])&gt;1,PlayerGameData[[#This Row],[PointRank]]/100+PlayerGameData[[#This Row],[EligFGOrder]],PlayerGameData[[#This Row],[EligFGOrder]])</f>
        <v>1220.25</v>
      </c>
      <c r="BD844" s="8">
        <f ca="1">RANK(PlayerGameData[[#This Row],[EligFGTieBreak]],PlayerGameData[EligFGTieBreak],1)</f>
        <v>625</v>
      </c>
      <c r="BE844" s="8" t="str">
        <f>Roster!$D$3</f>
        <v>East</v>
      </c>
      <c r="BF844" s="8" t="str">
        <f>Roster!$D$2</f>
        <v>Northeast</v>
      </c>
      <c r="BG844" s="8" t="str">
        <f>Roster!$D$4</f>
        <v>North</v>
      </c>
      <c r="BH844" s="197">
        <f ca="1">IFERROR(VLOOKUP(CONCATENATE(PlayerGameData[[#This Row],[Opponent]]," ",MONTH(PlayerGameData[[#This Row],[Date]]),"/",DAY(PlayerGameData[[#This Row],[Date]]),"/",YEAR(PlayerGameData[[#This Row],[Date]])),Table35[],2,FALSE),0)</f>
        <v>0</v>
      </c>
      <c r="BI844" s="197">
        <f ca="1">IF(PlayerGameData[[#This Row],[Visible]]=1,1,1000)</f>
        <v>1000</v>
      </c>
      <c r="BJ844" s="197" t="e">
        <f ca="1">_xlfn.MAXIFS(TeamGameData[Win],TeamGameData[School, Opponent,Game'#],PlayerGameData[[#This Row],[School, Opponent,Game'#]])</f>
        <v>#NAME?</v>
      </c>
      <c r="BK844" s="197" t="e">
        <f ca="1">_xlfn.MAXIFS(TeamGameData[Loss],TeamGameData[School, Opponent,Game'#],PlayerGameData[[#This Row],[School, Opponent,Game'#]])</f>
        <v>#NAME?</v>
      </c>
    </row>
    <row r="845" spans="1:63" x14ac:dyDescent="0.25">
      <c r="A845" s="8" t="str">
        <f t="shared" ca="1" si="423"/>
        <v xml:space="preserve">, </v>
      </c>
      <c r="B845" s="8" t="str">
        <f>Roster!$B$1</f>
        <v>Upton</v>
      </c>
      <c r="C845" s="8">
        <f t="shared" ca="1" si="411"/>
        <v>0</v>
      </c>
      <c r="D845" s="10">
        <f t="shared" ca="1" si="412"/>
        <v>0</v>
      </c>
      <c r="E845" s="8">
        <f t="shared" ca="1" si="413"/>
        <v>0</v>
      </c>
      <c r="F845" s="8">
        <f t="shared" ca="1" si="414"/>
        <v>0</v>
      </c>
      <c r="G845" s="8">
        <f t="shared" ca="1" si="415"/>
        <v>0</v>
      </c>
      <c r="H845" s="8">
        <f t="shared" ca="1" si="416"/>
        <v>0</v>
      </c>
      <c r="I845" s="8">
        <f t="shared" ca="1" si="417"/>
        <v>0</v>
      </c>
      <c r="J845" s="8">
        <f t="shared" ca="1" si="418"/>
        <v>0</v>
      </c>
      <c r="K845" s="8">
        <f t="shared" ca="1" si="419"/>
        <v>0</v>
      </c>
      <c r="L845" s="8">
        <f t="shared" ca="1" si="424"/>
        <v>0</v>
      </c>
      <c r="M845" s="8">
        <f t="shared" ca="1" si="425"/>
        <v>0</v>
      </c>
      <c r="N845" s="8">
        <f t="shared" ca="1" si="426"/>
        <v>0</v>
      </c>
      <c r="O845" s="8">
        <f t="shared" ca="1" si="427"/>
        <v>0</v>
      </c>
      <c r="P845" s="8">
        <f t="shared" ca="1" si="428"/>
        <v>0</v>
      </c>
      <c r="Q845" s="8">
        <f t="shared" ca="1" si="429"/>
        <v>0</v>
      </c>
      <c r="R845" s="8">
        <f t="shared" ca="1" si="430"/>
        <v>0</v>
      </c>
      <c r="S845" s="8">
        <f t="shared" ca="1" si="431"/>
        <v>0</v>
      </c>
      <c r="T845" s="8">
        <f t="shared" ca="1" si="432"/>
        <v>0</v>
      </c>
      <c r="U845" s="8">
        <f t="shared" ca="1" si="433"/>
        <v>0</v>
      </c>
      <c r="V845" s="8">
        <f t="shared" ca="1" si="434"/>
        <v>0</v>
      </c>
      <c r="W845" s="11" t="str">
        <f t="shared" ca="1" si="435"/>
        <v/>
      </c>
      <c r="X845" s="11" t="str">
        <f t="shared" ca="1" si="436"/>
        <v/>
      </c>
      <c r="Y845" s="11" t="str">
        <f t="shared" ca="1" si="437"/>
        <v/>
      </c>
      <c r="Z845" s="11" t="str">
        <f t="shared" ca="1" si="438"/>
        <v/>
      </c>
      <c r="AA845" s="11" t="str">
        <f t="shared" ca="1" si="439"/>
        <v/>
      </c>
      <c r="AB845" s="47">
        <f ca="1">PlayerGameData[[#This Row],[3FGA]]+PlayerGameData[[#This Row],[2FGA]]</f>
        <v>0</v>
      </c>
      <c r="AC845" s="47">
        <f ca="1">PlayerGameData[[#This Row],[OFF REB]]+PlayerGameData[[#This Row],[DEF REB]]</f>
        <v>0</v>
      </c>
      <c r="AD845" s="8">
        <f t="shared" si="420"/>
        <v>35</v>
      </c>
      <c r="AE845" s="8" t="str">
        <f t="shared" ca="1" si="421"/>
        <v>,  - 0 1/0/1900</v>
      </c>
      <c r="AF845" s="8" t="str">
        <f t="shared" ca="1" si="440"/>
        <v/>
      </c>
      <c r="AG845" s="8" t="str">
        <f ca="1">IFERROR(IF(C845=0,"",IF(AND(VLOOKUP(PlayerGameData[[#This Row],[Opponent]],WYTeamInfo,2,FALSE)=Roster!$D$1,VLOOKUP(PlayerGameData[[#This Row],[Opponent]],WYTeamInfo,3,FALSE)=Roster!$D$2),"SR","")),"")</f>
        <v/>
      </c>
      <c r="AH845" s="8" t="str">
        <f>CONCATENATE(Roster!$D$1," ",Roster!$D$5)</f>
        <v>1A BB</v>
      </c>
      <c r="AI845" s="8" t="str">
        <f t="shared" ca="1" si="422"/>
        <v>Blank</v>
      </c>
      <c r="AJ845" s="8">
        <f ca="1">IFERROR(VLOOKUP(PlayerGameData[[#This Row],[School, Opponent,Game'#]],Table3[],2,FALSE),0)</f>
        <v>0</v>
      </c>
      <c r="AK845" s="8">
        <f ca="1">IF(PlayerGameData[[#This Row],[Visible]]=1,1,1000)</f>
        <v>1000</v>
      </c>
      <c r="AL845" s="8">
        <f ca="1">RANK(PlayerGameData[[#This Row],[TL PTS]],PlayerGameData[TL PTS],0)+PlayerGameData[[#This Row],[VisibleOrder]]</f>
        <v>1184</v>
      </c>
      <c r="AM845" s="8">
        <f ca="1">IF(COUNTIF(PlayerGameData[PointOrder],PlayerGameData[[#This Row],[PointOrder]])&gt;1,RANK(PlayerGameData[[#This Row],[FGA]],PlayerGameData[FGA],0)/100,0)+PlayerGameData[[#This Row],[PointOrder]]</f>
        <v>1186.1400000000001</v>
      </c>
      <c r="AN845" s="8">
        <f ca="1">RANK(PlayerGameData[[#This Row],[PointTieBreak]],PlayerGameData[PointTieBreak],1)</f>
        <v>625</v>
      </c>
      <c r="AO845" s="8">
        <f ca="1">RANK(PlayerGameData[[#This Row],[REB]],PlayerGameData[REB],0)+PlayerGameData[[#This Row],[VisibleOrder]]</f>
        <v>1191</v>
      </c>
      <c r="AP845" s="8">
        <f ca="1">IF(COUNTIF(PlayerGameData[REBOrder],PlayerGameData[[#This Row],[REBOrder]])&gt;1,PlayerGameData[[#This Row],[PointRank]]/100+PlayerGameData[[#This Row],[REBOrder]],PlayerGameData[[#This Row],[REBOrder]])</f>
        <v>1197.25</v>
      </c>
      <c r="AQ845" s="8">
        <f ca="1">RANK(PlayerGameData[[#This Row],[REBTieBreak]],PlayerGameData[REBTieBreak],1)</f>
        <v>625</v>
      </c>
      <c r="AR845" s="8">
        <f ca="1">RANK(PlayerGameData[[#This Row],[AST]],PlayerGameData[AST],0)+PlayerGameData[[#This Row],[VisibleOrder]]</f>
        <v>1157</v>
      </c>
      <c r="AS845" s="8">
        <f ca="1">IF(COUNTIF(PlayerGameData[ASTOrder],PlayerGameData[[#This Row],[ASTOrder]])&gt;1,PlayerGameData[[#This Row],[PointRank]]/100+PlayerGameData[[#This Row],[ASTOrder]],PlayerGameData[[#This Row],[ASTOrder]])</f>
        <v>1163.25</v>
      </c>
      <c r="AT845" s="8">
        <f ca="1">RANK(PlayerGameData[[#This Row],[ASTTieBreak]],PlayerGameData[ASTTieBreak],1)</f>
        <v>625</v>
      </c>
      <c r="AU845" s="8">
        <f ca="1">RANK(PlayerGameData[[#This Row],[STL]],PlayerGameData[STL],0)+PlayerGameData[[#This Row],[VisibleOrder]]</f>
        <v>1142</v>
      </c>
      <c r="AV845" s="8">
        <f ca="1">IF(COUNTIF(PlayerGameData[STLOrder],PlayerGameData[[#This Row],[STLOrder]])&gt;1,PlayerGameData[[#This Row],[PointRank]]/100+PlayerGameData[[#This Row],[STLOrder]],PlayerGameData[[#This Row],[STLOrder]])</f>
        <v>1148.25</v>
      </c>
      <c r="AW845" s="8">
        <f ca="1">RANK(PlayerGameData[[#This Row],[STLTieBreak]],PlayerGameData[STLTieBreak],1)</f>
        <v>625</v>
      </c>
      <c r="AX845" s="8">
        <f ca="1">RANK(PlayerGameData[[#This Row],[BLK]],PlayerGameData[BLK],0)+PlayerGameData[[#This Row],[VisibleOrder]]</f>
        <v>1031</v>
      </c>
      <c r="AY845" s="8">
        <f ca="1">IF(COUNTIF(PlayerGameData[BLKOrder],PlayerGameData[[#This Row],[BLKOrder]])&gt;1,PlayerGameData[[#This Row],[PointRank]]/100+PlayerGameData[[#This Row],[BLKOrder]],PlayerGameData[[#This Row],[BLKOrder]])</f>
        <v>1037.25</v>
      </c>
      <c r="AZ845" s="8">
        <f ca="1">RANK(PlayerGameData[[#This Row],[BLKTieBreak]],PlayerGameData[BLKTieBreak],1)</f>
        <v>625</v>
      </c>
      <c r="BA845" s="11">
        <f ca="1">IFERROR(IF(PlayerGameData[[#This Row],[FGA]]&gt;$AA$5,PlayerGameData[[#This Row],[FG%*]],PlayerGameData[[#This Row],[FG%*]]*-1),-2)</f>
        <v>-2</v>
      </c>
      <c r="BB845" s="8">
        <f ca="1">RANK(PlayerGameData[[#This Row],[EligFG]],PlayerGameData[EligFG],0)+PlayerGameData[[#This Row],[VisibleOrder]]</f>
        <v>1214</v>
      </c>
      <c r="BC845" s="8">
        <f ca="1">IF(COUNTIF(PlayerGameData[EligFGOrder],PlayerGameData[[#This Row],[EligFGOrder]])&gt;1,PlayerGameData[[#This Row],[PointRank]]/100+PlayerGameData[[#This Row],[EligFGOrder]],PlayerGameData[[#This Row],[EligFGOrder]])</f>
        <v>1220.25</v>
      </c>
      <c r="BD845" s="8">
        <f ca="1">RANK(PlayerGameData[[#This Row],[EligFGTieBreak]],PlayerGameData[EligFGTieBreak],1)</f>
        <v>625</v>
      </c>
      <c r="BE845" s="8" t="str">
        <f>Roster!$D$3</f>
        <v>East</v>
      </c>
      <c r="BF845" s="8" t="str">
        <f>Roster!$D$2</f>
        <v>Northeast</v>
      </c>
      <c r="BG845" s="8" t="str">
        <f>Roster!$D$4</f>
        <v>North</v>
      </c>
      <c r="BH845" s="197">
        <f ca="1">IFERROR(VLOOKUP(CONCATENATE(PlayerGameData[[#This Row],[Opponent]]," ",MONTH(PlayerGameData[[#This Row],[Date]]),"/",DAY(PlayerGameData[[#This Row],[Date]]),"/",YEAR(PlayerGameData[[#This Row],[Date]])),Table35[],2,FALSE),0)</f>
        <v>0</v>
      </c>
      <c r="BI845" s="197">
        <f ca="1">IF(PlayerGameData[[#This Row],[Visible]]=1,1,1000)</f>
        <v>1000</v>
      </c>
      <c r="BJ845" s="197" t="e">
        <f ca="1">_xlfn.MAXIFS(TeamGameData[Win],TeamGameData[School, Opponent,Game'#],PlayerGameData[[#This Row],[School, Opponent,Game'#]])</f>
        <v>#NAME?</v>
      </c>
      <c r="BK845" s="197" t="e">
        <f ca="1">_xlfn.MAXIFS(TeamGameData[Loss],TeamGameData[School, Opponent,Game'#],PlayerGameData[[#This Row],[School, Opponent,Game'#]])</f>
        <v>#NAME?</v>
      </c>
    </row>
    <row r="846" spans="1:63" x14ac:dyDescent="0.25">
      <c r="A846" s="8" t="str">
        <f t="shared" ca="1" si="423"/>
        <v xml:space="preserve">Team, </v>
      </c>
      <c r="B846" s="8" t="str">
        <f>Roster!$B$1</f>
        <v>Upton</v>
      </c>
      <c r="C846" s="8">
        <f t="shared" ca="1" si="411"/>
        <v>0</v>
      </c>
      <c r="D846" s="10">
        <f t="shared" ca="1" si="412"/>
        <v>0</v>
      </c>
      <c r="E846" s="8">
        <f t="shared" ca="1" si="413"/>
        <v>0</v>
      </c>
      <c r="F846" s="8">
        <f t="shared" ca="1" si="414"/>
        <v>0</v>
      </c>
      <c r="G846" s="8">
        <f t="shared" ca="1" si="415"/>
        <v>0</v>
      </c>
      <c r="H846" s="8">
        <f t="shared" ca="1" si="416"/>
        <v>0</v>
      </c>
      <c r="I846" s="8">
        <f t="shared" ca="1" si="417"/>
        <v>0</v>
      </c>
      <c r="J846" s="8">
        <f t="shared" ca="1" si="418"/>
        <v>0</v>
      </c>
      <c r="K846" s="8">
        <f t="shared" ca="1" si="419"/>
        <v>0</v>
      </c>
      <c r="L846" s="8">
        <f t="shared" ca="1" si="424"/>
        <v>0</v>
      </c>
      <c r="M846" s="8">
        <f t="shared" ca="1" si="425"/>
        <v>0</v>
      </c>
      <c r="N846" s="8">
        <f t="shared" ca="1" si="426"/>
        <v>0</v>
      </c>
      <c r="O846" s="8">
        <f t="shared" ca="1" si="427"/>
        <v>0</v>
      </c>
      <c r="P846" s="8">
        <f t="shared" ca="1" si="428"/>
        <v>0</v>
      </c>
      <c r="Q846" s="8">
        <f t="shared" ca="1" si="429"/>
        <v>0</v>
      </c>
      <c r="R846" s="8">
        <f t="shared" ca="1" si="430"/>
        <v>0</v>
      </c>
      <c r="S846" s="8">
        <f t="shared" ca="1" si="431"/>
        <v>0</v>
      </c>
      <c r="T846" s="8">
        <f t="shared" ca="1" si="432"/>
        <v>0</v>
      </c>
      <c r="U846" s="8">
        <f t="shared" ca="1" si="433"/>
        <v>0</v>
      </c>
      <c r="V846" s="8">
        <f t="shared" ca="1" si="434"/>
        <v>0</v>
      </c>
      <c r="W846" s="11" t="str">
        <f t="shared" ca="1" si="435"/>
        <v/>
      </c>
      <c r="X846" s="11" t="str">
        <f t="shared" ca="1" si="436"/>
        <v/>
      </c>
      <c r="Y846" s="11" t="str">
        <f t="shared" ca="1" si="437"/>
        <v/>
      </c>
      <c r="Z846" s="11" t="str">
        <f t="shared" ca="1" si="438"/>
        <v/>
      </c>
      <c r="AA846" s="11" t="str">
        <f t="shared" ca="1" si="439"/>
        <v/>
      </c>
      <c r="AB846" s="47">
        <f ca="1">PlayerGameData[[#This Row],[3FGA]]+PlayerGameData[[#This Row],[2FGA]]</f>
        <v>0</v>
      </c>
      <c r="AC846" s="47">
        <f ca="1">PlayerGameData[[#This Row],[OFF REB]]+PlayerGameData[[#This Row],[DEF REB]]</f>
        <v>0</v>
      </c>
      <c r="AD846" s="8">
        <f t="shared" si="420"/>
        <v>35</v>
      </c>
      <c r="AE846" s="8" t="str">
        <f t="shared" ca="1" si="421"/>
        <v>Team,  - 0 1/0/1900</v>
      </c>
      <c r="AF846" s="8" t="str">
        <f t="shared" ca="1" si="440"/>
        <v/>
      </c>
      <c r="AG846" s="8" t="str">
        <f ca="1">IFERROR(IF(C846=0,"",IF(AND(VLOOKUP(PlayerGameData[[#This Row],[Opponent]],WYTeamInfo,2,FALSE)=Roster!$D$1,VLOOKUP(PlayerGameData[[#This Row],[Opponent]],WYTeamInfo,3,FALSE)=Roster!$D$2),"SR","")),"")</f>
        <v/>
      </c>
      <c r="AH846" s="8" t="str">
        <f>CONCATENATE(Roster!$D$1," ",Roster!$D$5)</f>
        <v>1A BB</v>
      </c>
      <c r="AI846" s="8" t="str">
        <f t="shared" ca="1" si="422"/>
        <v>Blank</v>
      </c>
      <c r="AJ846" s="8">
        <f ca="1">IFERROR(VLOOKUP(PlayerGameData[[#This Row],[School, Opponent,Game'#]],Table3[],2,FALSE),0)</f>
        <v>0</v>
      </c>
      <c r="AK846" s="8">
        <f ca="1">IF(PlayerGameData[[#This Row],[Visible]]=1,1,1000)</f>
        <v>1000</v>
      </c>
      <c r="AL846" s="8">
        <f ca="1">RANK(PlayerGameData[[#This Row],[TL PTS]],PlayerGameData[TL PTS],0)+PlayerGameData[[#This Row],[VisibleOrder]]</f>
        <v>1184</v>
      </c>
      <c r="AM846" s="8">
        <f ca="1">IF(COUNTIF(PlayerGameData[PointOrder],PlayerGameData[[#This Row],[PointOrder]])&gt;1,RANK(PlayerGameData[[#This Row],[FGA]],PlayerGameData[FGA],0)/100,0)+PlayerGameData[[#This Row],[PointOrder]]</f>
        <v>1186.1400000000001</v>
      </c>
      <c r="AN846" s="8">
        <f ca="1">RANK(PlayerGameData[[#This Row],[PointTieBreak]],PlayerGameData[PointTieBreak],1)</f>
        <v>625</v>
      </c>
      <c r="AO846" s="8">
        <f ca="1">RANK(PlayerGameData[[#This Row],[REB]],PlayerGameData[REB],0)+PlayerGameData[[#This Row],[VisibleOrder]]</f>
        <v>1191</v>
      </c>
      <c r="AP846" s="8">
        <f ca="1">IF(COUNTIF(PlayerGameData[REBOrder],PlayerGameData[[#This Row],[REBOrder]])&gt;1,PlayerGameData[[#This Row],[PointRank]]/100+PlayerGameData[[#This Row],[REBOrder]],PlayerGameData[[#This Row],[REBOrder]])</f>
        <v>1197.25</v>
      </c>
      <c r="AQ846" s="8">
        <f ca="1">RANK(PlayerGameData[[#This Row],[REBTieBreak]],PlayerGameData[REBTieBreak],1)</f>
        <v>625</v>
      </c>
      <c r="AR846" s="8">
        <f ca="1">RANK(PlayerGameData[[#This Row],[AST]],PlayerGameData[AST],0)+PlayerGameData[[#This Row],[VisibleOrder]]</f>
        <v>1157</v>
      </c>
      <c r="AS846" s="8">
        <f ca="1">IF(COUNTIF(PlayerGameData[ASTOrder],PlayerGameData[[#This Row],[ASTOrder]])&gt;1,PlayerGameData[[#This Row],[PointRank]]/100+PlayerGameData[[#This Row],[ASTOrder]],PlayerGameData[[#This Row],[ASTOrder]])</f>
        <v>1163.25</v>
      </c>
      <c r="AT846" s="8">
        <f ca="1">RANK(PlayerGameData[[#This Row],[ASTTieBreak]],PlayerGameData[ASTTieBreak],1)</f>
        <v>625</v>
      </c>
      <c r="AU846" s="8">
        <f ca="1">RANK(PlayerGameData[[#This Row],[STL]],PlayerGameData[STL],0)+PlayerGameData[[#This Row],[VisibleOrder]]</f>
        <v>1142</v>
      </c>
      <c r="AV846" s="8">
        <f ca="1">IF(COUNTIF(PlayerGameData[STLOrder],PlayerGameData[[#This Row],[STLOrder]])&gt;1,PlayerGameData[[#This Row],[PointRank]]/100+PlayerGameData[[#This Row],[STLOrder]],PlayerGameData[[#This Row],[STLOrder]])</f>
        <v>1148.25</v>
      </c>
      <c r="AW846" s="8">
        <f ca="1">RANK(PlayerGameData[[#This Row],[STLTieBreak]],PlayerGameData[STLTieBreak],1)</f>
        <v>625</v>
      </c>
      <c r="AX846" s="8">
        <f ca="1">RANK(PlayerGameData[[#This Row],[BLK]],PlayerGameData[BLK],0)+PlayerGameData[[#This Row],[VisibleOrder]]</f>
        <v>1031</v>
      </c>
      <c r="AY846" s="8">
        <f ca="1">IF(COUNTIF(PlayerGameData[BLKOrder],PlayerGameData[[#This Row],[BLKOrder]])&gt;1,PlayerGameData[[#This Row],[PointRank]]/100+PlayerGameData[[#This Row],[BLKOrder]],PlayerGameData[[#This Row],[BLKOrder]])</f>
        <v>1037.25</v>
      </c>
      <c r="AZ846" s="8">
        <f ca="1">RANK(PlayerGameData[[#This Row],[BLKTieBreak]],PlayerGameData[BLKTieBreak],1)</f>
        <v>625</v>
      </c>
      <c r="BA846" s="11">
        <f ca="1">IFERROR(IF(PlayerGameData[[#This Row],[FGA]]&gt;$AA$5,PlayerGameData[[#This Row],[FG%*]],PlayerGameData[[#This Row],[FG%*]]*-1),-2)</f>
        <v>-2</v>
      </c>
      <c r="BB846" s="8">
        <f ca="1">RANK(PlayerGameData[[#This Row],[EligFG]],PlayerGameData[EligFG],0)+PlayerGameData[[#This Row],[VisibleOrder]]</f>
        <v>1214</v>
      </c>
      <c r="BC846" s="8">
        <f ca="1">IF(COUNTIF(PlayerGameData[EligFGOrder],PlayerGameData[[#This Row],[EligFGOrder]])&gt;1,PlayerGameData[[#This Row],[PointRank]]/100+PlayerGameData[[#This Row],[EligFGOrder]],PlayerGameData[[#This Row],[EligFGOrder]])</f>
        <v>1220.25</v>
      </c>
      <c r="BD846" s="8">
        <f ca="1">RANK(PlayerGameData[[#This Row],[EligFGTieBreak]],PlayerGameData[EligFGTieBreak],1)</f>
        <v>625</v>
      </c>
      <c r="BE846" s="8" t="str">
        <f>Roster!$D$3</f>
        <v>East</v>
      </c>
      <c r="BF846" s="8" t="str">
        <f>Roster!$D$2</f>
        <v>Northeast</v>
      </c>
      <c r="BG846" s="8" t="str">
        <f>Roster!$D$4</f>
        <v>North</v>
      </c>
      <c r="BH846" s="197">
        <f ca="1">IFERROR(VLOOKUP(CONCATENATE(PlayerGameData[[#This Row],[Opponent]]," ",MONTH(PlayerGameData[[#This Row],[Date]]),"/",DAY(PlayerGameData[[#This Row],[Date]]),"/",YEAR(PlayerGameData[[#This Row],[Date]])),Table35[],2,FALSE),0)</f>
        <v>0</v>
      </c>
      <c r="BI846" s="197">
        <f ca="1">IF(PlayerGameData[[#This Row],[Visible]]=1,1,1000)</f>
        <v>1000</v>
      </c>
      <c r="BJ846" s="197" t="e">
        <f ca="1">_xlfn.MAXIFS(TeamGameData[Win],TeamGameData[School, Opponent,Game'#],PlayerGameData[[#This Row],[School, Opponent,Game'#]])</f>
        <v>#NAME?</v>
      </c>
      <c r="BK846" s="197" t="e">
        <f ca="1">_xlfn.MAXIFS(TeamGameData[Loss],TeamGameData[School, Opponent,Game'#],PlayerGameData[[#This Row],[School, Opponent,Game'#]])</f>
        <v>#NAME?</v>
      </c>
    </row>
    <row r="847" spans="1:63" x14ac:dyDescent="0.25">
      <c r="A847" s="8" t="str">
        <f t="shared" ca="1" si="423"/>
        <v>Landon Butler, 1</v>
      </c>
      <c r="B847" s="8" t="str">
        <f>Roster!$B$1</f>
        <v>Upton</v>
      </c>
      <c r="C847" s="8">
        <f t="shared" ca="1" si="411"/>
        <v>0</v>
      </c>
      <c r="D847" s="10">
        <f t="shared" ca="1" si="412"/>
        <v>0</v>
      </c>
      <c r="E847" s="8">
        <f t="shared" ca="1" si="413"/>
        <v>0</v>
      </c>
      <c r="F847" s="8">
        <f t="shared" ca="1" si="414"/>
        <v>0</v>
      </c>
      <c r="G847" s="8">
        <f t="shared" ca="1" si="415"/>
        <v>0</v>
      </c>
      <c r="H847" s="8">
        <f t="shared" ca="1" si="416"/>
        <v>0</v>
      </c>
      <c r="I847" s="8">
        <f t="shared" ca="1" si="417"/>
        <v>0</v>
      </c>
      <c r="J847" s="8">
        <f t="shared" ca="1" si="418"/>
        <v>0</v>
      </c>
      <c r="K847" s="8">
        <f t="shared" ca="1" si="419"/>
        <v>0</v>
      </c>
      <c r="L847" s="8">
        <f t="shared" ca="1" si="424"/>
        <v>0</v>
      </c>
      <c r="M847" s="8">
        <f t="shared" ca="1" si="425"/>
        <v>0</v>
      </c>
      <c r="N847" s="8">
        <f t="shared" ca="1" si="426"/>
        <v>0</v>
      </c>
      <c r="O847" s="8">
        <f t="shared" ca="1" si="427"/>
        <v>0</v>
      </c>
      <c r="P847" s="8">
        <f t="shared" ca="1" si="428"/>
        <v>0</v>
      </c>
      <c r="Q847" s="8">
        <f t="shared" ca="1" si="429"/>
        <v>0</v>
      </c>
      <c r="R847" s="8">
        <f t="shared" ca="1" si="430"/>
        <v>0</v>
      </c>
      <c r="S847" s="8">
        <f t="shared" ca="1" si="431"/>
        <v>0</v>
      </c>
      <c r="T847" s="8">
        <f t="shared" ca="1" si="432"/>
        <v>0</v>
      </c>
      <c r="U847" s="8">
        <f t="shared" ca="1" si="433"/>
        <v>0</v>
      </c>
      <c r="V847" s="8">
        <f t="shared" ca="1" si="434"/>
        <v>0</v>
      </c>
      <c r="W847" s="11" t="str">
        <f t="shared" ca="1" si="435"/>
        <v/>
      </c>
      <c r="X847" s="11" t="str">
        <f t="shared" ca="1" si="436"/>
        <v/>
      </c>
      <c r="Y847" s="11" t="str">
        <f t="shared" ca="1" si="437"/>
        <v/>
      </c>
      <c r="Z847" s="11" t="str">
        <f t="shared" ca="1" si="438"/>
        <v/>
      </c>
      <c r="AA847" s="11" t="str">
        <f t="shared" ca="1" si="439"/>
        <v/>
      </c>
      <c r="AB847" s="47">
        <f ca="1">PlayerGameData[[#This Row],[3FGA]]+PlayerGameData[[#This Row],[2FGA]]</f>
        <v>0</v>
      </c>
      <c r="AC847" s="47">
        <f ca="1">PlayerGameData[[#This Row],[OFF REB]]+PlayerGameData[[#This Row],[DEF REB]]</f>
        <v>0</v>
      </c>
      <c r="AD847" s="8">
        <f t="shared" si="420"/>
        <v>36</v>
      </c>
      <c r="AE847" s="8" t="str">
        <f t="shared" ca="1" si="421"/>
        <v>Landon Butler, 1 - 0 1/0/1900</v>
      </c>
      <c r="AF847" s="8" t="str">
        <f t="shared" ca="1" si="440"/>
        <v/>
      </c>
      <c r="AG847" s="8" t="str">
        <f ca="1">IFERROR(IF(C847=0,"",IF(AND(VLOOKUP(PlayerGameData[[#This Row],[Opponent]],WYTeamInfo,2,FALSE)=Roster!$D$1,VLOOKUP(PlayerGameData[[#This Row],[Opponent]],WYTeamInfo,3,FALSE)=Roster!$D$2),"SR","")),"")</f>
        <v/>
      </c>
      <c r="AH847" s="8" t="str">
        <f>CONCATENATE(Roster!$D$1," ",Roster!$D$5)</f>
        <v>1A BB</v>
      </c>
      <c r="AI847" s="8" t="str">
        <f t="shared" ca="1" si="422"/>
        <v>Blank</v>
      </c>
      <c r="AJ847" s="8">
        <f ca="1">IFERROR(VLOOKUP(PlayerGameData[[#This Row],[School, Opponent,Game'#]],Table3[],2,FALSE),0)</f>
        <v>0</v>
      </c>
      <c r="AK847" s="8">
        <f ca="1">IF(PlayerGameData[[#This Row],[Visible]]=1,1,1000)</f>
        <v>1000</v>
      </c>
      <c r="AL847" s="8">
        <f ca="1">RANK(PlayerGameData[[#This Row],[TL PTS]],PlayerGameData[TL PTS],0)+PlayerGameData[[#This Row],[VisibleOrder]]</f>
        <v>1184</v>
      </c>
      <c r="AM847" s="8">
        <f ca="1">IF(COUNTIF(PlayerGameData[PointOrder],PlayerGameData[[#This Row],[PointOrder]])&gt;1,RANK(PlayerGameData[[#This Row],[FGA]],PlayerGameData[FGA],0)/100,0)+PlayerGameData[[#This Row],[PointOrder]]</f>
        <v>1186.1400000000001</v>
      </c>
      <c r="AN847" s="8">
        <f ca="1">RANK(PlayerGameData[[#This Row],[PointTieBreak]],PlayerGameData[PointTieBreak],1)</f>
        <v>625</v>
      </c>
      <c r="AO847" s="8">
        <f ca="1">RANK(PlayerGameData[[#This Row],[REB]],PlayerGameData[REB],0)+PlayerGameData[[#This Row],[VisibleOrder]]</f>
        <v>1191</v>
      </c>
      <c r="AP847" s="8">
        <f ca="1">IF(COUNTIF(PlayerGameData[REBOrder],PlayerGameData[[#This Row],[REBOrder]])&gt;1,PlayerGameData[[#This Row],[PointRank]]/100+PlayerGameData[[#This Row],[REBOrder]],PlayerGameData[[#This Row],[REBOrder]])</f>
        <v>1197.25</v>
      </c>
      <c r="AQ847" s="8">
        <f ca="1">RANK(PlayerGameData[[#This Row],[REBTieBreak]],PlayerGameData[REBTieBreak],1)</f>
        <v>625</v>
      </c>
      <c r="AR847" s="8">
        <f ca="1">RANK(PlayerGameData[[#This Row],[AST]],PlayerGameData[AST],0)+PlayerGameData[[#This Row],[VisibleOrder]]</f>
        <v>1157</v>
      </c>
      <c r="AS847" s="8">
        <f ca="1">IF(COUNTIF(PlayerGameData[ASTOrder],PlayerGameData[[#This Row],[ASTOrder]])&gt;1,PlayerGameData[[#This Row],[PointRank]]/100+PlayerGameData[[#This Row],[ASTOrder]],PlayerGameData[[#This Row],[ASTOrder]])</f>
        <v>1163.25</v>
      </c>
      <c r="AT847" s="8">
        <f ca="1">RANK(PlayerGameData[[#This Row],[ASTTieBreak]],PlayerGameData[ASTTieBreak],1)</f>
        <v>625</v>
      </c>
      <c r="AU847" s="8">
        <f ca="1">RANK(PlayerGameData[[#This Row],[STL]],PlayerGameData[STL],0)+PlayerGameData[[#This Row],[VisibleOrder]]</f>
        <v>1142</v>
      </c>
      <c r="AV847" s="8">
        <f ca="1">IF(COUNTIF(PlayerGameData[STLOrder],PlayerGameData[[#This Row],[STLOrder]])&gt;1,PlayerGameData[[#This Row],[PointRank]]/100+PlayerGameData[[#This Row],[STLOrder]],PlayerGameData[[#This Row],[STLOrder]])</f>
        <v>1148.25</v>
      </c>
      <c r="AW847" s="8">
        <f ca="1">RANK(PlayerGameData[[#This Row],[STLTieBreak]],PlayerGameData[STLTieBreak],1)</f>
        <v>625</v>
      </c>
      <c r="AX847" s="8">
        <f ca="1">RANK(PlayerGameData[[#This Row],[BLK]],PlayerGameData[BLK],0)+PlayerGameData[[#This Row],[VisibleOrder]]</f>
        <v>1031</v>
      </c>
      <c r="AY847" s="8">
        <f ca="1">IF(COUNTIF(PlayerGameData[BLKOrder],PlayerGameData[[#This Row],[BLKOrder]])&gt;1,PlayerGameData[[#This Row],[PointRank]]/100+PlayerGameData[[#This Row],[BLKOrder]],PlayerGameData[[#This Row],[BLKOrder]])</f>
        <v>1037.25</v>
      </c>
      <c r="AZ847" s="8">
        <f ca="1">RANK(PlayerGameData[[#This Row],[BLKTieBreak]],PlayerGameData[BLKTieBreak],1)</f>
        <v>625</v>
      </c>
      <c r="BA847" s="11">
        <f ca="1">IFERROR(IF(PlayerGameData[[#This Row],[FGA]]&gt;$AA$5,PlayerGameData[[#This Row],[FG%*]],PlayerGameData[[#This Row],[FG%*]]*-1),-2)</f>
        <v>-2</v>
      </c>
      <c r="BB847" s="8">
        <f ca="1">RANK(PlayerGameData[[#This Row],[EligFG]],PlayerGameData[EligFG],0)+PlayerGameData[[#This Row],[VisibleOrder]]</f>
        <v>1214</v>
      </c>
      <c r="BC847" s="8">
        <f ca="1">IF(COUNTIF(PlayerGameData[EligFGOrder],PlayerGameData[[#This Row],[EligFGOrder]])&gt;1,PlayerGameData[[#This Row],[PointRank]]/100+PlayerGameData[[#This Row],[EligFGOrder]],PlayerGameData[[#This Row],[EligFGOrder]])</f>
        <v>1220.25</v>
      </c>
      <c r="BD847" s="8">
        <f ca="1">RANK(PlayerGameData[[#This Row],[EligFGTieBreak]],PlayerGameData[EligFGTieBreak],1)</f>
        <v>625</v>
      </c>
      <c r="BE847" s="8" t="str">
        <f>Roster!$D$3</f>
        <v>East</v>
      </c>
      <c r="BF847" s="8" t="str">
        <f>Roster!$D$2</f>
        <v>Northeast</v>
      </c>
      <c r="BG847" s="8" t="str">
        <f>Roster!$D$4</f>
        <v>North</v>
      </c>
      <c r="BH847" s="197">
        <f ca="1">IFERROR(VLOOKUP(CONCATENATE(PlayerGameData[[#This Row],[Opponent]]," ",MONTH(PlayerGameData[[#This Row],[Date]]),"/",DAY(PlayerGameData[[#This Row],[Date]]),"/",YEAR(PlayerGameData[[#This Row],[Date]])),Table35[],2,FALSE),0)</f>
        <v>0</v>
      </c>
      <c r="BI847" s="197">
        <f ca="1">IF(PlayerGameData[[#This Row],[Visible]]=1,1,1000)</f>
        <v>1000</v>
      </c>
      <c r="BJ847" s="197" t="e">
        <f ca="1">_xlfn.MAXIFS(TeamGameData[Win],TeamGameData[School, Opponent,Game'#],PlayerGameData[[#This Row],[School, Opponent,Game'#]])</f>
        <v>#NAME?</v>
      </c>
      <c r="BK847" s="197" t="e">
        <f ca="1">_xlfn.MAXIFS(TeamGameData[Loss],TeamGameData[School, Opponent,Game'#],PlayerGameData[[#This Row],[School, Opponent,Game'#]])</f>
        <v>#NAME?</v>
      </c>
    </row>
    <row r="848" spans="1:63" x14ac:dyDescent="0.25">
      <c r="A848" s="8" t="str">
        <f t="shared" ca="1" si="423"/>
        <v>Logan Timberman, 3</v>
      </c>
      <c r="B848" s="8" t="str">
        <f>Roster!$B$1</f>
        <v>Upton</v>
      </c>
      <c r="C848" s="8">
        <f t="shared" ca="1" si="411"/>
        <v>0</v>
      </c>
      <c r="D848" s="10">
        <f t="shared" ca="1" si="412"/>
        <v>0</v>
      </c>
      <c r="E848" s="8">
        <f t="shared" ca="1" si="413"/>
        <v>0</v>
      </c>
      <c r="F848" s="8">
        <f t="shared" ca="1" si="414"/>
        <v>0</v>
      </c>
      <c r="G848" s="8">
        <f t="shared" ca="1" si="415"/>
        <v>0</v>
      </c>
      <c r="H848" s="8">
        <f t="shared" ca="1" si="416"/>
        <v>0</v>
      </c>
      <c r="I848" s="8">
        <f t="shared" ca="1" si="417"/>
        <v>0</v>
      </c>
      <c r="J848" s="8">
        <f t="shared" ca="1" si="418"/>
        <v>0</v>
      </c>
      <c r="K848" s="8">
        <f t="shared" ca="1" si="419"/>
        <v>0</v>
      </c>
      <c r="L848" s="8">
        <f t="shared" ca="1" si="424"/>
        <v>0</v>
      </c>
      <c r="M848" s="8">
        <f t="shared" ca="1" si="425"/>
        <v>0</v>
      </c>
      <c r="N848" s="8">
        <f t="shared" ca="1" si="426"/>
        <v>0</v>
      </c>
      <c r="O848" s="8">
        <f t="shared" ca="1" si="427"/>
        <v>0</v>
      </c>
      <c r="P848" s="8">
        <f t="shared" ca="1" si="428"/>
        <v>0</v>
      </c>
      <c r="Q848" s="8">
        <f t="shared" ca="1" si="429"/>
        <v>0</v>
      </c>
      <c r="R848" s="8">
        <f t="shared" ca="1" si="430"/>
        <v>0</v>
      </c>
      <c r="S848" s="8">
        <f t="shared" ca="1" si="431"/>
        <v>0</v>
      </c>
      <c r="T848" s="8">
        <f t="shared" ca="1" si="432"/>
        <v>0</v>
      </c>
      <c r="U848" s="8">
        <f t="shared" ca="1" si="433"/>
        <v>0</v>
      </c>
      <c r="V848" s="8">
        <f t="shared" ca="1" si="434"/>
        <v>0</v>
      </c>
      <c r="W848" s="11" t="str">
        <f t="shared" ca="1" si="435"/>
        <v/>
      </c>
      <c r="X848" s="11" t="str">
        <f t="shared" ca="1" si="436"/>
        <v/>
      </c>
      <c r="Y848" s="11" t="str">
        <f t="shared" ca="1" si="437"/>
        <v/>
      </c>
      <c r="Z848" s="11" t="str">
        <f t="shared" ca="1" si="438"/>
        <v/>
      </c>
      <c r="AA848" s="11" t="str">
        <f t="shared" ca="1" si="439"/>
        <v/>
      </c>
      <c r="AB848" s="47">
        <f ca="1">PlayerGameData[[#This Row],[3FGA]]+PlayerGameData[[#This Row],[2FGA]]</f>
        <v>0</v>
      </c>
      <c r="AC848" s="47">
        <f ca="1">PlayerGameData[[#This Row],[OFF REB]]+PlayerGameData[[#This Row],[DEF REB]]</f>
        <v>0</v>
      </c>
      <c r="AD848" s="8">
        <f t="shared" si="420"/>
        <v>36</v>
      </c>
      <c r="AE848" s="8" t="str">
        <f t="shared" ca="1" si="421"/>
        <v>Logan Timberman, 3 - 0 1/0/1900</v>
      </c>
      <c r="AF848" s="8" t="str">
        <f t="shared" ca="1" si="440"/>
        <v/>
      </c>
      <c r="AG848" s="8" t="str">
        <f ca="1">IFERROR(IF(C848=0,"",IF(AND(VLOOKUP(PlayerGameData[[#This Row],[Opponent]],WYTeamInfo,2,FALSE)=Roster!$D$1,VLOOKUP(PlayerGameData[[#This Row],[Opponent]],WYTeamInfo,3,FALSE)=Roster!$D$2),"SR","")),"")</f>
        <v/>
      </c>
      <c r="AH848" s="8" t="str">
        <f>CONCATENATE(Roster!$D$1," ",Roster!$D$5)</f>
        <v>1A BB</v>
      </c>
      <c r="AI848" s="8" t="str">
        <f t="shared" ca="1" si="422"/>
        <v>Blank</v>
      </c>
      <c r="AJ848" s="8">
        <f ca="1">IFERROR(VLOOKUP(PlayerGameData[[#This Row],[School, Opponent,Game'#]],Table3[],2,FALSE),0)</f>
        <v>0</v>
      </c>
      <c r="AK848" s="8">
        <f ca="1">IF(PlayerGameData[[#This Row],[Visible]]=1,1,1000)</f>
        <v>1000</v>
      </c>
      <c r="AL848" s="8">
        <f ca="1">RANK(PlayerGameData[[#This Row],[TL PTS]],PlayerGameData[TL PTS],0)+PlayerGameData[[#This Row],[VisibleOrder]]</f>
        <v>1184</v>
      </c>
      <c r="AM848" s="8">
        <f ca="1">IF(COUNTIF(PlayerGameData[PointOrder],PlayerGameData[[#This Row],[PointOrder]])&gt;1,RANK(PlayerGameData[[#This Row],[FGA]],PlayerGameData[FGA],0)/100,0)+PlayerGameData[[#This Row],[PointOrder]]</f>
        <v>1186.1400000000001</v>
      </c>
      <c r="AN848" s="8">
        <f ca="1">RANK(PlayerGameData[[#This Row],[PointTieBreak]],PlayerGameData[PointTieBreak],1)</f>
        <v>625</v>
      </c>
      <c r="AO848" s="8">
        <f ca="1">RANK(PlayerGameData[[#This Row],[REB]],PlayerGameData[REB],0)+PlayerGameData[[#This Row],[VisibleOrder]]</f>
        <v>1191</v>
      </c>
      <c r="AP848" s="8">
        <f ca="1">IF(COUNTIF(PlayerGameData[REBOrder],PlayerGameData[[#This Row],[REBOrder]])&gt;1,PlayerGameData[[#This Row],[PointRank]]/100+PlayerGameData[[#This Row],[REBOrder]],PlayerGameData[[#This Row],[REBOrder]])</f>
        <v>1197.25</v>
      </c>
      <c r="AQ848" s="8">
        <f ca="1">RANK(PlayerGameData[[#This Row],[REBTieBreak]],PlayerGameData[REBTieBreak],1)</f>
        <v>625</v>
      </c>
      <c r="AR848" s="8">
        <f ca="1">RANK(PlayerGameData[[#This Row],[AST]],PlayerGameData[AST],0)+PlayerGameData[[#This Row],[VisibleOrder]]</f>
        <v>1157</v>
      </c>
      <c r="AS848" s="8">
        <f ca="1">IF(COUNTIF(PlayerGameData[ASTOrder],PlayerGameData[[#This Row],[ASTOrder]])&gt;1,PlayerGameData[[#This Row],[PointRank]]/100+PlayerGameData[[#This Row],[ASTOrder]],PlayerGameData[[#This Row],[ASTOrder]])</f>
        <v>1163.25</v>
      </c>
      <c r="AT848" s="8">
        <f ca="1">RANK(PlayerGameData[[#This Row],[ASTTieBreak]],PlayerGameData[ASTTieBreak],1)</f>
        <v>625</v>
      </c>
      <c r="AU848" s="8">
        <f ca="1">RANK(PlayerGameData[[#This Row],[STL]],PlayerGameData[STL],0)+PlayerGameData[[#This Row],[VisibleOrder]]</f>
        <v>1142</v>
      </c>
      <c r="AV848" s="8">
        <f ca="1">IF(COUNTIF(PlayerGameData[STLOrder],PlayerGameData[[#This Row],[STLOrder]])&gt;1,PlayerGameData[[#This Row],[PointRank]]/100+PlayerGameData[[#This Row],[STLOrder]],PlayerGameData[[#This Row],[STLOrder]])</f>
        <v>1148.25</v>
      </c>
      <c r="AW848" s="8">
        <f ca="1">RANK(PlayerGameData[[#This Row],[STLTieBreak]],PlayerGameData[STLTieBreak],1)</f>
        <v>625</v>
      </c>
      <c r="AX848" s="8">
        <f ca="1">RANK(PlayerGameData[[#This Row],[BLK]],PlayerGameData[BLK],0)+PlayerGameData[[#This Row],[VisibleOrder]]</f>
        <v>1031</v>
      </c>
      <c r="AY848" s="8">
        <f ca="1">IF(COUNTIF(PlayerGameData[BLKOrder],PlayerGameData[[#This Row],[BLKOrder]])&gt;1,PlayerGameData[[#This Row],[PointRank]]/100+PlayerGameData[[#This Row],[BLKOrder]],PlayerGameData[[#This Row],[BLKOrder]])</f>
        <v>1037.25</v>
      </c>
      <c r="AZ848" s="8">
        <f ca="1">RANK(PlayerGameData[[#This Row],[BLKTieBreak]],PlayerGameData[BLKTieBreak],1)</f>
        <v>625</v>
      </c>
      <c r="BA848" s="11">
        <f ca="1">IFERROR(IF(PlayerGameData[[#This Row],[FGA]]&gt;$AA$5,PlayerGameData[[#This Row],[FG%*]],PlayerGameData[[#This Row],[FG%*]]*-1),-2)</f>
        <v>-2</v>
      </c>
      <c r="BB848" s="8">
        <f ca="1">RANK(PlayerGameData[[#This Row],[EligFG]],PlayerGameData[EligFG],0)+PlayerGameData[[#This Row],[VisibleOrder]]</f>
        <v>1214</v>
      </c>
      <c r="BC848" s="8">
        <f ca="1">IF(COUNTIF(PlayerGameData[EligFGOrder],PlayerGameData[[#This Row],[EligFGOrder]])&gt;1,PlayerGameData[[#This Row],[PointRank]]/100+PlayerGameData[[#This Row],[EligFGOrder]],PlayerGameData[[#This Row],[EligFGOrder]])</f>
        <v>1220.25</v>
      </c>
      <c r="BD848" s="8">
        <f ca="1">RANK(PlayerGameData[[#This Row],[EligFGTieBreak]],PlayerGameData[EligFGTieBreak],1)</f>
        <v>625</v>
      </c>
      <c r="BE848" s="8" t="str">
        <f>Roster!$D$3</f>
        <v>East</v>
      </c>
      <c r="BF848" s="8" t="str">
        <f>Roster!$D$2</f>
        <v>Northeast</v>
      </c>
      <c r="BG848" s="8" t="str">
        <f>Roster!$D$4</f>
        <v>North</v>
      </c>
      <c r="BH848" s="197">
        <f ca="1">IFERROR(VLOOKUP(CONCATENATE(PlayerGameData[[#This Row],[Opponent]]," ",MONTH(PlayerGameData[[#This Row],[Date]]),"/",DAY(PlayerGameData[[#This Row],[Date]]),"/",YEAR(PlayerGameData[[#This Row],[Date]])),Table35[],2,FALSE),0)</f>
        <v>0</v>
      </c>
      <c r="BI848" s="197">
        <f ca="1">IF(PlayerGameData[[#This Row],[Visible]]=1,1,1000)</f>
        <v>1000</v>
      </c>
      <c r="BJ848" s="197" t="e">
        <f ca="1">_xlfn.MAXIFS(TeamGameData[Win],TeamGameData[School, Opponent,Game'#],PlayerGameData[[#This Row],[School, Opponent,Game'#]])</f>
        <v>#NAME?</v>
      </c>
      <c r="BK848" s="197" t="e">
        <f ca="1">_xlfn.MAXIFS(TeamGameData[Loss],TeamGameData[School, Opponent,Game'#],PlayerGameData[[#This Row],[School, Opponent,Game'#]])</f>
        <v>#NAME?</v>
      </c>
    </row>
    <row r="849" spans="1:63" x14ac:dyDescent="0.25">
      <c r="A849" s="8" t="str">
        <f t="shared" ca="1" si="423"/>
        <v>Chase Mills, 5</v>
      </c>
      <c r="B849" s="8" t="str">
        <f>Roster!$B$1</f>
        <v>Upton</v>
      </c>
      <c r="C849" s="8">
        <f t="shared" ca="1" si="411"/>
        <v>0</v>
      </c>
      <c r="D849" s="10">
        <f t="shared" ca="1" si="412"/>
        <v>0</v>
      </c>
      <c r="E849" s="8">
        <f t="shared" ca="1" si="413"/>
        <v>0</v>
      </c>
      <c r="F849" s="8">
        <f t="shared" ca="1" si="414"/>
        <v>0</v>
      </c>
      <c r="G849" s="8">
        <f t="shared" ca="1" si="415"/>
        <v>0</v>
      </c>
      <c r="H849" s="8">
        <f t="shared" ca="1" si="416"/>
        <v>0</v>
      </c>
      <c r="I849" s="8">
        <f t="shared" ca="1" si="417"/>
        <v>0</v>
      </c>
      <c r="J849" s="8">
        <f t="shared" ca="1" si="418"/>
        <v>0</v>
      </c>
      <c r="K849" s="8">
        <f t="shared" ca="1" si="419"/>
        <v>0</v>
      </c>
      <c r="L849" s="8">
        <f t="shared" ca="1" si="424"/>
        <v>0</v>
      </c>
      <c r="M849" s="8">
        <f t="shared" ca="1" si="425"/>
        <v>0</v>
      </c>
      <c r="N849" s="8">
        <f t="shared" ca="1" si="426"/>
        <v>0</v>
      </c>
      <c r="O849" s="8">
        <f t="shared" ca="1" si="427"/>
        <v>0</v>
      </c>
      <c r="P849" s="8">
        <f t="shared" ca="1" si="428"/>
        <v>0</v>
      </c>
      <c r="Q849" s="8">
        <f t="shared" ca="1" si="429"/>
        <v>0</v>
      </c>
      <c r="R849" s="8">
        <f t="shared" ca="1" si="430"/>
        <v>0</v>
      </c>
      <c r="S849" s="8">
        <f t="shared" ca="1" si="431"/>
        <v>0</v>
      </c>
      <c r="T849" s="8">
        <f t="shared" ca="1" si="432"/>
        <v>0</v>
      </c>
      <c r="U849" s="8">
        <f t="shared" ca="1" si="433"/>
        <v>0</v>
      </c>
      <c r="V849" s="8">
        <f t="shared" ca="1" si="434"/>
        <v>0</v>
      </c>
      <c r="W849" s="11" t="str">
        <f t="shared" ca="1" si="435"/>
        <v/>
      </c>
      <c r="X849" s="11" t="str">
        <f t="shared" ca="1" si="436"/>
        <v/>
      </c>
      <c r="Y849" s="11" t="str">
        <f t="shared" ca="1" si="437"/>
        <v/>
      </c>
      <c r="Z849" s="11" t="str">
        <f t="shared" ca="1" si="438"/>
        <v/>
      </c>
      <c r="AA849" s="11" t="str">
        <f t="shared" ca="1" si="439"/>
        <v/>
      </c>
      <c r="AB849" s="47">
        <f ca="1">PlayerGameData[[#This Row],[3FGA]]+PlayerGameData[[#This Row],[2FGA]]</f>
        <v>0</v>
      </c>
      <c r="AC849" s="47">
        <f ca="1">PlayerGameData[[#This Row],[OFF REB]]+PlayerGameData[[#This Row],[DEF REB]]</f>
        <v>0</v>
      </c>
      <c r="AD849" s="8">
        <f t="shared" si="420"/>
        <v>36</v>
      </c>
      <c r="AE849" s="8" t="str">
        <f t="shared" ca="1" si="421"/>
        <v>Chase Mills, 5 - 0 1/0/1900</v>
      </c>
      <c r="AF849" s="8" t="str">
        <f t="shared" ca="1" si="440"/>
        <v/>
      </c>
      <c r="AG849" s="8" t="str">
        <f ca="1">IFERROR(IF(C849=0,"",IF(AND(VLOOKUP(PlayerGameData[[#This Row],[Opponent]],WYTeamInfo,2,FALSE)=Roster!$D$1,VLOOKUP(PlayerGameData[[#This Row],[Opponent]],WYTeamInfo,3,FALSE)=Roster!$D$2),"SR","")),"")</f>
        <v/>
      </c>
      <c r="AH849" s="8" t="str">
        <f>CONCATENATE(Roster!$D$1," ",Roster!$D$5)</f>
        <v>1A BB</v>
      </c>
      <c r="AI849" s="8" t="str">
        <f t="shared" ca="1" si="422"/>
        <v>Blank</v>
      </c>
      <c r="AJ849" s="8">
        <f ca="1">IFERROR(VLOOKUP(PlayerGameData[[#This Row],[School, Opponent,Game'#]],Table3[],2,FALSE),0)</f>
        <v>0</v>
      </c>
      <c r="AK849" s="8">
        <f ca="1">IF(PlayerGameData[[#This Row],[Visible]]=1,1,1000)</f>
        <v>1000</v>
      </c>
      <c r="AL849" s="8">
        <f ca="1">RANK(PlayerGameData[[#This Row],[TL PTS]],PlayerGameData[TL PTS],0)+PlayerGameData[[#This Row],[VisibleOrder]]</f>
        <v>1184</v>
      </c>
      <c r="AM849" s="8">
        <f ca="1">IF(COUNTIF(PlayerGameData[PointOrder],PlayerGameData[[#This Row],[PointOrder]])&gt;1,RANK(PlayerGameData[[#This Row],[FGA]],PlayerGameData[FGA],0)/100,0)+PlayerGameData[[#This Row],[PointOrder]]</f>
        <v>1186.1400000000001</v>
      </c>
      <c r="AN849" s="8">
        <f ca="1">RANK(PlayerGameData[[#This Row],[PointTieBreak]],PlayerGameData[PointTieBreak],1)</f>
        <v>625</v>
      </c>
      <c r="AO849" s="8">
        <f ca="1">RANK(PlayerGameData[[#This Row],[REB]],PlayerGameData[REB],0)+PlayerGameData[[#This Row],[VisibleOrder]]</f>
        <v>1191</v>
      </c>
      <c r="AP849" s="8">
        <f ca="1">IF(COUNTIF(PlayerGameData[REBOrder],PlayerGameData[[#This Row],[REBOrder]])&gt;1,PlayerGameData[[#This Row],[PointRank]]/100+PlayerGameData[[#This Row],[REBOrder]],PlayerGameData[[#This Row],[REBOrder]])</f>
        <v>1197.25</v>
      </c>
      <c r="AQ849" s="8">
        <f ca="1">RANK(PlayerGameData[[#This Row],[REBTieBreak]],PlayerGameData[REBTieBreak],1)</f>
        <v>625</v>
      </c>
      <c r="AR849" s="8">
        <f ca="1">RANK(PlayerGameData[[#This Row],[AST]],PlayerGameData[AST],0)+PlayerGameData[[#This Row],[VisibleOrder]]</f>
        <v>1157</v>
      </c>
      <c r="AS849" s="8">
        <f ca="1">IF(COUNTIF(PlayerGameData[ASTOrder],PlayerGameData[[#This Row],[ASTOrder]])&gt;1,PlayerGameData[[#This Row],[PointRank]]/100+PlayerGameData[[#This Row],[ASTOrder]],PlayerGameData[[#This Row],[ASTOrder]])</f>
        <v>1163.25</v>
      </c>
      <c r="AT849" s="8">
        <f ca="1">RANK(PlayerGameData[[#This Row],[ASTTieBreak]],PlayerGameData[ASTTieBreak],1)</f>
        <v>625</v>
      </c>
      <c r="AU849" s="8">
        <f ca="1">RANK(PlayerGameData[[#This Row],[STL]],PlayerGameData[STL],0)+PlayerGameData[[#This Row],[VisibleOrder]]</f>
        <v>1142</v>
      </c>
      <c r="AV849" s="8">
        <f ca="1">IF(COUNTIF(PlayerGameData[STLOrder],PlayerGameData[[#This Row],[STLOrder]])&gt;1,PlayerGameData[[#This Row],[PointRank]]/100+PlayerGameData[[#This Row],[STLOrder]],PlayerGameData[[#This Row],[STLOrder]])</f>
        <v>1148.25</v>
      </c>
      <c r="AW849" s="8">
        <f ca="1">RANK(PlayerGameData[[#This Row],[STLTieBreak]],PlayerGameData[STLTieBreak],1)</f>
        <v>625</v>
      </c>
      <c r="AX849" s="8">
        <f ca="1">RANK(PlayerGameData[[#This Row],[BLK]],PlayerGameData[BLK],0)+PlayerGameData[[#This Row],[VisibleOrder]]</f>
        <v>1031</v>
      </c>
      <c r="AY849" s="8">
        <f ca="1">IF(COUNTIF(PlayerGameData[BLKOrder],PlayerGameData[[#This Row],[BLKOrder]])&gt;1,PlayerGameData[[#This Row],[PointRank]]/100+PlayerGameData[[#This Row],[BLKOrder]],PlayerGameData[[#This Row],[BLKOrder]])</f>
        <v>1037.25</v>
      </c>
      <c r="AZ849" s="8">
        <f ca="1">RANK(PlayerGameData[[#This Row],[BLKTieBreak]],PlayerGameData[BLKTieBreak],1)</f>
        <v>625</v>
      </c>
      <c r="BA849" s="11">
        <f ca="1">IFERROR(IF(PlayerGameData[[#This Row],[FGA]]&gt;$AA$5,PlayerGameData[[#This Row],[FG%*]],PlayerGameData[[#This Row],[FG%*]]*-1),-2)</f>
        <v>-2</v>
      </c>
      <c r="BB849" s="8">
        <f ca="1">RANK(PlayerGameData[[#This Row],[EligFG]],PlayerGameData[EligFG],0)+PlayerGameData[[#This Row],[VisibleOrder]]</f>
        <v>1214</v>
      </c>
      <c r="BC849" s="8">
        <f ca="1">IF(COUNTIF(PlayerGameData[EligFGOrder],PlayerGameData[[#This Row],[EligFGOrder]])&gt;1,PlayerGameData[[#This Row],[PointRank]]/100+PlayerGameData[[#This Row],[EligFGOrder]],PlayerGameData[[#This Row],[EligFGOrder]])</f>
        <v>1220.25</v>
      </c>
      <c r="BD849" s="8">
        <f ca="1">RANK(PlayerGameData[[#This Row],[EligFGTieBreak]],PlayerGameData[EligFGTieBreak],1)</f>
        <v>625</v>
      </c>
      <c r="BE849" s="8" t="str">
        <f>Roster!$D$3</f>
        <v>East</v>
      </c>
      <c r="BF849" s="8" t="str">
        <f>Roster!$D$2</f>
        <v>Northeast</v>
      </c>
      <c r="BG849" s="8" t="str">
        <f>Roster!$D$4</f>
        <v>North</v>
      </c>
      <c r="BH849" s="197">
        <f ca="1">IFERROR(VLOOKUP(CONCATENATE(PlayerGameData[[#This Row],[Opponent]]," ",MONTH(PlayerGameData[[#This Row],[Date]]),"/",DAY(PlayerGameData[[#This Row],[Date]]),"/",YEAR(PlayerGameData[[#This Row],[Date]])),Table35[],2,FALSE),0)</f>
        <v>0</v>
      </c>
      <c r="BI849" s="197">
        <f ca="1">IF(PlayerGameData[[#This Row],[Visible]]=1,1,1000)</f>
        <v>1000</v>
      </c>
      <c r="BJ849" s="197" t="e">
        <f ca="1">_xlfn.MAXIFS(TeamGameData[Win],TeamGameData[School, Opponent,Game'#],PlayerGameData[[#This Row],[School, Opponent,Game'#]])</f>
        <v>#NAME?</v>
      </c>
      <c r="BK849" s="197" t="e">
        <f ca="1">_xlfn.MAXIFS(TeamGameData[Loss],TeamGameData[School, Opponent,Game'#],PlayerGameData[[#This Row],[School, Opponent,Game'#]])</f>
        <v>#NAME?</v>
      </c>
    </row>
    <row r="850" spans="1:63" x14ac:dyDescent="0.25">
      <c r="A850" s="8" t="str">
        <f t="shared" ca="1" si="423"/>
        <v>Rhett Watt, 10</v>
      </c>
      <c r="B850" s="8" t="str">
        <f>Roster!$B$1</f>
        <v>Upton</v>
      </c>
      <c r="C850" s="8">
        <f t="shared" ca="1" si="411"/>
        <v>0</v>
      </c>
      <c r="D850" s="10">
        <f t="shared" ca="1" si="412"/>
        <v>0</v>
      </c>
      <c r="E850" s="8">
        <f t="shared" ca="1" si="413"/>
        <v>0</v>
      </c>
      <c r="F850" s="8">
        <f t="shared" ca="1" si="414"/>
        <v>0</v>
      </c>
      <c r="G850" s="8">
        <f t="shared" ca="1" si="415"/>
        <v>0</v>
      </c>
      <c r="H850" s="8">
        <f t="shared" ca="1" si="416"/>
        <v>0</v>
      </c>
      <c r="I850" s="8">
        <f t="shared" ca="1" si="417"/>
        <v>0</v>
      </c>
      <c r="J850" s="8">
        <f t="shared" ca="1" si="418"/>
        <v>0</v>
      </c>
      <c r="K850" s="8">
        <f t="shared" ca="1" si="419"/>
        <v>0</v>
      </c>
      <c r="L850" s="8">
        <f t="shared" ca="1" si="424"/>
        <v>0</v>
      </c>
      <c r="M850" s="8">
        <f t="shared" ca="1" si="425"/>
        <v>0</v>
      </c>
      <c r="N850" s="8">
        <f t="shared" ca="1" si="426"/>
        <v>0</v>
      </c>
      <c r="O850" s="8">
        <f t="shared" ca="1" si="427"/>
        <v>0</v>
      </c>
      <c r="P850" s="8">
        <f t="shared" ca="1" si="428"/>
        <v>0</v>
      </c>
      <c r="Q850" s="8">
        <f t="shared" ca="1" si="429"/>
        <v>0</v>
      </c>
      <c r="R850" s="8">
        <f t="shared" ca="1" si="430"/>
        <v>0</v>
      </c>
      <c r="S850" s="8">
        <f t="shared" ca="1" si="431"/>
        <v>0</v>
      </c>
      <c r="T850" s="8">
        <f t="shared" ca="1" si="432"/>
        <v>0</v>
      </c>
      <c r="U850" s="8">
        <f t="shared" ca="1" si="433"/>
        <v>0</v>
      </c>
      <c r="V850" s="8">
        <f t="shared" ca="1" si="434"/>
        <v>0</v>
      </c>
      <c r="W850" s="11" t="str">
        <f t="shared" ca="1" si="435"/>
        <v/>
      </c>
      <c r="X850" s="11" t="str">
        <f t="shared" ca="1" si="436"/>
        <v/>
      </c>
      <c r="Y850" s="11" t="str">
        <f t="shared" ca="1" si="437"/>
        <v/>
      </c>
      <c r="Z850" s="11" t="str">
        <f t="shared" ca="1" si="438"/>
        <v/>
      </c>
      <c r="AA850" s="11" t="str">
        <f t="shared" ca="1" si="439"/>
        <v/>
      </c>
      <c r="AB850" s="47">
        <f ca="1">PlayerGameData[[#This Row],[3FGA]]+PlayerGameData[[#This Row],[2FGA]]</f>
        <v>0</v>
      </c>
      <c r="AC850" s="47">
        <f ca="1">PlayerGameData[[#This Row],[OFF REB]]+PlayerGameData[[#This Row],[DEF REB]]</f>
        <v>0</v>
      </c>
      <c r="AD850" s="8">
        <f t="shared" si="420"/>
        <v>36</v>
      </c>
      <c r="AE850" s="8" t="str">
        <f t="shared" ca="1" si="421"/>
        <v>Rhett Watt, 10 - 0 1/0/1900</v>
      </c>
      <c r="AF850" s="8" t="str">
        <f t="shared" ca="1" si="440"/>
        <v/>
      </c>
      <c r="AG850" s="8" t="str">
        <f ca="1">IFERROR(IF(C850=0,"",IF(AND(VLOOKUP(PlayerGameData[[#This Row],[Opponent]],WYTeamInfo,2,FALSE)=Roster!$D$1,VLOOKUP(PlayerGameData[[#This Row],[Opponent]],WYTeamInfo,3,FALSE)=Roster!$D$2),"SR","")),"")</f>
        <v/>
      </c>
      <c r="AH850" s="8" t="str">
        <f>CONCATENATE(Roster!$D$1," ",Roster!$D$5)</f>
        <v>1A BB</v>
      </c>
      <c r="AI850" s="8" t="str">
        <f t="shared" ca="1" si="422"/>
        <v>Blank</v>
      </c>
      <c r="AJ850" s="8">
        <f ca="1">IFERROR(VLOOKUP(PlayerGameData[[#This Row],[School, Opponent,Game'#]],Table3[],2,FALSE),0)</f>
        <v>0</v>
      </c>
      <c r="AK850" s="8">
        <f ca="1">IF(PlayerGameData[[#This Row],[Visible]]=1,1,1000)</f>
        <v>1000</v>
      </c>
      <c r="AL850" s="8">
        <f ca="1">RANK(PlayerGameData[[#This Row],[TL PTS]],PlayerGameData[TL PTS],0)+PlayerGameData[[#This Row],[VisibleOrder]]</f>
        <v>1184</v>
      </c>
      <c r="AM850" s="8">
        <f ca="1">IF(COUNTIF(PlayerGameData[PointOrder],PlayerGameData[[#This Row],[PointOrder]])&gt;1,RANK(PlayerGameData[[#This Row],[FGA]],PlayerGameData[FGA],0)/100,0)+PlayerGameData[[#This Row],[PointOrder]]</f>
        <v>1186.1400000000001</v>
      </c>
      <c r="AN850" s="8">
        <f ca="1">RANK(PlayerGameData[[#This Row],[PointTieBreak]],PlayerGameData[PointTieBreak],1)</f>
        <v>625</v>
      </c>
      <c r="AO850" s="8">
        <f ca="1">RANK(PlayerGameData[[#This Row],[REB]],PlayerGameData[REB],0)+PlayerGameData[[#This Row],[VisibleOrder]]</f>
        <v>1191</v>
      </c>
      <c r="AP850" s="8">
        <f ca="1">IF(COUNTIF(PlayerGameData[REBOrder],PlayerGameData[[#This Row],[REBOrder]])&gt;1,PlayerGameData[[#This Row],[PointRank]]/100+PlayerGameData[[#This Row],[REBOrder]],PlayerGameData[[#This Row],[REBOrder]])</f>
        <v>1197.25</v>
      </c>
      <c r="AQ850" s="8">
        <f ca="1">RANK(PlayerGameData[[#This Row],[REBTieBreak]],PlayerGameData[REBTieBreak],1)</f>
        <v>625</v>
      </c>
      <c r="AR850" s="8">
        <f ca="1">RANK(PlayerGameData[[#This Row],[AST]],PlayerGameData[AST],0)+PlayerGameData[[#This Row],[VisibleOrder]]</f>
        <v>1157</v>
      </c>
      <c r="AS850" s="8">
        <f ca="1">IF(COUNTIF(PlayerGameData[ASTOrder],PlayerGameData[[#This Row],[ASTOrder]])&gt;1,PlayerGameData[[#This Row],[PointRank]]/100+PlayerGameData[[#This Row],[ASTOrder]],PlayerGameData[[#This Row],[ASTOrder]])</f>
        <v>1163.25</v>
      </c>
      <c r="AT850" s="8">
        <f ca="1">RANK(PlayerGameData[[#This Row],[ASTTieBreak]],PlayerGameData[ASTTieBreak],1)</f>
        <v>625</v>
      </c>
      <c r="AU850" s="8">
        <f ca="1">RANK(PlayerGameData[[#This Row],[STL]],PlayerGameData[STL],0)+PlayerGameData[[#This Row],[VisibleOrder]]</f>
        <v>1142</v>
      </c>
      <c r="AV850" s="8">
        <f ca="1">IF(COUNTIF(PlayerGameData[STLOrder],PlayerGameData[[#This Row],[STLOrder]])&gt;1,PlayerGameData[[#This Row],[PointRank]]/100+PlayerGameData[[#This Row],[STLOrder]],PlayerGameData[[#This Row],[STLOrder]])</f>
        <v>1148.25</v>
      </c>
      <c r="AW850" s="8">
        <f ca="1">RANK(PlayerGameData[[#This Row],[STLTieBreak]],PlayerGameData[STLTieBreak],1)</f>
        <v>625</v>
      </c>
      <c r="AX850" s="8">
        <f ca="1">RANK(PlayerGameData[[#This Row],[BLK]],PlayerGameData[BLK],0)+PlayerGameData[[#This Row],[VisibleOrder]]</f>
        <v>1031</v>
      </c>
      <c r="AY850" s="8">
        <f ca="1">IF(COUNTIF(PlayerGameData[BLKOrder],PlayerGameData[[#This Row],[BLKOrder]])&gt;1,PlayerGameData[[#This Row],[PointRank]]/100+PlayerGameData[[#This Row],[BLKOrder]],PlayerGameData[[#This Row],[BLKOrder]])</f>
        <v>1037.25</v>
      </c>
      <c r="AZ850" s="8">
        <f ca="1">RANK(PlayerGameData[[#This Row],[BLKTieBreak]],PlayerGameData[BLKTieBreak],1)</f>
        <v>625</v>
      </c>
      <c r="BA850" s="11">
        <f ca="1">IFERROR(IF(PlayerGameData[[#This Row],[FGA]]&gt;$AA$5,PlayerGameData[[#This Row],[FG%*]],PlayerGameData[[#This Row],[FG%*]]*-1),-2)</f>
        <v>-2</v>
      </c>
      <c r="BB850" s="8">
        <f ca="1">RANK(PlayerGameData[[#This Row],[EligFG]],PlayerGameData[EligFG],0)+PlayerGameData[[#This Row],[VisibleOrder]]</f>
        <v>1214</v>
      </c>
      <c r="BC850" s="8">
        <f ca="1">IF(COUNTIF(PlayerGameData[EligFGOrder],PlayerGameData[[#This Row],[EligFGOrder]])&gt;1,PlayerGameData[[#This Row],[PointRank]]/100+PlayerGameData[[#This Row],[EligFGOrder]],PlayerGameData[[#This Row],[EligFGOrder]])</f>
        <v>1220.25</v>
      </c>
      <c r="BD850" s="8">
        <f ca="1">RANK(PlayerGameData[[#This Row],[EligFGTieBreak]],PlayerGameData[EligFGTieBreak],1)</f>
        <v>625</v>
      </c>
      <c r="BE850" s="8" t="str">
        <f>Roster!$D$3</f>
        <v>East</v>
      </c>
      <c r="BF850" s="8" t="str">
        <f>Roster!$D$2</f>
        <v>Northeast</v>
      </c>
      <c r="BG850" s="8" t="str">
        <f>Roster!$D$4</f>
        <v>North</v>
      </c>
      <c r="BH850" s="197">
        <f ca="1">IFERROR(VLOOKUP(CONCATENATE(PlayerGameData[[#This Row],[Opponent]]," ",MONTH(PlayerGameData[[#This Row],[Date]]),"/",DAY(PlayerGameData[[#This Row],[Date]]),"/",YEAR(PlayerGameData[[#This Row],[Date]])),Table35[],2,FALSE),0)</f>
        <v>0</v>
      </c>
      <c r="BI850" s="197">
        <f ca="1">IF(PlayerGameData[[#This Row],[Visible]]=1,1,1000)</f>
        <v>1000</v>
      </c>
      <c r="BJ850" s="197" t="e">
        <f ca="1">_xlfn.MAXIFS(TeamGameData[Win],TeamGameData[School, Opponent,Game'#],PlayerGameData[[#This Row],[School, Opponent,Game'#]])</f>
        <v>#NAME?</v>
      </c>
      <c r="BK850" s="197" t="e">
        <f ca="1">_xlfn.MAXIFS(TeamGameData[Loss],TeamGameData[School, Opponent,Game'#],PlayerGameData[[#This Row],[School, Opponent,Game'#]])</f>
        <v>#NAME?</v>
      </c>
    </row>
    <row r="851" spans="1:63" x14ac:dyDescent="0.25">
      <c r="A851" s="8" t="str">
        <f t="shared" ca="1" si="423"/>
        <v>Keith Coburn, 11</v>
      </c>
      <c r="B851" s="8" t="str">
        <f>Roster!$B$1</f>
        <v>Upton</v>
      </c>
      <c r="C851" s="8">
        <f t="shared" ca="1" si="411"/>
        <v>0</v>
      </c>
      <c r="D851" s="10">
        <f t="shared" ca="1" si="412"/>
        <v>0</v>
      </c>
      <c r="E851" s="8">
        <f t="shared" ca="1" si="413"/>
        <v>0</v>
      </c>
      <c r="F851" s="8">
        <f t="shared" ca="1" si="414"/>
        <v>0</v>
      </c>
      <c r="G851" s="8">
        <f t="shared" ca="1" si="415"/>
        <v>0</v>
      </c>
      <c r="H851" s="8">
        <f t="shared" ca="1" si="416"/>
        <v>0</v>
      </c>
      <c r="I851" s="8">
        <f t="shared" ca="1" si="417"/>
        <v>0</v>
      </c>
      <c r="J851" s="8">
        <f t="shared" ca="1" si="418"/>
        <v>0</v>
      </c>
      <c r="K851" s="8">
        <f t="shared" ca="1" si="419"/>
        <v>0</v>
      </c>
      <c r="L851" s="8">
        <f t="shared" ca="1" si="424"/>
        <v>0</v>
      </c>
      <c r="M851" s="8">
        <f t="shared" ca="1" si="425"/>
        <v>0</v>
      </c>
      <c r="N851" s="8">
        <f t="shared" ca="1" si="426"/>
        <v>0</v>
      </c>
      <c r="O851" s="8">
        <f t="shared" ca="1" si="427"/>
        <v>0</v>
      </c>
      <c r="P851" s="8">
        <f t="shared" ca="1" si="428"/>
        <v>0</v>
      </c>
      <c r="Q851" s="8">
        <f t="shared" ca="1" si="429"/>
        <v>0</v>
      </c>
      <c r="R851" s="8">
        <f t="shared" ca="1" si="430"/>
        <v>0</v>
      </c>
      <c r="S851" s="8">
        <f t="shared" ca="1" si="431"/>
        <v>0</v>
      </c>
      <c r="T851" s="8">
        <f t="shared" ca="1" si="432"/>
        <v>0</v>
      </c>
      <c r="U851" s="8">
        <f t="shared" ca="1" si="433"/>
        <v>0</v>
      </c>
      <c r="V851" s="8">
        <f t="shared" ca="1" si="434"/>
        <v>0</v>
      </c>
      <c r="W851" s="11" t="str">
        <f t="shared" ca="1" si="435"/>
        <v/>
      </c>
      <c r="X851" s="11" t="str">
        <f t="shared" ca="1" si="436"/>
        <v/>
      </c>
      <c r="Y851" s="11" t="str">
        <f t="shared" ca="1" si="437"/>
        <v/>
      </c>
      <c r="Z851" s="11" t="str">
        <f t="shared" ca="1" si="438"/>
        <v/>
      </c>
      <c r="AA851" s="11" t="str">
        <f t="shared" ca="1" si="439"/>
        <v/>
      </c>
      <c r="AB851" s="47">
        <f ca="1">PlayerGameData[[#This Row],[3FGA]]+PlayerGameData[[#This Row],[2FGA]]</f>
        <v>0</v>
      </c>
      <c r="AC851" s="47">
        <f ca="1">PlayerGameData[[#This Row],[OFF REB]]+PlayerGameData[[#This Row],[DEF REB]]</f>
        <v>0</v>
      </c>
      <c r="AD851" s="8">
        <f t="shared" si="420"/>
        <v>36</v>
      </c>
      <c r="AE851" s="8" t="str">
        <f t="shared" ca="1" si="421"/>
        <v>Keith Coburn, 11 - 0 1/0/1900</v>
      </c>
      <c r="AF851" s="8" t="str">
        <f t="shared" ca="1" si="440"/>
        <v/>
      </c>
      <c r="AG851" s="8" t="str">
        <f ca="1">IFERROR(IF(C851=0,"",IF(AND(VLOOKUP(PlayerGameData[[#This Row],[Opponent]],WYTeamInfo,2,FALSE)=Roster!$D$1,VLOOKUP(PlayerGameData[[#This Row],[Opponent]],WYTeamInfo,3,FALSE)=Roster!$D$2),"SR","")),"")</f>
        <v/>
      </c>
      <c r="AH851" s="8" t="str">
        <f>CONCATENATE(Roster!$D$1," ",Roster!$D$5)</f>
        <v>1A BB</v>
      </c>
      <c r="AI851" s="8" t="str">
        <f t="shared" ca="1" si="422"/>
        <v>Blank</v>
      </c>
      <c r="AJ851" s="8">
        <f ca="1">IFERROR(VLOOKUP(PlayerGameData[[#This Row],[School, Opponent,Game'#]],Table3[],2,FALSE),0)</f>
        <v>0</v>
      </c>
      <c r="AK851" s="8">
        <f ca="1">IF(PlayerGameData[[#This Row],[Visible]]=1,1,1000)</f>
        <v>1000</v>
      </c>
      <c r="AL851" s="8">
        <f ca="1">RANK(PlayerGameData[[#This Row],[TL PTS]],PlayerGameData[TL PTS],0)+PlayerGameData[[#This Row],[VisibleOrder]]</f>
        <v>1184</v>
      </c>
      <c r="AM851" s="8">
        <f ca="1">IF(COUNTIF(PlayerGameData[PointOrder],PlayerGameData[[#This Row],[PointOrder]])&gt;1,RANK(PlayerGameData[[#This Row],[FGA]],PlayerGameData[FGA],0)/100,0)+PlayerGameData[[#This Row],[PointOrder]]</f>
        <v>1186.1400000000001</v>
      </c>
      <c r="AN851" s="8">
        <f ca="1">RANK(PlayerGameData[[#This Row],[PointTieBreak]],PlayerGameData[PointTieBreak],1)</f>
        <v>625</v>
      </c>
      <c r="AO851" s="8">
        <f ca="1">RANK(PlayerGameData[[#This Row],[REB]],PlayerGameData[REB],0)+PlayerGameData[[#This Row],[VisibleOrder]]</f>
        <v>1191</v>
      </c>
      <c r="AP851" s="8">
        <f ca="1">IF(COUNTIF(PlayerGameData[REBOrder],PlayerGameData[[#This Row],[REBOrder]])&gt;1,PlayerGameData[[#This Row],[PointRank]]/100+PlayerGameData[[#This Row],[REBOrder]],PlayerGameData[[#This Row],[REBOrder]])</f>
        <v>1197.25</v>
      </c>
      <c r="AQ851" s="8">
        <f ca="1">RANK(PlayerGameData[[#This Row],[REBTieBreak]],PlayerGameData[REBTieBreak],1)</f>
        <v>625</v>
      </c>
      <c r="AR851" s="8">
        <f ca="1">RANK(PlayerGameData[[#This Row],[AST]],PlayerGameData[AST],0)+PlayerGameData[[#This Row],[VisibleOrder]]</f>
        <v>1157</v>
      </c>
      <c r="AS851" s="8">
        <f ca="1">IF(COUNTIF(PlayerGameData[ASTOrder],PlayerGameData[[#This Row],[ASTOrder]])&gt;1,PlayerGameData[[#This Row],[PointRank]]/100+PlayerGameData[[#This Row],[ASTOrder]],PlayerGameData[[#This Row],[ASTOrder]])</f>
        <v>1163.25</v>
      </c>
      <c r="AT851" s="8">
        <f ca="1">RANK(PlayerGameData[[#This Row],[ASTTieBreak]],PlayerGameData[ASTTieBreak],1)</f>
        <v>625</v>
      </c>
      <c r="AU851" s="8">
        <f ca="1">RANK(PlayerGameData[[#This Row],[STL]],PlayerGameData[STL],0)+PlayerGameData[[#This Row],[VisibleOrder]]</f>
        <v>1142</v>
      </c>
      <c r="AV851" s="8">
        <f ca="1">IF(COUNTIF(PlayerGameData[STLOrder],PlayerGameData[[#This Row],[STLOrder]])&gt;1,PlayerGameData[[#This Row],[PointRank]]/100+PlayerGameData[[#This Row],[STLOrder]],PlayerGameData[[#This Row],[STLOrder]])</f>
        <v>1148.25</v>
      </c>
      <c r="AW851" s="8">
        <f ca="1">RANK(PlayerGameData[[#This Row],[STLTieBreak]],PlayerGameData[STLTieBreak],1)</f>
        <v>625</v>
      </c>
      <c r="AX851" s="8">
        <f ca="1">RANK(PlayerGameData[[#This Row],[BLK]],PlayerGameData[BLK],0)+PlayerGameData[[#This Row],[VisibleOrder]]</f>
        <v>1031</v>
      </c>
      <c r="AY851" s="8">
        <f ca="1">IF(COUNTIF(PlayerGameData[BLKOrder],PlayerGameData[[#This Row],[BLKOrder]])&gt;1,PlayerGameData[[#This Row],[PointRank]]/100+PlayerGameData[[#This Row],[BLKOrder]],PlayerGameData[[#This Row],[BLKOrder]])</f>
        <v>1037.25</v>
      </c>
      <c r="AZ851" s="8">
        <f ca="1">RANK(PlayerGameData[[#This Row],[BLKTieBreak]],PlayerGameData[BLKTieBreak],1)</f>
        <v>625</v>
      </c>
      <c r="BA851" s="11">
        <f ca="1">IFERROR(IF(PlayerGameData[[#This Row],[FGA]]&gt;$AA$5,PlayerGameData[[#This Row],[FG%*]],PlayerGameData[[#This Row],[FG%*]]*-1),-2)</f>
        <v>-2</v>
      </c>
      <c r="BB851" s="8">
        <f ca="1">RANK(PlayerGameData[[#This Row],[EligFG]],PlayerGameData[EligFG],0)+PlayerGameData[[#This Row],[VisibleOrder]]</f>
        <v>1214</v>
      </c>
      <c r="BC851" s="8">
        <f ca="1">IF(COUNTIF(PlayerGameData[EligFGOrder],PlayerGameData[[#This Row],[EligFGOrder]])&gt;1,PlayerGameData[[#This Row],[PointRank]]/100+PlayerGameData[[#This Row],[EligFGOrder]],PlayerGameData[[#This Row],[EligFGOrder]])</f>
        <v>1220.25</v>
      </c>
      <c r="BD851" s="8">
        <f ca="1">RANK(PlayerGameData[[#This Row],[EligFGTieBreak]],PlayerGameData[EligFGTieBreak],1)</f>
        <v>625</v>
      </c>
      <c r="BE851" s="8" t="str">
        <f>Roster!$D$3</f>
        <v>East</v>
      </c>
      <c r="BF851" s="8" t="str">
        <f>Roster!$D$2</f>
        <v>Northeast</v>
      </c>
      <c r="BG851" s="8" t="str">
        <f>Roster!$D$4</f>
        <v>North</v>
      </c>
      <c r="BH851" s="197">
        <f ca="1">IFERROR(VLOOKUP(CONCATENATE(PlayerGameData[[#This Row],[Opponent]]," ",MONTH(PlayerGameData[[#This Row],[Date]]),"/",DAY(PlayerGameData[[#This Row],[Date]]),"/",YEAR(PlayerGameData[[#This Row],[Date]])),Table35[],2,FALSE),0)</f>
        <v>0</v>
      </c>
      <c r="BI851" s="197">
        <f ca="1">IF(PlayerGameData[[#This Row],[Visible]]=1,1,1000)</f>
        <v>1000</v>
      </c>
      <c r="BJ851" s="197" t="e">
        <f ca="1">_xlfn.MAXIFS(TeamGameData[Win],TeamGameData[School, Opponent,Game'#],PlayerGameData[[#This Row],[School, Opponent,Game'#]])</f>
        <v>#NAME?</v>
      </c>
      <c r="BK851" s="197" t="e">
        <f ca="1">_xlfn.MAXIFS(TeamGameData[Loss],TeamGameData[School, Opponent,Game'#],PlayerGameData[[#This Row],[School, Opponent,Game'#]])</f>
        <v>#NAME?</v>
      </c>
    </row>
    <row r="852" spans="1:63" x14ac:dyDescent="0.25">
      <c r="A852" s="8" t="str">
        <f t="shared" ca="1" si="423"/>
        <v>Carson Barritt, 14</v>
      </c>
      <c r="B852" s="8" t="str">
        <f>Roster!$B$1</f>
        <v>Upton</v>
      </c>
      <c r="C852" s="8">
        <f t="shared" ca="1" si="411"/>
        <v>0</v>
      </c>
      <c r="D852" s="10">
        <f t="shared" ca="1" si="412"/>
        <v>0</v>
      </c>
      <c r="E852" s="8">
        <f t="shared" ca="1" si="413"/>
        <v>0</v>
      </c>
      <c r="F852" s="8">
        <f t="shared" ca="1" si="414"/>
        <v>0</v>
      </c>
      <c r="G852" s="8">
        <f t="shared" ca="1" si="415"/>
        <v>0</v>
      </c>
      <c r="H852" s="8">
        <f t="shared" ca="1" si="416"/>
        <v>0</v>
      </c>
      <c r="I852" s="8">
        <f t="shared" ca="1" si="417"/>
        <v>0</v>
      </c>
      <c r="J852" s="8">
        <f t="shared" ca="1" si="418"/>
        <v>0</v>
      </c>
      <c r="K852" s="8">
        <f t="shared" ca="1" si="419"/>
        <v>0</v>
      </c>
      <c r="L852" s="8">
        <f t="shared" ca="1" si="424"/>
        <v>0</v>
      </c>
      <c r="M852" s="8">
        <f t="shared" ca="1" si="425"/>
        <v>0</v>
      </c>
      <c r="N852" s="8">
        <f t="shared" ca="1" si="426"/>
        <v>0</v>
      </c>
      <c r="O852" s="8">
        <f t="shared" ca="1" si="427"/>
        <v>0</v>
      </c>
      <c r="P852" s="8">
        <f t="shared" ca="1" si="428"/>
        <v>0</v>
      </c>
      <c r="Q852" s="8">
        <f t="shared" ca="1" si="429"/>
        <v>0</v>
      </c>
      <c r="R852" s="8">
        <f t="shared" ca="1" si="430"/>
        <v>0</v>
      </c>
      <c r="S852" s="8">
        <f t="shared" ca="1" si="431"/>
        <v>0</v>
      </c>
      <c r="T852" s="8">
        <f t="shared" ca="1" si="432"/>
        <v>0</v>
      </c>
      <c r="U852" s="8">
        <f t="shared" ca="1" si="433"/>
        <v>0</v>
      </c>
      <c r="V852" s="8">
        <f t="shared" ca="1" si="434"/>
        <v>0</v>
      </c>
      <c r="W852" s="11" t="str">
        <f t="shared" ca="1" si="435"/>
        <v/>
      </c>
      <c r="X852" s="11" t="str">
        <f t="shared" ca="1" si="436"/>
        <v/>
      </c>
      <c r="Y852" s="11" t="str">
        <f t="shared" ca="1" si="437"/>
        <v/>
      </c>
      <c r="Z852" s="11" t="str">
        <f t="shared" ca="1" si="438"/>
        <v/>
      </c>
      <c r="AA852" s="11" t="str">
        <f t="shared" ca="1" si="439"/>
        <v/>
      </c>
      <c r="AB852" s="47">
        <f ca="1">PlayerGameData[[#This Row],[3FGA]]+PlayerGameData[[#This Row],[2FGA]]</f>
        <v>0</v>
      </c>
      <c r="AC852" s="47">
        <f ca="1">PlayerGameData[[#This Row],[OFF REB]]+PlayerGameData[[#This Row],[DEF REB]]</f>
        <v>0</v>
      </c>
      <c r="AD852" s="8">
        <f t="shared" si="420"/>
        <v>36</v>
      </c>
      <c r="AE852" s="8" t="str">
        <f t="shared" ca="1" si="421"/>
        <v>Carson Barritt, 14 - 0 1/0/1900</v>
      </c>
      <c r="AF852" s="8" t="str">
        <f t="shared" ca="1" si="440"/>
        <v/>
      </c>
      <c r="AG852" s="8" t="str">
        <f ca="1">IFERROR(IF(C852=0,"",IF(AND(VLOOKUP(PlayerGameData[[#This Row],[Opponent]],WYTeamInfo,2,FALSE)=Roster!$D$1,VLOOKUP(PlayerGameData[[#This Row],[Opponent]],WYTeamInfo,3,FALSE)=Roster!$D$2),"SR","")),"")</f>
        <v/>
      </c>
      <c r="AH852" s="8" t="str">
        <f>CONCATENATE(Roster!$D$1," ",Roster!$D$5)</f>
        <v>1A BB</v>
      </c>
      <c r="AI852" s="8" t="str">
        <f t="shared" ca="1" si="422"/>
        <v>Blank</v>
      </c>
      <c r="AJ852" s="8">
        <f ca="1">IFERROR(VLOOKUP(PlayerGameData[[#This Row],[School, Opponent,Game'#]],Table3[],2,FALSE),0)</f>
        <v>0</v>
      </c>
      <c r="AK852" s="8">
        <f ca="1">IF(PlayerGameData[[#This Row],[Visible]]=1,1,1000)</f>
        <v>1000</v>
      </c>
      <c r="AL852" s="8">
        <f ca="1">RANK(PlayerGameData[[#This Row],[TL PTS]],PlayerGameData[TL PTS],0)+PlayerGameData[[#This Row],[VisibleOrder]]</f>
        <v>1184</v>
      </c>
      <c r="AM852" s="8">
        <f ca="1">IF(COUNTIF(PlayerGameData[PointOrder],PlayerGameData[[#This Row],[PointOrder]])&gt;1,RANK(PlayerGameData[[#This Row],[FGA]],PlayerGameData[FGA],0)/100,0)+PlayerGameData[[#This Row],[PointOrder]]</f>
        <v>1186.1400000000001</v>
      </c>
      <c r="AN852" s="8">
        <f ca="1">RANK(PlayerGameData[[#This Row],[PointTieBreak]],PlayerGameData[PointTieBreak],1)</f>
        <v>625</v>
      </c>
      <c r="AO852" s="8">
        <f ca="1">RANK(PlayerGameData[[#This Row],[REB]],PlayerGameData[REB],0)+PlayerGameData[[#This Row],[VisibleOrder]]</f>
        <v>1191</v>
      </c>
      <c r="AP852" s="8">
        <f ca="1">IF(COUNTIF(PlayerGameData[REBOrder],PlayerGameData[[#This Row],[REBOrder]])&gt;1,PlayerGameData[[#This Row],[PointRank]]/100+PlayerGameData[[#This Row],[REBOrder]],PlayerGameData[[#This Row],[REBOrder]])</f>
        <v>1197.25</v>
      </c>
      <c r="AQ852" s="8">
        <f ca="1">RANK(PlayerGameData[[#This Row],[REBTieBreak]],PlayerGameData[REBTieBreak],1)</f>
        <v>625</v>
      </c>
      <c r="AR852" s="8">
        <f ca="1">RANK(PlayerGameData[[#This Row],[AST]],PlayerGameData[AST],0)+PlayerGameData[[#This Row],[VisibleOrder]]</f>
        <v>1157</v>
      </c>
      <c r="AS852" s="8">
        <f ca="1">IF(COUNTIF(PlayerGameData[ASTOrder],PlayerGameData[[#This Row],[ASTOrder]])&gt;1,PlayerGameData[[#This Row],[PointRank]]/100+PlayerGameData[[#This Row],[ASTOrder]],PlayerGameData[[#This Row],[ASTOrder]])</f>
        <v>1163.25</v>
      </c>
      <c r="AT852" s="8">
        <f ca="1">RANK(PlayerGameData[[#This Row],[ASTTieBreak]],PlayerGameData[ASTTieBreak],1)</f>
        <v>625</v>
      </c>
      <c r="AU852" s="8">
        <f ca="1">RANK(PlayerGameData[[#This Row],[STL]],PlayerGameData[STL],0)+PlayerGameData[[#This Row],[VisibleOrder]]</f>
        <v>1142</v>
      </c>
      <c r="AV852" s="8">
        <f ca="1">IF(COUNTIF(PlayerGameData[STLOrder],PlayerGameData[[#This Row],[STLOrder]])&gt;1,PlayerGameData[[#This Row],[PointRank]]/100+PlayerGameData[[#This Row],[STLOrder]],PlayerGameData[[#This Row],[STLOrder]])</f>
        <v>1148.25</v>
      </c>
      <c r="AW852" s="8">
        <f ca="1">RANK(PlayerGameData[[#This Row],[STLTieBreak]],PlayerGameData[STLTieBreak],1)</f>
        <v>625</v>
      </c>
      <c r="AX852" s="8">
        <f ca="1">RANK(PlayerGameData[[#This Row],[BLK]],PlayerGameData[BLK],0)+PlayerGameData[[#This Row],[VisibleOrder]]</f>
        <v>1031</v>
      </c>
      <c r="AY852" s="8">
        <f ca="1">IF(COUNTIF(PlayerGameData[BLKOrder],PlayerGameData[[#This Row],[BLKOrder]])&gt;1,PlayerGameData[[#This Row],[PointRank]]/100+PlayerGameData[[#This Row],[BLKOrder]],PlayerGameData[[#This Row],[BLKOrder]])</f>
        <v>1037.25</v>
      </c>
      <c r="AZ852" s="8">
        <f ca="1">RANK(PlayerGameData[[#This Row],[BLKTieBreak]],PlayerGameData[BLKTieBreak],1)</f>
        <v>625</v>
      </c>
      <c r="BA852" s="11">
        <f ca="1">IFERROR(IF(PlayerGameData[[#This Row],[FGA]]&gt;$AA$5,PlayerGameData[[#This Row],[FG%*]],PlayerGameData[[#This Row],[FG%*]]*-1),-2)</f>
        <v>-2</v>
      </c>
      <c r="BB852" s="8">
        <f ca="1">RANK(PlayerGameData[[#This Row],[EligFG]],PlayerGameData[EligFG],0)+PlayerGameData[[#This Row],[VisibleOrder]]</f>
        <v>1214</v>
      </c>
      <c r="BC852" s="8">
        <f ca="1">IF(COUNTIF(PlayerGameData[EligFGOrder],PlayerGameData[[#This Row],[EligFGOrder]])&gt;1,PlayerGameData[[#This Row],[PointRank]]/100+PlayerGameData[[#This Row],[EligFGOrder]],PlayerGameData[[#This Row],[EligFGOrder]])</f>
        <v>1220.25</v>
      </c>
      <c r="BD852" s="8">
        <f ca="1">RANK(PlayerGameData[[#This Row],[EligFGTieBreak]],PlayerGameData[EligFGTieBreak],1)</f>
        <v>625</v>
      </c>
      <c r="BE852" s="8" t="str">
        <f>Roster!$D$3</f>
        <v>East</v>
      </c>
      <c r="BF852" s="8" t="str">
        <f>Roster!$D$2</f>
        <v>Northeast</v>
      </c>
      <c r="BG852" s="8" t="str">
        <f>Roster!$D$4</f>
        <v>North</v>
      </c>
      <c r="BH852" s="197">
        <f ca="1">IFERROR(VLOOKUP(CONCATENATE(PlayerGameData[[#This Row],[Opponent]]," ",MONTH(PlayerGameData[[#This Row],[Date]]),"/",DAY(PlayerGameData[[#This Row],[Date]]),"/",YEAR(PlayerGameData[[#This Row],[Date]])),Table35[],2,FALSE),0)</f>
        <v>0</v>
      </c>
      <c r="BI852" s="197">
        <f ca="1">IF(PlayerGameData[[#This Row],[Visible]]=1,1,1000)</f>
        <v>1000</v>
      </c>
      <c r="BJ852" s="197" t="e">
        <f ca="1">_xlfn.MAXIFS(TeamGameData[Win],TeamGameData[School, Opponent,Game'#],PlayerGameData[[#This Row],[School, Opponent,Game'#]])</f>
        <v>#NAME?</v>
      </c>
      <c r="BK852" s="197" t="e">
        <f ca="1">_xlfn.MAXIFS(TeamGameData[Loss],TeamGameData[School, Opponent,Game'#],PlayerGameData[[#This Row],[School, Opponent,Game'#]])</f>
        <v>#NAME?</v>
      </c>
    </row>
    <row r="853" spans="1:63" x14ac:dyDescent="0.25">
      <c r="A853" s="8" t="str">
        <f t="shared" ca="1" si="423"/>
        <v>Ben Carpenter, 21</v>
      </c>
      <c r="B853" s="8" t="str">
        <f>Roster!$B$1</f>
        <v>Upton</v>
      </c>
      <c r="C853" s="8">
        <f t="shared" ca="1" si="411"/>
        <v>0</v>
      </c>
      <c r="D853" s="10">
        <f t="shared" ca="1" si="412"/>
        <v>0</v>
      </c>
      <c r="E853" s="8">
        <f t="shared" ca="1" si="413"/>
        <v>0</v>
      </c>
      <c r="F853" s="8">
        <f t="shared" ca="1" si="414"/>
        <v>0</v>
      </c>
      <c r="G853" s="8">
        <f t="shared" ca="1" si="415"/>
        <v>0</v>
      </c>
      <c r="H853" s="8">
        <f t="shared" ca="1" si="416"/>
        <v>0</v>
      </c>
      <c r="I853" s="8">
        <f t="shared" ca="1" si="417"/>
        <v>0</v>
      </c>
      <c r="J853" s="8">
        <f t="shared" ca="1" si="418"/>
        <v>0</v>
      </c>
      <c r="K853" s="8">
        <f t="shared" ca="1" si="419"/>
        <v>0</v>
      </c>
      <c r="L853" s="8">
        <f t="shared" ca="1" si="424"/>
        <v>0</v>
      </c>
      <c r="M853" s="8">
        <f t="shared" ca="1" si="425"/>
        <v>0</v>
      </c>
      <c r="N853" s="8">
        <f t="shared" ca="1" si="426"/>
        <v>0</v>
      </c>
      <c r="O853" s="8">
        <f t="shared" ca="1" si="427"/>
        <v>0</v>
      </c>
      <c r="P853" s="8">
        <f t="shared" ca="1" si="428"/>
        <v>0</v>
      </c>
      <c r="Q853" s="8">
        <f t="shared" ca="1" si="429"/>
        <v>0</v>
      </c>
      <c r="R853" s="8">
        <f t="shared" ca="1" si="430"/>
        <v>0</v>
      </c>
      <c r="S853" s="8">
        <f t="shared" ca="1" si="431"/>
        <v>0</v>
      </c>
      <c r="T853" s="8">
        <f t="shared" ca="1" si="432"/>
        <v>0</v>
      </c>
      <c r="U853" s="8">
        <f t="shared" ca="1" si="433"/>
        <v>0</v>
      </c>
      <c r="V853" s="8">
        <f t="shared" ca="1" si="434"/>
        <v>0</v>
      </c>
      <c r="W853" s="11" t="str">
        <f t="shared" ca="1" si="435"/>
        <v/>
      </c>
      <c r="X853" s="11" t="str">
        <f t="shared" ca="1" si="436"/>
        <v/>
      </c>
      <c r="Y853" s="11" t="str">
        <f t="shared" ca="1" si="437"/>
        <v/>
      </c>
      <c r="Z853" s="11" t="str">
        <f t="shared" ca="1" si="438"/>
        <v/>
      </c>
      <c r="AA853" s="11" t="str">
        <f t="shared" ca="1" si="439"/>
        <v/>
      </c>
      <c r="AB853" s="47">
        <f ca="1">PlayerGameData[[#This Row],[3FGA]]+PlayerGameData[[#This Row],[2FGA]]</f>
        <v>0</v>
      </c>
      <c r="AC853" s="47">
        <f ca="1">PlayerGameData[[#This Row],[OFF REB]]+PlayerGameData[[#This Row],[DEF REB]]</f>
        <v>0</v>
      </c>
      <c r="AD853" s="8">
        <f t="shared" si="420"/>
        <v>36</v>
      </c>
      <c r="AE853" s="8" t="str">
        <f t="shared" ca="1" si="421"/>
        <v>Ben Carpenter, 21 - 0 1/0/1900</v>
      </c>
      <c r="AF853" s="8" t="str">
        <f t="shared" ca="1" si="440"/>
        <v/>
      </c>
      <c r="AG853" s="8" t="str">
        <f ca="1">IFERROR(IF(C853=0,"",IF(AND(VLOOKUP(PlayerGameData[[#This Row],[Opponent]],WYTeamInfo,2,FALSE)=Roster!$D$1,VLOOKUP(PlayerGameData[[#This Row],[Opponent]],WYTeamInfo,3,FALSE)=Roster!$D$2),"SR","")),"")</f>
        <v/>
      </c>
      <c r="AH853" s="8" t="str">
        <f>CONCATENATE(Roster!$D$1," ",Roster!$D$5)</f>
        <v>1A BB</v>
      </c>
      <c r="AI853" s="8" t="str">
        <f t="shared" ca="1" si="422"/>
        <v>Blank</v>
      </c>
      <c r="AJ853" s="8">
        <f ca="1">IFERROR(VLOOKUP(PlayerGameData[[#This Row],[School, Opponent,Game'#]],Table3[],2,FALSE),0)</f>
        <v>0</v>
      </c>
      <c r="AK853" s="8">
        <f ca="1">IF(PlayerGameData[[#This Row],[Visible]]=1,1,1000)</f>
        <v>1000</v>
      </c>
      <c r="AL853" s="8">
        <f ca="1">RANK(PlayerGameData[[#This Row],[TL PTS]],PlayerGameData[TL PTS],0)+PlayerGameData[[#This Row],[VisibleOrder]]</f>
        <v>1184</v>
      </c>
      <c r="AM853" s="8">
        <f ca="1">IF(COUNTIF(PlayerGameData[PointOrder],PlayerGameData[[#This Row],[PointOrder]])&gt;1,RANK(PlayerGameData[[#This Row],[FGA]],PlayerGameData[FGA],0)/100,0)+PlayerGameData[[#This Row],[PointOrder]]</f>
        <v>1186.1400000000001</v>
      </c>
      <c r="AN853" s="8">
        <f ca="1">RANK(PlayerGameData[[#This Row],[PointTieBreak]],PlayerGameData[PointTieBreak],1)</f>
        <v>625</v>
      </c>
      <c r="AO853" s="8">
        <f ca="1">RANK(PlayerGameData[[#This Row],[REB]],PlayerGameData[REB],0)+PlayerGameData[[#This Row],[VisibleOrder]]</f>
        <v>1191</v>
      </c>
      <c r="AP853" s="8">
        <f ca="1">IF(COUNTIF(PlayerGameData[REBOrder],PlayerGameData[[#This Row],[REBOrder]])&gt;1,PlayerGameData[[#This Row],[PointRank]]/100+PlayerGameData[[#This Row],[REBOrder]],PlayerGameData[[#This Row],[REBOrder]])</f>
        <v>1197.25</v>
      </c>
      <c r="AQ853" s="8">
        <f ca="1">RANK(PlayerGameData[[#This Row],[REBTieBreak]],PlayerGameData[REBTieBreak],1)</f>
        <v>625</v>
      </c>
      <c r="AR853" s="8">
        <f ca="1">RANK(PlayerGameData[[#This Row],[AST]],PlayerGameData[AST],0)+PlayerGameData[[#This Row],[VisibleOrder]]</f>
        <v>1157</v>
      </c>
      <c r="AS853" s="8">
        <f ca="1">IF(COUNTIF(PlayerGameData[ASTOrder],PlayerGameData[[#This Row],[ASTOrder]])&gt;1,PlayerGameData[[#This Row],[PointRank]]/100+PlayerGameData[[#This Row],[ASTOrder]],PlayerGameData[[#This Row],[ASTOrder]])</f>
        <v>1163.25</v>
      </c>
      <c r="AT853" s="8">
        <f ca="1">RANK(PlayerGameData[[#This Row],[ASTTieBreak]],PlayerGameData[ASTTieBreak],1)</f>
        <v>625</v>
      </c>
      <c r="AU853" s="8">
        <f ca="1">RANK(PlayerGameData[[#This Row],[STL]],PlayerGameData[STL],0)+PlayerGameData[[#This Row],[VisibleOrder]]</f>
        <v>1142</v>
      </c>
      <c r="AV853" s="8">
        <f ca="1">IF(COUNTIF(PlayerGameData[STLOrder],PlayerGameData[[#This Row],[STLOrder]])&gt;1,PlayerGameData[[#This Row],[PointRank]]/100+PlayerGameData[[#This Row],[STLOrder]],PlayerGameData[[#This Row],[STLOrder]])</f>
        <v>1148.25</v>
      </c>
      <c r="AW853" s="8">
        <f ca="1">RANK(PlayerGameData[[#This Row],[STLTieBreak]],PlayerGameData[STLTieBreak],1)</f>
        <v>625</v>
      </c>
      <c r="AX853" s="8">
        <f ca="1">RANK(PlayerGameData[[#This Row],[BLK]],PlayerGameData[BLK],0)+PlayerGameData[[#This Row],[VisibleOrder]]</f>
        <v>1031</v>
      </c>
      <c r="AY853" s="8">
        <f ca="1">IF(COUNTIF(PlayerGameData[BLKOrder],PlayerGameData[[#This Row],[BLKOrder]])&gt;1,PlayerGameData[[#This Row],[PointRank]]/100+PlayerGameData[[#This Row],[BLKOrder]],PlayerGameData[[#This Row],[BLKOrder]])</f>
        <v>1037.25</v>
      </c>
      <c r="AZ853" s="8">
        <f ca="1">RANK(PlayerGameData[[#This Row],[BLKTieBreak]],PlayerGameData[BLKTieBreak],1)</f>
        <v>625</v>
      </c>
      <c r="BA853" s="11">
        <f ca="1">IFERROR(IF(PlayerGameData[[#This Row],[FGA]]&gt;$AA$5,PlayerGameData[[#This Row],[FG%*]],PlayerGameData[[#This Row],[FG%*]]*-1),-2)</f>
        <v>-2</v>
      </c>
      <c r="BB853" s="8">
        <f ca="1">RANK(PlayerGameData[[#This Row],[EligFG]],PlayerGameData[EligFG],0)+PlayerGameData[[#This Row],[VisibleOrder]]</f>
        <v>1214</v>
      </c>
      <c r="BC853" s="8">
        <f ca="1">IF(COUNTIF(PlayerGameData[EligFGOrder],PlayerGameData[[#This Row],[EligFGOrder]])&gt;1,PlayerGameData[[#This Row],[PointRank]]/100+PlayerGameData[[#This Row],[EligFGOrder]],PlayerGameData[[#This Row],[EligFGOrder]])</f>
        <v>1220.25</v>
      </c>
      <c r="BD853" s="8">
        <f ca="1">RANK(PlayerGameData[[#This Row],[EligFGTieBreak]],PlayerGameData[EligFGTieBreak],1)</f>
        <v>625</v>
      </c>
      <c r="BE853" s="8" t="str">
        <f>Roster!$D$3</f>
        <v>East</v>
      </c>
      <c r="BF853" s="8" t="str">
        <f>Roster!$D$2</f>
        <v>Northeast</v>
      </c>
      <c r="BG853" s="8" t="str">
        <f>Roster!$D$4</f>
        <v>North</v>
      </c>
      <c r="BH853" s="197">
        <f ca="1">IFERROR(VLOOKUP(CONCATENATE(PlayerGameData[[#This Row],[Opponent]]," ",MONTH(PlayerGameData[[#This Row],[Date]]),"/",DAY(PlayerGameData[[#This Row],[Date]]),"/",YEAR(PlayerGameData[[#This Row],[Date]])),Table35[],2,FALSE),0)</f>
        <v>0</v>
      </c>
      <c r="BI853" s="197">
        <f ca="1">IF(PlayerGameData[[#This Row],[Visible]]=1,1,1000)</f>
        <v>1000</v>
      </c>
      <c r="BJ853" s="197" t="e">
        <f ca="1">_xlfn.MAXIFS(TeamGameData[Win],TeamGameData[School, Opponent,Game'#],PlayerGameData[[#This Row],[School, Opponent,Game'#]])</f>
        <v>#NAME?</v>
      </c>
      <c r="BK853" s="197" t="e">
        <f ca="1">_xlfn.MAXIFS(TeamGameData[Loss],TeamGameData[School, Opponent,Game'#],PlayerGameData[[#This Row],[School, Opponent,Game'#]])</f>
        <v>#NAME?</v>
      </c>
    </row>
    <row r="854" spans="1:63" x14ac:dyDescent="0.25">
      <c r="A854" s="8" t="str">
        <f t="shared" ca="1" si="423"/>
        <v>Ethan Schiller, 23</v>
      </c>
      <c r="B854" s="8" t="str">
        <f>Roster!$B$1</f>
        <v>Upton</v>
      </c>
      <c r="C854" s="8">
        <f t="shared" ca="1" si="411"/>
        <v>0</v>
      </c>
      <c r="D854" s="10">
        <f t="shared" ca="1" si="412"/>
        <v>0</v>
      </c>
      <c r="E854" s="8">
        <f t="shared" ca="1" si="413"/>
        <v>0</v>
      </c>
      <c r="F854" s="8">
        <f t="shared" ca="1" si="414"/>
        <v>0</v>
      </c>
      <c r="G854" s="8">
        <f t="shared" ca="1" si="415"/>
        <v>0</v>
      </c>
      <c r="H854" s="8">
        <f t="shared" ca="1" si="416"/>
        <v>0</v>
      </c>
      <c r="I854" s="8">
        <f t="shared" ca="1" si="417"/>
        <v>0</v>
      </c>
      <c r="J854" s="8">
        <f t="shared" ca="1" si="418"/>
        <v>0</v>
      </c>
      <c r="K854" s="8">
        <f t="shared" ca="1" si="419"/>
        <v>0</v>
      </c>
      <c r="L854" s="8">
        <f t="shared" ca="1" si="424"/>
        <v>0</v>
      </c>
      <c r="M854" s="8">
        <f t="shared" ca="1" si="425"/>
        <v>0</v>
      </c>
      <c r="N854" s="8">
        <f t="shared" ca="1" si="426"/>
        <v>0</v>
      </c>
      <c r="O854" s="8">
        <f t="shared" ca="1" si="427"/>
        <v>0</v>
      </c>
      <c r="P854" s="8">
        <f t="shared" ca="1" si="428"/>
        <v>0</v>
      </c>
      <c r="Q854" s="8">
        <f t="shared" ca="1" si="429"/>
        <v>0</v>
      </c>
      <c r="R854" s="8">
        <f t="shared" ca="1" si="430"/>
        <v>0</v>
      </c>
      <c r="S854" s="8">
        <f t="shared" ca="1" si="431"/>
        <v>0</v>
      </c>
      <c r="T854" s="8">
        <f t="shared" ca="1" si="432"/>
        <v>0</v>
      </c>
      <c r="U854" s="8">
        <f t="shared" ca="1" si="433"/>
        <v>0</v>
      </c>
      <c r="V854" s="8">
        <f t="shared" ca="1" si="434"/>
        <v>0</v>
      </c>
      <c r="W854" s="11" t="str">
        <f t="shared" ca="1" si="435"/>
        <v/>
      </c>
      <c r="X854" s="11" t="str">
        <f t="shared" ca="1" si="436"/>
        <v/>
      </c>
      <c r="Y854" s="11" t="str">
        <f t="shared" ca="1" si="437"/>
        <v/>
      </c>
      <c r="Z854" s="11" t="str">
        <f t="shared" ca="1" si="438"/>
        <v/>
      </c>
      <c r="AA854" s="11" t="str">
        <f t="shared" ca="1" si="439"/>
        <v/>
      </c>
      <c r="AB854" s="47">
        <f ca="1">PlayerGameData[[#This Row],[3FGA]]+PlayerGameData[[#This Row],[2FGA]]</f>
        <v>0</v>
      </c>
      <c r="AC854" s="47">
        <f ca="1">PlayerGameData[[#This Row],[OFF REB]]+PlayerGameData[[#This Row],[DEF REB]]</f>
        <v>0</v>
      </c>
      <c r="AD854" s="8">
        <f t="shared" si="420"/>
        <v>36</v>
      </c>
      <c r="AE854" s="8" t="str">
        <f t="shared" ca="1" si="421"/>
        <v>Ethan Schiller, 23 - 0 1/0/1900</v>
      </c>
      <c r="AF854" s="8" t="str">
        <f t="shared" ca="1" si="440"/>
        <v/>
      </c>
      <c r="AG854" s="8" t="str">
        <f ca="1">IFERROR(IF(C854=0,"",IF(AND(VLOOKUP(PlayerGameData[[#This Row],[Opponent]],WYTeamInfo,2,FALSE)=Roster!$D$1,VLOOKUP(PlayerGameData[[#This Row],[Opponent]],WYTeamInfo,3,FALSE)=Roster!$D$2),"SR","")),"")</f>
        <v/>
      </c>
      <c r="AH854" s="8" t="str">
        <f>CONCATENATE(Roster!$D$1," ",Roster!$D$5)</f>
        <v>1A BB</v>
      </c>
      <c r="AI854" s="8" t="str">
        <f t="shared" ca="1" si="422"/>
        <v>Blank</v>
      </c>
      <c r="AJ854" s="8">
        <f ca="1">IFERROR(VLOOKUP(PlayerGameData[[#This Row],[School, Opponent,Game'#]],Table3[],2,FALSE),0)</f>
        <v>0</v>
      </c>
      <c r="AK854" s="8">
        <f ca="1">IF(PlayerGameData[[#This Row],[Visible]]=1,1,1000)</f>
        <v>1000</v>
      </c>
      <c r="AL854" s="8">
        <f ca="1">RANK(PlayerGameData[[#This Row],[TL PTS]],PlayerGameData[TL PTS],0)+PlayerGameData[[#This Row],[VisibleOrder]]</f>
        <v>1184</v>
      </c>
      <c r="AM854" s="8">
        <f ca="1">IF(COUNTIF(PlayerGameData[PointOrder],PlayerGameData[[#This Row],[PointOrder]])&gt;1,RANK(PlayerGameData[[#This Row],[FGA]],PlayerGameData[FGA],0)/100,0)+PlayerGameData[[#This Row],[PointOrder]]</f>
        <v>1186.1400000000001</v>
      </c>
      <c r="AN854" s="8">
        <f ca="1">RANK(PlayerGameData[[#This Row],[PointTieBreak]],PlayerGameData[PointTieBreak],1)</f>
        <v>625</v>
      </c>
      <c r="AO854" s="8">
        <f ca="1">RANK(PlayerGameData[[#This Row],[REB]],PlayerGameData[REB],0)+PlayerGameData[[#This Row],[VisibleOrder]]</f>
        <v>1191</v>
      </c>
      <c r="AP854" s="8">
        <f ca="1">IF(COUNTIF(PlayerGameData[REBOrder],PlayerGameData[[#This Row],[REBOrder]])&gt;1,PlayerGameData[[#This Row],[PointRank]]/100+PlayerGameData[[#This Row],[REBOrder]],PlayerGameData[[#This Row],[REBOrder]])</f>
        <v>1197.25</v>
      </c>
      <c r="AQ854" s="8">
        <f ca="1">RANK(PlayerGameData[[#This Row],[REBTieBreak]],PlayerGameData[REBTieBreak],1)</f>
        <v>625</v>
      </c>
      <c r="AR854" s="8">
        <f ca="1">RANK(PlayerGameData[[#This Row],[AST]],PlayerGameData[AST],0)+PlayerGameData[[#This Row],[VisibleOrder]]</f>
        <v>1157</v>
      </c>
      <c r="AS854" s="8">
        <f ca="1">IF(COUNTIF(PlayerGameData[ASTOrder],PlayerGameData[[#This Row],[ASTOrder]])&gt;1,PlayerGameData[[#This Row],[PointRank]]/100+PlayerGameData[[#This Row],[ASTOrder]],PlayerGameData[[#This Row],[ASTOrder]])</f>
        <v>1163.25</v>
      </c>
      <c r="AT854" s="8">
        <f ca="1">RANK(PlayerGameData[[#This Row],[ASTTieBreak]],PlayerGameData[ASTTieBreak],1)</f>
        <v>625</v>
      </c>
      <c r="AU854" s="8">
        <f ca="1">RANK(PlayerGameData[[#This Row],[STL]],PlayerGameData[STL],0)+PlayerGameData[[#This Row],[VisibleOrder]]</f>
        <v>1142</v>
      </c>
      <c r="AV854" s="8">
        <f ca="1">IF(COUNTIF(PlayerGameData[STLOrder],PlayerGameData[[#This Row],[STLOrder]])&gt;1,PlayerGameData[[#This Row],[PointRank]]/100+PlayerGameData[[#This Row],[STLOrder]],PlayerGameData[[#This Row],[STLOrder]])</f>
        <v>1148.25</v>
      </c>
      <c r="AW854" s="8">
        <f ca="1">RANK(PlayerGameData[[#This Row],[STLTieBreak]],PlayerGameData[STLTieBreak],1)</f>
        <v>625</v>
      </c>
      <c r="AX854" s="8">
        <f ca="1">RANK(PlayerGameData[[#This Row],[BLK]],PlayerGameData[BLK],0)+PlayerGameData[[#This Row],[VisibleOrder]]</f>
        <v>1031</v>
      </c>
      <c r="AY854" s="8">
        <f ca="1">IF(COUNTIF(PlayerGameData[BLKOrder],PlayerGameData[[#This Row],[BLKOrder]])&gt;1,PlayerGameData[[#This Row],[PointRank]]/100+PlayerGameData[[#This Row],[BLKOrder]],PlayerGameData[[#This Row],[BLKOrder]])</f>
        <v>1037.25</v>
      </c>
      <c r="AZ854" s="8">
        <f ca="1">RANK(PlayerGameData[[#This Row],[BLKTieBreak]],PlayerGameData[BLKTieBreak],1)</f>
        <v>625</v>
      </c>
      <c r="BA854" s="11">
        <f ca="1">IFERROR(IF(PlayerGameData[[#This Row],[FGA]]&gt;$AA$5,PlayerGameData[[#This Row],[FG%*]],PlayerGameData[[#This Row],[FG%*]]*-1),-2)</f>
        <v>-2</v>
      </c>
      <c r="BB854" s="8">
        <f ca="1">RANK(PlayerGameData[[#This Row],[EligFG]],PlayerGameData[EligFG],0)+PlayerGameData[[#This Row],[VisibleOrder]]</f>
        <v>1214</v>
      </c>
      <c r="BC854" s="8">
        <f ca="1">IF(COUNTIF(PlayerGameData[EligFGOrder],PlayerGameData[[#This Row],[EligFGOrder]])&gt;1,PlayerGameData[[#This Row],[PointRank]]/100+PlayerGameData[[#This Row],[EligFGOrder]],PlayerGameData[[#This Row],[EligFGOrder]])</f>
        <v>1220.25</v>
      </c>
      <c r="BD854" s="8">
        <f ca="1">RANK(PlayerGameData[[#This Row],[EligFGTieBreak]],PlayerGameData[EligFGTieBreak],1)</f>
        <v>625</v>
      </c>
      <c r="BE854" s="8" t="str">
        <f>Roster!$D$3</f>
        <v>East</v>
      </c>
      <c r="BF854" s="8" t="str">
        <f>Roster!$D$2</f>
        <v>Northeast</v>
      </c>
      <c r="BG854" s="8" t="str">
        <f>Roster!$D$4</f>
        <v>North</v>
      </c>
      <c r="BH854" s="197">
        <f ca="1">IFERROR(VLOOKUP(CONCATENATE(PlayerGameData[[#This Row],[Opponent]]," ",MONTH(PlayerGameData[[#This Row],[Date]]),"/",DAY(PlayerGameData[[#This Row],[Date]]),"/",YEAR(PlayerGameData[[#This Row],[Date]])),Table35[],2,FALSE),0)</f>
        <v>0</v>
      </c>
      <c r="BI854" s="197">
        <f ca="1">IF(PlayerGameData[[#This Row],[Visible]]=1,1,1000)</f>
        <v>1000</v>
      </c>
      <c r="BJ854" s="197" t="e">
        <f ca="1">_xlfn.MAXIFS(TeamGameData[Win],TeamGameData[School, Opponent,Game'#],PlayerGameData[[#This Row],[School, Opponent,Game'#]])</f>
        <v>#NAME?</v>
      </c>
      <c r="BK854" s="197" t="e">
        <f ca="1">_xlfn.MAXIFS(TeamGameData[Loss],TeamGameData[School, Opponent,Game'#],PlayerGameData[[#This Row],[School, Opponent,Game'#]])</f>
        <v>#NAME?</v>
      </c>
    </row>
    <row r="855" spans="1:63" x14ac:dyDescent="0.25">
      <c r="A855" s="8" t="str">
        <f t="shared" ca="1" si="423"/>
        <v>Bridger Bruce, 25</v>
      </c>
      <c r="B855" s="8" t="str">
        <f>Roster!$B$1</f>
        <v>Upton</v>
      </c>
      <c r="C855" s="8">
        <f t="shared" ca="1" si="411"/>
        <v>0</v>
      </c>
      <c r="D855" s="10">
        <f t="shared" ca="1" si="412"/>
        <v>0</v>
      </c>
      <c r="E855" s="8">
        <f t="shared" ca="1" si="413"/>
        <v>0</v>
      </c>
      <c r="F855" s="8">
        <f t="shared" ca="1" si="414"/>
        <v>0</v>
      </c>
      <c r="G855" s="8">
        <f t="shared" ca="1" si="415"/>
        <v>0</v>
      </c>
      <c r="H855" s="8">
        <f t="shared" ca="1" si="416"/>
        <v>0</v>
      </c>
      <c r="I855" s="8">
        <f t="shared" ca="1" si="417"/>
        <v>0</v>
      </c>
      <c r="J855" s="8">
        <f t="shared" ca="1" si="418"/>
        <v>0</v>
      </c>
      <c r="K855" s="8">
        <f t="shared" ca="1" si="419"/>
        <v>0</v>
      </c>
      <c r="L855" s="8">
        <f t="shared" ca="1" si="424"/>
        <v>0</v>
      </c>
      <c r="M855" s="8">
        <f t="shared" ca="1" si="425"/>
        <v>0</v>
      </c>
      <c r="N855" s="8">
        <f t="shared" ca="1" si="426"/>
        <v>0</v>
      </c>
      <c r="O855" s="8">
        <f t="shared" ca="1" si="427"/>
        <v>0</v>
      </c>
      <c r="P855" s="8">
        <f t="shared" ca="1" si="428"/>
        <v>0</v>
      </c>
      <c r="Q855" s="8">
        <f t="shared" ca="1" si="429"/>
        <v>0</v>
      </c>
      <c r="R855" s="8">
        <f t="shared" ca="1" si="430"/>
        <v>0</v>
      </c>
      <c r="S855" s="8">
        <f t="shared" ca="1" si="431"/>
        <v>0</v>
      </c>
      <c r="T855" s="8">
        <f t="shared" ca="1" si="432"/>
        <v>0</v>
      </c>
      <c r="U855" s="8">
        <f t="shared" ca="1" si="433"/>
        <v>0</v>
      </c>
      <c r="V855" s="8">
        <f t="shared" ca="1" si="434"/>
        <v>0</v>
      </c>
      <c r="W855" s="11" t="str">
        <f t="shared" ca="1" si="435"/>
        <v/>
      </c>
      <c r="X855" s="11" t="str">
        <f t="shared" ca="1" si="436"/>
        <v/>
      </c>
      <c r="Y855" s="11" t="str">
        <f t="shared" ca="1" si="437"/>
        <v/>
      </c>
      <c r="Z855" s="11" t="str">
        <f t="shared" ca="1" si="438"/>
        <v/>
      </c>
      <c r="AA855" s="11" t="str">
        <f t="shared" ca="1" si="439"/>
        <v/>
      </c>
      <c r="AB855" s="47">
        <f ca="1">PlayerGameData[[#This Row],[3FGA]]+PlayerGameData[[#This Row],[2FGA]]</f>
        <v>0</v>
      </c>
      <c r="AC855" s="47">
        <f ca="1">PlayerGameData[[#This Row],[OFF REB]]+PlayerGameData[[#This Row],[DEF REB]]</f>
        <v>0</v>
      </c>
      <c r="AD855" s="8">
        <f t="shared" si="420"/>
        <v>36</v>
      </c>
      <c r="AE855" s="8" t="str">
        <f t="shared" ca="1" si="421"/>
        <v>Bridger Bruce, 25 - 0 1/0/1900</v>
      </c>
      <c r="AF855" s="8" t="str">
        <f t="shared" ca="1" si="440"/>
        <v/>
      </c>
      <c r="AG855" s="8" t="str">
        <f ca="1">IFERROR(IF(C855=0,"",IF(AND(VLOOKUP(PlayerGameData[[#This Row],[Opponent]],WYTeamInfo,2,FALSE)=Roster!$D$1,VLOOKUP(PlayerGameData[[#This Row],[Opponent]],WYTeamInfo,3,FALSE)=Roster!$D$2),"SR","")),"")</f>
        <v/>
      </c>
      <c r="AH855" s="8" t="str">
        <f>CONCATENATE(Roster!$D$1," ",Roster!$D$5)</f>
        <v>1A BB</v>
      </c>
      <c r="AI855" s="8" t="str">
        <f t="shared" ca="1" si="422"/>
        <v>Blank</v>
      </c>
      <c r="AJ855" s="8">
        <f ca="1">IFERROR(VLOOKUP(PlayerGameData[[#This Row],[School, Opponent,Game'#]],Table3[],2,FALSE),0)</f>
        <v>0</v>
      </c>
      <c r="AK855" s="8">
        <f ca="1">IF(PlayerGameData[[#This Row],[Visible]]=1,1,1000)</f>
        <v>1000</v>
      </c>
      <c r="AL855" s="8">
        <f ca="1">RANK(PlayerGameData[[#This Row],[TL PTS]],PlayerGameData[TL PTS],0)+PlayerGameData[[#This Row],[VisibleOrder]]</f>
        <v>1184</v>
      </c>
      <c r="AM855" s="8">
        <f ca="1">IF(COUNTIF(PlayerGameData[PointOrder],PlayerGameData[[#This Row],[PointOrder]])&gt;1,RANK(PlayerGameData[[#This Row],[FGA]],PlayerGameData[FGA],0)/100,0)+PlayerGameData[[#This Row],[PointOrder]]</f>
        <v>1186.1400000000001</v>
      </c>
      <c r="AN855" s="8">
        <f ca="1">RANK(PlayerGameData[[#This Row],[PointTieBreak]],PlayerGameData[PointTieBreak],1)</f>
        <v>625</v>
      </c>
      <c r="AO855" s="8">
        <f ca="1">RANK(PlayerGameData[[#This Row],[REB]],PlayerGameData[REB],0)+PlayerGameData[[#This Row],[VisibleOrder]]</f>
        <v>1191</v>
      </c>
      <c r="AP855" s="8">
        <f ca="1">IF(COUNTIF(PlayerGameData[REBOrder],PlayerGameData[[#This Row],[REBOrder]])&gt;1,PlayerGameData[[#This Row],[PointRank]]/100+PlayerGameData[[#This Row],[REBOrder]],PlayerGameData[[#This Row],[REBOrder]])</f>
        <v>1197.25</v>
      </c>
      <c r="AQ855" s="8">
        <f ca="1">RANK(PlayerGameData[[#This Row],[REBTieBreak]],PlayerGameData[REBTieBreak],1)</f>
        <v>625</v>
      </c>
      <c r="AR855" s="8">
        <f ca="1">RANK(PlayerGameData[[#This Row],[AST]],PlayerGameData[AST],0)+PlayerGameData[[#This Row],[VisibleOrder]]</f>
        <v>1157</v>
      </c>
      <c r="AS855" s="8">
        <f ca="1">IF(COUNTIF(PlayerGameData[ASTOrder],PlayerGameData[[#This Row],[ASTOrder]])&gt;1,PlayerGameData[[#This Row],[PointRank]]/100+PlayerGameData[[#This Row],[ASTOrder]],PlayerGameData[[#This Row],[ASTOrder]])</f>
        <v>1163.25</v>
      </c>
      <c r="AT855" s="8">
        <f ca="1">RANK(PlayerGameData[[#This Row],[ASTTieBreak]],PlayerGameData[ASTTieBreak],1)</f>
        <v>625</v>
      </c>
      <c r="AU855" s="8">
        <f ca="1">RANK(PlayerGameData[[#This Row],[STL]],PlayerGameData[STL],0)+PlayerGameData[[#This Row],[VisibleOrder]]</f>
        <v>1142</v>
      </c>
      <c r="AV855" s="8">
        <f ca="1">IF(COUNTIF(PlayerGameData[STLOrder],PlayerGameData[[#This Row],[STLOrder]])&gt;1,PlayerGameData[[#This Row],[PointRank]]/100+PlayerGameData[[#This Row],[STLOrder]],PlayerGameData[[#This Row],[STLOrder]])</f>
        <v>1148.25</v>
      </c>
      <c r="AW855" s="8">
        <f ca="1">RANK(PlayerGameData[[#This Row],[STLTieBreak]],PlayerGameData[STLTieBreak],1)</f>
        <v>625</v>
      </c>
      <c r="AX855" s="8">
        <f ca="1">RANK(PlayerGameData[[#This Row],[BLK]],PlayerGameData[BLK],0)+PlayerGameData[[#This Row],[VisibleOrder]]</f>
        <v>1031</v>
      </c>
      <c r="AY855" s="8">
        <f ca="1">IF(COUNTIF(PlayerGameData[BLKOrder],PlayerGameData[[#This Row],[BLKOrder]])&gt;1,PlayerGameData[[#This Row],[PointRank]]/100+PlayerGameData[[#This Row],[BLKOrder]],PlayerGameData[[#This Row],[BLKOrder]])</f>
        <v>1037.25</v>
      </c>
      <c r="AZ855" s="8">
        <f ca="1">RANK(PlayerGameData[[#This Row],[BLKTieBreak]],PlayerGameData[BLKTieBreak],1)</f>
        <v>625</v>
      </c>
      <c r="BA855" s="11">
        <f ca="1">IFERROR(IF(PlayerGameData[[#This Row],[FGA]]&gt;$AA$5,PlayerGameData[[#This Row],[FG%*]],PlayerGameData[[#This Row],[FG%*]]*-1),-2)</f>
        <v>-2</v>
      </c>
      <c r="BB855" s="8">
        <f ca="1">RANK(PlayerGameData[[#This Row],[EligFG]],PlayerGameData[EligFG],0)+PlayerGameData[[#This Row],[VisibleOrder]]</f>
        <v>1214</v>
      </c>
      <c r="BC855" s="8">
        <f ca="1">IF(COUNTIF(PlayerGameData[EligFGOrder],PlayerGameData[[#This Row],[EligFGOrder]])&gt;1,PlayerGameData[[#This Row],[PointRank]]/100+PlayerGameData[[#This Row],[EligFGOrder]],PlayerGameData[[#This Row],[EligFGOrder]])</f>
        <v>1220.25</v>
      </c>
      <c r="BD855" s="8">
        <f ca="1">RANK(PlayerGameData[[#This Row],[EligFGTieBreak]],PlayerGameData[EligFGTieBreak],1)</f>
        <v>625</v>
      </c>
      <c r="BE855" s="8" t="str">
        <f>Roster!$D$3</f>
        <v>East</v>
      </c>
      <c r="BF855" s="8" t="str">
        <f>Roster!$D$2</f>
        <v>Northeast</v>
      </c>
      <c r="BG855" s="8" t="str">
        <f>Roster!$D$4</f>
        <v>North</v>
      </c>
      <c r="BH855" s="197">
        <f ca="1">IFERROR(VLOOKUP(CONCATENATE(PlayerGameData[[#This Row],[Opponent]]," ",MONTH(PlayerGameData[[#This Row],[Date]]),"/",DAY(PlayerGameData[[#This Row],[Date]]),"/",YEAR(PlayerGameData[[#This Row],[Date]])),Table35[],2,FALSE),0)</f>
        <v>0</v>
      </c>
      <c r="BI855" s="197">
        <f ca="1">IF(PlayerGameData[[#This Row],[Visible]]=1,1,1000)</f>
        <v>1000</v>
      </c>
      <c r="BJ855" s="197" t="e">
        <f ca="1">_xlfn.MAXIFS(TeamGameData[Win],TeamGameData[School, Opponent,Game'#],PlayerGameData[[#This Row],[School, Opponent,Game'#]])</f>
        <v>#NAME?</v>
      </c>
      <c r="BK855" s="197" t="e">
        <f ca="1">_xlfn.MAXIFS(TeamGameData[Loss],TeamGameData[School, Opponent,Game'#],PlayerGameData[[#This Row],[School, Opponent,Game'#]])</f>
        <v>#NAME?</v>
      </c>
    </row>
    <row r="856" spans="1:63" x14ac:dyDescent="0.25">
      <c r="A856" s="8" t="str">
        <f t="shared" ca="1" si="423"/>
        <v>Kailer Duarte, 31</v>
      </c>
      <c r="B856" s="8" t="str">
        <f>Roster!$B$1</f>
        <v>Upton</v>
      </c>
      <c r="C856" s="8">
        <f t="shared" ca="1" si="411"/>
        <v>0</v>
      </c>
      <c r="D856" s="10">
        <f t="shared" ca="1" si="412"/>
        <v>0</v>
      </c>
      <c r="E856" s="8">
        <f t="shared" ca="1" si="413"/>
        <v>0</v>
      </c>
      <c r="F856" s="8">
        <f t="shared" ca="1" si="414"/>
        <v>0</v>
      </c>
      <c r="G856" s="8">
        <f t="shared" ca="1" si="415"/>
        <v>0</v>
      </c>
      <c r="H856" s="8">
        <f t="shared" ca="1" si="416"/>
        <v>0</v>
      </c>
      <c r="I856" s="8">
        <f t="shared" ca="1" si="417"/>
        <v>0</v>
      </c>
      <c r="J856" s="8">
        <f t="shared" ca="1" si="418"/>
        <v>0</v>
      </c>
      <c r="K856" s="8">
        <f t="shared" ca="1" si="419"/>
        <v>0</v>
      </c>
      <c r="L856" s="8">
        <f t="shared" ca="1" si="424"/>
        <v>0</v>
      </c>
      <c r="M856" s="8">
        <f t="shared" ca="1" si="425"/>
        <v>0</v>
      </c>
      <c r="N856" s="8">
        <f t="shared" ca="1" si="426"/>
        <v>0</v>
      </c>
      <c r="O856" s="8">
        <f t="shared" ca="1" si="427"/>
        <v>0</v>
      </c>
      <c r="P856" s="8">
        <f t="shared" ca="1" si="428"/>
        <v>0</v>
      </c>
      <c r="Q856" s="8">
        <f t="shared" ca="1" si="429"/>
        <v>0</v>
      </c>
      <c r="R856" s="8">
        <f t="shared" ca="1" si="430"/>
        <v>0</v>
      </c>
      <c r="S856" s="8">
        <f t="shared" ca="1" si="431"/>
        <v>0</v>
      </c>
      <c r="T856" s="8">
        <f t="shared" ca="1" si="432"/>
        <v>0</v>
      </c>
      <c r="U856" s="8">
        <f t="shared" ca="1" si="433"/>
        <v>0</v>
      </c>
      <c r="V856" s="8">
        <f t="shared" ca="1" si="434"/>
        <v>0</v>
      </c>
      <c r="W856" s="11" t="str">
        <f t="shared" ca="1" si="435"/>
        <v/>
      </c>
      <c r="X856" s="11" t="str">
        <f t="shared" ca="1" si="436"/>
        <v/>
      </c>
      <c r="Y856" s="11" t="str">
        <f t="shared" ca="1" si="437"/>
        <v/>
      </c>
      <c r="Z856" s="11" t="str">
        <f t="shared" ca="1" si="438"/>
        <v/>
      </c>
      <c r="AA856" s="11" t="str">
        <f t="shared" ca="1" si="439"/>
        <v/>
      </c>
      <c r="AB856" s="47">
        <f ca="1">PlayerGameData[[#This Row],[3FGA]]+PlayerGameData[[#This Row],[2FGA]]</f>
        <v>0</v>
      </c>
      <c r="AC856" s="47">
        <f ca="1">PlayerGameData[[#This Row],[OFF REB]]+PlayerGameData[[#This Row],[DEF REB]]</f>
        <v>0</v>
      </c>
      <c r="AD856" s="8">
        <f t="shared" si="420"/>
        <v>36</v>
      </c>
      <c r="AE856" s="8" t="str">
        <f t="shared" ca="1" si="421"/>
        <v>Kailer Duarte, 31 - 0 1/0/1900</v>
      </c>
      <c r="AF856" s="8" t="str">
        <f t="shared" ca="1" si="440"/>
        <v/>
      </c>
      <c r="AG856" s="8" t="str">
        <f ca="1">IFERROR(IF(C856=0,"",IF(AND(VLOOKUP(PlayerGameData[[#This Row],[Opponent]],WYTeamInfo,2,FALSE)=Roster!$D$1,VLOOKUP(PlayerGameData[[#This Row],[Opponent]],WYTeamInfo,3,FALSE)=Roster!$D$2),"SR","")),"")</f>
        <v/>
      </c>
      <c r="AH856" s="8" t="str">
        <f>CONCATENATE(Roster!$D$1," ",Roster!$D$5)</f>
        <v>1A BB</v>
      </c>
      <c r="AI856" s="8" t="str">
        <f t="shared" ca="1" si="422"/>
        <v>Blank</v>
      </c>
      <c r="AJ856" s="8">
        <f ca="1">IFERROR(VLOOKUP(PlayerGameData[[#This Row],[School, Opponent,Game'#]],Table3[],2,FALSE),0)</f>
        <v>0</v>
      </c>
      <c r="AK856" s="8">
        <f ca="1">IF(PlayerGameData[[#This Row],[Visible]]=1,1,1000)</f>
        <v>1000</v>
      </c>
      <c r="AL856" s="8">
        <f ca="1">RANK(PlayerGameData[[#This Row],[TL PTS]],PlayerGameData[TL PTS],0)+PlayerGameData[[#This Row],[VisibleOrder]]</f>
        <v>1184</v>
      </c>
      <c r="AM856" s="8">
        <f ca="1">IF(COUNTIF(PlayerGameData[PointOrder],PlayerGameData[[#This Row],[PointOrder]])&gt;1,RANK(PlayerGameData[[#This Row],[FGA]],PlayerGameData[FGA],0)/100,0)+PlayerGameData[[#This Row],[PointOrder]]</f>
        <v>1186.1400000000001</v>
      </c>
      <c r="AN856" s="8">
        <f ca="1">RANK(PlayerGameData[[#This Row],[PointTieBreak]],PlayerGameData[PointTieBreak],1)</f>
        <v>625</v>
      </c>
      <c r="AO856" s="8">
        <f ca="1">RANK(PlayerGameData[[#This Row],[REB]],PlayerGameData[REB],0)+PlayerGameData[[#This Row],[VisibleOrder]]</f>
        <v>1191</v>
      </c>
      <c r="AP856" s="8">
        <f ca="1">IF(COUNTIF(PlayerGameData[REBOrder],PlayerGameData[[#This Row],[REBOrder]])&gt;1,PlayerGameData[[#This Row],[PointRank]]/100+PlayerGameData[[#This Row],[REBOrder]],PlayerGameData[[#This Row],[REBOrder]])</f>
        <v>1197.25</v>
      </c>
      <c r="AQ856" s="8">
        <f ca="1">RANK(PlayerGameData[[#This Row],[REBTieBreak]],PlayerGameData[REBTieBreak],1)</f>
        <v>625</v>
      </c>
      <c r="AR856" s="8">
        <f ca="1">RANK(PlayerGameData[[#This Row],[AST]],PlayerGameData[AST],0)+PlayerGameData[[#This Row],[VisibleOrder]]</f>
        <v>1157</v>
      </c>
      <c r="AS856" s="8">
        <f ca="1">IF(COUNTIF(PlayerGameData[ASTOrder],PlayerGameData[[#This Row],[ASTOrder]])&gt;1,PlayerGameData[[#This Row],[PointRank]]/100+PlayerGameData[[#This Row],[ASTOrder]],PlayerGameData[[#This Row],[ASTOrder]])</f>
        <v>1163.25</v>
      </c>
      <c r="AT856" s="8">
        <f ca="1">RANK(PlayerGameData[[#This Row],[ASTTieBreak]],PlayerGameData[ASTTieBreak],1)</f>
        <v>625</v>
      </c>
      <c r="AU856" s="8">
        <f ca="1">RANK(PlayerGameData[[#This Row],[STL]],PlayerGameData[STL],0)+PlayerGameData[[#This Row],[VisibleOrder]]</f>
        <v>1142</v>
      </c>
      <c r="AV856" s="8">
        <f ca="1">IF(COUNTIF(PlayerGameData[STLOrder],PlayerGameData[[#This Row],[STLOrder]])&gt;1,PlayerGameData[[#This Row],[PointRank]]/100+PlayerGameData[[#This Row],[STLOrder]],PlayerGameData[[#This Row],[STLOrder]])</f>
        <v>1148.25</v>
      </c>
      <c r="AW856" s="8">
        <f ca="1">RANK(PlayerGameData[[#This Row],[STLTieBreak]],PlayerGameData[STLTieBreak],1)</f>
        <v>625</v>
      </c>
      <c r="AX856" s="8">
        <f ca="1">RANK(PlayerGameData[[#This Row],[BLK]],PlayerGameData[BLK],0)+PlayerGameData[[#This Row],[VisibleOrder]]</f>
        <v>1031</v>
      </c>
      <c r="AY856" s="8">
        <f ca="1">IF(COUNTIF(PlayerGameData[BLKOrder],PlayerGameData[[#This Row],[BLKOrder]])&gt;1,PlayerGameData[[#This Row],[PointRank]]/100+PlayerGameData[[#This Row],[BLKOrder]],PlayerGameData[[#This Row],[BLKOrder]])</f>
        <v>1037.25</v>
      </c>
      <c r="AZ856" s="8">
        <f ca="1">RANK(PlayerGameData[[#This Row],[BLKTieBreak]],PlayerGameData[BLKTieBreak],1)</f>
        <v>625</v>
      </c>
      <c r="BA856" s="11">
        <f ca="1">IFERROR(IF(PlayerGameData[[#This Row],[FGA]]&gt;$AA$5,PlayerGameData[[#This Row],[FG%*]],PlayerGameData[[#This Row],[FG%*]]*-1),-2)</f>
        <v>-2</v>
      </c>
      <c r="BB856" s="8">
        <f ca="1">RANK(PlayerGameData[[#This Row],[EligFG]],PlayerGameData[EligFG],0)+PlayerGameData[[#This Row],[VisibleOrder]]</f>
        <v>1214</v>
      </c>
      <c r="BC856" s="8">
        <f ca="1">IF(COUNTIF(PlayerGameData[EligFGOrder],PlayerGameData[[#This Row],[EligFGOrder]])&gt;1,PlayerGameData[[#This Row],[PointRank]]/100+PlayerGameData[[#This Row],[EligFGOrder]],PlayerGameData[[#This Row],[EligFGOrder]])</f>
        <v>1220.25</v>
      </c>
      <c r="BD856" s="8">
        <f ca="1">RANK(PlayerGameData[[#This Row],[EligFGTieBreak]],PlayerGameData[EligFGTieBreak],1)</f>
        <v>625</v>
      </c>
      <c r="BE856" s="8" t="str">
        <f>Roster!$D$3</f>
        <v>East</v>
      </c>
      <c r="BF856" s="8" t="str">
        <f>Roster!$D$2</f>
        <v>Northeast</v>
      </c>
      <c r="BG856" s="8" t="str">
        <f>Roster!$D$4</f>
        <v>North</v>
      </c>
      <c r="BH856" s="197">
        <f ca="1">IFERROR(VLOOKUP(CONCATENATE(PlayerGameData[[#This Row],[Opponent]]," ",MONTH(PlayerGameData[[#This Row],[Date]]),"/",DAY(PlayerGameData[[#This Row],[Date]]),"/",YEAR(PlayerGameData[[#This Row],[Date]])),Table35[],2,FALSE),0)</f>
        <v>0</v>
      </c>
      <c r="BI856" s="197">
        <f ca="1">IF(PlayerGameData[[#This Row],[Visible]]=1,1,1000)</f>
        <v>1000</v>
      </c>
      <c r="BJ856" s="197" t="e">
        <f ca="1">_xlfn.MAXIFS(TeamGameData[Win],TeamGameData[School, Opponent,Game'#],PlayerGameData[[#This Row],[School, Opponent,Game'#]])</f>
        <v>#NAME?</v>
      </c>
      <c r="BK856" s="197" t="e">
        <f ca="1">_xlfn.MAXIFS(TeamGameData[Loss],TeamGameData[School, Opponent,Game'#],PlayerGameData[[#This Row],[School, Opponent,Game'#]])</f>
        <v>#NAME?</v>
      </c>
    </row>
    <row r="857" spans="1:63" x14ac:dyDescent="0.25">
      <c r="A857" s="8" t="str">
        <f t="shared" ca="1" si="423"/>
        <v>Matt Stirmel, 33</v>
      </c>
      <c r="B857" s="8" t="str">
        <f>Roster!$B$1</f>
        <v>Upton</v>
      </c>
      <c r="C857" s="8">
        <f t="shared" ca="1" si="411"/>
        <v>0</v>
      </c>
      <c r="D857" s="10">
        <f t="shared" ca="1" si="412"/>
        <v>0</v>
      </c>
      <c r="E857" s="8">
        <f t="shared" ca="1" si="413"/>
        <v>0</v>
      </c>
      <c r="F857" s="8">
        <f t="shared" ca="1" si="414"/>
        <v>0</v>
      </c>
      <c r="G857" s="8">
        <f t="shared" ca="1" si="415"/>
        <v>0</v>
      </c>
      <c r="H857" s="8">
        <f t="shared" ca="1" si="416"/>
        <v>0</v>
      </c>
      <c r="I857" s="8">
        <f t="shared" ca="1" si="417"/>
        <v>0</v>
      </c>
      <c r="J857" s="8">
        <f t="shared" ca="1" si="418"/>
        <v>0</v>
      </c>
      <c r="K857" s="8">
        <f t="shared" ca="1" si="419"/>
        <v>0</v>
      </c>
      <c r="L857" s="8">
        <f t="shared" ca="1" si="424"/>
        <v>0</v>
      </c>
      <c r="M857" s="8">
        <f t="shared" ca="1" si="425"/>
        <v>0</v>
      </c>
      <c r="N857" s="8">
        <f t="shared" ca="1" si="426"/>
        <v>0</v>
      </c>
      <c r="O857" s="8">
        <f t="shared" ca="1" si="427"/>
        <v>0</v>
      </c>
      <c r="P857" s="8">
        <f t="shared" ca="1" si="428"/>
        <v>0</v>
      </c>
      <c r="Q857" s="8">
        <f t="shared" ca="1" si="429"/>
        <v>0</v>
      </c>
      <c r="R857" s="8">
        <f t="shared" ca="1" si="430"/>
        <v>0</v>
      </c>
      <c r="S857" s="8">
        <f t="shared" ca="1" si="431"/>
        <v>0</v>
      </c>
      <c r="T857" s="8">
        <f t="shared" ca="1" si="432"/>
        <v>0</v>
      </c>
      <c r="U857" s="8">
        <f t="shared" ca="1" si="433"/>
        <v>0</v>
      </c>
      <c r="V857" s="8">
        <f t="shared" ca="1" si="434"/>
        <v>0</v>
      </c>
      <c r="W857" s="11" t="str">
        <f t="shared" ca="1" si="435"/>
        <v/>
      </c>
      <c r="X857" s="11" t="str">
        <f t="shared" ca="1" si="436"/>
        <v/>
      </c>
      <c r="Y857" s="11" t="str">
        <f t="shared" ca="1" si="437"/>
        <v/>
      </c>
      <c r="Z857" s="11" t="str">
        <f t="shared" ca="1" si="438"/>
        <v/>
      </c>
      <c r="AA857" s="11" t="str">
        <f t="shared" ca="1" si="439"/>
        <v/>
      </c>
      <c r="AB857" s="47">
        <f ca="1">PlayerGameData[[#This Row],[3FGA]]+PlayerGameData[[#This Row],[2FGA]]</f>
        <v>0</v>
      </c>
      <c r="AC857" s="47">
        <f ca="1">PlayerGameData[[#This Row],[OFF REB]]+PlayerGameData[[#This Row],[DEF REB]]</f>
        <v>0</v>
      </c>
      <c r="AD857" s="8">
        <f t="shared" si="420"/>
        <v>36</v>
      </c>
      <c r="AE857" s="8" t="str">
        <f t="shared" ca="1" si="421"/>
        <v>Matt Stirmel, 33 - 0 1/0/1900</v>
      </c>
      <c r="AF857" s="8" t="str">
        <f t="shared" ca="1" si="440"/>
        <v/>
      </c>
      <c r="AG857" s="8" t="str">
        <f ca="1">IFERROR(IF(C857=0,"",IF(AND(VLOOKUP(PlayerGameData[[#This Row],[Opponent]],WYTeamInfo,2,FALSE)=Roster!$D$1,VLOOKUP(PlayerGameData[[#This Row],[Opponent]],WYTeamInfo,3,FALSE)=Roster!$D$2),"SR","")),"")</f>
        <v/>
      </c>
      <c r="AH857" s="8" t="str">
        <f>CONCATENATE(Roster!$D$1," ",Roster!$D$5)</f>
        <v>1A BB</v>
      </c>
      <c r="AI857" s="8" t="str">
        <f t="shared" ca="1" si="422"/>
        <v>Blank</v>
      </c>
      <c r="AJ857" s="8">
        <f ca="1">IFERROR(VLOOKUP(PlayerGameData[[#This Row],[School, Opponent,Game'#]],Table3[],2,FALSE),0)</f>
        <v>0</v>
      </c>
      <c r="AK857" s="8">
        <f ca="1">IF(PlayerGameData[[#This Row],[Visible]]=1,1,1000)</f>
        <v>1000</v>
      </c>
      <c r="AL857" s="8">
        <f ca="1">RANK(PlayerGameData[[#This Row],[TL PTS]],PlayerGameData[TL PTS],0)+PlayerGameData[[#This Row],[VisibleOrder]]</f>
        <v>1184</v>
      </c>
      <c r="AM857" s="8">
        <f ca="1">IF(COUNTIF(PlayerGameData[PointOrder],PlayerGameData[[#This Row],[PointOrder]])&gt;1,RANK(PlayerGameData[[#This Row],[FGA]],PlayerGameData[FGA],0)/100,0)+PlayerGameData[[#This Row],[PointOrder]]</f>
        <v>1186.1400000000001</v>
      </c>
      <c r="AN857" s="8">
        <f ca="1">RANK(PlayerGameData[[#This Row],[PointTieBreak]],PlayerGameData[PointTieBreak],1)</f>
        <v>625</v>
      </c>
      <c r="AO857" s="8">
        <f ca="1">RANK(PlayerGameData[[#This Row],[REB]],PlayerGameData[REB],0)+PlayerGameData[[#This Row],[VisibleOrder]]</f>
        <v>1191</v>
      </c>
      <c r="AP857" s="8">
        <f ca="1">IF(COUNTIF(PlayerGameData[REBOrder],PlayerGameData[[#This Row],[REBOrder]])&gt;1,PlayerGameData[[#This Row],[PointRank]]/100+PlayerGameData[[#This Row],[REBOrder]],PlayerGameData[[#This Row],[REBOrder]])</f>
        <v>1197.25</v>
      </c>
      <c r="AQ857" s="8">
        <f ca="1">RANK(PlayerGameData[[#This Row],[REBTieBreak]],PlayerGameData[REBTieBreak],1)</f>
        <v>625</v>
      </c>
      <c r="AR857" s="8">
        <f ca="1">RANK(PlayerGameData[[#This Row],[AST]],PlayerGameData[AST],0)+PlayerGameData[[#This Row],[VisibleOrder]]</f>
        <v>1157</v>
      </c>
      <c r="AS857" s="8">
        <f ca="1">IF(COUNTIF(PlayerGameData[ASTOrder],PlayerGameData[[#This Row],[ASTOrder]])&gt;1,PlayerGameData[[#This Row],[PointRank]]/100+PlayerGameData[[#This Row],[ASTOrder]],PlayerGameData[[#This Row],[ASTOrder]])</f>
        <v>1163.25</v>
      </c>
      <c r="AT857" s="8">
        <f ca="1">RANK(PlayerGameData[[#This Row],[ASTTieBreak]],PlayerGameData[ASTTieBreak],1)</f>
        <v>625</v>
      </c>
      <c r="AU857" s="8">
        <f ca="1">RANK(PlayerGameData[[#This Row],[STL]],PlayerGameData[STL],0)+PlayerGameData[[#This Row],[VisibleOrder]]</f>
        <v>1142</v>
      </c>
      <c r="AV857" s="8">
        <f ca="1">IF(COUNTIF(PlayerGameData[STLOrder],PlayerGameData[[#This Row],[STLOrder]])&gt;1,PlayerGameData[[#This Row],[PointRank]]/100+PlayerGameData[[#This Row],[STLOrder]],PlayerGameData[[#This Row],[STLOrder]])</f>
        <v>1148.25</v>
      </c>
      <c r="AW857" s="8">
        <f ca="1">RANK(PlayerGameData[[#This Row],[STLTieBreak]],PlayerGameData[STLTieBreak],1)</f>
        <v>625</v>
      </c>
      <c r="AX857" s="8">
        <f ca="1">RANK(PlayerGameData[[#This Row],[BLK]],PlayerGameData[BLK],0)+PlayerGameData[[#This Row],[VisibleOrder]]</f>
        <v>1031</v>
      </c>
      <c r="AY857" s="8">
        <f ca="1">IF(COUNTIF(PlayerGameData[BLKOrder],PlayerGameData[[#This Row],[BLKOrder]])&gt;1,PlayerGameData[[#This Row],[PointRank]]/100+PlayerGameData[[#This Row],[BLKOrder]],PlayerGameData[[#This Row],[BLKOrder]])</f>
        <v>1037.25</v>
      </c>
      <c r="AZ857" s="8">
        <f ca="1">RANK(PlayerGameData[[#This Row],[BLKTieBreak]],PlayerGameData[BLKTieBreak],1)</f>
        <v>625</v>
      </c>
      <c r="BA857" s="11">
        <f ca="1">IFERROR(IF(PlayerGameData[[#This Row],[FGA]]&gt;$AA$5,PlayerGameData[[#This Row],[FG%*]],PlayerGameData[[#This Row],[FG%*]]*-1),-2)</f>
        <v>-2</v>
      </c>
      <c r="BB857" s="8">
        <f ca="1">RANK(PlayerGameData[[#This Row],[EligFG]],PlayerGameData[EligFG],0)+PlayerGameData[[#This Row],[VisibleOrder]]</f>
        <v>1214</v>
      </c>
      <c r="BC857" s="8">
        <f ca="1">IF(COUNTIF(PlayerGameData[EligFGOrder],PlayerGameData[[#This Row],[EligFGOrder]])&gt;1,PlayerGameData[[#This Row],[PointRank]]/100+PlayerGameData[[#This Row],[EligFGOrder]],PlayerGameData[[#This Row],[EligFGOrder]])</f>
        <v>1220.25</v>
      </c>
      <c r="BD857" s="8">
        <f ca="1">RANK(PlayerGameData[[#This Row],[EligFGTieBreak]],PlayerGameData[EligFGTieBreak],1)</f>
        <v>625</v>
      </c>
      <c r="BE857" s="8" t="str">
        <f>Roster!$D$3</f>
        <v>East</v>
      </c>
      <c r="BF857" s="8" t="str">
        <f>Roster!$D$2</f>
        <v>Northeast</v>
      </c>
      <c r="BG857" s="8" t="str">
        <f>Roster!$D$4</f>
        <v>North</v>
      </c>
      <c r="BH857" s="197">
        <f ca="1">IFERROR(VLOOKUP(CONCATENATE(PlayerGameData[[#This Row],[Opponent]]," ",MONTH(PlayerGameData[[#This Row],[Date]]),"/",DAY(PlayerGameData[[#This Row],[Date]]),"/",YEAR(PlayerGameData[[#This Row],[Date]])),Table35[],2,FALSE),0)</f>
        <v>0</v>
      </c>
      <c r="BI857" s="197">
        <f ca="1">IF(PlayerGameData[[#This Row],[Visible]]=1,1,1000)</f>
        <v>1000</v>
      </c>
      <c r="BJ857" s="197" t="e">
        <f ca="1">_xlfn.MAXIFS(TeamGameData[Win],TeamGameData[School, Opponent,Game'#],PlayerGameData[[#This Row],[School, Opponent,Game'#]])</f>
        <v>#NAME?</v>
      </c>
      <c r="BK857" s="197" t="e">
        <f ca="1">_xlfn.MAXIFS(TeamGameData[Loss],TeamGameData[School, Opponent,Game'#],PlayerGameData[[#This Row],[School, Opponent,Game'#]])</f>
        <v>#NAME?</v>
      </c>
    </row>
    <row r="858" spans="1:63" x14ac:dyDescent="0.25">
      <c r="A858" s="8" t="str">
        <f t="shared" ca="1" si="423"/>
        <v>Jacob McNutt, 34</v>
      </c>
      <c r="B858" s="8" t="str">
        <f>Roster!$B$1</f>
        <v>Upton</v>
      </c>
      <c r="C858" s="8">
        <f t="shared" ca="1" si="411"/>
        <v>0</v>
      </c>
      <c r="D858" s="10">
        <f t="shared" ca="1" si="412"/>
        <v>0</v>
      </c>
      <c r="E858" s="8">
        <f t="shared" ca="1" si="413"/>
        <v>0</v>
      </c>
      <c r="F858" s="8">
        <f t="shared" ca="1" si="414"/>
        <v>0</v>
      </c>
      <c r="G858" s="8">
        <f t="shared" ca="1" si="415"/>
        <v>0</v>
      </c>
      <c r="H858" s="8">
        <f t="shared" ca="1" si="416"/>
        <v>0</v>
      </c>
      <c r="I858" s="8">
        <f t="shared" ca="1" si="417"/>
        <v>0</v>
      </c>
      <c r="J858" s="8">
        <f t="shared" ca="1" si="418"/>
        <v>0</v>
      </c>
      <c r="K858" s="8">
        <f t="shared" ca="1" si="419"/>
        <v>0</v>
      </c>
      <c r="L858" s="8">
        <f t="shared" ca="1" si="424"/>
        <v>0</v>
      </c>
      <c r="M858" s="8">
        <f t="shared" ca="1" si="425"/>
        <v>0</v>
      </c>
      <c r="N858" s="8">
        <f t="shared" ca="1" si="426"/>
        <v>0</v>
      </c>
      <c r="O858" s="8">
        <f t="shared" ca="1" si="427"/>
        <v>0</v>
      </c>
      <c r="P858" s="8">
        <f t="shared" ca="1" si="428"/>
        <v>0</v>
      </c>
      <c r="Q858" s="8">
        <f t="shared" ca="1" si="429"/>
        <v>0</v>
      </c>
      <c r="R858" s="8">
        <f t="shared" ca="1" si="430"/>
        <v>0</v>
      </c>
      <c r="S858" s="8">
        <f t="shared" ca="1" si="431"/>
        <v>0</v>
      </c>
      <c r="T858" s="8">
        <f t="shared" ca="1" si="432"/>
        <v>0</v>
      </c>
      <c r="U858" s="8">
        <f t="shared" ca="1" si="433"/>
        <v>0</v>
      </c>
      <c r="V858" s="8">
        <f t="shared" ca="1" si="434"/>
        <v>0</v>
      </c>
      <c r="W858" s="11" t="str">
        <f t="shared" ca="1" si="435"/>
        <v/>
      </c>
      <c r="X858" s="11" t="str">
        <f t="shared" ca="1" si="436"/>
        <v/>
      </c>
      <c r="Y858" s="11" t="str">
        <f t="shared" ca="1" si="437"/>
        <v/>
      </c>
      <c r="Z858" s="11" t="str">
        <f t="shared" ca="1" si="438"/>
        <v/>
      </c>
      <c r="AA858" s="11" t="str">
        <f t="shared" ca="1" si="439"/>
        <v/>
      </c>
      <c r="AB858" s="47">
        <f ca="1">PlayerGameData[[#This Row],[3FGA]]+PlayerGameData[[#This Row],[2FGA]]</f>
        <v>0</v>
      </c>
      <c r="AC858" s="47">
        <f ca="1">PlayerGameData[[#This Row],[OFF REB]]+PlayerGameData[[#This Row],[DEF REB]]</f>
        <v>0</v>
      </c>
      <c r="AD858" s="8">
        <f t="shared" si="420"/>
        <v>36</v>
      </c>
      <c r="AE858" s="8" t="str">
        <f t="shared" ca="1" si="421"/>
        <v>Jacob McNutt, 34 - 0 1/0/1900</v>
      </c>
      <c r="AF858" s="8" t="str">
        <f t="shared" ca="1" si="440"/>
        <v/>
      </c>
      <c r="AG858" s="8" t="str">
        <f ca="1">IFERROR(IF(C858=0,"",IF(AND(VLOOKUP(PlayerGameData[[#This Row],[Opponent]],WYTeamInfo,2,FALSE)=Roster!$D$1,VLOOKUP(PlayerGameData[[#This Row],[Opponent]],WYTeamInfo,3,FALSE)=Roster!$D$2),"SR","")),"")</f>
        <v/>
      </c>
      <c r="AH858" s="8" t="str">
        <f>CONCATENATE(Roster!$D$1," ",Roster!$D$5)</f>
        <v>1A BB</v>
      </c>
      <c r="AI858" s="8" t="str">
        <f t="shared" ca="1" si="422"/>
        <v>Blank</v>
      </c>
      <c r="AJ858" s="8">
        <f ca="1">IFERROR(VLOOKUP(PlayerGameData[[#This Row],[School, Opponent,Game'#]],Table3[],2,FALSE),0)</f>
        <v>0</v>
      </c>
      <c r="AK858" s="8">
        <f ca="1">IF(PlayerGameData[[#This Row],[Visible]]=1,1,1000)</f>
        <v>1000</v>
      </c>
      <c r="AL858" s="8">
        <f ca="1">RANK(PlayerGameData[[#This Row],[TL PTS]],PlayerGameData[TL PTS],0)+PlayerGameData[[#This Row],[VisibleOrder]]</f>
        <v>1184</v>
      </c>
      <c r="AM858" s="8">
        <f ca="1">IF(COUNTIF(PlayerGameData[PointOrder],PlayerGameData[[#This Row],[PointOrder]])&gt;1,RANK(PlayerGameData[[#This Row],[FGA]],PlayerGameData[FGA],0)/100,0)+PlayerGameData[[#This Row],[PointOrder]]</f>
        <v>1186.1400000000001</v>
      </c>
      <c r="AN858" s="8">
        <f ca="1">RANK(PlayerGameData[[#This Row],[PointTieBreak]],PlayerGameData[PointTieBreak],1)</f>
        <v>625</v>
      </c>
      <c r="AO858" s="8">
        <f ca="1">RANK(PlayerGameData[[#This Row],[REB]],PlayerGameData[REB],0)+PlayerGameData[[#This Row],[VisibleOrder]]</f>
        <v>1191</v>
      </c>
      <c r="AP858" s="8">
        <f ca="1">IF(COUNTIF(PlayerGameData[REBOrder],PlayerGameData[[#This Row],[REBOrder]])&gt;1,PlayerGameData[[#This Row],[PointRank]]/100+PlayerGameData[[#This Row],[REBOrder]],PlayerGameData[[#This Row],[REBOrder]])</f>
        <v>1197.25</v>
      </c>
      <c r="AQ858" s="8">
        <f ca="1">RANK(PlayerGameData[[#This Row],[REBTieBreak]],PlayerGameData[REBTieBreak],1)</f>
        <v>625</v>
      </c>
      <c r="AR858" s="8">
        <f ca="1">RANK(PlayerGameData[[#This Row],[AST]],PlayerGameData[AST],0)+PlayerGameData[[#This Row],[VisibleOrder]]</f>
        <v>1157</v>
      </c>
      <c r="AS858" s="8">
        <f ca="1">IF(COUNTIF(PlayerGameData[ASTOrder],PlayerGameData[[#This Row],[ASTOrder]])&gt;1,PlayerGameData[[#This Row],[PointRank]]/100+PlayerGameData[[#This Row],[ASTOrder]],PlayerGameData[[#This Row],[ASTOrder]])</f>
        <v>1163.25</v>
      </c>
      <c r="AT858" s="8">
        <f ca="1">RANK(PlayerGameData[[#This Row],[ASTTieBreak]],PlayerGameData[ASTTieBreak],1)</f>
        <v>625</v>
      </c>
      <c r="AU858" s="8">
        <f ca="1">RANK(PlayerGameData[[#This Row],[STL]],PlayerGameData[STL],0)+PlayerGameData[[#This Row],[VisibleOrder]]</f>
        <v>1142</v>
      </c>
      <c r="AV858" s="8">
        <f ca="1">IF(COUNTIF(PlayerGameData[STLOrder],PlayerGameData[[#This Row],[STLOrder]])&gt;1,PlayerGameData[[#This Row],[PointRank]]/100+PlayerGameData[[#This Row],[STLOrder]],PlayerGameData[[#This Row],[STLOrder]])</f>
        <v>1148.25</v>
      </c>
      <c r="AW858" s="8">
        <f ca="1">RANK(PlayerGameData[[#This Row],[STLTieBreak]],PlayerGameData[STLTieBreak],1)</f>
        <v>625</v>
      </c>
      <c r="AX858" s="8">
        <f ca="1">RANK(PlayerGameData[[#This Row],[BLK]],PlayerGameData[BLK],0)+PlayerGameData[[#This Row],[VisibleOrder]]</f>
        <v>1031</v>
      </c>
      <c r="AY858" s="8">
        <f ca="1">IF(COUNTIF(PlayerGameData[BLKOrder],PlayerGameData[[#This Row],[BLKOrder]])&gt;1,PlayerGameData[[#This Row],[PointRank]]/100+PlayerGameData[[#This Row],[BLKOrder]],PlayerGameData[[#This Row],[BLKOrder]])</f>
        <v>1037.25</v>
      </c>
      <c r="AZ858" s="8">
        <f ca="1">RANK(PlayerGameData[[#This Row],[BLKTieBreak]],PlayerGameData[BLKTieBreak],1)</f>
        <v>625</v>
      </c>
      <c r="BA858" s="11">
        <f ca="1">IFERROR(IF(PlayerGameData[[#This Row],[FGA]]&gt;$AA$5,PlayerGameData[[#This Row],[FG%*]],PlayerGameData[[#This Row],[FG%*]]*-1),-2)</f>
        <v>-2</v>
      </c>
      <c r="BB858" s="8">
        <f ca="1">RANK(PlayerGameData[[#This Row],[EligFG]],PlayerGameData[EligFG],0)+PlayerGameData[[#This Row],[VisibleOrder]]</f>
        <v>1214</v>
      </c>
      <c r="BC858" s="8">
        <f ca="1">IF(COUNTIF(PlayerGameData[EligFGOrder],PlayerGameData[[#This Row],[EligFGOrder]])&gt;1,PlayerGameData[[#This Row],[PointRank]]/100+PlayerGameData[[#This Row],[EligFGOrder]],PlayerGameData[[#This Row],[EligFGOrder]])</f>
        <v>1220.25</v>
      </c>
      <c r="BD858" s="8">
        <f ca="1">RANK(PlayerGameData[[#This Row],[EligFGTieBreak]],PlayerGameData[EligFGTieBreak],1)</f>
        <v>625</v>
      </c>
      <c r="BE858" s="8" t="str">
        <f>Roster!$D$3</f>
        <v>East</v>
      </c>
      <c r="BF858" s="8" t="str">
        <f>Roster!$D$2</f>
        <v>Northeast</v>
      </c>
      <c r="BG858" s="8" t="str">
        <f>Roster!$D$4</f>
        <v>North</v>
      </c>
      <c r="BH858" s="197">
        <f ca="1">IFERROR(VLOOKUP(CONCATENATE(PlayerGameData[[#This Row],[Opponent]]," ",MONTH(PlayerGameData[[#This Row],[Date]]),"/",DAY(PlayerGameData[[#This Row],[Date]]),"/",YEAR(PlayerGameData[[#This Row],[Date]])),Table35[],2,FALSE),0)</f>
        <v>0</v>
      </c>
      <c r="BI858" s="197">
        <f ca="1">IF(PlayerGameData[[#This Row],[Visible]]=1,1,1000)</f>
        <v>1000</v>
      </c>
      <c r="BJ858" s="197" t="e">
        <f ca="1">_xlfn.MAXIFS(TeamGameData[Win],TeamGameData[School, Opponent,Game'#],PlayerGameData[[#This Row],[School, Opponent,Game'#]])</f>
        <v>#NAME?</v>
      </c>
      <c r="BK858" s="197" t="e">
        <f ca="1">_xlfn.MAXIFS(TeamGameData[Loss],TeamGameData[School, Opponent,Game'#],PlayerGameData[[#This Row],[School, Opponent,Game'#]])</f>
        <v>#NAME?</v>
      </c>
    </row>
    <row r="859" spans="1:63" x14ac:dyDescent="0.25">
      <c r="A859" s="8" t="str">
        <f t="shared" ca="1" si="423"/>
        <v>Ryan Baker, 35</v>
      </c>
      <c r="B859" s="8" t="str">
        <f>Roster!$B$1</f>
        <v>Upton</v>
      </c>
      <c r="C859" s="8">
        <f t="shared" ca="1" si="411"/>
        <v>0</v>
      </c>
      <c r="D859" s="10">
        <f t="shared" ca="1" si="412"/>
        <v>0</v>
      </c>
      <c r="E859" s="8">
        <f t="shared" ca="1" si="413"/>
        <v>0</v>
      </c>
      <c r="F859" s="8">
        <f t="shared" ca="1" si="414"/>
        <v>0</v>
      </c>
      <c r="G859" s="8">
        <f t="shared" ca="1" si="415"/>
        <v>0</v>
      </c>
      <c r="H859" s="8">
        <f t="shared" ca="1" si="416"/>
        <v>0</v>
      </c>
      <c r="I859" s="8">
        <f t="shared" ca="1" si="417"/>
        <v>0</v>
      </c>
      <c r="J859" s="8">
        <f t="shared" ca="1" si="418"/>
        <v>0</v>
      </c>
      <c r="K859" s="8">
        <f t="shared" ca="1" si="419"/>
        <v>0</v>
      </c>
      <c r="L859" s="8">
        <f t="shared" ca="1" si="424"/>
        <v>0</v>
      </c>
      <c r="M859" s="8">
        <f t="shared" ca="1" si="425"/>
        <v>0</v>
      </c>
      <c r="N859" s="8">
        <f t="shared" ca="1" si="426"/>
        <v>0</v>
      </c>
      <c r="O859" s="8">
        <f t="shared" ca="1" si="427"/>
        <v>0</v>
      </c>
      <c r="P859" s="8">
        <f t="shared" ca="1" si="428"/>
        <v>0</v>
      </c>
      <c r="Q859" s="8">
        <f t="shared" ca="1" si="429"/>
        <v>0</v>
      </c>
      <c r="R859" s="8">
        <f t="shared" ca="1" si="430"/>
        <v>0</v>
      </c>
      <c r="S859" s="8">
        <f t="shared" ca="1" si="431"/>
        <v>0</v>
      </c>
      <c r="T859" s="8">
        <f t="shared" ca="1" si="432"/>
        <v>0</v>
      </c>
      <c r="U859" s="8">
        <f t="shared" ca="1" si="433"/>
        <v>0</v>
      </c>
      <c r="V859" s="8">
        <f t="shared" ca="1" si="434"/>
        <v>0</v>
      </c>
      <c r="W859" s="11" t="str">
        <f t="shared" ca="1" si="435"/>
        <v/>
      </c>
      <c r="X859" s="11" t="str">
        <f t="shared" ca="1" si="436"/>
        <v/>
      </c>
      <c r="Y859" s="11" t="str">
        <f t="shared" ca="1" si="437"/>
        <v/>
      </c>
      <c r="Z859" s="11" t="str">
        <f t="shared" ca="1" si="438"/>
        <v/>
      </c>
      <c r="AA859" s="11" t="str">
        <f t="shared" ca="1" si="439"/>
        <v/>
      </c>
      <c r="AB859" s="47">
        <f ca="1">PlayerGameData[[#This Row],[3FGA]]+PlayerGameData[[#This Row],[2FGA]]</f>
        <v>0</v>
      </c>
      <c r="AC859" s="47">
        <f ca="1">PlayerGameData[[#This Row],[OFF REB]]+PlayerGameData[[#This Row],[DEF REB]]</f>
        <v>0</v>
      </c>
      <c r="AD859" s="8">
        <f t="shared" si="420"/>
        <v>36</v>
      </c>
      <c r="AE859" s="8" t="str">
        <f t="shared" ca="1" si="421"/>
        <v>Ryan Baker, 35 - 0 1/0/1900</v>
      </c>
      <c r="AF859" s="8" t="str">
        <f t="shared" ca="1" si="440"/>
        <v/>
      </c>
      <c r="AG859" s="8" t="str">
        <f ca="1">IFERROR(IF(C859=0,"",IF(AND(VLOOKUP(PlayerGameData[[#This Row],[Opponent]],WYTeamInfo,2,FALSE)=Roster!$D$1,VLOOKUP(PlayerGameData[[#This Row],[Opponent]],WYTeamInfo,3,FALSE)=Roster!$D$2),"SR","")),"")</f>
        <v/>
      </c>
      <c r="AH859" s="8" t="str">
        <f>CONCATENATE(Roster!$D$1," ",Roster!$D$5)</f>
        <v>1A BB</v>
      </c>
      <c r="AI859" s="8" t="str">
        <f t="shared" ca="1" si="422"/>
        <v>Blank</v>
      </c>
      <c r="AJ859" s="8">
        <f ca="1">IFERROR(VLOOKUP(PlayerGameData[[#This Row],[School, Opponent,Game'#]],Table3[],2,FALSE),0)</f>
        <v>0</v>
      </c>
      <c r="AK859" s="8">
        <f ca="1">IF(PlayerGameData[[#This Row],[Visible]]=1,1,1000)</f>
        <v>1000</v>
      </c>
      <c r="AL859" s="8">
        <f ca="1">RANK(PlayerGameData[[#This Row],[TL PTS]],PlayerGameData[TL PTS],0)+PlayerGameData[[#This Row],[VisibleOrder]]</f>
        <v>1184</v>
      </c>
      <c r="AM859" s="8">
        <f ca="1">IF(COUNTIF(PlayerGameData[PointOrder],PlayerGameData[[#This Row],[PointOrder]])&gt;1,RANK(PlayerGameData[[#This Row],[FGA]],PlayerGameData[FGA],0)/100,0)+PlayerGameData[[#This Row],[PointOrder]]</f>
        <v>1186.1400000000001</v>
      </c>
      <c r="AN859" s="8">
        <f ca="1">RANK(PlayerGameData[[#This Row],[PointTieBreak]],PlayerGameData[PointTieBreak],1)</f>
        <v>625</v>
      </c>
      <c r="AO859" s="8">
        <f ca="1">RANK(PlayerGameData[[#This Row],[REB]],PlayerGameData[REB],0)+PlayerGameData[[#This Row],[VisibleOrder]]</f>
        <v>1191</v>
      </c>
      <c r="AP859" s="8">
        <f ca="1">IF(COUNTIF(PlayerGameData[REBOrder],PlayerGameData[[#This Row],[REBOrder]])&gt;1,PlayerGameData[[#This Row],[PointRank]]/100+PlayerGameData[[#This Row],[REBOrder]],PlayerGameData[[#This Row],[REBOrder]])</f>
        <v>1197.25</v>
      </c>
      <c r="AQ859" s="8">
        <f ca="1">RANK(PlayerGameData[[#This Row],[REBTieBreak]],PlayerGameData[REBTieBreak],1)</f>
        <v>625</v>
      </c>
      <c r="AR859" s="8">
        <f ca="1">RANK(PlayerGameData[[#This Row],[AST]],PlayerGameData[AST],0)+PlayerGameData[[#This Row],[VisibleOrder]]</f>
        <v>1157</v>
      </c>
      <c r="AS859" s="8">
        <f ca="1">IF(COUNTIF(PlayerGameData[ASTOrder],PlayerGameData[[#This Row],[ASTOrder]])&gt;1,PlayerGameData[[#This Row],[PointRank]]/100+PlayerGameData[[#This Row],[ASTOrder]],PlayerGameData[[#This Row],[ASTOrder]])</f>
        <v>1163.25</v>
      </c>
      <c r="AT859" s="8">
        <f ca="1">RANK(PlayerGameData[[#This Row],[ASTTieBreak]],PlayerGameData[ASTTieBreak],1)</f>
        <v>625</v>
      </c>
      <c r="AU859" s="8">
        <f ca="1">RANK(PlayerGameData[[#This Row],[STL]],PlayerGameData[STL],0)+PlayerGameData[[#This Row],[VisibleOrder]]</f>
        <v>1142</v>
      </c>
      <c r="AV859" s="8">
        <f ca="1">IF(COUNTIF(PlayerGameData[STLOrder],PlayerGameData[[#This Row],[STLOrder]])&gt;1,PlayerGameData[[#This Row],[PointRank]]/100+PlayerGameData[[#This Row],[STLOrder]],PlayerGameData[[#This Row],[STLOrder]])</f>
        <v>1148.25</v>
      </c>
      <c r="AW859" s="8">
        <f ca="1">RANK(PlayerGameData[[#This Row],[STLTieBreak]],PlayerGameData[STLTieBreak],1)</f>
        <v>625</v>
      </c>
      <c r="AX859" s="8">
        <f ca="1">RANK(PlayerGameData[[#This Row],[BLK]],PlayerGameData[BLK],0)+PlayerGameData[[#This Row],[VisibleOrder]]</f>
        <v>1031</v>
      </c>
      <c r="AY859" s="8">
        <f ca="1">IF(COUNTIF(PlayerGameData[BLKOrder],PlayerGameData[[#This Row],[BLKOrder]])&gt;1,PlayerGameData[[#This Row],[PointRank]]/100+PlayerGameData[[#This Row],[BLKOrder]],PlayerGameData[[#This Row],[BLKOrder]])</f>
        <v>1037.25</v>
      </c>
      <c r="AZ859" s="8">
        <f ca="1">RANK(PlayerGameData[[#This Row],[BLKTieBreak]],PlayerGameData[BLKTieBreak],1)</f>
        <v>625</v>
      </c>
      <c r="BA859" s="11">
        <f ca="1">IFERROR(IF(PlayerGameData[[#This Row],[FGA]]&gt;$AA$5,PlayerGameData[[#This Row],[FG%*]],PlayerGameData[[#This Row],[FG%*]]*-1),-2)</f>
        <v>-2</v>
      </c>
      <c r="BB859" s="8">
        <f ca="1">RANK(PlayerGameData[[#This Row],[EligFG]],PlayerGameData[EligFG],0)+PlayerGameData[[#This Row],[VisibleOrder]]</f>
        <v>1214</v>
      </c>
      <c r="BC859" s="8">
        <f ca="1">IF(COUNTIF(PlayerGameData[EligFGOrder],PlayerGameData[[#This Row],[EligFGOrder]])&gt;1,PlayerGameData[[#This Row],[PointRank]]/100+PlayerGameData[[#This Row],[EligFGOrder]],PlayerGameData[[#This Row],[EligFGOrder]])</f>
        <v>1220.25</v>
      </c>
      <c r="BD859" s="8">
        <f ca="1">RANK(PlayerGameData[[#This Row],[EligFGTieBreak]],PlayerGameData[EligFGTieBreak],1)</f>
        <v>625</v>
      </c>
      <c r="BE859" s="8" t="str">
        <f>Roster!$D$3</f>
        <v>East</v>
      </c>
      <c r="BF859" s="8" t="str">
        <f>Roster!$D$2</f>
        <v>Northeast</v>
      </c>
      <c r="BG859" s="8" t="str">
        <f>Roster!$D$4</f>
        <v>North</v>
      </c>
      <c r="BH859" s="197">
        <f ca="1">IFERROR(VLOOKUP(CONCATENATE(PlayerGameData[[#This Row],[Opponent]]," ",MONTH(PlayerGameData[[#This Row],[Date]]),"/",DAY(PlayerGameData[[#This Row],[Date]]),"/",YEAR(PlayerGameData[[#This Row],[Date]])),Table35[],2,FALSE),0)</f>
        <v>0</v>
      </c>
      <c r="BI859" s="197">
        <f ca="1">IF(PlayerGameData[[#This Row],[Visible]]=1,1,1000)</f>
        <v>1000</v>
      </c>
      <c r="BJ859" s="197" t="e">
        <f ca="1">_xlfn.MAXIFS(TeamGameData[Win],TeamGameData[School, Opponent,Game'#],PlayerGameData[[#This Row],[School, Opponent,Game'#]])</f>
        <v>#NAME?</v>
      </c>
      <c r="BK859" s="197" t="e">
        <f ca="1">_xlfn.MAXIFS(TeamGameData[Loss],TeamGameData[School, Opponent,Game'#],PlayerGameData[[#This Row],[School, Opponent,Game'#]])</f>
        <v>#NAME?</v>
      </c>
    </row>
    <row r="860" spans="1:63" x14ac:dyDescent="0.25">
      <c r="A860" s="8" t="str">
        <f t="shared" ca="1" si="423"/>
        <v xml:space="preserve">, </v>
      </c>
      <c r="B860" s="8" t="str">
        <f>Roster!$B$1</f>
        <v>Upton</v>
      </c>
      <c r="C860" s="8">
        <f t="shared" ca="1" si="411"/>
        <v>0</v>
      </c>
      <c r="D860" s="10">
        <f t="shared" ca="1" si="412"/>
        <v>0</v>
      </c>
      <c r="E860" s="8">
        <f t="shared" ca="1" si="413"/>
        <v>0</v>
      </c>
      <c r="F860" s="8">
        <f t="shared" ca="1" si="414"/>
        <v>0</v>
      </c>
      <c r="G860" s="8">
        <f t="shared" ca="1" si="415"/>
        <v>0</v>
      </c>
      <c r="H860" s="8">
        <f t="shared" ca="1" si="416"/>
        <v>0</v>
      </c>
      <c r="I860" s="8">
        <f t="shared" ca="1" si="417"/>
        <v>0</v>
      </c>
      <c r="J860" s="8">
        <f t="shared" ca="1" si="418"/>
        <v>0</v>
      </c>
      <c r="K860" s="8">
        <f t="shared" ca="1" si="419"/>
        <v>0</v>
      </c>
      <c r="L860" s="8">
        <f t="shared" ca="1" si="424"/>
        <v>0</v>
      </c>
      <c r="M860" s="8">
        <f t="shared" ca="1" si="425"/>
        <v>0</v>
      </c>
      <c r="N860" s="8">
        <f t="shared" ca="1" si="426"/>
        <v>0</v>
      </c>
      <c r="O860" s="8">
        <f t="shared" ca="1" si="427"/>
        <v>0</v>
      </c>
      <c r="P860" s="8">
        <f t="shared" ca="1" si="428"/>
        <v>0</v>
      </c>
      <c r="Q860" s="8">
        <f t="shared" ca="1" si="429"/>
        <v>0</v>
      </c>
      <c r="R860" s="8">
        <f t="shared" ca="1" si="430"/>
        <v>0</v>
      </c>
      <c r="S860" s="8">
        <f t="shared" ca="1" si="431"/>
        <v>0</v>
      </c>
      <c r="T860" s="8">
        <f t="shared" ca="1" si="432"/>
        <v>0</v>
      </c>
      <c r="U860" s="8">
        <f t="shared" ca="1" si="433"/>
        <v>0</v>
      </c>
      <c r="V860" s="8">
        <f t="shared" ca="1" si="434"/>
        <v>0</v>
      </c>
      <c r="W860" s="11" t="str">
        <f t="shared" ca="1" si="435"/>
        <v/>
      </c>
      <c r="X860" s="11" t="str">
        <f t="shared" ca="1" si="436"/>
        <v/>
      </c>
      <c r="Y860" s="11" t="str">
        <f t="shared" ca="1" si="437"/>
        <v/>
      </c>
      <c r="Z860" s="11" t="str">
        <f t="shared" ca="1" si="438"/>
        <v/>
      </c>
      <c r="AA860" s="11" t="str">
        <f t="shared" ca="1" si="439"/>
        <v/>
      </c>
      <c r="AB860" s="47">
        <f ca="1">PlayerGameData[[#This Row],[3FGA]]+PlayerGameData[[#This Row],[2FGA]]</f>
        <v>0</v>
      </c>
      <c r="AC860" s="47">
        <f ca="1">PlayerGameData[[#This Row],[OFF REB]]+PlayerGameData[[#This Row],[DEF REB]]</f>
        <v>0</v>
      </c>
      <c r="AD860" s="8">
        <f t="shared" si="420"/>
        <v>36</v>
      </c>
      <c r="AE860" s="8" t="str">
        <f t="shared" ca="1" si="421"/>
        <v>,  - 0 1/0/1900</v>
      </c>
      <c r="AF860" s="8" t="str">
        <f t="shared" ca="1" si="440"/>
        <v/>
      </c>
      <c r="AG860" s="8" t="str">
        <f ca="1">IFERROR(IF(C860=0,"",IF(AND(VLOOKUP(PlayerGameData[[#This Row],[Opponent]],WYTeamInfo,2,FALSE)=Roster!$D$1,VLOOKUP(PlayerGameData[[#This Row],[Opponent]],WYTeamInfo,3,FALSE)=Roster!$D$2),"SR","")),"")</f>
        <v/>
      </c>
      <c r="AH860" s="8" t="str">
        <f>CONCATENATE(Roster!$D$1," ",Roster!$D$5)</f>
        <v>1A BB</v>
      </c>
      <c r="AI860" s="8" t="str">
        <f t="shared" ca="1" si="422"/>
        <v>Blank</v>
      </c>
      <c r="AJ860" s="8">
        <f ca="1">IFERROR(VLOOKUP(PlayerGameData[[#This Row],[School, Opponent,Game'#]],Table3[],2,FALSE),0)</f>
        <v>0</v>
      </c>
      <c r="AK860" s="8">
        <f ca="1">IF(PlayerGameData[[#This Row],[Visible]]=1,1,1000)</f>
        <v>1000</v>
      </c>
      <c r="AL860" s="8">
        <f ca="1">RANK(PlayerGameData[[#This Row],[TL PTS]],PlayerGameData[TL PTS],0)+PlayerGameData[[#This Row],[VisibleOrder]]</f>
        <v>1184</v>
      </c>
      <c r="AM860" s="8">
        <f ca="1">IF(COUNTIF(PlayerGameData[PointOrder],PlayerGameData[[#This Row],[PointOrder]])&gt;1,RANK(PlayerGameData[[#This Row],[FGA]],PlayerGameData[FGA],0)/100,0)+PlayerGameData[[#This Row],[PointOrder]]</f>
        <v>1186.1400000000001</v>
      </c>
      <c r="AN860" s="8">
        <f ca="1">RANK(PlayerGameData[[#This Row],[PointTieBreak]],PlayerGameData[PointTieBreak],1)</f>
        <v>625</v>
      </c>
      <c r="AO860" s="8">
        <f ca="1">RANK(PlayerGameData[[#This Row],[REB]],PlayerGameData[REB],0)+PlayerGameData[[#This Row],[VisibleOrder]]</f>
        <v>1191</v>
      </c>
      <c r="AP860" s="8">
        <f ca="1">IF(COUNTIF(PlayerGameData[REBOrder],PlayerGameData[[#This Row],[REBOrder]])&gt;1,PlayerGameData[[#This Row],[PointRank]]/100+PlayerGameData[[#This Row],[REBOrder]],PlayerGameData[[#This Row],[REBOrder]])</f>
        <v>1197.25</v>
      </c>
      <c r="AQ860" s="8">
        <f ca="1">RANK(PlayerGameData[[#This Row],[REBTieBreak]],PlayerGameData[REBTieBreak],1)</f>
        <v>625</v>
      </c>
      <c r="AR860" s="8">
        <f ca="1">RANK(PlayerGameData[[#This Row],[AST]],PlayerGameData[AST],0)+PlayerGameData[[#This Row],[VisibleOrder]]</f>
        <v>1157</v>
      </c>
      <c r="AS860" s="8">
        <f ca="1">IF(COUNTIF(PlayerGameData[ASTOrder],PlayerGameData[[#This Row],[ASTOrder]])&gt;1,PlayerGameData[[#This Row],[PointRank]]/100+PlayerGameData[[#This Row],[ASTOrder]],PlayerGameData[[#This Row],[ASTOrder]])</f>
        <v>1163.25</v>
      </c>
      <c r="AT860" s="8">
        <f ca="1">RANK(PlayerGameData[[#This Row],[ASTTieBreak]],PlayerGameData[ASTTieBreak],1)</f>
        <v>625</v>
      </c>
      <c r="AU860" s="8">
        <f ca="1">RANK(PlayerGameData[[#This Row],[STL]],PlayerGameData[STL],0)+PlayerGameData[[#This Row],[VisibleOrder]]</f>
        <v>1142</v>
      </c>
      <c r="AV860" s="8">
        <f ca="1">IF(COUNTIF(PlayerGameData[STLOrder],PlayerGameData[[#This Row],[STLOrder]])&gt;1,PlayerGameData[[#This Row],[PointRank]]/100+PlayerGameData[[#This Row],[STLOrder]],PlayerGameData[[#This Row],[STLOrder]])</f>
        <v>1148.25</v>
      </c>
      <c r="AW860" s="8">
        <f ca="1">RANK(PlayerGameData[[#This Row],[STLTieBreak]],PlayerGameData[STLTieBreak],1)</f>
        <v>625</v>
      </c>
      <c r="AX860" s="8">
        <f ca="1">RANK(PlayerGameData[[#This Row],[BLK]],PlayerGameData[BLK],0)+PlayerGameData[[#This Row],[VisibleOrder]]</f>
        <v>1031</v>
      </c>
      <c r="AY860" s="8">
        <f ca="1">IF(COUNTIF(PlayerGameData[BLKOrder],PlayerGameData[[#This Row],[BLKOrder]])&gt;1,PlayerGameData[[#This Row],[PointRank]]/100+PlayerGameData[[#This Row],[BLKOrder]],PlayerGameData[[#This Row],[BLKOrder]])</f>
        <v>1037.25</v>
      </c>
      <c r="AZ860" s="8">
        <f ca="1">RANK(PlayerGameData[[#This Row],[BLKTieBreak]],PlayerGameData[BLKTieBreak],1)</f>
        <v>625</v>
      </c>
      <c r="BA860" s="11">
        <f ca="1">IFERROR(IF(PlayerGameData[[#This Row],[FGA]]&gt;$AA$5,PlayerGameData[[#This Row],[FG%*]],PlayerGameData[[#This Row],[FG%*]]*-1),-2)</f>
        <v>-2</v>
      </c>
      <c r="BB860" s="8">
        <f ca="1">RANK(PlayerGameData[[#This Row],[EligFG]],PlayerGameData[EligFG],0)+PlayerGameData[[#This Row],[VisibleOrder]]</f>
        <v>1214</v>
      </c>
      <c r="BC860" s="8">
        <f ca="1">IF(COUNTIF(PlayerGameData[EligFGOrder],PlayerGameData[[#This Row],[EligFGOrder]])&gt;1,PlayerGameData[[#This Row],[PointRank]]/100+PlayerGameData[[#This Row],[EligFGOrder]],PlayerGameData[[#This Row],[EligFGOrder]])</f>
        <v>1220.25</v>
      </c>
      <c r="BD860" s="8">
        <f ca="1">RANK(PlayerGameData[[#This Row],[EligFGTieBreak]],PlayerGameData[EligFGTieBreak],1)</f>
        <v>625</v>
      </c>
      <c r="BE860" s="8" t="str">
        <f>Roster!$D$3</f>
        <v>East</v>
      </c>
      <c r="BF860" s="8" t="str">
        <f>Roster!$D$2</f>
        <v>Northeast</v>
      </c>
      <c r="BG860" s="8" t="str">
        <f>Roster!$D$4</f>
        <v>North</v>
      </c>
      <c r="BH860" s="197">
        <f ca="1">IFERROR(VLOOKUP(CONCATENATE(PlayerGameData[[#This Row],[Opponent]]," ",MONTH(PlayerGameData[[#This Row],[Date]]),"/",DAY(PlayerGameData[[#This Row],[Date]]),"/",YEAR(PlayerGameData[[#This Row],[Date]])),Table35[],2,FALSE),0)</f>
        <v>0</v>
      </c>
      <c r="BI860" s="197">
        <f ca="1">IF(PlayerGameData[[#This Row],[Visible]]=1,1,1000)</f>
        <v>1000</v>
      </c>
      <c r="BJ860" s="197" t="e">
        <f ca="1">_xlfn.MAXIFS(TeamGameData[Win],TeamGameData[School, Opponent,Game'#],PlayerGameData[[#This Row],[School, Opponent,Game'#]])</f>
        <v>#NAME?</v>
      </c>
      <c r="BK860" s="197" t="e">
        <f ca="1">_xlfn.MAXIFS(TeamGameData[Loss],TeamGameData[School, Opponent,Game'#],PlayerGameData[[#This Row],[School, Opponent,Game'#]])</f>
        <v>#NAME?</v>
      </c>
    </row>
    <row r="861" spans="1:63" x14ac:dyDescent="0.25">
      <c r="A861" s="8" t="str">
        <f t="shared" ca="1" si="423"/>
        <v xml:space="preserve">, </v>
      </c>
      <c r="B861" s="8" t="str">
        <f>Roster!$B$1</f>
        <v>Upton</v>
      </c>
      <c r="C861" s="8">
        <f t="shared" ca="1" si="411"/>
        <v>0</v>
      </c>
      <c r="D861" s="10">
        <f t="shared" ca="1" si="412"/>
        <v>0</v>
      </c>
      <c r="E861" s="8">
        <f t="shared" ca="1" si="413"/>
        <v>0</v>
      </c>
      <c r="F861" s="8">
        <f t="shared" ca="1" si="414"/>
        <v>0</v>
      </c>
      <c r="G861" s="8">
        <f t="shared" ca="1" si="415"/>
        <v>0</v>
      </c>
      <c r="H861" s="8">
        <f t="shared" ca="1" si="416"/>
        <v>0</v>
      </c>
      <c r="I861" s="8">
        <f t="shared" ca="1" si="417"/>
        <v>0</v>
      </c>
      <c r="J861" s="8">
        <f t="shared" ca="1" si="418"/>
        <v>0</v>
      </c>
      <c r="K861" s="8">
        <f t="shared" ca="1" si="419"/>
        <v>0</v>
      </c>
      <c r="L861" s="8">
        <f t="shared" ca="1" si="424"/>
        <v>0</v>
      </c>
      <c r="M861" s="8">
        <f t="shared" ca="1" si="425"/>
        <v>0</v>
      </c>
      <c r="N861" s="8">
        <f t="shared" ca="1" si="426"/>
        <v>0</v>
      </c>
      <c r="O861" s="8">
        <f t="shared" ca="1" si="427"/>
        <v>0</v>
      </c>
      <c r="P861" s="8">
        <f t="shared" ca="1" si="428"/>
        <v>0</v>
      </c>
      <c r="Q861" s="8">
        <f t="shared" ca="1" si="429"/>
        <v>0</v>
      </c>
      <c r="R861" s="8">
        <f t="shared" ca="1" si="430"/>
        <v>0</v>
      </c>
      <c r="S861" s="8">
        <f t="shared" ca="1" si="431"/>
        <v>0</v>
      </c>
      <c r="T861" s="8">
        <f t="shared" ca="1" si="432"/>
        <v>0</v>
      </c>
      <c r="U861" s="8">
        <f t="shared" ca="1" si="433"/>
        <v>0</v>
      </c>
      <c r="V861" s="8">
        <f t="shared" ca="1" si="434"/>
        <v>0</v>
      </c>
      <c r="W861" s="11" t="str">
        <f t="shared" ca="1" si="435"/>
        <v/>
      </c>
      <c r="X861" s="11" t="str">
        <f t="shared" ca="1" si="436"/>
        <v/>
      </c>
      <c r="Y861" s="11" t="str">
        <f t="shared" ca="1" si="437"/>
        <v/>
      </c>
      <c r="Z861" s="11" t="str">
        <f t="shared" ca="1" si="438"/>
        <v/>
      </c>
      <c r="AA861" s="11" t="str">
        <f t="shared" ca="1" si="439"/>
        <v/>
      </c>
      <c r="AB861" s="47">
        <f ca="1">PlayerGameData[[#This Row],[3FGA]]+PlayerGameData[[#This Row],[2FGA]]</f>
        <v>0</v>
      </c>
      <c r="AC861" s="47">
        <f ca="1">PlayerGameData[[#This Row],[OFF REB]]+PlayerGameData[[#This Row],[DEF REB]]</f>
        <v>0</v>
      </c>
      <c r="AD861" s="8">
        <f t="shared" si="420"/>
        <v>36</v>
      </c>
      <c r="AE861" s="8" t="str">
        <f t="shared" ca="1" si="421"/>
        <v>,  - 0 1/0/1900</v>
      </c>
      <c r="AF861" s="8" t="str">
        <f t="shared" ca="1" si="440"/>
        <v/>
      </c>
      <c r="AG861" s="8" t="str">
        <f ca="1">IFERROR(IF(C861=0,"",IF(AND(VLOOKUP(PlayerGameData[[#This Row],[Opponent]],WYTeamInfo,2,FALSE)=Roster!$D$1,VLOOKUP(PlayerGameData[[#This Row],[Opponent]],WYTeamInfo,3,FALSE)=Roster!$D$2),"SR","")),"")</f>
        <v/>
      </c>
      <c r="AH861" s="8" t="str">
        <f>CONCATENATE(Roster!$D$1," ",Roster!$D$5)</f>
        <v>1A BB</v>
      </c>
      <c r="AI861" s="8" t="str">
        <f t="shared" ca="1" si="422"/>
        <v>Blank</v>
      </c>
      <c r="AJ861" s="8">
        <f ca="1">IFERROR(VLOOKUP(PlayerGameData[[#This Row],[School, Opponent,Game'#]],Table3[],2,FALSE),0)</f>
        <v>0</v>
      </c>
      <c r="AK861" s="8">
        <f ca="1">IF(PlayerGameData[[#This Row],[Visible]]=1,1,1000)</f>
        <v>1000</v>
      </c>
      <c r="AL861" s="8">
        <f ca="1">RANK(PlayerGameData[[#This Row],[TL PTS]],PlayerGameData[TL PTS],0)+PlayerGameData[[#This Row],[VisibleOrder]]</f>
        <v>1184</v>
      </c>
      <c r="AM861" s="8">
        <f ca="1">IF(COUNTIF(PlayerGameData[PointOrder],PlayerGameData[[#This Row],[PointOrder]])&gt;1,RANK(PlayerGameData[[#This Row],[FGA]],PlayerGameData[FGA],0)/100,0)+PlayerGameData[[#This Row],[PointOrder]]</f>
        <v>1186.1400000000001</v>
      </c>
      <c r="AN861" s="8">
        <f ca="1">RANK(PlayerGameData[[#This Row],[PointTieBreak]],PlayerGameData[PointTieBreak],1)</f>
        <v>625</v>
      </c>
      <c r="AO861" s="8">
        <f ca="1">RANK(PlayerGameData[[#This Row],[REB]],PlayerGameData[REB],0)+PlayerGameData[[#This Row],[VisibleOrder]]</f>
        <v>1191</v>
      </c>
      <c r="AP861" s="8">
        <f ca="1">IF(COUNTIF(PlayerGameData[REBOrder],PlayerGameData[[#This Row],[REBOrder]])&gt;1,PlayerGameData[[#This Row],[PointRank]]/100+PlayerGameData[[#This Row],[REBOrder]],PlayerGameData[[#This Row],[REBOrder]])</f>
        <v>1197.25</v>
      </c>
      <c r="AQ861" s="8">
        <f ca="1">RANK(PlayerGameData[[#This Row],[REBTieBreak]],PlayerGameData[REBTieBreak],1)</f>
        <v>625</v>
      </c>
      <c r="AR861" s="8">
        <f ca="1">RANK(PlayerGameData[[#This Row],[AST]],PlayerGameData[AST],0)+PlayerGameData[[#This Row],[VisibleOrder]]</f>
        <v>1157</v>
      </c>
      <c r="AS861" s="8">
        <f ca="1">IF(COUNTIF(PlayerGameData[ASTOrder],PlayerGameData[[#This Row],[ASTOrder]])&gt;1,PlayerGameData[[#This Row],[PointRank]]/100+PlayerGameData[[#This Row],[ASTOrder]],PlayerGameData[[#This Row],[ASTOrder]])</f>
        <v>1163.25</v>
      </c>
      <c r="AT861" s="8">
        <f ca="1">RANK(PlayerGameData[[#This Row],[ASTTieBreak]],PlayerGameData[ASTTieBreak],1)</f>
        <v>625</v>
      </c>
      <c r="AU861" s="8">
        <f ca="1">RANK(PlayerGameData[[#This Row],[STL]],PlayerGameData[STL],0)+PlayerGameData[[#This Row],[VisibleOrder]]</f>
        <v>1142</v>
      </c>
      <c r="AV861" s="8">
        <f ca="1">IF(COUNTIF(PlayerGameData[STLOrder],PlayerGameData[[#This Row],[STLOrder]])&gt;1,PlayerGameData[[#This Row],[PointRank]]/100+PlayerGameData[[#This Row],[STLOrder]],PlayerGameData[[#This Row],[STLOrder]])</f>
        <v>1148.25</v>
      </c>
      <c r="AW861" s="8">
        <f ca="1">RANK(PlayerGameData[[#This Row],[STLTieBreak]],PlayerGameData[STLTieBreak],1)</f>
        <v>625</v>
      </c>
      <c r="AX861" s="8">
        <f ca="1">RANK(PlayerGameData[[#This Row],[BLK]],PlayerGameData[BLK],0)+PlayerGameData[[#This Row],[VisibleOrder]]</f>
        <v>1031</v>
      </c>
      <c r="AY861" s="8">
        <f ca="1">IF(COUNTIF(PlayerGameData[BLKOrder],PlayerGameData[[#This Row],[BLKOrder]])&gt;1,PlayerGameData[[#This Row],[PointRank]]/100+PlayerGameData[[#This Row],[BLKOrder]],PlayerGameData[[#This Row],[BLKOrder]])</f>
        <v>1037.25</v>
      </c>
      <c r="AZ861" s="8">
        <f ca="1">RANK(PlayerGameData[[#This Row],[BLKTieBreak]],PlayerGameData[BLKTieBreak],1)</f>
        <v>625</v>
      </c>
      <c r="BA861" s="11">
        <f ca="1">IFERROR(IF(PlayerGameData[[#This Row],[FGA]]&gt;$AA$5,PlayerGameData[[#This Row],[FG%*]],PlayerGameData[[#This Row],[FG%*]]*-1),-2)</f>
        <v>-2</v>
      </c>
      <c r="BB861" s="8">
        <f ca="1">RANK(PlayerGameData[[#This Row],[EligFG]],PlayerGameData[EligFG],0)+PlayerGameData[[#This Row],[VisibleOrder]]</f>
        <v>1214</v>
      </c>
      <c r="BC861" s="8">
        <f ca="1">IF(COUNTIF(PlayerGameData[EligFGOrder],PlayerGameData[[#This Row],[EligFGOrder]])&gt;1,PlayerGameData[[#This Row],[PointRank]]/100+PlayerGameData[[#This Row],[EligFGOrder]],PlayerGameData[[#This Row],[EligFGOrder]])</f>
        <v>1220.25</v>
      </c>
      <c r="BD861" s="8">
        <f ca="1">RANK(PlayerGameData[[#This Row],[EligFGTieBreak]],PlayerGameData[EligFGTieBreak],1)</f>
        <v>625</v>
      </c>
      <c r="BE861" s="8" t="str">
        <f>Roster!$D$3</f>
        <v>East</v>
      </c>
      <c r="BF861" s="8" t="str">
        <f>Roster!$D$2</f>
        <v>Northeast</v>
      </c>
      <c r="BG861" s="8" t="str">
        <f>Roster!$D$4</f>
        <v>North</v>
      </c>
      <c r="BH861" s="197">
        <f ca="1">IFERROR(VLOOKUP(CONCATENATE(PlayerGameData[[#This Row],[Opponent]]," ",MONTH(PlayerGameData[[#This Row],[Date]]),"/",DAY(PlayerGameData[[#This Row],[Date]]),"/",YEAR(PlayerGameData[[#This Row],[Date]])),Table35[],2,FALSE),0)</f>
        <v>0</v>
      </c>
      <c r="BI861" s="197">
        <f ca="1">IF(PlayerGameData[[#This Row],[Visible]]=1,1,1000)</f>
        <v>1000</v>
      </c>
      <c r="BJ861" s="197" t="e">
        <f ca="1">_xlfn.MAXIFS(TeamGameData[Win],TeamGameData[School, Opponent,Game'#],PlayerGameData[[#This Row],[School, Opponent,Game'#]])</f>
        <v>#NAME?</v>
      </c>
      <c r="BK861" s="197" t="e">
        <f ca="1">_xlfn.MAXIFS(TeamGameData[Loss],TeamGameData[School, Opponent,Game'#],PlayerGameData[[#This Row],[School, Opponent,Game'#]])</f>
        <v>#NAME?</v>
      </c>
    </row>
    <row r="862" spans="1:63" x14ac:dyDescent="0.25">
      <c r="A862" s="8" t="str">
        <f t="shared" ca="1" si="423"/>
        <v xml:space="preserve">, </v>
      </c>
      <c r="B862" s="8" t="str">
        <f>Roster!$B$1</f>
        <v>Upton</v>
      </c>
      <c r="C862" s="8">
        <f t="shared" ca="1" si="411"/>
        <v>0</v>
      </c>
      <c r="D862" s="10">
        <f t="shared" ca="1" si="412"/>
        <v>0</v>
      </c>
      <c r="E862" s="8">
        <f t="shared" ca="1" si="413"/>
        <v>0</v>
      </c>
      <c r="F862" s="8">
        <f t="shared" ca="1" si="414"/>
        <v>0</v>
      </c>
      <c r="G862" s="8">
        <f t="shared" ca="1" si="415"/>
        <v>0</v>
      </c>
      <c r="H862" s="8">
        <f t="shared" ca="1" si="416"/>
        <v>0</v>
      </c>
      <c r="I862" s="8">
        <f t="shared" ca="1" si="417"/>
        <v>0</v>
      </c>
      <c r="J862" s="8">
        <f t="shared" ca="1" si="418"/>
        <v>0</v>
      </c>
      <c r="K862" s="8">
        <f t="shared" ca="1" si="419"/>
        <v>0</v>
      </c>
      <c r="L862" s="8">
        <f t="shared" ca="1" si="424"/>
        <v>0</v>
      </c>
      <c r="M862" s="8">
        <f t="shared" ca="1" si="425"/>
        <v>0</v>
      </c>
      <c r="N862" s="8">
        <f t="shared" ca="1" si="426"/>
        <v>0</v>
      </c>
      <c r="O862" s="8">
        <f t="shared" ca="1" si="427"/>
        <v>0</v>
      </c>
      <c r="P862" s="8">
        <f t="shared" ca="1" si="428"/>
        <v>0</v>
      </c>
      <c r="Q862" s="8">
        <f t="shared" ca="1" si="429"/>
        <v>0</v>
      </c>
      <c r="R862" s="8">
        <f t="shared" ca="1" si="430"/>
        <v>0</v>
      </c>
      <c r="S862" s="8">
        <f t="shared" ca="1" si="431"/>
        <v>0</v>
      </c>
      <c r="T862" s="8">
        <f t="shared" ca="1" si="432"/>
        <v>0</v>
      </c>
      <c r="U862" s="8">
        <f t="shared" ca="1" si="433"/>
        <v>0</v>
      </c>
      <c r="V862" s="8">
        <f t="shared" ca="1" si="434"/>
        <v>0</v>
      </c>
      <c r="W862" s="11" t="str">
        <f t="shared" ca="1" si="435"/>
        <v/>
      </c>
      <c r="X862" s="11" t="str">
        <f t="shared" ca="1" si="436"/>
        <v/>
      </c>
      <c r="Y862" s="11" t="str">
        <f t="shared" ca="1" si="437"/>
        <v/>
      </c>
      <c r="Z862" s="11" t="str">
        <f t="shared" ca="1" si="438"/>
        <v/>
      </c>
      <c r="AA862" s="11" t="str">
        <f t="shared" ca="1" si="439"/>
        <v/>
      </c>
      <c r="AB862" s="47">
        <f ca="1">PlayerGameData[[#This Row],[3FGA]]+PlayerGameData[[#This Row],[2FGA]]</f>
        <v>0</v>
      </c>
      <c r="AC862" s="47">
        <f ca="1">PlayerGameData[[#This Row],[OFF REB]]+PlayerGameData[[#This Row],[DEF REB]]</f>
        <v>0</v>
      </c>
      <c r="AD862" s="8">
        <f t="shared" si="420"/>
        <v>36</v>
      </c>
      <c r="AE862" s="8" t="str">
        <f t="shared" ca="1" si="421"/>
        <v>,  - 0 1/0/1900</v>
      </c>
      <c r="AF862" s="8" t="str">
        <f t="shared" ca="1" si="440"/>
        <v/>
      </c>
      <c r="AG862" s="8" t="str">
        <f ca="1">IFERROR(IF(C862=0,"",IF(AND(VLOOKUP(PlayerGameData[[#This Row],[Opponent]],WYTeamInfo,2,FALSE)=Roster!$D$1,VLOOKUP(PlayerGameData[[#This Row],[Opponent]],WYTeamInfo,3,FALSE)=Roster!$D$2),"SR","")),"")</f>
        <v/>
      </c>
      <c r="AH862" s="8" t="str">
        <f>CONCATENATE(Roster!$D$1," ",Roster!$D$5)</f>
        <v>1A BB</v>
      </c>
      <c r="AI862" s="8" t="str">
        <f t="shared" ca="1" si="422"/>
        <v>Blank</v>
      </c>
      <c r="AJ862" s="8">
        <f ca="1">IFERROR(VLOOKUP(PlayerGameData[[#This Row],[School, Opponent,Game'#]],Table3[],2,FALSE),0)</f>
        <v>0</v>
      </c>
      <c r="AK862" s="8">
        <f ca="1">IF(PlayerGameData[[#This Row],[Visible]]=1,1,1000)</f>
        <v>1000</v>
      </c>
      <c r="AL862" s="8">
        <f ca="1">RANK(PlayerGameData[[#This Row],[TL PTS]],PlayerGameData[TL PTS],0)+PlayerGameData[[#This Row],[VisibleOrder]]</f>
        <v>1184</v>
      </c>
      <c r="AM862" s="8">
        <f ca="1">IF(COUNTIF(PlayerGameData[PointOrder],PlayerGameData[[#This Row],[PointOrder]])&gt;1,RANK(PlayerGameData[[#This Row],[FGA]],PlayerGameData[FGA],0)/100,0)+PlayerGameData[[#This Row],[PointOrder]]</f>
        <v>1186.1400000000001</v>
      </c>
      <c r="AN862" s="8">
        <f ca="1">RANK(PlayerGameData[[#This Row],[PointTieBreak]],PlayerGameData[PointTieBreak],1)</f>
        <v>625</v>
      </c>
      <c r="AO862" s="8">
        <f ca="1">RANK(PlayerGameData[[#This Row],[REB]],PlayerGameData[REB],0)+PlayerGameData[[#This Row],[VisibleOrder]]</f>
        <v>1191</v>
      </c>
      <c r="AP862" s="8">
        <f ca="1">IF(COUNTIF(PlayerGameData[REBOrder],PlayerGameData[[#This Row],[REBOrder]])&gt;1,PlayerGameData[[#This Row],[PointRank]]/100+PlayerGameData[[#This Row],[REBOrder]],PlayerGameData[[#This Row],[REBOrder]])</f>
        <v>1197.25</v>
      </c>
      <c r="AQ862" s="8">
        <f ca="1">RANK(PlayerGameData[[#This Row],[REBTieBreak]],PlayerGameData[REBTieBreak],1)</f>
        <v>625</v>
      </c>
      <c r="AR862" s="8">
        <f ca="1">RANK(PlayerGameData[[#This Row],[AST]],PlayerGameData[AST],0)+PlayerGameData[[#This Row],[VisibleOrder]]</f>
        <v>1157</v>
      </c>
      <c r="AS862" s="8">
        <f ca="1">IF(COUNTIF(PlayerGameData[ASTOrder],PlayerGameData[[#This Row],[ASTOrder]])&gt;1,PlayerGameData[[#This Row],[PointRank]]/100+PlayerGameData[[#This Row],[ASTOrder]],PlayerGameData[[#This Row],[ASTOrder]])</f>
        <v>1163.25</v>
      </c>
      <c r="AT862" s="8">
        <f ca="1">RANK(PlayerGameData[[#This Row],[ASTTieBreak]],PlayerGameData[ASTTieBreak],1)</f>
        <v>625</v>
      </c>
      <c r="AU862" s="8">
        <f ca="1">RANK(PlayerGameData[[#This Row],[STL]],PlayerGameData[STL],0)+PlayerGameData[[#This Row],[VisibleOrder]]</f>
        <v>1142</v>
      </c>
      <c r="AV862" s="8">
        <f ca="1">IF(COUNTIF(PlayerGameData[STLOrder],PlayerGameData[[#This Row],[STLOrder]])&gt;1,PlayerGameData[[#This Row],[PointRank]]/100+PlayerGameData[[#This Row],[STLOrder]],PlayerGameData[[#This Row],[STLOrder]])</f>
        <v>1148.25</v>
      </c>
      <c r="AW862" s="8">
        <f ca="1">RANK(PlayerGameData[[#This Row],[STLTieBreak]],PlayerGameData[STLTieBreak],1)</f>
        <v>625</v>
      </c>
      <c r="AX862" s="8">
        <f ca="1">RANK(PlayerGameData[[#This Row],[BLK]],PlayerGameData[BLK],0)+PlayerGameData[[#This Row],[VisibleOrder]]</f>
        <v>1031</v>
      </c>
      <c r="AY862" s="8">
        <f ca="1">IF(COUNTIF(PlayerGameData[BLKOrder],PlayerGameData[[#This Row],[BLKOrder]])&gt;1,PlayerGameData[[#This Row],[PointRank]]/100+PlayerGameData[[#This Row],[BLKOrder]],PlayerGameData[[#This Row],[BLKOrder]])</f>
        <v>1037.25</v>
      </c>
      <c r="AZ862" s="8">
        <f ca="1">RANK(PlayerGameData[[#This Row],[BLKTieBreak]],PlayerGameData[BLKTieBreak],1)</f>
        <v>625</v>
      </c>
      <c r="BA862" s="11">
        <f ca="1">IFERROR(IF(PlayerGameData[[#This Row],[FGA]]&gt;$AA$5,PlayerGameData[[#This Row],[FG%*]],PlayerGameData[[#This Row],[FG%*]]*-1),-2)</f>
        <v>-2</v>
      </c>
      <c r="BB862" s="8">
        <f ca="1">RANK(PlayerGameData[[#This Row],[EligFG]],PlayerGameData[EligFG],0)+PlayerGameData[[#This Row],[VisibleOrder]]</f>
        <v>1214</v>
      </c>
      <c r="BC862" s="8">
        <f ca="1">IF(COUNTIF(PlayerGameData[EligFGOrder],PlayerGameData[[#This Row],[EligFGOrder]])&gt;1,PlayerGameData[[#This Row],[PointRank]]/100+PlayerGameData[[#This Row],[EligFGOrder]],PlayerGameData[[#This Row],[EligFGOrder]])</f>
        <v>1220.25</v>
      </c>
      <c r="BD862" s="8">
        <f ca="1">RANK(PlayerGameData[[#This Row],[EligFGTieBreak]],PlayerGameData[EligFGTieBreak],1)</f>
        <v>625</v>
      </c>
      <c r="BE862" s="8" t="str">
        <f>Roster!$D$3</f>
        <v>East</v>
      </c>
      <c r="BF862" s="8" t="str">
        <f>Roster!$D$2</f>
        <v>Northeast</v>
      </c>
      <c r="BG862" s="8" t="str">
        <f>Roster!$D$4</f>
        <v>North</v>
      </c>
      <c r="BH862" s="197">
        <f ca="1">IFERROR(VLOOKUP(CONCATENATE(PlayerGameData[[#This Row],[Opponent]]," ",MONTH(PlayerGameData[[#This Row],[Date]]),"/",DAY(PlayerGameData[[#This Row],[Date]]),"/",YEAR(PlayerGameData[[#This Row],[Date]])),Table35[],2,FALSE),0)</f>
        <v>0</v>
      </c>
      <c r="BI862" s="197">
        <f ca="1">IF(PlayerGameData[[#This Row],[Visible]]=1,1,1000)</f>
        <v>1000</v>
      </c>
      <c r="BJ862" s="197" t="e">
        <f ca="1">_xlfn.MAXIFS(TeamGameData[Win],TeamGameData[School, Opponent,Game'#],PlayerGameData[[#This Row],[School, Opponent,Game'#]])</f>
        <v>#NAME?</v>
      </c>
      <c r="BK862" s="197" t="e">
        <f ca="1">_xlfn.MAXIFS(TeamGameData[Loss],TeamGameData[School, Opponent,Game'#],PlayerGameData[[#This Row],[School, Opponent,Game'#]])</f>
        <v>#NAME?</v>
      </c>
    </row>
    <row r="863" spans="1:63" x14ac:dyDescent="0.25">
      <c r="A863" s="8" t="str">
        <f t="shared" ca="1" si="423"/>
        <v xml:space="preserve">, </v>
      </c>
      <c r="B863" s="8" t="str">
        <f>Roster!$B$1</f>
        <v>Upton</v>
      </c>
      <c r="C863" s="8">
        <f t="shared" ca="1" si="411"/>
        <v>0</v>
      </c>
      <c r="D863" s="10">
        <f t="shared" ca="1" si="412"/>
        <v>0</v>
      </c>
      <c r="E863" s="8">
        <f t="shared" ca="1" si="413"/>
        <v>0</v>
      </c>
      <c r="F863" s="8">
        <f t="shared" ca="1" si="414"/>
        <v>0</v>
      </c>
      <c r="G863" s="8">
        <f t="shared" ca="1" si="415"/>
        <v>0</v>
      </c>
      <c r="H863" s="8">
        <f t="shared" ca="1" si="416"/>
        <v>0</v>
      </c>
      <c r="I863" s="8">
        <f t="shared" ca="1" si="417"/>
        <v>0</v>
      </c>
      <c r="J863" s="8">
        <f t="shared" ca="1" si="418"/>
        <v>0</v>
      </c>
      <c r="K863" s="8">
        <f t="shared" ca="1" si="419"/>
        <v>0</v>
      </c>
      <c r="L863" s="8">
        <f t="shared" ca="1" si="424"/>
        <v>0</v>
      </c>
      <c r="M863" s="8">
        <f t="shared" ca="1" si="425"/>
        <v>0</v>
      </c>
      <c r="N863" s="8">
        <f t="shared" ca="1" si="426"/>
        <v>0</v>
      </c>
      <c r="O863" s="8">
        <f t="shared" ca="1" si="427"/>
        <v>0</v>
      </c>
      <c r="P863" s="8">
        <f t="shared" ca="1" si="428"/>
        <v>0</v>
      </c>
      <c r="Q863" s="8">
        <f t="shared" ca="1" si="429"/>
        <v>0</v>
      </c>
      <c r="R863" s="8">
        <f t="shared" ca="1" si="430"/>
        <v>0</v>
      </c>
      <c r="S863" s="8">
        <f t="shared" ca="1" si="431"/>
        <v>0</v>
      </c>
      <c r="T863" s="8">
        <f t="shared" ca="1" si="432"/>
        <v>0</v>
      </c>
      <c r="U863" s="8">
        <f t="shared" ca="1" si="433"/>
        <v>0</v>
      </c>
      <c r="V863" s="8">
        <f t="shared" ca="1" si="434"/>
        <v>0</v>
      </c>
      <c r="W863" s="11" t="str">
        <f t="shared" ca="1" si="435"/>
        <v/>
      </c>
      <c r="X863" s="11" t="str">
        <f t="shared" ca="1" si="436"/>
        <v/>
      </c>
      <c r="Y863" s="11" t="str">
        <f t="shared" ca="1" si="437"/>
        <v/>
      </c>
      <c r="Z863" s="11" t="str">
        <f t="shared" ca="1" si="438"/>
        <v/>
      </c>
      <c r="AA863" s="11" t="str">
        <f t="shared" ca="1" si="439"/>
        <v/>
      </c>
      <c r="AB863" s="47">
        <f ca="1">PlayerGameData[[#This Row],[3FGA]]+PlayerGameData[[#This Row],[2FGA]]</f>
        <v>0</v>
      </c>
      <c r="AC863" s="47">
        <f ca="1">PlayerGameData[[#This Row],[OFF REB]]+PlayerGameData[[#This Row],[DEF REB]]</f>
        <v>0</v>
      </c>
      <c r="AD863" s="8">
        <f t="shared" si="420"/>
        <v>36</v>
      </c>
      <c r="AE863" s="8" t="str">
        <f t="shared" ca="1" si="421"/>
        <v>,  - 0 1/0/1900</v>
      </c>
      <c r="AF863" s="8" t="str">
        <f t="shared" ca="1" si="440"/>
        <v/>
      </c>
      <c r="AG863" s="8" t="str">
        <f ca="1">IFERROR(IF(C863=0,"",IF(AND(VLOOKUP(PlayerGameData[[#This Row],[Opponent]],WYTeamInfo,2,FALSE)=Roster!$D$1,VLOOKUP(PlayerGameData[[#This Row],[Opponent]],WYTeamInfo,3,FALSE)=Roster!$D$2),"SR","")),"")</f>
        <v/>
      </c>
      <c r="AH863" s="8" t="str">
        <f>CONCATENATE(Roster!$D$1," ",Roster!$D$5)</f>
        <v>1A BB</v>
      </c>
      <c r="AI863" s="8" t="str">
        <f t="shared" ca="1" si="422"/>
        <v>Blank</v>
      </c>
      <c r="AJ863" s="8">
        <f ca="1">IFERROR(VLOOKUP(PlayerGameData[[#This Row],[School, Opponent,Game'#]],Table3[],2,FALSE),0)</f>
        <v>0</v>
      </c>
      <c r="AK863" s="8">
        <f ca="1">IF(PlayerGameData[[#This Row],[Visible]]=1,1,1000)</f>
        <v>1000</v>
      </c>
      <c r="AL863" s="8">
        <f ca="1">RANK(PlayerGameData[[#This Row],[TL PTS]],PlayerGameData[TL PTS],0)+PlayerGameData[[#This Row],[VisibleOrder]]</f>
        <v>1184</v>
      </c>
      <c r="AM863" s="8">
        <f ca="1">IF(COUNTIF(PlayerGameData[PointOrder],PlayerGameData[[#This Row],[PointOrder]])&gt;1,RANK(PlayerGameData[[#This Row],[FGA]],PlayerGameData[FGA],0)/100,0)+PlayerGameData[[#This Row],[PointOrder]]</f>
        <v>1186.1400000000001</v>
      </c>
      <c r="AN863" s="8">
        <f ca="1">RANK(PlayerGameData[[#This Row],[PointTieBreak]],PlayerGameData[PointTieBreak],1)</f>
        <v>625</v>
      </c>
      <c r="AO863" s="8">
        <f ca="1">RANK(PlayerGameData[[#This Row],[REB]],PlayerGameData[REB],0)+PlayerGameData[[#This Row],[VisibleOrder]]</f>
        <v>1191</v>
      </c>
      <c r="AP863" s="8">
        <f ca="1">IF(COUNTIF(PlayerGameData[REBOrder],PlayerGameData[[#This Row],[REBOrder]])&gt;1,PlayerGameData[[#This Row],[PointRank]]/100+PlayerGameData[[#This Row],[REBOrder]],PlayerGameData[[#This Row],[REBOrder]])</f>
        <v>1197.25</v>
      </c>
      <c r="AQ863" s="8">
        <f ca="1">RANK(PlayerGameData[[#This Row],[REBTieBreak]],PlayerGameData[REBTieBreak],1)</f>
        <v>625</v>
      </c>
      <c r="AR863" s="8">
        <f ca="1">RANK(PlayerGameData[[#This Row],[AST]],PlayerGameData[AST],0)+PlayerGameData[[#This Row],[VisibleOrder]]</f>
        <v>1157</v>
      </c>
      <c r="AS863" s="8">
        <f ca="1">IF(COUNTIF(PlayerGameData[ASTOrder],PlayerGameData[[#This Row],[ASTOrder]])&gt;1,PlayerGameData[[#This Row],[PointRank]]/100+PlayerGameData[[#This Row],[ASTOrder]],PlayerGameData[[#This Row],[ASTOrder]])</f>
        <v>1163.25</v>
      </c>
      <c r="AT863" s="8">
        <f ca="1">RANK(PlayerGameData[[#This Row],[ASTTieBreak]],PlayerGameData[ASTTieBreak],1)</f>
        <v>625</v>
      </c>
      <c r="AU863" s="8">
        <f ca="1">RANK(PlayerGameData[[#This Row],[STL]],PlayerGameData[STL],0)+PlayerGameData[[#This Row],[VisibleOrder]]</f>
        <v>1142</v>
      </c>
      <c r="AV863" s="8">
        <f ca="1">IF(COUNTIF(PlayerGameData[STLOrder],PlayerGameData[[#This Row],[STLOrder]])&gt;1,PlayerGameData[[#This Row],[PointRank]]/100+PlayerGameData[[#This Row],[STLOrder]],PlayerGameData[[#This Row],[STLOrder]])</f>
        <v>1148.25</v>
      </c>
      <c r="AW863" s="8">
        <f ca="1">RANK(PlayerGameData[[#This Row],[STLTieBreak]],PlayerGameData[STLTieBreak],1)</f>
        <v>625</v>
      </c>
      <c r="AX863" s="8">
        <f ca="1">RANK(PlayerGameData[[#This Row],[BLK]],PlayerGameData[BLK],0)+PlayerGameData[[#This Row],[VisibleOrder]]</f>
        <v>1031</v>
      </c>
      <c r="AY863" s="8">
        <f ca="1">IF(COUNTIF(PlayerGameData[BLKOrder],PlayerGameData[[#This Row],[BLKOrder]])&gt;1,PlayerGameData[[#This Row],[PointRank]]/100+PlayerGameData[[#This Row],[BLKOrder]],PlayerGameData[[#This Row],[BLKOrder]])</f>
        <v>1037.25</v>
      </c>
      <c r="AZ863" s="8">
        <f ca="1">RANK(PlayerGameData[[#This Row],[BLKTieBreak]],PlayerGameData[BLKTieBreak],1)</f>
        <v>625</v>
      </c>
      <c r="BA863" s="11">
        <f ca="1">IFERROR(IF(PlayerGameData[[#This Row],[FGA]]&gt;$AA$5,PlayerGameData[[#This Row],[FG%*]],PlayerGameData[[#This Row],[FG%*]]*-1),-2)</f>
        <v>-2</v>
      </c>
      <c r="BB863" s="8">
        <f ca="1">RANK(PlayerGameData[[#This Row],[EligFG]],PlayerGameData[EligFG],0)+PlayerGameData[[#This Row],[VisibleOrder]]</f>
        <v>1214</v>
      </c>
      <c r="BC863" s="8">
        <f ca="1">IF(COUNTIF(PlayerGameData[EligFGOrder],PlayerGameData[[#This Row],[EligFGOrder]])&gt;1,PlayerGameData[[#This Row],[PointRank]]/100+PlayerGameData[[#This Row],[EligFGOrder]],PlayerGameData[[#This Row],[EligFGOrder]])</f>
        <v>1220.25</v>
      </c>
      <c r="BD863" s="8">
        <f ca="1">RANK(PlayerGameData[[#This Row],[EligFGTieBreak]],PlayerGameData[EligFGTieBreak],1)</f>
        <v>625</v>
      </c>
      <c r="BE863" s="8" t="str">
        <f>Roster!$D$3</f>
        <v>East</v>
      </c>
      <c r="BF863" s="8" t="str">
        <f>Roster!$D$2</f>
        <v>Northeast</v>
      </c>
      <c r="BG863" s="8" t="str">
        <f>Roster!$D$4</f>
        <v>North</v>
      </c>
      <c r="BH863" s="197">
        <f ca="1">IFERROR(VLOOKUP(CONCATENATE(PlayerGameData[[#This Row],[Opponent]]," ",MONTH(PlayerGameData[[#This Row],[Date]]),"/",DAY(PlayerGameData[[#This Row],[Date]]),"/",YEAR(PlayerGameData[[#This Row],[Date]])),Table35[],2,FALSE),0)</f>
        <v>0</v>
      </c>
      <c r="BI863" s="197">
        <f ca="1">IF(PlayerGameData[[#This Row],[Visible]]=1,1,1000)</f>
        <v>1000</v>
      </c>
      <c r="BJ863" s="197" t="e">
        <f ca="1">_xlfn.MAXIFS(TeamGameData[Win],TeamGameData[School, Opponent,Game'#],PlayerGameData[[#This Row],[School, Opponent,Game'#]])</f>
        <v>#NAME?</v>
      </c>
      <c r="BK863" s="197" t="e">
        <f ca="1">_xlfn.MAXIFS(TeamGameData[Loss],TeamGameData[School, Opponent,Game'#],PlayerGameData[[#This Row],[School, Opponent,Game'#]])</f>
        <v>#NAME?</v>
      </c>
    </row>
    <row r="864" spans="1:63" x14ac:dyDescent="0.25">
      <c r="A864" s="8" t="str">
        <f t="shared" ca="1" si="423"/>
        <v xml:space="preserve">, </v>
      </c>
      <c r="B864" s="8" t="str">
        <f>Roster!$B$1</f>
        <v>Upton</v>
      </c>
      <c r="C864" s="8">
        <f t="shared" ca="1" si="411"/>
        <v>0</v>
      </c>
      <c r="D864" s="10">
        <f t="shared" ca="1" si="412"/>
        <v>0</v>
      </c>
      <c r="E864" s="8">
        <f t="shared" ca="1" si="413"/>
        <v>0</v>
      </c>
      <c r="F864" s="8">
        <f t="shared" ca="1" si="414"/>
        <v>0</v>
      </c>
      <c r="G864" s="8">
        <f t="shared" ca="1" si="415"/>
        <v>0</v>
      </c>
      <c r="H864" s="8">
        <f t="shared" ca="1" si="416"/>
        <v>0</v>
      </c>
      <c r="I864" s="8">
        <f t="shared" ca="1" si="417"/>
        <v>0</v>
      </c>
      <c r="J864" s="8">
        <f t="shared" ca="1" si="418"/>
        <v>0</v>
      </c>
      <c r="K864" s="8">
        <f t="shared" ca="1" si="419"/>
        <v>0</v>
      </c>
      <c r="L864" s="8">
        <f t="shared" ca="1" si="424"/>
        <v>0</v>
      </c>
      <c r="M864" s="8">
        <f t="shared" ca="1" si="425"/>
        <v>0</v>
      </c>
      <c r="N864" s="8">
        <f t="shared" ca="1" si="426"/>
        <v>0</v>
      </c>
      <c r="O864" s="8">
        <f t="shared" ca="1" si="427"/>
        <v>0</v>
      </c>
      <c r="P864" s="8">
        <f t="shared" ca="1" si="428"/>
        <v>0</v>
      </c>
      <c r="Q864" s="8">
        <f t="shared" ca="1" si="429"/>
        <v>0</v>
      </c>
      <c r="R864" s="8">
        <f t="shared" ca="1" si="430"/>
        <v>0</v>
      </c>
      <c r="S864" s="8">
        <f t="shared" ca="1" si="431"/>
        <v>0</v>
      </c>
      <c r="T864" s="8">
        <f t="shared" ca="1" si="432"/>
        <v>0</v>
      </c>
      <c r="U864" s="8">
        <f t="shared" ca="1" si="433"/>
        <v>0</v>
      </c>
      <c r="V864" s="8">
        <f t="shared" ca="1" si="434"/>
        <v>0</v>
      </c>
      <c r="W864" s="11" t="str">
        <f t="shared" ca="1" si="435"/>
        <v/>
      </c>
      <c r="X864" s="11" t="str">
        <f t="shared" ca="1" si="436"/>
        <v/>
      </c>
      <c r="Y864" s="11" t="str">
        <f t="shared" ca="1" si="437"/>
        <v/>
      </c>
      <c r="Z864" s="11" t="str">
        <f t="shared" ca="1" si="438"/>
        <v/>
      </c>
      <c r="AA864" s="11" t="str">
        <f t="shared" ca="1" si="439"/>
        <v/>
      </c>
      <c r="AB864" s="47">
        <f ca="1">PlayerGameData[[#This Row],[3FGA]]+PlayerGameData[[#This Row],[2FGA]]</f>
        <v>0</v>
      </c>
      <c r="AC864" s="47">
        <f ca="1">PlayerGameData[[#This Row],[OFF REB]]+PlayerGameData[[#This Row],[DEF REB]]</f>
        <v>0</v>
      </c>
      <c r="AD864" s="8">
        <f t="shared" si="420"/>
        <v>36</v>
      </c>
      <c r="AE864" s="8" t="str">
        <f t="shared" ca="1" si="421"/>
        <v>,  - 0 1/0/1900</v>
      </c>
      <c r="AF864" s="8" t="str">
        <f t="shared" ca="1" si="440"/>
        <v/>
      </c>
      <c r="AG864" s="8" t="str">
        <f ca="1">IFERROR(IF(C864=0,"",IF(AND(VLOOKUP(PlayerGameData[[#This Row],[Opponent]],WYTeamInfo,2,FALSE)=Roster!$D$1,VLOOKUP(PlayerGameData[[#This Row],[Opponent]],WYTeamInfo,3,FALSE)=Roster!$D$2),"SR","")),"")</f>
        <v/>
      </c>
      <c r="AH864" s="8" t="str">
        <f>CONCATENATE(Roster!$D$1," ",Roster!$D$5)</f>
        <v>1A BB</v>
      </c>
      <c r="AI864" s="8" t="str">
        <f t="shared" ca="1" si="422"/>
        <v>Blank</v>
      </c>
      <c r="AJ864" s="8">
        <f ca="1">IFERROR(VLOOKUP(PlayerGameData[[#This Row],[School, Opponent,Game'#]],Table3[],2,FALSE),0)</f>
        <v>0</v>
      </c>
      <c r="AK864" s="8">
        <f ca="1">IF(PlayerGameData[[#This Row],[Visible]]=1,1,1000)</f>
        <v>1000</v>
      </c>
      <c r="AL864" s="8">
        <f ca="1">RANK(PlayerGameData[[#This Row],[TL PTS]],PlayerGameData[TL PTS],0)+PlayerGameData[[#This Row],[VisibleOrder]]</f>
        <v>1184</v>
      </c>
      <c r="AM864" s="8">
        <f ca="1">IF(COUNTIF(PlayerGameData[PointOrder],PlayerGameData[[#This Row],[PointOrder]])&gt;1,RANK(PlayerGameData[[#This Row],[FGA]],PlayerGameData[FGA],0)/100,0)+PlayerGameData[[#This Row],[PointOrder]]</f>
        <v>1186.1400000000001</v>
      </c>
      <c r="AN864" s="8">
        <f ca="1">RANK(PlayerGameData[[#This Row],[PointTieBreak]],PlayerGameData[PointTieBreak],1)</f>
        <v>625</v>
      </c>
      <c r="AO864" s="8">
        <f ca="1">RANK(PlayerGameData[[#This Row],[REB]],PlayerGameData[REB],0)+PlayerGameData[[#This Row],[VisibleOrder]]</f>
        <v>1191</v>
      </c>
      <c r="AP864" s="8">
        <f ca="1">IF(COUNTIF(PlayerGameData[REBOrder],PlayerGameData[[#This Row],[REBOrder]])&gt;1,PlayerGameData[[#This Row],[PointRank]]/100+PlayerGameData[[#This Row],[REBOrder]],PlayerGameData[[#This Row],[REBOrder]])</f>
        <v>1197.25</v>
      </c>
      <c r="AQ864" s="8">
        <f ca="1">RANK(PlayerGameData[[#This Row],[REBTieBreak]],PlayerGameData[REBTieBreak],1)</f>
        <v>625</v>
      </c>
      <c r="AR864" s="8">
        <f ca="1">RANK(PlayerGameData[[#This Row],[AST]],PlayerGameData[AST],0)+PlayerGameData[[#This Row],[VisibleOrder]]</f>
        <v>1157</v>
      </c>
      <c r="AS864" s="8">
        <f ca="1">IF(COUNTIF(PlayerGameData[ASTOrder],PlayerGameData[[#This Row],[ASTOrder]])&gt;1,PlayerGameData[[#This Row],[PointRank]]/100+PlayerGameData[[#This Row],[ASTOrder]],PlayerGameData[[#This Row],[ASTOrder]])</f>
        <v>1163.25</v>
      </c>
      <c r="AT864" s="8">
        <f ca="1">RANK(PlayerGameData[[#This Row],[ASTTieBreak]],PlayerGameData[ASTTieBreak],1)</f>
        <v>625</v>
      </c>
      <c r="AU864" s="8">
        <f ca="1">RANK(PlayerGameData[[#This Row],[STL]],PlayerGameData[STL],0)+PlayerGameData[[#This Row],[VisibleOrder]]</f>
        <v>1142</v>
      </c>
      <c r="AV864" s="8">
        <f ca="1">IF(COUNTIF(PlayerGameData[STLOrder],PlayerGameData[[#This Row],[STLOrder]])&gt;1,PlayerGameData[[#This Row],[PointRank]]/100+PlayerGameData[[#This Row],[STLOrder]],PlayerGameData[[#This Row],[STLOrder]])</f>
        <v>1148.25</v>
      </c>
      <c r="AW864" s="8">
        <f ca="1">RANK(PlayerGameData[[#This Row],[STLTieBreak]],PlayerGameData[STLTieBreak],1)</f>
        <v>625</v>
      </c>
      <c r="AX864" s="8">
        <f ca="1">RANK(PlayerGameData[[#This Row],[BLK]],PlayerGameData[BLK],0)+PlayerGameData[[#This Row],[VisibleOrder]]</f>
        <v>1031</v>
      </c>
      <c r="AY864" s="8">
        <f ca="1">IF(COUNTIF(PlayerGameData[BLKOrder],PlayerGameData[[#This Row],[BLKOrder]])&gt;1,PlayerGameData[[#This Row],[PointRank]]/100+PlayerGameData[[#This Row],[BLKOrder]],PlayerGameData[[#This Row],[BLKOrder]])</f>
        <v>1037.25</v>
      </c>
      <c r="AZ864" s="8">
        <f ca="1">RANK(PlayerGameData[[#This Row],[BLKTieBreak]],PlayerGameData[BLKTieBreak],1)</f>
        <v>625</v>
      </c>
      <c r="BA864" s="11">
        <f ca="1">IFERROR(IF(PlayerGameData[[#This Row],[FGA]]&gt;$AA$5,PlayerGameData[[#This Row],[FG%*]],PlayerGameData[[#This Row],[FG%*]]*-1),-2)</f>
        <v>-2</v>
      </c>
      <c r="BB864" s="8">
        <f ca="1">RANK(PlayerGameData[[#This Row],[EligFG]],PlayerGameData[EligFG],0)+PlayerGameData[[#This Row],[VisibleOrder]]</f>
        <v>1214</v>
      </c>
      <c r="BC864" s="8">
        <f ca="1">IF(COUNTIF(PlayerGameData[EligFGOrder],PlayerGameData[[#This Row],[EligFGOrder]])&gt;1,PlayerGameData[[#This Row],[PointRank]]/100+PlayerGameData[[#This Row],[EligFGOrder]],PlayerGameData[[#This Row],[EligFGOrder]])</f>
        <v>1220.25</v>
      </c>
      <c r="BD864" s="8">
        <f ca="1">RANK(PlayerGameData[[#This Row],[EligFGTieBreak]],PlayerGameData[EligFGTieBreak],1)</f>
        <v>625</v>
      </c>
      <c r="BE864" s="8" t="str">
        <f>Roster!$D$3</f>
        <v>East</v>
      </c>
      <c r="BF864" s="8" t="str">
        <f>Roster!$D$2</f>
        <v>Northeast</v>
      </c>
      <c r="BG864" s="8" t="str">
        <f>Roster!$D$4</f>
        <v>North</v>
      </c>
      <c r="BH864" s="197">
        <f ca="1">IFERROR(VLOOKUP(CONCATENATE(PlayerGameData[[#This Row],[Opponent]]," ",MONTH(PlayerGameData[[#This Row],[Date]]),"/",DAY(PlayerGameData[[#This Row],[Date]]),"/",YEAR(PlayerGameData[[#This Row],[Date]])),Table35[],2,FALSE),0)</f>
        <v>0</v>
      </c>
      <c r="BI864" s="197">
        <f ca="1">IF(PlayerGameData[[#This Row],[Visible]]=1,1,1000)</f>
        <v>1000</v>
      </c>
      <c r="BJ864" s="197" t="e">
        <f ca="1">_xlfn.MAXIFS(TeamGameData[Win],TeamGameData[School, Opponent,Game'#],PlayerGameData[[#This Row],[School, Opponent,Game'#]])</f>
        <v>#NAME?</v>
      </c>
      <c r="BK864" s="197" t="e">
        <f ca="1">_xlfn.MAXIFS(TeamGameData[Loss],TeamGameData[School, Opponent,Game'#],PlayerGameData[[#This Row],[School, Opponent,Game'#]])</f>
        <v>#NAME?</v>
      </c>
    </row>
    <row r="865" spans="1:63" x14ac:dyDescent="0.25">
      <c r="A865" s="8" t="str">
        <f t="shared" ca="1" si="423"/>
        <v xml:space="preserve">, </v>
      </c>
      <c r="B865" s="8" t="str">
        <f>Roster!$B$1</f>
        <v>Upton</v>
      </c>
      <c r="C865" s="8">
        <f t="shared" ca="1" si="411"/>
        <v>0</v>
      </c>
      <c r="D865" s="10">
        <f t="shared" ca="1" si="412"/>
        <v>0</v>
      </c>
      <c r="E865" s="8">
        <f t="shared" ca="1" si="413"/>
        <v>0</v>
      </c>
      <c r="F865" s="8">
        <f t="shared" ca="1" si="414"/>
        <v>0</v>
      </c>
      <c r="G865" s="8">
        <f t="shared" ca="1" si="415"/>
        <v>0</v>
      </c>
      <c r="H865" s="8">
        <f t="shared" ca="1" si="416"/>
        <v>0</v>
      </c>
      <c r="I865" s="8">
        <f t="shared" ca="1" si="417"/>
        <v>0</v>
      </c>
      <c r="J865" s="8">
        <f t="shared" ca="1" si="418"/>
        <v>0</v>
      </c>
      <c r="K865" s="8">
        <f t="shared" ca="1" si="419"/>
        <v>0</v>
      </c>
      <c r="L865" s="8">
        <f t="shared" ca="1" si="424"/>
        <v>0</v>
      </c>
      <c r="M865" s="8">
        <f t="shared" ca="1" si="425"/>
        <v>0</v>
      </c>
      <c r="N865" s="8">
        <f t="shared" ca="1" si="426"/>
        <v>0</v>
      </c>
      <c r="O865" s="8">
        <f t="shared" ca="1" si="427"/>
        <v>0</v>
      </c>
      <c r="P865" s="8">
        <f t="shared" ca="1" si="428"/>
        <v>0</v>
      </c>
      <c r="Q865" s="8">
        <f t="shared" ca="1" si="429"/>
        <v>0</v>
      </c>
      <c r="R865" s="8">
        <f t="shared" ca="1" si="430"/>
        <v>0</v>
      </c>
      <c r="S865" s="8">
        <f t="shared" ca="1" si="431"/>
        <v>0</v>
      </c>
      <c r="T865" s="8">
        <f t="shared" ca="1" si="432"/>
        <v>0</v>
      </c>
      <c r="U865" s="8">
        <f t="shared" ca="1" si="433"/>
        <v>0</v>
      </c>
      <c r="V865" s="8">
        <f t="shared" ca="1" si="434"/>
        <v>0</v>
      </c>
      <c r="W865" s="11" t="str">
        <f t="shared" ca="1" si="435"/>
        <v/>
      </c>
      <c r="X865" s="11" t="str">
        <f t="shared" ca="1" si="436"/>
        <v/>
      </c>
      <c r="Y865" s="11" t="str">
        <f t="shared" ca="1" si="437"/>
        <v/>
      </c>
      <c r="Z865" s="11" t="str">
        <f t="shared" ca="1" si="438"/>
        <v/>
      </c>
      <c r="AA865" s="11" t="str">
        <f t="shared" ca="1" si="439"/>
        <v/>
      </c>
      <c r="AB865" s="47">
        <f ca="1">PlayerGameData[[#This Row],[3FGA]]+PlayerGameData[[#This Row],[2FGA]]</f>
        <v>0</v>
      </c>
      <c r="AC865" s="47">
        <f ca="1">PlayerGameData[[#This Row],[OFF REB]]+PlayerGameData[[#This Row],[DEF REB]]</f>
        <v>0</v>
      </c>
      <c r="AD865" s="8">
        <f t="shared" si="420"/>
        <v>36</v>
      </c>
      <c r="AE865" s="8" t="str">
        <f t="shared" ca="1" si="421"/>
        <v>,  - 0 1/0/1900</v>
      </c>
      <c r="AF865" s="8" t="str">
        <f t="shared" ca="1" si="440"/>
        <v/>
      </c>
      <c r="AG865" s="8" t="str">
        <f ca="1">IFERROR(IF(C865=0,"",IF(AND(VLOOKUP(PlayerGameData[[#This Row],[Opponent]],WYTeamInfo,2,FALSE)=Roster!$D$1,VLOOKUP(PlayerGameData[[#This Row],[Opponent]],WYTeamInfo,3,FALSE)=Roster!$D$2),"SR","")),"")</f>
        <v/>
      </c>
      <c r="AH865" s="8" t="str">
        <f>CONCATENATE(Roster!$D$1," ",Roster!$D$5)</f>
        <v>1A BB</v>
      </c>
      <c r="AI865" s="8" t="str">
        <f t="shared" ca="1" si="422"/>
        <v>Blank</v>
      </c>
      <c r="AJ865" s="8">
        <f ca="1">IFERROR(VLOOKUP(PlayerGameData[[#This Row],[School, Opponent,Game'#]],Table3[],2,FALSE),0)</f>
        <v>0</v>
      </c>
      <c r="AK865" s="8">
        <f ca="1">IF(PlayerGameData[[#This Row],[Visible]]=1,1,1000)</f>
        <v>1000</v>
      </c>
      <c r="AL865" s="8">
        <f ca="1">RANK(PlayerGameData[[#This Row],[TL PTS]],PlayerGameData[TL PTS],0)+PlayerGameData[[#This Row],[VisibleOrder]]</f>
        <v>1184</v>
      </c>
      <c r="AM865" s="8">
        <f ca="1">IF(COUNTIF(PlayerGameData[PointOrder],PlayerGameData[[#This Row],[PointOrder]])&gt;1,RANK(PlayerGameData[[#This Row],[FGA]],PlayerGameData[FGA],0)/100,0)+PlayerGameData[[#This Row],[PointOrder]]</f>
        <v>1186.1400000000001</v>
      </c>
      <c r="AN865" s="8">
        <f ca="1">RANK(PlayerGameData[[#This Row],[PointTieBreak]],PlayerGameData[PointTieBreak],1)</f>
        <v>625</v>
      </c>
      <c r="AO865" s="8">
        <f ca="1">RANK(PlayerGameData[[#This Row],[REB]],PlayerGameData[REB],0)+PlayerGameData[[#This Row],[VisibleOrder]]</f>
        <v>1191</v>
      </c>
      <c r="AP865" s="8">
        <f ca="1">IF(COUNTIF(PlayerGameData[REBOrder],PlayerGameData[[#This Row],[REBOrder]])&gt;1,PlayerGameData[[#This Row],[PointRank]]/100+PlayerGameData[[#This Row],[REBOrder]],PlayerGameData[[#This Row],[REBOrder]])</f>
        <v>1197.25</v>
      </c>
      <c r="AQ865" s="8">
        <f ca="1">RANK(PlayerGameData[[#This Row],[REBTieBreak]],PlayerGameData[REBTieBreak],1)</f>
        <v>625</v>
      </c>
      <c r="AR865" s="8">
        <f ca="1">RANK(PlayerGameData[[#This Row],[AST]],PlayerGameData[AST],0)+PlayerGameData[[#This Row],[VisibleOrder]]</f>
        <v>1157</v>
      </c>
      <c r="AS865" s="8">
        <f ca="1">IF(COUNTIF(PlayerGameData[ASTOrder],PlayerGameData[[#This Row],[ASTOrder]])&gt;1,PlayerGameData[[#This Row],[PointRank]]/100+PlayerGameData[[#This Row],[ASTOrder]],PlayerGameData[[#This Row],[ASTOrder]])</f>
        <v>1163.25</v>
      </c>
      <c r="AT865" s="8">
        <f ca="1">RANK(PlayerGameData[[#This Row],[ASTTieBreak]],PlayerGameData[ASTTieBreak],1)</f>
        <v>625</v>
      </c>
      <c r="AU865" s="8">
        <f ca="1">RANK(PlayerGameData[[#This Row],[STL]],PlayerGameData[STL],0)+PlayerGameData[[#This Row],[VisibleOrder]]</f>
        <v>1142</v>
      </c>
      <c r="AV865" s="8">
        <f ca="1">IF(COUNTIF(PlayerGameData[STLOrder],PlayerGameData[[#This Row],[STLOrder]])&gt;1,PlayerGameData[[#This Row],[PointRank]]/100+PlayerGameData[[#This Row],[STLOrder]],PlayerGameData[[#This Row],[STLOrder]])</f>
        <v>1148.25</v>
      </c>
      <c r="AW865" s="8">
        <f ca="1">RANK(PlayerGameData[[#This Row],[STLTieBreak]],PlayerGameData[STLTieBreak],1)</f>
        <v>625</v>
      </c>
      <c r="AX865" s="8">
        <f ca="1">RANK(PlayerGameData[[#This Row],[BLK]],PlayerGameData[BLK],0)+PlayerGameData[[#This Row],[VisibleOrder]]</f>
        <v>1031</v>
      </c>
      <c r="AY865" s="8">
        <f ca="1">IF(COUNTIF(PlayerGameData[BLKOrder],PlayerGameData[[#This Row],[BLKOrder]])&gt;1,PlayerGameData[[#This Row],[PointRank]]/100+PlayerGameData[[#This Row],[BLKOrder]],PlayerGameData[[#This Row],[BLKOrder]])</f>
        <v>1037.25</v>
      </c>
      <c r="AZ865" s="8">
        <f ca="1">RANK(PlayerGameData[[#This Row],[BLKTieBreak]],PlayerGameData[BLKTieBreak],1)</f>
        <v>625</v>
      </c>
      <c r="BA865" s="11">
        <f ca="1">IFERROR(IF(PlayerGameData[[#This Row],[FGA]]&gt;$AA$5,PlayerGameData[[#This Row],[FG%*]],PlayerGameData[[#This Row],[FG%*]]*-1),-2)</f>
        <v>-2</v>
      </c>
      <c r="BB865" s="8">
        <f ca="1">RANK(PlayerGameData[[#This Row],[EligFG]],PlayerGameData[EligFG],0)+PlayerGameData[[#This Row],[VisibleOrder]]</f>
        <v>1214</v>
      </c>
      <c r="BC865" s="8">
        <f ca="1">IF(COUNTIF(PlayerGameData[EligFGOrder],PlayerGameData[[#This Row],[EligFGOrder]])&gt;1,PlayerGameData[[#This Row],[PointRank]]/100+PlayerGameData[[#This Row],[EligFGOrder]],PlayerGameData[[#This Row],[EligFGOrder]])</f>
        <v>1220.25</v>
      </c>
      <c r="BD865" s="8">
        <f ca="1">RANK(PlayerGameData[[#This Row],[EligFGTieBreak]],PlayerGameData[EligFGTieBreak],1)</f>
        <v>625</v>
      </c>
      <c r="BE865" s="8" t="str">
        <f>Roster!$D$3</f>
        <v>East</v>
      </c>
      <c r="BF865" s="8" t="str">
        <f>Roster!$D$2</f>
        <v>Northeast</v>
      </c>
      <c r="BG865" s="8" t="str">
        <f>Roster!$D$4</f>
        <v>North</v>
      </c>
      <c r="BH865" s="197">
        <f ca="1">IFERROR(VLOOKUP(CONCATENATE(PlayerGameData[[#This Row],[Opponent]]," ",MONTH(PlayerGameData[[#This Row],[Date]]),"/",DAY(PlayerGameData[[#This Row],[Date]]),"/",YEAR(PlayerGameData[[#This Row],[Date]])),Table35[],2,FALSE),0)</f>
        <v>0</v>
      </c>
      <c r="BI865" s="197">
        <f ca="1">IF(PlayerGameData[[#This Row],[Visible]]=1,1,1000)</f>
        <v>1000</v>
      </c>
      <c r="BJ865" s="197" t="e">
        <f ca="1">_xlfn.MAXIFS(TeamGameData[Win],TeamGameData[School, Opponent,Game'#],PlayerGameData[[#This Row],[School, Opponent,Game'#]])</f>
        <v>#NAME?</v>
      </c>
      <c r="BK865" s="197" t="e">
        <f ca="1">_xlfn.MAXIFS(TeamGameData[Loss],TeamGameData[School, Opponent,Game'#],PlayerGameData[[#This Row],[School, Opponent,Game'#]])</f>
        <v>#NAME?</v>
      </c>
    </row>
    <row r="866" spans="1:63" x14ac:dyDescent="0.25">
      <c r="A866" s="8" t="str">
        <f t="shared" ca="1" si="423"/>
        <v xml:space="preserve">, </v>
      </c>
      <c r="B866" s="8" t="str">
        <f>Roster!$B$1</f>
        <v>Upton</v>
      </c>
      <c r="C866" s="8">
        <f t="shared" ca="1" si="411"/>
        <v>0</v>
      </c>
      <c r="D866" s="10">
        <f t="shared" ca="1" si="412"/>
        <v>0</v>
      </c>
      <c r="E866" s="8">
        <f t="shared" ca="1" si="413"/>
        <v>0</v>
      </c>
      <c r="F866" s="8">
        <f t="shared" ca="1" si="414"/>
        <v>0</v>
      </c>
      <c r="G866" s="8">
        <f t="shared" ca="1" si="415"/>
        <v>0</v>
      </c>
      <c r="H866" s="8">
        <f t="shared" ca="1" si="416"/>
        <v>0</v>
      </c>
      <c r="I866" s="8">
        <f t="shared" ca="1" si="417"/>
        <v>0</v>
      </c>
      <c r="J866" s="8">
        <f t="shared" ca="1" si="418"/>
        <v>0</v>
      </c>
      <c r="K866" s="8">
        <f t="shared" ca="1" si="419"/>
        <v>0</v>
      </c>
      <c r="L866" s="8">
        <f t="shared" ca="1" si="424"/>
        <v>0</v>
      </c>
      <c r="M866" s="8">
        <f t="shared" ca="1" si="425"/>
        <v>0</v>
      </c>
      <c r="N866" s="8">
        <f t="shared" ca="1" si="426"/>
        <v>0</v>
      </c>
      <c r="O866" s="8">
        <f t="shared" ca="1" si="427"/>
        <v>0</v>
      </c>
      <c r="P866" s="8">
        <f t="shared" ca="1" si="428"/>
        <v>0</v>
      </c>
      <c r="Q866" s="8">
        <f t="shared" ca="1" si="429"/>
        <v>0</v>
      </c>
      <c r="R866" s="8">
        <f t="shared" ca="1" si="430"/>
        <v>0</v>
      </c>
      <c r="S866" s="8">
        <f t="shared" ca="1" si="431"/>
        <v>0</v>
      </c>
      <c r="T866" s="8">
        <f t="shared" ca="1" si="432"/>
        <v>0</v>
      </c>
      <c r="U866" s="8">
        <f t="shared" ca="1" si="433"/>
        <v>0</v>
      </c>
      <c r="V866" s="8">
        <f t="shared" ca="1" si="434"/>
        <v>0</v>
      </c>
      <c r="W866" s="11" t="str">
        <f t="shared" ca="1" si="435"/>
        <v/>
      </c>
      <c r="X866" s="11" t="str">
        <f t="shared" ca="1" si="436"/>
        <v/>
      </c>
      <c r="Y866" s="11" t="str">
        <f t="shared" ca="1" si="437"/>
        <v/>
      </c>
      <c r="Z866" s="11" t="str">
        <f t="shared" ca="1" si="438"/>
        <v/>
      </c>
      <c r="AA866" s="11" t="str">
        <f t="shared" ca="1" si="439"/>
        <v/>
      </c>
      <c r="AB866" s="47">
        <f ca="1">PlayerGameData[[#This Row],[3FGA]]+PlayerGameData[[#This Row],[2FGA]]</f>
        <v>0</v>
      </c>
      <c r="AC866" s="47">
        <f ca="1">PlayerGameData[[#This Row],[OFF REB]]+PlayerGameData[[#This Row],[DEF REB]]</f>
        <v>0</v>
      </c>
      <c r="AD866" s="8">
        <f t="shared" si="420"/>
        <v>36</v>
      </c>
      <c r="AE866" s="8" t="str">
        <f t="shared" ca="1" si="421"/>
        <v>,  - 0 1/0/1900</v>
      </c>
      <c r="AF866" s="8" t="str">
        <f t="shared" ca="1" si="440"/>
        <v/>
      </c>
      <c r="AG866" s="8" t="str">
        <f ca="1">IFERROR(IF(C866=0,"",IF(AND(VLOOKUP(PlayerGameData[[#This Row],[Opponent]],WYTeamInfo,2,FALSE)=Roster!$D$1,VLOOKUP(PlayerGameData[[#This Row],[Opponent]],WYTeamInfo,3,FALSE)=Roster!$D$2),"SR","")),"")</f>
        <v/>
      </c>
      <c r="AH866" s="8" t="str">
        <f>CONCATENATE(Roster!$D$1," ",Roster!$D$5)</f>
        <v>1A BB</v>
      </c>
      <c r="AI866" s="8" t="str">
        <f t="shared" ca="1" si="422"/>
        <v>Blank</v>
      </c>
      <c r="AJ866" s="8">
        <f ca="1">IFERROR(VLOOKUP(PlayerGameData[[#This Row],[School, Opponent,Game'#]],Table3[],2,FALSE),0)</f>
        <v>0</v>
      </c>
      <c r="AK866" s="8">
        <f ca="1">IF(PlayerGameData[[#This Row],[Visible]]=1,1,1000)</f>
        <v>1000</v>
      </c>
      <c r="AL866" s="8">
        <f ca="1">RANK(PlayerGameData[[#This Row],[TL PTS]],PlayerGameData[TL PTS],0)+PlayerGameData[[#This Row],[VisibleOrder]]</f>
        <v>1184</v>
      </c>
      <c r="AM866" s="8">
        <f ca="1">IF(COUNTIF(PlayerGameData[PointOrder],PlayerGameData[[#This Row],[PointOrder]])&gt;1,RANK(PlayerGameData[[#This Row],[FGA]],PlayerGameData[FGA],0)/100,0)+PlayerGameData[[#This Row],[PointOrder]]</f>
        <v>1186.1400000000001</v>
      </c>
      <c r="AN866" s="8">
        <f ca="1">RANK(PlayerGameData[[#This Row],[PointTieBreak]],PlayerGameData[PointTieBreak],1)</f>
        <v>625</v>
      </c>
      <c r="AO866" s="8">
        <f ca="1">RANK(PlayerGameData[[#This Row],[REB]],PlayerGameData[REB],0)+PlayerGameData[[#This Row],[VisibleOrder]]</f>
        <v>1191</v>
      </c>
      <c r="AP866" s="8">
        <f ca="1">IF(COUNTIF(PlayerGameData[REBOrder],PlayerGameData[[#This Row],[REBOrder]])&gt;1,PlayerGameData[[#This Row],[PointRank]]/100+PlayerGameData[[#This Row],[REBOrder]],PlayerGameData[[#This Row],[REBOrder]])</f>
        <v>1197.25</v>
      </c>
      <c r="AQ866" s="8">
        <f ca="1">RANK(PlayerGameData[[#This Row],[REBTieBreak]],PlayerGameData[REBTieBreak],1)</f>
        <v>625</v>
      </c>
      <c r="AR866" s="8">
        <f ca="1">RANK(PlayerGameData[[#This Row],[AST]],PlayerGameData[AST],0)+PlayerGameData[[#This Row],[VisibleOrder]]</f>
        <v>1157</v>
      </c>
      <c r="AS866" s="8">
        <f ca="1">IF(COUNTIF(PlayerGameData[ASTOrder],PlayerGameData[[#This Row],[ASTOrder]])&gt;1,PlayerGameData[[#This Row],[PointRank]]/100+PlayerGameData[[#This Row],[ASTOrder]],PlayerGameData[[#This Row],[ASTOrder]])</f>
        <v>1163.25</v>
      </c>
      <c r="AT866" s="8">
        <f ca="1">RANK(PlayerGameData[[#This Row],[ASTTieBreak]],PlayerGameData[ASTTieBreak],1)</f>
        <v>625</v>
      </c>
      <c r="AU866" s="8">
        <f ca="1">RANK(PlayerGameData[[#This Row],[STL]],PlayerGameData[STL],0)+PlayerGameData[[#This Row],[VisibleOrder]]</f>
        <v>1142</v>
      </c>
      <c r="AV866" s="8">
        <f ca="1">IF(COUNTIF(PlayerGameData[STLOrder],PlayerGameData[[#This Row],[STLOrder]])&gt;1,PlayerGameData[[#This Row],[PointRank]]/100+PlayerGameData[[#This Row],[STLOrder]],PlayerGameData[[#This Row],[STLOrder]])</f>
        <v>1148.25</v>
      </c>
      <c r="AW866" s="8">
        <f ca="1">RANK(PlayerGameData[[#This Row],[STLTieBreak]],PlayerGameData[STLTieBreak],1)</f>
        <v>625</v>
      </c>
      <c r="AX866" s="8">
        <f ca="1">RANK(PlayerGameData[[#This Row],[BLK]],PlayerGameData[BLK],0)+PlayerGameData[[#This Row],[VisibleOrder]]</f>
        <v>1031</v>
      </c>
      <c r="AY866" s="8">
        <f ca="1">IF(COUNTIF(PlayerGameData[BLKOrder],PlayerGameData[[#This Row],[BLKOrder]])&gt;1,PlayerGameData[[#This Row],[PointRank]]/100+PlayerGameData[[#This Row],[BLKOrder]],PlayerGameData[[#This Row],[BLKOrder]])</f>
        <v>1037.25</v>
      </c>
      <c r="AZ866" s="8">
        <f ca="1">RANK(PlayerGameData[[#This Row],[BLKTieBreak]],PlayerGameData[BLKTieBreak],1)</f>
        <v>625</v>
      </c>
      <c r="BA866" s="11">
        <f ca="1">IFERROR(IF(PlayerGameData[[#This Row],[FGA]]&gt;$AA$5,PlayerGameData[[#This Row],[FG%*]],PlayerGameData[[#This Row],[FG%*]]*-1),-2)</f>
        <v>-2</v>
      </c>
      <c r="BB866" s="8">
        <f ca="1">RANK(PlayerGameData[[#This Row],[EligFG]],PlayerGameData[EligFG],0)+PlayerGameData[[#This Row],[VisibleOrder]]</f>
        <v>1214</v>
      </c>
      <c r="BC866" s="8">
        <f ca="1">IF(COUNTIF(PlayerGameData[EligFGOrder],PlayerGameData[[#This Row],[EligFGOrder]])&gt;1,PlayerGameData[[#This Row],[PointRank]]/100+PlayerGameData[[#This Row],[EligFGOrder]],PlayerGameData[[#This Row],[EligFGOrder]])</f>
        <v>1220.25</v>
      </c>
      <c r="BD866" s="8">
        <f ca="1">RANK(PlayerGameData[[#This Row],[EligFGTieBreak]],PlayerGameData[EligFGTieBreak],1)</f>
        <v>625</v>
      </c>
      <c r="BE866" s="8" t="str">
        <f>Roster!$D$3</f>
        <v>East</v>
      </c>
      <c r="BF866" s="8" t="str">
        <f>Roster!$D$2</f>
        <v>Northeast</v>
      </c>
      <c r="BG866" s="8" t="str">
        <f>Roster!$D$4</f>
        <v>North</v>
      </c>
      <c r="BH866" s="197">
        <f ca="1">IFERROR(VLOOKUP(CONCATENATE(PlayerGameData[[#This Row],[Opponent]]," ",MONTH(PlayerGameData[[#This Row],[Date]]),"/",DAY(PlayerGameData[[#This Row],[Date]]),"/",YEAR(PlayerGameData[[#This Row],[Date]])),Table35[],2,FALSE),0)</f>
        <v>0</v>
      </c>
      <c r="BI866" s="197">
        <f ca="1">IF(PlayerGameData[[#This Row],[Visible]]=1,1,1000)</f>
        <v>1000</v>
      </c>
      <c r="BJ866" s="197" t="e">
        <f ca="1">_xlfn.MAXIFS(TeamGameData[Win],TeamGameData[School, Opponent,Game'#],PlayerGameData[[#This Row],[School, Opponent,Game'#]])</f>
        <v>#NAME?</v>
      </c>
      <c r="BK866" s="197" t="e">
        <f ca="1">_xlfn.MAXIFS(TeamGameData[Loss],TeamGameData[School, Opponent,Game'#],PlayerGameData[[#This Row],[School, Opponent,Game'#]])</f>
        <v>#NAME?</v>
      </c>
    </row>
    <row r="867" spans="1:63" x14ac:dyDescent="0.25">
      <c r="A867" s="8" t="str">
        <f t="shared" ca="1" si="423"/>
        <v xml:space="preserve">, </v>
      </c>
      <c r="B867" s="8" t="str">
        <f>Roster!$B$1</f>
        <v>Upton</v>
      </c>
      <c r="C867" s="8">
        <f t="shared" ca="1" si="411"/>
        <v>0</v>
      </c>
      <c r="D867" s="10">
        <f t="shared" ca="1" si="412"/>
        <v>0</v>
      </c>
      <c r="E867" s="8">
        <f t="shared" ca="1" si="413"/>
        <v>0</v>
      </c>
      <c r="F867" s="8">
        <f t="shared" ca="1" si="414"/>
        <v>0</v>
      </c>
      <c r="G867" s="8">
        <f t="shared" ca="1" si="415"/>
        <v>0</v>
      </c>
      <c r="H867" s="8">
        <f t="shared" ca="1" si="416"/>
        <v>0</v>
      </c>
      <c r="I867" s="8">
        <f t="shared" ca="1" si="417"/>
        <v>0</v>
      </c>
      <c r="J867" s="8">
        <f t="shared" ca="1" si="418"/>
        <v>0</v>
      </c>
      <c r="K867" s="8">
        <f t="shared" ca="1" si="419"/>
        <v>0</v>
      </c>
      <c r="L867" s="8">
        <f t="shared" ca="1" si="424"/>
        <v>0</v>
      </c>
      <c r="M867" s="8">
        <f t="shared" ca="1" si="425"/>
        <v>0</v>
      </c>
      <c r="N867" s="8">
        <f t="shared" ca="1" si="426"/>
        <v>0</v>
      </c>
      <c r="O867" s="8">
        <f t="shared" ca="1" si="427"/>
        <v>0</v>
      </c>
      <c r="P867" s="8">
        <f t="shared" ca="1" si="428"/>
        <v>0</v>
      </c>
      <c r="Q867" s="8">
        <f t="shared" ca="1" si="429"/>
        <v>0</v>
      </c>
      <c r="R867" s="8">
        <f t="shared" ca="1" si="430"/>
        <v>0</v>
      </c>
      <c r="S867" s="8">
        <f t="shared" ca="1" si="431"/>
        <v>0</v>
      </c>
      <c r="T867" s="8">
        <f t="shared" ca="1" si="432"/>
        <v>0</v>
      </c>
      <c r="U867" s="8">
        <f t="shared" ca="1" si="433"/>
        <v>0</v>
      </c>
      <c r="V867" s="8">
        <f t="shared" ca="1" si="434"/>
        <v>0</v>
      </c>
      <c r="W867" s="11" t="str">
        <f t="shared" ca="1" si="435"/>
        <v/>
      </c>
      <c r="X867" s="11" t="str">
        <f t="shared" ca="1" si="436"/>
        <v/>
      </c>
      <c r="Y867" s="11" t="str">
        <f t="shared" ca="1" si="437"/>
        <v/>
      </c>
      <c r="Z867" s="11" t="str">
        <f t="shared" ca="1" si="438"/>
        <v/>
      </c>
      <c r="AA867" s="11" t="str">
        <f t="shared" ca="1" si="439"/>
        <v/>
      </c>
      <c r="AB867" s="47">
        <f ca="1">PlayerGameData[[#This Row],[3FGA]]+PlayerGameData[[#This Row],[2FGA]]</f>
        <v>0</v>
      </c>
      <c r="AC867" s="47">
        <f ca="1">PlayerGameData[[#This Row],[OFF REB]]+PlayerGameData[[#This Row],[DEF REB]]</f>
        <v>0</v>
      </c>
      <c r="AD867" s="8">
        <f t="shared" si="420"/>
        <v>36</v>
      </c>
      <c r="AE867" s="8" t="str">
        <f t="shared" ca="1" si="421"/>
        <v>,  - 0 1/0/1900</v>
      </c>
      <c r="AF867" s="8" t="str">
        <f t="shared" ca="1" si="440"/>
        <v/>
      </c>
      <c r="AG867" s="8" t="str">
        <f ca="1">IFERROR(IF(C867=0,"",IF(AND(VLOOKUP(PlayerGameData[[#This Row],[Opponent]],WYTeamInfo,2,FALSE)=Roster!$D$1,VLOOKUP(PlayerGameData[[#This Row],[Opponent]],WYTeamInfo,3,FALSE)=Roster!$D$2),"SR","")),"")</f>
        <v/>
      </c>
      <c r="AH867" s="8" t="str">
        <f>CONCATENATE(Roster!$D$1," ",Roster!$D$5)</f>
        <v>1A BB</v>
      </c>
      <c r="AI867" s="8" t="str">
        <f t="shared" ca="1" si="422"/>
        <v>Blank</v>
      </c>
      <c r="AJ867" s="8">
        <f ca="1">IFERROR(VLOOKUP(PlayerGameData[[#This Row],[School, Opponent,Game'#]],Table3[],2,FALSE),0)</f>
        <v>0</v>
      </c>
      <c r="AK867" s="8">
        <f ca="1">IF(PlayerGameData[[#This Row],[Visible]]=1,1,1000)</f>
        <v>1000</v>
      </c>
      <c r="AL867" s="8">
        <f ca="1">RANK(PlayerGameData[[#This Row],[TL PTS]],PlayerGameData[TL PTS],0)+PlayerGameData[[#This Row],[VisibleOrder]]</f>
        <v>1184</v>
      </c>
      <c r="AM867" s="8">
        <f ca="1">IF(COUNTIF(PlayerGameData[PointOrder],PlayerGameData[[#This Row],[PointOrder]])&gt;1,RANK(PlayerGameData[[#This Row],[FGA]],PlayerGameData[FGA],0)/100,0)+PlayerGameData[[#This Row],[PointOrder]]</f>
        <v>1186.1400000000001</v>
      </c>
      <c r="AN867" s="8">
        <f ca="1">RANK(PlayerGameData[[#This Row],[PointTieBreak]],PlayerGameData[PointTieBreak],1)</f>
        <v>625</v>
      </c>
      <c r="AO867" s="8">
        <f ca="1">RANK(PlayerGameData[[#This Row],[REB]],PlayerGameData[REB],0)+PlayerGameData[[#This Row],[VisibleOrder]]</f>
        <v>1191</v>
      </c>
      <c r="AP867" s="8">
        <f ca="1">IF(COUNTIF(PlayerGameData[REBOrder],PlayerGameData[[#This Row],[REBOrder]])&gt;1,PlayerGameData[[#This Row],[PointRank]]/100+PlayerGameData[[#This Row],[REBOrder]],PlayerGameData[[#This Row],[REBOrder]])</f>
        <v>1197.25</v>
      </c>
      <c r="AQ867" s="8">
        <f ca="1">RANK(PlayerGameData[[#This Row],[REBTieBreak]],PlayerGameData[REBTieBreak],1)</f>
        <v>625</v>
      </c>
      <c r="AR867" s="8">
        <f ca="1">RANK(PlayerGameData[[#This Row],[AST]],PlayerGameData[AST],0)+PlayerGameData[[#This Row],[VisibleOrder]]</f>
        <v>1157</v>
      </c>
      <c r="AS867" s="8">
        <f ca="1">IF(COUNTIF(PlayerGameData[ASTOrder],PlayerGameData[[#This Row],[ASTOrder]])&gt;1,PlayerGameData[[#This Row],[PointRank]]/100+PlayerGameData[[#This Row],[ASTOrder]],PlayerGameData[[#This Row],[ASTOrder]])</f>
        <v>1163.25</v>
      </c>
      <c r="AT867" s="8">
        <f ca="1">RANK(PlayerGameData[[#This Row],[ASTTieBreak]],PlayerGameData[ASTTieBreak],1)</f>
        <v>625</v>
      </c>
      <c r="AU867" s="8">
        <f ca="1">RANK(PlayerGameData[[#This Row],[STL]],PlayerGameData[STL],0)+PlayerGameData[[#This Row],[VisibleOrder]]</f>
        <v>1142</v>
      </c>
      <c r="AV867" s="8">
        <f ca="1">IF(COUNTIF(PlayerGameData[STLOrder],PlayerGameData[[#This Row],[STLOrder]])&gt;1,PlayerGameData[[#This Row],[PointRank]]/100+PlayerGameData[[#This Row],[STLOrder]],PlayerGameData[[#This Row],[STLOrder]])</f>
        <v>1148.25</v>
      </c>
      <c r="AW867" s="8">
        <f ca="1">RANK(PlayerGameData[[#This Row],[STLTieBreak]],PlayerGameData[STLTieBreak],1)</f>
        <v>625</v>
      </c>
      <c r="AX867" s="8">
        <f ca="1">RANK(PlayerGameData[[#This Row],[BLK]],PlayerGameData[BLK],0)+PlayerGameData[[#This Row],[VisibleOrder]]</f>
        <v>1031</v>
      </c>
      <c r="AY867" s="8">
        <f ca="1">IF(COUNTIF(PlayerGameData[BLKOrder],PlayerGameData[[#This Row],[BLKOrder]])&gt;1,PlayerGameData[[#This Row],[PointRank]]/100+PlayerGameData[[#This Row],[BLKOrder]],PlayerGameData[[#This Row],[BLKOrder]])</f>
        <v>1037.25</v>
      </c>
      <c r="AZ867" s="8">
        <f ca="1">RANK(PlayerGameData[[#This Row],[BLKTieBreak]],PlayerGameData[BLKTieBreak],1)</f>
        <v>625</v>
      </c>
      <c r="BA867" s="11">
        <f ca="1">IFERROR(IF(PlayerGameData[[#This Row],[FGA]]&gt;$AA$5,PlayerGameData[[#This Row],[FG%*]],PlayerGameData[[#This Row],[FG%*]]*-1),-2)</f>
        <v>-2</v>
      </c>
      <c r="BB867" s="8">
        <f ca="1">RANK(PlayerGameData[[#This Row],[EligFG]],PlayerGameData[EligFG],0)+PlayerGameData[[#This Row],[VisibleOrder]]</f>
        <v>1214</v>
      </c>
      <c r="BC867" s="8">
        <f ca="1">IF(COUNTIF(PlayerGameData[EligFGOrder],PlayerGameData[[#This Row],[EligFGOrder]])&gt;1,PlayerGameData[[#This Row],[PointRank]]/100+PlayerGameData[[#This Row],[EligFGOrder]],PlayerGameData[[#This Row],[EligFGOrder]])</f>
        <v>1220.25</v>
      </c>
      <c r="BD867" s="8">
        <f ca="1">RANK(PlayerGameData[[#This Row],[EligFGTieBreak]],PlayerGameData[EligFGTieBreak],1)</f>
        <v>625</v>
      </c>
      <c r="BE867" s="8" t="str">
        <f>Roster!$D$3</f>
        <v>East</v>
      </c>
      <c r="BF867" s="8" t="str">
        <f>Roster!$D$2</f>
        <v>Northeast</v>
      </c>
      <c r="BG867" s="8" t="str">
        <f>Roster!$D$4</f>
        <v>North</v>
      </c>
      <c r="BH867" s="197">
        <f ca="1">IFERROR(VLOOKUP(CONCATENATE(PlayerGameData[[#This Row],[Opponent]]," ",MONTH(PlayerGameData[[#This Row],[Date]]),"/",DAY(PlayerGameData[[#This Row],[Date]]),"/",YEAR(PlayerGameData[[#This Row],[Date]])),Table35[],2,FALSE),0)</f>
        <v>0</v>
      </c>
      <c r="BI867" s="197">
        <f ca="1">IF(PlayerGameData[[#This Row],[Visible]]=1,1,1000)</f>
        <v>1000</v>
      </c>
      <c r="BJ867" s="197" t="e">
        <f ca="1">_xlfn.MAXIFS(TeamGameData[Win],TeamGameData[School, Opponent,Game'#],PlayerGameData[[#This Row],[School, Opponent,Game'#]])</f>
        <v>#NAME?</v>
      </c>
      <c r="BK867" s="197" t="e">
        <f ca="1">_xlfn.MAXIFS(TeamGameData[Loss],TeamGameData[School, Opponent,Game'#],PlayerGameData[[#This Row],[School, Opponent,Game'#]])</f>
        <v>#NAME?</v>
      </c>
    </row>
    <row r="868" spans="1:63" x14ac:dyDescent="0.25">
      <c r="A868" s="8" t="str">
        <f t="shared" ca="1" si="423"/>
        <v xml:space="preserve">, </v>
      </c>
      <c r="B868" s="8" t="str">
        <f>Roster!$B$1</f>
        <v>Upton</v>
      </c>
      <c r="C868" s="8">
        <f t="shared" ca="1" si="411"/>
        <v>0</v>
      </c>
      <c r="D868" s="10">
        <f t="shared" ca="1" si="412"/>
        <v>0</v>
      </c>
      <c r="E868" s="8">
        <f t="shared" ca="1" si="413"/>
        <v>0</v>
      </c>
      <c r="F868" s="8">
        <f t="shared" ca="1" si="414"/>
        <v>0</v>
      </c>
      <c r="G868" s="8">
        <f t="shared" ca="1" si="415"/>
        <v>0</v>
      </c>
      <c r="H868" s="8">
        <f t="shared" ca="1" si="416"/>
        <v>0</v>
      </c>
      <c r="I868" s="8">
        <f t="shared" ca="1" si="417"/>
        <v>0</v>
      </c>
      <c r="J868" s="8">
        <f t="shared" ca="1" si="418"/>
        <v>0</v>
      </c>
      <c r="K868" s="8">
        <f t="shared" ca="1" si="419"/>
        <v>0</v>
      </c>
      <c r="L868" s="8">
        <f t="shared" ca="1" si="424"/>
        <v>0</v>
      </c>
      <c r="M868" s="8">
        <f t="shared" ca="1" si="425"/>
        <v>0</v>
      </c>
      <c r="N868" s="8">
        <f t="shared" ca="1" si="426"/>
        <v>0</v>
      </c>
      <c r="O868" s="8">
        <f t="shared" ca="1" si="427"/>
        <v>0</v>
      </c>
      <c r="P868" s="8">
        <f t="shared" ca="1" si="428"/>
        <v>0</v>
      </c>
      <c r="Q868" s="8">
        <f t="shared" ca="1" si="429"/>
        <v>0</v>
      </c>
      <c r="R868" s="8">
        <f t="shared" ca="1" si="430"/>
        <v>0</v>
      </c>
      <c r="S868" s="8">
        <f t="shared" ca="1" si="431"/>
        <v>0</v>
      </c>
      <c r="T868" s="8">
        <f t="shared" ca="1" si="432"/>
        <v>0</v>
      </c>
      <c r="U868" s="8">
        <f t="shared" ca="1" si="433"/>
        <v>0</v>
      </c>
      <c r="V868" s="8">
        <f t="shared" ca="1" si="434"/>
        <v>0</v>
      </c>
      <c r="W868" s="11" t="str">
        <f t="shared" ca="1" si="435"/>
        <v/>
      </c>
      <c r="X868" s="11" t="str">
        <f t="shared" ca="1" si="436"/>
        <v/>
      </c>
      <c r="Y868" s="11" t="str">
        <f t="shared" ca="1" si="437"/>
        <v/>
      </c>
      <c r="Z868" s="11" t="str">
        <f t="shared" ca="1" si="438"/>
        <v/>
      </c>
      <c r="AA868" s="11" t="str">
        <f t="shared" ca="1" si="439"/>
        <v/>
      </c>
      <c r="AB868" s="47">
        <f ca="1">PlayerGameData[[#This Row],[3FGA]]+PlayerGameData[[#This Row],[2FGA]]</f>
        <v>0</v>
      </c>
      <c r="AC868" s="47">
        <f ca="1">PlayerGameData[[#This Row],[OFF REB]]+PlayerGameData[[#This Row],[DEF REB]]</f>
        <v>0</v>
      </c>
      <c r="AD868" s="8">
        <f t="shared" si="420"/>
        <v>36</v>
      </c>
      <c r="AE868" s="8" t="str">
        <f t="shared" ca="1" si="421"/>
        <v>,  - 0 1/0/1900</v>
      </c>
      <c r="AF868" s="8" t="str">
        <f t="shared" ca="1" si="440"/>
        <v/>
      </c>
      <c r="AG868" s="8" t="str">
        <f ca="1">IFERROR(IF(C868=0,"",IF(AND(VLOOKUP(PlayerGameData[[#This Row],[Opponent]],WYTeamInfo,2,FALSE)=Roster!$D$1,VLOOKUP(PlayerGameData[[#This Row],[Opponent]],WYTeamInfo,3,FALSE)=Roster!$D$2),"SR","")),"")</f>
        <v/>
      </c>
      <c r="AH868" s="8" t="str">
        <f>CONCATENATE(Roster!$D$1," ",Roster!$D$5)</f>
        <v>1A BB</v>
      </c>
      <c r="AI868" s="8" t="str">
        <f t="shared" ca="1" si="422"/>
        <v>Blank</v>
      </c>
      <c r="AJ868" s="8">
        <f ca="1">IFERROR(VLOOKUP(PlayerGameData[[#This Row],[School, Opponent,Game'#]],Table3[],2,FALSE),0)</f>
        <v>0</v>
      </c>
      <c r="AK868" s="8">
        <f ca="1">IF(PlayerGameData[[#This Row],[Visible]]=1,1,1000)</f>
        <v>1000</v>
      </c>
      <c r="AL868" s="8">
        <f ca="1">RANK(PlayerGameData[[#This Row],[TL PTS]],PlayerGameData[TL PTS],0)+PlayerGameData[[#This Row],[VisibleOrder]]</f>
        <v>1184</v>
      </c>
      <c r="AM868" s="8">
        <f ca="1">IF(COUNTIF(PlayerGameData[PointOrder],PlayerGameData[[#This Row],[PointOrder]])&gt;1,RANK(PlayerGameData[[#This Row],[FGA]],PlayerGameData[FGA],0)/100,0)+PlayerGameData[[#This Row],[PointOrder]]</f>
        <v>1186.1400000000001</v>
      </c>
      <c r="AN868" s="8">
        <f ca="1">RANK(PlayerGameData[[#This Row],[PointTieBreak]],PlayerGameData[PointTieBreak],1)</f>
        <v>625</v>
      </c>
      <c r="AO868" s="8">
        <f ca="1">RANK(PlayerGameData[[#This Row],[REB]],PlayerGameData[REB],0)+PlayerGameData[[#This Row],[VisibleOrder]]</f>
        <v>1191</v>
      </c>
      <c r="AP868" s="8">
        <f ca="1">IF(COUNTIF(PlayerGameData[REBOrder],PlayerGameData[[#This Row],[REBOrder]])&gt;1,PlayerGameData[[#This Row],[PointRank]]/100+PlayerGameData[[#This Row],[REBOrder]],PlayerGameData[[#This Row],[REBOrder]])</f>
        <v>1197.25</v>
      </c>
      <c r="AQ868" s="8">
        <f ca="1">RANK(PlayerGameData[[#This Row],[REBTieBreak]],PlayerGameData[REBTieBreak],1)</f>
        <v>625</v>
      </c>
      <c r="AR868" s="8">
        <f ca="1">RANK(PlayerGameData[[#This Row],[AST]],PlayerGameData[AST],0)+PlayerGameData[[#This Row],[VisibleOrder]]</f>
        <v>1157</v>
      </c>
      <c r="AS868" s="8">
        <f ca="1">IF(COUNTIF(PlayerGameData[ASTOrder],PlayerGameData[[#This Row],[ASTOrder]])&gt;1,PlayerGameData[[#This Row],[PointRank]]/100+PlayerGameData[[#This Row],[ASTOrder]],PlayerGameData[[#This Row],[ASTOrder]])</f>
        <v>1163.25</v>
      </c>
      <c r="AT868" s="8">
        <f ca="1">RANK(PlayerGameData[[#This Row],[ASTTieBreak]],PlayerGameData[ASTTieBreak],1)</f>
        <v>625</v>
      </c>
      <c r="AU868" s="8">
        <f ca="1">RANK(PlayerGameData[[#This Row],[STL]],PlayerGameData[STL],0)+PlayerGameData[[#This Row],[VisibleOrder]]</f>
        <v>1142</v>
      </c>
      <c r="AV868" s="8">
        <f ca="1">IF(COUNTIF(PlayerGameData[STLOrder],PlayerGameData[[#This Row],[STLOrder]])&gt;1,PlayerGameData[[#This Row],[PointRank]]/100+PlayerGameData[[#This Row],[STLOrder]],PlayerGameData[[#This Row],[STLOrder]])</f>
        <v>1148.25</v>
      </c>
      <c r="AW868" s="8">
        <f ca="1">RANK(PlayerGameData[[#This Row],[STLTieBreak]],PlayerGameData[STLTieBreak],1)</f>
        <v>625</v>
      </c>
      <c r="AX868" s="8">
        <f ca="1">RANK(PlayerGameData[[#This Row],[BLK]],PlayerGameData[BLK],0)+PlayerGameData[[#This Row],[VisibleOrder]]</f>
        <v>1031</v>
      </c>
      <c r="AY868" s="8">
        <f ca="1">IF(COUNTIF(PlayerGameData[BLKOrder],PlayerGameData[[#This Row],[BLKOrder]])&gt;1,PlayerGameData[[#This Row],[PointRank]]/100+PlayerGameData[[#This Row],[BLKOrder]],PlayerGameData[[#This Row],[BLKOrder]])</f>
        <v>1037.25</v>
      </c>
      <c r="AZ868" s="8">
        <f ca="1">RANK(PlayerGameData[[#This Row],[BLKTieBreak]],PlayerGameData[BLKTieBreak],1)</f>
        <v>625</v>
      </c>
      <c r="BA868" s="11">
        <f ca="1">IFERROR(IF(PlayerGameData[[#This Row],[FGA]]&gt;$AA$5,PlayerGameData[[#This Row],[FG%*]],PlayerGameData[[#This Row],[FG%*]]*-1),-2)</f>
        <v>-2</v>
      </c>
      <c r="BB868" s="8">
        <f ca="1">RANK(PlayerGameData[[#This Row],[EligFG]],PlayerGameData[EligFG],0)+PlayerGameData[[#This Row],[VisibleOrder]]</f>
        <v>1214</v>
      </c>
      <c r="BC868" s="8">
        <f ca="1">IF(COUNTIF(PlayerGameData[EligFGOrder],PlayerGameData[[#This Row],[EligFGOrder]])&gt;1,PlayerGameData[[#This Row],[PointRank]]/100+PlayerGameData[[#This Row],[EligFGOrder]],PlayerGameData[[#This Row],[EligFGOrder]])</f>
        <v>1220.25</v>
      </c>
      <c r="BD868" s="8">
        <f ca="1">RANK(PlayerGameData[[#This Row],[EligFGTieBreak]],PlayerGameData[EligFGTieBreak],1)</f>
        <v>625</v>
      </c>
      <c r="BE868" s="8" t="str">
        <f>Roster!$D$3</f>
        <v>East</v>
      </c>
      <c r="BF868" s="8" t="str">
        <f>Roster!$D$2</f>
        <v>Northeast</v>
      </c>
      <c r="BG868" s="8" t="str">
        <f>Roster!$D$4</f>
        <v>North</v>
      </c>
      <c r="BH868" s="197">
        <f ca="1">IFERROR(VLOOKUP(CONCATENATE(PlayerGameData[[#This Row],[Opponent]]," ",MONTH(PlayerGameData[[#This Row],[Date]]),"/",DAY(PlayerGameData[[#This Row],[Date]]),"/",YEAR(PlayerGameData[[#This Row],[Date]])),Table35[],2,FALSE),0)</f>
        <v>0</v>
      </c>
      <c r="BI868" s="197">
        <f ca="1">IF(PlayerGameData[[#This Row],[Visible]]=1,1,1000)</f>
        <v>1000</v>
      </c>
      <c r="BJ868" s="197" t="e">
        <f ca="1">_xlfn.MAXIFS(TeamGameData[Win],TeamGameData[School, Opponent,Game'#],PlayerGameData[[#This Row],[School, Opponent,Game'#]])</f>
        <v>#NAME?</v>
      </c>
      <c r="BK868" s="197" t="e">
        <f ca="1">_xlfn.MAXIFS(TeamGameData[Loss],TeamGameData[School, Opponent,Game'#],PlayerGameData[[#This Row],[School, Opponent,Game'#]])</f>
        <v>#NAME?</v>
      </c>
    </row>
    <row r="869" spans="1:63" x14ac:dyDescent="0.25">
      <c r="A869" s="8" t="str">
        <f t="shared" ca="1" si="423"/>
        <v xml:space="preserve">, </v>
      </c>
      <c r="B869" s="8" t="str">
        <f>Roster!$B$1</f>
        <v>Upton</v>
      </c>
      <c r="C869" s="8">
        <f t="shared" ca="1" si="411"/>
        <v>0</v>
      </c>
      <c r="D869" s="10">
        <f t="shared" ca="1" si="412"/>
        <v>0</v>
      </c>
      <c r="E869" s="8">
        <f t="shared" ca="1" si="413"/>
        <v>0</v>
      </c>
      <c r="F869" s="8">
        <f t="shared" ca="1" si="414"/>
        <v>0</v>
      </c>
      <c r="G869" s="8">
        <f t="shared" ca="1" si="415"/>
        <v>0</v>
      </c>
      <c r="H869" s="8">
        <f t="shared" ca="1" si="416"/>
        <v>0</v>
      </c>
      <c r="I869" s="8">
        <f t="shared" ca="1" si="417"/>
        <v>0</v>
      </c>
      <c r="J869" s="8">
        <f t="shared" ca="1" si="418"/>
        <v>0</v>
      </c>
      <c r="K869" s="8">
        <f t="shared" ca="1" si="419"/>
        <v>0</v>
      </c>
      <c r="L869" s="8">
        <f t="shared" ca="1" si="424"/>
        <v>0</v>
      </c>
      <c r="M869" s="8">
        <f t="shared" ca="1" si="425"/>
        <v>0</v>
      </c>
      <c r="N869" s="8">
        <f t="shared" ca="1" si="426"/>
        <v>0</v>
      </c>
      <c r="O869" s="8">
        <f t="shared" ca="1" si="427"/>
        <v>0</v>
      </c>
      <c r="P869" s="8">
        <f t="shared" ca="1" si="428"/>
        <v>0</v>
      </c>
      <c r="Q869" s="8">
        <f t="shared" ca="1" si="429"/>
        <v>0</v>
      </c>
      <c r="R869" s="8">
        <f t="shared" ca="1" si="430"/>
        <v>0</v>
      </c>
      <c r="S869" s="8">
        <f t="shared" ca="1" si="431"/>
        <v>0</v>
      </c>
      <c r="T869" s="8">
        <f t="shared" ca="1" si="432"/>
        <v>0</v>
      </c>
      <c r="U869" s="8">
        <f t="shared" ca="1" si="433"/>
        <v>0</v>
      </c>
      <c r="V869" s="8">
        <f t="shared" ca="1" si="434"/>
        <v>0</v>
      </c>
      <c r="W869" s="11" t="str">
        <f t="shared" ca="1" si="435"/>
        <v/>
      </c>
      <c r="X869" s="11" t="str">
        <f t="shared" ca="1" si="436"/>
        <v/>
      </c>
      <c r="Y869" s="11" t="str">
        <f t="shared" ca="1" si="437"/>
        <v/>
      </c>
      <c r="Z869" s="11" t="str">
        <f t="shared" ca="1" si="438"/>
        <v/>
      </c>
      <c r="AA869" s="11" t="str">
        <f t="shared" ca="1" si="439"/>
        <v/>
      </c>
      <c r="AB869" s="47">
        <f ca="1">PlayerGameData[[#This Row],[3FGA]]+PlayerGameData[[#This Row],[2FGA]]</f>
        <v>0</v>
      </c>
      <c r="AC869" s="47">
        <f ca="1">PlayerGameData[[#This Row],[OFF REB]]+PlayerGameData[[#This Row],[DEF REB]]</f>
        <v>0</v>
      </c>
      <c r="AD869" s="8">
        <f t="shared" si="420"/>
        <v>36</v>
      </c>
      <c r="AE869" s="8" t="str">
        <f t="shared" ca="1" si="421"/>
        <v>,  - 0 1/0/1900</v>
      </c>
      <c r="AF869" s="8" t="str">
        <f t="shared" ca="1" si="440"/>
        <v/>
      </c>
      <c r="AG869" s="8" t="str">
        <f ca="1">IFERROR(IF(C869=0,"",IF(AND(VLOOKUP(PlayerGameData[[#This Row],[Opponent]],WYTeamInfo,2,FALSE)=Roster!$D$1,VLOOKUP(PlayerGameData[[#This Row],[Opponent]],WYTeamInfo,3,FALSE)=Roster!$D$2),"SR","")),"")</f>
        <v/>
      </c>
      <c r="AH869" s="8" t="str">
        <f>CONCATENATE(Roster!$D$1," ",Roster!$D$5)</f>
        <v>1A BB</v>
      </c>
      <c r="AI869" s="8" t="str">
        <f t="shared" ca="1" si="422"/>
        <v>Blank</v>
      </c>
      <c r="AJ869" s="8">
        <f ca="1">IFERROR(VLOOKUP(PlayerGameData[[#This Row],[School, Opponent,Game'#]],Table3[],2,FALSE),0)</f>
        <v>0</v>
      </c>
      <c r="AK869" s="8">
        <f ca="1">IF(PlayerGameData[[#This Row],[Visible]]=1,1,1000)</f>
        <v>1000</v>
      </c>
      <c r="AL869" s="8">
        <f ca="1">RANK(PlayerGameData[[#This Row],[TL PTS]],PlayerGameData[TL PTS],0)+PlayerGameData[[#This Row],[VisibleOrder]]</f>
        <v>1184</v>
      </c>
      <c r="AM869" s="8">
        <f ca="1">IF(COUNTIF(PlayerGameData[PointOrder],PlayerGameData[[#This Row],[PointOrder]])&gt;1,RANK(PlayerGameData[[#This Row],[FGA]],PlayerGameData[FGA],0)/100,0)+PlayerGameData[[#This Row],[PointOrder]]</f>
        <v>1186.1400000000001</v>
      </c>
      <c r="AN869" s="8">
        <f ca="1">RANK(PlayerGameData[[#This Row],[PointTieBreak]],PlayerGameData[PointTieBreak],1)</f>
        <v>625</v>
      </c>
      <c r="AO869" s="8">
        <f ca="1">RANK(PlayerGameData[[#This Row],[REB]],PlayerGameData[REB],0)+PlayerGameData[[#This Row],[VisibleOrder]]</f>
        <v>1191</v>
      </c>
      <c r="AP869" s="8">
        <f ca="1">IF(COUNTIF(PlayerGameData[REBOrder],PlayerGameData[[#This Row],[REBOrder]])&gt;1,PlayerGameData[[#This Row],[PointRank]]/100+PlayerGameData[[#This Row],[REBOrder]],PlayerGameData[[#This Row],[REBOrder]])</f>
        <v>1197.25</v>
      </c>
      <c r="AQ869" s="8">
        <f ca="1">RANK(PlayerGameData[[#This Row],[REBTieBreak]],PlayerGameData[REBTieBreak],1)</f>
        <v>625</v>
      </c>
      <c r="AR869" s="8">
        <f ca="1">RANK(PlayerGameData[[#This Row],[AST]],PlayerGameData[AST],0)+PlayerGameData[[#This Row],[VisibleOrder]]</f>
        <v>1157</v>
      </c>
      <c r="AS869" s="8">
        <f ca="1">IF(COUNTIF(PlayerGameData[ASTOrder],PlayerGameData[[#This Row],[ASTOrder]])&gt;1,PlayerGameData[[#This Row],[PointRank]]/100+PlayerGameData[[#This Row],[ASTOrder]],PlayerGameData[[#This Row],[ASTOrder]])</f>
        <v>1163.25</v>
      </c>
      <c r="AT869" s="8">
        <f ca="1">RANK(PlayerGameData[[#This Row],[ASTTieBreak]],PlayerGameData[ASTTieBreak],1)</f>
        <v>625</v>
      </c>
      <c r="AU869" s="8">
        <f ca="1">RANK(PlayerGameData[[#This Row],[STL]],PlayerGameData[STL],0)+PlayerGameData[[#This Row],[VisibleOrder]]</f>
        <v>1142</v>
      </c>
      <c r="AV869" s="8">
        <f ca="1">IF(COUNTIF(PlayerGameData[STLOrder],PlayerGameData[[#This Row],[STLOrder]])&gt;1,PlayerGameData[[#This Row],[PointRank]]/100+PlayerGameData[[#This Row],[STLOrder]],PlayerGameData[[#This Row],[STLOrder]])</f>
        <v>1148.25</v>
      </c>
      <c r="AW869" s="8">
        <f ca="1">RANK(PlayerGameData[[#This Row],[STLTieBreak]],PlayerGameData[STLTieBreak],1)</f>
        <v>625</v>
      </c>
      <c r="AX869" s="8">
        <f ca="1">RANK(PlayerGameData[[#This Row],[BLK]],PlayerGameData[BLK],0)+PlayerGameData[[#This Row],[VisibleOrder]]</f>
        <v>1031</v>
      </c>
      <c r="AY869" s="8">
        <f ca="1">IF(COUNTIF(PlayerGameData[BLKOrder],PlayerGameData[[#This Row],[BLKOrder]])&gt;1,PlayerGameData[[#This Row],[PointRank]]/100+PlayerGameData[[#This Row],[BLKOrder]],PlayerGameData[[#This Row],[BLKOrder]])</f>
        <v>1037.25</v>
      </c>
      <c r="AZ869" s="8">
        <f ca="1">RANK(PlayerGameData[[#This Row],[BLKTieBreak]],PlayerGameData[BLKTieBreak],1)</f>
        <v>625</v>
      </c>
      <c r="BA869" s="11">
        <f ca="1">IFERROR(IF(PlayerGameData[[#This Row],[FGA]]&gt;$AA$5,PlayerGameData[[#This Row],[FG%*]],PlayerGameData[[#This Row],[FG%*]]*-1),-2)</f>
        <v>-2</v>
      </c>
      <c r="BB869" s="8">
        <f ca="1">RANK(PlayerGameData[[#This Row],[EligFG]],PlayerGameData[EligFG],0)+PlayerGameData[[#This Row],[VisibleOrder]]</f>
        <v>1214</v>
      </c>
      <c r="BC869" s="8">
        <f ca="1">IF(COUNTIF(PlayerGameData[EligFGOrder],PlayerGameData[[#This Row],[EligFGOrder]])&gt;1,PlayerGameData[[#This Row],[PointRank]]/100+PlayerGameData[[#This Row],[EligFGOrder]],PlayerGameData[[#This Row],[EligFGOrder]])</f>
        <v>1220.25</v>
      </c>
      <c r="BD869" s="8">
        <f ca="1">RANK(PlayerGameData[[#This Row],[EligFGTieBreak]],PlayerGameData[EligFGTieBreak],1)</f>
        <v>625</v>
      </c>
      <c r="BE869" s="8" t="str">
        <f>Roster!$D$3</f>
        <v>East</v>
      </c>
      <c r="BF869" s="8" t="str">
        <f>Roster!$D$2</f>
        <v>Northeast</v>
      </c>
      <c r="BG869" s="8" t="str">
        <f>Roster!$D$4</f>
        <v>North</v>
      </c>
      <c r="BH869" s="197">
        <f ca="1">IFERROR(VLOOKUP(CONCATENATE(PlayerGameData[[#This Row],[Opponent]]," ",MONTH(PlayerGameData[[#This Row],[Date]]),"/",DAY(PlayerGameData[[#This Row],[Date]]),"/",YEAR(PlayerGameData[[#This Row],[Date]])),Table35[],2,FALSE),0)</f>
        <v>0</v>
      </c>
      <c r="BI869" s="197">
        <f ca="1">IF(PlayerGameData[[#This Row],[Visible]]=1,1,1000)</f>
        <v>1000</v>
      </c>
      <c r="BJ869" s="197" t="e">
        <f ca="1">_xlfn.MAXIFS(TeamGameData[Win],TeamGameData[School, Opponent,Game'#],PlayerGameData[[#This Row],[School, Opponent,Game'#]])</f>
        <v>#NAME?</v>
      </c>
      <c r="BK869" s="197" t="e">
        <f ca="1">_xlfn.MAXIFS(TeamGameData[Loss],TeamGameData[School, Opponent,Game'#],PlayerGameData[[#This Row],[School, Opponent,Game'#]])</f>
        <v>#NAME?</v>
      </c>
    </row>
    <row r="870" spans="1:63" x14ac:dyDescent="0.25">
      <c r="A870" s="8" t="str">
        <f t="shared" ca="1" si="423"/>
        <v xml:space="preserve">Team, </v>
      </c>
      <c r="B870" s="8" t="str">
        <f>Roster!$B$1</f>
        <v>Upton</v>
      </c>
      <c r="C870" s="8">
        <f t="shared" ca="1" si="411"/>
        <v>0</v>
      </c>
      <c r="D870" s="10">
        <f t="shared" ca="1" si="412"/>
        <v>0</v>
      </c>
      <c r="E870" s="8">
        <f t="shared" ca="1" si="413"/>
        <v>0</v>
      </c>
      <c r="F870" s="8">
        <f t="shared" ca="1" si="414"/>
        <v>0</v>
      </c>
      <c r="G870" s="8">
        <f t="shared" ca="1" si="415"/>
        <v>0</v>
      </c>
      <c r="H870" s="8">
        <f t="shared" ca="1" si="416"/>
        <v>0</v>
      </c>
      <c r="I870" s="8">
        <f t="shared" ca="1" si="417"/>
        <v>0</v>
      </c>
      <c r="J870" s="8">
        <f t="shared" ca="1" si="418"/>
        <v>0</v>
      </c>
      <c r="K870" s="8">
        <f t="shared" ca="1" si="419"/>
        <v>0</v>
      </c>
      <c r="L870" s="8">
        <f t="shared" ca="1" si="424"/>
        <v>0</v>
      </c>
      <c r="M870" s="8">
        <f t="shared" ca="1" si="425"/>
        <v>0</v>
      </c>
      <c r="N870" s="8">
        <f t="shared" ca="1" si="426"/>
        <v>0</v>
      </c>
      <c r="O870" s="8">
        <f t="shared" ca="1" si="427"/>
        <v>0</v>
      </c>
      <c r="P870" s="8">
        <f t="shared" ca="1" si="428"/>
        <v>0</v>
      </c>
      <c r="Q870" s="8">
        <f t="shared" ca="1" si="429"/>
        <v>0</v>
      </c>
      <c r="R870" s="8">
        <f t="shared" ca="1" si="430"/>
        <v>0</v>
      </c>
      <c r="S870" s="8">
        <f t="shared" ca="1" si="431"/>
        <v>0</v>
      </c>
      <c r="T870" s="8">
        <f t="shared" ca="1" si="432"/>
        <v>0</v>
      </c>
      <c r="U870" s="8">
        <f t="shared" ca="1" si="433"/>
        <v>0</v>
      </c>
      <c r="V870" s="8">
        <f t="shared" ca="1" si="434"/>
        <v>0</v>
      </c>
      <c r="W870" s="11" t="str">
        <f t="shared" ca="1" si="435"/>
        <v/>
      </c>
      <c r="X870" s="11" t="str">
        <f t="shared" ca="1" si="436"/>
        <v/>
      </c>
      <c r="Y870" s="11" t="str">
        <f t="shared" ca="1" si="437"/>
        <v/>
      </c>
      <c r="Z870" s="11" t="str">
        <f t="shared" ca="1" si="438"/>
        <v/>
      </c>
      <c r="AA870" s="11" t="str">
        <f t="shared" ca="1" si="439"/>
        <v/>
      </c>
      <c r="AB870" s="47">
        <f ca="1">PlayerGameData[[#This Row],[3FGA]]+PlayerGameData[[#This Row],[2FGA]]</f>
        <v>0</v>
      </c>
      <c r="AC870" s="47">
        <f ca="1">PlayerGameData[[#This Row],[OFF REB]]+PlayerGameData[[#This Row],[DEF REB]]</f>
        <v>0</v>
      </c>
      <c r="AD870" s="8">
        <f t="shared" si="420"/>
        <v>36</v>
      </c>
      <c r="AE870" s="8" t="str">
        <f t="shared" ca="1" si="421"/>
        <v>Team,  - 0 1/0/1900</v>
      </c>
      <c r="AF870" s="8" t="str">
        <f t="shared" ca="1" si="440"/>
        <v/>
      </c>
      <c r="AG870" s="8" t="str">
        <f ca="1">IFERROR(IF(C870=0,"",IF(AND(VLOOKUP(PlayerGameData[[#This Row],[Opponent]],WYTeamInfo,2,FALSE)=Roster!$D$1,VLOOKUP(PlayerGameData[[#This Row],[Opponent]],WYTeamInfo,3,FALSE)=Roster!$D$2),"SR","")),"")</f>
        <v/>
      </c>
      <c r="AH870" s="8" t="str">
        <f>CONCATENATE(Roster!$D$1," ",Roster!$D$5)</f>
        <v>1A BB</v>
      </c>
      <c r="AI870" s="8" t="str">
        <f t="shared" ca="1" si="422"/>
        <v>Blank</v>
      </c>
      <c r="AJ870" s="8">
        <f ca="1">IFERROR(VLOOKUP(PlayerGameData[[#This Row],[School, Opponent,Game'#]],Table3[],2,FALSE),0)</f>
        <v>0</v>
      </c>
      <c r="AK870" s="8">
        <f ca="1">IF(PlayerGameData[[#This Row],[Visible]]=1,1,1000)</f>
        <v>1000</v>
      </c>
      <c r="AL870" s="8">
        <f ca="1">RANK(PlayerGameData[[#This Row],[TL PTS]],PlayerGameData[TL PTS],0)+PlayerGameData[[#This Row],[VisibleOrder]]</f>
        <v>1184</v>
      </c>
      <c r="AM870" s="8">
        <f ca="1">IF(COUNTIF(PlayerGameData[PointOrder],PlayerGameData[[#This Row],[PointOrder]])&gt;1,RANK(PlayerGameData[[#This Row],[FGA]],PlayerGameData[FGA],0)/100,0)+PlayerGameData[[#This Row],[PointOrder]]</f>
        <v>1186.1400000000001</v>
      </c>
      <c r="AN870" s="8">
        <f ca="1">RANK(PlayerGameData[[#This Row],[PointTieBreak]],PlayerGameData[PointTieBreak],1)</f>
        <v>625</v>
      </c>
      <c r="AO870" s="8">
        <f ca="1">RANK(PlayerGameData[[#This Row],[REB]],PlayerGameData[REB],0)+PlayerGameData[[#This Row],[VisibleOrder]]</f>
        <v>1191</v>
      </c>
      <c r="AP870" s="8">
        <f ca="1">IF(COUNTIF(PlayerGameData[REBOrder],PlayerGameData[[#This Row],[REBOrder]])&gt;1,PlayerGameData[[#This Row],[PointRank]]/100+PlayerGameData[[#This Row],[REBOrder]],PlayerGameData[[#This Row],[REBOrder]])</f>
        <v>1197.25</v>
      </c>
      <c r="AQ870" s="8">
        <f ca="1">RANK(PlayerGameData[[#This Row],[REBTieBreak]],PlayerGameData[REBTieBreak],1)</f>
        <v>625</v>
      </c>
      <c r="AR870" s="8">
        <f ca="1">RANK(PlayerGameData[[#This Row],[AST]],PlayerGameData[AST],0)+PlayerGameData[[#This Row],[VisibleOrder]]</f>
        <v>1157</v>
      </c>
      <c r="AS870" s="8">
        <f ca="1">IF(COUNTIF(PlayerGameData[ASTOrder],PlayerGameData[[#This Row],[ASTOrder]])&gt;1,PlayerGameData[[#This Row],[PointRank]]/100+PlayerGameData[[#This Row],[ASTOrder]],PlayerGameData[[#This Row],[ASTOrder]])</f>
        <v>1163.25</v>
      </c>
      <c r="AT870" s="8">
        <f ca="1">RANK(PlayerGameData[[#This Row],[ASTTieBreak]],PlayerGameData[ASTTieBreak],1)</f>
        <v>625</v>
      </c>
      <c r="AU870" s="8">
        <f ca="1">RANK(PlayerGameData[[#This Row],[STL]],PlayerGameData[STL],0)+PlayerGameData[[#This Row],[VisibleOrder]]</f>
        <v>1142</v>
      </c>
      <c r="AV870" s="8">
        <f ca="1">IF(COUNTIF(PlayerGameData[STLOrder],PlayerGameData[[#This Row],[STLOrder]])&gt;1,PlayerGameData[[#This Row],[PointRank]]/100+PlayerGameData[[#This Row],[STLOrder]],PlayerGameData[[#This Row],[STLOrder]])</f>
        <v>1148.25</v>
      </c>
      <c r="AW870" s="8">
        <f ca="1">RANK(PlayerGameData[[#This Row],[STLTieBreak]],PlayerGameData[STLTieBreak],1)</f>
        <v>625</v>
      </c>
      <c r="AX870" s="8">
        <f ca="1">RANK(PlayerGameData[[#This Row],[BLK]],PlayerGameData[BLK],0)+PlayerGameData[[#This Row],[VisibleOrder]]</f>
        <v>1031</v>
      </c>
      <c r="AY870" s="8">
        <f ca="1">IF(COUNTIF(PlayerGameData[BLKOrder],PlayerGameData[[#This Row],[BLKOrder]])&gt;1,PlayerGameData[[#This Row],[PointRank]]/100+PlayerGameData[[#This Row],[BLKOrder]],PlayerGameData[[#This Row],[BLKOrder]])</f>
        <v>1037.25</v>
      </c>
      <c r="AZ870" s="8">
        <f ca="1">RANK(PlayerGameData[[#This Row],[BLKTieBreak]],PlayerGameData[BLKTieBreak],1)</f>
        <v>625</v>
      </c>
      <c r="BA870" s="11">
        <f ca="1">IFERROR(IF(PlayerGameData[[#This Row],[FGA]]&gt;$AA$5,PlayerGameData[[#This Row],[FG%*]],PlayerGameData[[#This Row],[FG%*]]*-1),-2)</f>
        <v>-2</v>
      </c>
      <c r="BB870" s="8">
        <f ca="1">RANK(PlayerGameData[[#This Row],[EligFG]],PlayerGameData[EligFG],0)+PlayerGameData[[#This Row],[VisibleOrder]]</f>
        <v>1214</v>
      </c>
      <c r="BC870" s="8">
        <f ca="1">IF(COUNTIF(PlayerGameData[EligFGOrder],PlayerGameData[[#This Row],[EligFGOrder]])&gt;1,PlayerGameData[[#This Row],[PointRank]]/100+PlayerGameData[[#This Row],[EligFGOrder]],PlayerGameData[[#This Row],[EligFGOrder]])</f>
        <v>1220.25</v>
      </c>
      <c r="BD870" s="8">
        <f ca="1">RANK(PlayerGameData[[#This Row],[EligFGTieBreak]],PlayerGameData[EligFGTieBreak],1)</f>
        <v>625</v>
      </c>
      <c r="BE870" s="8" t="str">
        <f>Roster!$D$3</f>
        <v>East</v>
      </c>
      <c r="BF870" s="8" t="str">
        <f>Roster!$D$2</f>
        <v>Northeast</v>
      </c>
      <c r="BG870" s="8" t="str">
        <f>Roster!$D$4</f>
        <v>North</v>
      </c>
      <c r="BH870" s="197">
        <f ca="1">IFERROR(VLOOKUP(CONCATENATE(PlayerGameData[[#This Row],[Opponent]]," ",MONTH(PlayerGameData[[#This Row],[Date]]),"/",DAY(PlayerGameData[[#This Row],[Date]]),"/",YEAR(PlayerGameData[[#This Row],[Date]])),Table35[],2,FALSE),0)</f>
        <v>0</v>
      </c>
      <c r="BI870" s="197">
        <f ca="1">IF(PlayerGameData[[#This Row],[Visible]]=1,1,1000)</f>
        <v>1000</v>
      </c>
      <c r="BJ870" s="197" t="e">
        <f ca="1">_xlfn.MAXIFS(TeamGameData[Win],TeamGameData[School, Opponent,Game'#],PlayerGameData[[#This Row],[School, Opponent,Game'#]])</f>
        <v>#NAME?</v>
      </c>
      <c r="BK870" s="197" t="e">
        <f ca="1">_xlfn.MAXIFS(TeamGameData[Loss],TeamGameData[School, Opponent,Game'#],PlayerGameData[[#This Row],[School, Opponent,Game'#]])</f>
        <v>#NAME?</v>
      </c>
    </row>
    <row r="871" spans="1:63" x14ac:dyDescent="0.25">
      <c r="A871" s="8" t="str">
        <f t="shared" ca="1" si="423"/>
        <v>Landon Butler, 1</v>
      </c>
      <c r="B871" s="8" t="str">
        <f>Roster!$B$1</f>
        <v>Upton</v>
      </c>
      <c r="C871" s="8">
        <f t="shared" ca="1" si="411"/>
        <v>0</v>
      </c>
      <c r="D871" s="10">
        <f t="shared" ca="1" si="412"/>
        <v>0</v>
      </c>
      <c r="E871" s="8">
        <f t="shared" ca="1" si="413"/>
        <v>0</v>
      </c>
      <c r="F871" s="8">
        <f t="shared" ca="1" si="414"/>
        <v>0</v>
      </c>
      <c r="G871" s="8">
        <f t="shared" ca="1" si="415"/>
        <v>0</v>
      </c>
      <c r="H871" s="8">
        <f t="shared" ca="1" si="416"/>
        <v>0</v>
      </c>
      <c r="I871" s="8">
        <f t="shared" ca="1" si="417"/>
        <v>0</v>
      </c>
      <c r="J871" s="8">
        <f t="shared" ca="1" si="418"/>
        <v>0</v>
      </c>
      <c r="K871" s="8">
        <f t="shared" ca="1" si="419"/>
        <v>0</v>
      </c>
      <c r="L871" s="8">
        <f t="shared" ca="1" si="424"/>
        <v>0</v>
      </c>
      <c r="M871" s="8">
        <f t="shared" ca="1" si="425"/>
        <v>0</v>
      </c>
      <c r="N871" s="8">
        <f t="shared" ca="1" si="426"/>
        <v>0</v>
      </c>
      <c r="O871" s="8">
        <f t="shared" ca="1" si="427"/>
        <v>0</v>
      </c>
      <c r="P871" s="8">
        <f t="shared" ca="1" si="428"/>
        <v>0</v>
      </c>
      <c r="Q871" s="8">
        <f t="shared" ca="1" si="429"/>
        <v>0</v>
      </c>
      <c r="R871" s="8">
        <f t="shared" ca="1" si="430"/>
        <v>0</v>
      </c>
      <c r="S871" s="8">
        <f t="shared" ca="1" si="431"/>
        <v>0</v>
      </c>
      <c r="T871" s="8">
        <f t="shared" ca="1" si="432"/>
        <v>0</v>
      </c>
      <c r="U871" s="8">
        <f t="shared" ca="1" si="433"/>
        <v>0</v>
      </c>
      <c r="V871" s="8">
        <f t="shared" ca="1" si="434"/>
        <v>0</v>
      </c>
      <c r="W871" s="11" t="str">
        <f t="shared" ca="1" si="435"/>
        <v/>
      </c>
      <c r="X871" s="11" t="str">
        <f t="shared" ca="1" si="436"/>
        <v/>
      </c>
      <c r="Y871" s="11" t="str">
        <f t="shared" ca="1" si="437"/>
        <v/>
      </c>
      <c r="Z871" s="11" t="str">
        <f t="shared" ca="1" si="438"/>
        <v/>
      </c>
      <c r="AA871" s="11" t="str">
        <f t="shared" ca="1" si="439"/>
        <v/>
      </c>
      <c r="AB871" s="47">
        <f ca="1">PlayerGameData[[#This Row],[3FGA]]+PlayerGameData[[#This Row],[2FGA]]</f>
        <v>0</v>
      </c>
      <c r="AC871" s="47">
        <f ca="1">PlayerGameData[[#This Row],[OFF REB]]+PlayerGameData[[#This Row],[DEF REB]]</f>
        <v>0</v>
      </c>
      <c r="AD871" s="8">
        <f t="shared" si="420"/>
        <v>37</v>
      </c>
      <c r="AE871" s="8" t="str">
        <f t="shared" ca="1" si="421"/>
        <v>Landon Butler, 1 - 0 1/0/1900</v>
      </c>
      <c r="AF871" s="8" t="str">
        <f t="shared" ca="1" si="440"/>
        <v/>
      </c>
      <c r="AG871" s="8" t="str">
        <f ca="1">IFERROR(IF(C871=0,"",IF(AND(VLOOKUP(PlayerGameData[[#This Row],[Opponent]],WYTeamInfo,2,FALSE)=Roster!$D$1,VLOOKUP(PlayerGameData[[#This Row],[Opponent]],WYTeamInfo,3,FALSE)=Roster!$D$2),"SR","")),"")</f>
        <v/>
      </c>
      <c r="AH871" s="8" t="str">
        <f>CONCATENATE(Roster!$D$1," ",Roster!$D$5)</f>
        <v>1A BB</v>
      </c>
      <c r="AI871" s="8" t="str">
        <f t="shared" ca="1" si="422"/>
        <v>Blank</v>
      </c>
      <c r="AJ871" s="8">
        <f ca="1">IFERROR(VLOOKUP(PlayerGameData[[#This Row],[School, Opponent,Game'#]],Table3[],2,FALSE),0)</f>
        <v>0</v>
      </c>
      <c r="AK871" s="8">
        <f ca="1">IF(PlayerGameData[[#This Row],[Visible]]=1,1,1000)</f>
        <v>1000</v>
      </c>
      <c r="AL871" s="8">
        <f ca="1">RANK(PlayerGameData[[#This Row],[TL PTS]],PlayerGameData[TL PTS],0)+PlayerGameData[[#This Row],[VisibleOrder]]</f>
        <v>1184</v>
      </c>
      <c r="AM871" s="8">
        <f ca="1">IF(COUNTIF(PlayerGameData[PointOrder],PlayerGameData[[#This Row],[PointOrder]])&gt;1,RANK(PlayerGameData[[#This Row],[FGA]],PlayerGameData[FGA],0)/100,0)+PlayerGameData[[#This Row],[PointOrder]]</f>
        <v>1186.1400000000001</v>
      </c>
      <c r="AN871" s="8">
        <f ca="1">RANK(PlayerGameData[[#This Row],[PointTieBreak]],PlayerGameData[PointTieBreak],1)</f>
        <v>625</v>
      </c>
      <c r="AO871" s="8">
        <f ca="1">RANK(PlayerGameData[[#This Row],[REB]],PlayerGameData[REB],0)+PlayerGameData[[#This Row],[VisibleOrder]]</f>
        <v>1191</v>
      </c>
      <c r="AP871" s="8">
        <f ca="1">IF(COUNTIF(PlayerGameData[REBOrder],PlayerGameData[[#This Row],[REBOrder]])&gt;1,PlayerGameData[[#This Row],[PointRank]]/100+PlayerGameData[[#This Row],[REBOrder]],PlayerGameData[[#This Row],[REBOrder]])</f>
        <v>1197.25</v>
      </c>
      <c r="AQ871" s="8">
        <f ca="1">RANK(PlayerGameData[[#This Row],[REBTieBreak]],PlayerGameData[REBTieBreak],1)</f>
        <v>625</v>
      </c>
      <c r="AR871" s="8">
        <f ca="1">RANK(PlayerGameData[[#This Row],[AST]],PlayerGameData[AST],0)+PlayerGameData[[#This Row],[VisibleOrder]]</f>
        <v>1157</v>
      </c>
      <c r="AS871" s="8">
        <f ca="1">IF(COUNTIF(PlayerGameData[ASTOrder],PlayerGameData[[#This Row],[ASTOrder]])&gt;1,PlayerGameData[[#This Row],[PointRank]]/100+PlayerGameData[[#This Row],[ASTOrder]],PlayerGameData[[#This Row],[ASTOrder]])</f>
        <v>1163.25</v>
      </c>
      <c r="AT871" s="8">
        <f ca="1">RANK(PlayerGameData[[#This Row],[ASTTieBreak]],PlayerGameData[ASTTieBreak],1)</f>
        <v>625</v>
      </c>
      <c r="AU871" s="8">
        <f ca="1">RANK(PlayerGameData[[#This Row],[STL]],PlayerGameData[STL],0)+PlayerGameData[[#This Row],[VisibleOrder]]</f>
        <v>1142</v>
      </c>
      <c r="AV871" s="8">
        <f ca="1">IF(COUNTIF(PlayerGameData[STLOrder],PlayerGameData[[#This Row],[STLOrder]])&gt;1,PlayerGameData[[#This Row],[PointRank]]/100+PlayerGameData[[#This Row],[STLOrder]],PlayerGameData[[#This Row],[STLOrder]])</f>
        <v>1148.25</v>
      </c>
      <c r="AW871" s="8">
        <f ca="1">RANK(PlayerGameData[[#This Row],[STLTieBreak]],PlayerGameData[STLTieBreak],1)</f>
        <v>625</v>
      </c>
      <c r="AX871" s="8">
        <f ca="1">RANK(PlayerGameData[[#This Row],[BLK]],PlayerGameData[BLK],0)+PlayerGameData[[#This Row],[VisibleOrder]]</f>
        <v>1031</v>
      </c>
      <c r="AY871" s="8">
        <f ca="1">IF(COUNTIF(PlayerGameData[BLKOrder],PlayerGameData[[#This Row],[BLKOrder]])&gt;1,PlayerGameData[[#This Row],[PointRank]]/100+PlayerGameData[[#This Row],[BLKOrder]],PlayerGameData[[#This Row],[BLKOrder]])</f>
        <v>1037.25</v>
      </c>
      <c r="AZ871" s="8">
        <f ca="1">RANK(PlayerGameData[[#This Row],[BLKTieBreak]],PlayerGameData[BLKTieBreak],1)</f>
        <v>625</v>
      </c>
      <c r="BA871" s="11">
        <f ca="1">IFERROR(IF(PlayerGameData[[#This Row],[FGA]]&gt;$AA$5,PlayerGameData[[#This Row],[FG%*]],PlayerGameData[[#This Row],[FG%*]]*-1),-2)</f>
        <v>-2</v>
      </c>
      <c r="BB871" s="8">
        <f ca="1">RANK(PlayerGameData[[#This Row],[EligFG]],PlayerGameData[EligFG],0)+PlayerGameData[[#This Row],[VisibleOrder]]</f>
        <v>1214</v>
      </c>
      <c r="BC871" s="8">
        <f ca="1">IF(COUNTIF(PlayerGameData[EligFGOrder],PlayerGameData[[#This Row],[EligFGOrder]])&gt;1,PlayerGameData[[#This Row],[PointRank]]/100+PlayerGameData[[#This Row],[EligFGOrder]],PlayerGameData[[#This Row],[EligFGOrder]])</f>
        <v>1220.25</v>
      </c>
      <c r="BD871" s="8">
        <f ca="1">RANK(PlayerGameData[[#This Row],[EligFGTieBreak]],PlayerGameData[EligFGTieBreak],1)</f>
        <v>625</v>
      </c>
      <c r="BE871" s="8" t="str">
        <f>Roster!$D$3</f>
        <v>East</v>
      </c>
      <c r="BF871" s="8" t="str">
        <f>Roster!$D$2</f>
        <v>Northeast</v>
      </c>
      <c r="BG871" s="8" t="str">
        <f>Roster!$D$4</f>
        <v>North</v>
      </c>
      <c r="BH871" s="197">
        <f ca="1">IFERROR(VLOOKUP(CONCATENATE(PlayerGameData[[#This Row],[Opponent]]," ",MONTH(PlayerGameData[[#This Row],[Date]]),"/",DAY(PlayerGameData[[#This Row],[Date]]),"/",YEAR(PlayerGameData[[#This Row],[Date]])),Table35[],2,FALSE),0)</f>
        <v>0</v>
      </c>
      <c r="BI871" s="197">
        <f ca="1">IF(PlayerGameData[[#This Row],[Visible]]=1,1,1000)</f>
        <v>1000</v>
      </c>
      <c r="BJ871" s="197" t="e">
        <f ca="1">_xlfn.MAXIFS(TeamGameData[Win],TeamGameData[School, Opponent,Game'#],PlayerGameData[[#This Row],[School, Opponent,Game'#]])</f>
        <v>#NAME?</v>
      </c>
      <c r="BK871" s="197" t="e">
        <f ca="1">_xlfn.MAXIFS(TeamGameData[Loss],TeamGameData[School, Opponent,Game'#],PlayerGameData[[#This Row],[School, Opponent,Game'#]])</f>
        <v>#NAME?</v>
      </c>
    </row>
    <row r="872" spans="1:63" x14ac:dyDescent="0.25">
      <c r="A872" s="8" t="str">
        <f t="shared" ca="1" si="423"/>
        <v>Logan Timberman, 3</v>
      </c>
      <c r="B872" s="8" t="str">
        <f>Roster!$B$1</f>
        <v>Upton</v>
      </c>
      <c r="C872" s="8">
        <f t="shared" ca="1" si="411"/>
        <v>0</v>
      </c>
      <c r="D872" s="10">
        <f t="shared" ca="1" si="412"/>
        <v>0</v>
      </c>
      <c r="E872" s="8">
        <f t="shared" ca="1" si="413"/>
        <v>0</v>
      </c>
      <c r="F872" s="8">
        <f t="shared" ca="1" si="414"/>
        <v>0</v>
      </c>
      <c r="G872" s="8">
        <f t="shared" ca="1" si="415"/>
        <v>0</v>
      </c>
      <c r="H872" s="8">
        <f t="shared" ca="1" si="416"/>
        <v>0</v>
      </c>
      <c r="I872" s="8">
        <f t="shared" ca="1" si="417"/>
        <v>0</v>
      </c>
      <c r="J872" s="8">
        <f t="shared" ca="1" si="418"/>
        <v>0</v>
      </c>
      <c r="K872" s="8">
        <f t="shared" ca="1" si="419"/>
        <v>0</v>
      </c>
      <c r="L872" s="8">
        <f t="shared" ca="1" si="424"/>
        <v>0</v>
      </c>
      <c r="M872" s="8">
        <f t="shared" ca="1" si="425"/>
        <v>0</v>
      </c>
      <c r="N872" s="8">
        <f t="shared" ca="1" si="426"/>
        <v>0</v>
      </c>
      <c r="O872" s="8">
        <f t="shared" ca="1" si="427"/>
        <v>0</v>
      </c>
      <c r="P872" s="8">
        <f t="shared" ca="1" si="428"/>
        <v>0</v>
      </c>
      <c r="Q872" s="8">
        <f t="shared" ca="1" si="429"/>
        <v>0</v>
      </c>
      <c r="R872" s="8">
        <f t="shared" ca="1" si="430"/>
        <v>0</v>
      </c>
      <c r="S872" s="8">
        <f t="shared" ca="1" si="431"/>
        <v>0</v>
      </c>
      <c r="T872" s="8">
        <f t="shared" ca="1" si="432"/>
        <v>0</v>
      </c>
      <c r="U872" s="8">
        <f t="shared" ca="1" si="433"/>
        <v>0</v>
      </c>
      <c r="V872" s="8">
        <f t="shared" ca="1" si="434"/>
        <v>0</v>
      </c>
      <c r="W872" s="11" t="str">
        <f t="shared" ca="1" si="435"/>
        <v/>
      </c>
      <c r="X872" s="11" t="str">
        <f t="shared" ca="1" si="436"/>
        <v/>
      </c>
      <c r="Y872" s="11" t="str">
        <f t="shared" ca="1" si="437"/>
        <v/>
      </c>
      <c r="Z872" s="11" t="str">
        <f t="shared" ca="1" si="438"/>
        <v/>
      </c>
      <c r="AA872" s="11" t="str">
        <f t="shared" ca="1" si="439"/>
        <v/>
      </c>
      <c r="AB872" s="47">
        <f ca="1">PlayerGameData[[#This Row],[3FGA]]+PlayerGameData[[#This Row],[2FGA]]</f>
        <v>0</v>
      </c>
      <c r="AC872" s="47">
        <f ca="1">PlayerGameData[[#This Row],[OFF REB]]+PlayerGameData[[#This Row],[DEF REB]]</f>
        <v>0</v>
      </c>
      <c r="AD872" s="8">
        <f t="shared" si="420"/>
        <v>37</v>
      </c>
      <c r="AE872" s="8" t="str">
        <f t="shared" ca="1" si="421"/>
        <v>Logan Timberman, 3 - 0 1/0/1900</v>
      </c>
      <c r="AF872" s="8" t="str">
        <f t="shared" ca="1" si="440"/>
        <v/>
      </c>
      <c r="AG872" s="8" t="str">
        <f ca="1">IFERROR(IF(C872=0,"",IF(AND(VLOOKUP(PlayerGameData[[#This Row],[Opponent]],WYTeamInfo,2,FALSE)=Roster!$D$1,VLOOKUP(PlayerGameData[[#This Row],[Opponent]],WYTeamInfo,3,FALSE)=Roster!$D$2),"SR","")),"")</f>
        <v/>
      </c>
      <c r="AH872" s="8" t="str">
        <f>CONCATENATE(Roster!$D$1," ",Roster!$D$5)</f>
        <v>1A BB</v>
      </c>
      <c r="AI872" s="8" t="str">
        <f t="shared" ca="1" si="422"/>
        <v>Blank</v>
      </c>
      <c r="AJ872" s="8">
        <f ca="1">IFERROR(VLOOKUP(PlayerGameData[[#This Row],[School, Opponent,Game'#]],Table3[],2,FALSE),0)</f>
        <v>0</v>
      </c>
      <c r="AK872" s="8">
        <f ca="1">IF(PlayerGameData[[#This Row],[Visible]]=1,1,1000)</f>
        <v>1000</v>
      </c>
      <c r="AL872" s="8">
        <f ca="1">RANK(PlayerGameData[[#This Row],[TL PTS]],PlayerGameData[TL PTS],0)+PlayerGameData[[#This Row],[VisibleOrder]]</f>
        <v>1184</v>
      </c>
      <c r="AM872" s="8">
        <f ca="1">IF(COUNTIF(PlayerGameData[PointOrder],PlayerGameData[[#This Row],[PointOrder]])&gt;1,RANK(PlayerGameData[[#This Row],[FGA]],PlayerGameData[FGA],0)/100,0)+PlayerGameData[[#This Row],[PointOrder]]</f>
        <v>1186.1400000000001</v>
      </c>
      <c r="AN872" s="8">
        <f ca="1">RANK(PlayerGameData[[#This Row],[PointTieBreak]],PlayerGameData[PointTieBreak],1)</f>
        <v>625</v>
      </c>
      <c r="AO872" s="8">
        <f ca="1">RANK(PlayerGameData[[#This Row],[REB]],PlayerGameData[REB],0)+PlayerGameData[[#This Row],[VisibleOrder]]</f>
        <v>1191</v>
      </c>
      <c r="AP872" s="8">
        <f ca="1">IF(COUNTIF(PlayerGameData[REBOrder],PlayerGameData[[#This Row],[REBOrder]])&gt;1,PlayerGameData[[#This Row],[PointRank]]/100+PlayerGameData[[#This Row],[REBOrder]],PlayerGameData[[#This Row],[REBOrder]])</f>
        <v>1197.25</v>
      </c>
      <c r="AQ872" s="8">
        <f ca="1">RANK(PlayerGameData[[#This Row],[REBTieBreak]],PlayerGameData[REBTieBreak],1)</f>
        <v>625</v>
      </c>
      <c r="AR872" s="8">
        <f ca="1">RANK(PlayerGameData[[#This Row],[AST]],PlayerGameData[AST],0)+PlayerGameData[[#This Row],[VisibleOrder]]</f>
        <v>1157</v>
      </c>
      <c r="AS872" s="8">
        <f ca="1">IF(COUNTIF(PlayerGameData[ASTOrder],PlayerGameData[[#This Row],[ASTOrder]])&gt;1,PlayerGameData[[#This Row],[PointRank]]/100+PlayerGameData[[#This Row],[ASTOrder]],PlayerGameData[[#This Row],[ASTOrder]])</f>
        <v>1163.25</v>
      </c>
      <c r="AT872" s="8">
        <f ca="1">RANK(PlayerGameData[[#This Row],[ASTTieBreak]],PlayerGameData[ASTTieBreak],1)</f>
        <v>625</v>
      </c>
      <c r="AU872" s="8">
        <f ca="1">RANK(PlayerGameData[[#This Row],[STL]],PlayerGameData[STL],0)+PlayerGameData[[#This Row],[VisibleOrder]]</f>
        <v>1142</v>
      </c>
      <c r="AV872" s="8">
        <f ca="1">IF(COUNTIF(PlayerGameData[STLOrder],PlayerGameData[[#This Row],[STLOrder]])&gt;1,PlayerGameData[[#This Row],[PointRank]]/100+PlayerGameData[[#This Row],[STLOrder]],PlayerGameData[[#This Row],[STLOrder]])</f>
        <v>1148.25</v>
      </c>
      <c r="AW872" s="8">
        <f ca="1">RANK(PlayerGameData[[#This Row],[STLTieBreak]],PlayerGameData[STLTieBreak],1)</f>
        <v>625</v>
      </c>
      <c r="AX872" s="8">
        <f ca="1">RANK(PlayerGameData[[#This Row],[BLK]],PlayerGameData[BLK],0)+PlayerGameData[[#This Row],[VisibleOrder]]</f>
        <v>1031</v>
      </c>
      <c r="AY872" s="8">
        <f ca="1">IF(COUNTIF(PlayerGameData[BLKOrder],PlayerGameData[[#This Row],[BLKOrder]])&gt;1,PlayerGameData[[#This Row],[PointRank]]/100+PlayerGameData[[#This Row],[BLKOrder]],PlayerGameData[[#This Row],[BLKOrder]])</f>
        <v>1037.25</v>
      </c>
      <c r="AZ872" s="8">
        <f ca="1">RANK(PlayerGameData[[#This Row],[BLKTieBreak]],PlayerGameData[BLKTieBreak],1)</f>
        <v>625</v>
      </c>
      <c r="BA872" s="11">
        <f ca="1">IFERROR(IF(PlayerGameData[[#This Row],[FGA]]&gt;$AA$5,PlayerGameData[[#This Row],[FG%*]],PlayerGameData[[#This Row],[FG%*]]*-1),-2)</f>
        <v>-2</v>
      </c>
      <c r="BB872" s="8">
        <f ca="1">RANK(PlayerGameData[[#This Row],[EligFG]],PlayerGameData[EligFG],0)+PlayerGameData[[#This Row],[VisibleOrder]]</f>
        <v>1214</v>
      </c>
      <c r="BC872" s="8">
        <f ca="1">IF(COUNTIF(PlayerGameData[EligFGOrder],PlayerGameData[[#This Row],[EligFGOrder]])&gt;1,PlayerGameData[[#This Row],[PointRank]]/100+PlayerGameData[[#This Row],[EligFGOrder]],PlayerGameData[[#This Row],[EligFGOrder]])</f>
        <v>1220.25</v>
      </c>
      <c r="BD872" s="8">
        <f ca="1">RANK(PlayerGameData[[#This Row],[EligFGTieBreak]],PlayerGameData[EligFGTieBreak],1)</f>
        <v>625</v>
      </c>
      <c r="BE872" s="8" t="str">
        <f>Roster!$D$3</f>
        <v>East</v>
      </c>
      <c r="BF872" s="8" t="str">
        <f>Roster!$D$2</f>
        <v>Northeast</v>
      </c>
      <c r="BG872" s="8" t="str">
        <f>Roster!$D$4</f>
        <v>North</v>
      </c>
      <c r="BH872" s="197">
        <f ca="1">IFERROR(VLOOKUP(CONCATENATE(PlayerGameData[[#This Row],[Opponent]]," ",MONTH(PlayerGameData[[#This Row],[Date]]),"/",DAY(PlayerGameData[[#This Row],[Date]]),"/",YEAR(PlayerGameData[[#This Row],[Date]])),Table35[],2,FALSE),0)</f>
        <v>0</v>
      </c>
      <c r="BI872" s="197">
        <f ca="1">IF(PlayerGameData[[#This Row],[Visible]]=1,1,1000)</f>
        <v>1000</v>
      </c>
      <c r="BJ872" s="197" t="e">
        <f ca="1">_xlfn.MAXIFS(TeamGameData[Win],TeamGameData[School, Opponent,Game'#],PlayerGameData[[#This Row],[School, Opponent,Game'#]])</f>
        <v>#NAME?</v>
      </c>
      <c r="BK872" s="197" t="e">
        <f ca="1">_xlfn.MAXIFS(TeamGameData[Loss],TeamGameData[School, Opponent,Game'#],PlayerGameData[[#This Row],[School, Opponent,Game'#]])</f>
        <v>#NAME?</v>
      </c>
    </row>
    <row r="873" spans="1:63" x14ac:dyDescent="0.25">
      <c r="A873" s="8" t="str">
        <f t="shared" ca="1" si="423"/>
        <v>Chase Mills, 5</v>
      </c>
      <c r="B873" s="8" t="str">
        <f>Roster!$B$1</f>
        <v>Upton</v>
      </c>
      <c r="C873" s="8">
        <f t="shared" ca="1" si="411"/>
        <v>0</v>
      </c>
      <c r="D873" s="10">
        <f t="shared" ca="1" si="412"/>
        <v>0</v>
      </c>
      <c r="E873" s="8">
        <f t="shared" ca="1" si="413"/>
        <v>0</v>
      </c>
      <c r="F873" s="8">
        <f t="shared" ca="1" si="414"/>
        <v>0</v>
      </c>
      <c r="G873" s="8">
        <f t="shared" ca="1" si="415"/>
        <v>0</v>
      </c>
      <c r="H873" s="8">
        <f t="shared" ca="1" si="416"/>
        <v>0</v>
      </c>
      <c r="I873" s="8">
        <f t="shared" ca="1" si="417"/>
        <v>0</v>
      </c>
      <c r="J873" s="8">
        <f t="shared" ca="1" si="418"/>
        <v>0</v>
      </c>
      <c r="K873" s="8">
        <f t="shared" ca="1" si="419"/>
        <v>0</v>
      </c>
      <c r="L873" s="8">
        <f t="shared" ca="1" si="424"/>
        <v>0</v>
      </c>
      <c r="M873" s="8">
        <f t="shared" ca="1" si="425"/>
        <v>0</v>
      </c>
      <c r="N873" s="8">
        <f t="shared" ca="1" si="426"/>
        <v>0</v>
      </c>
      <c r="O873" s="8">
        <f t="shared" ca="1" si="427"/>
        <v>0</v>
      </c>
      <c r="P873" s="8">
        <f t="shared" ca="1" si="428"/>
        <v>0</v>
      </c>
      <c r="Q873" s="8">
        <f t="shared" ca="1" si="429"/>
        <v>0</v>
      </c>
      <c r="R873" s="8">
        <f t="shared" ca="1" si="430"/>
        <v>0</v>
      </c>
      <c r="S873" s="8">
        <f t="shared" ca="1" si="431"/>
        <v>0</v>
      </c>
      <c r="T873" s="8">
        <f t="shared" ca="1" si="432"/>
        <v>0</v>
      </c>
      <c r="U873" s="8">
        <f t="shared" ca="1" si="433"/>
        <v>0</v>
      </c>
      <c r="V873" s="8">
        <f t="shared" ca="1" si="434"/>
        <v>0</v>
      </c>
      <c r="W873" s="11" t="str">
        <f t="shared" ca="1" si="435"/>
        <v/>
      </c>
      <c r="X873" s="11" t="str">
        <f t="shared" ca="1" si="436"/>
        <v/>
      </c>
      <c r="Y873" s="11" t="str">
        <f t="shared" ca="1" si="437"/>
        <v/>
      </c>
      <c r="Z873" s="11" t="str">
        <f t="shared" ca="1" si="438"/>
        <v/>
      </c>
      <c r="AA873" s="11" t="str">
        <f t="shared" ca="1" si="439"/>
        <v/>
      </c>
      <c r="AB873" s="47">
        <f ca="1">PlayerGameData[[#This Row],[3FGA]]+PlayerGameData[[#This Row],[2FGA]]</f>
        <v>0</v>
      </c>
      <c r="AC873" s="47">
        <f ca="1">PlayerGameData[[#This Row],[OFF REB]]+PlayerGameData[[#This Row],[DEF REB]]</f>
        <v>0</v>
      </c>
      <c r="AD873" s="8">
        <f t="shared" si="420"/>
        <v>37</v>
      </c>
      <c r="AE873" s="8" t="str">
        <f t="shared" ca="1" si="421"/>
        <v>Chase Mills, 5 - 0 1/0/1900</v>
      </c>
      <c r="AF873" s="8" t="str">
        <f t="shared" ca="1" si="440"/>
        <v/>
      </c>
      <c r="AG873" s="8" t="str">
        <f ca="1">IFERROR(IF(C873=0,"",IF(AND(VLOOKUP(PlayerGameData[[#This Row],[Opponent]],WYTeamInfo,2,FALSE)=Roster!$D$1,VLOOKUP(PlayerGameData[[#This Row],[Opponent]],WYTeamInfo,3,FALSE)=Roster!$D$2),"SR","")),"")</f>
        <v/>
      </c>
      <c r="AH873" s="8" t="str">
        <f>CONCATENATE(Roster!$D$1," ",Roster!$D$5)</f>
        <v>1A BB</v>
      </c>
      <c r="AI873" s="8" t="str">
        <f t="shared" ca="1" si="422"/>
        <v>Blank</v>
      </c>
      <c r="AJ873" s="8">
        <f ca="1">IFERROR(VLOOKUP(PlayerGameData[[#This Row],[School, Opponent,Game'#]],Table3[],2,FALSE),0)</f>
        <v>0</v>
      </c>
      <c r="AK873" s="8">
        <f ca="1">IF(PlayerGameData[[#This Row],[Visible]]=1,1,1000)</f>
        <v>1000</v>
      </c>
      <c r="AL873" s="8">
        <f ca="1">RANK(PlayerGameData[[#This Row],[TL PTS]],PlayerGameData[TL PTS],0)+PlayerGameData[[#This Row],[VisibleOrder]]</f>
        <v>1184</v>
      </c>
      <c r="AM873" s="8">
        <f ca="1">IF(COUNTIF(PlayerGameData[PointOrder],PlayerGameData[[#This Row],[PointOrder]])&gt;1,RANK(PlayerGameData[[#This Row],[FGA]],PlayerGameData[FGA],0)/100,0)+PlayerGameData[[#This Row],[PointOrder]]</f>
        <v>1186.1400000000001</v>
      </c>
      <c r="AN873" s="8">
        <f ca="1">RANK(PlayerGameData[[#This Row],[PointTieBreak]],PlayerGameData[PointTieBreak],1)</f>
        <v>625</v>
      </c>
      <c r="AO873" s="8">
        <f ca="1">RANK(PlayerGameData[[#This Row],[REB]],PlayerGameData[REB],0)+PlayerGameData[[#This Row],[VisibleOrder]]</f>
        <v>1191</v>
      </c>
      <c r="AP873" s="8">
        <f ca="1">IF(COUNTIF(PlayerGameData[REBOrder],PlayerGameData[[#This Row],[REBOrder]])&gt;1,PlayerGameData[[#This Row],[PointRank]]/100+PlayerGameData[[#This Row],[REBOrder]],PlayerGameData[[#This Row],[REBOrder]])</f>
        <v>1197.25</v>
      </c>
      <c r="AQ873" s="8">
        <f ca="1">RANK(PlayerGameData[[#This Row],[REBTieBreak]],PlayerGameData[REBTieBreak],1)</f>
        <v>625</v>
      </c>
      <c r="AR873" s="8">
        <f ca="1">RANK(PlayerGameData[[#This Row],[AST]],PlayerGameData[AST],0)+PlayerGameData[[#This Row],[VisibleOrder]]</f>
        <v>1157</v>
      </c>
      <c r="AS873" s="8">
        <f ca="1">IF(COUNTIF(PlayerGameData[ASTOrder],PlayerGameData[[#This Row],[ASTOrder]])&gt;1,PlayerGameData[[#This Row],[PointRank]]/100+PlayerGameData[[#This Row],[ASTOrder]],PlayerGameData[[#This Row],[ASTOrder]])</f>
        <v>1163.25</v>
      </c>
      <c r="AT873" s="8">
        <f ca="1">RANK(PlayerGameData[[#This Row],[ASTTieBreak]],PlayerGameData[ASTTieBreak],1)</f>
        <v>625</v>
      </c>
      <c r="AU873" s="8">
        <f ca="1">RANK(PlayerGameData[[#This Row],[STL]],PlayerGameData[STL],0)+PlayerGameData[[#This Row],[VisibleOrder]]</f>
        <v>1142</v>
      </c>
      <c r="AV873" s="8">
        <f ca="1">IF(COUNTIF(PlayerGameData[STLOrder],PlayerGameData[[#This Row],[STLOrder]])&gt;1,PlayerGameData[[#This Row],[PointRank]]/100+PlayerGameData[[#This Row],[STLOrder]],PlayerGameData[[#This Row],[STLOrder]])</f>
        <v>1148.25</v>
      </c>
      <c r="AW873" s="8">
        <f ca="1">RANK(PlayerGameData[[#This Row],[STLTieBreak]],PlayerGameData[STLTieBreak],1)</f>
        <v>625</v>
      </c>
      <c r="AX873" s="8">
        <f ca="1">RANK(PlayerGameData[[#This Row],[BLK]],PlayerGameData[BLK],0)+PlayerGameData[[#This Row],[VisibleOrder]]</f>
        <v>1031</v>
      </c>
      <c r="AY873" s="8">
        <f ca="1">IF(COUNTIF(PlayerGameData[BLKOrder],PlayerGameData[[#This Row],[BLKOrder]])&gt;1,PlayerGameData[[#This Row],[PointRank]]/100+PlayerGameData[[#This Row],[BLKOrder]],PlayerGameData[[#This Row],[BLKOrder]])</f>
        <v>1037.25</v>
      </c>
      <c r="AZ873" s="8">
        <f ca="1">RANK(PlayerGameData[[#This Row],[BLKTieBreak]],PlayerGameData[BLKTieBreak],1)</f>
        <v>625</v>
      </c>
      <c r="BA873" s="11">
        <f ca="1">IFERROR(IF(PlayerGameData[[#This Row],[FGA]]&gt;$AA$5,PlayerGameData[[#This Row],[FG%*]],PlayerGameData[[#This Row],[FG%*]]*-1),-2)</f>
        <v>-2</v>
      </c>
      <c r="BB873" s="8">
        <f ca="1">RANK(PlayerGameData[[#This Row],[EligFG]],PlayerGameData[EligFG],0)+PlayerGameData[[#This Row],[VisibleOrder]]</f>
        <v>1214</v>
      </c>
      <c r="BC873" s="8">
        <f ca="1">IF(COUNTIF(PlayerGameData[EligFGOrder],PlayerGameData[[#This Row],[EligFGOrder]])&gt;1,PlayerGameData[[#This Row],[PointRank]]/100+PlayerGameData[[#This Row],[EligFGOrder]],PlayerGameData[[#This Row],[EligFGOrder]])</f>
        <v>1220.25</v>
      </c>
      <c r="BD873" s="8">
        <f ca="1">RANK(PlayerGameData[[#This Row],[EligFGTieBreak]],PlayerGameData[EligFGTieBreak],1)</f>
        <v>625</v>
      </c>
      <c r="BE873" s="8" t="str">
        <f>Roster!$D$3</f>
        <v>East</v>
      </c>
      <c r="BF873" s="8" t="str">
        <f>Roster!$D$2</f>
        <v>Northeast</v>
      </c>
      <c r="BG873" s="8" t="str">
        <f>Roster!$D$4</f>
        <v>North</v>
      </c>
      <c r="BH873" s="197">
        <f ca="1">IFERROR(VLOOKUP(CONCATENATE(PlayerGameData[[#This Row],[Opponent]]," ",MONTH(PlayerGameData[[#This Row],[Date]]),"/",DAY(PlayerGameData[[#This Row],[Date]]),"/",YEAR(PlayerGameData[[#This Row],[Date]])),Table35[],2,FALSE),0)</f>
        <v>0</v>
      </c>
      <c r="BI873" s="197">
        <f ca="1">IF(PlayerGameData[[#This Row],[Visible]]=1,1,1000)</f>
        <v>1000</v>
      </c>
      <c r="BJ873" s="197" t="e">
        <f ca="1">_xlfn.MAXIFS(TeamGameData[Win],TeamGameData[School, Opponent,Game'#],PlayerGameData[[#This Row],[School, Opponent,Game'#]])</f>
        <v>#NAME?</v>
      </c>
      <c r="BK873" s="197" t="e">
        <f ca="1">_xlfn.MAXIFS(TeamGameData[Loss],TeamGameData[School, Opponent,Game'#],PlayerGameData[[#This Row],[School, Opponent,Game'#]])</f>
        <v>#NAME?</v>
      </c>
    </row>
    <row r="874" spans="1:63" x14ac:dyDescent="0.25">
      <c r="A874" s="8" t="str">
        <f t="shared" ca="1" si="423"/>
        <v>Rhett Watt, 10</v>
      </c>
      <c r="B874" s="8" t="str">
        <f>Roster!$B$1</f>
        <v>Upton</v>
      </c>
      <c r="C874" s="8">
        <f t="shared" ca="1" si="411"/>
        <v>0</v>
      </c>
      <c r="D874" s="10">
        <f t="shared" ca="1" si="412"/>
        <v>0</v>
      </c>
      <c r="E874" s="8">
        <f t="shared" ca="1" si="413"/>
        <v>0</v>
      </c>
      <c r="F874" s="8">
        <f t="shared" ca="1" si="414"/>
        <v>0</v>
      </c>
      <c r="G874" s="8">
        <f t="shared" ca="1" si="415"/>
        <v>0</v>
      </c>
      <c r="H874" s="8">
        <f t="shared" ca="1" si="416"/>
        <v>0</v>
      </c>
      <c r="I874" s="8">
        <f t="shared" ca="1" si="417"/>
        <v>0</v>
      </c>
      <c r="J874" s="8">
        <f t="shared" ca="1" si="418"/>
        <v>0</v>
      </c>
      <c r="K874" s="8">
        <f t="shared" ca="1" si="419"/>
        <v>0</v>
      </c>
      <c r="L874" s="8">
        <f t="shared" ca="1" si="424"/>
        <v>0</v>
      </c>
      <c r="M874" s="8">
        <f t="shared" ca="1" si="425"/>
        <v>0</v>
      </c>
      <c r="N874" s="8">
        <f t="shared" ca="1" si="426"/>
        <v>0</v>
      </c>
      <c r="O874" s="8">
        <f t="shared" ca="1" si="427"/>
        <v>0</v>
      </c>
      <c r="P874" s="8">
        <f t="shared" ca="1" si="428"/>
        <v>0</v>
      </c>
      <c r="Q874" s="8">
        <f t="shared" ca="1" si="429"/>
        <v>0</v>
      </c>
      <c r="R874" s="8">
        <f t="shared" ca="1" si="430"/>
        <v>0</v>
      </c>
      <c r="S874" s="8">
        <f t="shared" ca="1" si="431"/>
        <v>0</v>
      </c>
      <c r="T874" s="8">
        <f t="shared" ca="1" si="432"/>
        <v>0</v>
      </c>
      <c r="U874" s="8">
        <f t="shared" ca="1" si="433"/>
        <v>0</v>
      </c>
      <c r="V874" s="8">
        <f t="shared" ca="1" si="434"/>
        <v>0</v>
      </c>
      <c r="W874" s="11" t="str">
        <f t="shared" ca="1" si="435"/>
        <v/>
      </c>
      <c r="X874" s="11" t="str">
        <f t="shared" ca="1" si="436"/>
        <v/>
      </c>
      <c r="Y874" s="11" t="str">
        <f t="shared" ca="1" si="437"/>
        <v/>
      </c>
      <c r="Z874" s="11" t="str">
        <f t="shared" ca="1" si="438"/>
        <v/>
      </c>
      <c r="AA874" s="11" t="str">
        <f t="shared" ca="1" si="439"/>
        <v/>
      </c>
      <c r="AB874" s="47">
        <f ca="1">PlayerGameData[[#This Row],[3FGA]]+PlayerGameData[[#This Row],[2FGA]]</f>
        <v>0</v>
      </c>
      <c r="AC874" s="47">
        <f ca="1">PlayerGameData[[#This Row],[OFF REB]]+PlayerGameData[[#This Row],[DEF REB]]</f>
        <v>0</v>
      </c>
      <c r="AD874" s="8">
        <f t="shared" si="420"/>
        <v>37</v>
      </c>
      <c r="AE874" s="8" t="str">
        <f t="shared" ca="1" si="421"/>
        <v>Rhett Watt, 10 - 0 1/0/1900</v>
      </c>
      <c r="AF874" s="8" t="str">
        <f t="shared" ca="1" si="440"/>
        <v/>
      </c>
      <c r="AG874" s="8" t="str">
        <f ca="1">IFERROR(IF(C874=0,"",IF(AND(VLOOKUP(PlayerGameData[[#This Row],[Opponent]],WYTeamInfo,2,FALSE)=Roster!$D$1,VLOOKUP(PlayerGameData[[#This Row],[Opponent]],WYTeamInfo,3,FALSE)=Roster!$D$2),"SR","")),"")</f>
        <v/>
      </c>
      <c r="AH874" s="8" t="str">
        <f>CONCATENATE(Roster!$D$1," ",Roster!$D$5)</f>
        <v>1A BB</v>
      </c>
      <c r="AI874" s="8" t="str">
        <f t="shared" ca="1" si="422"/>
        <v>Blank</v>
      </c>
      <c r="AJ874" s="8">
        <f ca="1">IFERROR(VLOOKUP(PlayerGameData[[#This Row],[School, Opponent,Game'#]],Table3[],2,FALSE),0)</f>
        <v>0</v>
      </c>
      <c r="AK874" s="8">
        <f ca="1">IF(PlayerGameData[[#This Row],[Visible]]=1,1,1000)</f>
        <v>1000</v>
      </c>
      <c r="AL874" s="8">
        <f ca="1">RANK(PlayerGameData[[#This Row],[TL PTS]],PlayerGameData[TL PTS],0)+PlayerGameData[[#This Row],[VisibleOrder]]</f>
        <v>1184</v>
      </c>
      <c r="AM874" s="8">
        <f ca="1">IF(COUNTIF(PlayerGameData[PointOrder],PlayerGameData[[#This Row],[PointOrder]])&gt;1,RANK(PlayerGameData[[#This Row],[FGA]],PlayerGameData[FGA],0)/100,0)+PlayerGameData[[#This Row],[PointOrder]]</f>
        <v>1186.1400000000001</v>
      </c>
      <c r="AN874" s="8">
        <f ca="1">RANK(PlayerGameData[[#This Row],[PointTieBreak]],PlayerGameData[PointTieBreak],1)</f>
        <v>625</v>
      </c>
      <c r="AO874" s="8">
        <f ca="1">RANK(PlayerGameData[[#This Row],[REB]],PlayerGameData[REB],0)+PlayerGameData[[#This Row],[VisibleOrder]]</f>
        <v>1191</v>
      </c>
      <c r="AP874" s="8">
        <f ca="1">IF(COUNTIF(PlayerGameData[REBOrder],PlayerGameData[[#This Row],[REBOrder]])&gt;1,PlayerGameData[[#This Row],[PointRank]]/100+PlayerGameData[[#This Row],[REBOrder]],PlayerGameData[[#This Row],[REBOrder]])</f>
        <v>1197.25</v>
      </c>
      <c r="AQ874" s="8">
        <f ca="1">RANK(PlayerGameData[[#This Row],[REBTieBreak]],PlayerGameData[REBTieBreak],1)</f>
        <v>625</v>
      </c>
      <c r="AR874" s="8">
        <f ca="1">RANK(PlayerGameData[[#This Row],[AST]],PlayerGameData[AST],0)+PlayerGameData[[#This Row],[VisibleOrder]]</f>
        <v>1157</v>
      </c>
      <c r="AS874" s="8">
        <f ca="1">IF(COUNTIF(PlayerGameData[ASTOrder],PlayerGameData[[#This Row],[ASTOrder]])&gt;1,PlayerGameData[[#This Row],[PointRank]]/100+PlayerGameData[[#This Row],[ASTOrder]],PlayerGameData[[#This Row],[ASTOrder]])</f>
        <v>1163.25</v>
      </c>
      <c r="AT874" s="8">
        <f ca="1">RANK(PlayerGameData[[#This Row],[ASTTieBreak]],PlayerGameData[ASTTieBreak],1)</f>
        <v>625</v>
      </c>
      <c r="AU874" s="8">
        <f ca="1">RANK(PlayerGameData[[#This Row],[STL]],PlayerGameData[STL],0)+PlayerGameData[[#This Row],[VisibleOrder]]</f>
        <v>1142</v>
      </c>
      <c r="AV874" s="8">
        <f ca="1">IF(COUNTIF(PlayerGameData[STLOrder],PlayerGameData[[#This Row],[STLOrder]])&gt;1,PlayerGameData[[#This Row],[PointRank]]/100+PlayerGameData[[#This Row],[STLOrder]],PlayerGameData[[#This Row],[STLOrder]])</f>
        <v>1148.25</v>
      </c>
      <c r="AW874" s="8">
        <f ca="1">RANK(PlayerGameData[[#This Row],[STLTieBreak]],PlayerGameData[STLTieBreak],1)</f>
        <v>625</v>
      </c>
      <c r="AX874" s="8">
        <f ca="1">RANK(PlayerGameData[[#This Row],[BLK]],PlayerGameData[BLK],0)+PlayerGameData[[#This Row],[VisibleOrder]]</f>
        <v>1031</v>
      </c>
      <c r="AY874" s="8">
        <f ca="1">IF(COUNTIF(PlayerGameData[BLKOrder],PlayerGameData[[#This Row],[BLKOrder]])&gt;1,PlayerGameData[[#This Row],[PointRank]]/100+PlayerGameData[[#This Row],[BLKOrder]],PlayerGameData[[#This Row],[BLKOrder]])</f>
        <v>1037.25</v>
      </c>
      <c r="AZ874" s="8">
        <f ca="1">RANK(PlayerGameData[[#This Row],[BLKTieBreak]],PlayerGameData[BLKTieBreak],1)</f>
        <v>625</v>
      </c>
      <c r="BA874" s="11">
        <f ca="1">IFERROR(IF(PlayerGameData[[#This Row],[FGA]]&gt;$AA$5,PlayerGameData[[#This Row],[FG%*]],PlayerGameData[[#This Row],[FG%*]]*-1),-2)</f>
        <v>-2</v>
      </c>
      <c r="BB874" s="8">
        <f ca="1">RANK(PlayerGameData[[#This Row],[EligFG]],PlayerGameData[EligFG],0)+PlayerGameData[[#This Row],[VisibleOrder]]</f>
        <v>1214</v>
      </c>
      <c r="BC874" s="8">
        <f ca="1">IF(COUNTIF(PlayerGameData[EligFGOrder],PlayerGameData[[#This Row],[EligFGOrder]])&gt;1,PlayerGameData[[#This Row],[PointRank]]/100+PlayerGameData[[#This Row],[EligFGOrder]],PlayerGameData[[#This Row],[EligFGOrder]])</f>
        <v>1220.25</v>
      </c>
      <c r="BD874" s="8">
        <f ca="1">RANK(PlayerGameData[[#This Row],[EligFGTieBreak]],PlayerGameData[EligFGTieBreak],1)</f>
        <v>625</v>
      </c>
      <c r="BE874" s="8" t="str">
        <f>Roster!$D$3</f>
        <v>East</v>
      </c>
      <c r="BF874" s="8" t="str">
        <f>Roster!$D$2</f>
        <v>Northeast</v>
      </c>
      <c r="BG874" s="8" t="str">
        <f>Roster!$D$4</f>
        <v>North</v>
      </c>
      <c r="BH874" s="197">
        <f ca="1">IFERROR(VLOOKUP(CONCATENATE(PlayerGameData[[#This Row],[Opponent]]," ",MONTH(PlayerGameData[[#This Row],[Date]]),"/",DAY(PlayerGameData[[#This Row],[Date]]),"/",YEAR(PlayerGameData[[#This Row],[Date]])),Table35[],2,FALSE),0)</f>
        <v>0</v>
      </c>
      <c r="BI874" s="197">
        <f ca="1">IF(PlayerGameData[[#This Row],[Visible]]=1,1,1000)</f>
        <v>1000</v>
      </c>
      <c r="BJ874" s="197" t="e">
        <f ca="1">_xlfn.MAXIFS(TeamGameData[Win],TeamGameData[School, Opponent,Game'#],PlayerGameData[[#This Row],[School, Opponent,Game'#]])</f>
        <v>#NAME?</v>
      </c>
      <c r="BK874" s="197" t="e">
        <f ca="1">_xlfn.MAXIFS(TeamGameData[Loss],TeamGameData[School, Opponent,Game'#],PlayerGameData[[#This Row],[School, Opponent,Game'#]])</f>
        <v>#NAME?</v>
      </c>
    </row>
    <row r="875" spans="1:63" x14ac:dyDescent="0.25">
      <c r="A875" s="8" t="str">
        <f t="shared" ca="1" si="423"/>
        <v>Keith Coburn, 11</v>
      </c>
      <c r="B875" s="8" t="str">
        <f>Roster!$B$1</f>
        <v>Upton</v>
      </c>
      <c r="C875" s="8">
        <f t="shared" ca="1" si="411"/>
        <v>0</v>
      </c>
      <c r="D875" s="10">
        <f t="shared" ca="1" si="412"/>
        <v>0</v>
      </c>
      <c r="E875" s="8">
        <f t="shared" ca="1" si="413"/>
        <v>0</v>
      </c>
      <c r="F875" s="8">
        <f t="shared" ca="1" si="414"/>
        <v>0</v>
      </c>
      <c r="G875" s="8">
        <f t="shared" ca="1" si="415"/>
        <v>0</v>
      </c>
      <c r="H875" s="8">
        <f t="shared" ca="1" si="416"/>
        <v>0</v>
      </c>
      <c r="I875" s="8">
        <f t="shared" ca="1" si="417"/>
        <v>0</v>
      </c>
      <c r="J875" s="8">
        <f t="shared" ca="1" si="418"/>
        <v>0</v>
      </c>
      <c r="K875" s="8">
        <f t="shared" ca="1" si="419"/>
        <v>0</v>
      </c>
      <c r="L875" s="8">
        <f t="shared" ca="1" si="424"/>
        <v>0</v>
      </c>
      <c r="M875" s="8">
        <f t="shared" ca="1" si="425"/>
        <v>0</v>
      </c>
      <c r="N875" s="8">
        <f t="shared" ca="1" si="426"/>
        <v>0</v>
      </c>
      <c r="O875" s="8">
        <f t="shared" ca="1" si="427"/>
        <v>0</v>
      </c>
      <c r="P875" s="8">
        <f t="shared" ca="1" si="428"/>
        <v>0</v>
      </c>
      <c r="Q875" s="8">
        <f t="shared" ca="1" si="429"/>
        <v>0</v>
      </c>
      <c r="R875" s="8">
        <f t="shared" ca="1" si="430"/>
        <v>0</v>
      </c>
      <c r="S875" s="8">
        <f t="shared" ca="1" si="431"/>
        <v>0</v>
      </c>
      <c r="T875" s="8">
        <f t="shared" ca="1" si="432"/>
        <v>0</v>
      </c>
      <c r="U875" s="8">
        <f t="shared" ca="1" si="433"/>
        <v>0</v>
      </c>
      <c r="V875" s="8">
        <f t="shared" ca="1" si="434"/>
        <v>0</v>
      </c>
      <c r="W875" s="11" t="str">
        <f t="shared" ca="1" si="435"/>
        <v/>
      </c>
      <c r="X875" s="11" t="str">
        <f t="shared" ca="1" si="436"/>
        <v/>
      </c>
      <c r="Y875" s="11" t="str">
        <f t="shared" ca="1" si="437"/>
        <v/>
      </c>
      <c r="Z875" s="11" t="str">
        <f t="shared" ca="1" si="438"/>
        <v/>
      </c>
      <c r="AA875" s="11" t="str">
        <f t="shared" ca="1" si="439"/>
        <v/>
      </c>
      <c r="AB875" s="47">
        <f ca="1">PlayerGameData[[#This Row],[3FGA]]+PlayerGameData[[#This Row],[2FGA]]</f>
        <v>0</v>
      </c>
      <c r="AC875" s="47">
        <f ca="1">PlayerGameData[[#This Row],[OFF REB]]+PlayerGameData[[#This Row],[DEF REB]]</f>
        <v>0</v>
      </c>
      <c r="AD875" s="8">
        <f t="shared" si="420"/>
        <v>37</v>
      </c>
      <c r="AE875" s="8" t="str">
        <f t="shared" ca="1" si="421"/>
        <v>Keith Coburn, 11 - 0 1/0/1900</v>
      </c>
      <c r="AF875" s="8" t="str">
        <f t="shared" ca="1" si="440"/>
        <v/>
      </c>
      <c r="AG875" s="8" t="str">
        <f ca="1">IFERROR(IF(C875=0,"",IF(AND(VLOOKUP(PlayerGameData[[#This Row],[Opponent]],WYTeamInfo,2,FALSE)=Roster!$D$1,VLOOKUP(PlayerGameData[[#This Row],[Opponent]],WYTeamInfo,3,FALSE)=Roster!$D$2),"SR","")),"")</f>
        <v/>
      </c>
      <c r="AH875" s="8" t="str">
        <f>CONCATENATE(Roster!$D$1," ",Roster!$D$5)</f>
        <v>1A BB</v>
      </c>
      <c r="AI875" s="8" t="str">
        <f t="shared" ca="1" si="422"/>
        <v>Blank</v>
      </c>
      <c r="AJ875" s="8">
        <f ca="1">IFERROR(VLOOKUP(PlayerGameData[[#This Row],[School, Opponent,Game'#]],Table3[],2,FALSE),0)</f>
        <v>0</v>
      </c>
      <c r="AK875" s="8">
        <f ca="1">IF(PlayerGameData[[#This Row],[Visible]]=1,1,1000)</f>
        <v>1000</v>
      </c>
      <c r="AL875" s="8">
        <f ca="1">RANK(PlayerGameData[[#This Row],[TL PTS]],PlayerGameData[TL PTS],0)+PlayerGameData[[#This Row],[VisibleOrder]]</f>
        <v>1184</v>
      </c>
      <c r="AM875" s="8">
        <f ca="1">IF(COUNTIF(PlayerGameData[PointOrder],PlayerGameData[[#This Row],[PointOrder]])&gt;1,RANK(PlayerGameData[[#This Row],[FGA]],PlayerGameData[FGA],0)/100,0)+PlayerGameData[[#This Row],[PointOrder]]</f>
        <v>1186.1400000000001</v>
      </c>
      <c r="AN875" s="8">
        <f ca="1">RANK(PlayerGameData[[#This Row],[PointTieBreak]],PlayerGameData[PointTieBreak],1)</f>
        <v>625</v>
      </c>
      <c r="AO875" s="8">
        <f ca="1">RANK(PlayerGameData[[#This Row],[REB]],PlayerGameData[REB],0)+PlayerGameData[[#This Row],[VisibleOrder]]</f>
        <v>1191</v>
      </c>
      <c r="AP875" s="8">
        <f ca="1">IF(COUNTIF(PlayerGameData[REBOrder],PlayerGameData[[#This Row],[REBOrder]])&gt;1,PlayerGameData[[#This Row],[PointRank]]/100+PlayerGameData[[#This Row],[REBOrder]],PlayerGameData[[#This Row],[REBOrder]])</f>
        <v>1197.25</v>
      </c>
      <c r="AQ875" s="8">
        <f ca="1">RANK(PlayerGameData[[#This Row],[REBTieBreak]],PlayerGameData[REBTieBreak],1)</f>
        <v>625</v>
      </c>
      <c r="AR875" s="8">
        <f ca="1">RANK(PlayerGameData[[#This Row],[AST]],PlayerGameData[AST],0)+PlayerGameData[[#This Row],[VisibleOrder]]</f>
        <v>1157</v>
      </c>
      <c r="AS875" s="8">
        <f ca="1">IF(COUNTIF(PlayerGameData[ASTOrder],PlayerGameData[[#This Row],[ASTOrder]])&gt;1,PlayerGameData[[#This Row],[PointRank]]/100+PlayerGameData[[#This Row],[ASTOrder]],PlayerGameData[[#This Row],[ASTOrder]])</f>
        <v>1163.25</v>
      </c>
      <c r="AT875" s="8">
        <f ca="1">RANK(PlayerGameData[[#This Row],[ASTTieBreak]],PlayerGameData[ASTTieBreak],1)</f>
        <v>625</v>
      </c>
      <c r="AU875" s="8">
        <f ca="1">RANK(PlayerGameData[[#This Row],[STL]],PlayerGameData[STL],0)+PlayerGameData[[#This Row],[VisibleOrder]]</f>
        <v>1142</v>
      </c>
      <c r="AV875" s="8">
        <f ca="1">IF(COUNTIF(PlayerGameData[STLOrder],PlayerGameData[[#This Row],[STLOrder]])&gt;1,PlayerGameData[[#This Row],[PointRank]]/100+PlayerGameData[[#This Row],[STLOrder]],PlayerGameData[[#This Row],[STLOrder]])</f>
        <v>1148.25</v>
      </c>
      <c r="AW875" s="8">
        <f ca="1">RANK(PlayerGameData[[#This Row],[STLTieBreak]],PlayerGameData[STLTieBreak],1)</f>
        <v>625</v>
      </c>
      <c r="AX875" s="8">
        <f ca="1">RANK(PlayerGameData[[#This Row],[BLK]],PlayerGameData[BLK],0)+PlayerGameData[[#This Row],[VisibleOrder]]</f>
        <v>1031</v>
      </c>
      <c r="AY875" s="8">
        <f ca="1">IF(COUNTIF(PlayerGameData[BLKOrder],PlayerGameData[[#This Row],[BLKOrder]])&gt;1,PlayerGameData[[#This Row],[PointRank]]/100+PlayerGameData[[#This Row],[BLKOrder]],PlayerGameData[[#This Row],[BLKOrder]])</f>
        <v>1037.25</v>
      </c>
      <c r="AZ875" s="8">
        <f ca="1">RANK(PlayerGameData[[#This Row],[BLKTieBreak]],PlayerGameData[BLKTieBreak],1)</f>
        <v>625</v>
      </c>
      <c r="BA875" s="11">
        <f ca="1">IFERROR(IF(PlayerGameData[[#This Row],[FGA]]&gt;$AA$5,PlayerGameData[[#This Row],[FG%*]],PlayerGameData[[#This Row],[FG%*]]*-1),-2)</f>
        <v>-2</v>
      </c>
      <c r="BB875" s="8">
        <f ca="1">RANK(PlayerGameData[[#This Row],[EligFG]],PlayerGameData[EligFG],0)+PlayerGameData[[#This Row],[VisibleOrder]]</f>
        <v>1214</v>
      </c>
      <c r="BC875" s="8">
        <f ca="1">IF(COUNTIF(PlayerGameData[EligFGOrder],PlayerGameData[[#This Row],[EligFGOrder]])&gt;1,PlayerGameData[[#This Row],[PointRank]]/100+PlayerGameData[[#This Row],[EligFGOrder]],PlayerGameData[[#This Row],[EligFGOrder]])</f>
        <v>1220.25</v>
      </c>
      <c r="BD875" s="8">
        <f ca="1">RANK(PlayerGameData[[#This Row],[EligFGTieBreak]],PlayerGameData[EligFGTieBreak],1)</f>
        <v>625</v>
      </c>
      <c r="BE875" s="8" t="str">
        <f>Roster!$D$3</f>
        <v>East</v>
      </c>
      <c r="BF875" s="8" t="str">
        <f>Roster!$D$2</f>
        <v>Northeast</v>
      </c>
      <c r="BG875" s="8" t="str">
        <f>Roster!$D$4</f>
        <v>North</v>
      </c>
      <c r="BH875" s="197">
        <f ca="1">IFERROR(VLOOKUP(CONCATENATE(PlayerGameData[[#This Row],[Opponent]]," ",MONTH(PlayerGameData[[#This Row],[Date]]),"/",DAY(PlayerGameData[[#This Row],[Date]]),"/",YEAR(PlayerGameData[[#This Row],[Date]])),Table35[],2,FALSE),0)</f>
        <v>0</v>
      </c>
      <c r="BI875" s="197">
        <f ca="1">IF(PlayerGameData[[#This Row],[Visible]]=1,1,1000)</f>
        <v>1000</v>
      </c>
      <c r="BJ875" s="197" t="e">
        <f ca="1">_xlfn.MAXIFS(TeamGameData[Win],TeamGameData[School, Opponent,Game'#],PlayerGameData[[#This Row],[School, Opponent,Game'#]])</f>
        <v>#NAME?</v>
      </c>
      <c r="BK875" s="197" t="e">
        <f ca="1">_xlfn.MAXIFS(TeamGameData[Loss],TeamGameData[School, Opponent,Game'#],PlayerGameData[[#This Row],[School, Opponent,Game'#]])</f>
        <v>#NAME?</v>
      </c>
    </row>
    <row r="876" spans="1:63" x14ac:dyDescent="0.25">
      <c r="A876" s="8" t="str">
        <f t="shared" ca="1" si="423"/>
        <v>Carson Barritt, 14</v>
      </c>
      <c r="B876" s="8" t="str">
        <f>Roster!$B$1</f>
        <v>Upton</v>
      </c>
      <c r="C876" s="8">
        <f t="shared" ca="1" si="411"/>
        <v>0</v>
      </c>
      <c r="D876" s="10">
        <f t="shared" ca="1" si="412"/>
        <v>0</v>
      </c>
      <c r="E876" s="8">
        <f t="shared" ca="1" si="413"/>
        <v>0</v>
      </c>
      <c r="F876" s="8">
        <f t="shared" ca="1" si="414"/>
        <v>0</v>
      </c>
      <c r="G876" s="8">
        <f t="shared" ca="1" si="415"/>
        <v>0</v>
      </c>
      <c r="H876" s="8">
        <f t="shared" ca="1" si="416"/>
        <v>0</v>
      </c>
      <c r="I876" s="8">
        <f t="shared" ca="1" si="417"/>
        <v>0</v>
      </c>
      <c r="J876" s="8">
        <f t="shared" ca="1" si="418"/>
        <v>0</v>
      </c>
      <c r="K876" s="8">
        <f t="shared" ca="1" si="419"/>
        <v>0</v>
      </c>
      <c r="L876" s="8">
        <f t="shared" ca="1" si="424"/>
        <v>0</v>
      </c>
      <c r="M876" s="8">
        <f t="shared" ca="1" si="425"/>
        <v>0</v>
      </c>
      <c r="N876" s="8">
        <f t="shared" ca="1" si="426"/>
        <v>0</v>
      </c>
      <c r="O876" s="8">
        <f t="shared" ca="1" si="427"/>
        <v>0</v>
      </c>
      <c r="P876" s="8">
        <f t="shared" ca="1" si="428"/>
        <v>0</v>
      </c>
      <c r="Q876" s="8">
        <f t="shared" ca="1" si="429"/>
        <v>0</v>
      </c>
      <c r="R876" s="8">
        <f t="shared" ca="1" si="430"/>
        <v>0</v>
      </c>
      <c r="S876" s="8">
        <f t="shared" ca="1" si="431"/>
        <v>0</v>
      </c>
      <c r="T876" s="8">
        <f t="shared" ca="1" si="432"/>
        <v>0</v>
      </c>
      <c r="U876" s="8">
        <f t="shared" ca="1" si="433"/>
        <v>0</v>
      </c>
      <c r="V876" s="8">
        <f t="shared" ca="1" si="434"/>
        <v>0</v>
      </c>
      <c r="W876" s="11" t="str">
        <f t="shared" ca="1" si="435"/>
        <v/>
      </c>
      <c r="X876" s="11" t="str">
        <f t="shared" ca="1" si="436"/>
        <v/>
      </c>
      <c r="Y876" s="11" t="str">
        <f t="shared" ca="1" si="437"/>
        <v/>
      </c>
      <c r="Z876" s="11" t="str">
        <f t="shared" ca="1" si="438"/>
        <v/>
      </c>
      <c r="AA876" s="11" t="str">
        <f t="shared" ca="1" si="439"/>
        <v/>
      </c>
      <c r="AB876" s="47">
        <f ca="1">PlayerGameData[[#This Row],[3FGA]]+PlayerGameData[[#This Row],[2FGA]]</f>
        <v>0</v>
      </c>
      <c r="AC876" s="47">
        <f ca="1">PlayerGameData[[#This Row],[OFF REB]]+PlayerGameData[[#This Row],[DEF REB]]</f>
        <v>0</v>
      </c>
      <c r="AD876" s="8">
        <f t="shared" si="420"/>
        <v>37</v>
      </c>
      <c r="AE876" s="8" t="str">
        <f t="shared" ca="1" si="421"/>
        <v>Carson Barritt, 14 - 0 1/0/1900</v>
      </c>
      <c r="AF876" s="8" t="str">
        <f t="shared" ca="1" si="440"/>
        <v/>
      </c>
      <c r="AG876" s="8" t="str">
        <f ca="1">IFERROR(IF(C876=0,"",IF(AND(VLOOKUP(PlayerGameData[[#This Row],[Opponent]],WYTeamInfo,2,FALSE)=Roster!$D$1,VLOOKUP(PlayerGameData[[#This Row],[Opponent]],WYTeamInfo,3,FALSE)=Roster!$D$2),"SR","")),"")</f>
        <v/>
      </c>
      <c r="AH876" s="8" t="str">
        <f>CONCATENATE(Roster!$D$1," ",Roster!$D$5)</f>
        <v>1A BB</v>
      </c>
      <c r="AI876" s="8" t="str">
        <f t="shared" ca="1" si="422"/>
        <v>Blank</v>
      </c>
      <c r="AJ876" s="8">
        <f ca="1">IFERROR(VLOOKUP(PlayerGameData[[#This Row],[School, Opponent,Game'#]],Table3[],2,FALSE),0)</f>
        <v>0</v>
      </c>
      <c r="AK876" s="8">
        <f ca="1">IF(PlayerGameData[[#This Row],[Visible]]=1,1,1000)</f>
        <v>1000</v>
      </c>
      <c r="AL876" s="8">
        <f ca="1">RANK(PlayerGameData[[#This Row],[TL PTS]],PlayerGameData[TL PTS],0)+PlayerGameData[[#This Row],[VisibleOrder]]</f>
        <v>1184</v>
      </c>
      <c r="AM876" s="8">
        <f ca="1">IF(COUNTIF(PlayerGameData[PointOrder],PlayerGameData[[#This Row],[PointOrder]])&gt;1,RANK(PlayerGameData[[#This Row],[FGA]],PlayerGameData[FGA],0)/100,0)+PlayerGameData[[#This Row],[PointOrder]]</f>
        <v>1186.1400000000001</v>
      </c>
      <c r="AN876" s="8">
        <f ca="1">RANK(PlayerGameData[[#This Row],[PointTieBreak]],PlayerGameData[PointTieBreak],1)</f>
        <v>625</v>
      </c>
      <c r="AO876" s="8">
        <f ca="1">RANK(PlayerGameData[[#This Row],[REB]],PlayerGameData[REB],0)+PlayerGameData[[#This Row],[VisibleOrder]]</f>
        <v>1191</v>
      </c>
      <c r="AP876" s="8">
        <f ca="1">IF(COUNTIF(PlayerGameData[REBOrder],PlayerGameData[[#This Row],[REBOrder]])&gt;1,PlayerGameData[[#This Row],[PointRank]]/100+PlayerGameData[[#This Row],[REBOrder]],PlayerGameData[[#This Row],[REBOrder]])</f>
        <v>1197.25</v>
      </c>
      <c r="AQ876" s="8">
        <f ca="1">RANK(PlayerGameData[[#This Row],[REBTieBreak]],PlayerGameData[REBTieBreak],1)</f>
        <v>625</v>
      </c>
      <c r="AR876" s="8">
        <f ca="1">RANK(PlayerGameData[[#This Row],[AST]],PlayerGameData[AST],0)+PlayerGameData[[#This Row],[VisibleOrder]]</f>
        <v>1157</v>
      </c>
      <c r="AS876" s="8">
        <f ca="1">IF(COUNTIF(PlayerGameData[ASTOrder],PlayerGameData[[#This Row],[ASTOrder]])&gt;1,PlayerGameData[[#This Row],[PointRank]]/100+PlayerGameData[[#This Row],[ASTOrder]],PlayerGameData[[#This Row],[ASTOrder]])</f>
        <v>1163.25</v>
      </c>
      <c r="AT876" s="8">
        <f ca="1">RANK(PlayerGameData[[#This Row],[ASTTieBreak]],PlayerGameData[ASTTieBreak],1)</f>
        <v>625</v>
      </c>
      <c r="AU876" s="8">
        <f ca="1">RANK(PlayerGameData[[#This Row],[STL]],PlayerGameData[STL],0)+PlayerGameData[[#This Row],[VisibleOrder]]</f>
        <v>1142</v>
      </c>
      <c r="AV876" s="8">
        <f ca="1">IF(COUNTIF(PlayerGameData[STLOrder],PlayerGameData[[#This Row],[STLOrder]])&gt;1,PlayerGameData[[#This Row],[PointRank]]/100+PlayerGameData[[#This Row],[STLOrder]],PlayerGameData[[#This Row],[STLOrder]])</f>
        <v>1148.25</v>
      </c>
      <c r="AW876" s="8">
        <f ca="1">RANK(PlayerGameData[[#This Row],[STLTieBreak]],PlayerGameData[STLTieBreak],1)</f>
        <v>625</v>
      </c>
      <c r="AX876" s="8">
        <f ca="1">RANK(PlayerGameData[[#This Row],[BLK]],PlayerGameData[BLK],0)+PlayerGameData[[#This Row],[VisibleOrder]]</f>
        <v>1031</v>
      </c>
      <c r="AY876" s="8">
        <f ca="1">IF(COUNTIF(PlayerGameData[BLKOrder],PlayerGameData[[#This Row],[BLKOrder]])&gt;1,PlayerGameData[[#This Row],[PointRank]]/100+PlayerGameData[[#This Row],[BLKOrder]],PlayerGameData[[#This Row],[BLKOrder]])</f>
        <v>1037.25</v>
      </c>
      <c r="AZ876" s="8">
        <f ca="1">RANK(PlayerGameData[[#This Row],[BLKTieBreak]],PlayerGameData[BLKTieBreak],1)</f>
        <v>625</v>
      </c>
      <c r="BA876" s="11">
        <f ca="1">IFERROR(IF(PlayerGameData[[#This Row],[FGA]]&gt;$AA$5,PlayerGameData[[#This Row],[FG%*]],PlayerGameData[[#This Row],[FG%*]]*-1),-2)</f>
        <v>-2</v>
      </c>
      <c r="BB876" s="8">
        <f ca="1">RANK(PlayerGameData[[#This Row],[EligFG]],PlayerGameData[EligFG],0)+PlayerGameData[[#This Row],[VisibleOrder]]</f>
        <v>1214</v>
      </c>
      <c r="BC876" s="8">
        <f ca="1">IF(COUNTIF(PlayerGameData[EligFGOrder],PlayerGameData[[#This Row],[EligFGOrder]])&gt;1,PlayerGameData[[#This Row],[PointRank]]/100+PlayerGameData[[#This Row],[EligFGOrder]],PlayerGameData[[#This Row],[EligFGOrder]])</f>
        <v>1220.25</v>
      </c>
      <c r="BD876" s="8">
        <f ca="1">RANK(PlayerGameData[[#This Row],[EligFGTieBreak]],PlayerGameData[EligFGTieBreak],1)</f>
        <v>625</v>
      </c>
      <c r="BE876" s="8" t="str">
        <f>Roster!$D$3</f>
        <v>East</v>
      </c>
      <c r="BF876" s="8" t="str">
        <f>Roster!$D$2</f>
        <v>Northeast</v>
      </c>
      <c r="BG876" s="8" t="str">
        <f>Roster!$D$4</f>
        <v>North</v>
      </c>
      <c r="BH876" s="197">
        <f ca="1">IFERROR(VLOOKUP(CONCATENATE(PlayerGameData[[#This Row],[Opponent]]," ",MONTH(PlayerGameData[[#This Row],[Date]]),"/",DAY(PlayerGameData[[#This Row],[Date]]),"/",YEAR(PlayerGameData[[#This Row],[Date]])),Table35[],2,FALSE),0)</f>
        <v>0</v>
      </c>
      <c r="BI876" s="197">
        <f ca="1">IF(PlayerGameData[[#This Row],[Visible]]=1,1,1000)</f>
        <v>1000</v>
      </c>
      <c r="BJ876" s="197" t="e">
        <f ca="1">_xlfn.MAXIFS(TeamGameData[Win],TeamGameData[School, Opponent,Game'#],PlayerGameData[[#This Row],[School, Opponent,Game'#]])</f>
        <v>#NAME?</v>
      </c>
      <c r="BK876" s="197" t="e">
        <f ca="1">_xlfn.MAXIFS(TeamGameData[Loss],TeamGameData[School, Opponent,Game'#],PlayerGameData[[#This Row],[School, Opponent,Game'#]])</f>
        <v>#NAME?</v>
      </c>
    </row>
    <row r="877" spans="1:63" x14ac:dyDescent="0.25">
      <c r="A877" s="8" t="str">
        <f t="shared" ca="1" si="423"/>
        <v>Ben Carpenter, 21</v>
      </c>
      <c r="B877" s="8" t="str">
        <f>Roster!$B$1</f>
        <v>Upton</v>
      </c>
      <c r="C877" s="8">
        <f t="shared" ca="1" si="411"/>
        <v>0</v>
      </c>
      <c r="D877" s="10">
        <f t="shared" ca="1" si="412"/>
        <v>0</v>
      </c>
      <c r="E877" s="8">
        <f t="shared" ca="1" si="413"/>
        <v>0</v>
      </c>
      <c r="F877" s="8">
        <f t="shared" ca="1" si="414"/>
        <v>0</v>
      </c>
      <c r="G877" s="8">
        <f t="shared" ca="1" si="415"/>
        <v>0</v>
      </c>
      <c r="H877" s="8">
        <f t="shared" ca="1" si="416"/>
        <v>0</v>
      </c>
      <c r="I877" s="8">
        <f t="shared" ca="1" si="417"/>
        <v>0</v>
      </c>
      <c r="J877" s="8">
        <f t="shared" ca="1" si="418"/>
        <v>0</v>
      </c>
      <c r="K877" s="8">
        <f t="shared" ca="1" si="419"/>
        <v>0</v>
      </c>
      <c r="L877" s="8">
        <f t="shared" ca="1" si="424"/>
        <v>0</v>
      </c>
      <c r="M877" s="8">
        <f t="shared" ca="1" si="425"/>
        <v>0</v>
      </c>
      <c r="N877" s="8">
        <f t="shared" ca="1" si="426"/>
        <v>0</v>
      </c>
      <c r="O877" s="8">
        <f t="shared" ca="1" si="427"/>
        <v>0</v>
      </c>
      <c r="P877" s="8">
        <f t="shared" ca="1" si="428"/>
        <v>0</v>
      </c>
      <c r="Q877" s="8">
        <f t="shared" ca="1" si="429"/>
        <v>0</v>
      </c>
      <c r="R877" s="8">
        <f t="shared" ca="1" si="430"/>
        <v>0</v>
      </c>
      <c r="S877" s="8">
        <f t="shared" ca="1" si="431"/>
        <v>0</v>
      </c>
      <c r="T877" s="8">
        <f t="shared" ca="1" si="432"/>
        <v>0</v>
      </c>
      <c r="U877" s="8">
        <f t="shared" ca="1" si="433"/>
        <v>0</v>
      </c>
      <c r="V877" s="8">
        <f t="shared" ca="1" si="434"/>
        <v>0</v>
      </c>
      <c r="W877" s="11" t="str">
        <f t="shared" ca="1" si="435"/>
        <v/>
      </c>
      <c r="X877" s="11" t="str">
        <f t="shared" ca="1" si="436"/>
        <v/>
      </c>
      <c r="Y877" s="11" t="str">
        <f t="shared" ca="1" si="437"/>
        <v/>
      </c>
      <c r="Z877" s="11" t="str">
        <f t="shared" ca="1" si="438"/>
        <v/>
      </c>
      <c r="AA877" s="11" t="str">
        <f t="shared" ca="1" si="439"/>
        <v/>
      </c>
      <c r="AB877" s="47">
        <f ca="1">PlayerGameData[[#This Row],[3FGA]]+PlayerGameData[[#This Row],[2FGA]]</f>
        <v>0</v>
      </c>
      <c r="AC877" s="47">
        <f ca="1">PlayerGameData[[#This Row],[OFF REB]]+PlayerGameData[[#This Row],[DEF REB]]</f>
        <v>0</v>
      </c>
      <c r="AD877" s="8">
        <f t="shared" si="420"/>
        <v>37</v>
      </c>
      <c r="AE877" s="8" t="str">
        <f t="shared" ca="1" si="421"/>
        <v>Ben Carpenter, 21 - 0 1/0/1900</v>
      </c>
      <c r="AF877" s="8" t="str">
        <f t="shared" ca="1" si="440"/>
        <v/>
      </c>
      <c r="AG877" s="8" t="str">
        <f ca="1">IFERROR(IF(C877=0,"",IF(AND(VLOOKUP(PlayerGameData[[#This Row],[Opponent]],WYTeamInfo,2,FALSE)=Roster!$D$1,VLOOKUP(PlayerGameData[[#This Row],[Opponent]],WYTeamInfo,3,FALSE)=Roster!$D$2),"SR","")),"")</f>
        <v/>
      </c>
      <c r="AH877" s="8" t="str">
        <f>CONCATENATE(Roster!$D$1," ",Roster!$D$5)</f>
        <v>1A BB</v>
      </c>
      <c r="AI877" s="8" t="str">
        <f t="shared" ca="1" si="422"/>
        <v>Blank</v>
      </c>
      <c r="AJ877" s="8">
        <f ca="1">IFERROR(VLOOKUP(PlayerGameData[[#This Row],[School, Opponent,Game'#]],Table3[],2,FALSE),0)</f>
        <v>0</v>
      </c>
      <c r="AK877" s="8">
        <f ca="1">IF(PlayerGameData[[#This Row],[Visible]]=1,1,1000)</f>
        <v>1000</v>
      </c>
      <c r="AL877" s="8">
        <f ca="1">RANK(PlayerGameData[[#This Row],[TL PTS]],PlayerGameData[TL PTS],0)+PlayerGameData[[#This Row],[VisibleOrder]]</f>
        <v>1184</v>
      </c>
      <c r="AM877" s="8">
        <f ca="1">IF(COUNTIF(PlayerGameData[PointOrder],PlayerGameData[[#This Row],[PointOrder]])&gt;1,RANK(PlayerGameData[[#This Row],[FGA]],PlayerGameData[FGA],0)/100,0)+PlayerGameData[[#This Row],[PointOrder]]</f>
        <v>1186.1400000000001</v>
      </c>
      <c r="AN877" s="8">
        <f ca="1">RANK(PlayerGameData[[#This Row],[PointTieBreak]],PlayerGameData[PointTieBreak],1)</f>
        <v>625</v>
      </c>
      <c r="AO877" s="8">
        <f ca="1">RANK(PlayerGameData[[#This Row],[REB]],PlayerGameData[REB],0)+PlayerGameData[[#This Row],[VisibleOrder]]</f>
        <v>1191</v>
      </c>
      <c r="AP877" s="8">
        <f ca="1">IF(COUNTIF(PlayerGameData[REBOrder],PlayerGameData[[#This Row],[REBOrder]])&gt;1,PlayerGameData[[#This Row],[PointRank]]/100+PlayerGameData[[#This Row],[REBOrder]],PlayerGameData[[#This Row],[REBOrder]])</f>
        <v>1197.25</v>
      </c>
      <c r="AQ877" s="8">
        <f ca="1">RANK(PlayerGameData[[#This Row],[REBTieBreak]],PlayerGameData[REBTieBreak],1)</f>
        <v>625</v>
      </c>
      <c r="AR877" s="8">
        <f ca="1">RANK(PlayerGameData[[#This Row],[AST]],PlayerGameData[AST],0)+PlayerGameData[[#This Row],[VisibleOrder]]</f>
        <v>1157</v>
      </c>
      <c r="AS877" s="8">
        <f ca="1">IF(COUNTIF(PlayerGameData[ASTOrder],PlayerGameData[[#This Row],[ASTOrder]])&gt;1,PlayerGameData[[#This Row],[PointRank]]/100+PlayerGameData[[#This Row],[ASTOrder]],PlayerGameData[[#This Row],[ASTOrder]])</f>
        <v>1163.25</v>
      </c>
      <c r="AT877" s="8">
        <f ca="1">RANK(PlayerGameData[[#This Row],[ASTTieBreak]],PlayerGameData[ASTTieBreak],1)</f>
        <v>625</v>
      </c>
      <c r="AU877" s="8">
        <f ca="1">RANK(PlayerGameData[[#This Row],[STL]],PlayerGameData[STL],0)+PlayerGameData[[#This Row],[VisibleOrder]]</f>
        <v>1142</v>
      </c>
      <c r="AV877" s="8">
        <f ca="1">IF(COUNTIF(PlayerGameData[STLOrder],PlayerGameData[[#This Row],[STLOrder]])&gt;1,PlayerGameData[[#This Row],[PointRank]]/100+PlayerGameData[[#This Row],[STLOrder]],PlayerGameData[[#This Row],[STLOrder]])</f>
        <v>1148.25</v>
      </c>
      <c r="AW877" s="8">
        <f ca="1">RANK(PlayerGameData[[#This Row],[STLTieBreak]],PlayerGameData[STLTieBreak],1)</f>
        <v>625</v>
      </c>
      <c r="AX877" s="8">
        <f ca="1">RANK(PlayerGameData[[#This Row],[BLK]],PlayerGameData[BLK],0)+PlayerGameData[[#This Row],[VisibleOrder]]</f>
        <v>1031</v>
      </c>
      <c r="AY877" s="8">
        <f ca="1">IF(COUNTIF(PlayerGameData[BLKOrder],PlayerGameData[[#This Row],[BLKOrder]])&gt;1,PlayerGameData[[#This Row],[PointRank]]/100+PlayerGameData[[#This Row],[BLKOrder]],PlayerGameData[[#This Row],[BLKOrder]])</f>
        <v>1037.25</v>
      </c>
      <c r="AZ877" s="8">
        <f ca="1">RANK(PlayerGameData[[#This Row],[BLKTieBreak]],PlayerGameData[BLKTieBreak],1)</f>
        <v>625</v>
      </c>
      <c r="BA877" s="11">
        <f ca="1">IFERROR(IF(PlayerGameData[[#This Row],[FGA]]&gt;$AA$5,PlayerGameData[[#This Row],[FG%*]],PlayerGameData[[#This Row],[FG%*]]*-1),-2)</f>
        <v>-2</v>
      </c>
      <c r="BB877" s="8">
        <f ca="1">RANK(PlayerGameData[[#This Row],[EligFG]],PlayerGameData[EligFG],0)+PlayerGameData[[#This Row],[VisibleOrder]]</f>
        <v>1214</v>
      </c>
      <c r="BC877" s="8">
        <f ca="1">IF(COUNTIF(PlayerGameData[EligFGOrder],PlayerGameData[[#This Row],[EligFGOrder]])&gt;1,PlayerGameData[[#This Row],[PointRank]]/100+PlayerGameData[[#This Row],[EligFGOrder]],PlayerGameData[[#This Row],[EligFGOrder]])</f>
        <v>1220.25</v>
      </c>
      <c r="BD877" s="8">
        <f ca="1">RANK(PlayerGameData[[#This Row],[EligFGTieBreak]],PlayerGameData[EligFGTieBreak],1)</f>
        <v>625</v>
      </c>
      <c r="BE877" s="8" t="str">
        <f>Roster!$D$3</f>
        <v>East</v>
      </c>
      <c r="BF877" s="8" t="str">
        <f>Roster!$D$2</f>
        <v>Northeast</v>
      </c>
      <c r="BG877" s="8" t="str">
        <f>Roster!$D$4</f>
        <v>North</v>
      </c>
      <c r="BH877" s="197">
        <f ca="1">IFERROR(VLOOKUP(CONCATENATE(PlayerGameData[[#This Row],[Opponent]]," ",MONTH(PlayerGameData[[#This Row],[Date]]),"/",DAY(PlayerGameData[[#This Row],[Date]]),"/",YEAR(PlayerGameData[[#This Row],[Date]])),Table35[],2,FALSE),0)</f>
        <v>0</v>
      </c>
      <c r="BI877" s="197">
        <f ca="1">IF(PlayerGameData[[#This Row],[Visible]]=1,1,1000)</f>
        <v>1000</v>
      </c>
      <c r="BJ877" s="197" t="e">
        <f ca="1">_xlfn.MAXIFS(TeamGameData[Win],TeamGameData[School, Opponent,Game'#],PlayerGameData[[#This Row],[School, Opponent,Game'#]])</f>
        <v>#NAME?</v>
      </c>
      <c r="BK877" s="197" t="e">
        <f ca="1">_xlfn.MAXIFS(TeamGameData[Loss],TeamGameData[School, Opponent,Game'#],PlayerGameData[[#This Row],[School, Opponent,Game'#]])</f>
        <v>#NAME?</v>
      </c>
    </row>
    <row r="878" spans="1:63" x14ac:dyDescent="0.25">
      <c r="A878" s="8" t="str">
        <f t="shared" ca="1" si="423"/>
        <v>Ethan Schiller, 23</v>
      </c>
      <c r="B878" s="8" t="str">
        <f>Roster!$B$1</f>
        <v>Upton</v>
      </c>
      <c r="C878" s="8">
        <f t="shared" ca="1" si="411"/>
        <v>0</v>
      </c>
      <c r="D878" s="10">
        <f t="shared" ca="1" si="412"/>
        <v>0</v>
      </c>
      <c r="E878" s="8">
        <f t="shared" ca="1" si="413"/>
        <v>0</v>
      </c>
      <c r="F878" s="8">
        <f t="shared" ca="1" si="414"/>
        <v>0</v>
      </c>
      <c r="G878" s="8">
        <f t="shared" ca="1" si="415"/>
        <v>0</v>
      </c>
      <c r="H878" s="8">
        <f t="shared" ca="1" si="416"/>
        <v>0</v>
      </c>
      <c r="I878" s="8">
        <f t="shared" ca="1" si="417"/>
        <v>0</v>
      </c>
      <c r="J878" s="8">
        <f t="shared" ca="1" si="418"/>
        <v>0</v>
      </c>
      <c r="K878" s="8">
        <f t="shared" ca="1" si="419"/>
        <v>0</v>
      </c>
      <c r="L878" s="8">
        <f t="shared" ca="1" si="424"/>
        <v>0</v>
      </c>
      <c r="M878" s="8">
        <f t="shared" ca="1" si="425"/>
        <v>0</v>
      </c>
      <c r="N878" s="8">
        <f t="shared" ca="1" si="426"/>
        <v>0</v>
      </c>
      <c r="O878" s="8">
        <f t="shared" ca="1" si="427"/>
        <v>0</v>
      </c>
      <c r="P878" s="8">
        <f t="shared" ca="1" si="428"/>
        <v>0</v>
      </c>
      <c r="Q878" s="8">
        <f t="shared" ca="1" si="429"/>
        <v>0</v>
      </c>
      <c r="R878" s="8">
        <f t="shared" ca="1" si="430"/>
        <v>0</v>
      </c>
      <c r="S878" s="8">
        <f t="shared" ca="1" si="431"/>
        <v>0</v>
      </c>
      <c r="T878" s="8">
        <f t="shared" ca="1" si="432"/>
        <v>0</v>
      </c>
      <c r="U878" s="8">
        <f t="shared" ca="1" si="433"/>
        <v>0</v>
      </c>
      <c r="V878" s="8">
        <f t="shared" ca="1" si="434"/>
        <v>0</v>
      </c>
      <c r="W878" s="11" t="str">
        <f t="shared" ca="1" si="435"/>
        <v/>
      </c>
      <c r="X878" s="11" t="str">
        <f t="shared" ca="1" si="436"/>
        <v/>
      </c>
      <c r="Y878" s="11" t="str">
        <f t="shared" ca="1" si="437"/>
        <v/>
      </c>
      <c r="Z878" s="11" t="str">
        <f t="shared" ca="1" si="438"/>
        <v/>
      </c>
      <c r="AA878" s="11" t="str">
        <f t="shared" ca="1" si="439"/>
        <v/>
      </c>
      <c r="AB878" s="47">
        <f ca="1">PlayerGameData[[#This Row],[3FGA]]+PlayerGameData[[#This Row],[2FGA]]</f>
        <v>0</v>
      </c>
      <c r="AC878" s="47">
        <f ca="1">PlayerGameData[[#This Row],[OFF REB]]+PlayerGameData[[#This Row],[DEF REB]]</f>
        <v>0</v>
      </c>
      <c r="AD878" s="8">
        <f t="shared" si="420"/>
        <v>37</v>
      </c>
      <c r="AE878" s="8" t="str">
        <f t="shared" ca="1" si="421"/>
        <v>Ethan Schiller, 23 - 0 1/0/1900</v>
      </c>
      <c r="AF878" s="8" t="str">
        <f t="shared" ca="1" si="440"/>
        <v/>
      </c>
      <c r="AG878" s="8" t="str">
        <f ca="1">IFERROR(IF(C878=0,"",IF(AND(VLOOKUP(PlayerGameData[[#This Row],[Opponent]],WYTeamInfo,2,FALSE)=Roster!$D$1,VLOOKUP(PlayerGameData[[#This Row],[Opponent]],WYTeamInfo,3,FALSE)=Roster!$D$2),"SR","")),"")</f>
        <v/>
      </c>
      <c r="AH878" s="8" t="str">
        <f>CONCATENATE(Roster!$D$1," ",Roster!$D$5)</f>
        <v>1A BB</v>
      </c>
      <c r="AI878" s="8" t="str">
        <f t="shared" ca="1" si="422"/>
        <v>Blank</v>
      </c>
      <c r="AJ878" s="8">
        <f ca="1">IFERROR(VLOOKUP(PlayerGameData[[#This Row],[School, Opponent,Game'#]],Table3[],2,FALSE),0)</f>
        <v>0</v>
      </c>
      <c r="AK878" s="8">
        <f ca="1">IF(PlayerGameData[[#This Row],[Visible]]=1,1,1000)</f>
        <v>1000</v>
      </c>
      <c r="AL878" s="8">
        <f ca="1">RANK(PlayerGameData[[#This Row],[TL PTS]],PlayerGameData[TL PTS],0)+PlayerGameData[[#This Row],[VisibleOrder]]</f>
        <v>1184</v>
      </c>
      <c r="AM878" s="8">
        <f ca="1">IF(COUNTIF(PlayerGameData[PointOrder],PlayerGameData[[#This Row],[PointOrder]])&gt;1,RANK(PlayerGameData[[#This Row],[FGA]],PlayerGameData[FGA],0)/100,0)+PlayerGameData[[#This Row],[PointOrder]]</f>
        <v>1186.1400000000001</v>
      </c>
      <c r="AN878" s="8">
        <f ca="1">RANK(PlayerGameData[[#This Row],[PointTieBreak]],PlayerGameData[PointTieBreak],1)</f>
        <v>625</v>
      </c>
      <c r="AO878" s="8">
        <f ca="1">RANK(PlayerGameData[[#This Row],[REB]],PlayerGameData[REB],0)+PlayerGameData[[#This Row],[VisibleOrder]]</f>
        <v>1191</v>
      </c>
      <c r="AP878" s="8">
        <f ca="1">IF(COUNTIF(PlayerGameData[REBOrder],PlayerGameData[[#This Row],[REBOrder]])&gt;1,PlayerGameData[[#This Row],[PointRank]]/100+PlayerGameData[[#This Row],[REBOrder]],PlayerGameData[[#This Row],[REBOrder]])</f>
        <v>1197.25</v>
      </c>
      <c r="AQ878" s="8">
        <f ca="1">RANK(PlayerGameData[[#This Row],[REBTieBreak]],PlayerGameData[REBTieBreak],1)</f>
        <v>625</v>
      </c>
      <c r="AR878" s="8">
        <f ca="1">RANK(PlayerGameData[[#This Row],[AST]],PlayerGameData[AST],0)+PlayerGameData[[#This Row],[VisibleOrder]]</f>
        <v>1157</v>
      </c>
      <c r="AS878" s="8">
        <f ca="1">IF(COUNTIF(PlayerGameData[ASTOrder],PlayerGameData[[#This Row],[ASTOrder]])&gt;1,PlayerGameData[[#This Row],[PointRank]]/100+PlayerGameData[[#This Row],[ASTOrder]],PlayerGameData[[#This Row],[ASTOrder]])</f>
        <v>1163.25</v>
      </c>
      <c r="AT878" s="8">
        <f ca="1">RANK(PlayerGameData[[#This Row],[ASTTieBreak]],PlayerGameData[ASTTieBreak],1)</f>
        <v>625</v>
      </c>
      <c r="AU878" s="8">
        <f ca="1">RANK(PlayerGameData[[#This Row],[STL]],PlayerGameData[STL],0)+PlayerGameData[[#This Row],[VisibleOrder]]</f>
        <v>1142</v>
      </c>
      <c r="AV878" s="8">
        <f ca="1">IF(COUNTIF(PlayerGameData[STLOrder],PlayerGameData[[#This Row],[STLOrder]])&gt;1,PlayerGameData[[#This Row],[PointRank]]/100+PlayerGameData[[#This Row],[STLOrder]],PlayerGameData[[#This Row],[STLOrder]])</f>
        <v>1148.25</v>
      </c>
      <c r="AW878" s="8">
        <f ca="1">RANK(PlayerGameData[[#This Row],[STLTieBreak]],PlayerGameData[STLTieBreak],1)</f>
        <v>625</v>
      </c>
      <c r="AX878" s="8">
        <f ca="1">RANK(PlayerGameData[[#This Row],[BLK]],PlayerGameData[BLK],0)+PlayerGameData[[#This Row],[VisibleOrder]]</f>
        <v>1031</v>
      </c>
      <c r="AY878" s="8">
        <f ca="1">IF(COUNTIF(PlayerGameData[BLKOrder],PlayerGameData[[#This Row],[BLKOrder]])&gt;1,PlayerGameData[[#This Row],[PointRank]]/100+PlayerGameData[[#This Row],[BLKOrder]],PlayerGameData[[#This Row],[BLKOrder]])</f>
        <v>1037.25</v>
      </c>
      <c r="AZ878" s="8">
        <f ca="1">RANK(PlayerGameData[[#This Row],[BLKTieBreak]],PlayerGameData[BLKTieBreak],1)</f>
        <v>625</v>
      </c>
      <c r="BA878" s="11">
        <f ca="1">IFERROR(IF(PlayerGameData[[#This Row],[FGA]]&gt;$AA$5,PlayerGameData[[#This Row],[FG%*]],PlayerGameData[[#This Row],[FG%*]]*-1),-2)</f>
        <v>-2</v>
      </c>
      <c r="BB878" s="8">
        <f ca="1">RANK(PlayerGameData[[#This Row],[EligFG]],PlayerGameData[EligFG],0)+PlayerGameData[[#This Row],[VisibleOrder]]</f>
        <v>1214</v>
      </c>
      <c r="BC878" s="8">
        <f ca="1">IF(COUNTIF(PlayerGameData[EligFGOrder],PlayerGameData[[#This Row],[EligFGOrder]])&gt;1,PlayerGameData[[#This Row],[PointRank]]/100+PlayerGameData[[#This Row],[EligFGOrder]],PlayerGameData[[#This Row],[EligFGOrder]])</f>
        <v>1220.25</v>
      </c>
      <c r="BD878" s="8">
        <f ca="1">RANK(PlayerGameData[[#This Row],[EligFGTieBreak]],PlayerGameData[EligFGTieBreak],1)</f>
        <v>625</v>
      </c>
      <c r="BE878" s="8" t="str">
        <f>Roster!$D$3</f>
        <v>East</v>
      </c>
      <c r="BF878" s="8" t="str">
        <f>Roster!$D$2</f>
        <v>Northeast</v>
      </c>
      <c r="BG878" s="8" t="str">
        <f>Roster!$D$4</f>
        <v>North</v>
      </c>
      <c r="BH878" s="197">
        <f ca="1">IFERROR(VLOOKUP(CONCATENATE(PlayerGameData[[#This Row],[Opponent]]," ",MONTH(PlayerGameData[[#This Row],[Date]]),"/",DAY(PlayerGameData[[#This Row],[Date]]),"/",YEAR(PlayerGameData[[#This Row],[Date]])),Table35[],2,FALSE),0)</f>
        <v>0</v>
      </c>
      <c r="BI878" s="197">
        <f ca="1">IF(PlayerGameData[[#This Row],[Visible]]=1,1,1000)</f>
        <v>1000</v>
      </c>
      <c r="BJ878" s="197" t="e">
        <f ca="1">_xlfn.MAXIFS(TeamGameData[Win],TeamGameData[School, Opponent,Game'#],PlayerGameData[[#This Row],[School, Opponent,Game'#]])</f>
        <v>#NAME?</v>
      </c>
      <c r="BK878" s="197" t="e">
        <f ca="1">_xlfn.MAXIFS(TeamGameData[Loss],TeamGameData[School, Opponent,Game'#],PlayerGameData[[#This Row],[School, Opponent,Game'#]])</f>
        <v>#NAME?</v>
      </c>
    </row>
    <row r="879" spans="1:63" x14ac:dyDescent="0.25">
      <c r="A879" s="8" t="str">
        <f t="shared" ca="1" si="423"/>
        <v>Bridger Bruce, 25</v>
      </c>
      <c r="B879" s="8" t="str">
        <f>Roster!$B$1</f>
        <v>Upton</v>
      </c>
      <c r="C879" s="8">
        <f t="shared" ca="1" si="411"/>
        <v>0</v>
      </c>
      <c r="D879" s="10">
        <f t="shared" ca="1" si="412"/>
        <v>0</v>
      </c>
      <c r="E879" s="8">
        <f t="shared" ca="1" si="413"/>
        <v>0</v>
      </c>
      <c r="F879" s="8">
        <f t="shared" ca="1" si="414"/>
        <v>0</v>
      </c>
      <c r="G879" s="8">
        <f t="shared" ca="1" si="415"/>
        <v>0</v>
      </c>
      <c r="H879" s="8">
        <f t="shared" ca="1" si="416"/>
        <v>0</v>
      </c>
      <c r="I879" s="8">
        <f t="shared" ca="1" si="417"/>
        <v>0</v>
      </c>
      <c r="J879" s="8">
        <f t="shared" ca="1" si="418"/>
        <v>0</v>
      </c>
      <c r="K879" s="8">
        <f t="shared" ca="1" si="419"/>
        <v>0</v>
      </c>
      <c r="L879" s="8">
        <f t="shared" ca="1" si="424"/>
        <v>0</v>
      </c>
      <c r="M879" s="8">
        <f t="shared" ca="1" si="425"/>
        <v>0</v>
      </c>
      <c r="N879" s="8">
        <f t="shared" ca="1" si="426"/>
        <v>0</v>
      </c>
      <c r="O879" s="8">
        <f t="shared" ca="1" si="427"/>
        <v>0</v>
      </c>
      <c r="P879" s="8">
        <f t="shared" ca="1" si="428"/>
        <v>0</v>
      </c>
      <c r="Q879" s="8">
        <f t="shared" ca="1" si="429"/>
        <v>0</v>
      </c>
      <c r="R879" s="8">
        <f t="shared" ca="1" si="430"/>
        <v>0</v>
      </c>
      <c r="S879" s="8">
        <f t="shared" ca="1" si="431"/>
        <v>0</v>
      </c>
      <c r="T879" s="8">
        <f t="shared" ca="1" si="432"/>
        <v>0</v>
      </c>
      <c r="U879" s="8">
        <f t="shared" ca="1" si="433"/>
        <v>0</v>
      </c>
      <c r="V879" s="8">
        <f t="shared" ca="1" si="434"/>
        <v>0</v>
      </c>
      <c r="W879" s="11" t="str">
        <f t="shared" ca="1" si="435"/>
        <v/>
      </c>
      <c r="X879" s="11" t="str">
        <f t="shared" ca="1" si="436"/>
        <v/>
      </c>
      <c r="Y879" s="11" t="str">
        <f t="shared" ca="1" si="437"/>
        <v/>
      </c>
      <c r="Z879" s="11" t="str">
        <f t="shared" ca="1" si="438"/>
        <v/>
      </c>
      <c r="AA879" s="11" t="str">
        <f t="shared" ca="1" si="439"/>
        <v/>
      </c>
      <c r="AB879" s="47">
        <f ca="1">PlayerGameData[[#This Row],[3FGA]]+PlayerGameData[[#This Row],[2FGA]]</f>
        <v>0</v>
      </c>
      <c r="AC879" s="47">
        <f ca="1">PlayerGameData[[#This Row],[OFF REB]]+PlayerGameData[[#This Row],[DEF REB]]</f>
        <v>0</v>
      </c>
      <c r="AD879" s="8">
        <f t="shared" si="420"/>
        <v>37</v>
      </c>
      <c r="AE879" s="8" t="str">
        <f t="shared" ca="1" si="421"/>
        <v>Bridger Bruce, 25 - 0 1/0/1900</v>
      </c>
      <c r="AF879" s="8" t="str">
        <f t="shared" ca="1" si="440"/>
        <v/>
      </c>
      <c r="AG879" s="8" t="str">
        <f ca="1">IFERROR(IF(C879=0,"",IF(AND(VLOOKUP(PlayerGameData[[#This Row],[Opponent]],WYTeamInfo,2,FALSE)=Roster!$D$1,VLOOKUP(PlayerGameData[[#This Row],[Opponent]],WYTeamInfo,3,FALSE)=Roster!$D$2),"SR","")),"")</f>
        <v/>
      </c>
      <c r="AH879" s="8" t="str">
        <f>CONCATENATE(Roster!$D$1," ",Roster!$D$5)</f>
        <v>1A BB</v>
      </c>
      <c r="AI879" s="8" t="str">
        <f t="shared" ca="1" si="422"/>
        <v>Blank</v>
      </c>
      <c r="AJ879" s="8">
        <f ca="1">IFERROR(VLOOKUP(PlayerGameData[[#This Row],[School, Opponent,Game'#]],Table3[],2,FALSE),0)</f>
        <v>0</v>
      </c>
      <c r="AK879" s="8">
        <f ca="1">IF(PlayerGameData[[#This Row],[Visible]]=1,1,1000)</f>
        <v>1000</v>
      </c>
      <c r="AL879" s="8">
        <f ca="1">RANK(PlayerGameData[[#This Row],[TL PTS]],PlayerGameData[TL PTS],0)+PlayerGameData[[#This Row],[VisibleOrder]]</f>
        <v>1184</v>
      </c>
      <c r="AM879" s="8">
        <f ca="1">IF(COUNTIF(PlayerGameData[PointOrder],PlayerGameData[[#This Row],[PointOrder]])&gt;1,RANK(PlayerGameData[[#This Row],[FGA]],PlayerGameData[FGA],0)/100,0)+PlayerGameData[[#This Row],[PointOrder]]</f>
        <v>1186.1400000000001</v>
      </c>
      <c r="AN879" s="8">
        <f ca="1">RANK(PlayerGameData[[#This Row],[PointTieBreak]],PlayerGameData[PointTieBreak],1)</f>
        <v>625</v>
      </c>
      <c r="AO879" s="8">
        <f ca="1">RANK(PlayerGameData[[#This Row],[REB]],PlayerGameData[REB],0)+PlayerGameData[[#This Row],[VisibleOrder]]</f>
        <v>1191</v>
      </c>
      <c r="AP879" s="8">
        <f ca="1">IF(COUNTIF(PlayerGameData[REBOrder],PlayerGameData[[#This Row],[REBOrder]])&gt;1,PlayerGameData[[#This Row],[PointRank]]/100+PlayerGameData[[#This Row],[REBOrder]],PlayerGameData[[#This Row],[REBOrder]])</f>
        <v>1197.25</v>
      </c>
      <c r="AQ879" s="8">
        <f ca="1">RANK(PlayerGameData[[#This Row],[REBTieBreak]],PlayerGameData[REBTieBreak],1)</f>
        <v>625</v>
      </c>
      <c r="AR879" s="8">
        <f ca="1">RANK(PlayerGameData[[#This Row],[AST]],PlayerGameData[AST],0)+PlayerGameData[[#This Row],[VisibleOrder]]</f>
        <v>1157</v>
      </c>
      <c r="AS879" s="8">
        <f ca="1">IF(COUNTIF(PlayerGameData[ASTOrder],PlayerGameData[[#This Row],[ASTOrder]])&gt;1,PlayerGameData[[#This Row],[PointRank]]/100+PlayerGameData[[#This Row],[ASTOrder]],PlayerGameData[[#This Row],[ASTOrder]])</f>
        <v>1163.25</v>
      </c>
      <c r="AT879" s="8">
        <f ca="1">RANK(PlayerGameData[[#This Row],[ASTTieBreak]],PlayerGameData[ASTTieBreak],1)</f>
        <v>625</v>
      </c>
      <c r="AU879" s="8">
        <f ca="1">RANK(PlayerGameData[[#This Row],[STL]],PlayerGameData[STL],0)+PlayerGameData[[#This Row],[VisibleOrder]]</f>
        <v>1142</v>
      </c>
      <c r="AV879" s="8">
        <f ca="1">IF(COUNTIF(PlayerGameData[STLOrder],PlayerGameData[[#This Row],[STLOrder]])&gt;1,PlayerGameData[[#This Row],[PointRank]]/100+PlayerGameData[[#This Row],[STLOrder]],PlayerGameData[[#This Row],[STLOrder]])</f>
        <v>1148.25</v>
      </c>
      <c r="AW879" s="8">
        <f ca="1">RANK(PlayerGameData[[#This Row],[STLTieBreak]],PlayerGameData[STLTieBreak],1)</f>
        <v>625</v>
      </c>
      <c r="AX879" s="8">
        <f ca="1">RANK(PlayerGameData[[#This Row],[BLK]],PlayerGameData[BLK],0)+PlayerGameData[[#This Row],[VisibleOrder]]</f>
        <v>1031</v>
      </c>
      <c r="AY879" s="8">
        <f ca="1">IF(COUNTIF(PlayerGameData[BLKOrder],PlayerGameData[[#This Row],[BLKOrder]])&gt;1,PlayerGameData[[#This Row],[PointRank]]/100+PlayerGameData[[#This Row],[BLKOrder]],PlayerGameData[[#This Row],[BLKOrder]])</f>
        <v>1037.25</v>
      </c>
      <c r="AZ879" s="8">
        <f ca="1">RANK(PlayerGameData[[#This Row],[BLKTieBreak]],PlayerGameData[BLKTieBreak],1)</f>
        <v>625</v>
      </c>
      <c r="BA879" s="11">
        <f ca="1">IFERROR(IF(PlayerGameData[[#This Row],[FGA]]&gt;$AA$5,PlayerGameData[[#This Row],[FG%*]],PlayerGameData[[#This Row],[FG%*]]*-1),-2)</f>
        <v>-2</v>
      </c>
      <c r="BB879" s="8">
        <f ca="1">RANK(PlayerGameData[[#This Row],[EligFG]],PlayerGameData[EligFG],0)+PlayerGameData[[#This Row],[VisibleOrder]]</f>
        <v>1214</v>
      </c>
      <c r="BC879" s="8">
        <f ca="1">IF(COUNTIF(PlayerGameData[EligFGOrder],PlayerGameData[[#This Row],[EligFGOrder]])&gt;1,PlayerGameData[[#This Row],[PointRank]]/100+PlayerGameData[[#This Row],[EligFGOrder]],PlayerGameData[[#This Row],[EligFGOrder]])</f>
        <v>1220.25</v>
      </c>
      <c r="BD879" s="8">
        <f ca="1">RANK(PlayerGameData[[#This Row],[EligFGTieBreak]],PlayerGameData[EligFGTieBreak],1)</f>
        <v>625</v>
      </c>
      <c r="BE879" s="8" t="str">
        <f>Roster!$D$3</f>
        <v>East</v>
      </c>
      <c r="BF879" s="8" t="str">
        <f>Roster!$D$2</f>
        <v>Northeast</v>
      </c>
      <c r="BG879" s="8" t="str">
        <f>Roster!$D$4</f>
        <v>North</v>
      </c>
      <c r="BH879" s="197">
        <f ca="1">IFERROR(VLOOKUP(CONCATENATE(PlayerGameData[[#This Row],[Opponent]]," ",MONTH(PlayerGameData[[#This Row],[Date]]),"/",DAY(PlayerGameData[[#This Row],[Date]]),"/",YEAR(PlayerGameData[[#This Row],[Date]])),Table35[],2,FALSE),0)</f>
        <v>0</v>
      </c>
      <c r="BI879" s="197">
        <f ca="1">IF(PlayerGameData[[#This Row],[Visible]]=1,1,1000)</f>
        <v>1000</v>
      </c>
      <c r="BJ879" s="197" t="e">
        <f ca="1">_xlfn.MAXIFS(TeamGameData[Win],TeamGameData[School, Opponent,Game'#],PlayerGameData[[#This Row],[School, Opponent,Game'#]])</f>
        <v>#NAME?</v>
      </c>
      <c r="BK879" s="197" t="e">
        <f ca="1">_xlfn.MAXIFS(TeamGameData[Loss],TeamGameData[School, Opponent,Game'#],PlayerGameData[[#This Row],[School, Opponent,Game'#]])</f>
        <v>#NAME?</v>
      </c>
    </row>
    <row r="880" spans="1:63" x14ac:dyDescent="0.25">
      <c r="A880" s="8" t="str">
        <f t="shared" ca="1" si="423"/>
        <v>Kailer Duarte, 31</v>
      </c>
      <c r="B880" s="8" t="str">
        <f>Roster!$B$1</f>
        <v>Upton</v>
      </c>
      <c r="C880" s="8">
        <f t="shared" ca="1" si="411"/>
        <v>0</v>
      </c>
      <c r="D880" s="10">
        <f t="shared" ca="1" si="412"/>
        <v>0</v>
      </c>
      <c r="E880" s="8">
        <f t="shared" ca="1" si="413"/>
        <v>0</v>
      </c>
      <c r="F880" s="8">
        <f t="shared" ca="1" si="414"/>
        <v>0</v>
      </c>
      <c r="G880" s="8">
        <f t="shared" ca="1" si="415"/>
        <v>0</v>
      </c>
      <c r="H880" s="8">
        <f t="shared" ca="1" si="416"/>
        <v>0</v>
      </c>
      <c r="I880" s="8">
        <f t="shared" ca="1" si="417"/>
        <v>0</v>
      </c>
      <c r="J880" s="8">
        <f t="shared" ca="1" si="418"/>
        <v>0</v>
      </c>
      <c r="K880" s="8">
        <f t="shared" ca="1" si="419"/>
        <v>0</v>
      </c>
      <c r="L880" s="8">
        <f t="shared" ca="1" si="424"/>
        <v>0</v>
      </c>
      <c r="M880" s="8">
        <f t="shared" ca="1" si="425"/>
        <v>0</v>
      </c>
      <c r="N880" s="8">
        <f t="shared" ca="1" si="426"/>
        <v>0</v>
      </c>
      <c r="O880" s="8">
        <f t="shared" ca="1" si="427"/>
        <v>0</v>
      </c>
      <c r="P880" s="8">
        <f t="shared" ca="1" si="428"/>
        <v>0</v>
      </c>
      <c r="Q880" s="8">
        <f t="shared" ca="1" si="429"/>
        <v>0</v>
      </c>
      <c r="R880" s="8">
        <f t="shared" ca="1" si="430"/>
        <v>0</v>
      </c>
      <c r="S880" s="8">
        <f t="shared" ca="1" si="431"/>
        <v>0</v>
      </c>
      <c r="T880" s="8">
        <f t="shared" ca="1" si="432"/>
        <v>0</v>
      </c>
      <c r="U880" s="8">
        <f t="shared" ca="1" si="433"/>
        <v>0</v>
      </c>
      <c r="V880" s="8">
        <f t="shared" ca="1" si="434"/>
        <v>0</v>
      </c>
      <c r="W880" s="11" t="str">
        <f t="shared" ca="1" si="435"/>
        <v/>
      </c>
      <c r="X880" s="11" t="str">
        <f t="shared" ca="1" si="436"/>
        <v/>
      </c>
      <c r="Y880" s="11" t="str">
        <f t="shared" ca="1" si="437"/>
        <v/>
      </c>
      <c r="Z880" s="11" t="str">
        <f t="shared" ca="1" si="438"/>
        <v/>
      </c>
      <c r="AA880" s="11" t="str">
        <f t="shared" ca="1" si="439"/>
        <v/>
      </c>
      <c r="AB880" s="47">
        <f ca="1">PlayerGameData[[#This Row],[3FGA]]+PlayerGameData[[#This Row],[2FGA]]</f>
        <v>0</v>
      </c>
      <c r="AC880" s="47">
        <f ca="1">PlayerGameData[[#This Row],[OFF REB]]+PlayerGameData[[#This Row],[DEF REB]]</f>
        <v>0</v>
      </c>
      <c r="AD880" s="8">
        <f t="shared" si="420"/>
        <v>37</v>
      </c>
      <c r="AE880" s="8" t="str">
        <f t="shared" ca="1" si="421"/>
        <v>Kailer Duarte, 31 - 0 1/0/1900</v>
      </c>
      <c r="AF880" s="8" t="str">
        <f t="shared" ca="1" si="440"/>
        <v/>
      </c>
      <c r="AG880" s="8" t="str">
        <f ca="1">IFERROR(IF(C880=0,"",IF(AND(VLOOKUP(PlayerGameData[[#This Row],[Opponent]],WYTeamInfo,2,FALSE)=Roster!$D$1,VLOOKUP(PlayerGameData[[#This Row],[Opponent]],WYTeamInfo,3,FALSE)=Roster!$D$2),"SR","")),"")</f>
        <v/>
      </c>
      <c r="AH880" s="8" t="str">
        <f>CONCATENATE(Roster!$D$1," ",Roster!$D$5)</f>
        <v>1A BB</v>
      </c>
      <c r="AI880" s="8" t="str">
        <f t="shared" ca="1" si="422"/>
        <v>Blank</v>
      </c>
      <c r="AJ880" s="8">
        <f ca="1">IFERROR(VLOOKUP(PlayerGameData[[#This Row],[School, Opponent,Game'#]],Table3[],2,FALSE),0)</f>
        <v>0</v>
      </c>
      <c r="AK880" s="8">
        <f ca="1">IF(PlayerGameData[[#This Row],[Visible]]=1,1,1000)</f>
        <v>1000</v>
      </c>
      <c r="AL880" s="8">
        <f ca="1">RANK(PlayerGameData[[#This Row],[TL PTS]],PlayerGameData[TL PTS],0)+PlayerGameData[[#This Row],[VisibleOrder]]</f>
        <v>1184</v>
      </c>
      <c r="AM880" s="8">
        <f ca="1">IF(COUNTIF(PlayerGameData[PointOrder],PlayerGameData[[#This Row],[PointOrder]])&gt;1,RANK(PlayerGameData[[#This Row],[FGA]],PlayerGameData[FGA],0)/100,0)+PlayerGameData[[#This Row],[PointOrder]]</f>
        <v>1186.1400000000001</v>
      </c>
      <c r="AN880" s="8">
        <f ca="1">RANK(PlayerGameData[[#This Row],[PointTieBreak]],PlayerGameData[PointTieBreak],1)</f>
        <v>625</v>
      </c>
      <c r="AO880" s="8">
        <f ca="1">RANK(PlayerGameData[[#This Row],[REB]],PlayerGameData[REB],0)+PlayerGameData[[#This Row],[VisibleOrder]]</f>
        <v>1191</v>
      </c>
      <c r="AP880" s="8">
        <f ca="1">IF(COUNTIF(PlayerGameData[REBOrder],PlayerGameData[[#This Row],[REBOrder]])&gt;1,PlayerGameData[[#This Row],[PointRank]]/100+PlayerGameData[[#This Row],[REBOrder]],PlayerGameData[[#This Row],[REBOrder]])</f>
        <v>1197.25</v>
      </c>
      <c r="AQ880" s="8">
        <f ca="1">RANK(PlayerGameData[[#This Row],[REBTieBreak]],PlayerGameData[REBTieBreak],1)</f>
        <v>625</v>
      </c>
      <c r="AR880" s="8">
        <f ca="1">RANK(PlayerGameData[[#This Row],[AST]],PlayerGameData[AST],0)+PlayerGameData[[#This Row],[VisibleOrder]]</f>
        <v>1157</v>
      </c>
      <c r="AS880" s="8">
        <f ca="1">IF(COUNTIF(PlayerGameData[ASTOrder],PlayerGameData[[#This Row],[ASTOrder]])&gt;1,PlayerGameData[[#This Row],[PointRank]]/100+PlayerGameData[[#This Row],[ASTOrder]],PlayerGameData[[#This Row],[ASTOrder]])</f>
        <v>1163.25</v>
      </c>
      <c r="AT880" s="8">
        <f ca="1">RANK(PlayerGameData[[#This Row],[ASTTieBreak]],PlayerGameData[ASTTieBreak],1)</f>
        <v>625</v>
      </c>
      <c r="AU880" s="8">
        <f ca="1">RANK(PlayerGameData[[#This Row],[STL]],PlayerGameData[STL],0)+PlayerGameData[[#This Row],[VisibleOrder]]</f>
        <v>1142</v>
      </c>
      <c r="AV880" s="8">
        <f ca="1">IF(COUNTIF(PlayerGameData[STLOrder],PlayerGameData[[#This Row],[STLOrder]])&gt;1,PlayerGameData[[#This Row],[PointRank]]/100+PlayerGameData[[#This Row],[STLOrder]],PlayerGameData[[#This Row],[STLOrder]])</f>
        <v>1148.25</v>
      </c>
      <c r="AW880" s="8">
        <f ca="1">RANK(PlayerGameData[[#This Row],[STLTieBreak]],PlayerGameData[STLTieBreak],1)</f>
        <v>625</v>
      </c>
      <c r="AX880" s="8">
        <f ca="1">RANK(PlayerGameData[[#This Row],[BLK]],PlayerGameData[BLK],0)+PlayerGameData[[#This Row],[VisibleOrder]]</f>
        <v>1031</v>
      </c>
      <c r="AY880" s="8">
        <f ca="1">IF(COUNTIF(PlayerGameData[BLKOrder],PlayerGameData[[#This Row],[BLKOrder]])&gt;1,PlayerGameData[[#This Row],[PointRank]]/100+PlayerGameData[[#This Row],[BLKOrder]],PlayerGameData[[#This Row],[BLKOrder]])</f>
        <v>1037.25</v>
      </c>
      <c r="AZ880" s="8">
        <f ca="1">RANK(PlayerGameData[[#This Row],[BLKTieBreak]],PlayerGameData[BLKTieBreak],1)</f>
        <v>625</v>
      </c>
      <c r="BA880" s="11">
        <f ca="1">IFERROR(IF(PlayerGameData[[#This Row],[FGA]]&gt;$AA$5,PlayerGameData[[#This Row],[FG%*]],PlayerGameData[[#This Row],[FG%*]]*-1),-2)</f>
        <v>-2</v>
      </c>
      <c r="BB880" s="8">
        <f ca="1">RANK(PlayerGameData[[#This Row],[EligFG]],PlayerGameData[EligFG],0)+PlayerGameData[[#This Row],[VisibleOrder]]</f>
        <v>1214</v>
      </c>
      <c r="BC880" s="8">
        <f ca="1">IF(COUNTIF(PlayerGameData[EligFGOrder],PlayerGameData[[#This Row],[EligFGOrder]])&gt;1,PlayerGameData[[#This Row],[PointRank]]/100+PlayerGameData[[#This Row],[EligFGOrder]],PlayerGameData[[#This Row],[EligFGOrder]])</f>
        <v>1220.25</v>
      </c>
      <c r="BD880" s="8">
        <f ca="1">RANK(PlayerGameData[[#This Row],[EligFGTieBreak]],PlayerGameData[EligFGTieBreak],1)</f>
        <v>625</v>
      </c>
      <c r="BE880" s="8" t="str">
        <f>Roster!$D$3</f>
        <v>East</v>
      </c>
      <c r="BF880" s="8" t="str">
        <f>Roster!$D$2</f>
        <v>Northeast</v>
      </c>
      <c r="BG880" s="8" t="str">
        <f>Roster!$D$4</f>
        <v>North</v>
      </c>
      <c r="BH880" s="197">
        <f ca="1">IFERROR(VLOOKUP(CONCATENATE(PlayerGameData[[#This Row],[Opponent]]," ",MONTH(PlayerGameData[[#This Row],[Date]]),"/",DAY(PlayerGameData[[#This Row],[Date]]),"/",YEAR(PlayerGameData[[#This Row],[Date]])),Table35[],2,FALSE),0)</f>
        <v>0</v>
      </c>
      <c r="BI880" s="197">
        <f ca="1">IF(PlayerGameData[[#This Row],[Visible]]=1,1,1000)</f>
        <v>1000</v>
      </c>
      <c r="BJ880" s="197" t="e">
        <f ca="1">_xlfn.MAXIFS(TeamGameData[Win],TeamGameData[School, Opponent,Game'#],PlayerGameData[[#This Row],[School, Opponent,Game'#]])</f>
        <v>#NAME?</v>
      </c>
      <c r="BK880" s="197" t="e">
        <f ca="1">_xlfn.MAXIFS(TeamGameData[Loss],TeamGameData[School, Opponent,Game'#],PlayerGameData[[#This Row],[School, Opponent,Game'#]])</f>
        <v>#NAME?</v>
      </c>
    </row>
    <row r="881" spans="1:63" x14ac:dyDescent="0.25">
      <c r="A881" s="8" t="str">
        <f t="shared" ca="1" si="423"/>
        <v>Matt Stirmel, 33</v>
      </c>
      <c r="B881" s="8" t="str">
        <f>Roster!$B$1</f>
        <v>Upton</v>
      </c>
      <c r="C881" s="8">
        <f t="shared" ca="1" si="411"/>
        <v>0</v>
      </c>
      <c r="D881" s="10">
        <f t="shared" ca="1" si="412"/>
        <v>0</v>
      </c>
      <c r="E881" s="8">
        <f t="shared" ca="1" si="413"/>
        <v>0</v>
      </c>
      <c r="F881" s="8">
        <f t="shared" ca="1" si="414"/>
        <v>0</v>
      </c>
      <c r="G881" s="8">
        <f t="shared" ca="1" si="415"/>
        <v>0</v>
      </c>
      <c r="H881" s="8">
        <f t="shared" ca="1" si="416"/>
        <v>0</v>
      </c>
      <c r="I881" s="8">
        <f t="shared" ca="1" si="417"/>
        <v>0</v>
      </c>
      <c r="J881" s="8">
        <f t="shared" ca="1" si="418"/>
        <v>0</v>
      </c>
      <c r="K881" s="8">
        <f t="shared" ca="1" si="419"/>
        <v>0</v>
      </c>
      <c r="L881" s="8">
        <f t="shared" ca="1" si="424"/>
        <v>0</v>
      </c>
      <c r="M881" s="8">
        <f t="shared" ca="1" si="425"/>
        <v>0</v>
      </c>
      <c r="N881" s="8">
        <f t="shared" ca="1" si="426"/>
        <v>0</v>
      </c>
      <c r="O881" s="8">
        <f t="shared" ca="1" si="427"/>
        <v>0</v>
      </c>
      <c r="P881" s="8">
        <f t="shared" ca="1" si="428"/>
        <v>0</v>
      </c>
      <c r="Q881" s="8">
        <f t="shared" ca="1" si="429"/>
        <v>0</v>
      </c>
      <c r="R881" s="8">
        <f t="shared" ca="1" si="430"/>
        <v>0</v>
      </c>
      <c r="S881" s="8">
        <f t="shared" ca="1" si="431"/>
        <v>0</v>
      </c>
      <c r="T881" s="8">
        <f t="shared" ca="1" si="432"/>
        <v>0</v>
      </c>
      <c r="U881" s="8">
        <f t="shared" ca="1" si="433"/>
        <v>0</v>
      </c>
      <c r="V881" s="8">
        <f t="shared" ca="1" si="434"/>
        <v>0</v>
      </c>
      <c r="W881" s="11" t="str">
        <f t="shared" ca="1" si="435"/>
        <v/>
      </c>
      <c r="X881" s="11" t="str">
        <f t="shared" ca="1" si="436"/>
        <v/>
      </c>
      <c r="Y881" s="11" t="str">
        <f t="shared" ca="1" si="437"/>
        <v/>
      </c>
      <c r="Z881" s="11" t="str">
        <f t="shared" ca="1" si="438"/>
        <v/>
      </c>
      <c r="AA881" s="11" t="str">
        <f t="shared" ca="1" si="439"/>
        <v/>
      </c>
      <c r="AB881" s="47">
        <f ca="1">PlayerGameData[[#This Row],[3FGA]]+PlayerGameData[[#This Row],[2FGA]]</f>
        <v>0</v>
      </c>
      <c r="AC881" s="47">
        <f ca="1">PlayerGameData[[#This Row],[OFF REB]]+PlayerGameData[[#This Row],[DEF REB]]</f>
        <v>0</v>
      </c>
      <c r="AD881" s="8">
        <f t="shared" si="420"/>
        <v>37</v>
      </c>
      <c r="AE881" s="8" t="str">
        <f t="shared" ca="1" si="421"/>
        <v>Matt Stirmel, 33 - 0 1/0/1900</v>
      </c>
      <c r="AF881" s="8" t="str">
        <f t="shared" ca="1" si="440"/>
        <v/>
      </c>
      <c r="AG881" s="8" t="str">
        <f ca="1">IFERROR(IF(C881=0,"",IF(AND(VLOOKUP(PlayerGameData[[#This Row],[Opponent]],WYTeamInfo,2,FALSE)=Roster!$D$1,VLOOKUP(PlayerGameData[[#This Row],[Opponent]],WYTeamInfo,3,FALSE)=Roster!$D$2),"SR","")),"")</f>
        <v/>
      </c>
      <c r="AH881" s="8" t="str">
        <f>CONCATENATE(Roster!$D$1," ",Roster!$D$5)</f>
        <v>1A BB</v>
      </c>
      <c r="AI881" s="8" t="str">
        <f t="shared" ca="1" si="422"/>
        <v>Blank</v>
      </c>
      <c r="AJ881" s="8">
        <f ca="1">IFERROR(VLOOKUP(PlayerGameData[[#This Row],[School, Opponent,Game'#]],Table3[],2,FALSE),0)</f>
        <v>0</v>
      </c>
      <c r="AK881" s="8">
        <f ca="1">IF(PlayerGameData[[#This Row],[Visible]]=1,1,1000)</f>
        <v>1000</v>
      </c>
      <c r="AL881" s="8">
        <f ca="1">RANK(PlayerGameData[[#This Row],[TL PTS]],PlayerGameData[TL PTS],0)+PlayerGameData[[#This Row],[VisibleOrder]]</f>
        <v>1184</v>
      </c>
      <c r="AM881" s="8">
        <f ca="1">IF(COUNTIF(PlayerGameData[PointOrder],PlayerGameData[[#This Row],[PointOrder]])&gt;1,RANK(PlayerGameData[[#This Row],[FGA]],PlayerGameData[FGA],0)/100,0)+PlayerGameData[[#This Row],[PointOrder]]</f>
        <v>1186.1400000000001</v>
      </c>
      <c r="AN881" s="8">
        <f ca="1">RANK(PlayerGameData[[#This Row],[PointTieBreak]],PlayerGameData[PointTieBreak],1)</f>
        <v>625</v>
      </c>
      <c r="AO881" s="8">
        <f ca="1">RANK(PlayerGameData[[#This Row],[REB]],PlayerGameData[REB],0)+PlayerGameData[[#This Row],[VisibleOrder]]</f>
        <v>1191</v>
      </c>
      <c r="AP881" s="8">
        <f ca="1">IF(COUNTIF(PlayerGameData[REBOrder],PlayerGameData[[#This Row],[REBOrder]])&gt;1,PlayerGameData[[#This Row],[PointRank]]/100+PlayerGameData[[#This Row],[REBOrder]],PlayerGameData[[#This Row],[REBOrder]])</f>
        <v>1197.25</v>
      </c>
      <c r="AQ881" s="8">
        <f ca="1">RANK(PlayerGameData[[#This Row],[REBTieBreak]],PlayerGameData[REBTieBreak],1)</f>
        <v>625</v>
      </c>
      <c r="AR881" s="8">
        <f ca="1">RANK(PlayerGameData[[#This Row],[AST]],PlayerGameData[AST],0)+PlayerGameData[[#This Row],[VisibleOrder]]</f>
        <v>1157</v>
      </c>
      <c r="AS881" s="8">
        <f ca="1">IF(COUNTIF(PlayerGameData[ASTOrder],PlayerGameData[[#This Row],[ASTOrder]])&gt;1,PlayerGameData[[#This Row],[PointRank]]/100+PlayerGameData[[#This Row],[ASTOrder]],PlayerGameData[[#This Row],[ASTOrder]])</f>
        <v>1163.25</v>
      </c>
      <c r="AT881" s="8">
        <f ca="1">RANK(PlayerGameData[[#This Row],[ASTTieBreak]],PlayerGameData[ASTTieBreak],1)</f>
        <v>625</v>
      </c>
      <c r="AU881" s="8">
        <f ca="1">RANK(PlayerGameData[[#This Row],[STL]],PlayerGameData[STL],0)+PlayerGameData[[#This Row],[VisibleOrder]]</f>
        <v>1142</v>
      </c>
      <c r="AV881" s="8">
        <f ca="1">IF(COUNTIF(PlayerGameData[STLOrder],PlayerGameData[[#This Row],[STLOrder]])&gt;1,PlayerGameData[[#This Row],[PointRank]]/100+PlayerGameData[[#This Row],[STLOrder]],PlayerGameData[[#This Row],[STLOrder]])</f>
        <v>1148.25</v>
      </c>
      <c r="AW881" s="8">
        <f ca="1">RANK(PlayerGameData[[#This Row],[STLTieBreak]],PlayerGameData[STLTieBreak],1)</f>
        <v>625</v>
      </c>
      <c r="AX881" s="8">
        <f ca="1">RANK(PlayerGameData[[#This Row],[BLK]],PlayerGameData[BLK],0)+PlayerGameData[[#This Row],[VisibleOrder]]</f>
        <v>1031</v>
      </c>
      <c r="AY881" s="8">
        <f ca="1">IF(COUNTIF(PlayerGameData[BLKOrder],PlayerGameData[[#This Row],[BLKOrder]])&gt;1,PlayerGameData[[#This Row],[PointRank]]/100+PlayerGameData[[#This Row],[BLKOrder]],PlayerGameData[[#This Row],[BLKOrder]])</f>
        <v>1037.25</v>
      </c>
      <c r="AZ881" s="8">
        <f ca="1">RANK(PlayerGameData[[#This Row],[BLKTieBreak]],PlayerGameData[BLKTieBreak],1)</f>
        <v>625</v>
      </c>
      <c r="BA881" s="11">
        <f ca="1">IFERROR(IF(PlayerGameData[[#This Row],[FGA]]&gt;$AA$5,PlayerGameData[[#This Row],[FG%*]],PlayerGameData[[#This Row],[FG%*]]*-1),-2)</f>
        <v>-2</v>
      </c>
      <c r="BB881" s="8">
        <f ca="1">RANK(PlayerGameData[[#This Row],[EligFG]],PlayerGameData[EligFG],0)+PlayerGameData[[#This Row],[VisibleOrder]]</f>
        <v>1214</v>
      </c>
      <c r="BC881" s="8">
        <f ca="1">IF(COUNTIF(PlayerGameData[EligFGOrder],PlayerGameData[[#This Row],[EligFGOrder]])&gt;1,PlayerGameData[[#This Row],[PointRank]]/100+PlayerGameData[[#This Row],[EligFGOrder]],PlayerGameData[[#This Row],[EligFGOrder]])</f>
        <v>1220.25</v>
      </c>
      <c r="BD881" s="8">
        <f ca="1">RANK(PlayerGameData[[#This Row],[EligFGTieBreak]],PlayerGameData[EligFGTieBreak],1)</f>
        <v>625</v>
      </c>
      <c r="BE881" s="8" t="str">
        <f>Roster!$D$3</f>
        <v>East</v>
      </c>
      <c r="BF881" s="8" t="str">
        <f>Roster!$D$2</f>
        <v>Northeast</v>
      </c>
      <c r="BG881" s="8" t="str">
        <f>Roster!$D$4</f>
        <v>North</v>
      </c>
      <c r="BH881" s="197">
        <f ca="1">IFERROR(VLOOKUP(CONCATENATE(PlayerGameData[[#This Row],[Opponent]]," ",MONTH(PlayerGameData[[#This Row],[Date]]),"/",DAY(PlayerGameData[[#This Row],[Date]]),"/",YEAR(PlayerGameData[[#This Row],[Date]])),Table35[],2,FALSE),0)</f>
        <v>0</v>
      </c>
      <c r="BI881" s="197">
        <f ca="1">IF(PlayerGameData[[#This Row],[Visible]]=1,1,1000)</f>
        <v>1000</v>
      </c>
      <c r="BJ881" s="197" t="e">
        <f ca="1">_xlfn.MAXIFS(TeamGameData[Win],TeamGameData[School, Opponent,Game'#],PlayerGameData[[#This Row],[School, Opponent,Game'#]])</f>
        <v>#NAME?</v>
      </c>
      <c r="BK881" s="197" t="e">
        <f ca="1">_xlfn.MAXIFS(TeamGameData[Loss],TeamGameData[School, Opponent,Game'#],PlayerGameData[[#This Row],[School, Opponent,Game'#]])</f>
        <v>#NAME?</v>
      </c>
    </row>
    <row r="882" spans="1:63" x14ac:dyDescent="0.25">
      <c r="A882" s="8" t="str">
        <f t="shared" ca="1" si="423"/>
        <v>Jacob McNutt, 34</v>
      </c>
      <c r="B882" s="8" t="str">
        <f>Roster!$B$1</f>
        <v>Upton</v>
      </c>
      <c r="C882" s="8">
        <f t="shared" ca="1" si="411"/>
        <v>0</v>
      </c>
      <c r="D882" s="10">
        <f t="shared" ca="1" si="412"/>
        <v>0</v>
      </c>
      <c r="E882" s="8">
        <f t="shared" ca="1" si="413"/>
        <v>0</v>
      </c>
      <c r="F882" s="8">
        <f t="shared" ca="1" si="414"/>
        <v>0</v>
      </c>
      <c r="G882" s="8">
        <f t="shared" ca="1" si="415"/>
        <v>0</v>
      </c>
      <c r="H882" s="8">
        <f t="shared" ca="1" si="416"/>
        <v>0</v>
      </c>
      <c r="I882" s="8">
        <f t="shared" ca="1" si="417"/>
        <v>0</v>
      </c>
      <c r="J882" s="8">
        <f t="shared" ca="1" si="418"/>
        <v>0</v>
      </c>
      <c r="K882" s="8">
        <f t="shared" ca="1" si="419"/>
        <v>0</v>
      </c>
      <c r="L882" s="8">
        <f t="shared" ca="1" si="424"/>
        <v>0</v>
      </c>
      <c r="M882" s="8">
        <f t="shared" ca="1" si="425"/>
        <v>0</v>
      </c>
      <c r="N882" s="8">
        <f t="shared" ca="1" si="426"/>
        <v>0</v>
      </c>
      <c r="O882" s="8">
        <f t="shared" ca="1" si="427"/>
        <v>0</v>
      </c>
      <c r="P882" s="8">
        <f t="shared" ca="1" si="428"/>
        <v>0</v>
      </c>
      <c r="Q882" s="8">
        <f t="shared" ca="1" si="429"/>
        <v>0</v>
      </c>
      <c r="R882" s="8">
        <f t="shared" ca="1" si="430"/>
        <v>0</v>
      </c>
      <c r="S882" s="8">
        <f t="shared" ca="1" si="431"/>
        <v>0</v>
      </c>
      <c r="T882" s="8">
        <f t="shared" ca="1" si="432"/>
        <v>0</v>
      </c>
      <c r="U882" s="8">
        <f t="shared" ca="1" si="433"/>
        <v>0</v>
      </c>
      <c r="V882" s="8">
        <f t="shared" ca="1" si="434"/>
        <v>0</v>
      </c>
      <c r="W882" s="11" t="str">
        <f t="shared" ca="1" si="435"/>
        <v/>
      </c>
      <c r="X882" s="11" t="str">
        <f t="shared" ca="1" si="436"/>
        <v/>
      </c>
      <c r="Y882" s="11" t="str">
        <f t="shared" ca="1" si="437"/>
        <v/>
      </c>
      <c r="Z882" s="11" t="str">
        <f t="shared" ca="1" si="438"/>
        <v/>
      </c>
      <c r="AA882" s="11" t="str">
        <f t="shared" ca="1" si="439"/>
        <v/>
      </c>
      <c r="AB882" s="47">
        <f ca="1">PlayerGameData[[#This Row],[3FGA]]+PlayerGameData[[#This Row],[2FGA]]</f>
        <v>0</v>
      </c>
      <c r="AC882" s="47">
        <f ca="1">PlayerGameData[[#This Row],[OFF REB]]+PlayerGameData[[#This Row],[DEF REB]]</f>
        <v>0</v>
      </c>
      <c r="AD882" s="8">
        <f t="shared" si="420"/>
        <v>37</v>
      </c>
      <c r="AE882" s="8" t="str">
        <f t="shared" ca="1" si="421"/>
        <v>Jacob McNutt, 34 - 0 1/0/1900</v>
      </c>
      <c r="AF882" s="8" t="str">
        <f t="shared" ca="1" si="440"/>
        <v/>
      </c>
      <c r="AG882" s="8" t="str">
        <f ca="1">IFERROR(IF(C882=0,"",IF(AND(VLOOKUP(PlayerGameData[[#This Row],[Opponent]],WYTeamInfo,2,FALSE)=Roster!$D$1,VLOOKUP(PlayerGameData[[#This Row],[Opponent]],WYTeamInfo,3,FALSE)=Roster!$D$2),"SR","")),"")</f>
        <v/>
      </c>
      <c r="AH882" s="8" t="str">
        <f>CONCATENATE(Roster!$D$1," ",Roster!$D$5)</f>
        <v>1A BB</v>
      </c>
      <c r="AI882" s="8" t="str">
        <f t="shared" ca="1" si="422"/>
        <v>Blank</v>
      </c>
      <c r="AJ882" s="8">
        <f ca="1">IFERROR(VLOOKUP(PlayerGameData[[#This Row],[School, Opponent,Game'#]],Table3[],2,FALSE),0)</f>
        <v>0</v>
      </c>
      <c r="AK882" s="8">
        <f ca="1">IF(PlayerGameData[[#This Row],[Visible]]=1,1,1000)</f>
        <v>1000</v>
      </c>
      <c r="AL882" s="8">
        <f ca="1">RANK(PlayerGameData[[#This Row],[TL PTS]],PlayerGameData[TL PTS],0)+PlayerGameData[[#This Row],[VisibleOrder]]</f>
        <v>1184</v>
      </c>
      <c r="AM882" s="8">
        <f ca="1">IF(COUNTIF(PlayerGameData[PointOrder],PlayerGameData[[#This Row],[PointOrder]])&gt;1,RANK(PlayerGameData[[#This Row],[FGA]],PlayerGameData[FGA],0)/100,0)+PlayerGameData[[#This Row],[PointOrder]]</f>
        <v>1186.1400000000001</v>
      </c>
      <c r="AN882" s="8">
        <f ca="1">RANK(PlayerGameData[[#This Row],[PointTieBreak]],PlayerGameData[PointTieBreak],1)</f>
        <v>625</v>
      </c>
      <c r="AO882" s="8">
        <f ca="1">RANK(PlayerGameData[[#This Row],[REB]],PlayerGameData[REB],0)+PlayerGameData[[#This Row],[VisibleOrder]]</f>
        <v>1191</v>
      </c>
      <c r="AP882" s="8">
        <f ca="1">IF(COUNTIF(PlayerGameData[REBOrder],PlayerGameData[[#This Row],[REBOrder]])&gt;1,PlayerGameData[[#This Row],[PointRank]]/100+PlayerGameData[[#This Row],[REBOrder]],PlayerGameData[[#This Row],[REBOrder]])</f>
        <v>1197.25</v>
      </c>
      <c r="AQ882" s="8">
        <f ca="1">RANK(PlayerGameData[[#This Row],[REBTieBreak]],PlayerGameData[REBTieBreak],1)</f>
        <v>625</v>
      </c>
      <c r="AR882" s="8">
        <f ca="1">RANK(PlayerGameData[[#This Row],[AST]],PlayerGameData[AST],0)+PlayerGameData[[#This Row],[VisibleOrder]]</f>
        <v>1157</v>
      </c>
      <c r="AS882" s="8">
        <f ca="1">IF(COUNTIF(PlayerGameData[ASTOrder],PlayerGameData[[#This Row],[ASTOrder]])&gt;1,PlayerGameData[[#This Row],[PointRank]]/100+PlayerGameData[[#This Row],[ASTOrder]],PlayerGameData[[#This Row],[ASTOrder]])</f>
        <v>1163.25</v>
      </c>
      <c r="AT882" s="8">
        <f ca="1">RANK(PlayerGameData[[#This Row],[ASTTieBreak]],PlayerGameData[ASTTieBreak],1)</f>
        <v>625</v>
      </c>
      <c r="AU882" s="8">
        <f ca="1">RANK(PlayerGameData[[#This Row],[STL]],PlayerGameData[STL],0)+PlayerGameData[[#This Row],[VisibleOrder]]</f>
        <v>1142</v>
      </c>
      <c r="AV882" s="8">
        <f ca="1">IF(COUNTIF(PlayerGameData[STLOrder],PlayerGameData[[#This Row],[STLOrder]])&gt;1,PlayerGameData[[#This Row],[PointRank]]/100+PlayerGameData[[#This Row],[STLOrder]],PlayerGameData[[#This Row],[STLOrder]])</f>
        <v>1148.25</v>
      </c>
      <c r="AW882" s="8">
        <f ca="1">RANK(PlayerGameData[[#This Row],[STLTieBreak]],PlayerGameData[STLTieBreak],1)</f>
        <v>625</v>
      </c>
      <c r="AX882" s="8">
        <f ca="1">RANK(PlayerGameData[[#This Row],[BLK]],PlayerGameData[BLK],0)+PlayerGameData[[#This Row],[VisibleOrder]]</f>
        <v>1031</v>
      </c>
      <c r="AY882" s="8">
        <f ca="1">IF(COUNTIF(PlayerGameData[BLKOrder],PlayerGameData[[#This Row],[BLKOrder]])&gt;1,PlayerGameData[[#This Row],[PointRank]]/100+PlayerGameData[[#This Row],[BLKOrder]],PlayerGameData[[#This Row],[BLKOrder]])</f>
        <v>1037.25</v>
      </c>
      <c r="AZ882" s="8">
        <f ca="1">RANK(PlayerGameData[[#This Row],[BLKTieBreak]],PlayerGameData[BLKTieBreak],1)</f>
        <v>625</v>
      </c>
      <c r="BA882" s="11">
        <f ca="1">IFERROR(IF(PlayerGameData[[#This Row],[FGA]]&gt;$AA$5,PlayerGameData[[#This Row],[FG%*]],PlayerGameData[[#This Row],[FG%*]]*-1),-2)</f>
        <v>-2</v>
      </c>
      <c r="BB882" s="8">
        <f ca="1">RANK(PlayerGameData[[#This Row],[EligFG]],PlayerGameData[EligFG],0)+PlayerGameData[[#This Row],[VisibleOrder]]</f>
        <v>1214</v>
      </c>
      <c r="BC882" s="8">
        <f ca="1">IF(COUNTIF(PlayerGameData[EligFGOrder],PlayerGameData[[#This Row],[EligFGOrder]])&gt;1,PlayerGameData[[#This Row],[PointRank]]/100+PlayerGameData[[#This Row],[EligFGOrder]],PlayerGameData[[#This Row],[EligFGOrder]])</f>
        <v>1220.25</v>
      </c>
      <c r="BD882" s="8">
        <f ca="1">RANK(PlayerGameData[[#This Row],[EligFGTieBreak]],PlayerGameData[EligFGTieBreak],1)</f>
        <v>625</v>
      </c>
      <c r="BE882" s="8" t="str">
        <f>Roster!$D$3</f>
        <v>East</v>
      </c>
      <c r="BF882" s="8" t="str">
        <f>Roster!$D$2</f>
        <v>Northeast</v>
      </c>
      <c r="BG882" s="8" t="str">
        <f>Roster!$D$4</f>
        <v>North</v>
      </c>
      <c r="BH882" s="197">
        <f ca="1">IFERROR(VLOOKUP(CONCATENATE(PlayerGameData[[#This Row],[Opponent]]," ",MONTH(PlayerGameData[[#This Row],[Date]]),"/",DAY(PlayerGameData[[#This Row],[Date]]),"/",YEAR(PlayerGameData[[#This Row],[Date]])),Table35[],2,FALSE),0)</f>
        <v>0</v>
      </c>
      <c r="BI882" s="197">
        <f ca="1">IF(PlayerGameData[[#This Row],[Visible]]=1,1,1000)</f>
        <v>1000</v>
      </c>
      <c r="BJ882" s="197" t="e">
        <f ca="1">_xlfn.MAXIFS(TeamGameData[Win],TeamGameData[School, Opponent,Game'#],PlayerGameData[[#This Row],[School, Opponent,Game'#]])</f>
        <v>#NAME?</v>
      </c>
      <c r="BK882" s="197" t="e">
        <f ca="1">_xlfn.MAXIFS(TeamGameData[Loss],TeamGameData[School, Opponent,Game'#],PlayerGameData[[#This Row],[School, Opponent,Game'#]])</f>
        <v>#NAME?</v>
      </c>
    </row>
    <row r="883" spans="1:63" x14ac:dyDescent="0.25">
      <c r="A883" s="8" t="str">
        <f t="shared" ca="1" si="423"/>
        <v>Ryan Baker, 35</v>
      </c>
      <c r="B883" s="8" t="str">
        <f>Roster!$B$1</f>
        <v>Upton</v>
      </c>
      <c r="C883" s="8">
        <f t="shared" ca="1" si="411"/>
        <v>0</v>
      </c>
      <c r="D883" s="10">
        <f t="shared" ca="1" si="412"/>
        <v>0</v>
      </c>
      <c r="E883" s="8">
        <f t="shared" ca="1" si="413"/>
        <v>0</v>
      </c>
      <c r="F883" s="8">
        <f t="shared" ca="1" si="414"/>
        <v>0</v>
      </c>
      <c r="G883" s="8">
        <f t="shared" ca="1" si="415"/>
        <v>0</v>
      </c>
      <c r="H883" s="8">
        <f t="shared" ca="1" si="416"/>
        <v>0</v>
      </c>
      <c r="I883" s="8">
        <f t="shared" ca="1" si="417"/>
        <v>0</v>
      </c>
      <c r="J883" s="8">
        <f t="shared" ca="1" si="418"/>
        <v>0</v>
      </c>
      <c r="K883" s="8">
        <f t="shared" ca="1" si="419"/>
        <v>0</v>
      </c>
      <c r="L883" s="8">
        <f t="shared" ca="1" si="424"/>
        <v>0</v>
      </c>
      <c r="M883" s="8">
        <f t="shared" ca="1" si="425"/>
        <v>0</v>
      </c>
      <c r="N883" s="8">
        <f t="shared" ca="1" si="426"/>
        <v>0</v>
      </c>
      <c r="O883" s="8">
        <f t="shared" ca="1" si="427"/>
        <v>0</v>
      </c>
      <c r="P883" s="8">
        <f t="shared" ca="1" si="428"/>
        <v>0</v>
      </c>
      <c r="Q883" s="8">
        <f t="shared" ca="1" si="429"/>
        <v>0</v>
      </c>
      <c r="R883" s="8">
        <f t="shared" ca="1" si="430"/>
        <v>0</v>
      </c>
      <c r="S883" s="8">
        <f t="shared" ca="1" si="431"/>
        <v>0</v>
      </c>
      <c r="T883" s="8">
        <f t="shared" ca="1" si="432"/>
        <v>0</v>
      </c>
      <c r="U883" s="8">
        <f t="shared" ca="1" si="433"/>
        <v>0</v>
      </c>
      <c r="V883" s="8">
        <f t="shared" ca="1" si="434"/>
        <v>0</v>
      </c>
      <c r="W883" s="11" t="str">
        <f t="shared" ca="1" si="435"/>
        <v/>
      </c>
      <c r="X883" s="11" t="str">
        <f t="shared" ca="1" si="436"/>
        <v/>
      </c>
      <c r="Y883" s="11" t="str">
        <f t="shared" ca="1" si="437"/>
        <v/>
      </c>
      <c r="Z883" s="11" t="str">
        <f t="shared" ca="1" si="438"/>
        <v/>
      </c>
      <c r="AA883" s="11" t="str">
        <f t="shared" ca="1" si="439"/>
        <v/>
      </c>
      <c r="AB883" s="47">
        <f ca="1">PlayerGameData[[#This Row],[3FGA]]+PlayerGameData[[#This Row],[2FGA]]</f>
        <v>0</v>
      </c>
      <c r="AC883" s="47">
        <f ca="1">PlayerGameData[[#This Row],[OFF REB]]+PlayerGameData[[#This Row],[DEF REB]]</f>
        <v>0</v>
      </c>
      <c r="AD883" s="8">
        <f t="shared" si="420"/>
        <v>37</v>
      </c>
      <c r="AE883" s="8" t="str">
        <f t="shared" ca="1" si="421"/>
        <v>Ryan Baker, 35 - 0 1/0/1900</v>
      </c>
      <c r="AF883" s="8" t="str">
        <f t="shared" ca="1" si="440"/>
        <v/>
      </c>
      <c r="AG883" s="8" t="str">
        <f ca="1">IFERROR(IF(C883=0,"",IF(AND(VLOOKUP(PlayerGameData[[#This Row],[Opponent]],WYTeamInfo,2,FALSE)=Roster!$D$1,VLOOKUP(PlayerGameData[[#This Row],[Opponent]],WYTeamInfo,3,FALSE)=Roster!$D$2),"SR","")),"")</f>
        <v/>
      </c>
      <c r="AH883" s="8" t="str">
        <f>CONCATENATE(Roster!$D$1," ",Roster!$D$5)</f>
        <v>1A BB</v>
      </c>
      <c r="AI883" s="8" t="str">
        <f t="shared" ca="1" si="422"/>
        <v>Blank</v>
      </c>
      <c r="AJ883" s="8">
        <f ca="1">IFERROR(VLOOKUP(PlayerGameData[[#This Row],[School, Opponent,Game'#]],Table3[],2,FALSE),0)</f>
        <v>0</v>
      </c>
      <c r="AK883" s="8">
        <f ca="1">IF(PlayerGameData[[#This Row],[Visible]]=1,1,1000)</f>
        <v>1000</v>
      </c>
      <c r="AL883" s="8">
        <f ca="1">RANK(PlayerGameData[[#This Row],[TL PTS]],PlayerGameData[TL PTS],0)+PlayerGameData[[#This Row],[VisibleOrder]]</f>
        <v>1184</v>
      </c>
      <c r="AM883" s="8">
        <f ca="1">IF(COUNTIF(PlayerGameData[PointOrder],PlayerGameData[[#This Row],[PointOrder]])&gt;1,RANK(PlayerGameData[[#This Row],[FGA]],PlayerGameData[FGA],0)/100,0)+PlayerGameData[[#This Row],[PointOrder]]</f>
        <v>1186.1400000000001</v>
      </c>
      <c r="AN883" s="8">
        <f ca="1">RANK(PlayerGameData[[#This Row],[PointTieBreak]],PlayerGameData[PointTieBreak],1)</f>
        <v>625</v>
      </c>
      <c r="AO883" s="8">
        <f ca="1">RANK(PlayerGameData[[#This Row],[REB]],PlayerGameData[REB],0)+PlayerGameData[[#This Row],[VisibleOrder]]</f>
        <v>1191</v>
      </c>
      <c r="AP883" s="8">
        <f ca="1">IF(COUNTIF(PlayerGameData[REBOrder],PlayerGameData[[#This Row],[REBOrder]])&gt;1,PlayerGameData[[#This Row],[PointRank]]/100+PlayerGameData[[#This Row],[REBOrder]],PlayerGameData[[#This Row],[REBOrder]])</f>
        <v>1197.25</v>
      </c>
      <c r="AQ883" s="8">
        <f ca="1">RANK(PlayerGameData[[#This Row],[REBTieBreak]],PlayerGameData[REBTieBreak],1)</f>
        <v>625</v>
      </c>
      <c r="AR883" s="8">
        <f ca="1">RANK(PlayerGameData[[#This Row],[AST]],PlayerGameData[AST],0)+PlayerGameData[[#This Row],[VisibleOrder]]</f>
        <v>1157</v>
      </c>
      <c r="AS883" s="8">
        <f ca="1">IF(COUNTIF(PlayerGameData[ASTOrder],PlayerGameData[[#This Row],[ASTOrder]])&gt;1,PlayerGameData[[#This Row],[PointRank]]/100+PlayerGameData[[#This Row],[ASTOrder]],PlayerGameData[[#This Row],[ASTOrder]])</f>
        <v>1163.25</v>
      </c>
      <c r="AT883" s="8">
        <f ca="1">RANK(PlayerGameData[[#This Row],[ASTTieBreak]],PlayerGameData[ASTTieBreak],1)</f>
        <v>625</v>
      </c>
      <c r="AU883" s="8">
        <f ca="1">RANK(PlayerGameData[[#This Row],[STL]],PlayerGameData[STL],0)+PlayerGameData[[#This Row],[VisibleOrder]]</f>
        <v>1142</v>
      </c>
      <c r="AV883" s="8">
        <f ca="1">IF(COUNTIF(PlayerGameData[STLOrder],PlayerGameData[[#This Row],[STLOrder]])&gt;1,PlayerGameData[[#This Row],[PointRank]]/100+PlayerGameData[[#This Row],[STLOrder]],PlayerGameData[[#This Row],[STLOrder]])</f>
        <v>1148.25</v>
      </c>
      <c r="AW883" s="8">
        <f ca="1">RANK(PlayerGameData[[#This Row],[STLTieBreak]],PlayerGameData[STLTieBreak],1)</f>
        <v>625</v>
      </c>
      <c r="AX883" s="8">
        <f ca="1">RANK(PlayerGameData[[#This Row],[BLK]],PlayerGameData[BLK],0)+PlayerGameData[[#This Row],[VisibleOrder]]</f>
        <v>1031</v>
      </c>
      <c r="AY883" s="8">
        <f ca="1">IF(COUNTIF(PlayerGameData[BLKOrder],PlayerGameData[[#This Row],[BLKOrder]])&gt;1,PlayerGameData[[#This Row],[PointRank]]/100+PlayerGameData[[#This Row],[BLKOrder]],PlayerGameData[[#This Row],[BLKOrder]])</f>
        <v>1037.25</v>
      </c>
      <c r="AZ883" s="8">
        <f ca="1">RANK(PlayerGameData[[#This Row],[BLKTieBreak]],PlayerGameData[BLKTieBreak],1)</f>
        <v>625</v>
      </c>
      <c r="BA883" s="11">
        <f ca="1">IFERROR(IF(PlayerGameData[[#This Row],[FGA]]&gt;$AA$5,PlayerGameData[[#This Row],[FG%*]],PlayerGameData[[#This Row],[FG%*]]*-1),-2)</f>
        <v>-2</v>
      </c>
      <c r="BB883" s="8">
        <f ca="1">RANK(PlayerGameData[[#This Row],[EligFG]],PlayerGameData[EligFG],0)+PlayerGameData[[#This Row],[VisibleOrder]]</f>
        <v>1214</v>
      </c>
      <c r="BC883" s="8">
        <f ca="1">IF(COUNTIF(PlayerGameData[EligFGOrder],PlayerGameData[[#This Row],[EligFGOrder]])&gt;1,PlayerGameData[[#This Row],[PointRank]]/100+PlayerGameData[[#This Row],[EligFGOrder]],PlayerGameData[[#This Row],[EligFGOrder]])</f>
        <v>1220.25</v>
      </c>
      <c r="BD883" s="8">
        <f ca="1">RANK(PlayerGameData[[#This Row],[EligFGTieBreak]],PlayerGameData[EligFGTieBreak],1)</f>
        <v>625</v>
      </c>
      <c r="BE883" s="8" t="str">
        <f>Roster!$D$3</f>
        <v>East</v>
      </c>
      <c r="BF883" s="8" t="str">
        <f>Roster!$D$2</f>
        <v>Northeast</v>
      </c>
      <c r="BG883" s="8" t="str">
        <f>Roster!$D$4</f>
        <v>North</v>
      </c>
      <c r="BH883" s="197">
        <f ca="1">IFERROR(VLOOKUP(CONCATENATE(PlayerGameData[[#This Row],[Opponent]]," ",MONTH(PlayerGameData[[#This Row],[Date]]),"/",DAY(PlayerGameData[[#This Row],[Date]]),"/",YEAR(PlayerGameData[[#This Row],[Date]])),Table35[],2,FALSE),0)</f>
        <v>0</v>
      </c>
      <c r="BI883" s="197">
        <f ca="1">IF(PlayerGameData[[#This Row],[Visible]]=1,1,1000)</f>
        <v>1000</v>
      </c>
      <c r="BJ883" s="197" t="e">
        <f ca="1">_xlfn.MAXIFS(TeamGameData[Win],TeamGameData[School, Opponent,Game'#],PlayerGameData[[#This Row],[School, Opponent,Game'#]])</f>
        <v>#NAME?</v>
      </c>
      <c r="BK883" s="197" t="e">
        <f ca="1">_xlfn.MAXIFS(TeamGameData[Loss],TeamGameData[School, Opponent,Game'#],PlayerGameData[[#This Row],[School, Opponent,Game'#]])</f>
        <v>#NAME?</v>
      </c>
    </row>
    <row r="884" spans="1:63" x14ac:dyDescent="0.25">
      <c r="A884" s="8" t="str">
        <f t="shared" ca="1" si="423"/>
        <v xml:space="preserve">, </v>
      </c>
      <c r="B884" s="8" t="str">
        <f>Roster!$B$1</f>
        <v>Upton</v>
      </c>
      <c r="C884" s="8">
        <f t="shared" ca="1" si="411"/>
        <v>0</v>
      </c>
      <c r="D884" s="10">
        <f t="shared" ca="1" si="412"/>
        <v>0</v>
      </c>
      <c r="E884" s="8">
        <f t="shared" ca="1" si="413"/>
        <v>0</v>
      </c>
      <c r="F884" s="8">
        <f t="shared" ca="1" si="414"/>
        <v>0</v>
      </c>
      <c r="G884" s="8">
        <f t="shared" ca="1" si="415"/>
        <v>0</v>
      </c>
      <c r="H884" s="8">
        <f t="shared" ca="1" si="416"/>
        <v>0</v>
      </c>
      <c r="I884" s="8">
        <f t="shared" ca="1" si="417"/>
        <v>0</v>
      </c>
      <c r="J884" s="8">
        <f t="shared" ca="1" si="418"/>
        <v>0</v>
      </c>
      <c r="K884" s="8">
        <f t="shared" ca="1" si="419"/>
        <v>0</v>
      </c>
      <c r="L884" s="8">
        <f t="shared" ca="1" si="424"/>
        <v>0</v>
      </c>
      <c r="M884" s="8">
        <f t="shared" ca="1" si="425"/>
        <v>0</v>
      </c>
      <c r="N884" s="8">
        <f t="shared" ca="1" si="426"/>
        <v>0</v>
      </c>
      <c r="O884" s="8">
        <f t="shared" ca="1" si="427"/>
        <v>0</v>
      </c>
      <c r="P884" s="8">
        <f t="shared" ca="1" si="428"/>
        <v>0</v>
      </c>
      <c r="Q884" s="8">
        <f t="shared" ca="1" si="429"/>
        <v>0</v>
      </c>
      <c r="R884" s="8">
        <f t="shared" ca="1" si="430"/>
        <v>0</v>
      </c>
      <c r="S884" s="8">
        <f t="shared" ca="1" si="431"/>
        <v>0</v>
      </c>
      <c r="T884" s="8">
        <f t="shared" ca="1" si="432"/>
        <v>0</v>
      </c>
      <c r="U884" s="8">
        <f t="shared" ca="1" si="433"/>
        <v>0</v>
      </c>
      <c r="V884" s="8">
        <f t="shared" ca="1" si="434"/>
        <v>0</v>
      </c>
      <c r="W884" s="11" t="str">
        <f t="shared" ca="1" si="435"/>
        <v/>
      </c>
      <c r="X884" s="11" t="str">
        <f t="shared" ca="1" si="436"/>
        <v/>
      </c>
      <c r="Y884" s="11" t="str">
        <f t="shared" ca="1" si="437"/>
        <v/>
      </c>
      <c r="Z884" s="11" t="str">
        <f t="shared" ca="1" si="438"/>
        <v/>
      </c>
      <c r="AA884" s="11" t="str">
        <f t="shared" ca="1" si="439"/>
        <v/>
      </c>
      <c r="AB884" s="47">
        <f ca="1">PlayerGameData[[#This Row],[3FGA]]+PlayerGameData[[#This Row],[2FGA]]</f>
        <v>0</v>
      </c>
      <c r="AC884" s="47">
        <f ca="1">PlayerGameData[[#This Row],[OFF REB]]+PlayerGameData[[#This Row],[DEF REB]]</f>
        <v>0</v>
      </c>
      <c r="AD884" s="8">
        <f t="shared" si="420"/>
        <v>37</v>
      </c>
      <c r="AE884" s="8" t="str">
        <f t="shared" ca="1" si="421"/>
        <v>,  - 0 1/0/1900</v>
      </c>
      <c r="AF884" s="8" t="str">
        <f t="shared" ca="1" si="440"/>
        <v/>
      </c>
      <c r="AG884" s="8" t="str">
        <f ca="1">IFERROR(IF(C884=0,"",IF(AND(VLOOKUP(PlayerGameData[[#This Row],[Opponent]],WYTeamInfo,2,FALSE)=Roster!$D$1,VLOOKUP(PlayerGameData[[#This Row],[Opponent]],WYTeamInfo,3,FALSE)=Roster!$D$2),"SR","")),"")</f>
        <v/>
      </c>
      <c r="AH884" s="8" t="str">
        <f>CONCATENATE(Roster!$D$1," ",Roster!$D$5)</f>
        <v>1A BB</v>
      </c>
      <c r="AI884" s="8" t="str">
        <f t="shared" ca="1" si="422"/>
        <v>Blank</v>
      </c>
      <c r="AJ884" s="8">
        <f ca="1">IFERROR(VLOOKUP(PlayerGameData[[#This Row],[School, Opponent,Game'#]],Table3[],2,FALSE),0)</f>
        <v>0</v>
      </c>
      <c r="AK884" s="8">
        <f ca="1">IF(PlayerGameData[[#This Row],[Visible]]=1,1,1000)</f>
        <v>1000</v>
      </c>
      <c r="AL884" s="8">
        <f ca="1">RANK(PlayerGameData[[#This Row],[TL PTS]],PlayerGameData[TL PTS],0)+PlayerGameData[[#This Row],[VisibleOrder]]</f>
        <v>1184</v>
      </c>
      <c r="AM884" s="8">
        <f ca="1">IF(COUNTIF(PlayerGameData[PointOrder],PlayerGameData[[#This Row],[PointOrder]])&gt;1,RANK(PlayerGameData[[#This Row],[FGA]],PlayerGameData[FGA],0)/100,0)+PlayerGameData[[#This Row],[PointOrder]]</f>
        <v>1186.1400000000001</v>
      </c>
      <c r="AN884" s="8">
        <f ca="1">RANK(PlayerGameData[[#This Row],[PointTieBreak]],PlayerGameData[PointTieBreak],1)</f>
        <v>625</v>
      </c>
      <c r="AO884" s="8">
        <f ca="1">RANK(PlayerGameData[[#This Row],[REB]],PlayerGameData[REB],0)+PlayerGameData[[#This Row],[VisibleOrder]]</f>
        <v>1191</v>
      </c>
      <c r="AP884" s="8">
        <f ca="1">IF(COUNTIF(PlayerGameData[REBOrder],PlayerGameData[[#This Row],[REBOrder]])&gt;1,PlayerGameData[[#This Row],[PointRank]]/100+PlayerGameData[[#This Row],[REBOrder]],PlayerGameData[[#This Row],[REBOrder]])</f>
        <v>1197.25</v>
      </c>
      <c r="AQ884" s="8">
        <f ca="1">RANK(PlayerGameData[[#This Row],[REBTieBreak]],PlayerGameData[REBTieBreak],1)</f>
        <v>625</v>
      </c>
      <c r="AR884" s="8">
        <f ca="1">RANK(PlayerGameData[[#This Row],[AST]],PlayerGameData[AST],0)+PlayerGameData[[#This Row],[VisibleOrder]]</f>
        <v>1157</v>
      </c>
      <c r="AS884" s="8">
        <f ca="1">IF(COUNTIF(PlayerGameData[ASTOrder],PlayerGameData[[#This Row],[ASTOrder]])&gt;1,PlayerGameData[[#This Row],[PointRank]]/100+PlayerGameData[[#This Row],[ASTOrder]],PlayerGameData[[#This Row],[ASTOrder]])</f>
        <v>1163.25</v>
      </c>
      <c r="AT884" s="8">
        <f ca="1">RANK(PlayerGameData[[#This Row],[ASTTieBreak]],PlayerGameData[ASTTieBreak],1)</f>
        <v>625</v>
      </c>
      <c r="AU884" s="8">
        <f ca="1">RANK(PlayerGameData[[#This Row],[STL]],PlayerGameData[STL],0)+PlayerGameData[[#This Row],[VisibleOrder]]</f>
        <v>1142</v>
      </c>
      <c r="AV884" s="8">
        <f ca="1">IF(COUNTIF(PlayerGameData[STLOrder],PlayerGameData[[#This Row],[STLOrder]])&gt;1,PlayerGameData[[#This Row],[PointRank]]/100+PlayerGameData[[#This Row],[STLOrder]],PlayerGameData[[#This Row],[STLOrder]])</f>
        <v>1148.25</v>
      </c>
      <c r="AW884" s="8">
        <f ca="1">RANK(PlayerGameData[[#This Row],[STLTieBreak]],PlayerGameData[STLTieBreak],1)</f>
        <v>625</v>
      </c>
      <c r="AX884" s="8">
        <f ca="1">RANK(PlayerGameData[[#This Row],[BLK]],PlayerGameData[BLK],0)+PlayerGameData[[#This Row],[VisibleOrder]]</f>
        <v>1031</v>
      </c>
      <c r="AY884" s="8">
        <f ca="1">IF(COUNTIF(PlayerGameData[BLKOrder],PlayerGameData[[#This Row],[BLKOrder]])&gt;1,PlayerGameData[[#This Row],[PointRank]]/100+PlayerGameData[[#This Row],[BLKOrder]],PlayerGameData[[#This Row],[BLKOrder]])</f>
        <v>1037.25</v>
      </c>
      <c r="AZ884" s="8">
        <f ca="1">RANK(PlayerGameData[[#This Row],[BLKTieBreak]],PlayerGameData[BLKTieBreak],1)</f>
        <v>625</v>
      </c>
      <c r="BA884" s="11">
        <f ca="1">IFERROR(IF(PlayerGameData[[#This Row],[FGA]]&gt;$AA$5,PlayerGameData[[#This Row],[FG%*]],PlayerGameData[[#This Row],[FG%*]]*-1),-2)</f>
        <v>-2</v>
      </c>
      <c r="BB884" s="8">
        <f ca="1">RANK(PlayerGameData[[#This Row],[EligFG]],PlayerGameData[EligFG],0)+PlayerGameData[[#This Row],[VisibleOrder]]</f>
        <v>1214</v>
      </c>
      <c r="BC884" s="8">
        <f ca="1">IF(COUNTIF(PlayerGameData[EligFGOrder],PlayerGameData[[#This Row],[EligFGOrder]])&gt;1,PlayerGameData[[#This Row],[PointRank]]/100+PlayerGameData[[#This Row],[EligFGOrder]],PlayerGameData[[#This Row],[EligFGOrder]])</f>
        <v>1220.25</v>
      </c>
      <c r="BD884" s="8">
        <f ca="1">RANK(PlayerGameData[[#This Row],[EligFGTieBreak]],PlayerGameData[EligFGTieBreak],1)</f>
        <v>625</v>
      </c>
      <c r="BE884" s="8" t="str">
        <f>Roster!$D$3</f>
        <v>East</v>
      </c>
      <c r="BF884" s="8" t="str">
        <f>Roster!$D$2</f>
        <v>Northeast</v>
      </c>
      <c r="BG884" s="8" t="str">
        <f>Roster!$D$4</f>
        <v>North</v>
      </c>
      <c r="BH884" s="197">
        <f ca="1">IFERROR(VLOOKUP(CONCATENATE(PlayerGameData[[#This Row],[Opponent]]," ",MONTH(PlayerGameData[[#This Row],[Date]]),"/",DAY(PlayerGameData[[#This Row],[Date]]),"/",YEAR(PlayerGameData[[#This Row],[Date]])),Table35[],2,FALSE),0)</f>
        <v>0</v>
      </c>
      <c r="BI884" s="197">
        <f ca="1">IF(PlayerGameData[[#This Row],[Visible]]=1,1,1000)</f>
        <v>1000</v>
      </c>
      <c r="BJ884" s="197" t="e">
        <f ca="1">_xlfn.MAXIFS(TeamGameData[Win],TeamGameData[School, Opponent,Game'#],PlayerGameData[[#This Row],[School, Opponent,Game'#]])</f>
        <v>#NAME?</v>
      </c>
      <c r="BK884" s="197" t="e">
        <f ca="1">_xlfn.MAXIFS(TeamGameData[Loss],TeamGameData[School, Opponent,Game'#],PlayerGameData[[#This Row],[School, Opponent,Game'#]])</f>
        <v>#NAME?</v>
      </c>
    </row>
    <row r="885" spans="1:63" x14ac:dyDescent="0.25">
      <c r="A885" s="8" t="str">
        <f t="shared" ca="1" si="423"/>
        <v xml:space="preserve">, </v>
      </c>
      <c r="B885" s="8" t="str">
        <f>Roster!$B$1</f>
        <v>Upton</v>
      </c>
      <c r="C885" s="8">
        <f t="shared" ca="1" si="411"/>
        <v>0</v>
      </c>
      <c r="D885" s="10">
        <f t="shared" ca="1" si="412"/>
        <v>0</v>
      </c>
      <c r="E885" s="8">
        <f t="shared" ca="1" si="413"/>
        <v>0</v>
      </c>
      <c r="F885" s="8">
        <f t="shared" ca="1" si="414"/>
        <v>0</v>
      </c>
      <c r="G885" s="8">
        <f t="shared" ca="1" si="415"/>
        <v>0</v>
      </c>
      <c r="H885" s="8">
        <f t="shared" ca="1" si="416"/>
        <v>0</v>
      </c>
      <c r="I885" s="8">
        <f t="shared" ca="1" si="417"/>
        <v>0</v>
      </c>
      <c r="J885" s="8">
        <f t="shared" ca="1" si="418"/>
        <v>0</v>
      </c>
      <c r="K885" s="8">
        <f t="shared" ca="1" si="419"/>
        <v>0</v>
      </c>
      <c r="L885" s="8">
        <f t="shared" ca="1" si="424"/>
        <v>0</v>
      </c>
      <c r="M885" s="8">
        <f t="shared" ca="1" si="425"/>
        <v>0</v>
      </c>
      <c r="N885" s="8">
        <f t="shared" ca="1" si="426"/>
        <v>0</v>
      </c>
      <c r="O885" s="8">
        <f t="shared" ca="1" si="427"/>
        <v>0</v>
      </c>
      <c r="P885" s="8">
        <f t="shared" ca="1" si="428"/>
        <v>0</v>
      </c>
      <c r="Q885" s="8">
        <f t="shared" ca="1" si="429"/>
        <v>0</v>
      </c>
      <c r="R885" s="8">
        <f t="shared" ca="1" si="430"/>
        <v>0</v>
      </c>
      <c r="S885" s="8">
        <f t="shared" ca="1" si="431"/>
        <v>0</v>
      </c>
      <c r="T885" s="8">
        <f t="shared" ca="1" si="432"/>
        <v>0</v>
      </c>
      <c r="U885" s="8">
        <f t="shared" ca="1" si="433"/>
        <v>0</v>
      </c>
      <c r="V885" s="8">
        <f t="shared" ca="1" si="434"/>
        <v>0</v>
      </c>
      <c r="W885" s="11" t="str">
        <f t="shared" ca="1" si="435"/>
        <v/>
      </c>
      <c r="X885" s="11" t="str">
        <f t="shared" ca="1" si="436"/>
        <v/>
      </c>
      <c r="Y885" s="11" t="str">
        <f t="shared" ca="1" si="437"/>
        <v/>
      </c>
      <c r="Z885" s="11" t="str">
        <f t="shared" ca="1" si="438"/>
        <v/>
      </c>
      <c r="AA885" s="11" t="str">
        <f t="shared" ca="1" si="439"/>
        <v/>
      </c>
      <c r="AB885" s="47">
        <f ca="1">PlayerGameData[[#This Row],[3FGA]]+PlayerGameData[[#This Row],[2FGA]]</f>
        <v>0</v>
      </c>
      <c r="AC885" s="47">
        <f ca="1">PlayerGameData[[#This Row],[OFF REB]]+PlayerGameData[[#This Row],[DEF REB]]</f>
        <v>0</v>
      </c>
      <c r="AD885" s="8">
        <f t="shared" si="420"/>
        <v>37</v>
      </c>
      <c r="AE885" s="8" t="str">
        <f t="shared" ca="1" si="421"/>
        <v>,  - 0 1/0/1900</v>
      </c>
      <c r="AF885" s="8" t="str">
        <f t="shared" ca="1" si="440"/>
        <v/>
      </c>
      <c r="AG885" s="8" t="str">
        <f ca="1">IFERROR(IF(C885=0,"",IF(AND(VLOOKUP(PlayerGameData[[#This Row],[Opponent]],WYTeamInfo,2,FALSE)=Roster!$D$1,VLOOKUP(PlayerGameData[[#This Row],[Opponent]],WYTeamInfo,3,FALSE)=Roster!$D$2),"SR","")),"")</f>
        <v/>
      </c>
      <c r="AH885" s="8" t="str">
        <f>CONCATENATE(Roster!$D$1," ",Roster!$D$5)</f>
        <v>1A BB</v>
      </c>
      <c r="AI885" s="8" t="str">
        <f t="shared" ca="1" si="422"/>
        <v>Blank</v>
      </c>
      <c r="AJ885" s="8">
        <f ca="1">IFERROR(VLOOKUP(PlayerGameData[[#This Row],[School, Opponent,Game'#]],Table3[],2,FALSE),0)</f>
        <v>0</v>
      </c>
      <c r="AK885" s="8">
        <f ca="1">IF(PlayerGameData[[#This Row],[Visible]]=1,1,1000)</f>
        <v>1000</v>
      </c>
      <c r="AL885" s="8">
        <f ca="1">RANK(PlayerGameData[[#This Row],[TL PTS]],PlayerGameData[TL PTS],0)+PlayerGameData[[#This Row],[VisibleOrder]]</f>
        <v>1184</v>
      </c>
      <c r="AM885" s="8">
        <f ca="1">IF(COUNTIF(PlayerGameData[PointOrder],PlayerGameData[[#This Row],[PointOrder]])&gt;1,RANK(PlayerGameData[[#This Row],[FGA]],PlayerGameData[FGA],0)/100,0)+PlayerGameData[[#This Row],[PointOrder]]</f>
        <v>1186.1400000000001</v>
      </c>
      <c r="AN885" s="8">
        <f ca="1">RANK(PlayerGameData[[#This Row],[PointTieBreak]],PlayerGameData[PointTieBreak],1)</f>
        <v>625</v>
      </c>
      <c r="AO885" s="8">
        <f ca="1">RANK(PlayerGameData[[#This Row],[REB]],PlayerGameData[REB],0)+PlayerGameData[[#This Row],[VisibleOrder]]</f>
        <v>1191</v>
      </c>
      <c r="AP885" s="8">
        <f ca="1">IF(COUNTIF(PlayerGameData[REBOrder],PlayerGameData[[#This Row],[REBOrder]])&gt;1,PlayerGameData[[#This Row],[PointRank]]/100+PlayerGameData[[#This Row],[REBOrder]],PlayerGameData[[#This Row],[REBOrder]])</f>
        <v>1197.25</v>
      </c>
      <c r="AQ885" s="8">
        <f ca="1">RANK(PlayerGameData[[#This Row],[REBTieBreak]],PlayerGameData[REBTieBreak],1)</f>
        <v>625</v>
      </c>
      <c r="AR885" s="8">
        <f ca="1">RANK(PlayerGameData[[#This Row],[AST]],PlayerGameData[AST],0)+PlayerGameData[[#This Row],[VisibleOrder]]</f>
        <v>1157</v>
      </c>
      <c r="AS885" s="8">
        <f ca="1">IF(COUNTIF(PlayerGameData[ASTOrder],PlayerGameData[[#This Row],[ASTOrder]])&gt;1,PlayerGameData[[#This Row],[PointRank]]/100+PlayerGameData[[#This Row],[ASTOrder]],PlayerGameData[[#This Row],[ASTOrder]])</f>
        <v>1163.25</v>
      </c>
      <c r="AT885" s="8">
        <f ca="1">RANK(PlayerGameData[[#This Row],[ASTTieBreak]],PlayerGameData[ASTTieBreak],1)</f>
        <v>625</v>
      </c>
      <c r="AU885" s="8">
        <f ca="1">RANK(PlayerGameData[[#This Row],[STL]],PlayerGameData[STL],0)+PlayerGameData[[#This Row],[VisibleOrder]]</f>
        <v>1142</v>
      </c>
      <c r="AV885" s="8">
        <f ca="1">IF(COUNTIF(PlayerGameData[STLOrder],PlayerGameData[[#This Row],[STLOrder]])&gt;1,PlayerGameData[[#This Row],[PointRank]]/100+PlayerGameData[[#This Row],[STLOrder]],PlayerGameData[[#This Row],[STLOrder]])</f>
        <v>1148.25</v>
      </c>
      <c r="AW885" s="8">
        <f ca="1">RANK(PlayerGameData[[#This Row],[STLTieBreak]],PlayerGameData[STLTieBreak],1)</f>
        <v>625</v>
      </c>
      <c r="AX885" s="8">
        <f ca="1">RANK(PlayerGameData[[#This Row],[BLK]],PlayerGameData[BLK],0)+PlayerGameData[[#This Row],[VisibleOrder]]</f>
        <v>1031</v>
      </c>
      <c r="AY885" s="8">
        <f ca="1">IF(COUNTIF(PlayerGameData[BLKOrder],PlayerGameData[[#This Row],[BLKOrder]])&gt;1,PlayerGameData[[#This Row],[PointRank]]/100+PlayerGameData[[#This Row],[BLKOrder]],PlayerGameData[[#This Row],[BLKOrder]])</f>
        <v>1037.25</v>
      </c>
      <c r="AZ885" s="8">
        <f ca="1">RANK(PlayerGameData[[#This Row],[BLKTieBreak]],PlayerGameData[BLKTieBreak],1)</f>
        <v>625</v>
      </c>
      <c r="BA885" s="11">
        <f ca="1">IFERROR(IF(PlayerGameData[[#This Row],[FGA]]&gt;$AA$5,PlayerGameData[[#This Row],[FG%*]],PlayerGameData[[#This Row],[FG%*]]*-1),-2)</f>
        <v>-2</v>
      </c>
      <c r="BB885" s="8">
        <f ca="1">RANK(PlayerGameData[[#This Row],[EligFG]],PlayerGameData[EligFG],0)+PlayerGameData[[#This Row],[VisibleOrder]]</f>
        <v>1214</v>
      </c>
      <c r="BC885" s="8">
        <f ca="1">IF(COUNTIF(PlayerGameData[EligFGOrder],PlayerGameData[[#This Row],[EligFGOrder]])&gt;1,PlayerGameData[[#This Row],[PointRank]]/100+PlayerGameData[[#This Row],[EligFGOrder]],PlayerGameData[[#This Row],[EligFGOrder]])</f>
        <v>1220.25</v>
      </c>
      <c r="BD885" s="8">
        <f ca="1">RANK(PlayerGameData[[#This Row],[EligFGTieBreak]],PlayerGameData[EligFGTieBreak],1)</f>
        <v>625</v>
      </c>
      <c r="BE885" s="8" t="str">
        <f>Roster!$D$3</f>
        <v>East</v>
      </c>
      <c r="BF885" s="8" t="str">
        <f>Roster!$D$2</f>
        <v>Northeast</v>
      </c>
      <c r="BG885" s="8" t="str">
        <f>Roster!$D$4</f>
        <v>North</v>
      </c>
      <c r="BH885" s="197">
        <f ca="1">IFERROR(VLOOKUP(CONCATENATE(PlayerGameData[[#This Row],[Opponent]]," ",MONTH(PlayerGameData[[#This Row],[Date]]),"/",DAY(PlayerGameData[[#This Row],[Date]]),"/",YEAR(PlayerGameData[[#This Row],[Date]])),Table35[],2,FALSE),0)</f>
        <v>0</v>
      </c>
      <c r="BI885" s="197">
        <f ca="1">IF(PlayerGameData[[#This Row],[Visible]]=1,1,1000)</f>
        <v>1000</v>
      </c>
      <c r="BJ885" s="197" t="e">
        <f ca="1">_xlfn.MAXIFS(TeamGameData[Win],TeamGameData[School, Opponent,Game'#],PlayerGameData[[#This Row],[School, Opponent,Game'#]])</f>
        <v>#NAME?</v>
      </c>
      <c r="BK885" s="197" t="e">
        <f ca="1">_xlfn.MAXIFS(TeamGameData[Loss],TeamGameData[School, Opponent,Game'#],PlayerGameData[[#This Row],[School, Opponent,Game'#]])</f>
        <v>#NAME?</v>
      </c>
    </row>
    <row r="886" spans="1:63" x14ac:dyDescent="0.25">
      <c r="A886" s="8" t="str">
        <f t="shared" ca="1" si="423"/>
        <v xml:space="preserve">, </v>
      </c>
      <c r="B886" s="8" t="str">
        <f>Roster!$B$1</f>
        <v>Upton</v>
      </c>
      <c r="C886" s="8">
        <f t="shared" ca="1" si="411"/>
        <v>0</v>
      </c>
      <c r="D886" s="10">
        <f t="shared" ca="1" si="412"/>
        <v>0</v>
      </c>
      <c r="E886" s="8">
        <f t="shared" ca="1" si="413"/>
        <v>0</v>
      </c>
      <c r="F886" s="8">
        <f t="shared" ca="1" si="414"/>
        <v>0</v>
      </c>
      <c r="G886" s="8">
        <f t="shared" ca="1" si="415"/>
        <v>0</v>
      </c>
      <c r="H886" s="8">
        <f t="shared" ca="1" si="416"/>
        <v>0</v>
      </c>
      <c r="I886" s="8">
        <f t="shared" ca="1" si="417"/>
        <v>0</v>
      </c>
      <c r="J886" s="8">
        <f t="shared" ca="1" si="418"/>
        <v>0</v>
      </c>
      <c r="K886" s="8">
        <f t="shared" ca="1" si="419"/>
        <v>0</v>
      </c>
      <c r="L886" s="8">
        <f t="shared" ca="1" si="424"/>
        <v>0</v>
      </c>
      <c r="M886" s="8">
        <f t="shared" ca="1" si="425"/>
        <v>0</v>
      </c>
      <c r="N886" s="8">
        <f t="shared" ca="1" si="426"/>
        <v>0</v>
      </c>
      <c r="O886" s="8">
        <f t="shared" ca="1" si="427"/>
        <v>0</v>
      </c>
      <c r="P886" s="8">
        <f t="shared" ca="1" si="428"/>
        <v>0</v>
      </c>
      <c r="Q886" s="8">
        <f t="shared" ca="1" si="429"/>
        <v>0</v>
      </c>
      <c r="R886" s="8">
        <f t="shared" ca="1" si="430"/>
        <v>0</v>
      </c>
      <c r="S886" s="8">
        <f t="shared" ca="1" si="431"/>
        <v>0</v>
      </c>
      <c r="T886" s="8">
        <f t="shared" ca="1" si="432"/>
        <v>0</v>
      </c>
      <c r="U886" s="8">
        <f t="shared" ca="1" si="433"/>
        <v>0</v>
      </c>
      <c r="V886" s="8">
        <f t="shared" ca="1" si="434"/>
        <v>0</v>
      </c>
      <c r="W886" s="11" t="str">
        <f t="shared" ca="1" si="435"/>
        <v/>
      </c>
      <c r="X886" s="11" t="str">
        <f t="shared" ca="1" si="436"/>
        <v/>
      </c>
      <c r="Y886" s="11" t="str">
        <f t="shared" ca="1" si="437"/>
        <v/>
      </c>
      <c r="Z886" s="11" t="str">
        <f t="shared" ca="1" si="438"/>
        <v/>
      </c>
      <c r="AA886" s="11" t="str">
        <f t="shared" ca="1" si="439"/>
        <v/>
      </c>
      <c r="AB886" s="47">
        <f ca="1">PlayerGameData[[#This Row],[3FGA]]+PlayerGameData[[#This Row],[2FGA]]</f>
        <v>0</v>
      </c>
      <c r="AC886" s="47">
        <f ca="1">PlayerGameData[[#This Row],[OFF REB]]+PlayerGameData[[#This Row],[DEF REB]]</f>
        <v>0</v>
      </c>
      <c r="AD886" s="8">
        <f t="shared" si="420"/>
        <v>37</v>
      </c>
      <c r="AE886" s="8" t="str">
        <f t="shared" ca="1" si="421"/>
        <v>,  - 0 1/0/1900</v>
      </c>
      <c r="AF886" s="8" t="str">
        <f t="shared" ca="1" si="440"/>
        <v/>
      </c>
      <c r="AG886" s="8" t="str">
        <f ca="1">IFERROR(IF(C886=0,"",IF(AND(VLOOKUP(PlayerGameData[[#This Row],[Opponent]],WYTeamInfo,2,FALSE)=Roster!$D$1,VLOOKUP(PlayerGameData[[#This Row],[Opponent]],WYTeamInfo,3,FALSE)=Roster!$D$2),"SR","")),"")</f>
        <v/>
      </c>
      <c r="AH886" s="8" t="str">
        <f>CONCATENATE(Roster!$D$1," ",Roster!$D$5)</f>
        <v>1A BB</v>
      </c>
      <c r="AI886" s="8" t="str">
        <f t="shared" ca="1" si="422"/>
        <v>Blank</v>
      </c>
      <c r="AJ886" s="8">
        <f ca="1">IFERROR(VLOOKUP(PlayerGameData[[#This Row],[School, Opponent,Game'#]],Table3[],2,FALSE),0)</f>
        <v>0</v>
      </c>
      <c r="AK886" s="8">
        <f ca="1">IF(PlayerGameData[[#This Row],[Visible]]=1,1,1000)</f>
        <v>1000</v>
      </c>
      <c r="AL886" s="8">
        <f ca="1">RANK(PlayerGameData[[#This Row],[TL PTS]],PlayerGameData[TL PTS],0)+PlayerGameData[[#This Row],[VisibleOrder]]</f>
        <v>1184</v>
      </c>
      <c r="AM886" s="8">
        <f ca="1">IF(COUNTIF(PlayerGameData[PointOrder],PlayerGameData[[#This Row],[PointOrder]])&gt;1,RANK(PlayerGameData[[#This Row],[FGA]],PlayerGameData[FGA],0)/100,0)+PlayerGameData[[#This Row],[PointOrder]]</f>
        <v>1186.1400000000001</v>
      </c>
      <c r="AN886" s="8">
        <f ca="1">RANK(PlayerGameData[[#This Row],[PointTieBreak]],PlayerGameData[PointTieBreak],1)</f>
        <v>625</v>
      </c>
      <c r="AO886" s="8">
        <f ca="1">RANK(PlayerGameData[[#This Row],[REB]],PlayerGameData[REB],0)+PlayerGameData[[#This Row],[VisibleOrder]]</f>
        <v>1191</v>
      </c>
      <c r="AP886" s="8">
        <f ca="1">IF(COUNTIF(PlayerGameData[REBOrder],PlayerGameData[[#This Row],[REBOrder]])&gt;1,PlayerGameData[[#This Row],[PointRank]]/100+PlayerGameData[[#This Row],[REBOrder]],PlayerGameData[[#This Row],[REBOrder]])</f>
        <v>1197.25</v>
      </c>
      <c r="AQ886" s="8">
        <f ca="1">RANK(PlayerGameData[[#This Row],[REBTieBreak]],PlayerGameData[REBTieBreak],1)</f>
        <v>625</v>
      </c>
      <c r="AR886" s="8">
        <f ca="1">RANK(PlayerGameData[[#This Row],[AST]],PlayerGameData[AST],0)+PlayerGameData[[#This Row],[VisibleOrder]]</f>
        <v>1157</v>
      </c>
      <c r="AS886" s="8">
        <f ca="1">IF(COUNTIF(PlayerGameData[ASTOrder],PlayerGameData[[#This Row],[ASTOrder]])&gt;1,PlayerGameData[[#This Row],[PointRank]]/100+PlayerGameData[[#This Row],[ASTOrder]],PlayerGameData[[#This Row],[ASTOrder]])</f>
        <v>1163.25</v>
      </c>
      <c r="AT886" s="8">
        <f ca="1">RANK(PlayerGameData[[#This Row],[ASTTieBreak]],PlayerGameData[ASTTieBreak],1)</f>
        <v>625</v>
      </c>
      <c r="AU886" s="8">
        <f ca="1">RANK(PlayerGameData[[#This Row],[STL]],PlayerGameData[STL],0)+PlayerGameData[[#This Row],[VisibleOrder]]</f>
        <v>1142</v>
      </c>
      <c r="AV886" s="8">
        <f ca="1">IF(COUNTIF(PlayerGameData[STLOrder],PlayerGameData[[#This Row],[STLOrder]])&gt;1,PlayerGameData[[#This Row],[PointRank]]/100+PlayerGameData[[#This Row],[STLOrder]],PlayerGameData[[#This Row],[STLOrder]])</f>
        <v>1148.25</v>
      </c>
      <c r="AW886" s="8">
        <f ca="1">RANK(PlayerGameData[[#This Row],[STLTieBreak]],PlayerGameData[STLTieBreak],1)</f>
        <v>625</v>
      </c>
      <c r="AX886" s="8">
        <f ca="1">RANK(PlayerGameData[[#This Row],[BLK]],PlayerGameData[BLK],0)+PlayerGameData[[#This Row],[VisibleOrder]]</f>
        <v>1031</v>
      </c>
      <c r="AY886" s="8">
        <f ca="1">IF(COUNTIF(PlayerGameData[BLKOrder],PlayerGameData[[#This Row],[BLKOrder]])&gt;1,PlayerGameData[[#This Row],[PointRank]]/100+PlayerGameData[[#This Row],[BLKOrder]],PlayerGameData[[#This Row],[BLKOrder]])</f>
        <v>1037.25</v>
      </c>
      <c r="AZ886" s="8">
        <f ca="1">RANK(PlayerGameData[[#This Row],[BLKTieBreak]],PlayerGameData[BLKTieBreak],1)</f>
        <v>625</v>
      </c>
      <c r="BA886" s="11">
        <f ca="1">IFERROR(IF(PlayerGameData[[#This Row],[FGA]]&gt;$AA$5,PlayerGameData[[#This Row],[FG%*]],PlayerGameData[[#This Row],[FG%*]]*-1),-2)</f>
        <v>-2</v>
      </c>
      <c r="BB886" s="8">
        <f ca="1">RANK(PlayerGameData[[#This Row],[EligFG]],PlayerGameData[EligFG],0)+PlayerGameData[[#This Row],[VisibleOrder]]</f>
        <v>1214</v>
      </c>
      <c r="BC886" s="8">
        <f ca="1">IF(COUNTIF(PlayerGameData[EligFGOrder],PlayerGameData[[#This Row],[EligFGOrder]])&gt;1,PlayerGameData[[#This Row],[PointRank]]/100+PlayerGameData[[#This Row],[EligFGOrder]],PlayerGameData[[#This Row],[EligFGOrder]])</f>
        <v>1220.25</v>
      </c>
      <c r="BD886" s="8">
        <f ca="1">RANK(PlayerGameData[[#This Row],[EligFGTieBreak]],PlayerGameData[EligFGTieBreak],1)</f>
        <v>625</v>
      </c>
      <c r="BE886" s="8" t="str">
        <f>Roster!$D$3</f>
        <v>East</v>
      </c>
      <c r="BF886" s="8" t="str">
        <f>Roster!$D$2</f>
        <v>Northeast</v>
      </c>
      <c r="BG886" s="8" t="str">
        <f>Roster!$D$4</f>
        <v>North</v>
      </c>
      <c r="BH886" s="197">
        <f ca="1">IFERROR(VLOOKUP(CONCATENATE(PlayerGameData[[#This Row],[Opponent]]," ",MONTH(PlayerGameData[[#This Row],[Date]]),"/",DAY(PlayerGameData[[#This Row],[Date]]),"/",YEAR(PlayerGameData[[#This Row],[Date]])),Table35[],2,FALSE),0)</f>
        <v>0</v>
      </c>
      <c r="BI886" s="197">
        <f ca="1">IF(PlayerGameData[[#This Row],[Visible]]=1,1,1000)</f>
        <v>1000</v>
      </c>
      <c r="BJ886" s="197" t="e">
        <f ca="1">_xlfn.MAXIFS(TeamGameData[Win],TeamGameData[School, Opponent,Game'#],PlayerGameData[[#This Row],[School, Opponent,Game'#]])</f>
        <v>#NAME?</v>
      </c>
      <c r="BK886" s="197" t="e">
        <f ca="1">_xlfn.MAXIFS(TeamGameData[Loss],TeamGameData[School, Opponent,Game'#],PlayerGameData[[#This Row],[School, Opponent,Game'#]])</f>
        <v>#NAME?</v>
      </c>
    </row>
    <row r="887" spans="1:63" x14ac:dyDescent="0.25">
      <c r="A887" s="8" t="str">
        <f t="shared" ca="1" si="423"/>
        <v xml:space="preserve">, </v>
      </c>
      <c r="B887" s="8" t="str">
        <f>Roster!$B$1</f>
        <v>Upton</v>
      </c>
      <c r="C887" s="8">
        <f t="shared" ca="1" si="411"/>
        <v>0</v>
      </c>
      <c r="D887" s="10">
        <f t="shared" ca="1" si="412"/>
        <v>0</v>
      </c>
      <c r="E887" s="8">
        <f t="shared" ca="1" si="413"/>
        <v>0</v>
      </c>
      <c r="F887" s="8">
        <f t="shared" ca="1" si="414"/>
        <v>0</v>
      </c>
      <c r="G887" s="8">
        <f t="shared" ca="1" si="415"/>
        <v>0</v>
      </c>
      <c r="H887" s="8">
        <f t="shared" ca="1" si="416"/>
        <v>0</v>
      </c>
      <c r="I887" s="8">
        <f t="shared" ca="1" si="417"/>
        <v>0</v>
      </c>
      <c r="J887" s="8">
        <f t="shared" ca="1" si="418"/>
        <v>0</v>
      </c>
      <c r="K887" s="8">
        <f t="shared" ca="1" si="419"/>
        <v>0</v>
      </c>
      <c r="L887" s="8">
        <f t="shared" ca="1" si="424"/>
        <v>0</v>
      </c>
      <c r="M887" s="8">
        <f t="shared" ca="1" si="425"/>
        <v>0</v>
      </c>
      <c r="N887" s="8">
        <f t="shared" ca="1" si="426"/>
        <v>0</v>
      </c>
      <c r="O887" s="8">
        <f t="shared" ca="1" si="427"/>
        <v>0</v>
      </c>
      <c r="P887" s="8">
        <f t="shared" ca="1" si="428"/>
        <v>0</v>
      </c>
      <c r="Q887" s="8">
        <f t="shared" ca="1" si="429"/>
        <v>0</v>
      </c>
      <c r="R887" s="8">
        <f t="shared" ca="1" si="430"/>
        <v>0</v>
      </c>
      <c r="S887" s="8">
        <f t="shared" ca="1" si="431"/>
        <v>0</v>
      </c>
      <c r="T887" s="8">
        <f t="shared" ca="1" si="432"/>
        <v>0</v>
      </c>
      <c r="U887" s="8">
        <f t="shared" ca="1" si="433"/>
        <v>0</v>
      </c>
      <c r="V887" s="8">
        <f t="shared" ca="1" si="434"/>
        <v>0</v>
      </c>
      <c r="W887" s="11" t="str">
        <f t="shared" ca="1" si="435"/>
        <v/>
      </c>
      <c r="X887" s="11" t="str">
        <f t="shared" ca="1" si="436"/>
        <v/>
      </c>
      <c r="Y887" s="11" t="str">
        <f t="shared" ca="1" si="437"/>
        <v/>
      </c>
      <c r="Z887" s="11" t="str">
        <f t="shared" ca="1" si="438"/>
        <v/>
      </c>
      <c r="AA887" s="11" t="str">
        <f t="shared" ca="1" si="439"/>
        <v/>
      </c>
      <c r="AB887" s="47">
        <f ca="1">PlayerGameData[[#This Row],[3FGA]]+PlayerGameData[[#This Row],[2FGA]]</f>
        <v>0</v>
      </c>
      <c r="AC887" s="47">
        <f ca="1">PlayerGameData[[#This Row],[OFF REB]]+PlayerGameData[[#This Row],[DEF REB]]</f>
        <v>0</v>
      </c>
      <c r="AD887" s="8">
        <f t="shared" si="420"/>
        <v>37</v>
      </c>
      <c r="AE887" s="8" t="str">
        <f t="shared" ca="1" si="421"/>
        <v>,  - 0 1/0/1900</v>
      </c>
      <c r="AF887" s="8" t="str">
        <f t="shared" ca="1" si="440"/>
        <v/>
      </c>
      <c r="AG887" s="8" t="str">
        <f ca="1">IFERROR(IF(C887=0,"",IF(AND(VLOOKUP(PlayerGameData[[#This Row],[Opponent]],WYTeamInfo,2,FALSE)=Roster!$D$1,VLOOKUP(PlayerGameData[[#This Row],[Opponent]],WYTeamInfo,3,FALSE)=Roster!$D$2),"SR","")),"")</f>
        <v/>
      </c>
      <c r="AH887" s="8" t="str">
        <f>CONCATENATE(Roster!$D$1," ",Roster!$D$5)</f>
        <v>1A BB</v>
      </c>
      <c r="AI887" s="8" t="str">
        <f t="shared" ca="1" si="422"/>
        <v>Blank</v>
      </c>
      <c r="AJ887" s="8">
        <f ca="1">IFERROR(VLOOKUP(PlayerGameData[[#This Row],[School, Opponent,Game'#]],Table3[],2,FALSE),0)</f>
        <v>0</v>
      </c>
      <c r="AK887" s="8">
        <f ca="1">IF(PlayerGameData[[#This Row],[Visible]]=1,1,1000)</f>
        <v>1000</v>
      </c>
      <c r="AL887" s="8">
        <f ca="1">RANK(PlayerGameData[[#This Row],[TL PTS]],PlayerGameData[TL PTS],0)+PlayerGameData[[#This Row],[VisibleOrder]]</f>
        <v>1184</v>
      </c>
      <c r="AM887" s="8">
        <f ca="1">IF(COUNTIF(PlayerGameData[PointOrder],PlayerGameData[[#This Row],[PointOrder]])&gt;1,RANK(PlayerGameData[[#This Row],[FGA]],PlayerGameData[FGA],0)/100,0)+PlayerGameData[[#This Row],[PointOrder]]</f>
        <v>1186.1400000000001</v>
      </c>
      <c r="AN887" s="8">
        <f ca="1">RANK(PlayerGameData[[#This Row],[PointTieBreak]],PlayerGameData[PointTieBreak],1)</f>
        <v>625</v>
      </c>
      <c r="AO887" s="8">
        <f ca="1">RANK(PlayerGameData[[#This Row],[REB]],PlayerGameData[REB],0)+PlayerGameData[[#This Row],[VisibleOrder]]</f>
        <v>1191</v>
      </c>
      <c r="AP887" s="8">
        <f ca="1">IF(COUNTIF(PlayerGameData[REBOrder],PlayerGameData[[#This Row],[REBOrder]])&gt;1,PlayerGameData[[#This Row],[PointRank]]/100+PlayerGameData[[#This Row],[REBOrder]],PlayerGameData[[#This Row],[REBOrder]])</f>
        <v>1197.25</v>
      </c>
      <c r="AQ887" s="8">
        <f ca="1">RANK(PlayerGameData[[#This Row],[REBTieBreak]],PlayerGameData[REBTieBreak],1)</f>
        <v>625</v>
      </c>
      <c r="AR887" s="8">
        <f ca="1">RANK(PlayerGameData[[#This Row],[AST]],PlayerGameData[AST],0)+PlayerGameData[[#This Row],[VisibleOrder]]</f>
        <v>1157</v>
      </c>
      <c r="AS887" s="8">
        <f ca="1">IF(COUNTIF(PlayerGameData[ASTOrder],PlayerGameData[[#This Row],[ASTOrder]])&gt;1,PlayerGameData[[#This Row],[PointRank]]/100+PlayerGameData[[#This Row],[ASTOrder]],PlayerGameData[[#This Row],[ASTOrder]])</f>
        <v>1163.25</v>
      </c>
      <c r="AT887" s="8">
        <f ca="1">RANK(PlayerGameData[[#This Row],[ASTTieBreak]],PlayerGameData[ASTTieBreak],1)</f>
        <v>625</v>
      </c>
      <c r="AU887" s="8">
        <f ca="1">RANK(PlayerGameData[[#This Row],[STL]],PlayerGameData[STL],0)+PlayerGameData[[#This Row],[VisibleOrder]]</f>
        <v>1142</v>
      </c>
      <c r="AV887" s="8">
        <f ca="1">IF(COUNTIF(PlayerGameData[STLOrder],PlayerGameData[[#This Row],[STLOrder]])&gt;1,PlayerGameData[[#This Row],[PointRank]]/100+PlayerGameData[[#This Row],[STLOrder]],PlayerGameData[[#This Row],[STLOrder]])</f>
        <v>1148.25</v>
      </c>
      <c r="AW887" s="8">
        <f ca="1">RANK(PlayerGameData[[#This Row],[STLTieBreak]],PlayerGameData[STLTieBreak],1)</f>
        <v>625</v>
      </c>
      <c r="AX887" s="8">
        <f ca="1">RANK(PlayerGameData[[#This Row],[BLK]],PlayerGameData[BLK],0)+PlayerGameData[[#This Row],[VisibleOrder]]</f>
        <v>1031</v>
      </c>
      <c r="AY887" s="8">
        <f ca="1">IF(COUNTIF(PlayerGameData[BLKOrder],PlayerGameData[[#This Row],[BLKOrder]])&gt;1,PlayerGameData[[#This Row],[PointRank]]/100+PlayerGameData[[#This Row],[BLKOrder]],PlayerGameData[[#This Row],[BLKOrder]])</f>
        <v>1037.25</v>
      </c>
      <c r="AZ887" s="8">
        <f ca="1">RANK(PlayerGameData[[#This Row],[BLKTieBreak]],PlayerGameData[BLKTieBreak],1)</f>
        <v>625</v>
      </c>
      <c r="BA887" s="11">
        <f ca="1">IFERROR(IF(PlayerGameData[[#This Row],[FGA]]&gt;$AA$5,PlayerGameData[[#This Row],[FG%*]],PlayerGameData[[#This Row],[FG%*]]*-1),-2)</f>
        <v>-2</v>
      </c>
      <c r="BB887" s="8">
        <f ca="1">RANK(PlayerGameData[[#This Row],[EligFG]],PlayerGameData[EligFG],0)+PlayerGameData[[#This Row],[VisibleOrder]]</f>
        <v>1214</v>
      </c>
      <c r="BC887" s="8">
        <f ca="1">IF(COUNTIF(PlayerGameData[EligFGOrder],PlayerGameData[[#This Row],[EligFGOrder]])&gt;1,PlayerGameData[[#This Row],[PointRank]]/100+PlayerGameData[[#This Row],[EligFGOrder]],PlayerGameData[[#This Row],[EligFGOrder]])</f>
        <v>1220.25</v>
      </c>
      <c r="BD887" s="8">
        <f ca="1">RANK(PlayerGameData[[#This Row],[EligFGTieBreak]],PlayerGameData[EligFGTieBreak],1)</f>
        <v>625</v>
      </c>
      <c r="BE887" s="8" t="str">
        <f>Roster!$D$3</f>
        <v>East</v>
      </c>
      <c r="BF887" s="8" t="str">
        <f>Roster!$D$2</f>
        <v>Northeast</v>
      </c>
      <c r="BG887" s="8" t="str">
        <f>Roster!$D$4</f>
        <v>North</v>
      </c>
      <c r="BH887" s="197">
        <f ca="1">IFERROR(VLOOKUP(CONCATENATE(PlayerGameData[[#This Row],[Opponent]]," ",MONTH(PlayerGameData[[#This Row],[Date]]),"/",DAY(PlayerGameData[[#This Row],[Date]]),"/",YEAR(PlayerGameData[[#This Row],[Date]])),Table35[],2,FALSE),0)</f>
        <v>0</v>
      </c>
      <c r="BI887" s="197">
        <f ca="1">IF(PlayerGameData[[#This Row],[Visible]]=1,1,1000)</f>
        <v>1000</v>
      </c>
      <c r="BJ887" s="197" t="e">
        <f ca="1">_xlfn.MAXIFS(TeamGameData[Win],TeamGameData[School, Opponent,Game'#],PlayerGameData[[#This Row],[School, Opponent,Game'#]])</f>
        <v>#NAME?</v>
      </c>
      <c r="BK887" s="197" t="e">
        <f ca="1">_xlfn.MAXIFS(TeamGameData[Loss],TeamGameData[School, Opponent,Game'#],PlayerGameData[[#This Row],[School, Opponent,Game'#]])</f>
        <v>#NAME?</v>
      </c>
    </row>
    <row r="888" spans="1:63" x14ac:dyDescent="0.25">
      <c r="A888" s="8" t="str">
        <f t="shared" ca="1" si="423"/>
        <v xml:space="preserve">, </v>
      </c>
      <c r="B888" s="8" t="str">
        <f>Roster!$B$1</f>
        <v>Upton</v>
      </c>
      <c r="C888" s="8">
        <f t="shared" ca="1" si="411"/>
        <v>0</v>
      </c>
      <c r="D888" s="10">
        <f t="shared" ca="1" si="412"/>
        <v>0</v>
      </c>
      <c r="E888" s="8">
        <f t="shared" ca="1" si="413"/>
        <v>0</v>
      </c>
      <c r="F888" s="8">
        <f t="shared" ca="1" si="414"/>
        <v>0</v>
      </c>
      <c r="G888" s="8">
        <f t="shared" ca="1" si="415"/>
        <v>0</v>
      </c>
      <c r="H888" s="8">
        <f t="shared" ca="1" si="416"/>
        <v>0</v>
      </c>
      <c r="I888" s="8">
        <f t="shared" ca="1" si="417"/>
        <v>0</v>
      </c>
      <c r="J888" s="8">
        <f t="shared" ca="1" si="418"/>
        <v>0</v>
      </c>
      <c r="K888" s="8">
        <f t="shared" ca="1" si="419"/>
        <v>0</v>
      </c>
      <c r="L888" s="8">
        <f t="shared" ca="1" si="424"/>
        <v>0</v>
      </c>
      <c r="M888" s="8">
        <f t="shared" ca="1" si="425"/>
        <v>0</v>
      </c>
      <c r="N888" s="8">
        <f t="shared" ca="1" si="426"/>
        <v>0</v>
      </c>
      <c r="O888" s="8">
        <f t="shared" ca="1" si="427"/>
        <v>0</v>
      </c>
      <c r="P888" s="8">
        <f t="shared" ca="1" si="428"/>
        <v>0</v>
      </c>
      <c r="Q888" s="8">
        <f t="shared" ca="1" si="429"/>
        <v>0</v>
      </c>
      <c r="R888" s="8">
        <f t="shared" ca="1" si="430"/>
        <v>0</v>
      </c>
      <c r="S888" s="8">
        <f t="shared" ca="1" si="431"/>
        <v>0</v>
      </c>
      <c r="T888" s="8">
        <f t="shared" ca="1" si="432"/>
        <v>0</v>
      </c>
      <c r="U888" s="8">
        <f t="shared" ca="1" si="433"/>
        <v>0</v>
      </c>
      <c r="V888" s="8">
        <f t="shared" ca="1" si="434"/>
        <v>0</v>
      </c>
      <c r="W888" s="11" t="str">
        <f t="shared" ca="1" si="435"/>
        <v/>
      </c>
      <c r="X888" s="11" t="str">
        <f t="shared" ca="1" si="436"/>
        <v/>
      </c>
      <c r="Y888" s="11" t="str">
        <f t="shared" ca="1" si="437"/>
        <v/>
      </c>
      <c r="Z888" s="11" t="str">
        <f t="shared" ca="1" si="438"/>
        <v/>
      </c>
      <c r="AA888" s="11" t="str">
        <f t="shared" ca="1" si="439"/>
        <v/>
      </c>
      <c r="AB888" s="47">
        <f ca="1">PlayerGameData[[#This Row],[3FGA]]+PlayerGameData[[#This Row],[2FGA]]</f>
        <v>0</v>
      </c>
      <c r="AC888" s="47">
        <f ca="1">PlayerGameData[[#This Row],[OFF REB]]+PlayerGameData[[#This Row],[DEF REB]]</f>
        <v>0</v>
      </c>
      <c r="AD888" s="8">
        <f t="shared" si="420"/>
        <v>37</v>
      </c>
      <c r="AE888" s="8" t="str">
        <f t="shared" ca="1" si="421"/>
        <v>,  - 0 1/0/1900</v>
      </c>
      <c r="AF888" s="8" t="str">
        <f t="shared" ca="1" si="440"/>
        <v/>
      </c>
      <c r="AG888" s="8" t="str">
        <f ca="1">IFERROR(IF(C888=0,"",IF(AND(VLOOKUP(PlayerGameData[[#This Row],[Opponent]],WYTeamInfo,2,FALSE)=Roster!$D$1,VLOOKUP(PlayerGameData[[#This Row],[Opponent]],WYTeamInfo,3,FALSE)=Roster!$D$2),"SR","")),"")</f>
        <v/>
      </c>
      <c r="AH888" s="8" t="str">
        <f>CONCATENATE(Roster!$D$1," ",Roster!$D$5)</f>
        <v>1A BB</v>
      </c>
      <c r="AI888" s="8" t="str">
        <f t="shared" ca="1" si="422"/>
        <v>Blank</v>
      </c>
      <c r="AJ888" s="8">
        <f ca="1">IFERROR(VLOOKUP(PlayerGameData[[#This Row],[School, Opponent,Game'#]],Table3[],2,FALSE),0)</f>
        <v>0</v>
      </c>
      <c r="AK888" s="8">
        <f ca="1">IF(PlayerGameData[[#This Row],[Visible]]=1,1,1000)</f>
        <v>1000</v>
      </c>
      <c r="AL888" s="8">
        <f ca="1">RANK(PlayerGameData[[#This Row],[TL PTS]],PlayerGameData[TL PTS],0)+PlayerGameData[[#This Row],[VisibleOrder]]</f>
        <v>1184</v>
      </c>
      <c r="AM888" s="8">
        <f ca="1">IF(COUNTIF(PlayerGameData[PointOrder],PlayerGameData[[#This Row],[PointOrder]])&gt;1,RANK(PlayerGameData[[#This Row],[FGA]],PlayerGameData[FGA],0)/100,0)+PlayerGameData[[#This Row],[PointOrder]]</f>
        <v>1186.1400000000001</v>
      </c>
      <c r="AN888" s="8">
        <f ca="1">RANK(PlayerGameData[[#This Row],[PointTieBreak]],PlayerGameData[PointTieBreak],1)</f>
        <v>625</v>
      </c>
      <c r="AO888" s="8">
        <f ca="1">RANK(PlayerGameData[[#This Row],[REB]],PlayerGameData[REB],0)+PlayerGameData[[#This Row],[VisibleOrder]]</f>
        <v>1191</v>
      </c>
      <c r="AP888" s="8">
        <f ca="1">IF(COUNTIF(PlayerGameData[REBOrder],PlayerGameData[[#This Row],[REBOrder]])&gt;1,PlayerGameData[[#This Row],[PointRank]]/100+PlayerGameData[[#This Row],[REBOrder]],PlayerGameData[[#This Row],[REBOrder]])</f>
        <v>1197.25</v>
      </c>
      <c r="AQ888" s="8">
        <f ca="1">RANK(PlayerGameData[[#This Row],[REBTieBreak]],PlayerGameData[REBTieBreak],1)</f>
        <v>625</v>
      </c>
      <c r="AR888" s="8">
        <f ca="1">RANK(PlayerGameData[[#This Row],[AST]],PlayerGameData[AST],0)+PlayerGameData[[#This Row],[VisibleOrder]]</f>
        <v>1157</v>
      </c>
      <c r="AS888" s="8">
        <f ca="1">IF(COUNTIF(PlayerGameData[ASTOrder],PlayerGameData[[#This Row],[ASTOrder]])&gt;1,PlayerGameData[[#This Row],[PointRank]]/100+PlayerGameData[[#This Row],[ASTOrder]],PlayerGameData[[#This Row],[ASTOrder]])</f>
        <v>1163.25</v>
      </c>
      <c r="AT888" s="8">
        <f ca="1">RANK(PlayerGameData[[#This Row],[ASTTieBreak]],PlayerGameData[ASTTieBreak],1)</f>
        <v>625</v>
      </c>
      <c r="AU888" s="8">
        <f ca="1">RANK(PlayerGameData[[#This Row],[STL]],PlayerGameData[STL],0)+PlayerGameData[[#This Row],[VisibleOrder]]</f>
        <v>1142</v>
      </c>
      <c r="AV888" s="8">
        <f ca="1">IF(COUNTIF(PlayerGameData[STLOrder],PlayerGameData[[#This Row],[STLOrder]])&gt;1,PlayerGameData[[#This Row],[PointRank]]/100+PlayerGameData[[#This Row],[STLOrder]],PlayerGameData[[#This Row],[STLOrder]])</f>
        <v>1148.25</v>
      </c>
      <c r="AW888" s="8">
        <f ca="1">RANK(PlayerGameData[[#This Row],[STLTieBreak]],PlayerGameData[STLTieBreak],1)</f>
        <v>625</v>
      </c>
      <c r="AX888" s="8">
        <f ca="1">RANK(PlayerGameData[[#This Row],[BLK]],PlayerGameData[BLK],0)+PlayerGameData[[#This Row],[VisibleOrder]]</f>
        <v>1031</v>
      </c>
      <c r="AY888" s="8">
        <f ca="1">IF(COUNTIF(PlayerGameData[BLKOrder],PlayerGameData[[#This Row],[BLKOrder]])&gt;1,PlayerGameData[[#This Row],[PointRank]]/100+PlayerGameData[[#This Row],[BLKOrder]],PlayerGameData[[#This Row],[BLKOrder]])</f>
        <v>1037.25</v>
      </c>
      <c r="AZ888" s="8">
        <f ca="1">RANK(PlayerGameData[[#This Row],[BLKTieBreak]],PlayerGameData[BLKTieBreak],1)</f>
        <v>625</v>
      </c>
      <c r="BA888" s="11">
        <f ca="1">IFERROR(IF(PlayerGameData[[#This Row],[FGA]]&gt;$AA$5,PlayerGameData[[#This Row],[FG%*]],PlayerGameData[[#This Row],[FG%*]]*-1),-2)</f>
        <v>-2</v>
      </c>
      <c r="BB888" s="8">
        <f ca="1">RANK(PlayerGameData[[#This Row],[EligFG]],PlayerGameData[EligFG],0)+PlayerGameData[[#This Row],[VisibleOrder]]</f>
        <v>1214</v>
      </c>
      <c r="BC888" s="8">
        <f ca="1">IF(COUNTIF(PlayerGameData[EligFGOrder],PlayerGameData[[#This Row],[EligFGOrder]])&gt;1,PlayerGameData[[#This Row],[PointRank]]/100+PlayerGameData[[#This Row],[EligFGOrder]],PlayerGameData[[#This Row],[EligFGOrder]])</f>
        <v>1220.25</v>
      </c>
      <c r="BD888" s="8">
        <f ca="1">RANK(PlayerGameData[[#This Row],[EligFGTieBreak]],PlayerGameData[EligFGTieBreak],1)</f>
        <v>625</v>
      </c>
      <c r="BE888" s="8" t="str">
        <f>Roster!$D$3</f>
        <v>East</v>
      </c>
      <c r="BF888" s="8" t="str">
        <f>Roster!$D$2</f>
        <v>Northeast</v>
      </c>
      <c r="BG888" s="8" t="str">
        <f>Roster!$D$4</f>
        <v>North</v>
      </c>
      <c r="BH888" s="197">
        <f ca="1">IFERROR(VLOOKUP(CONCATENATE(PlayerGameData[[#This Row],[Opponent]]," ",MONTH(PlayerGameData[[#This Row],[Date]]),"/",DAY(PlayerGameData[[#This Row],[Date]]),"/",YEAR(PlayerGameData[[#This Row],[Date]])),Table35[],2,FALSE),0)</f>
        <v>0</v>
      </c>
      <c r="BI888" s="197">
        <f ca="1">IF(PlayerGameData[[#This Row],[Visible]]=1,1,1000)</f>
        <v>1000</v>
      </c>
      <c r="BJ888" s="197" t="e">
        <f ca="1">_xlfn.MAXIFS(TeamGameData[Win],TeamGameData[School, Opponent,Game'#],PlayerGameData[[#This Row],[School, Opponent,Game'#]])</f>
        <v>#NAME?</v>
      </c>
      <c r="BK888" s="197" t="e">
        <f ca="1">_xlfn.MAXIFS(TeamGameData[Loss],TeamGameData[School, Opponent,Game'#],PlayerGameData[[#This Row],[School, Opponent,Game'#]])</f>
        <v>#NAME?</v>
      </c>
    </row>
    <row r="889" spans="1:63" x14ac:dyDescent="0.25">
      <c r="A889" s="8" t="str">
        <f t="shared" ca="1" si="423"/>
        <v xml:space="preserve">, </v>
      </c>
      <c r="B889" s="8" t="str">
        <f>Roster!$B$1</f>
        <v>Upton</v>
      </c>
      <c r="C889" s="8">
        <f t="shared" ca="1" si="411"/>
        <v>0</v>
      </c>
      <c r="D889" s="10">
        <f t="shared" ca="1" si="412"/>
        <v>0</v>
      </c>
      <c r="E889" s="8">
        <f t="shared" ca="1" si="413"/>
        <v>0</v>
      </c>
      <c r="F889" s="8">
        <f t="shared" ca="1" si="414"/>
        <v>0</v>
      </c>
      <c r="G889" s="8">
        <f t="shared" ca="1" si="415"/>
        <v>0</v>
      </c>
      <c r="H889" s="8">
        <f t="shared" ca="1" si="416"/>
        <v>0</v>
      </c>
      <c r="I889" s="8">
        <f t="shared" ca="1" si="417"/>
        <v>0</v>
      </c>
      <c r="J889" s="8">
        <f t="shared" ca="1" si="418"/>
        <v>0</v>
      </c>
      <c r="K889" s="8">
        <f t="shared" ca="1" si="419"/>
        <v>0</v>
      </c>
      <c r="L889" s="8">
        <f t="shared" ca="1" si="424"/>
        <v>0</v>
      </c>
      <c r="M889" s="8">
        <f t="shared" ca="1" si="425"/>
        <v>0</v>
      </c>
      <c r="N889" s="8">
        <f t="shared" ca="1" si="426"/>
        <v>0</v>
      </c>
      <c r="O889" s="8">
        <f t="shared" ca="1" si="427"/>
        <v>0</v>
      </c>
      <c r="P889" s="8">
        <f t="shared" ca="1" si="428"/>
        <v>0</v>
      </c>
      <c r="Q889" s="8">
        <f t="shared" ca="1" si="429"/>
        <v>0</v>
      </c>
      <c r="R889" s="8">
        <f t="shared" ca="1" si="430"/>
        <v>0</v>
      </c>
      <c r="S889" s="8">
        <f t="shared" ca="1" si="431"/>
        <v>0</v>
      </c>
      <c r="T889" s="8">
        <f t="shared" ca="1" si="432"/>
        <v>0</v>
      </c>
      <c r="U889" s="8">
        <f t="shared" ca="1" si="433"/>
        <v>0</v>
      </c>
      <c r="V889" s="8">
        <f t="shared" ca="1" si="434"/>
        <v>0</v>
      </c>
      <c r="W889" s="11" t="str">
        <f t="shared" ca="1" si="435"/>
        <v/>
      </c>
      <c r="X889" s="11" t="str">
        <f t="shared" ca="1" si="436"/>
        <v/>
      </c>
      <c r="Y889" s="11" t="str">
        <f t="shared" ca="1" si="437"/>
        <v/>
      </c>
      <c r="Z889" s="11" t="str">
        <f t="shared" ca="1" si="438"/>
        <v/>
      </c>
      <c r="AA889" s="11" t="str">
        <f t="shared" ca="1" si="439"/>
        <v/>
      </c>
      <c r="AB889" s="47">
        <f ca="1">PlayerGameData[[#This Row],[3FGA]]+PlayerGameData[[#This Row],[2FGA]]</f>
        <v>0</v>
      </c>
      <c r="AC889" s="47">
        <f ca="1">PlayerGameData[[#This Row],[OFF REB]]+PlayerGameData[[#This Row],[DEF REB]]</f>
        <v>0</v>
      </c>
      <c r="AD889" s="8">
        <f t="shared" si="420"/>
        <v>37</v>
      </c>
      <c r="AE889" s="8" t="str">
        <f t="shared" ca="1" si="421"/>
        <v>,  - 0 1/0/1900</v>
      </c>
      <c r="AF889" s="8" t="str">
        <f t="shared" ca="1" si="440"/>
        <v/>
      </c>
      <c r="AG889" s="8" t="str">
        <f ca="1">IFERROR(IF(C889=0,"",IF(AND(VLOOKUP(PlayerGameData[[#This Row],[Opponent]],WYTeamInfo,2,FALSE)=Roster!$D$1,VLOOKUP(PlayerGameData[[#This Row],[Opponent]],WYTeamInfo,3,FALSE)=Roster!$D$2),"SR","")),"")</f>
        <v/>
      </c>
      <c r="AH889" s="8" t="str">
        <f>CONCATENATE(Roster!$D$1," ",Roster!$D$5)</f>
        <v>1A BB</v>
      </c>
      <c r="AI889" s="8" t="str">
        <f t="shared" ca="1" si="422"/>
        <v>Blank</v>
      </c>
      <c r="AJ889" s="8">
        <f ca="1">IFERROR(VLOOKUP(PlayerGameData[[#This Row],[School, Opponent,Game'#]],Table3[],2,FALSE),0)</f>
        <v>0</v>
      </c>
      <c r="AK889" s="8">
        <f ca="1">IF(PlayerGameData[[#This Row],[Visible]]=1,1,1000)</f>
        <v>1000</v>
      </c>
      <c r="AL889" s="8">
        <f ca="1">RANK(PlayerGameData[[#This Row],[TL PTS]],PlayerGameData[TL PTS],0)+PlayerGameData[[#This Row],[VisibleOrder]]</f>
        <v>1184</v>
      </c>
      <c r="AM889" s="8">
        <f ca="1">IF(COUNTIF(PlayerGameData[PointOrder],PlayerGameData[[#This Row],[PointOrder]])&gt;1,RANK(PlayerGameData[[#This Row],[FGA]],PlayerGameData[FGA],0)/100,0)+PlayerGameData[[#This Row],[PointOrder]]</f>
        <v>1186.1400000000001</v>
      </c>
      <c r="AN889" s="8">
        <f ca="1">RANK(PlayerGameData[[#This Row],[PointTieBreak]],PlayerGameData[PointTieBreak],1)</f>
        <v>625</v>
      </c>
      <c r="AO889" s="8">
        <f ca="1">RANK(PlayerGameData[[#This Row],[REB]],PlayerGameData[REB],0)+PlayerGameData[[#This Row],[VisibleOrder]]</f>
        <v>1191</v>
      </c>
      <c r="AP889" s="8">
        <f ca="1">IF(COUNTIF(PlayerGameData[REBOrder],PlayerGameData[[#This Row],[REBOrder]])&gt;1,PlayerGameData[[#This Row],[PointRank]]/100+PlayerGameData[[#This Row],[REBOrder]],PlayerGameData[[#This Row],[REBOrder]])</f>
        <v>1197.25</v>
      </c>
      <c r="AQ889" s="8">
        <f ca="1">RANK(PlayerGameData[[#This Row],[REBTieBreak]],PlayerGameData[REBTieBreak],1)</f>
        <v>625</v>
      </c>
      <c r="AR889" s="8">
        <f ca="1">RANK(PlayerGameData[[#This Row],[AST]],PlayerGameData[AST],0)+PlayerGameData[[#This Row],[VisibleOrder]]</f>
        <v>1157</v>
      </c>
      <c r="AS889" s="8">
        <f ca="1">IF(COUNTIF(PlayerGameData[ASTOrder],PlayerGameData[[#This Row],[ASTOrder]])&gt;1,PlayerGameData[[#This Row],[PointRank]]/100+PlayerGameData[[#This Row],[ASTOrder]],PlayerGameData[[#This Row],[ASTOrder]])</f>
        <v>1163.25</v>
      </c>
      <c r="AT889" s="8">
        <f ca="1">RANK(PlayerGameData[[#This Row],[ASTTieBreak]],PlayerGameData[ASTTieBreak],1)</f>
        <v>625</v>
      </c>
      <c r="AU889" s="8">
        <f ca="1">RANK(PlayerGameData[[#This Row],[STL]],PlayerGameData[STL],0)+PlayerGameData[[#This Row],[VisibleOrder]]</f>
        <v>1142</v>
      </c>
      <c r="AV889" s="8">
        <f ca="1">IF(COUNTIF(PlayerGameData[STLOrder],PlayerGameData[[#This Row],[STLOrder]])&gt;1,PlayerGameData[[#This Row],[PointRank]]/100+PlayerGameData[[#This Row],[STLOrder]],PlayerGameData[[#This Row],[STLOrder]])</f>
        <v>1148.25</v>
      </c>
      <c r="AW889" s="8">
        <f ca="1">RANK(PlayerGameData[[#This Row],[STLTieBreak]],PlayerGameData[STLTieBreak],1)</f>
        <v>625</v>
      </c>
      <c r="AX889" s="8">
        <f ca="1">RANK(PlayerGameData[[#This Row],[BLK]],PlayerGameData[BLK],0)+PlayerGameData[[#This Row],[VisibleOrder]]</f>
        <v>1031</v>
      </c>
      <c r="AY889" s="8">
        <f ca="1">IF(COUNTIF(PlayerGameData[BLKOrder],PlayerGameData[[#This Row],[BLKOrder]])&gt;1,PlayerGameData[[#This Row],[PointRank]]/100+PlayerGameData[[#This Row],[BLKOrder]],PlayerGameData[[#This Row],[BLKOrder]])</f>
        <v>1037.25</v>
      </c>
      <c r="AZ889" s="8">
        <f ca="1">RANK(PlayerGameData[[#This Row],[BLKTieBreak]],PlayerGameData[BLKTieBreak],1)</f>
        <v>625</v>
      </c>
      <c r="BA889" s="11">
        <f ca="1">IFERROR(IF(PlayerGameData[[#This Row],[FGA]]&gt;$AA$5,PlayerGameData[[#This Row],[FG%*]],PlayerGameData[[#This Row],[FG%*]]*-1),-2)</f>
        <v>-2</v>
      </c>
      <c r="BB889" s="8">
        <f ca="1">RANK(PlayerGameData[[#This Row],[EligFG]],PlayerGameData[EligFG],0)+PlayerGameData[[#This Row],[VisibleOrder]]</f>
        <v>1214</v>
      </c>
      <c r="BC889" s="8">
        <f ca="1">IF(COUNTIF(PlayerGameData[EligFGOrder],PlayerGameData[[#This Row],[EligFGOrder]])&gt;1,PlayerGameData[[#This Row],[PointRank]]/100+PlayerGameData[[#This Row],[EligFGOrder]],PlayerGameData[[#This Row],[EligFGOrder]])</f>
        <v>1220.25</v>
      </c>
      <c r="BD889" s="8">
        <f ca="1">RANK(PlayerGameData[[#This Row],[EligFGTieBreak]],PlayerGameData[EligFGTieBreak],1)</f>
        <v>625</v>
      </c>
      <c r="BE889" s="8" t="str">
        <f>Roster!$D$3</f>
        <v>East</v>
      </c>
      <c r="BF889" s="8" t="str">
        <f>Roster!$D$2</f>
        <v>Northeast</v>
      </c>
      <c r="BG889" s="8" t="str">
        <f>Roster!$D$4</f>
        <v>North</v>
      </c>
      <c r="BH889" s="197">
        <f ca="1">IFERROR(VLOOKUP(CONCATENATE(PlayerGameData[[#This Row],[Opponent]]," ",MONTH(PlayerGameData[[#This Row],[Date]]),"/",DAY(PlayerGameData[[#This Row],[Date]]),"/",YEAR(PlayerGameData[[#This Row],[Date]])),Table35[],2,FALSE),0)</f>
        <v>0</v>
      </c>
      <c r="BI889" s="197">
        <f ca="1">IF(PlayerGameData[[#This Row],[Visible]]=1,1,1000)</f>
        <v>1000</v>
      </c>
      <c r="BJ889" s="197" t="e">
        <f ca="1">_xlfn.MAXIFS(TeamGameData[Win],TeamGameData[School, Opponent,Game'#],PlayerGameData[[#This Row],[School, Opponent,Game'#]])</f>
        <v>#NAME?</v>
      </c>
      <c r="BK889" s="197" t="e">
        <f ca="1">_xlfn.MAXIFS(TeamGameData[Loss],TeamGameData[School, Opponent,Game'#],PlayerGameData[[#This Row],[School, Opponent,Game'#]])</f>
        <v>#NAME?</v>
      </c>
    </row>
    <row r="890" spans="1:63" x14ac:dyDescent="0.25">
      <c r="A890" s="8" t="str">
        <f t="shared" ca="1" si="423"/>
        <v xml:space="preserve">, </v>
      </c>
      <c r="B890" s="8" t="str">
        <f>Roster!$B$1</f>
        <v>Upton</v>
      </c>
      <c r="C890" s="8">
        <f t="shared" ca="1" si="411"/>
        <v>0</v>
      </c>
      <c r="D890" s="10">
        <f t="shared" ca="1" si="412"/>
        <v>0</v>
      </c>
      <c r="E890" s="8">
        <f t="shared" ca="1" si="413"/>
        <v>0</v>
      </c>
      <c r="F890" s="8">
        <f t="shared" ca="1" si="414"/>
        <v>0</v>
      </c>
      <c r="G890" s="8">
        <f t="shared" ca="1" si="415"/>
        <v>0</v>
      </c>
      <c r="H890" s="8">
        <f t="shared" ca="1" si="416"/>
        <v>0</v>
      </c>
      <c r="I890" s="8">
        <f t="shared" ca="1" si="417"/>
        <v>0</v>
      </c>
      <c r="J890" s="8">
        <f t="shared" ca="1" si="418"/>
        <v>0</v>
      </c>
      <c r="K890" s="8">
        <f t="shared" ca="1" si="419"/>
        <v>0</v>
      </c>
      <c r="L890" s="8">
        <f t="shared" ca="1" si="424"/>
        <v>0</v>
      </c>
      <c r="M890" s="8">
        <f t="shared" ca="1" si="425"/>
        <v>0</v>
      </c>
      <c r="N890" s="8">
        <f t="shared" ca="1" si="426"/>
        <v>0</v>
      </c>
      <c r="O890" s="8">
        <f t="shared" ca="1" si="427"/>
        <v>0</v>
      </c>
      <c r="P890" s="8">
        <f t="shared" ca="1" si="428"/>
        <v>0</v>
      </c>
      <c r="Q890" s="8">
        <f t="shared" ca="1" si="429"/>
        <v>0</v>
      </c>
      <c r="R890" s="8">
        <f t="shared" ca="1" si="430"/>
        <v>0</v>
      </c>
      <c r="S890" s="8">
        <f t="shared" ca="1" si="431"/>
        <v>0</v>
      </c>
      <c r="T890" s="8">
        <f t="shared" ca="1" si="432"/>
        <v>0</v>
      </c>
      <c r="U890" s="8">
        <f t="shared" ca="1" si="433"/>
        <v>0</v>
      </c>
      <c r="V890" s="8">
        <f t="shared" ca="1" si="434"/>
        <v>0</v>
      </c>
      <c r="W890" s="11" t="str">
        <f t="shared" ca="1" si="435"/>
        <v/>
      </c>
      <c r="X890" s="11" t="str">
        <f t="shared" ca="1" si="436"/>
        <v/>
      </c>
      <c r="Y890" s="11" t="str">
        <f t="shared" ca="1" si="437"/>
        <v/>
      </c>
      <c r="Z890" s="11" t="str">
        <f t="shared" ca="1" si="438"/>
        <v/>
      </c>
      <c r="AA890" s="11" t="str">
        <f t="shared" ca="1" si="439"/>
        <v/>
      </c>
      <c r="AB890" s="47">
        <f ca="1">PlayerGameData[[#This Row],[3FGA]]+PlayerGameData[[#This Row],[2FGA]]</f>
        <v>0</v>
      </c>
      <c r="AC890" s="47">
        <f ca="1">PlayerGameData[[#This Row],[OFF REB]]+PlayerGameData[[#This Row],[DEF REB]]</f>
        <v>0</v>
      </c>
      <c r="AD890" s="8">
        <f t="shared" si="420"/>
        <v>37</v>
      </c>
      <c r="AE890" s="8" t="str">
        <f t="shared" ca="1" si="421"/>
        <v>,  - 0 1/0/1900</v>
      </c>
      <c r="AF890" s="8" t="str">
        <f t="shared" ca="1" si="440"/>
        <v/>
      </c>
      <c r="AG890" s="8" t="str">
        <f ca="1">IFERROR(IF(C890=0,"",IF(AND(VLOOKUP(PlayerGameData[[#This Row],[Opponent]],WYTeamInfo,2,FALSE)=Roster!$D$1,VLOOKUP(PlayerGameData[[#This Row],[Opponent]],WYTeamInfo,3,FALSE)=Roster!$D$2),"SR","")),"")</f>
        <v/>
      </c>
      <c r="AH890" s="8" t="str">
        <f>CONCATENATE(Roster!$D$1," ",Roster!$D$5)</f>
        <v>1A BB</v>
      </c>
      <c r="AI890" s="8" t="str">
        <f t="shared" ca="1" si="422"/>
        <v>Blank</v>
      </c>
      <c r="AJ890" s="8">
        <f ca="1">IFERROR(VLOOKUP(PlayerGameData[[#This Row],[School, Opponent,Game'#]],Table3[],2,FALSE),0)</f>
        <v>0</v>
      </c>
      <c r="AK890" s="8">
        <f ca="1">IF(PlayerGameData[[#This Row],[Visible]]=1,1,1000)</f>
        <v>1000</v>
      </c>
      <c r="AL890" s="8">
        <f ca="1">RANK(PlayerGameData[[#This Row],[TL PTS]],PlayerGameData[TL PTS],0)+PlayerGameData[[#This Row],[VisibleOrder]]</f>
        <v>1184</v>
      </c>
      <c r="AM890" s="8">
        <f ca="1">IF(COUNTIF(PlayerGameData[PointOrder],PlayerGameData[[#This Row],[PointOrder]])&gt;1,RANK(PlayerGameData[[#This Row],[FGA]],PlayerGameData[FGA],0)/100,0)+PlayerGameData[[#This Row],[PointOrder]]</f>
        <v>1186.1400000000001</v>
      </c>
      <c r="AN890" s="8">
        <f ca="1">RANK(PlayerGameData[[#This Row],[PointTieBreak]],PlayerGameData[PointTieBreak],1)</f>
        <v>625</v>
      </c>
      <c r="AO890" s="8">
        <f ca="1">RANK(PlayerGameData[[#This Row],[REB]],PlayerGameData[REB],0)+PlayerGameData[[#This Row],[VisibleOrder]]</f>
        <v>1191</v>
      </c>
      <c r="AP890" s="8">
        <f ca="1">IF(COUNTIF(PlayerGameData[REBOrder],PlayerGameData[[#This Row],[REBOrder]])&gt;1,PlayerGameData[[#This Row],[PointRank]]/100+PlayerGameData[[#This Row],[REBOrder]],PlayerGameData[[#This Row],[REBOrder]])</f>
        <v>1197.25</v>
      </c>
      <c r="AQ890" s="8">
        <f ca="1">RANK(PlayerGameData[[#This Row],[REBTieBreak]],PlayerGameData[REBTieBreak],1)</f>
        <v>625</v>
      </c>
      <c r="AR890" s="8">
        <f ca="1">RANK(PlayerGameData[[#This Row],[AST]],PlayerGameData[AST],0)+PlayerGameData[[#This Row],[VisibleOrder]]</f>
        <v>1157</v>
      </c>
      <c r="AS890" s="8">
        <f ca="1">IF(COUNTIF(PlayerGameData[ASTOrder],PlayerGameData[[#This Row],[ASTOrder]])&gt;1,PlayerGameData[[#This Row],[PointRank]]/100+PlayerGameData[[#This Row],[ASTOrder]],PlayerGameData[[#This Row],[ASTOrder]])</f>
        <v>1163.25</v>
      </c>
      <c r="AT890" s="8">
        <f ca="1">RANK(PlayerGameData[[#This Row],[ASTTieBreak]],PlayerGameData[ASTTieBreak],1)</f>
        <v>625</v>
      </c>
      <c r="AU890" s="8">
        <f ca="1">RANK(PlayerGameData[[#This Row],[STL]],PlayerGameData[STL],0)+PlayerGameData[[#This Row],[VisibleOrder]]</f>
        <v>1142</v>
      </c>
      <c r="AV890" s="8">
        <f ca="1">IF(COUNTIF(PlayerGameData[STLOrder],PlayerGameData[[#This Row],[STLOrder]])&gt;1,PlayerGameData[[#This Row],[PointRank]]/100+PlayerGameData[[#This Row],[STLOrder]],PlayerGameData[[#This Row],[STLOrder]])</f>
        <v>1148.25</v>
      </c>
      <c r="AW890" s="8">
        <f ca="1">RANK(PlayerGameData[[#This Row],[STLTieBreak]],PlayerGameData[STLTieBreak],1)</f>
        <v>625</v>
      </c>
      <c r="AX890" s="8">
        <f ca="1">RANK(PlayerGameData[[#This Row],[BLK]],PlayerGameData[BLK],0)+PlayerGameData[[#This Row],[VisibleOrder]]</f>
        <v>1031</v>
      </c>
      <c r="AY890" s="8">
        <f ca="1">IF(COUNTIF(PlayerGameData[BLKOrder],PlayerGameData[[#This Row],[BLKOrder]])&gt;1,PlayerGameData[[#This Row],[PointRank]]/100+PlayerGameData[[#This Row],[BLKOrder]],PlayerGameData[[#This Row],[BLKOrder]])</f>
        <v>1037.25</v>
      </c>
      <c r="AZ890" s="8">
        <f ca="1">RANK(PlayerGameData[[#This Row],[BLKTieBreak]],PlayerGameData[BLKTieBreak],1)</f>
        <v>625</v>
      </c>
      <c r="BA890" s="11">
        <f ca="1">IFERROR(IF(PlayerGameData[[#This Row],[FGA]]&gt;$AA$5,PlayerGameData[[#This Row],[FG%*]],PlayerGameData[[#This Row],[FG%*]]*-1),-2)</f>
        <v>-2</v>
      </c>
      <c r="BB890" s="8">
        <f ca="1">RANK(PlayerGameData[[#This Row],[EligFG]],PlayerGameData[EligFG],0)+PlayerGameData[[#This Row],[VisibleOrder]]</f>
        <v>1214</v>
      </c>
      <c r="BC890" s="8">
        <f ca="1">IF(COUNTIF(PlayerGameData[EligFGOrder],PlayerGameData[[#This Row],[EligFGOrder]])&gt;1,PlayerGameData[[#This Row],[PointRank]]/100+PlayerGameData[[#This Row],[EligFGOrder]],PlayerGameData[[#This Row],[EligFGOrder]])</f>
        <v>1220.25</v>
      </c>
      <c r="BD890" s="8">
        <f ca="1">RANK(PlayerGameData[[#This Row],[EligFGTieBreak]],PlayerGameData[EligFGTieBreak],1)</f>
        <v>625</v>
      </c>
      <c r="BE890" s="8" t="str">
        <f>Roster!$D$3</f>
        <v>East</v>
      </c>
      <c r="BF890" s="8" t="str">
        <f>Roster!$D$2</f>
        <v>Northeast</v>
      </c>
      <c r="BG890" s="8" t="str">
        <f>Roster!$D$4</f>
        <v>North</v>
      </c>
      <c r="BH890" s="197">
        <f ca="1">IFERROR(VLOOKUP(CONCATENATE(PlayerGameData[[#This Row],[Opponent]]," ",MONTH(PlayerGameData[[#This Row],[Date]]),"/",DAY(PlayerGameData[[#This Row],[Date]]),"/",YEAR(PlayerGameData[[#This Row],[Date]])),Table35[],2,FALSE),0)</f>
        <v>0</v>
      </c>
      <c r="BI890" s="197">
        <f ca="1">IF(PlayerGameData[[#This Row],[Visible]]=1,1,1000)</f>
        <v>1000</v>
      </c>
      <c r="BJ890" s="197" t="e">
        <f ca="1">_xlfn.MAXIFS(TeamGameData[Win],TeamGameData[School, Opponent,Game'#],PlayerGameData[[#This Row],[School, Opponent,Game'#]])</f>
        <v>#NAME?</v>
      </c>
      <c r="BK890" s="197" t="e">
        <f ca="1">_xlfn.MAXIFS(TeamGameData[Loss],TeamGameData[School, Opponent,Game'#],PlayerGameData[[#This Row],[School, Opponent,Game'#]])</f>
        <v>#NAME?</v>
      </c>
    </row>
    <row r="891" spans="1:63" x14ac:dyDescent="0.25">
      <c r="A891" s="8" t="str">
        <f t="shared" ca="1" si="423"/>
        <v xml:space="preserve">, </v>
      </c>
      <c r="B891" s="8" t="str">
        <f>Roster!$B$1</f>
        <v>Upton</v>
      </c>
      <c r="C891" s="8">
        <f t="shared" ca="1" si="411"/>
        <v>0</v>
      </c>
      <c r="D891" s="10">
        <f t="shared" ca="1" si="412"/>
        <v>0</v>
      </c>
      <c r="E891" s="8">
        <f t="shared" ca="1" si="413"/>
        <v>0</v>
      </c>
      <c r="F891" s="8">
        <f t="shared" ca="1" si="414"/>
        <v>0</v>
      </c>
      <c r="G891" s="8">
        <f t="shared" ca="1" si="415"/>
        <v>0</v>
      </c>
      <c r="H891" s="8">
        <f t="shared" ca="1" si="416"/>
        <v>0</v>
      </c>
      <c r="I891" s="8">
        <f t="shared" ca="1" si="417"/>
        <v>0</v>
      </c>
      <c r="J891" s="8">
        <f t="shared" ca="1" si="418"/>
        <v>0</v>
      </c>
      <c r="K891" s="8">
        <f t="shared" ca="1" si="419"/>
        <v>0</v>
      </c>
      <c r="L891" s="8">
        <f t="shared" ca="1" si="424"/>
        <v>0</v>
      </c>
      <c r="M891" s="8">
        <f t="shared" ca="1" si="425"/>
        <v>0</v>
      </c>
      <c r="N891" s="8">
        <f t="shared" ca="1" si="426"/>
        <v>0</v>
      </c>
      <c r="O891" s="8">
        <f t="shared" ca="1" si="427"/>
        <v>0</v>
      </c>
      <c r="P891" s="8">
        <f t="shared" ca="1" si="428"/>
        <v>0</v>
      </c>
      <c r="Q891" s="8">
        <f t="shared" ca="1" si="429"/>
        <v>0</v>
      </c>
      <c r="R891" s="8">
        <f t="shared" ca="1" si="430"/>
        <v>0</v>
      </c>
      <c r="S891" s="8">
        <f t="shared" ca="1" si="431"/>
        <v>0</v>
      </c>
      <c r="T891" s="8">
        <f t="shared" ca="1" si="432"/>
        <v>0</v>
      </c>
      <c r="U891" s="8">
        <f t="shared" ca="1" si="433"/>
        <v>0</v>
      </c>
      <c r="V891" s="8">
        <f t="shared" ca="1" si="434"/>
        <v>0</v>
      </c>
      <c r="W891" s="11" t="str">
        <f t="shared" ca="1" si="435"/>
        <v/>
      </c>
      <c r="X891" s="11" t="str">
        <f t="shared" ca="1" si="436"/>
        <v/>
      </c>
      <c r="Y891" s="11" t="str">
        <f t="shared" ca="1" si="437"/>
        <v/>
      </c>
      <c r="Z891" s="11" t="str">
        <f t="shared" ca="1" si="438"/>
        <v/>
      </c>
      <c r="AA891" s="11" t="str">
        <f t="shared" ca="1" si="439"/>
        <v/>
      </c>
      <c r="AB891" s="47">
        <f ca="1">PlayerGameData[[#This Row],[3FGA]]+PlayerGameData[[#This Row],[2FGA]]</f>
        <v>0</v>
      </c>
      <c r="AC891" s="47">
        <f ca="1">PlayerGameData[[#This Row],[OFF REB]]+PlayerGameData[[#This Row],[DEF REB]]</f>
        <v>0</v>
      </c>
      <c r="AD891" s="8">
        <f t="shared" si="420"/>
        <v>37</v>
      </c>
      <c r="AE891" s="8" t="str">
        <f t="shared" ca="1" si="421"/>
        <v>,  - 0 1/0/1900</v>
      </c>
      <c r="AF891" s="8" t="str">
        <f t="shared" ca="1" si="440"/>
        <v/>
      </c>
      <c r="AG891" s="8" t="str">
        <f ca="1">IFERROR(IF(C891=0,"",IF(AND(VLOOKUP(PlayerGameData[[#This Row],[Opponent]],WYTeamInfo,2,FALSE)=Roster!$D$1,VLOOKUP(PlayerGameData[[#This Row],[Opponent]],WYTeamInfo,3,FALSE)=Roster!$D$2),"SR","")),"")</f>
        <v/>
      </c>
      <c r="AH891" s="8" t="str">
        <f>CONCATENATE(Roster!$D$1," ",Roster!$D$5)</f>
        <v>1A BB</v>
      </c>
      <c r="AI891" s="8" t="str">
        <f t="shared" ca="1" si="422"/>
        <v>Blank</v>
      </c>
      <c r="AJ891" s="8">
        <f ca="1">IFERROR(VLOOKUP(PlayerGameData[[#This Row],[School, Opponent,Game'#]],Table3[],2,FALSE),0)</f>
        <v>0</v>
      </c>
      <c r="AK891" s="8">
        <f ca="1">IF(PlayerGameData[[#This Row],[Visible]]=1,1,1000)</f>
        <v>1000</v>
      </c>
      <c r="AL891" s="8">
        <f ca="1">RANK(PlayerGameData[[#This Row],[TL PTS]],PlayerGameData[TL PTS],0)+PlayerGameData[[#This Row],[VisibleOrder]]</f>
        <v>1184</v>
      </c>
      <c r="AM891" s="8">
        <f ca="1">IF(COUNTIF(PlayerGameData[PointOrder],PlayerGameData[[#This Row],[PointOrder]])&gt;1,RANK(PlayerGameData[[#This Row],[FGA]],PlayerGameData[FGA],0)/100,0)+PlayerGameData[[#This Row],[PointOrder]]</f>
        <v>1186.1400000000001</v>
      </c>
      <c r="AN891" s="8">
        <f ca="1">RANK(PlayerGameData[[#This Row],[PointTieBreak]],PlayerGameData[PointTieBreak],1)</f>
        <v>625</v>
      </c>
      <c r="AO891" s="8">
        <f ca="1">RANK(PlayerGameData[[#This Row],[REB]],PlayerGameData[REB],0)+PlayerGameData[[#This Row],[VisibleOrder]]</f>
        <v>1191</v>
      </c>
      <c r="AP891" s="8">
        <f ca="1">IF(COUNTIF(PlayerGameData[REBOrder],PlayerGameData[[#This Row],[REBOrder]])&gt;1,PlayerGameData[[#This Row],[PointRank]]/100+PlayerGameData[[#This Row],[REBOrder]],PlayerGameData[[#This Row],[REBOrder]])</f>
        <v>1197.25</v>
      </c>
      <c r="AQ891" s="8">
        <f ca="1">RANK(PlayerGameData[[#This Row],[REBTieBreak]],PlayerGameData[REBTieBreak],1)</f>
        <v>625</v>
      </c>
      <c r="AR891" s="8">
        <f ca="1">RANK(PlayerGameData[[#This Row],[AST]],PlayerGameData[AST],0)+PlayerGameData[[#This Row],[VisibleOrder]]</f>
        <v>1157</v>
      </c>
      <c r="AS891" s="8">
        <f ca="1">IF(COUNTIF(PlayerGameData[ASTOrder],PlayerGameData[[#This Row],[ASTOrder]])&gt;1,PlayerGameData[[#This Row],[PointRank]]/100+PlayerGameData[[#This Row],[ASTOrder]],PlayerGameData[[#This Row],[ASTOrder]])</f>
        <v>1163.25</v>
      </c>
      <c r="AT891" s="8">
        <f ca="1">RANK(PlayerGameData[[#This Row],[ASTTieBreak]],PlayerGameData[ASTTieBreak],1)</f>
        <v>625</v>
      </c>
      <c r="AU891" s="8">
        <f ca="1">RANK(PlayerGameData[[#This Row],[STL]],PlayerGameData[STL],0)+PlayerGameData[[#This Row],[VisibleOrder]]</f>
        <v>1142</v>
      </c>
      <c r="AV891" s="8">
        <f ca="1">IF(COUNTIF(PlayerGameData[STLOrder],PlayerGameData[[#This Row],[STLOrder]])&gt;1,PlayerGameData[[#This Row],[PointRank]]/100+PlayerGameData[[#This Row],[STLOrder]],PlayerGameData[[#This Row],[STLOrder]])</f>
        <v>1148.25</v>
      </c>
      <c r="AW891" s="8">
        <f ca="1">RANK(PlayerGameData[[#This Row],[STLTieBreak]],PlayerGameData[STLTieBreak],1)</f>
        <v>625</v>
      </c>
      <c r="AX891" s="8">
        <f ca="1">RANK(PlayerGameData[[#This Row],[BLK]],PlayerGameData[BLK],0)+PlayerGameData[[#This Row],[VisibleOrder]]</f>
        <v>1031</v>
      </c>
      <c r="AY891" s="8">
        <f ca="1">IF(COUNTIF(PlayerGameData[BLKOrder],PlayerGameData[[#This Row],[BLKOrder]])&gt;1,PlayerGameData[[#This Row],[PointRank]]/100+PlayerGameData[[#This Row],[BLKOrder]],PlayerGameData[[#This Row],[BLKOrder]])</f>
        <v>1037.25</v>
      </c>
      <c r="AZ891" s="8">
        <f ca="1">RANK(PlayerGameData[[#This Row],[BLKTieBreak]],PlayerGameData[BLKTieBreak],1)</f>
        <v>625</v>
      </c>
      <c r="BA891" s="11">
        <f ca="1">IFERROR(IF(PlayerGameData[[#This Row],[FGA]]&gt;$AA$5,PlayerGameData[[#This Row],[FG%*]],PlayerGameData[[#This Row],[FG%*]]*-1),-2)</f>
        <v>-2</v>
      </c>
      <c r="BB891" s="8">
        <f ca="1">RANK(PlayerGameData[[#This Row],[EligFG]],PlayerGameData[EligFG],0)+PlayerGameData[[#This Row],[VisibleOrder]]</f>
        <v>1214</v>
      </c>
      <c r="BC891" s="8">
        <f ca="1">IF(COUNTIF(PlayerGameData[EligFGOrder],PlayerGameData[[#This Row],[EligFGOrder]])&gt;1,PlayerGameData[[#This Row],[PointRank]]/100+PlayerGameData[[#This Row],[EligFGOrder]],PlayerGameData[[#This Row],[EligFGOrder]])</f>
        <v>1220.25</v>
      </c>
      <c r="BD891" s="8">
        <f ca="1">RANK(PlayerGameData[[#This Row],[EligFGTieBreak]],PlayerGameData[EligFGTieBreak],1)</f>
        <v>625</v>
      </c>
      <c r="BE891" s="8" t="str">
        <f>Roster!$D$3</f>
        <v>East</v>
      </c>
      <c r="BF891" s="8" t="str">
        <f>Roster!$D$2</f>
        <v>Northeast</v>
      </c>
      <c r="BG891" s="8" t="str">
        <f>Roster!$D$4</f>
        <v>North</v>
      </c>
      <c r="BH891" s="197">
        <f ca="1">IFERROR(VLOOKUP(CONCATENATE(PlayerGameData[[#This Row],[Opponent]]," ",MONTH(PlayerGameData[[#This Row],[Date]]),"/",DAY(PlayerGameData[[#This Row],[Date]]),"/",YEAR(PlayerGameData[[#This Row],[Date]])),Table35[],2,FALSE),0)</f>
        <v>0</v>
      </c>
      <c r="BI891" s="197">
        <f ca="1">IF(PlayerGameData[[#This Row],[Visible]]=1,1,1000)</f>
        <v>1000</v>
      </c>
      <c r="BJ891" s="197" t="e">
        <f ca="1">_xlfn.MAXIFS(TeamGameData[Win],TeamGameData[School, Opponent,Game'#],PlayerGameData[[#This Row],[School, Opponent,Game'#]])</f>
        <v>#NAME?</v>
      </c>
      <c r="BK891" s="197" t="e">
        <f ca="1">_xlfn.MAXIFS(TeamGameData[Loss],TeamGameData[School, Opponent,Game'#],PlayerGameData[[#This Row],[School, Opponent,Game'#]])</f>
        <v>#NAME?</v>
      </c>
    </row>
    <row r="892" spans="1:63" x14ac:dyDescent="0.25">
      <c r="A892" s="8" t="str">
        <f t="shared" ca="1" si="423"/>
        <v xml:space="preserve">, </v>
      </c>
      <c r="B892" s="8" t="str">
        <f>Roster!$B$1</f>
        <v>Upton</v>
      </c>
      <c r="C892" s="8">
        <f t="shared" ca="1" si="411"/>
        <v>0</v>
      </c>
      <c r="D892" s="10">
        <f t="shared" ca="1" si="412"/>
        <v>0</v>
      </c>
      <c r="E892" s="8">
        <f t="shared" ca="1" si="413"/>
        <v>0</v>
      </c>
      <c r="F892" s="8">
        <f t="shared" ca="1" si="414"/>
        <v>0</v>
      </c>
      <c r="G892" s="8">
        <f t="shared" ca="1" si="415"/>
        <v>0</v>
      </c>
      <c r="H892" s="8">
        <f t="shared" ca="1" si="416"/>
        <v>0</v>
      </c>
      <c r="I892" s="8">
        <f t="shared" ca="1" si="417"/>
        <v>0</v>
      </c>
      <c r="J892" s="8">
        <f t="shared" ca="1" si="418"/>
        <v>0</v>
      </c>
      <c r="K892" s="8">
        <f t="shared" ca="1" si="419"/>
        <v>0</v>
      </c>
      <c r="L892" s="8">
        <f t="shared" ca="1" si="424"/>
        <v>0</v>
      </c>
      <c r="M892" s="8">
        <f t="shared" ca="1" si="425"/>
        <v>0</v>
      </c>
      <c r="N892" s="8">
        <f t="shared" ca="1" si="426"/>
        <v>0</v>
      </c>
      <c r="O892" s="8">
        <f t="shared" ca="1" si="427"/>
        <v>0</v>
      </c>
      <c r="P892" s="8">
        <f t="shared" ca="1" si="428"/>
        <v>0</v>
      </c>
      <c r="Q892" s="8">
        <f t="shared" ca="1" si="429"/>
        <v>0</v>
      </c>
      <c r="R892" s="8">
        <f t="shared" ca="1" si="430"/>
        <v>0</v>
      </c>
      <c r="S892" s="8">
        <f t="shared" ca="1" si="431"/>
        <v>0</v>
      </c>
      <c r="T892" s="8">
        <f t="shared" ca="1" si="432"/>
        <v>0</v>
      </c>
      <c r="U892" s="8">
        <f t="shared" ca="1" si="433"/>
        <v>0</v>
      </c>
      <c r="V892" s="8">
        <f t="shared" ca="1" si="434"/>
        <v>0</v>
      </c>
      <c r="W892" s="11" t="str">
        <f t="shared" ca="1" si="435"/>
        <v/>
      </c>
      <c r="X892" s="11" t="str">
        <f t="shared" ca="1" si="436"/>
        <v/>
      </c>
      <c r="Y892" s="11" t="str">
        <f t="shared" ca="1" si="437"/>
        <v/>
      </c>
      <c r="Z892" s="11" t="str">
        <f t="shared" ca="1" si="438"/>
        <v/>
      </c>
      <c r="AA892" s="11" t="str">
        <f t="shared" ca="1" si="439"/>
        <v/>
      </c>
      <c r="AB892" s="47">
        <f ca="1">PlayerGameData[[#This Row],[3FGA]]+PlayerGameData[[#This Row],[2FGA]]</f>
        <v>0</v>
      </c>
      <c r="AC892" s="47">
        <f ca="1">PlayerGameData[[#This Row],[OFF REB]]+PlayerGameData[[#This Row],[DEF REB]]</f>
        <v>0</v>
      </c>
      <c r="AD892" s="8">
        <f t="shared" si="420"/>
        <v>37</v>
      </c>
      <c r="AE892" s="8" t="str">
        <f t="shared" ca="1" si="421"/>
        <v>,  - 0 1/0/1900</v>
      </c>
      <c r="AF892" s="8" t="str">
        <f t="shared" ca="1" si="440"/>
        <v/>
      </c>
      <c r="AG892" s="8" t="str">
        <f ca="1">IFERROR(IF(C892=0,"",IF(AND(VLOOKUP(PlayerGameData[[#This Row],[Opponent]],WYTeamInfo,2,FALSE)=Roster!$D$1,VLOOKUP(PlayerGameData[[#This Row],[Opponent]],WYTeamInfo,3,FALSE)=Roster!$D$2),"SR","")),"")</f>
        <v/>
      </c>
      <c r="AH892" s="8" t="str">
        <f>CONCATENATE(Roster!$D$1," ",Roster!$D$5)</f>
        <v>1A BB</v>
      </c>
      <c r="AI892" s="8" t="str">
        <f t="shared" ca="1" si="422"/>
        <v>Blank</v>
      </c>
      <c r="AJ892" s="8">
        <f ca="1">IFERROR(VLOOKUP(PlayerGameData[[#This Row],[School, Opponent,Game'#]],Table3[],2,FALSE),0)</f>
        <v>0</v>
      </c>
      <c r="AK892" s="8">
        <f ca="1">IF(PlayerGameData[[#This Row],[Visible]]=1,1,1000)</f>
        <v>1000</v>
      </c>
      <c r="AL892" s="8">
        <f ca="1">RANK(PlayerGameData[[#This Row],[TL PTS]],PlayerGameData[TL PTS],0)+PlayerGameData[[#This Row],[VisibleOrder]]</f>
        <v>1184</v>
      </c>
      <c r="AM892" s="8">
        <f ca="1">IF(COUNTIF(PlayerGameData[PointOrder],PlayerGameData[[#This Row],[PointOrder]])&gt;1,RANK(PlayerGameData[[#This Row],[FGA]],PlayerGameData[FGA],0)/100,0)+PlayerGameData[[#This Row],[PointOrder]]</f>
        <v>1186.1400000000001</v>
      </c>
      <c r="AN892" s="8">
        <f ca="1">RANK(PlayerGameData[[#This Row],[PointTieBreak]],PlayerGameData[PointTieBreak],1)</f>
        <v>625</v>
      </c>
      <c r="AO892" s="8">
        <f ca="1">RANK(PlayerGameData[[#This Row],[REB]],PlayerGameData[REB],0)+PlayerGameData[[#This Row],[VisibleOrder]]</f>
        <v>1191</v>
      </c>
      <c r="AP892" s="8">
        <f ca="1">IF(COUNTIF(PlayerGameData[REBOrder],PlayerGameData[[#This Row],[REBOrder]])&gt;1,PlayerGameData[[#This Row],[PointRank]]/100+PlayerGameData[[#This Row],[REBOrder]],PlayerGameData[[#This Row],[REBOrder]])</f>
        <v>1197.25</v>
      </c>
      <c r="AQ892" s="8">
        <f ca="1">RANK(PlayerGameData[[#This Row],[REBTieBreak]],PlayerGameData[REBTieBreak],1)</f>
        <v>625</v>
      </c>
      <c r="AR892" s="8">
        <f ca="1">RANK(PlayerGameData[[#This Row],[AST]],PlayerGameData[AST],0)+PlayerGameData[[#This Row],[VisibleOrder]]</f>
        <v>1157</v>
      </c>
      <c r="AS892" s="8">
        <f ca="1">IF(COUNTIF(PlayerGameData[ASTOrder],PlayerGameData[[#This Row],[ASTOrder]])&gt;1,PlayerGameData[[#This Row],[PointRank]]/100+PlayerGameData[[#This Row],[ASTOrder]],PlayerGameData[[#This Row],[ASTOrder]])</f>
        <v>1163.25</v>
      </c>
      <c r="AT892" s="8">
        <f ca="1">RANK(PlayerGameData[[#This Row],[ASTTieBreak]],PlayerGameData[ASTTieBreak],1)</f>
        <v>625</v>
      </c>
      <c r="AU892" s="8">
        <f ca="1">RANK(PlayerGameData[[#This Row],[STL]],PlayerGameData[STL],0)+PlayerGameData[[#This Row],[VisibleOrder]]</f>
        <v>1142</v>
      </c>
      <c r="AV892" s="8">
        <f ca="1">IF(COUNTIF(PlayerGameData[STLOrder],PlayerGameData[[#This Row],[STLOrder]])&gt;1,PlayerGameData[[#This Row],[PointRank]]/100+PlayerGameData[[#This Row],[STLOrder]],PlayerGameData[[#This Row],[STLOrder]])</f>
        <v>1148.25</v>
      </c>
      <c r="AW892" s="8">
        <f ca="1">RANK(PlayerGameData[[#This Row],[STLTieBreak]],PlayerGameData[STLTieBreak],1)</f>
        <v>625</v>
      </c>
      <c r="AX892" s="8">
        <f ca="1">RANK(PlayerGameData[[#This Row],[BLK]],PlayerGameData[BLK],0)+PlayerGameData[[#This Row],[VisibleOrder]]</f>
        <v>1031</v>
      </c>
      <c r="AY892" s="8">
        <f ca="1">IF(COUNTIF(PlayerGameData[BLKOrder],PlayerGameData[[#This Row],[BLKOrder]])&gt;1,PlayerGameData[[#This Row],[PointRank]]/100+PlayerGameData[[#This Row],[BLKOrder]],PlayerGameData[[#This Row],[BLKOrder]])</f>
        <v>1037.25</v>
      </c>
      <c r="AZ892" s="8">
        <f ca="1">RANK(PlayerGameData[[#This Row],[BLKTieBreak]],PlayerGameData[BLKTieBreak],1)</f>
        <v>625</v>
      </c>
      <c r="BA892" s="11">
        <f ca="1">IFERROR(IF(PlayerGameData[[#This Row],[FGA]]&gt;$AA$5,PlayerGameData[[#This Row],[FG%*]],PlayerGameData[[#This Row],[FG%*]]*-1),-2)</f>
        <v>-2</v>
      </c>
      <c r="BB892" s="8">
        <f ca="1">RANK(PlayerGameData[[#This Row],[EligFG]],PlayerGameData[EligFG],0)+PlayerGameData[[#This Row],[VisibleOrder]]</f>
        <v>1214</v>
      </c>
      <c r="BC892" s="8">
        <f ca="1">IF(COUNTIF(PlayerGameData[EligFGOrder],PlayerGameData[[#This Row],[EligFGOrder]])&gt;1,PlayerGameData[[#This Row],[PointRank]]/100+PlayerGameData[[#This Row],[EligFGOrder]],PlayerGameData[[#This Row],[EligFGOrder]])</f>
        <v>1220.25</v>
      </c>
      <c r="BD892" s="8">
        <f ca="1">RANK(PlayerGameData[[#This Row],[EligFGTieBreak]],PlayerGameData[EligFGTieBreak],1)</f>
        <v>625</v>
      </c>
      <c r="BE892" s="8" t="str">
        <f>Roster!$D$3</f>
        <v>East</v>
      </c>
      <c r="BF892" s="8" t="str">
        <f>Roster!$D$2</f>
        <v>Northeast</v>
      </c>
      <c r="BG892" s="8" t="str">
        <f>Roster!$D$4</f>
        <v>North</v>
      </c>
      <c r="BH892" s="197">
        <f ca="1">IFERROR(VLOOKUP(CONCATENATE(PlayerGameData[[#This Row],[Opponent]]," ",MONTH(PlayerGameData[[#This Row],[Date]]),"/",DAY(PlayerGameData[[#This Row],[Date]]),"/",YEAR(PlayerGameData[[#This Row],[Date]])),Table35[],2,FALSE),0)</f>
        <v>0</v>
      </c>
      <c r="BI892" s="197">
        <f ca="1">IF(PlayerGameData[[#This Row],[Visible]]=1,1,1000)</f>
        <v>1000</v>
      </c>
      <c r="BJ892" s="197" t="e">
        <f ca="1">_xlfn.MAXIFS(TeamGameData[Win],TeamGameData[School, Opponent,Game'#],PlayerGameData[[#This Row],[School, Opponent,Game'#]])</f>
        <v>#NAME?</v>
      </c>
      <c r="BK892" s="197" t="e">
        <f ca="1">_xlfn.MAXIFS(TeamGameData[Loss],TeamGameData[School, Opponent,Game'#],PlayerGameData[[#This Row],[School, Opponent,Game'#]])</f>
        <v>#NAME?</v>
      </c>
    </row>
    <row r="893" spans="1:63" x14ac:dyDescent="0.25">
      <c r="A893" s="8" t="str">
        <f t="shared" ca="1" si="423"/>
        <v xml:space="preserve">, </v>
      </c>
      <c r="B893" s="8" t="str">
        <f>Roster!$B$1</f>
        <v>Upton</v>
      </c>
      <c r="C893" s="8">
        <f t="shared" ca="1" si="411"/>
        <v>0</v>
      </c>
      <c r="D893" s="10">
        <f t="shared" ca="1" si="412"/>
        <v>0</v>
      </c>
      <c r="E893" s="8">
        <f t="shared" ca="1" si="413"/>
        <v>0</v>
      </c>
      <c r="F893" s="8">
        <f t="shared" ca="1" si="414"/>
        <v>0</v>
      </c>
      <c r="G893" s="8">
        <f t="shared" ca="1" si="415"/>
        <v>0</v>
      </c>
      <c r="H893" s="8">
        <f t="shared" ca="1" si="416"/>
        <v>0</v>
      </c>
      <c r="I893" s="8">
        <f t="shared" ca="1" si="417"/>
        <v>0</v>
      </c>
      <c r="J893" s="8">
        <f t="shared" ca="1" si="418"/>
        <v>0</v>
      </c>
      <c r="K893" s="8">
        <f t="shared" ca="1" si="419"/>
        <v>0</v>
      </c>
      <c r="L893" s="8">
        <f t="shared" ca="1" si="424"/>
        <v>0</v>
      </c>
      <c r="M893" s="8">
        <f t="shared" ca="1" si="425"/>
        <v>0</v>
      </c>
      <c r="N893" s="8">
        <f t="shared" ca="1" si="426"/>
        <v>0</v>
      </c>
      <c r="O893" s="8">
        <f t="shared" ca="1" si="427"/>
        <v>0</v>
      </c>
      <c r="P893" s="8">
        <f t="shared" ca="1" si="428"/>
        <v>0</v>
      </c>
      <c r="Q893" s="8">
        <f t="shared" ca="1" si="429"/>
        <v>0</v>
      </c>
      <c r="R893" s="8">
        <f t="shared" ca="1" si="430"/>
        <v>0</v>
      </c>
      <c r="S893" s="8">
        <f t="shared" ca="1" si="431"/>
        <v>0</v>
      </c>
      <c r="T893" s="8">
        <f t="shared" ca="1" si="432"/>
        <v>0</v>
      </c>
      <c r="U893" s="8">
        <f t="shared" ca="1" si="433"/>
        <v>0</v>
      </c>
      <c r="V893" s="8">
        <f t="shared" ca="1" si="434"/>
        <v>0</v>
      </c>
      <c r="W893" s="11" t="str">
        <f t="shared" ca="1" si="435"/>
        <v/>
      </c>
      <c r="X893" s="11" t="str">
        <f t="shared" ca="1" si="436"/>
        <v/>
      </c>
      <c r="Y893" s="11" t="str">
        <f t="shared" ca="1" si="437"/>
        <v/>
      </c>
      <c r="Z893" s="11" t="str">
        <f t="shared" ca="1" si="438"/>
        <v/>
      </c>
      <c r="AA893" s="11" t="str">
        <f t="shared" ca="1" si="439"/>
        <v/>
      </c>
      <c r="AB893" s="47">
        <f ca="1">PlayerGameData[[#This Row],[3FGA]]+PlayerGameData[[#This Row],[2FGA]]</f>
        <v>0</v>
      </c>
      <c r="AC893" s="47">
        <f ca="1">PlayerGameData[[#This Row],[OFF REB]]+PlayerGameData[[#This Row],[DEF REB]]</f>
        <v>0</v>
      </c>
      <c r="AD893" s="8">
        <f t="shared" si="420"/>
        <v>37</v>
      </c>
      <c r="AE893" s="8" t="str">
        <f t="shared" ca="1" si="421"/>
        <v>,  - 0 1/0/1900</v>
      </c>
      <c r="AF893" s="8" t="str">
        <f t="shared" ca="1" si="440"/>
        <v/>
      </c>
      <c r="AG893" s="8" t="str">
        <f ca="1">IFERROR(IF(C893=0,"",IF(AND(VLOOKUP(PlayerGameData[[#This Row],[Opponent]],WYTeamInfo,2,FALSE)=Roster!$D$1,VLOOKUP(PlayerGameData[[#This Row],[Opponent]],WYTeamInfo,3,FALSE)=Roster!$D$2),"SR","")),"")</f>
        <v/>
      </c>
      <c r="AH893" s="8" t="str">
        <f>CONCATENATE(Roster!$D$1," ",Roster!$D$5)</f>
        <v>1A BB</v>
      </c>
      <c r="AI893" s="8" t="str">
        <f t="shared" ca="1" si="422"/>
        <v>Blank</v>
      </c>
      <c r="AJ893" s="8">
        <f ca="1">IFERROR(VLOOKUP(PlayerGameData[[#This Row],[School, Opponent,Game'#]],Table3[],2,FALSE),0)</f>
        <v>0</v>
      </c>
      <c r="AK893" s="8">
        <f ca="1">IF(PlayerGameData[[#This Row],[Visible]]=1,1,1000)</f>
        <v>1000</v>
      </c>
      <c r="AL893" s="8">
        <f ca="1">RANK(PlayerGameData[[#This Row],[TL PTS]],PlayerGameData[TL PTS],0)+PlayerGameData[[#This Row],[VisibleOrder]]</f>
        <v>1184</v>
      </c>
      <c r="AM893" s="8">
        <f ca="1">IF(COUNTIF(PlayerGameData[PointOrder],PlayerGameData[[#This Row],[PointOrder]])&gt;1,RANK(PlayerGameData[[#This Row],[FGA]],PlayerGameData[FGA],0)/100,0)+PlayerGameData[[#This Row],[PointOrder]]</f>
        <v>1186.1400000000001</v>
      </c>
      <c r="AN893" s="8">
        <f ca="1">RANK(PlayerGameData[[#This Row],[PointTieBreak]],PlayerGameData[PointTieBreak],1)</f>
        <v>625</v>
      </c>
      <c r="AO893" s="8">
        <f ca="1">RANK(PlayerGameData[[#This Row],[REB]],PlayerGameData[REB],0)+PlayerGameData[[#This Row],[VisibleOrder]]</f>
        <v>1191</v>
      </c>
      <c r="AP893" s="8">
        <f ca="1">IF(COUNTIF(PlayerGameData[REBOrder],PlayerGameData[[#This Row],[REBOrder]])&gt;1,PlayerGameData[[#This Row],[PointRank]]/100+PlayerGameData[[#This Row],[REBOrder]],PlayerGameData[[#This Row],[REBOrder]])</f>
        <v>1197.25</v>
      </c>
      <c r="AQ893" s="8">
        <f ca="1">RANK(PlayerGameData[[#This Row],[REBTieBreak]],PlayerGameData[REBTieBreak],1)</f>
        <v>625</v>
      </c>
      <c r="AR893" s="8">
        <f ca="1">RANK(PlayerGameData[[#This Row],[AST]],PlayerGameData[AST],0)+PlayerGameData[[#This Row],[VisibleOrder]]</f>
        <v>1157</v>
      </c>
      <c r="AS893" s="8">
        <f ca="1">IF(COUNTIF(PlayerGameData[ASTOrder],PlayerGameData[[#This Row],[ASTOrder]])&gt;1,PlayerGameData[[#This Row],[PointRank]]/100+PlayerGameData[[#This Row],[ASTOrder]],PlayerGameData[[#This Row],[ASTOrder]])</f>
        <v>1163.25</v>
      </c>
      <c r="AT893" s="8">
        <f ca="1">RANK(PlayerGameData[[#This Row],[ASTTieBreak]],PlayerGameData[ASTTieBreak],1)</f>
        <v>625</v>
      </c>
      <c r="AU893" s="8">
        <f ca="1">RANK(PlayerGameData[[#This Row],[STL]],PlayerGameData[STL],0)+PlayerGameData[[#This Row],[VisibleOrder]]</f>
        <v>1142</v>
      </c>
      <c r="AV893" s="8">
        <f ca="1">IF(COUNTIF(PlayerGameData[STLOrder],PlayerGameData[[#This Row],[STLOrder]])&gt;1,PlayerGameData[[#This Row],[PointRank]]/100+PlayerGameData[[#This Row],[STLOrder]],PlayerGameData[[#This Row],[STLOrder]])</f>
        <v>1148.25</v>
      </c>
      <c r="AW893" s="8">
        <f ca="1">RANK(PlayerGameData[[#This Row],[STLTieBreak]],PlayerGameData[STLTieBreak],1)</f>
        <v>625</v>
      </c>
      <c r="AX893" s="8">
        <f ca="1">RANK(PlayerGameData[[#This Row],[BLK]],PlayerGameData[BLK],0)+PlayerGameData[[#This Row],[VisibleOrder]]</f>
        <v>1031</v>
      </c>
      <c r="AY893" s="8">
        <f ca="1">IF(COUNTIF(PlayerGameData[BLKOrder],PlayerGameData[[#This Row],[BLKOrder]])&gt;1,PlayerGameData[[#This Row],[PointRank]]/100+PlayerGameData[[#This Row],[BLKOrder]],PlayerGameData[[#This Row],[BLKOrder]])</f>
        <v>1037.25</v>
      </c>
      <c r="AZ893" s="8">
        <f ca="1">RANK(PlayerGameData[[#This Row],[BLKTieBreak]],PlayerGameData[BLKTieBreak],1)</f>
        <v>625</v>
      </c>
      <c r="BA893" s="11">
        <f ca="1">IFERROR(IF(PlayerGameData[[#This Row],[FGA]]&gt;$AA$5,PlayerGameData[[#This Row],[FG%*]],PlayerGameData[[#This Row],[FG%*]]*-1),-2)</f>
        <v>-2</v>
      </c>
      <c r="BB893" s="8">
        <f ca="1">RANK(PlayerGameData[[#This Row],[EligFG]],PlayerGameData[EligFG],0)+PlayerGameData[[#This Row],[VisibleOrder]]</f>
        <v>1214</v>
      </c>
      <c r="BC893" s="8">
        <f ca="1">IF(COUNTIF(PlayerGameData[EligFGOrder],PlayerGameData[[#This Row],[EligFGOrder]])&gt;1,PlayerGameData[[#This Row],[PointRank]]/100+PlayerGameData[[#This Row],[EligFGOrder]],PlayerGameData[[#This Row],[EligFGOrder]])</f>
        <v>1220.25</v>
      </c>
      <c r="BD893" s="8">
        <f ca="1">RANK(PlayerGameData[[#This Row],[EligFGTieBreak]],PlayerGameData[EligFGTieBreak],1)</f>
        <v>625</v>
      </c>
      <c r="BE893" s="8" t="str">
        <f>Roster!$D$3</f>
        <v>East</v>
      </c>
      <c r="BF893" s="8" t="str">
        <f>Roster!$D$2</f>
        <v>Northeast</v>
      </c>
      <c r="BG893" s="8" t="str">
        <f>Roster!$D$4</f>
        <v>North</v>
      </c>
      <c r="BH893" s="197">
        <f ca="1">IFERROR(VLOOKUP(CONCATENATE(PlayerGameData[[#This Row],[Opponent]]," ",MONTH(PlayerGameData[[#This Row],[Date]]),"/",DAY(PlayerGameData[[#This Row],[Date]]),"/",YEAR(PlayerGameData[[#This Row],[Date]])),Table35[],2,FALSE),0)</f>
        <v>0</v>
      </c>
      <c r="BI893" s="197">
        <f ca="1">IF(PlayerGameData[[#This Row],[Visible]]=1,1,1000)</f>
        <v>1000</v>
      </c>
      <c r="BJ893" s="197" t="e">
        <f ca="1">_xlfn.MAXIFS(TeamGameData[Win],TeamGameData[School, Opponent,Game'#],PlayerGameData[[#This Row],[School, Opponent,Game'#]])</f>
        <v>#NAME?</v>
      </c>
      <c r="BK893" s="197" t="e">
        <f ca="1">_xlfn.MAXIFS(TeamGameData[Loss],TeamGameData[School, Opponent,Game'#],PlayerGameData[[#This Row],[School, Opponent,Game'#]])</f>
        <v>#NAME?</v>
      </c>
    </row>
    <row r="894" spans="1:63" x14ac:dyDescent="0.25">
      <c r="A894" s="8" t="str">
        <f t="shared" ca="1" si="423"/>
        <v xml:space="preserve">Team, </v>
      </c>
      <c r="B894" s="8" t="str">
        <f>Roster!$B$1</f>
        <v>Upton</v>
      </c>
      <c r="C894" s="8">
        <f t="shared" ca="1" si="411"/>
        <v>0</v>
      </c>
      <c r="D894" s="10">
        <f t="shared" ca="1" si="412"/>
        <v>0</v>
      </c>
      <c r="E894" s="8">
        <f t="shared" ca="1" si="413"/>
        <v>0</v>
      </c>
      <c r="F894" s="8">
        <f t="shared" ca="1" si="414"/>
        <v>0</v>
      </c>
      <c r="G894" s="8">
        <f t="shared" ca="1" si="415"/>
        <v>0</v>
      </c>
      <c r="H894" s="8">
        <f t="shared" ca="1" si="416"/>
        <v>0</v>
      </c>
      <c r="I894" s="8">
        <f t="shared" ca="1" si="417"/>
        <v>0</v>
      </c>
      <c r="J894" s="8">
        <f t="shared" ca="1" si="418"/>
        <v>0</v>
      </c>
      <c r="K894" s="8">
        <f t="shared" ca="1" si="419"/>
        <v>0</v>
      </c>
      <c r="L894" s="8">
        <f t="shared" ca="1" si="424"/>
        <v>0</v>
      </c>
      <c r="M894" s="8">
        <f t="shared" ca="1" si="425"/>
        <v>0</v>
      </c>
      <c r="N894" s="8">
        <f t="shared" ca="1" si="426"/>
        <v>0</v>
      </c>
      <c r="O894" s="8">
        <f t="shared" ca="1" si="427"/>
        <v>0</v>
      </c>
      <c r="P894" s="8">
        <f t="shared" ca="1" si="428"/>
        <v>0</v>
      </c>
      <c r="Q894" s="8">
        <f t="shared" ca="1" si="429"/>
        <v>0</v>
      </c>
      <c r="R894" s="8">
        <f t="shared" ca="1" si="430"/>
        <v>0</v>
      </c>
      <c r="S894" s="8">
        <f t="shared" ca="1" si="431"/>
        <v>0</v>
      </c>
      <c r="T894" s="8">
        <f t="shared" ca="1" si="432"/>
        <v>0</v>
      </c>
      <c r="U894" s="8">
        <f t="shared" ca="1" si="433"/>
        <v>0</v>
      </c>
      <c r="V894" s="8">
        <f t="shared" ca="1" si="434"/>
        <v>0</v>
      </c>
      <c r="W894" s="11" t="str">
        <f t="shared" ca="1" si="435"/>
        <v/>
      </c>
      <c r="X894" s="11" t="str">
        <f t="shared" ca="1" si="436"/>
        <v/>
      </c>
      <c r="Y894" s="11" t="str">
        <f t="shared" ca="1" si="437"/>
        <v/>
      </c>
      <c r="Z894" s="11" t="str">
        <f t="shared" ca="1" si="438"/>
        <v/>
      </c>
      <c r="AA894" s="11" t="str">
        <f t="shared" ca="1" si="439"/>
        <v/>
      </c>
      <c r="AB894" s="47">
        <f ca="1">PlayerGameData[[#This Row],[3FGA]]+PlayerGameData[[#This Row],[2FGA]]</f>
        <v>0</v>
      </c>
      <c r="AC894" s="47">
        <f ca="1">PlayerGameData[[#This Row],[OFF REB]]+PlayerGameData[[#This Row],[DEF REB]]</f>
        <v>0</v>
      </c>
      <c r="AD894" s="8">
        <f t="shared" si="420"/>
        <v>37</v>
      </c>
      <c r="AE894" s="8" t="str">
        <f t="shared" ca="1" si="421"/>
        <v>Team,  - 0 1/0/1900</v>
      </c>
      <c r="AF894" s="8" t="str">
        <f t="shared" ca="1" si="440"/>
        <v/>
      </c>
      <c r="AG894" s="8" t="str">
        <f ca="1">IFERROR(IF(C894=0,"",IF(AND(VLOOKUP(PlayerGameData[[#This Row],[Opponent]],WYTeamInfo,2,FALSE)=Roster!$D$1,VLOOKUP(PlayerGameData[[#This Row],[Opponent]],WYTeamInfo,3,FALSE)=Roster!$D$2),"SR","")),"")</f>
        <v/>
      </c>
      <c r="AH894" s="8" t="str">
        <f>CONCATENATE(Roster!$D$1," ",Roster!$D$5)</f>
        <v>1A BB</v>
      </c>
      <c r="AI894" s="8" t="str">
        <f t="shared" ca="1" si="422"/>
        <v>Blank</v>
      </c>
      <c r="AJ894" s="8">
        <f ca="1">IFERROR(VLOOKUP(PlayerGameData[[#This Row],[School, Opponent,Game'#]],Table3[],2,FALSE),0)</f>
        <v>0</v>
      </c>
      <c r="AK894" s="8">
        <f ca="1">IF(PlayerGameData[[#This Row],[Visible]]=1,1,1000)</f>
        <v>1000</v>
      </c>
      <c r="AL894" s="8">
        <f ca="1">RANK(PlayerGameData[[#This Row],[TL PTS]],PlayerGameData[TL PTS],0)+PlayerGameData[[#This Row],[VisibleOrder]]</f>
        <v>1184</v>
      </c>
      <c r="AM894" s="8">
        <f ca="1">IF(COUNTIF(PlayerGameData[PointOrder],PlayerGameData[[#This Row],[PointOrder]])&gt;1,RANK(PlayerGameData[[#This Row],[FGA]],PlayerGameData[FGA],0)/100,0)+PlayerGameData[[#This Row],[PointOrder]]</f>
        <v>1186.1400000000001</v>
      </c>
      <c r="AN894" s="8">
        <f ca="1">RANK(PlayerGameData[[#This Row],[PointTieBreak]],PlayerGameData[PointTieBreak],1)</f>
        <v>625</v>
      </c>
      <c r="AO894" s="8">
        <f ca="1">RANK(PlayerGameData[[#This Row],[REB]],PlayerGameData[REB],0)+PlayerGameData[[#This Row],[VisibleOrder]]</f>
        <v>1191</v>
      </c>
      <c r="AP894" s="8">
        <f ca="1">IF(COUNTIF(PlayerGameData[REBOrder],PlayerGameData[[#This Row],[REBOrder]])&gt;1,PlayerGameData[[#This Row],[PointRank]]/100+PlayerGameData[[#This Row],[REBOrder]],PlayerGameData[[#This Row],[REBOrder]])</f>
        <v>1197.25</v>
      </c>
      <c r="AQ894" s="8">
        <f ca="1">RANK(PlayerGameData[[#This Row],[REBTieBreak]],PlayerGameData[REBTieBreak],1)</f>
        <v>625</v>
      </c>
      <c r="AR894" s="8">
        <f ca="1">RANK(PlayerGameData[[#This Row],[AST]],PlayerGameData[AST],0)+PlayerGameData[[#This Row],[VisibleOrder]]</f>
        <v>1157</v>
      </c>
      <c r="AS894" s="8">
        <f ca="1">IF(COUNTIF(PlayerGameData[ASTOrder],PlayerGameData[[#This Row],[ASTOrder]])&gt;1,PlayerGameData[[#This Row],[PointRank]]/100+PlayerGameData[[#This Row],[ASTOrder]],PlayerGameData[[#This Row],[ASTOrder]])</f>
        <v>1163.25</v>
      </c>
      <c r="AT894" s="8">
        <f ca="1">RANK(PlayerGameData[[#This Row],[ASTTieBreak]],PlayerGameData[ASTTieBreak],1)</f>
        <v>625</v>
      </c>
      <c r="AU894" s="8">
        <f ca="1">RANK(PlayerGameData[[#This Row],[STL]],PlayerGameData[STL],0)+PlayerGameData[[#This Row],[VisibleOrder]]</f>
        <v>1142</v>
      </c>
      <c r="AV894" s="8">
        <f ca="1">IF(COUNTIF(PlayerGameData[STLOrder],PlayerGameData[[#This Row],[STLOrder]])&gt;1,PlayerGameData[[#This Row],[PointRank]]/100+PlayerGameData[[#This Row],[STLOrder]],PlayerGameData[[#This Row],[STLOrder]])</f>
        <v>1148.25</v>
      </c>
      <c r="AW894" s="8">
        <f ca="1">RANK(PlayerGameData[[#This Row],[STLTieBreak]],PlayerGameData[STLTieBreak],1)</f>
        <v>625</v>
      </c>
      <c r="AX894" s="8">
        <f ca="1">RANK(PlayerGameData[[#This Row],[BLK]],PlayerGameData[BLK],0)+PlayerGameData[[#This Row],[VisibleOrder]]</f>
        <v>1031</v>
      </c>
      <c r="AY894" s="8">
        <f ca="1">IF(COUNTIF(PlayerGameData[BLKOrder],PlayerGameData[[#This Row],[BLKOrder]])&gt;1,PlayerGameData[[#This Row],[PointRank]]/100+PlayerGameData[[#This Row],[BLKOrder]],PlayerGameData[[#This Row],[BLKOrder]])</f>
        <v>1037.25</v>
      </c>
      <c r="AZ894" s="8">
        <f ca="1">RANK(PlayerGameData[[#This Row],[BLKTieBreak]],PlayerGameData[BLKTieBreak],1)</f>
        <v>625</v>
      </c>
      <c r="BA894" s="11">
        <f ca="1">IFERROR(IF(PlayerGameData[[#This Row],[FGA]]&gt;$AA$5,PlayerGameData[[#This Row],[FG%*]],PlayerGameData[[#This Row],[FG%*]]*-1),-2)</f>
        <v>-2</v>
      </c>
      <c r="BB894" s="8">
        <f ca="1">RANK(PlayerGameData[[#This Row],[EligFG]],PlayerGameData[EligFG],0)+PlayerGameData[[#This Row],[VisibleOrder]]</f>
        <v>1214</v>
      </c>
      <c r="BC894" s="8">
        <f ca="1">IF(COUNTIF(PlayerGameData[EligFGOrder],PlayerGameData[[#This Row],[EligFGOrder]])&gt;1,PlayerGameData[[#This Row],[PointRank]]/100+PlayerGameData[[#This Row],[EligFGOrder]],PlayerGameData[[#This Row],[EligFGOrder]])</f>
        <v>1220.25</v>
      </c>
      <c r="BD894" s="8">
        <f ca="1">RANK(PlayerGameData[[#This Row],[EligFGTieBreak]],PlayerGameData[EligFGTieBreak],1)</f>
        <v>625</v>
      </c>
      <c r="BE894" s="8" t="str">
        <f>Roster!$D$3</f>
        <v>East</v>
      </c>
      <c r="BF894" s="8" t="str">
        <f>Roster!$D$2</f>
        <v>Northeast</v>
      </c>
      <c r="BG894" s="8" t="str">
        <f>Roster!$D$4</f>
        <v>North</v>
      </c>
      <c r="BH894" s="197">
        <f ca="1">IFERROR(VLOOKUP(CONCATENATE(PlayerGameData[[#This Row],[Opponent]]," ",MONTH(PlayerGameData[[#This Row],[Date]]),"/",DAY(PlayerGameData[[#This Row],[Date]]),"/",YEAR(PlayerGameData[[#This Row],[Date]])),Table35[],2,FALSE),0)</f>
        <v>0</v>
      </c>
      <c r="BI894" s="197">
        <f ca="1">IF(PlayerGameData[[#This Row],[Visible]]=1,1,1000)</f>
        <v>1000</v>
      </c>
      <c r="BJ894" s="197" t="e">
        <f ca="1">_xlfn.MAXIFS(TeamGameData[Win],TeamGameData[School, Opponent,Game'#],PlayerGameData[[#This Row],[School, Opponent,Game'#]])</f>
        <v>#NAME?</v>
      </c>
      <c r="BK894" s="197" t="e">
        <f ca="1">_xlfn.MAXIFS(TeamGameData[Loss],TeamGameData[School, Opponent,Game'#],PlayerGameData[[#This Row],[School, Opponent,Game'#]])</f>
        <v>#NAME?</v>
      </c>
    </row>
    <row r="895" spans="1:63" x14ac:dyDescent="0.25">
      <c r="A895" s="8" t="str">
        <f t="shared" ca="1" si="423"/>
        <v>Landon Butler, 1</v>
      </c>
      <c r="B895" s="8" t="str">
        <f>Roster!$B$1</f>
        <v>Upton</v>
      </c>
      <c r="C895" s="8">
        <f t="shared" ca="1" si="411"/>
        <v>0</v>
      </c>
      <c r="D895" s="10">
        <f t="shared" ca="1" si="412"/>
        <v>0</v>
      </c>
      <c r="E895" s="8">
        <f t="shared" ca="1" si="413"/>
        <v>0</v>
      </c>
      <c r="F895" s="8">
        <f t="shared" ca="1" si="414"/>
        <v>0</v>
      </c>
      <c r="G895" s="8">
        <f t="shared" ca="1" si="415"/>
        <v>0</v>
      </c>
      <c r="H895" s="8">
        <f t="shared" ca="1" si="416"/>
        <v>0</v>
      </c>
      <c r="I895" s="8">
        <f t="shared" ca="1" si="417"/>
        <v>0</v>
      </c>
      <c r="J895" s="8">
        <f t="shared" ca="1" si="418"/>
        <v>0</v>
      </c>
      <c r="K895" s="8">
        <f t="shared" ca="1" si="419"/>
        <v>0</v>
      </c>
      <c r="L895" s="8">
        <f t="shared" ca="1" si="424"/>
        <v>0</v>
      </c>
      <c r="M895" s="8">
        <f t="shared" ca="1" si="425"/>
        <v>0</v>
      </c>
      <c r="N895" s="8">
        <f t="shared" ca="1" si="426"/>
        <v>0</v>
      </c>
      <c r="O895" s="8">
        <f t="shared" ca="1" si="427"/>
        <v>0</v>
      </c>
      <c r="P895" s="8">
        <f t="shared" ca="1" si="428"/>
        <v>0</v>
      </c>
      <c r="Q895" s="8">
        <f t="shared" ca="1" si="429"/>
        <v>0</v>
      </c>
      <c r="R895" s="8">
        <f t="shared" ca="1" si="430"/>
        <v>0</v>
      </c>
      <c r="S895" s="8">
        <f t="shared" ca="1" si="431"/>
        <v>0</v>
      </c>
      <c r="T895" s="8">
        <f t="shared" ca="1" si="432"/>
        <v>0</v>
      </c>
      <c r="U895" s="8">
        <f t="shared" ca="1" si="433"/>
        <v>0</v>
      </c>
      <c r="V895" s="8">
        <f t="shared" ca="1" si="434"/>
        <v>0</v>
      </c>
      <c r="W895" s="11" t="str">
        <f t="shared" ca="1" si="435"/>
        <v/>
      </c>
      <c r="X895" s="11" t="str">
        <f t="shared" ca="1" si="436"/>
        <v/>
      </c>
      <c r="Y895" s="11" t="str">
        <f t="shared" ca="1" si="437"/>
        <v/>
      </c>
      <c r="Z895" s="11" t="str">
        <f t="shared" ca="1" si="438"/>
        <v/>
      </c>
      <c r="AA895" s="11" t="str">
        <f t="shared" ca="1" si="439"/>
        <v/>
      </c>
      <c r="AB895" s="47">
        <f ca="1">PlayerGameData[[#This Row],[3FGA]]+PlayerGameData[[#This Row],[2FGA]]</f>
        <v>0</v>
      </c>
      <c r="AC895" s="47">
        <f ca="1">PlayerGameData[[#This Row],[OFF REB]]+PlayerGameData[[#This Row],[DEF REB]]</f>
        <v>0</v>
      </c>
      <c r="AD895" s="8">
        <f t="shared" si="420"/>
        <v>38</v>
      </c>
      <c r="AE895" s="8" t="str">
        <f t="shared" ca="1" si="421"/>
        <v>Landon Butler, 1 - 0 1/0/1900</v>
      </c>
      <c r="AF895" s="8" t="str">
        <f t="shared" ca="1" si="440"/>
        <v/>
      </c>
      <c r="AG895" s="8" t="str">
        <f ca="1">IFERROR(IF(C895=0,"",IF(AND(VLOOKUP(PlayerGameData[[#This Row],[Opponent]],WYTeamInfo,2,FALSE)=Roster!$D$1,VLOOKUP(PlayerGameData[[#This Row],[Opponent]],WYTeamInfo,3,FALSE)=Roster!$D$2),"SR","")),"")</f>
        <v/>
      </c>
      <c r="AH895" s="8" t="str">
        <f>CONCATENATE(Roster!$D$1," ",Roster!$D$5)</f>
        <v>1A BB</v>
      </c>
      <c r="AI895" s="8" t="str">
        <f t="shared" ca="1" si="422"/>
        <v>Blank</v>
      </c>
      <c r="AJ895" s="8">
        <f ca="1">IFERROR(VLOOKUP(PlayerGameData[[#This Row],[School, Opponent,Game'#]],Table3[],2,FALSE),0)</f>
        <v>0</v>
      </c>
      <c r="AK895" s="8">
        <f ca="1">IF(PlayerGameData[[#This Row],[Visible]]=1,1,1000)</f>
        <v>1000</v>
      </c>
      <c r="AL895" s="8">
        <f ca="1">RANK(PlayerGameData[[#This Row],[TL PTS]],PlayerGameData[TL PTS],0)+PlayerGameData[[#This Row],[VisibleOrder]]</f>
        <v>1184</v>
      </c>
      <c r="AM895" s="8">
        <f ca="1">IF(COUNTIF(PlayerGameData[PointOrder],PlayerGameData[[#This Row],[PointOrder]])&gt;1,RANK(PlayerGameData[[#This Row],[FGA]],PlayerGameData[FGA],0)/100,0)+PlayerGameData[[#This Row],[PointOrder]]</f>
        <v>1186.1400000000001</v>
      </c>
      <c r="AN895" s="8">
        <f ca="1">RANK(PlayerGameData[[#This Row],[PointTieBreak]],PlayerGameData[PointTieBreak],1)</f>
        <v>625</v>
      </c>
      <c r="AO895" s="8">
        <f ca="1">RANK(PlayerGameData[[#This Row],[REB]],PlayerGameData[REB],0)+PlayerGameData[[#This Row],[VisibleOrder]]</f>
        <v>1191</v>
      </c>
      <c r="AP895" s="8">
        <f ca="1">IF(COUNTIF(PlayerGameData[REBOrder],PlayerGameData[[#This Row],[REBOrder]])&gt;1,PlayerGameData[[#This Row],[PointRank]]/100+PlayerGameData[[#This Row],[REBOrder]],PlayerGameData[[#This Row],[REBOrder]])</f>
        <v>1197.25</v>
      </c>
      <c r="AQ895" s="8">
        <f ca="1">RANK(PlayerGameData[[#This Row],[REBTieBreak]],PlayerGameData[REBTieBreak],1)</f>
        <v>625</v>
      </c>
      <c r="AR895" s="8">
        <f ca="1">RANK(PlayerGameData[[#This Row],[AST]],PlayerGameData[AST],0)+PlayerGameData[[#This Row],[VisibleOrder]]</f>
        <v>1157</v>
      </c>
      <c r="AS895" s="8">
        <f ca="1">IF(COUNTIF(PlayerGameData[ASTOrder],PlayerGameData[[#This Row],[ASTOrder]])&gt;1,PlayerGameData[[#This Row],[PointRank]]/100+PlayerGameData[[#This Row],[ASTOrder]],PlayerGameData[[#This Row],[ASTOrder]])</f>
        <v>1163.25</v>
      </c>
      <c r="AT895" s="8">
        <f ca="1">RANK(PlayerGameData[[#This Row],[ASTTieBreak]],PlayerGameData[ASTTieBreak],1)</f>
        <v>625</v>
      </c>
      <c r="AU895" s="8">
        <f ca="1">RANK(PlayerGameData[[#This Row],[STL]],PlayerGameData[STL],0)+PlayerGameData[[#This Row],[VisibleOrder]]</f>
        <v>1142</v>
      </c>
      <c r="AV895" s="8">
        <f ca="1">IF(COUNTIF(PlayerGameData[STLOrder],PlayerGameData[[#This Row],[STLOrder]])&gt;1,PlayerGameData[[#This Row],[PointRank]]/100+PlayerGameData[[#This Row],[STLOrder]],PlayerGameData[[#This Row],[STLOrder]])</f>
        <v>1148.25</v>
      </c>
      <c r="AW895" s="8">
        <f ca="1">RANK(PlayerGameData[[#This Row],[STLTieBreak]],PlayerGameData[STLTieBreak],1)</f>
        <v>625</v>
      </c>
      <c r="AX895" s="8">
        <f ca="1">RANK(PlayerGameData[[#This Row],[BLK]],PlayerGameData[BLK],0)+PlayerGameData[[#This Row],[VisibleOrder]]</f>
        <v>1031</v>
      </c>
      <c r="AY895" s="8">
        <f ca="1">IF(COUNTIF(PlayerGameData[BLKOrder],PlayerGameData[[#This Row],[BLKOrder]])&gt;1,PlayerGameData[[#This Row],[PointRank]]/100+PlayerGameData[[#This Row],[BLKOrder]],PlayerGameData[[#This Row],[BLKOrder]])</f>
        <v>1037.25</v>
      </c>
      <c r="AZ895" s="8">
        <f ca="1">RANK(PlayerGameData[[#This Row],[BLKTieBreak]],PlayerGameData[BLKTieBreak],1)</f>
        <v>625</v>
      </c>
      <c r="BA895" s="11">
        <f ca="1">IFERROR(IF(PlayerGameData[[#This Row],[FGA]]&gt;$AA$5,PlayerGameData[[#This Row],[FG%*]],PlayerGameData[[#This Row],[FG%*]]*-1),-2)</f>
        <v>-2</v>
      </c>
      <c r="BB895" s="8">
        <f ca="1">RANK(PlayerGameData[[#This Row],[EligFG]],PlayerGameData[EligFG],0)+PlayerGameData[[#This Row],[VisibleOrder]]</f>
        <v>1214</v>
      </c>
      <c r="BC895" s="8">
        <f ca="1">IF(COUNTIF(PlayerGameData[EligFGOrder],PlayerGameData[[#This Row],[EligFGOrder]])&gt;1,PlayerGameData[[#This Row],[PointRank]]/100+PlayerGameData[[#This Row],[EligFGOrder]],PlayerGameData[[#This Row],[EligFGOrder]])</f>
        <v>1220.25</v>
      </c>
      <c r="BD895" s="8">
        <f ca="1">RANK(PlayerGameData[[#This Row],[EligFGTieBreak]],PlayerGameData[EligFGTieBreak],1)</f>
        <v>625</v>
      </c>
      <c r="BE895" s="8" t="str">
        <f>Roster!$D$3</f>
        <v>East</v>
      </c>
      <c r="BF895" s="8" t="str">
        <f>Roster!$D$2</f>
        <v>Northeast</v>
      </c>
      <c r="BG895" s="8" t="str">
        <f>Roster!$D$4</f>
        <v>North</v>
      </c>
      <c r="BH895" s="197">
        <f ca="1">IFERROR(VLOOKUP(CONCATENATE(PlayerGameData[[#This Row],[Opponent]]," ",MONTH(PlayerGameData[[#This Row],[Date]]),"/",DAY(PlayerGameData[[#This Row],[Date]]),"/",YEAR(PlayerGameData[[#This Row],[Date]])),Table35[],2,FALSE),0)</f>
        <v>0</v>
      </c>
      <c r="BI895" s="197">
        <f ca="1">IF(PlayerGameData[[#This Row],[Visible]]=1,1,1000)</f>
        <v>1000</v>
      </c>
      <c r="BJ895" s="197" t="e">
        <f ca="1">_xlfn.MAXIFS(TeamGameData[Win],TeamGameData[School, Opponent,Game'#],PlayerGameData[[#This Row],[School, Opponent,Game'#]])</f>
        <v>#NAME?</v>
      </c>
      <c r="BK895" s="197" t="e">
        <f ca="1">_xlfn.MAXIFS(TeamGameData[Loss],TeamGameData[School, Opponent,Game'#],PlayerGameData[[#This Row],[School, Opponent,Game'#]])</f>
        <v>#NAME?</v>
      </c>
    </row>
    <row r="896" spans="1:63" x14ac:dyDescent="0.25">
      <c r="A896" s="8" t="str">
        <f t="shared" ca="1" si="423"/>
        <v>Logan Timberman, 3</v>
      </c>
      <c r="B896" s="8" t="str">
        <f>Roster!$B$1</f>
        <v>Upton</v>
      </c>
      <c r="C896" s="8">
        <f t="shared" ca="1" si="411"/>
        <v>0</v>
      </c>
      <c r="D896" s="10">
        <f t="shared" ca="1" si="412"/>
        <v>0</v>
      </c>
      <c r="E896" s="8">
        <f t="shared" ca="1" si="413"/>
        <v>0</v>
      </c>
      <c r="F896" s="8">
        <f t="shared" ca="1" si="414"/>
        <v>0</v>
      </c>
      <c r="G896" s="8">
        <f t="shared" ca="1" si="415"/>
        <v>0</v>
      </c>
      <c r="H896" s="8">
        <f t="shared" ca="1" si="416"/>
        <v>0</v>
      </c>
      <c r="I896" s="8">
        <f t="shared" ca="1" si="417"/>
        <v>0</v>
      </c>
      <c r="J896" s="8">
        <f t="shared" ca="1" si="418"/>
        <v>0</v>
      </c>
      <c r="K896" s="8">
        <f t="shared" ca="1" si="419"/>
        <v>0</v>
      </c>
      <c r="L896" s="8">
        <f t="shared" ca="1" si="424"/>
        <v>0</v>
      </c>
      <c r="M896" s="8">
        <f t="shared" ca="1" si="425"/>
        <v>0</v>
      </c>
      <c r="N896" s="8">
        <f t="shared" ca="1" si="426"/>
        <v>0</v>
      </c>
      <c r="O896" s="8">
        <f t="shared" ca="1" si="427"/>
        <v>0</v>
      </c>
      <c r="P896" s="8">
        <f t="shared" ca="1" si="428"/>
        <v>0</v>
      </c>
      <c r="Q896" s="8">
        <f t="shared" ca="1" si="429"/>
        <v>0</v>
      </c>
      <c r="R896" s="8">
        <f t="shared" ca="1" si="430"/>
        <v>0</v>
      </c>
      <c r="S896" s="8">
        <f t="shared" ca="1" si="431"/>
        <v>0</v>
      </c>
      <c r="T896" s="8">
        <f t="shared" ca="1" si="432"/>
        <v>0</v>
      </c>
      <c r="U896" s="8">
        <f t="shared" ca="1" si="433"/>
        <v>0</v>
      </c>
      <c r="V896" s="8">
        <f t="shared" ca="1" si="434"/>
        <v>0</v>
      </c>
      <c r="W896" s="11" t="str">
        <f t="shared" ca="1" si="435"/>
        <v/>
      </c>
      <c r="X896" s="11" t="str">
        <f t="shared" ca="1" si="436"/>
        <v/>
      </c>
      <c r="Y896" s="11" t="str">
        <f t="shared" ca="1" si="437"/>
        <v/>
      </c>
      <c r="Z896" s="11" t="str">
        <f t="shared" ca="1" si="438"/>
        <v/>
      </c>
      <c r="AA896" s="11" t="str">
        <f t="shared" ca="1" si="439"/>
        <v/>
      </c>
      <c r="AB896" s="47">
        <f ca="1">PlayerGameData[[#This Row],[3FGA]]+PlayerGameData[[#This Row],[2FGA]]</f>
        <v>0</v>
      </c>
      <c r="AC896" s="47">
        <f ca="1">PlayerGameData[[#This Row],[OFF REB]]+PlayerGameData[[#This Row],[DEF REB]]</f>
        <v>0</v>
      </c>
      <c r="AD896" s="8">
        <f t="shared" si="420"/>
        <v>38</v>
      </c>
      <c r="AE896" s="8" t="str">
        <f t="shared" ca="1" si="421"/>
        <v>Logan Timberman, 3 - 0 1/0/1900</v>
      </c>
      <c r="AF896" s="8" t="str">
        <f t="shared" ca="1" si="440"/>
        <v/>
      </c>
      <c r="AG896" s="8" t="str">
        <f ca="1">IFERROR(IF(C896=0,"",IF(AND(VLOOKUP(PlayerGameData[[#This Row],[Opponent]],WYTeamInfo,2,FALSE)=Roster!$D$1,VLOOKUP(PlayerGameData[[#This Row],[Opponent]],WYTeamInfo,3,FALSE)=Roster!$D$2),"SR","")),"")</f>
        <v/>
      </c>
      <c r="AH896" s="8" t="str">
        <f>CONCATENATE(Roster!$D$1," ",Roster!$D$5)</f>
        <v>1A BB</v>
      </c>
      <c r="AI896" s="8" t="str">
        <f t="shared" ca="1" si="422"/>
        <v>Blank</v>
      </c>
      <c r="AJ896" s="8">
        <f ca="1">IFERROR(VLOOKUP(PlayerGameData[[#This Row],[School, Opponent,Game'#]],Table3[],2,FALSE),0)</f>
        <v>0</v>
      </c>
      <c r="AK896" s="8">
        <f ca="1">IF(PlayerGameData[[#This Row],[Visible]]=1,1,1000)</f>
        <v>1000</v>
      </c>
      <c r="AL896" s="8">
        <f ca="1">RANK(PlayerGameData[[#This Row],[TL PTS]],PlayerGameData[TL PTS],0)+PlayerGameData[[#This Row],[VisibleOrder]]</f>
        <v>1184</v>
      </c>
      <c r="AM896" s="8">
        <f ca="1">IF(COUNTIF(PlayerGameData[PointOrder],PlayerGameData[[#This Row],[PointOrder]])&gt;1,RANK(PlayerGameData[[#This Row],[FGA]],PlayerGameData[FGA],0)/100,0)+PlayerGameData[[#This Row],[PointOrder]]</f>
        <v>1186.1400000000001</v>
      </c>
      <c r="AN896" s="8">
        <f ca="1">RANK(PlayerGameData[[#This Row],[PointTieBreak]],PlayerGameData[PointTieBreak],1)</f>
        <v>625</v>
      </c>
      <c r="AO896" s="8">
        <f ca="1">RANK(PlayerGameData[[#This Row],[REB]],PlayerGameData[REB],0)+PlayerGameData[[#This Row],[VisibleOrder]]</f>
        <v>1191</v>
      </c>
      <c r="AP896" s="8">
        <f ca="1">IF(COUNTIF(PlayerGameData[REBOrder],PlayerGameData[[#This Row],[REBOrder]])&gt;1,PlayerGameData[[#This Row],[PointRank]]/100+PlayerGameData[[#This Row],[REBOrder]],PlayerGameData[[#This Row],[REBOrder]])</f>
        <v>1197.25</v>
      </c>
      <c r="AQ896" s="8">
        <f ca="1">RANK(PlayerGameData[[#This Row],[REBTieBreak]],PlayerGameData[REBTieBreak],1)</f>
        <v>625</v>
      </c>
      <c r="AR896" s="8">
        <f ca="1">RANK(PlayerGameData[[#This Row],[AST]],PlayerGameData[AST],0)+PlayerGameData[[#This Row],[VisibleOrder]]</f>
        <v>1157</v>
      </c>
      <c r="AS896" s="8">
        <f ca="1">IF(COUNTIF(PlayerGameData[ASTOrder],PlayerGameData[[#This Row],[ASTOrder]])&gt;1,PlayerGameData[[#This Row],[PointRank]]/100+PlayerGameData[[#This Row],[ASTOrder]],PlayerGameData[[#This Row],[ASTOrder]])</f>
        <v>1163.25</v>
      </c>
      <c r="AT896" s="8">
        <f ca="1">RANK(PlayerGameData[[#This Row],[ASTTieBreak]],PlayerGameData[ASTTieBreak],1)</f>
        <v>625</v>
      </c>
      <c r="AU896" s="8">
        <f ca="1">RANK(PlayerGameData[[#This Row],[STL]],PlayerGameData[STL],0)+PlayerGameData[[#This Row],[VisibleOrder]]</f>
        <v>1142</v>
      </c>
      <c r="AV896" s="8">
        <f ca="1">IF(COUNTIF(PlayerGameData[STLOrder],PlayerGameData[[#This Row],[STLOrder]])&gt;1,PlayerGameData[[#This Row],[PointRank]]/100+PlayerGameData[[#This Row],[STLOrder]],PlayerGameData[[#This Row],[STLOrder]])</f>
        <v>1148.25</v>
      </c>
      <c r="AW896" s="8">
        <f ca="1">RANK(PlayerGameData[[#This Row],[STLTieBreak]],PlayerGameData[STLTieBreak],1)</f>
        <v>625</v>
      </c>
      <c r="AX896" s="8">
        <f ca="1">RANK(PlayerGameData[[#This Row],[BLK]],PlayerGameData[BLK],0)+PlayerGameData[[#This Row],[VisibleOrder]]</f>
        <v>1031</v>
      </c>
      <c r="AY896" s="8">
        <f ca="1">IF(COUNTIF(PlayerGameData[BLKOrder],PlayerGameData[[#This Row],[BLKOrder]])&gt;1,PlayerGameData[[#This Row],[PointRank]]/100+PlayerGameData[[#This Row],[BLKOrder]],PlayerGameData[[#This Row],[BLKOrder]])</f>
        <v>1037.25</v>
      </c>
      <c r="AZ896" s="8">
        <f ca="1">RANK(PlayerGameData[[#This Row],[BLKTieBreak]],PlayerGameData[BLKTieBreak],1)</f>
        <v>625</v>
      </c>
      <c r="BA896" s="11">
        <f ca="1">IFERROR(IF(PlayerGameData[[#This Row],[FGA]]&gt;$AA$5,PlayerGameData[[#This Row],[FG%*]],PlayerGameData[[#This Row],[FG%*]]*-1),-2)</f>
        <v>-2</v>
      </c>
      <c r="BB896" s="8">
        <f ca="1">RANK(PlayerGameData[[#This Row],[EligFG]],PlayerGameData[EligFG],0)+PlayerGameData[[#This Row],[VisibleOrder]]</f>
        <v>1214</v>
      </c>
      <c r="BC896" s="8">
        <f ca="1">IF(COUNTIF(PlayerGameData[EligFGOrder],PlayerGameData[[#This Row],[EligFGOrder]])&gt;1,PlayerGameData[[#This Row],[PointRank]]/100+PlayerGameData[[#This Row],[EligFGOrder]],PlayerGameData[[#This Row],[EligFGOrder]])</f>
        <v>1220.25</v>
      </c>
      <c r="BD896" s="8">
        <f ca="1">RANK(PlayerGameData[[#This Row],[EligFGTieBreak]],PlayerGameData[EligFGTieBreak],1)</f>
        <v>625</v>
      </c>
      <c r="BE896" s="8" t="str">
        <f>Roster!$D$3</f>
        <v>East</v>
      </c>
      <c r="BF896" s="8" t="str">
        <f>Roster!$D$2</f>
        <v>Northeast</v>
      </c>
      <c r="BG896" s="8" t="str">
        <f>Roster!$D$4</f>
        <v>North</v>
      </c>
      <c r="BH896" s="197">
        <f ca="1">IFERROR(VLOOKUP(CONCATENATE(PlayerGameData[[#This Row],[Opponent]]," ",MONTH(PlayerGameData[[#This Row],[Date]]),"/",DAY(PlayerGameData[[#This Row],[Date]]),"/",YEAR(PlayerGameData[[#This Row],[Date]])),Table35[],2,FALSE),0)</f>
        <v>0</v>
      </c>
      <c r="BI896" s="197">
        <f ca="1">IF(PlayerGameData[[#This Row],[Visible]]=1,1,1000)</f>
        <v>1000</v>
      </c>
      <c r="BJ896" s="197" t="e">
        <f ca="1">_xlfn.MAXIFS(TeamGameData[Win],TeamGameData[School, Opponent,Game'#],PlayerGameData[[#This Row],[School, Opponent,Game'#]])</f>
        <v>#NAME?</v>
      </c>
      <c r="BK896" s="197" t="e">
        <f ca="1">_xlfn.MAXIFS(TeamGameData[Loss],TeamGameData[School, Opponent,Game'#],PlayerGameData[[#This Row],[School, Opponent,Game'#]])</f>
        <v>#NAME?</v>
      </c>
    </row>
    <row r="897" spans="1:63" x14ac:dyDescent="0.25">
      <c r="A897" s="8" t="str">
        <f t="shared" ca="1" si="423"/>
        <v>Chase Mills, 5</v>
      </c>
      <c r="B897" s="8" t="str">
        <f>Roster!$B$1</f>
        <v>Upton</v>
      </c>
      <c r="C897" s="8">
        <f t="shared" ca="1" si="411"/>
        <v>0</v>
      </c>
      <c r="D897" s="10">
        <f t="shared" ca="1" si="412"/>
        <v>0</v>
      </c>
      <c r="E897" s="8">
        <f t="shared" ca="1" si="413"/>
        <v>0</v>
      </c>
      <c r="F897" s="8">
        <f t="shared" ca="1" si="414"/>
        <v>0</v>
      </c>
      <c r="G897" s="8">
        <f t="shared" ca="1" si="415"/>
        <v>0</v>
      </c>
      <c r="H897" s="8">
        <f t="shared" ca="1" si="416"/>
        <v>0</v>
      </c>
      <c r="I897" s="8">
        <f t="shared" ca="1" si="417"/>
        <v>0</v>
      </c>
      <c r="J897" s="8">
        <f t="shared" ca="1" si="418"/>
        <v>0</v>
      </c>
      <c r="K897" s="8">
        <f t="shared" ca="1" si="419"/>
        <v>0</v>
      </c>
      <c r="L897" s="8">
        <f t="shared" ca="1" si="424"/>
        <v>0</v>
      </c>
      <c r="M897" s="8">
        <f t="shared" ca="1" si="425"/>
        <v>0</v>
      </c>
      <c r="N897" s="8">
        <f t="shared" ca="1" si="426"/>
        <v>0</v>
      </c>
      <c r="O897" s="8">
        <f t="shared" ca="1" si="427"/>
        <v>0</v>
      </c>
      <c r="P897" s="8">
        <f t="shared" ca="1" si="428"/>
        <v>0</v>
      </c>
      <c r="Q897" s="8">
        <f t="shared" ca="1" si="429"/>
        <v>0</v>
      </c>
      <c r="R897" s="8">
        <f t="shared" ca="1" si="430"/>
        <v>0</v>
      </c>
      <c r="S897" s="8">
        <f t="shared" ca="1" si="431"/>
        <v>0</v>
      </c>
      <c r="T897" s="8">
        <f t="shared" ca="1" si="432"/>
        <v>0</v>
      </c>
      <c r="U897" s="8">
        <f t="shared" ca="1" si="433"/>
        <v>0</v>
      </c>
      <c r="V897" s="8">
        <f t="shared" ca="1" si="434"/>
        <v>0</v>
      </c>
      <c r="W897" s="11" t="str">
        <f t="shared" ca="1" si="435"/>
        <v/>
      </c>
      <c r="X897" s="11" t="str">
        <f t="shared" ca="1" si="436"/>
        <v/>
      </c>
      <c r="Y897" s="11" t="str">
        <f t="shared" ca="1" si="437"/>
        <v/>
      </c>
      <c r="Z897" s="11" t="str">
        <f t="shared" ca="1" si="438"/>
        <v/>
      </c>
      <c r="AA897" s="11" t="str">
        <f t="shared" ca="1" si="439"/>
        <v/>
      </c>
      <c r="AB897" s="47">
        <f ca="1">PlayerGameData[[#This Row],[3FGA]]+PlayerGameData[[#This Row],[2FGA]]</f>
        <v>0</v>
      </c>
      <c r="AC897" s="47">
        <f ca="1">PlayerGameData[[#This Row],[OFF REB]]+PlayerGameData[[#This Row],[DEF REB]]</f>
        <v>0</v>
      </c>
      <c r="AD897" s="8">
        <f t="shared" si="420"/>
        <v>38</v>
      </c>
      <c r="AE897" s="8" t="str">
        <f t="shared" ca="1" si="421"/>
        <v>Chase Mills, 5 - 0 1/0/1900</v>
      </c>
      <c r="AF897" s="8" t="str">
        <f t="shared" ca="1" si="440"/>
        <v/>
      </c>
      <c r="AG897" s="8" t="str">
        <f ca="1">IFERROR(IF(C897=0,"",IF(AND(VLOOKUP(PlayerGameData[[#This Row],[Opponent]],WYTeamInfo,2,FALSE)=Roster!$D$1,VLOOKUP(PlayerGameData[[#This Row],[Opponent]],WYTeamInfo,3,FALSE)=Roster!$D$2),"SR","")),"")</f>
        <v/>
      </c>
      <c r="AH897" s="8" t="str">
        <f>CONCATENATE(Roster!$D$1," ",Roster!$D$5)</f>
        <v>1A BB</v>
      </c>
      <c r="AI897" s="8" t="str">
        <f t="shared" ca="1" si="422"/>
        <v>Blank</v>
      </c>
      <c r="AJ897" s="8">
        <f ca="1">IFERROR(VLOOKUP(PlayerGameData[[#This Row],[School, Opponent,Game'#]],Table3[],2,FALSE),0)</f>
        <v>0</v>
      </c>
      <c r="AK897" s="8">
        <f ca="1">IF(PlayerGameData[[#This Row],[Visible]]=1,1,1000)</f>
        <v>1000</v>
      </c>
      <c r="AL897" s="8">
        <f ca="1">RANK(PlayerGameData[[#This Row],[TL PTS]],PlayerGameData[TL PTS],0)+PlayerGameData[[#This Row],[VisibleOrder]]</f>
        <v>1184</v>
      </c>
      <c r="AM897" s="8">
        <f ca="1">IF(COUNTIF(PlayerGameData[PointOrder],PlayerGameData[[#This Row],[PointOrder]])&gt;1,RANK(PlayerGameData[[#This Row],[FGA]],PlayerGameData[FGA],0)/100,0)+PlayerGameData[[#This Row],[PointOrder]]</f>
        <v>1186.1400000000001</v>
      </c>
      <c r="AN897" s="8">
        <f ca="1">RANK(PlayerGameData[[#This Row],[PointTieBreak]],PlayerGameData[PointTieBreak],1)</f>
        <v>625</v>
      </c>
      <c r="AO897" s="8">
        <f ca="1">RANK(PlayerGameData[[#This Row],[REB]],PlayerGameData[REB],0)+PlayerGameData[[#This Row],[VisibleOrder]]</f>
        <v>1191</v>
      </c>
      <c r="AP897" s="8">
        <f ca="1">IF(COUNTIF(PlayerGameData[REBOrder],PlayerGameData[[#This Row],[REBOrder]])&gt;1,PlayerGameData[[#This Row],[PointRank]]/100+PlayerGameData[[#This Row],[REBOrder]],PlayerGameData[[#This Row],[REBOrder]])</f>
        <v>1197.25</v>
      </c>
      <c r="AQ897" s="8">
        <f ca="1">RANK(PlayerGameData[[#This Row],[REBTieBreak]],PlayerGameData[REBTieBreak],1)</f>
        <v>625</v>
      </c>
      <c r="AR897" s="8">
        <f ca="1">RANK(PlayerGameData[[#This Row],[AST]],PlayerGameData[AST],0)+PlayerGameData[[#This Row],[VisibleOrder]]</f>
        <v>1157</v>
      </c>
      <c r="AS897" s="8">
        <f ca="1">IF(COUNTIF(PlayerGameData[ASTOrder],PlayerGameData[[#This Row],[ASTOrder]])&gt;1,PlayerGameData[[#This Row],[PointRank]]/100+PlayerGameData[[#This Row],[ASTOrder]],PlayerGameData[[#This Row],[ASTOrder]])</f>
        <v>1163.25</v>
      </c>
      <c r="AT897" s="8">
        <f ca="1">RANK(PlayerGameData[[#This Row],[ASTTieBreak]],PlayerGameData[ASTTieBreak],1)</f>
        <v>625</v>
      </c>
      <c r="AU897" s="8">
        <f ca="1">RANK(PlayerGameData[[#This Row],[STL]],PlayerGameData[STL],0)+PlayerGameData[[#This Row],[VisibleOrder]]</f>
        <v>1142</v>
      </c>
      <c r="AV897" s="8">
        <f ca="1">IF(COUNTIF(PlayerGameData[STLOrder],PlayerGameData[[#This Row],[STLOrder]])&gt;1,PlayerGameData[[#This Row],[PointRank]]/100+PlayerGameData[[#This Row],[STLOrder]],PlayerGameData[[#This Row],[STLOrder]])</f>
        <v>1148.25</v>
      </c>
      <c r="AW897" s="8">
        <f ca="1">RANK(PlayerGameData[[#This Row],[STLTieBreak]],PlayerGameData[STLTieBreak],1)</f>
        <v>625</v>
      </c>
      <c r="AX897" s="8">
        <f ca="1">RANK(PlayerGameData[[#This Row],[BLK]],PlayerGameData[BLK],0)+PlayerGameData[[#This Row],[VisibleOrder]]</f>
        <v>1031</v>
      </c>
      <c r="AY897" s="8">
        <f ca="1">IF(COUNTIF(PlayerGameData[BLKOrder],PlayerGameData[[#This Row],[BLKOrder]])&gt;1,PlayerGameData[[#This Row],[PointRank]]/100+PlayerGameData[[#This Row],[BLKOrder]],PlayerGameData[[#This Row],[BLKOrder]])</f>
        <v>1037.25</v>
      </c>
      <c r="AZ897" s="8">
        <f ca="1">RANK(PlayerGameData[[#This Row],[BLKTieBreak]],PlayerGameData[BLKTieBreak],1)</f>
        <v>625</v>
      </c>
      <c r="BA897" s="11">
        <f ca="1">IFERROR(IF(PlayerGameData[[#This Row],[FGA]]&gt;$AA$5,PlayerGameData[[#This Row],[FG%*]],PlayerGameData[[#This Row],[FG%*]]*-1),-2)</f>
        <v>-2</v>
      </c>
      <c r="BB897" s="8">
        <f ca="1">RANK(PlayerGameData[[#This Row],[EligFG]],PlayerGameData[EligFG],0)+PlayerGameData[[#This Row],[VisibleOrder]]</f>
        <v>1214</v>
      </c>
      <c r="BC897" s="8">
        <f ca="1">IF(COUNTIF(PlayerGameData[EligFGOrder],PlayerGameData[[#This Row],[EligFGOrder]])&gt;1,PlayerGameData[[#This Row],[PointRank]]/100+PlayerGameData[[#This Row],[EligFGOrder]],PlayerGameData[[#This Row],[EligFGOrder]])</f>
        <v>1220.25</v>
      </c>
      <c r="BD897" s="8">
        <f ca="1">RANK(PlayerGameData[[#This Row],[EligFGTieBreak]],PlayerGameData[EligFGTieBreak],1)</f>
        <v>625</v>
      </c>
      <c r="BE897" s="8" t="str">
        <f>Roster!$D$3</f>
        <v>East</v>
      </c>
      <c r="BF897" s="8" t="str">
        <f>Roster!$D$2</f>
        <v>Northeast</v>
      </c>
      <c r="BG897" s="8" t="str">
        <f>Roster!$D$4</f>
        <v>North</v>
      </c>
      <c r="BH897" s="197">
        <f ca="1">IFERROR(VLOOKUP(CONCATENATE(PlayerGameData[[#This Row],[Opponent]]," ",MONTH(PlayerGameData[[#This Row],[Date]]),"/",DAY(PlayerGameData[[#This Row],[Date]]),"/",YEAR(PlayerGameData[[#This Row],[Date]])),Table35[],2,FALSE),0)</f>
        <v>0</v>
      </c>
      <c r="BI897" s="197">
        <f ca="1">IF(PlayerGameData[[#This Row],[Visible]]=1,1,1000)</f>
        <v>1000</v>
      </c>
      <c r="BJ897" s="197" t="e">
        <f ca="1">_xlfn.MAXIFS(TeamGameData[Win],TeamGameData[School, Opponent,Game'#],PlayerGameData[[#This Row],[School, Opponent,Game'#]])</f>
        <v>#NAME?</v>
      </c>
      <c r="BK897" s="197" t="e">
        <f ca="1">_xlfn.MAXIFS(TeamGameData[Loss],TeamGameData[School, Opponent,Game'#],PlayerGameData[[#This Row],[School, Opponent,Game'#]])</f>
        <v>#NAME?</v>
      </c>
    </row>
    <row r="898" spans="1:63" x14ac:dyDescent="0.25">
      <c r="A898" s="8" t="str">
        <f t="shared" ca="1" si="423"/>
        <v>Rhett Watt, 10</v>
      </c>
      <c r="B898" s="8" t="str">
        <f>Roster!$B$1</f>
        <v>Upton</v>
      </c>
      <c r="C898" s="8">
        <f t="shared" ca="1" si="411"/>
        <v>0</v>
      </c>
      <c r="D898" s="10">
        <f t="shared" ca="1" si="412"/>
        <v>0</v>
      </c>
      <c r="E898" s="8">
        <f t="shared" ca="1" si="413"/>
        <v>0</v>
      </c>
      <c r="F898" s="8">
        <f t="shared" ca="1" si="414"/>
        <v>0</v>
      </c>
      <c r="G898" s="8">
        <f t="shared" ca="1" si="415"/>
        <v>0</v>
      </c>
      <c r="H898" s="8">
        <f t="shared" ca="1" si="416"/>
        <v>0</v>
      </c>
      <c r="I898" s="8">
        <f t="shared" ca="1" si="417"/>
        <v>0</v>
      </c>
      <c r="J898" s="8">
        <f t="shared" ca="1" si="418"/>
        <v>0</v>
      </c>
      <c r="K898" s="8">
        <f t="shared" ca="1" si="419"/>
        <v>0</v>
      </c>
      <c r="L898" s="8">
        <f t="shared" ca="1" si="424"/>
        <v>0</v>
      </c>
      <c r="M898" s="8">
        <f t="shared" ca="1" si="425"/>
        <v>0</v>
      </c>
      <c r="N898" s="8">
        <f t="shared" ca="1" si="426"/>
        <v>0</v>
      </c>
      <c r="O898" s="8">
        <f t="shared" ca="1" si="427"/>
        <v>0</v>
      </c>
      <c r="P898" s="8">
        <f t="shared" ca="1" si="428"/>
        <v>0</v>
      </c>
      <c r="Q898" s="8">
        <f t="shared" ca="1" si="429"/>
        <v>0</v>
      </c>
      <c r="R898" s="8">
        <f t="shared" ca="1" si="430"/>
        <v>0</v>
      </c>
      <c r="S898" s="8">
        <f t="shared" ca="1" si="431"/>
        <v>0</v>
      </c>
      <c r="T898" s="8">
        <f t="shared" ca="1" si="432"/>
        <v>0</v>
      </c>
      <c r="U898" s="8">
        <f t="shared" ca="1" si="433"/>
        <v>0</v>
      </c>
      <c r="V898" s="8">
        <f t="shared" ca="1" si="434"/>
        <v>0</v>
      </c>
      <c r="W898" s="11" t="str">
        <f t="shared" ca="1" si="435"/>
        <v/>
      </c>
      <c r="X898" s="11" t="str">
        <f t="shared" ca="1" si="436"/>
        <v/>
      </c>
      <c r="Y898" s="11" t="str">
        <f t="shared" ca="1" si="437"/>
        <v/>
      </c>
      <c r="Z898" s="11" t="str">
        <f t="shared" ca="1" si="438"/>
        <v/>
      </c>
      <c r="AA898" s="11" t="str">
        <f t="shared" ca="1" si="439"/>
        <v/>
      </c>
      <c r="AB898" s="47">
        <f ca="1">PlayerGameData[[#This Row],[3FGA]]+PlayerGameData[[#This Row],[2FGA]]</f>
        <v>0</v>
      </c>
      <c r="AC898" s="47">
        <f ca="1">PlayerGameData[[#This Row],[OFF REB]]+PlayerGameData[[#This Row],[DEF REB]]</f>
        <v>0</v>
      </c>
      <c r="AD898" s="8">
        <f t="shared" si="420"/>
        <v>38</v>
      </c>
      <c r="AE898" s="8" t="str">
        <f t="shared" ca="1" si="421"/>
        <v>Rhett Watt, 10 - 0 1/0/1900</v>
      </c>
      <c r="AF898" s="8" t="str">
        <f t="shared" ca="1" si="440"/>
        <v/>
      </c>
      <c r="AG898" s="8" t="str">
        <f ca="1">IFERROR(IF(C898=0,"",IF(AND(VLOOKUP(PlayerGameData[[#This Row],[Opponent]],WYTeamInfo,2,FALSE)=Roster!$D$1,VLOOKUP(PlayerGameData[[#This Row],[Opponent]],WYTeamInfo,3,FALSE)=Roster!$D$2),"SR","")),"")</f>
        <v/>
      </c>
      <c r="AH898" s="8" t="str">
        <f>CONCATENATE(Roster!$D$1," ",Roster!$D$5)</f>
        <v>1A BB</v>
      </c>
      <c r="AI898" s="8" t="str">
        <f t="shared" ca="1" si="422"/>
        <v>Blank</v>
      </c>
      <c r="AJ898" s="8">
        <f ca="1">IFERROR(VLOOKUP(PlayerGameData[[#This Row],[School, Opponent,Game'#]],Table3[],2,FALSE),0)</f>
        <v>0</v>
      </c>
      <c r="AK898" s="8">
        <f ca="1">IF(PlayerGameData[[#This Row],[Visible]]=1,1,1000)</f>
        <v>1000</v>
      </c>
      <c r="AL898" s="8">
        <f ca="1">RANK(PlayerGameData[[#This Row],[TL PTS]],PlayerGameData[TL PTS],0)+PlayerGameData[[#This Row],[VisibleOrder]]</f>
        <v>1184</v>
      </c>
      <c r="AM898" s="8">
        <f ca="1">IF(COUNTIF(PlayerGameData[PointOrder],PlayerGameData[[#This Row],[PointOrder]])&gt;1,RANK(PlayerGameData[[#This Row],[FGA]],PlayerGameData[FGA],0)/100,0)+PlayerGameData[[#This Row],[PointOrder]]</f>
        <v>1186.1400000000001</v>
      </c>
      <c r="AN898" s="8">
        <f ca="1">RANK(PlayerGameData[[#This Row],[PointTieBreak]],PlayerGameData[PointTieBreak],1)</f>
        <v>625</v>
      </c>
      <c r="AO898" s="8">
        <f ca="1">RANK(PlayerGameData[[#This Row],[REB]],PlayerGameData[REB],0)+PlayerGameData[[#This Row],[VisibleOrder]]</f>
        <v>1191</v>
      </c>
      <c r="AP898" s="8">
        <f ca="1">IF(COUNTIF(PlayerGameData[REBOrder],PlayerGameData[[#This Row],[REBOrder]])&gt;1,PlayerGameData[[#This Row],[PointRank]]/100+PlayerGameData[[#This Row],[REBOrder]],PlayerGameData[[#This Row],[REBOrder]])</f>
        <v>1197.25</v>
      </c>
      <c r="AQ898" s="8">
        <f ca="1">RANK(PlayerGameData[[#This Row],[REBTieBreak]],PlayerGameData[REBTieBreak],1)</f>
        <v>625</v>
      </c>
      <c r="AR898" s="8">
        <f ca="1">RANK(PlayerGameData[[#This Row],[AST]],PlayerGameData[AST],0)+PlayerGameData[[#This Row],[VisibleOrder]]</f>
        <v>1157</v>
      </c>
      <c r="AS898" s="8">
        <f ca="1">IF(COUNTIF(PlayerGameData[ASTOrder],PlayerGameData[[#This Row],[ASTOrder]])&gt;1,PlayerGameData[[#This Row],[PointRank]]/100+PlayerGameData[[#This Row],[ASTOrder]],PlayerGameData[[#This Row],[ASTOrder]])</f>
        <v>1163.25</v>
      </c>
      <c r="AT898" s="8">
        <f ca="1">RANK(PlayerGameData[[#This Row],[ASTTieBreak]],PlayerGameData[ASTTieBreak],1)</f>
        <v>625</v>
      </c>
      <c r="AU898" s="8">
        <f ca="1">RANK(PlayerGameData[[#This Row],[STL]],PlayerGameData[STL],0)+PlayerGameData[[#This Row],[VisibleOrder]]</f>
        <v>1142</v>
      </c>
      <c r="AV898" s="8">
        <f ca="1">IF(COUNTIF(PlayerGameData[STLOrder],PlayerGameData[[#This Row],[STLOrder]])&gt;1,PlayerGameData[[#This Row],[PointRank]]/100+PlayerGameData[[#This Row],[STLOrder]],PlayerGameData[[#This Row],[STLOrder]])</f>
        <v>1148.25</v>
      </c>
      <c r="AW898" s="8">
        <f ca="1">RANK(PlayerGameData[[#This Row],[STLTieBreak]],PlayerGameData[STLTieBreak],1)</f>
        <v>625</v>
      </c>
      <c r="AX898" s="8">
        <f ca="1">RANK(PlayerGameData[[#This Row],[BLK]],PlayerGameData[BLK],0)+PlayerGameData[[#This Row],[VisibleOrder]]</f>
        <v>1031</v>
      </c>
      <c r="AY898" s="8">
        <f ca="1">IF(COUNTIF(PlayerGameData[BLKOrder],PlayerGameData[[#This Row],[BLKOrder]])&gt;1,PlayerGameData[[#This Row],[PointRank]]/100+PlayerGameData[[#This Row],[BLKOrder]],PlayerGameData[[#This Row],[BLKOrder]])</f>
        <v>1037.25</v>
      </c>
      <c r="AZ898" s="8">
        <f ca="1">RANK(PlayerGameData[[#This Row],[BLKTieBreak]],PlayerGameData[BLKTieBreak],1)</f>
        <v>625</v>
      </c>
      <c r="BA898" s="11">
        <f ca="1">IFERROR(IF(PlayerGameData[[#This Row],[FGA]]&gt;$AA$5,PlayerGameData[[#This Row],[FG%*]],PlayerGameData[[#This Row],[FG%*]]*-1),-2)</f>
        <v>-2</v>
      </c>
      <c r="BB898" s="8">
        <f ca="1">RANK(PlayerGameData[[#This Row],[EligFG]],PlayerGameData[EligFG],0)+PlayerGameData[[#This Row],[VisibleOrder]]</f>
        <v>1214</v>
      </c>
      <c r="BC898" s="8">
        <f ca="1">IF(COUNTIF(PlayerGameData[EligFGOrder],PlayerGameData[[#This Row],[EligFGOrder]])&gt;1,PlayerGameData[[#This Row],[PointRank]]/100+PlayerGameData[[#This Row],[EligFGOrder]],PlayerGameData[[#This Row],[EligFGOrder]])</f>
        <v>1220.25</v>
      </c>
      <c r="BD898" s="8">
        <f ca="1">RANK(PlayerGameData[[#This Row],[EligFGTieBreak]],PlayerGameData[EligFGTieBreak],1)</f>
        <v>625</v>
      </c>
      <c r="BE898" s="8" t="str">
        <f>Roster!$D$3</f>
        <v>East</v>
      </c>
      <c r="BF898" s="8" t="str">
        <f>Roster!$D$2</f>
        <v>Northeast</v>
      </c>
      <c r="BG898" s="8" t="str">
        <f>Roster!$D$4</f>
        <v>North</v>
      </c>
      <c r="BH898" s="197">
        <f ca="1">IFERROR(VLOOKUP(CONCATENATE(PlayerGameData[[#This Row],[Opponent]]," ",MONTH(PlayerGameData[[#This Row],[Date]]),"/",DAY(PlayerGameData[[#This Row],[Date]]),"/",YEAR(PlayerGameData[[#This Row],[Date]])),Table35[],2,FALSE),0)</f>
        <v>0</v>
      </c>
      <c r="BI898" s="197">
        <f ca="1">IF(PlayerGameData[[#This Row],[Visible]]=1,1,1000)</f>
        <v>1000</v>
      </c>
      <c r="BJ898" s="197" t="e">
        <f ca="1">_xlfn.MAXIFS(TeamGameData[Win],TeamGameData[School, Opponent,Game'#],PlayerGameData[[#This Row],[School, Opponent,Game'#]])</f>
        <v>#NAME?</v>
      </c>
      <c r="BK898" s="197" t="e">
        <f ca="1">_xlfn.MAXIFS(TeamGameData[Loss],TeamGameData[School, Opponent,Game'#],PlayerGameData[[#This Row],[School, Opponent,Game'#]])</f>
        <v>#NAME?</v>
      </c>
    </row>
    <row r="899" spans="1:63" x14ac:dyDescent="0.25">
      <c r="A899" s="8" t="str">
        <f t="shared" ca="1" si="423"/>
        <v>Keith Coburn, 11</v>
      </c>
      <c r="B899" s="8" t="str">
        <f>Roster!$B$1</f>
        <v>Upton</v>
      </c>
      <c r="C899" s="8">
        <f t="shared" ca="1" si="411"/>
        <v>0</v>
      </c>
      <c r="D899" s="10">
        <f t="shared" ca="1" si="412"/>
        <v>0</v>
      </c>
      <c r="E899" s="8">
        <f t="shared" ca="1" si="413"/>
        <v>0</v>
      </c>
      <c r="F899" s="8">
        <f t="shared" ca="1" si="414"/>
        <v>0</v>
      </c>
      <c r="G899" s="8">
        <f t="shared" ca="1" si="415"/>
        <v>0</v>
      </c>
      <c r="H899" s="8">
        <f t="shared" ca="1" si="416"/>
        <v>0</v>
      </c>
      <c r="I899" s="8">
        <f t="shared" ca="1" si="417"/>
        <v>0</v>
      </c>
      <c r="J899" s="8">
        <f t="shared" ca="1" si="418"/>
        <v>0</v>
      </c>
      <c r="K899" s="8">
        <f t="shared" ca="1" si="419"/>
        <v>0</v>
      </c>
      <c r="L899" s="8">
        <f t="shared" ca="1" si="424"/>
        <v>0</v>
      </c>
      <c r="M899" s="8">
        <f t="shared" ca="1" si="425"/>
        <v>0</v>
      </c>
      <c r="N899" s="8">
        <f t="shared" ca="1" si="426"/>
        <v>0</v>
      </c>
      <c r="O899" s="8">
        <f t="shared" ca="1" si="427"/>
        <v>0</v>
      </c>
      <c r="P899" s="8">
        <f t="shared" ca="1" si="428"/>
        <v>0</v>
      </c>
      <c r="Q899" s="8">
        <f t="shared" ca="1" si="429"/>
        <v>0</v>
      </c>
      <c r="R899" s="8">
        <f t="shared" ca="1" si="430"/>
        <v>0</v>
      </c>
      <c r="S899" s="8">
        <f t="shared" ca="1" si="431"/>
        <v>0</v>
      </c>
      <c r="T899" s="8">
        <f t="shared" ca="1" si="432"/>
        <v>0</v>
      </c>
      <c r="U899" s="8">
        <f t="shared" ca="1" si="433"/>
        <v>0</v>
      </c>
      <c r="V899" s="8">
        <f t="shared" ca="1" si="434"/>
        <v>0</v>
      </c>
      <c r="W899" s="11" t="str">
        <f t="shared" ca="1" si="435"/>
        <v/>
      </c>
      <c r="X899" s="11" t="str">
        <f t="shared" ca="1" si="436"/>
        <v/>
      </c>
      <c r="Y899" s="11" t="str">
        <f t="shared" ca="1" si="437"/>
        <v/>
      </c>
      <c r="Z899" s="11" t="str">
        <f t="shared" ca="1" si="438"/>
        <v/>
      </c>
      <c r="AA899" s="11" t="str">
        <f t="shared" ca="1" si="439"/>
        <v/>
      </c>
      <c r="AB899" s="47">
        <f ca="1">PlayerGameData[[#This Row],[3FGA]]+PlayerGameData[[#This Row],[2FGA]]</f>
        <v>0</v>
      </c>
      <c r="AC899" s="47">
        <f ca="1">PlayerGameData[[#This Row],[OFF REB]]+PlayerGameData[[#This Row],[DEF REB]]</f>
        <v>0</v>
      </c>
      <c r="AD899" s="8">
        <f t="shared" si="420"/>
        <v>38</v>
      </c>
      <c r="AE899" s="8" t="str">
        <f t="shared" ca="1" si="421"/>
        <v>Keith Coburn, 11 - 0 1/0/1900</v>
      </c>
      <c r="AF899" s="8" t="str">
        <f t="shared" ca="1" si="440"/>
        <v/>
      </c>
      <c r="AG899" s="8" t="str">
        <f ca="1">IFERROR(IF(C899=0,"",IF(AND(VLOOKUP(PlayerGameData[[#This Row],[Opponent]],WYTeamInfo,2,FALSE)=Roster!$D$1,VLOOKUP(PlayerGameData[[#This Row],[Opponent]],WYTeamInfo,3,FALSE)=Roster!$D$2),"SR","")),"")</f>
        <v/>
      </c>
      <c r="AH899" s="8" t="str">
        <f>CONCATENATE(Roster!$D$1," ",Roster!$D$5)</f>
        <v>1A BB</v>
      </c>
      <c r="AI899" s="8" t="str">
        <f t="shared" ca="1" si="422"/>
        <v>Blank</v>
      </c>
      <c r="AJ899" s="8">
        <f ca="1">IFERROR(VLOOKUP(PlayerGameData[[#This Row],[School, Opponent,Game'#]],Table3[],2,FALSE),0)</f>
        <v>0</v>
      </c>
      <c r="AK899" s="8">
        <f ca="1">IF(PlayerGameData[[#This Row],[Visible]]=1,1,1000)</f>
        <v>1000</v>
      </c>
      <c r="AL899" s="8">
        <f ca="1">RANK(PlayerGameData[[#This Row],[TL PTS]],PlayerGameData[TL PTS],0)+PlayerGameData[[#This Row],[VisibleOrder]]</f>
        <v>1184</v>
      </c>
      <c r="AM899" s="8">
        <f ca="1">IF(COUNTIF(PlayerGameData[PointOrder],PlayerGameData[[#This Row],[PointOrder]])&gt;1,RANK(PlayerGameData[[#This Row],[FGA]],PlayerGameData[FGA],0)/100,0)+PlayerGameData[[#This Row],[PointOrder]]</f>
        <v>1186.1400000000001</v>
      </c>
      <c r="AN899" s="8">
        <f ca="1">RANK(PlayerGameData[[#This Row],[PointTieBreak]],PlayerGameData[PointTieBreak],1)</f>
        <v>625</v>
      </c>
      <c r="AO899" s="8">
        <f ca="1">RANK(PlayerGameData[[#This Row],[REB]],PlayerGameData[REB],0)+PlayerGameData[[#This Row],[VisibleOrder]]</f>
        <v>1191</v>
      </c>
      <c r="AP899" s="8">
        <f ca="1">IF(COUNTIF(PlayerGameData[REBOrder],PlayerGameData[[#This Row],[REBOrder]])&gt;1,PlayerGameData[[#This Row],[PointRank]]/100+PlayerGameData[[#This Row],[REBOrder]],PlayerGameData[[#This Row],[REBOrder]])</f>
        <v>1197.25</v>
      </c>
      <c r="AQ899" s="8">
        <f ca="1">RANK(PlayerGameData[[#This Row],[REBTieBreak]],PlayerGameData[REBTieBreak],1)</f>
        <v>625</v>
      </c>
      <c r="AR899" s="8">
        <f ca="1">RANK(PlayerGameData[[#This Row],[AST]],PlayerGameData[AST],0)+PlayerGameData[[#This Row],[VisibleOrder]]</f>
        <v>1157</v>
      </c>
      <c r="AS899" s="8">
        <f ca="1">IF(COUNTIF(PlayerGameData[ASTOrder],PlayerGameData[[#This Row],[ASTOrder]])&gt;1,PlayerGameData[[#This Row],[PointRank]]/100+PlayerGameData[[#This Row],[ASTOrder]],PlayerGameData[[#This Row],[ASTOrder]])</f>
        <v>1163.25</v>
      </c>
      <c r="AT899" s="8">
        <f ca="1">RANK(PlayerGameData[[#This Row],[ASTTieBreak]],PlayerGameData[ASTTieBreak],1)</f>
        <v>625</v>
      </c>
      <c r="AU899" s="8">
        <f ca="1">RANK(PlayerGameData[[#This Row],[STL]],PlayerGameData[STL],0)+PlayerGameData[[#This Row],[VisibleOrder]]</f>
        <v>1142</v>
      </c>
      <c r="AV899" s="8">
        <f ca="1">IF(COUNTIF(PlayerGameData[STLOrder],PlayerGameData[[#This Row],[STLOrder]])&gt;1,PlayerGameData[[#This Row],[PointRank]]/100+PlayerGameData[[#This Row],[STLOrder]],PlayerGameData[[#This Row],[STLOrder]])</f>
        <v>1148.25</v>
      </c>
      <c r="AW899" s="8">
        <f ca="1">RANK(PlayerGameData[[#This Row],[STLTieBreak]],PlayerGameData[STLTieBreak],1)</f>
        <v>625</v>
      </c>
      <c r="AX899" s="8">
        <f ca="1">RANK(PlayerGameData[[#This Row],[BLK]],PlayerGameData[BLK],0)+PlayerGameData[[#This Row],[VisibleOrder]]</f>
        <v>1031</v>
      </c>
      <c r="AY899" s="8">
        <f ca="1">IF(COUNTIF(PlayerGameData[BLKOrder],PlayerGameData[[#This Row],[BLKOrder]])&gt;1,PlayerGameData[[#This Row],[PointRank]]/100+PlayerGameData[[#This Row],[BLKOrder]],PlayerGameData[[#This Row],[BLKOrder]])</f>
        <v>1037.25</v>
      </c>
      <c r="AZ899" s="8">
        <f ca="1">RANK(PlayerGameData[[#This Row],[BLKTieBreak]],PlayerGameData[BLKTieBreak],1)</f>
        <v>625</v>
      </c>
      <c r="BA899" s="11">
        <f ca="1">IFERROR(IF(PlayerGameData[[#This Row],[FGA]]&gt;$AA$5,PlayerGameData[[#This Row],[FG%*]],PlayerGameData[[#This Row],[FG%*]]*-1),-2)</f>
        <v>-2</v>
      </c>
      <c r="BB899" s="8">
        <f ca="1">RANK(PlayerGameData[[#This Row],[EligFG]],PlayerGameData[EligFG],0)+PlayerGameData[[#This Row],[VisibleOrder]]</f>
        <v>1214</v>
      </c>
      <c r="BC899" s="8">
        <f ca="1">IF(COUNTIF(PlayerGameData[EligFGOrder],PlayerGameData[[#This Row],[EligFGOrder]])&gt;1,PlayerGameData[[#This Row],[PointRank]]/100+PlayerGameData[[#This Row],[EligFGOrder]],PlayerGameData[[#This Row],[EligFGOrder]])</f>
        <v>1220.25</v>
      </c>
      <c r="BD899" s="8">
        <f ca="1">RANK(PlayerGameData[[#This Row],[EligFGTieBreak]],PlayerGameData[EligFGTieBreak],1)</f>
        <v>625</v>
      </c>
      <c r="BE899" s="8" t="str">
        <f>Roster!$D$3</f>
        <v>East</v>
      </c>
      <c r="BF899" s="8" t="str">
        <f>Roster!$D$2</f>
        <v>Northeast</v>
      </c>
      <c r="BG899" s="8" t="str">
        <f>Roster!$D$4</f>
        <v>North</v>
      </c>
      <c r="BH899" s="197">
        <f ca="1">IFERROR(VLOOKUP(CONCATENATE(PlayerGameData[[#This Row],[Opponent]]," ",MONTH(PlayerGameData[[#This Row],[Date]]),"/",DAY(PlayerGameData[[#This Row],[Date]]),"/",YEAR(PlayerGameData[[#This Row],[Date]])),Table35[],2,FALSE),0)</f>
        <v>0</v>
      </c>
      <c r="BI899" s="197">
        <f ca="1">IF(PlayerGameData[[#This Row],[Visible]]=1,1,1000)</f>
        <v>1000</v>
      </c>
      <c r="BJ899" s="197" t="e">
        <f ca="1">_xlfn.MAXIFS(TeamGameData[Win],TeamGameData[School, Opponent,Game'#],PlayerGameData[[#This Row],[School, Opponent,Game'#]])</f>
        <v>#NAME?</v>
      </c>
      <c r="BK899" s="197" t="e">
        <f ca="1">_xlfn.MAXIFS(TeamGameData[Loss],TeamGameData[School, Opponent,Game'#],PlayerGameData[[#This Row],[School, Opponent,Game'#]])</f>
        <v>#NAME?</v>
      </c>
    </row>
    <row r="900" spans="1:63" x14ac:dyDescent="0.25">
      <c r="A900" s="8" t="str">
        <f t="shared" ca="1" si="423"/>
        <v>Carson Barritt, 14</v>
      </c>
      <c r="B900" s="8" t="str">
        <f>Roster!$B$1</f>
        <v>Upton</v>
      </c>
      <c r="C900" s="8">
        <f t="shared" ca="1" si="411"/>
        <v>0</v>
      </c>
      <c r="D900" s="10">
        <f t="shared" ca="1" si="412"/>
        <v>0</v>
      </c>
      <c r="E900" s="8">
        <f t="shared" ca="1" si="413"/>
        <v>0</v>
      </c>
      <c r="F900" s="8">
        <f t="shared" ca="1" si="414"/>
        <v>0</v>
      </c>
      <c r="G900" s="8">
        <f t="shared" ca="1" si="415"/>
        <v>0</v>
      </c>
      <c r="H900" s="8">
        <f t="shared" ca="1" si="416"/>
        <v>0</v>
      </c>
      <c r="I900" s="8">
        <f t="shared" ca="1" si="417"/>
        <v>0</v>
      </c>
      <c r="J900" s="8">
        <f t="shared" ca="1" si="418"/>
        <v>0</v>
      </c>
      <c r="K900" s="8">
        <f t="shared" ca="1" si="419"/>
        <v>0</v>
      </c>
      <c r="L900" s="8">
        <f t="shared" ca="1" si="424"/>
        <v>0</v>
      </c>
      <c r="M900" s="8">
        <f t="shared" ca="1" si="425"/>
        <v>0</v>
      </c>
      <c r="N900" s="8">
        <f t="shared" ca="1" si="426"/>
        <v>0</v>
      </c>
      <c r="O900" s="8">
        <f t="shared" ca="1" si="427"/>
        <v>0</v>
      </c>
      <c r="P900" s="8">
        <f t="shared" ca="1" si="428"/>
        <v>0</v>
      </c>
      <c r="Q900" s="8">
        <f t="shared" ca="1" si="429"/>
        <v>0</v>
      </c>
      <c r="R900" s="8">
        <f t="shared" ca="1" si="430"/>
        <v>0</v>
      </c>
      <c r="S900" s="8">
        <f t="shared" ca="1" si="431"/>
        <v>0</v>
      </c>
      <c r="T900" s="8">
        <f t="shared" ca="1" si="432"/>
        <v>0</v>
      </c>
      <c r="U900" s="8">
        <f t="shared" ca="1" si="433"/>
        <v>0</v>
      </c>
      <c r="V900" s="8">
        <f t="shared" ca="1" si="434"/>
        <v>0</v>
      </c>
      <c r="W900" s="11" t="str">
        <f t="shared" ca="1" si="435"/>
        <v/>
      </c>
      <c r="X900" s="11" t="str">
        <f t="shared" ca="1" si="436"/>
        <v/>
      </c>
      <c r="Y900" s="11" t="str">
        <f t="shared" ca="1" si="437"/>
        <v/>
      </c>
      <c r="Z900" s="11" t="str">
        <f t="shared" ca="1" si="438"/>
        <v/>
      </c>
      <c r="AA900" s="11" t="str">
        <f t="shared" ca="1" si="439"/>
        <v/>
      </c>
      <c r="AB900" s="47">
        <f ca="1">PlayerGameData[[#This Row],[3FGA]]+PlayerGameData[[#This Row],[2FGA]]</f>
        <v>0</v>
      </c>
      <c r="AC900" s="47">
        <f ca="1">PlayerGameData[[#This Row],[OFF REB]]+PlayerGameData[[#This Row],[DEF REB]]</f>
        <v>0</v>
      </c>
      <c r="AD900" s="8">
        <f t="shared" si="420"/>
        <v>38</v>
      </c>
      <c r="AE900" s="8" t="str">
        <f t="shared" ca="1" si="421"/>
        <v>Carson Barritt, 14 - 0 1/0/1900</v>
      </c>
      <c r="AF900" s="8" t="str">
        <f t="shared" ca="1" si="440"/>
        <v/>
      </c>
      <c r="AG900" s="8" t="str">
        <f ca="1">IFERROR(IF(C900=0,"",IF(AND(VLOOKUP(PlayerGameData[[#This Row],[Opponent]],WYTeamInfo,2,FALSE)=Roster!$D$1,VLOOKUP(PlayerGameData[[#This Row],[Opponent]],WYTeamInfo,3,FALSE)=Roster!$D$2),"SR","")),"")</f>
        <v/>
      </c>
      <c r="AH900" s="8" t="str">
        <f>CONCATENATE(Roster!$D$1," ",Roster!$D$5)</f>
        <v>1A BB</v>
      </c>
      <c r="AI900" s="8" t="str">
        <f t="shared" ca="1" si="422"/>
        <v>Blank</v>
      </c>
      <c r="AJ900" s="8">
        <f ca="1">IFERROR(VLOOKUP(PlayerGameData[[#This Row],[School, Opponent,Game'#]],Table3[],2,FALSE),0)</f>
        <v>0</v>
      </c>
      <c r="AK900" s="8">
        <f ca="1">IF(PlayerGameData[[#This Row],[Visible]]=1,1,1000)</f>
        <v>1000</v>
      </c>
      <c r="AL900" s="8">
        <f ca="1">RANK(PlayerGameData[[#This Row],[TL PTS]],PlayerGameData[TL PTS],0)+PlayerGameData[[#This Row],[VisibleOrder]]</f>
        <v>1184</v>
      </c>
      <c r="AM900" s="8">
        <f ca="1">IF(COUNTIF(PlayerGameData[PointOrder],PlayerGameData[[#This Row],[PointOrder]])&gt;1,RANK(PlayerGameData[[#This Row],[FGA]],PlayerGameData[FGA],0)/100,0)+PlayerGameData[[#This Row],[PointOrder]]</f>
        <v>1186.1400000000001</v>
      </c>
      <c r="AN900" s="8">
        <f ca="1">RANK(PlayerGameData[[#This Row],[PointTieBreak]],PlayerGameData[PointTieBreak],1)</f>
        <v>625</v>
      </c>
      <c r="AO900" s="8">
        <f ca="1">RANK(PlayerGameData[[#This Row],[REB]],PlayerGameData[REB],0)+PlayerGameData[[#This Row],[VisibleOrder]]</f>
        <v>1191</v>
      </c>
      <c r="AP900" s="8">
        <f ca="1">IF(COUNTIF(PlayerGameData[REBOrder],PlayerGameData[[#This Row],[REBOrder]])&gt;1,PlayerGameData[[#This Row],[PointRank]]/100+PlayerGameData[[#This Row],[REBOrder]],PlayerGameData[[#This Row],[REBOrder]])</f>
        <v>1197.25</v>
      </c>
      <c r="AQ900" s="8">
        <f ca="1">RANK(PlayerGameData[[#This Row],[REBTieBreak]],PlayerGameData[REBTieBreak],1)</f>
        <v>625</v>
      </c>
      <c r="AR900" s="8">
        <f ca="1">RANK(PlayerGameData[[#This Row],[AST]],PlayerGameData[AST],0)+PlayerGameData[[#This Row],[VisibleOrder]]</f>
        <v>1157</v>
      </c>
      <c r="AS900" s="8">
        <f ca="1">IF(COUNTIF(PlayerGameData[ASTOrder],PlayerGameData[[#This Row],[ASTOrder]])&gt;1,PlayerGameData[[#This Row],[PointRank]]/100+PlayerGameData[[#This Row],[ASTOrder]],PlayerGameData[[#This Row],[ASTOrder]])</f>
        <v>1163.25</v>
      </c>
      <c r="AT900" s="8">
        <f ca="1">RANK(PlayerGameData[[#This Row],[ASTTieBreak]],PlayerGameData[ASTTieBreak],1)</f>
        <v>625</v>
      </c>
      <c r="AU900" s="8">
        <f ca="1">RANK(PlayerGameData[[#This Row],[STL]],PlayerGameData[STL],0)+PlayerGameData[[#This Row],[VisibleOrder]]</f>
        <v>1142</v>
      </c>
      <c r="AV900" s="8">
        <f ca="1">IF(COUNTIF(PlayerGameData[STLOrder],PlayerGameData[[#This Row],[STLOrder]])&gt;1,PlayerGameData[[#This Row],[PointRank]]/100+PlayerGameData[[#This Row],[STLOrder]],PlayerGameData[[#This Row],[STLOrder]])</f>
        <v>1148.25</v>
      </c>
      <c r="AW900" s="8">
        <f ca="1">RANK(PlayerGameData[[#This Row],[STLTieBreak]],PlayerGameData[STLTieBreak],1)</f>
        <v>625</v>
      </c>
      <c r="AX900" s="8">
        <f ca="1">RANK(PlayerGameData[[#This Row],[BLK]],PlayerGameData[BLK],0)+PlayerGameData[[#This Row],[VisibleOrder]]</f>
        <v>1031</v>
      </c>
      <c r="AY900" s="8">
        <f ca="1">IF(COUNTIF(PlayerGameData[BLKOrder],PlayerGameData[[#This Row],[BLKOrder]])&gt;1,PlayerGameData[[#This Row],[PointRank]]/100+PlayerGameData[[#This Row],[BLKOrder]],PlayerGameData[[#This Row],[BLKOrder]])</f>
        <v>1037.25</v>
      </c>
      <c r="AZ900" s="8">
        <f ca="1">RANK(PlayerGameData[[#This Row],[BLKTieBreak]],PlayerGameData[BLKTieBreak],1)</f>
        <v>625</v>
      </c>
      <c r="BA900" s="11">
        <f ca="1">IFERROR(IF(PlayerGameData[[#This Row],[FGA]]&gt;$AA$5,PlayerGameData[[#This Row],[FG%*]],PlayerGameData[[#This Row],[FG%*]]*-1),-2)</f>
        <v>-2</v>
      </c>
      <c r="BB900" s="8">
        <f ca="1">RANK(PlayerGameData[[#This Row],[EligFG]],PlayerGameData[EligFG],0)+PlayerGameData[[#This Row],[VisibleOrder]]</f>
        <v>1214</v>
      </c>
      <c r="BC900" s="8">
        <f ca="1">IF(COUNTIF(PlayerGameData[EligFGOrder],PlayerGameData[[#This Row],[EligFGOrder]])&gt;1,PlayerGameData[[#This Row],[PointRank]]/100+PlayerGameData[[#This Row],[EligFGOrder]],PlayerGameData[[#This Row],[EligFGOrder]])</f>
        <v>1220.25</v>
      </c>
      <c r="BD900" s="8">
        <f ca="1">RANK(PlayerGameData[[#This Row],[EligFGTieBreak]],PlayerGameData[EligFGTieBreak],1)</f>
        <v>625</v>
      </c>
      <c r="BE900" s="8" t="str">
        <f>Roster!$D$3</f>
        <v>East</v>
      </c>
      <c r="BF900" s="8" t="str">
        <f>Roster!$D$2</f>
        <v>Northeast</v>
      </c>
      <c r="BG900" s="8" t="str">
        <f>Roster!$D$4</f>
        <v>North</v>
      </c>
      <c r="BH900" s="197">
        <f ca="1">IFERROR(VLOOKUP(CONCATENATE(PlayerGameData[[#This Row],[Opponent]]," ",MONTH(PlayerGameData[[#This Row],[Date]]),"/",DAY(PlayerGameData[[#This Row],[Date]]),"/",YEAR(PlayerGameData[[#This Row],[Date]])),Table35[],2,FALSE),0)</f>
        <v>0</v>
      </c>
      <c r="BI900" s="197">
        <f ca="1">IF(PlayerGameData[[#This Row],[Visible]]=1,1,1000)</f>
        <v>1000</v>
      </c>
      <c r="BJ900" s="197" t="e">
        <f ca="1">_xlfn.MAXIFS(TeamGameData[Win],TeamGameData[School, Opponent,Game'#],PlayerGameData[[#This Row],[School, Opponent,Game'#]])</f>
        <v>#NAME?</v>
      </c>
      <c r="BK900" s="197" t="e">
        <f ca="1">_xlfn.MAXIFS(TeamGameData[Loss],TeamGameData[School, Opponent,Game'#],PlayerGameData[[#This Row],[School, Opponent,Game'#]])</f>
        <v>#NAME?</v>
      </c>
    </row>
    <row r="901" spans="1:63" x14ac:dyDescent="0.25">
      <c r="A901" s="8" t="str">
        <f t="shared" ca="1" si="423"/>
        <v>Ben Carpenter, 21</v>
      </c>
      <c r="B901" s="8" t="str">
        <f>Roster!$B$1</f>
        <v>Upton</v>
      </c>
      <c r="C901" s="8">
        <f t="shared" ca="1" si="411"/>
        <v>0</v>
      </c>
      <c r="D901" s="10">
        <f t="shared" ca="1" si="412"/>
        <v>0</v>
      </c>
      <c r="E901" s="8">
        <f t="shared" ca="1" si="413"/>
        <v>0</v>
      </c>
      <c r="F901" s="8">
        <f t="shared" ca="1" si="414"/>
        <v>0</v>
      </c>
      <c r="G901" s="8">
        <f t="shared" ca="1" si="415"/>
        <v>0</v>
      </c>
      <c r="H901" s="8">
        <f t="shared" ca="1" si="416"/>
        <v>0</v>
      </c>
      <c r="I901" s="8">
        <f t="shared" ca="1" si="417"/>
        <v>0</v>
      </c>
      <c r="J901" s="8">
        <f t="shared" ca="1" si="418"/>
        <v>0</v>
      </c>
      <c r="K901" s="8">
        <f t="shared" ca="1" si="419"/>
        <v>0</v>
      </c>
      <c r="L901" s="8">
        <f t="shared" ca="1" si="424"/>
        <v>0</v>
      </c>
      <c r="M901" s="8">
        <f t="shared" ca="1" si="425"/>
        <v>0</v>
      </c>
      <c r="N901" s="8">
        <f t="shared" ca="1" si="426"/>
        <v>0</v>
      </c>
      <c r="O901" s="8">
        <f t="shared" ca="1" si="427"/>
        <v>0</v>
      </c>
      <c r="P901" s="8">
        <f t="shared" ca="1" si="428"/>
        <v>0</v>
      </c>
      <c r="Q901" s="8">
        <f t="shared" ca="1" si="429"/>
        <v>0</v>
      </c>
      <c r="R901" s="8">
        <f t="shared" ca="1" si="430"/>
        <v>0</v>
      </c>
      <c r="S901" s="8">
        <f t="shared" ca="1" si="431"/>
        <v>0</v>
      </c>
      <c r="T901" s="8">
        <f t="shared" ca="1" si="432"/>
        <v>0</v>
      </c>
      <c r="U901" s="8">
        <f t="shared" ca="1" si="433"/>
        <v>0</v>
      </c>
      <c r="V901" s="8">
        <f t="shared" ca="1" si="434"/>
        <v>0</v>
      </c>
      <c r="W901" s="11" t="str">
        <f t="shared" ca="1" si="435"/>
        <v/>
      </c>
      <c r="X901" s="11" t="str">
        <f t="shared" ca="1" si="436"/>
        <v/>
      </c>
      <c r="Y901" s="11" t="str">
        <f t="shared" ca="1" si="437"/>
        <v/>
      </c>
      <c r="Z901" s="11" t="str">
        <f t="shared" ca="1" si="438"/>
        <v/>
      </c>
      <c r="AA901" s="11" t="str">
        <f t="shared" ca="1" si="439"/>
        <v/>
      </c>
      <c r="AB901" s="47">
        <f ca="1">PlayerGameData[[#This Row],[3FGA]]+PlayerGameData[[#This Row],[2FGA]]</f>
        <v>0</v>
      </c>
      <c r="AC901" s="47">
        <f ca="1">PlayerGameData[[#This Row],[OFF REB]]+PlayerGameData[[#This Row],[DEF REB]]</f>
        <v>0</v>
      </c>
      <c r="AD901" s="8">
        <f t="shared" si="420"/>
        <v>38</v>
      </c>
      <c r="AE901" s="8" t="str">
        <f t="shared" ca="1" si="421"/>
        <v>Ben Carpenter, 21 - 0 1/0/1900</v>
      </c>
      <c r="AF901" s="8" t="str">
        <f t="shared" ca="1" si="440"/>
        <v/>
      </c>
      <c r="AG901" s="8" t="str">
        <f ca="1">IFERROR(IF(C901=0,"",IF(AND(VLOOKUP(PlayerGameData[[#This Row],[Opponent]],WYTeamInfo,2,FALSE)=Roster!$D$1,VLOOKUP(PlayerGameData[[#This Row],[Opponent]],WYTeamInfo,3,FALSE)=Roster!$D$2),"SR","")),"")</f>
        <v/>
      </c>
      <c r="AH901" s="8" t="str">
        <f>CONCATENATE(Roster!$D$1," ",Roster!$D$5)</f>
        <v>1A BB</v>
      </c>
      <c r="AI901" s="8" t="str">
        <f t="shared" ca="1" si="422"/>
        <v>Blank</v>
      </c>
      <c r="AJ901" s="8">
        <f ca="1">IFERROR(VLOOKUP(PlayerGameData[[#This Row],[School, Opponent,Game'#]],Table3[],2,FALSE),0)</f>
        <v>0</v>
      </c>
      <c r="AK901" s="8">
        <f ca="1">IF(PlayerGameData[[#This Row],[Visible]]=1,1,1000)</f>
        <v>1000</v>
      </c>
      <c r="AL901" s="8">
        <f ca="1">RANK(PlayerGameData[[#This Row],[TL PTS]],PlayerGameData[TL PTS],0)+PlayerGameData[[#This Row],[VisibleOrder]]</f>
        <v>1184</v>
      </c>
      <c r="AM901" s="8">
        <f ca="1">IF(COUNTIF(PlayerGameData[PointOrder],PlayerGameData[[#This Row],[PointOrder]])&gt;1,RANK(PlayerGameData[[#This Row],[FGA]],PlayerGameData[FGA],0)/100,0)+PlayerGameData[[#This Row],[PointOrder]]</f>
        <v>1186.1400000000001</v>
      </c>
      <c r="AN901" s="8">
        <f ca="1">RANK(PlayerGameData[[#This Row],[PointTieBreak]],PlayerGameData[PointTieBreak],1)</f>
        <v>625</v>
      </c>
      <c r="AO901" s="8">
        <f ca="1">RANK(PlayerGameData[[#This Row],[REB]],PlayerGameData[REB],0)+PlayerGameData[[#This Row],[VisibleOrder]]</f>
        <v>1191</v>
      </c>
      <c r="AP901" s="8">
        <f ca="1">IF(COUNTIF(PlayerGameData[REBOrder],PlayerGameData[[#This Row],[REBOrder]])&gt;1,PlayerGameData[[#This Row],[PointRank]]/100+PlayerGameData[[#This Row],[REBOrder]],PlayerGameData[[#This Row],[REBOrder]])</f>
        <v>1197.25</v>
      </c>
      <c r="AQ901" s="8">
        <f ca="1">RANK(PlayerGameData[[#This Row],[REBTieBreak]],PlayerGameData[REBTieBreak],1)</f>
        <v>625</v>
      </c>
      <c r="AR901" s="8">
        <f ca="1">RANK(PlayerGameData[[#This Row],[AST]],PlayerGameData[AST],0)+PlayerGameData[[#This Row],[VisibleOrder]]</f>
        <v>1157</v>
      </c>
      <c r="AS901" s="8">
        <f ca="1">IF(COUNTIF(PlayerGameData[ASTOrder],PlayerGameData[[#This Row],[ASTOrder]])&gt;1,PlayerGameData[[#This Row],[PointRank]]/100+PlayerGameData[[#This Row],[ASTOrder]],PlayerGameData[[#This Row],[ASTOrder]])</f>
        <v>1163.25</v>
      </c>
      <c r="AT901" s="8">
        <f ca="1">RANK(PlayerGameData[[#This Row],[ASTTieBreak]],PlayerGameData[ASTTieBreak],1)</f>
        <v>625</v>
      </c>
      <c r="AU901" s="8">
        <f ca="1">RANK(PlayerGameData[[#This Row],[STL]],PlayerGameData[STL],0)+PlayerGameData[[#This Row],[VisibleOrder]]</f>
        <v>1142</v>
      </c>
      <c r="AV901" s="8">
        <f ca="1">IF(COUNTIF(PlayerGameData[STLOrder],PlayerGameData[[#This Row],[STLOrder]])&gt;1,PlayerGameData[[#This Row],[PointRank]]/100+PlayerGameData[[#This Row],[STLOrder]],PlayerGameData[[#This Row],[STLOrder]])</f>
        <v>1148.25</v>
      </c>
      <c r="AW901" s="8">
        <f ca="1">RANK(PlayerGameData[[#This Row],[STLTieBreak]],PlayerGameData[STLTieBreak],1)</f>
        <v>625</v>
      </c>
      <c r="AX901" s="8">
        <f ca="1">RANK(PlayerGameData[[#This Row],[BLK]],PlayerGameData[BLK],0)+PlayerGameData[[#This Row],[VisibleOrder]]</f>
        <v>1031</v>
      </c>
      <c r="AY901" s="8">
        <f ca="1">IF(COUNTIF(PlayerGameData[BLKOrder],PlayerGameData[[#This Row],[BLKOrder]])&gt;1,PlayerGameData[[#This Row],[PointRank]]/100+PlayerGameData[[#This Row],[BLKOrder]],PlayerGameData[[#This Row],[BLKOrder]])</f>
        <v>1037.25</v>
      </c>
      <c r="AZ901" s="8">
        <f ca="1">RANK(PlayerGameData[[#This Row],[BLKTieBreak]],PlayerGameData[BLKTieBreak],1)</f>
        <v>625</v>
      </c>
      <c r="BA901" s="11">
        <f ca="1">IFERROR(IF(PlayerGameData[[#This Row],[FGA]]&gt;$AA$5,PlayerGameData[[#This Row],[FG%*]],PlayerGameData[[#This Row],[FG%*]]*-1),-2)</f>
        <v>-2</v>
      </c>
      <c r="BB901" s="8">
        <f ca="1">RANK(PlayerGameData[[#This Row],[EligFG]],PlayerGameData[EligFG],0)+PlayerGameData[[#This Row],[VisibleOrder]]</f>
        <v>1214</v>
      </c>
      <c r="BC901" s="8">
        <f ca="1">IF(COUNTIF(PlayerGameData[EligFGOrder],PlayerGameData[[#This Row],[EligFGOrder]])&gt;1,PlayerGameData[[#This Row],[PointRank]]/100+PlayerGameData[[#This Row],[EligFGOrder]],PlayerGameData[[#This Row],[EligFGOrder]])</f>
        <v>1220.25</v>
      </c>
      <c r="BD901" s="8">
        <f ca="1">RANK(PlayerGameData[[#This Row],[EligFGTieBreak]],PlayerGameData[EligFGTieBreak],1)</f>
        <v>625</v>
      </c>
      <c r="BE901" s="8" t="str">
        <f>Roster!$D$3</f>
        <v>East</v>
      </c>
      <c r="BF901" s="8" t="str">
        <f>Roster!$D$2</f>
        <v>Northeast</v>
      </c>
      <c r="BG901" s="8" t="str">
        <f>Roster!$D$4</f>
        <v>North</v>
      </c>
      <c r="BH901" s="197">
        <f ca="1">IFERROR(VLOOKUP(CONCATENATE(PlayerGameData[[#This Row],[Opponent]]," ",MONTH(PlayerGameData[[#This Row],[Date]]),"/",DAY(PlayerGameData[[#This Row],[Date]]),"/",YEAR(PlayerGameData[[#This Row],[Date]])),Table35[],2,FALSE),0)</f>
        <v>0</v>
      </c>
      <c r="BI901" s="197">
        <f ca="1">IF(PlayerGameData[[#This Row],[Visible]]=1,1,1000)</f>
        <v>1000</v>
      </c>
      <c r="BJ901" s="197" t="e">
        <f ca="1">_xlfn.MAXIFS(TeamGameData[Win],TeamGameData[School, Opponent,Game'#],PlayerGameData[[#This Row],[School, Opponent,Game'#]])</f>
        <v>#NAME?</v>
      </c>
      <c r="BK901" s="197" t="e">
        <f ca="1">_xlfn.MAXIFS(TeamGameData[Loss],TeamGameData[School, Opponent,Game'#],PlayerGameData[[#This Row],[School, Opponent,Game'#]])</f>
        <v>#NAME?</v>
      </c>
    </row>
    <row r="902" spans="1:63" x14ac:dyDescent="0.25">
      <c r="A902" s="8" t="str">
        <f t="shared" ca="1" si="423"/>
        <v>Ethan Schiller, 23</v>
      </c>
      <c r="B902" s="8" t="str">
        <f>Roster!$B$1</f>
        <v>Upton</v>
      </c>
      <c r="C902" s="8">
        <f t="shared" ca="1" si="411"/>
        <v>0</v>
      </c>
      <c r="D902" s="10">
        <f t="shared" ca="1" si="412"/>
        <v>0</v>
      </c>
      <c r="E902" s="8">
        <f t="shared" ca="1" si="413"/>
        <v>0</v>
      </c>
      <c r="F902" s="8">
        <f t="shared" ca="1" si="414"/>
        <v>0</v>
      </c>
      <c r="G902" s="8">
        <f t="shared" ca="1" si="415"/>
        <v>0</v>
      </c>
      <c r="H902" s="8">
        <f t="shared" ca="1" si="416"/>
        <v>0</v>
      </c>
      <c r="I902" s="8">
        <f t="shared" ca="1" si="417"/>
        <v>0</v>
      </c>
      <c r="J902" s="8">
        <f t="shared" ca="1" si="418"/>
        <v>0</v>
      </c>
      <c r="K902" s="8">
        <f t="shared" ca="1" si="419"/>
        <v>0</v>
      </c>
      <c r="L902" s="8">
        <f t="shared" ca="1" si="424"/>
        <v>0</v>
      </c>
      <c r="M902" s="8">
        <f t="shared" ca="1" si="425"/>
        <v>0</v>
      </c>
      <c r="N902" s="8">
        <f t="shared" ca="1" si="426"/>
        <v>0</v>
      </c>
      <c r="O902" s="8">
        <f t="shared" ca="1" si="427"/>
        <v>0</v>
      </c>
      <c r="P902" s="8">
        <f t="shared" ca="1" si="428"/>
        <v>0</v>
      </c>
      <c r="Q902" s="8">
        <f t="shared" ca="1" si="429"/>
        <v>0</v>
      </c>
      <c r="R902" s="8">
        <f t="shared" ca="1" si="430"/>
        <v>0</v>
      </c>
      <c r="S902" s="8">
        <f t="shared" ca="1" si="431"/>
        <v>0</v>
      </c>
      <c r="T902" s="8">
        <f t="shared" ca="1" si="432"/>
        <v>0</v>
      </c>
      <c r="U902" s="8">
        <f t="shared" ca="1" si="433"/>
        <v>0</v>
      </c>
      <c r="V902" s="8">
        <f t="shared" ca="1" si="434"/>
        <v>0</v>
      </c>
      <c r="W902" s="11" t="str">
        <f t="shared" ca="1" si="435"/>
        <v/>
      </c>
      <c r="X902" s="11" t="str">
        <f t="shared" ca="1" si="436"/>
        <v/>
      </c>
      <c r="Y902" s="11" t="str">
        <f t="shared" ca="1" si="437"/>
        <v/>
      </c>
      <c r="Z902" s="11" t="str">
        <f t="shared" ca="1" si="438"/>
        <v/>
      </c>
      <c r="AA902" s="11" t="str">
        <f t="shared" ca="1" si="439"/>
        <v/>
      </c>
      <c r="AB902" s="47">
        <f ca="1">PlayerGameData[[#This Row],[3FGA]]+PlayerGameData[[#This Row],[2FGA]]</f>
        <v>0</v>
      </c>
      <c r="AC902" s="47">
        <f ca="1">PlayerGameData[[#This Row],[OFF REB]]+PlayerGameData[[#This Row],[DEF REB]]</f>
        <v>0</v>
      </c>
      <c r="AD902" s="8">
        <f t="shared" si="420"/>
        <v>38</v>
      </c>
      <c r="AE902" s="8" t="str">
        <f t="shared" ca="1" si="421"/>
        <v>Ethan Schiller, 23 - 0 1/0/1900</v>
      </c>
      <c r="AF902" s="8" t="str">
        <f t="shared" ca="1" si="440"/>
        <v/>
      </c>
      <c r="AG902" s="8" t="str">
        <f ca="1">IFERROR(IF(C902=0,"",IF(AND(VLOOKUP(PlayerGameData[[#This Row],[Opponent]],WYTeamInfo,2,FALSE)=Roster!$D$1,VLOOKUP(PlayerGameData[[#This Row],[Opponent]],WYTeamInfo,3,FALSE)=Roster!$D$2),"SR","")),"")</f>
        <v/>
      </c>
      <c r="AH902" s="8" t="str">
        <f>CONCATENATE(Roster!$D$1," ",Roster!$D$5)</f>
        <v>1A BB</v>
      </c>
      <c r="AI902" s="8" t="str">
        <f t="shared" ca="1" si="422"/>
        <v>Blank</v>
      </c>
      <c r="AJ902" s="8">
        <f ca="1">IFERROR(VLOOKUP(PlayerGameData[[#This Row],[School, Opponent,Game'#]],Table3[],2,FALSE),0)</f>
        <v>0</v>
      </c>
      <c r="AK902" s="8">
        <f ca="1">IF(PlayerGameData[[#This Row],[Visible]]=1,1,1000)</f>
        <v>1000</v>
      </c>
      <c r="AL902" s="8">
        <f ca="1">RANK(PlayerGameData[[#This Row],[TL PTS]],PlayerGameData[TL PTS],0)+PlayerGameData[[#This Row],[VisibleOrder]]</f>
        <v>1184</v>
      </c>
      <c r="AM902" s="8">
        <f ca="1">IF(COUNTIF(PlayerGameData[PointOrder],PlayerGameData[[#This Row],[PointOrder]])&gt;1,RANK(PlayerGameData[[#This Row],[FGA]],PlayerGameData[FGA],0)/100,0)+PlayerGameData[[#This Row],[PointOrder]]</f>
        <v>1186.1400000000001</v>
      </c>
      <c r="AN902" s="8">
        <f ca="1">RANK(PlayerGameData[[#This Row],[PointTieBreak]],PlayerGameData[PointTieBreak],1)</f>
        <v>625</v>
      </c>
      <c r="AO902" s="8">
        <f ca="1">RANK(PlayerGameData[[#This Row],[REB]],PlayerGameData[REB],0)+PlayerGameData[[#This Row],[VisibleOrder]]</f>
        <v>1191</v>
      </c>
      <c r="AP902" s="8">
        <f ca="1">IF(COUNTIF(PlayerGameData[REBOrder],PlayerGameData[[#This Row],[REBOrder]])&gt;1,PlayerGameData[[#This Row],[PointRank]]/100+PlayerGameData[[#This Row],[REBOrder]],PlayerGameData[[#This Row],[REBOrder]])</f>
        <v>1197.25</v>
      </c>
      <c r="AQ902" s="8">
        <f ca="1">RANK(PlayerGameData[[#This Row],[REBTieBreak]],PlayerGameData[REBTieBreak],1)</f>
        <v>625</v>
      </c>
      <c r="AR902" s="8">
        <f ca="1">RANK(PlayerGameData[[#This Row],[AST]],PlayerGameData[AST],0)+PlayerGameData[[#This Row],[VisibleOrder]]</f>
        <v>1157</v>
      </c>
      <c r="AS902" s="8">
        <f ca="1">IF(COUNTIF(PlayerGameData[ASTOrder],PlayerGameData[[#This Row],[ASTOrder]])&gt;1,PlayerGameData[[#This Row],[PointRank]]/100+PlayerGameData[[#This Row],[ASTOrder]],PlayerGameData[[#This Row],[ASTOrder]])</f>
        <v>1163.25</v>
      </c>
      <c r="AT902" s="8">
        <f ca="1">RANK(PlayerGameData[[#This Row],[ASTTieBreak]],PlayerGameData[ASTTieBreak],1)</f>
        <v>625</v>
      </c>
      <c r="AU902" s="8">
        <f ca="1">RANK(PlayerGameData[[#This Row],[STL]],PlayerGameData[STL],0)+PlayerGameData[[#This Row],[VisibleOrder]]</f>
        <v>1142</v>
      </c>
      <c r="AV902" s="8">
        <f ca="1">IF(COUNTIF(PlayerGameData[STLOrder],PlayerGameData[[#This Row],[STLOrder]])&gt;1,PlayerGameData[[#This Row],[PointRank]]/100+PlayerGameData[[#This Row],[STLOrder]],PlayerGameData[[#This Row],[STLOrder]])</f>
        <v>1148.25</v>
      </c>
      <c r="AW902" s="8">
        <f ca="1">RANK(PlayerGameData[[#This Row],[STLTieBreak]],PlayerGameData[STLTieBreak],1)</f>
        <v>625</v>
      </c>
      <c r="AX902" s="8">
        <f ca="1">RANK(PlayerGameData[[#This Row],[BLK]],PlayerGameData[BLK],0)+PlayerGameData[[#This Row],[VisibleOrder]]</f>
        <v>1031</v>
      </c>
      <c r="AY902" s="8">
        <f ca="1">IF(COUNTIF(PlayerGameData[BLKOrder],PlayerGameData[[#This Row],[BLKOrder]])&gt;1,PlayerGameData[[#This Row],[PointRank]]/100+PlayerGameData[[#This Row],[BLKOrder]],PlayerGameData[[#This Row],[BLKOrder]])</f>
        <v>1037.25</v>
      </c>
      <c r="AZ902" s="8">
        <f ca="1">RANK(PlayerGameData[[#This Row],[BLKTieBreak]],PlayerGameData[BLKTieBreak],1)</f>
        <v>625</v>
      </c>
      <c r="BA902" s="11">
        <f ca="1">IFERROR(IF(PlayerGameData[[#This Row],[FGA]]&gt;$AA$5,PlayerGameData[[#This Row],[FG%*]],PlayerGameData[[#This Row],[FG%*]]*-1),-2)</f>
        <v>-2</v>
      </c>
      <c r="BB902" s="8">
        <f ca="1">RANK(PlayerGameData[[#This Row],[EligFG]],PlayerGameData[EligFG],0)+PlayerGameData[[#This Row],[VisibleOrder]]</f>
        <v>1214</v>
      </c>
      <c r="BC902" s="8">
        <f ca="1">IF(COUNTIF(PlayerGameData[EligFGOrder],PlayerGameData[[#This Row],[EligFGOrder]])&gt;1,PlayerGameData[[#This Row],[PointRank]]/100+PlayerGameData[[#This Row],[EligFGOrder]],PlayerGameData[[#This Row],[EligFGOrder]])</f>
        <v>1220.25</v>
      </c>
      <c r="BD902" s="8">
        <f ca="1">RANK(PlayerGameData[[#This Row],[EligFGTieBreak]],PlayerGameData[EligFGTieBreak],1)</f>
        <v>625</v>
      </c>
      <c r="BE902" s="8" t="str">
        <f>Roster!$D$3</f>
        <v>East</v>
      </c>
      <c r="BF902" s="8" t="str">
        <f>Roster!$D$2</f>
        <v>Northeast</v>
      </c>
      <c r="BG902" s="8" t="str">
        <f>Roster!$D$4</f>
        <v>North</v>
      </c>
      <c r="BH902" s="197">
        <f ca="1">IFERROR(VLOOKUP(CONCATENATE(PlayerGameData[[#This Row],[Opponent]]," ",MONTH(PlayerGameData[[#This Row],[Date]]),"/",DAY(PlayerGameData[[#This Row],[Date]]),"/",YEAR(PlayerGameData[[#This Row],[Date]])),Table35[],2,FALSE),0)</f>
        <v>0</v>
      </c>
      <c r="BI902" s="197">
        <f ca="1">IF(PlayerGameData[[#This Row],[Visible]]=1,1,1000)</f>
        <v>1000</v>
      </c>
      <c r="BJ902" s="197" t="e">
        <f ca="1">_xlfn.MAXIFS(TeamGameData[Win],TeamGameData[School, Opponent,Game'#],PlayerGameData[[#This Row],[School, Opponent,Game'#]])</f>
        <v>#NAME?</v>
      </c>
      <c r="BK902" s="197" t="e">
        <f ca="1">_xlfn.MAXIFS(TeamGameData[Loss],TeamGameData[School, Opponent,Game'#],PlayerGameData[[#This Row],[School, Opponent,Game'#]])</f>
        <v>#NAME?</v>
      </c>
    </row>
    <row r="903" spans="1:63" x14ac:dyDescent="0.25">
      <c r="A903" s="8" t="str">
        <f t="shared" ca="1" si="423"/>
        <v>Bridger Bruce, 25</v>
      </c>
      <c r="B903" s="8" t="str">
        <f>Roster!$B$1</f>
        <v>Upton</v>
      </c>
      <c r="C903" s="8">
        <f t="shared" ref="C903:C966" ca="1" si="441">INDIRECT("'game1 ("&amp;$AD903&amp;")'!$b$3")</f>
        <v>0</v>
      </c>
      <c r="D903" s="10">
        <f t="shared" ref="D903:D966" ca="1" si="442">INDIRECT("'game1 ("&amp;$AD903&amp;")'!$m$4")</f>
        <v>0</v>
      </c>
      <c r="E903" s="8">
        <f t="shared" ref="E903:E966" ca="1" si="443">INDIRECT("'game1 ("&amp;$AD903&amp;")'!"&amp;ADDRESS(ROW(A$7)+MOD(ROW(A903)-7,24),COLUMN(D903)))</f>
        <v>0</v>
      </c>
      <c r="F903" s="8">
        <f t="shared" ref="F903:F966" ca="1" si="444">IF(INDIRECT("'game1 ("&amp;$AD903&amp;")'!"&amp;ADDRESS(ROW(B$7)+MOD(ROW(B903)-7,24),COLUMN(C903)))="s",1,0)</f>
        <v>0</v>
      </c>
      <c r="G903" s="8">
        <f t="shared" ref="G903:G966" ca="1" si="445">INDIRECT("'game1 ("&amp;$AD903&amp;")'!"&amp;ADDRESS(ROW(B$7)+MOD(ROW(B903)-7,24),COLUMN(E903)))</f>
        <v>0</v>
      </c>
      <c r="H903" s="8">
        <f t="shared" ref="H903:H966" ca="1" si="446">INDIRECT("'game1 ("&amp;$AD903&amp;")'!"&amp;ADDRESS(ROW(B$7)+MOD(ROW(B903)-7,24),COLUMN(F903)))</f>
        <v>0</v>
      </c>
      <c r="I903" s="8">
        <f t="shared" ref="I903:I966" ca="1" si="447">INDIRECT("'game1 ("&amp;$AD903&amp;")'!"&amp;ADDRESS(ROW(C$7)+MOD(ROW(C903)-7,24),COLUMN(G903)))</f>
        <v>0</v>
      </c>
      <c r="J903" s="8">
        <f t="shared" ref="J903:J966" ca="1" si="448">INDIRECT("'game1 ("&amp;$AD903&amp;")'!"&amp;ADDRESS(ROW(D$7)+MOD(ROW(D903)-7,24),COLUMN(H903)))</f>
        <v>0</v>
      </c>
      <c r="K903" s="8">
        <f t="shared" ref="K903:K966" ca="1" si="449">INDIRECT("'game1 ("&amp;$AD903&amp;")'!"&amp;ADDRESS(ROW(E$7)+MOD(ROW(E903)-7,24),COLUMN(I903)))</f>
        <v>0</v>
      </c>
      <c r="L903" s="8">
        <f t="shared" ca="1" si="424"/>
        <v>0</v>
      </c>
      <c r="M903" s="8">
        <f t="shared" ca="1" si="425"/>
        <v>0</v>
      </c>
      <c r="N903" s="8">
        <f t="shared" ca="1" si="426"/>
        <v>0</v>
      </c>
      <c r="O903" s="8">
        <f t="shared" ca="1" si="427"/>
        <v>0</v>
      </c>
      <c r="P903" s="8">
        <f t="shared" ca="1" si="428"/>
        <v>0</v>
      </c>
      <c r="Q903" s="8">
        <f t="shared" ca="1" si="429"/>
        <v>0</v>
      </c>
      <c r="R903" s="8">
        <f t="shared" ca="1" si="430"/>
        <v>0</v>
      </c>
      <c r="S903" s="8">
        <f t="shared" ca="1" si="431"/>
        <v>0</v>
      </c>
      <c r="T903" s="8">
        <f t="shared" ca="1" si="432"/>
        <v>0</v>
      </c>
      <c r="U903" s="8">
        <f t="shared" ca="1" si="433"/>
        <v>0</v>
      </c>
      <c r="V903" s="8">
        <f t="shared" ca="1" si="434"/>
        <v>0</v>
      </c>
      <c r="W903" s="11" t="str">
        <f t="shared" ca="1" si="435"/>
        <v/>
      </c>
      <c r="X903" s="11" t="str">
        <f t="shared" ca="1" si="436"/>
        <v/>
      </c>
      <c r="Y903" s="11" t="str">
        <f t="shared" ca="1" si="437"/>
        <v/>
      </c>
      <c r="Z903" s="11" t="str">
        <f t="shared" ca="1" si="438"/>
        <v/>
      </c>
      <c r="AA903" s="11" t="str">
        <f t="shared" ca="1" si="439"/>
        <v/>
      </c>
      <c r="AB903" s="47">
        <f ca="1">PlayerGameData[[#This Row],[3FGA]]+PlayerGameData[[#This Row],[2FGA]]</f>
        <v>0</v>
      </c>
      <c r="AC903" s="47">
        <f ca="1">PlayerGameData[[#This Row],[OFF REB]]+PlayerGameData[[#This Row],[DEF REB]]</f>
        <v>0</v>
      </c>
      <c r="AD903" s="8">
        <f t="shared" ref="AD903:AD966" si="450">INT((ROW(A903)-7)/24)+1</f>
        <v>38</v>
      </c>
      <c r="AE903" s="8" t="str">
        <f t="shared" ref="AE903:AE966" ca="1" si="451">CONCATENATE(A903," - ",C903," ",MONTH(D903),"/",DAY(D903),"/",YEAR(D903))</f>
        <v>Bridger Bruce, 25 - 0 1/0/1900</v>
      </c>
      <c r="AF903" s="8" t="str">
        <f t="shared" ca="1" si="440"/>
        <v/>
      </c>
      <c r="AG903" s="8" t="str">
        <f ca="1">IFERROR(IF(C903=0,"",IF(AND(VLOOKUP(PlayerGameData[[#This Row],[Opponent]],WYTeamInfo,2,FALSE)=Roster!$D$1,VLOOKUP(PlayerGameData[[#This Row],[Opponent]],WYTeamInfo,3,FALSE)=Roster!$D$2),"SR","")),"")</f>
        <v/>
      </c>
      <c r="AH903" s="8" t="str">
        <f>CONCATENATE(Roster!$D$1," ",Roster!$D$5)</f>
        <v>1A BB</v>
      </c>
      <c r="AI903" s="8" t="str">
        <f t="shared" ref="AI903:AI966" ca="1" si="452">IF($C903&lt;&gt;0,CONCATENATE($B903," - ",$C903," ",MONTH($D903),"/",DAY($D903),"/",YEAR($D903)),"Blank")</f>
        <v>Blank</v>
      </c>
      <c r="AJ903" s="8">
        <f ca="1">IFERROR(VLOOKUP(PlayerGameData[[#This Row],[School, Opponent,Game'#]],Table3[],2,FALSE),0)</f>
        <v>0</v>
      </c>
      <c r="AK903" s="8">
        <f ca="1">IF(PlayerGameData[[#This Row],[Visible]]=1,1,1000)</f>
        <v>1000</v>
      </c>
      <c r="AL903" s="8">
        <f ca="1">RANK(PlayerGameData[[#This Row],[TL PTS]],PlayerGameData[TL PTS],0)+PlayerGameData[[#This Row],[VisibleOrder]]</f>
        <v>1184</v>
      </c>
      <c r="AM903" s="8">
        <f ca="1">IF(COUNTIF(PlayerGameData[PointOrder],PlayerGameData[[#This Row],[PointOrder]])&gt;1,RANK(PlayerGameData[[#This Row],[FGA]],PlayerGameData[FGA],0)/100,0)+PlayerGameData[[#This Row],[PointOrder]]</f>
        <v>1186.1400000000001</v>
      </c>
      <c r="AN903" s="8">
        <f ca="1">RANK(PlayerGameData[[#This Row],[PointTieBreak]],PlayerGameData[PointTieBreak],1)</f>
        <v>625</v>
      </c>
      <c r="AO903" s="8">
        <f ca="1">RANK(PlayerGameData[[#This Row],[REB]],PlayerGameData[REB],0)+PlayerGameData[[#This Row],[VisibleOrder]]</f>
        <v>1191</v>
      </c>
      <c r="AP903" s="8">
        <f ca="1">IF(COUNTIF(PlayerGameData[REBOrder],PlayerGameData[[#This Row],[REBOrder]])&gt;1,PlayerGameData[[#This Row],[PointRank]]/100+PlayerGameData[[#This Row],[REBOrder]],PlayerGameData[[#This Row],[REBOrder]])</f>
        <v>1197.25</v>
      </c>
      <c r="AQ903" s="8">
        <f ca="1">RANK(PlayerGameData[[#This Row],[REBTieBreak]],PlayerGameData[REBTieBreak],1)</f>
        <v>625</v>
      </c>
      <c r="AR903" s="8">
        <f ca="1">RANK(PlayerGameData[[#This Row],[AST]],PlayerGameData[AST],0)+PlayerGameData[[#This Row],[VisibleOrder]]</f>
        <v>1157</v>
      </c>
      <c r="AS903" s="8">
        <f ca="1">IF(COUNTIF(PlayerGameData[ASTOrder],PlayerGameData[[#This Row],[ASTOrder]])&gt;1,PlayerGameData[[#This Row],[PointRank]]/100+PlayerGameData[[#This Row],[ASTOrder]],PlayerGameData[[#This Row],[ASTOrder]])</f>
        <v>1163.25</v>
      </c>
      <c r="AT903" s="8">
        <f ca="1">RANK(PlayerGameData[[#This Row],[ASTTieBreak]],PlayerGameData[ASTTieBreak],1)</f>
        <v>625</v>
      </c>
      <c r="AU903" s="8">
        <f ca="1">RANK(PlayerGameData[[#This Row],[STL]],PlayerGameData[STL],0)+PlayerGameData[[#This Row],[VisibleOrder]]</f>
        <v>1142</v>
      </c>
      <c r="AV903" s="8">
        <f ca="1">IF(COUNTIF(PlayerGameData[STLOrder],PlayerGameData[[#This Row],[STLOrder]])&gt;1,PlayerGameData[[#This Row],[PointRank]]/100+PlayerGameData[[#This Row],[STLOrder]],PlayerGameData[[#This Row],[STLOrder]])</f>
        <v>1148.25</v>
      </c>
      <c r="AW903" s="8">
        <f ca="1">RANK(PlayerGameData[[#This Row],[STLTieBreak]],PlayerGameData[STLTieBreak],1)</f>
        <v>625</v>
      </c>
      <c r="AX903" s="8">
        <f ca="1">RANK(PlayerGameData[[#This Row],[BLK]],PlayerGameData[BLK],0)+PlayerGameData[[#This Row],[VisibleOrder]]</f>
        <v>1031</v>
      </c>
      <c r="AY903" s="8">
        <f ca="1">IF(COUNTIF(PlayerGameData[BLKOrder],PlayerGameData[[#This Row],[BLKOrder]])&gt;1,PlayerGameData[[#This Row],[PointRank]]/100+PlayerGameData[[#This Row],[BLKOrder]],PlayerGameData[[#This Row],[BLKOrder]])</f>
        <v>1037.25</v>
      </c>
      <c r="AZ903" s="8">
        <f ca="1">RANK(PlayerGameData[[#This Row],[BLKTieBreak]],PlayerGameData[BLKTieBreak],1)</f>
        <v>625</v>
      </c>
      <c r="BA903" s="11">
        <f ca="1">IFERROR(IF(PlayerGameData[[#This Row],[FGA]]&gt;$AA$5,PlayerGameData[[#This Row],[FG%*]],PlayerGameData[[#This Row],[FG%*]]*-1),-2)</f>
        <v>-2</v>
      </c>
      <c r="BB903" s="8">
        <f ca="1">RANK(PlayerGameData[[#This Row],[EligFG]],PlayerGameData[EligFG],0)+PlayerGameData[[#This Row],[VisibleOrder]]</f>
        <v>1214</v>
      </c>
      <c r="BC903" s="8">
        <f ca="1">IF(COUNTIF(PlayerGameData[EligFGOrder],PlayerGameData[[#This Row],[EligFGOrder]])&gt;1,PlayerGameData[[#This Row],[PointRank]]/100+PlayerGameData[[#This Row],[EligFGOrder]],PlayerGameData[[#This Row],[EligFGOrder]])</f>
        <v>1220.25</v>
      </c>
      <c r="BD903" s="8">
        <f ca="1">RANK(PlayerGameData[[#This Row],[EligFGTieBreak]],PlayerGameData[EligFGTieBreak],1)</f>
        <v>625</v>
      </c>
      <c r="BE903" s="8" t="str">
        <f>Roster!$D$3</f>
        <v>East</v>
      </c>
      <c r="BF903" s="8" t="str">
        <f>Roster!$D$2</f>
        <v>Northeast</v>
      </c>
      <c r="BG903" s="8" t="str">
        <f>Roster!$D$4</f>
        <v>North</v>
      </c>
      <c r="BH903" s="197">
        <f ca="1">IFERROR(VLOOKUP(CONCATENATE(PlayerGameData[[#This Row],[Opponent]]," ",MONTH(PlayerGameData[[#This Row],[Date]]),"/",DAY(PlayerGameData[[#This Row],[Date]]),"/",YEAR(PlayerGameData[[#This Row],[Date]])),Table35[],2,FALSE),0)</f>
        <v>0</v>
      </c>
      <c r="BI903" s="197">
        <f ca="1">IF(PlayerGameData[[#This Row],[Visible]]=1,1,1000)</f>
        <v>1000</v>
      </c>
      <c r="BJ903" s="197" t="e">
        <f ca="1">_xlfn.MAXIFS(TeamGameData[Win],TeamGameData[School, Opponent,Game'#],PlayerGameData[[#This Row],[School, Opponent,Game'#]])</f>
        <v>#NAME?</v>
      </c>
      <c r="BK903" s="197" t="e">
        <f ca="1">_xlfn.MAXIFS(TeamGameData[Loss],TeamGameData[School, Opponent,Game'#],PlayerGameData[[#This Row],[School, Opponent,Game'#]])</f>
        <v>#NAME?</v>
      </c>
    </row>
    <row r="904" spans="1:63" x14ac:dyDescent="0.25">
      <c r="A904" s="8" t="str">
        <f t="shared" ref="A904:A966" ca="1" si="453">CONCATENATE(INDIRECT("Roster!B"&amp;ROW(A$7)+MOD(ROW(A904)-7,24)),", ",INDIRECT("Roster!a"&amp;ROW(A$7)+MOD(ROW(A904)-7,24)))</f>
        <v>Kailer Duarte, 31</v>
      </c>
      <c r="B904" s="8" t="str">
        <f>Roster!$B$1</f>
        <v>Upton</v>
      </c>
      <c r="C904" s="8">
        <f t="shared" ca="1" si="441"/>
        <v>0</v>
      </c>
      <c r="D904" s="10">
        <f t="shared" ca="1" si="442"/>
        <v>0</v>
      </c>
      <c r="E904" s="8">
        <f t="shared" ca="1" si="443"/>
        <v>0</v>
      </c>
      <c r="F904" s="8">
        <f t="shared" ca="1" si="444"/>
        <v>0</v>
      </c>
      <c r="G904" s="8">
        <f t="shared" ca="1" si="445"/>
        <v>0</v>
      </c>
      <c r="H904" s="8">
        <f t="shared" ca="1" si="446"/>
        <v>0</v>
      </c>
      <c r="I904" s="8">
        <f t="shared" ca="1" si="447"/>
        <v>0</v>
      </c>
      <c r="J904" s="8">
        <f t="shared" ca="1" si="448"/>
        <v>0</v>
      </c>
      <c r="K904" s="8">
        <f t="shared" ca="1" si="449"/>
        <v>0</v>
      </c>
      <c r="L904" s="8">
        <f t="shared" ref="L904:L966" ca="1" si="454">INDIRECT("'game1 ("&amp;$AD904&amp;")'!"&amp;ADDRESS(ROW(G$7)+MOD(ROW(G904)-7,24),COLUMN(J904)))</f>
        <v>0</v>
      </c>
      <c r="M904" s="8">
        <f t="shared" ref="M904:M966" ca="1" si="455">INDIRECT("'game1 ("&amp;$AD904&amp;")'!"&amp;ADDRESS(ROW(H$7)+MOD(ROW(H904)-7,24),COLUMN(K904)))</f>
        <v>0</v>
      </c>
      <c r="N904" s="8">
        <f t="shared" ref="N904:N966" ca="1" si="456">INDIRECT("'game1 ("&amp;$AD904&amp;")'!"&amp;ADDRESS(ROW(I$7)+MOD(ROW(I904)-7,24),COLUMN(L904)))</f>
        <v>0</v>
      </c>
      <c r="O904" s="8">
        <f t="shared" ref="O904:O966" ca="1" si="457">INDIRECT("'game1 ("&amp;$AD904&amp;")'!"&amp;ADDRESS(ROW(J$7)+MOD(ROW(J904)-7,24),COLUMN(M904)))</f>
        <v>0</v>
      </c>
      <c r="P904" s="8">
        <f t="shared" ref="P904:P966" ca="1" si="458">INDIRECT("'game1 ("&amp;$AD904&amp;")'!"&amp;ADDRESS(ROW(K$7)+MOD(ROW(K904)-7,24),COLUMN(N904)))</f>
        <v>0</v>
      </c>
      <c r="Q904" s="8">
        <f t="shared" ref="Q904:Q966" ca="1" si="459">INDIRECT("'game1 ("&amp;$AD904&amp;")'!"&amp;ADDRESS(ROW(L$7)+MOD(ROW(L904)-7,24),COLUMN(O904)))</f>
        <v>0</v>
      </c>
      <c r="R904" s="8">
        <f t="shared" ref="R904:R966" ca="1" si="460">INDIRECT("'game1 ("&amp;$AD904&amp;")'!"&amp;ADDRESS(ROW(M$7)+MOD(ROW(M904)-7,24),COLUMN(P904)))</f>
        <v>0</v>
      </c>
      <c r="S904" s="8">
        <f t="shared" ref="S904:S966" ca="1" si="461">INDIRECT("'game1 ("&amp;$AD904&amp;")'!"&amp;ADDRESS(ROW(N$7)+MOD(ROW(N904)-7,24),COLUMN(Q904)))</f>
        <v>0</v>
      </c>
      <c r="T904" s="8">
        <f t="shared" ref="T904:T966" ca="1" si="462">INDIRECT("'game1 ("&amp;$AD904&amp;")'!"&amp;ADDRESS(ROW(O$7)+MOD(ROW(O904)-7,24),COLUMN(R904)))</f>
        <v>0</v>
      </c>
      <c r="U904" s="8">
        <f t="shared" ref="U904:U966" ca="1" si="463">INDIRECT("'game1 ("&amp;$AD904&amp;")'!"&amp;ADDRESS(ROW(P$7)+MOD(ROW(P904)-7,24),COLUMN(S904)))</f>
        <v>0</v>
      </c>
      <c r="V904" s="8">
        <f t="shared" ref="V904:V966" ca="1" si="464">INDIRECT("'game1 ("&amp;$AD904&amp;")'!"&amp;ADDRESS(ROW(Q$7)+MOD(ROW(Q904)-7,24),COLUMN(T904)))</f>
        <v>0</v>
      </c>
      <c r="W904" s="11" t="str">
        <f t="shared" ref="W904:W966" ca="1" si="465">INDIRECT("'game1 ("&amp;$AD904&amp;")'!"&amp;ADDRESS(ROW(R$7)+MOD(ROW(R904)-7,24),COLUMN(U904)))</f>
        <v/>
      </c>
      <c r="X904" s="11" t="str">
        <f t="shared" ref="X904:X966" ca="1" si="466">INDIRECT("'game1 ("&amp;$AD904&amp;")'!"&amp;ADDRESS(ROW(S$7)+MOD(ROW(S904)-7,24),COLUMN(V904)))</f>
        <v/>
      </c>
      <c r="Y904" s="11" t="str">
        <f t="shared" ref="Y904:Y966" ca="1" si="467">INDIRECT("'game1 ("&amp;$AD904&amp;")'!"&amp;ADDRESS(ROW(T$7)+MOD(ROW(T904)-7,24),COLUMN(W904)))</f>
        <v/>
      </c>
      <c r="Z904" s="11" t="str">
        <f t="shared" ref="Z904:Z966" ca="1" si="468">INDIRECT("'game1 ("&amp;$AD904&amp;")'!"&amp;ADDRESS(ROW(U$7)+MOD(ROW(U904)-7,24),COLUMN(X904)))</f>
        <v/>
      </c>
      <c r="AA904" s="11" t="str">
        <f t="shared" ref="AA904:AA966" ca="1" si="469">INDIRECT("'game1 ("&amp;$AD904&amp;")'!"&amp;ADDRESS(ROW(V$7)+MOD(ROW(V904)-7,24),COLUMN(Y904)))</f>
        <v/>
      </c>
      <c r="AB904" s="47">
        <f ca="1">PlayerGameData[[#This Row],[3FGA]]+PlayerGameData[[#This Row],[2FGA]]</f>
        <v>0</v>
      </c>
      <c r="AC904" s="47">
        <f ca="1">PlayerGameData[[#This Row],[OFF REB]]+PlayerGameData[[#This Row],[DEF REB]]</f>
        <v>0</v>
      </c>
      <c r="AD904" s="8">
        <f t="shared" si="450"/>
        <v>38</v>
      </c>
      <c r="AE904" s="8" t="str">
        <f t="shared" ca="1" si="451"/>
        <v>Kailer Duarte, 31 - 0 1/0/1900</v>
      </c>
      <c r="AF904" s="8" t="str">
        <f t="shared" ref="AF904:AF966" ca="1" si="470">IFERROR(INDIRECT("'game1 ("&amp;$AD904&amp;")'!$a$2"),"")</f>
        <v/>
      </c>
      <c r="AG904" s="8" t="str">
        <f ca="1">IFERROR(IF(C904=0,"",IF(AND(VLOOKUP(PlayerGameData[[#This Row],[Opponent]],WYTeamInfo,2,FALSE)=Roster!$D$1,VLOOKUP(PlayerGameData[[#This Row],[Opponent]],WYTeamInfo,3,FALSE)=Roster!$D$2),"SR","")),"")</f>
        <v/>
      </c>
      <c r="AH904" s="8" t="str">
        <f>CONCATENATE(Roster!$D$1," ",Roster!$D$5)</f>
        <v>1A BB</v>
      </c>
      <c r="AI904" s="8" t="str">
        <f t="shared" ca="1" si="452"/>
        <v>Blank</v>
      </c>
      <c r="AJ904" s="8">
        <f ca="1">IFERROR(VLOOKUP(PlayerGameData[[#This Row],[School, Opponent,Game'#]],Table3[],2,FALSE),0)</f>
        <v>0</v>
      </c>
      <c r="AK904" s="8">
        <f ca="1">IF(PlayerGameData[[#This Row],[Visible]]=1,1,1000)</f>
        <v>1000</v>
      </c>
      <c r="AL904" s="8">
        <f ca="1">RANK(PlayerGameData[[#This Row],[TL PTS]],PlayerGameData[TL PTS],0)+PlayerGameData[[#This Row],[VisibleOrder]]</f>
        <v>1184</v>
      </c>
      <c r="AM904" s="8">
        <f ca="1">IF(COUNTIF(PlayerGameData[PointOrder],PlayerGameData[[#This Row],[PointOrder]])&gt;1,RANK(PlayerGameData[[#This Row],[FGA]],PlayerGameData[FGA],0)/100,0)+PlayerGameData[[#This Row],[PointOrder]]</f>
        <v>1186.1400000000001</v>
      </c>
      <c r="AN904" s="8">
        <f ca="1">RANK(PlayerGameData[[#This Row],[PointTieBreak]],PlayerGameData[PointTieBreak],1)</f>
        <v>625</v>
      </c>
      <c r="AO904" s="8">
        <f ca="1">RANK(PlayerGameData[[#This Row],[REB]],PlayerGameData[REB],0)+PlayerGameData[[#This Row],[VisibleOrder]]</f>
        <v>1191</v>
      </c>
      <c r="AP904" s="8">
        <f ca="1">IF(COUNTIF(PlayerGameData[REBOrder],PlayerGameData[[#This Row],[REBOrder]])&gt;1,PlayerGameData[[#This Row],[PointRank]]/100+PlayerGameData[[#This Row],[REBOrder]],PlayerGameData[[#This Row],[REBOrder]])</f>
        <v>1197.25</v>
      </c>
      <c r="AQ904" s="8">
        <f ca="1">RANK(PlayerGameData[[#This Row],[REBTieBreak]],PlayerGameData[REBTieBreak],1)</f>
        <v>625</v>
      </c>
      <c r="AR904" s="8">
        <f ca="1">RANK(PlayerGameData[[#This Row],[AST]],PlayerGameData[AST],0)+PlayerGameData[[#This Row],[VisibleOrder]]</f>
        <v>1157</v>
      </c>
      <c r="AS904" s="8">
        <f ca="1">IF(COUNTIF(PlayerGameData[ASTOrder],PlayerGameData[[#This Row],[ASTOrder]])&gt;1,PlayerGameData[[#This Row],[PointRank]]/100+PlayerGameData[[#This Row],[ASTOrder]],PlayerGameData[[#This Row],[ASTOrder]])</f>
        <v>1163.25</v>
      </c>
      <c r="AT904" s="8">
        <f ca="1">RANK(PlayerGameData[[#This Row],[ASTTieBreak]],PlayerGameData[ASTTieBreak],1)</f>
        <v>625</v>
      </c>
      <c r="AU904" s="8">
        <f ca="1">RANK(PlayerGameData[[#This Row],[STL]],PlayerGameData[STL],0)+PlayerGameData[[#This Row],[VisibleOrder]]</f>
        <v>1142</v>
      </c>
      <c r="AV904" s="8">
        <f ca="1">IF(COUNTIF(PlayerGameData[STLOrder],PlayerGameData[[#This Row],[STLOrder]])&gt;1,PlayerGameData[[#This Row],[PointRank]]/100+PlayerGameData[[#This Row],[STLOrder]],PlayerGameData[[#This Row],[STLOrder]])</f>
        <v>1148.25</v>
      </c>
      <c r="AW904" s="8">
        <f ca="1">RANK(PlayerGameData[[#This Row],[STLTieBreak]],PlayerGameData[STLTieBreak],1)</f>
        <v>625</v>
      </c>
      <c r="AX904" s="8">
        <f ca="1">RANK(PlayerGameData[[#This Row],[BLK]],PlayerGameData[BLK],0)+PlayerGameData[[#This Row],[VisibleOrder]]</f>
        <v>1031</v>
      </c>
      <c r="AY904" s="8">
        <f ca="1">IF(COUNTIF(PlayerGameData[BLKOrder],PlayerGameData[[#This Row],[BLKOrder]])&gt;1,PlayerGameData[[#This Row],[PointRank]]/100+PlayerGameData[[#This Row],[BLKOrder]],PlayerGameData[[#This Row],[BLKOrder]])</f>
        <v>1037.25</v>
      </c>
      <c r="AZ904" s="8">
        <f ca="1">RANK(PlayerGameData[[#This Row],[BLKTieBreak]],PlayerGameData[BLKTieBreak],1)</f>
        <v>625</v>
      </c>
      <c r="BA904" s="11">
        <f ca="1">IFERROR(IF(PlayerGameData[[#This Row],[FGA]]&gt;$AA$5,PlayerGameData[[#This Row],[FG%*]],PlayerGameData[[#This Row],[FG%*]]*-1),-2)</f>
        <v>-2</v>
      </c>
      <c r="BB904" s="8">
        <f ca="1">RANK(PlayerGameData[[#This Row],[EligFG]],PlayerGameData[EligFG],0)+PlayerGameData[[#This Row],[VisibleOrder]]</f>
        <v>1214</v>
      </c>
      <c r="BC904" s="8">
        <f ca="1">IF(COUNTIF(PlayerGameData[EligFGOrder],PlayerGameData[[#This Row],[EligFGOrder]])&gt;1,PlayerGameData[[#This Row],[PointRank]]/100+PlayerGameData[[#This Row],[EligFGOrder]],PlayerGameData[[#This Row],[EligFGOrder]])</f>
        <v>1220.25</v>
      </c>
      <c r="BD904" s="8">
        <f ca="1">RANK(PlayerGameData[[#This Row],[EligFGTieBreak]],PlayerGameData[EligFGTieBreak],1)</f>
        <v>625</v>
      </c>
      <c r="BE904" s="8" t="str">
        <f>Roster!$D$3</f>
        <v>East</v>
      </c>
      <c r="BF904" s="8" t="str">
        <f>Roster!$D$2</f>
        <v>Northeast</v>
      </c>
      <c r="BG904" s="8" t="str">
        <f>Roster!$D$4</f>
        <v>North</v>
      </c>
      <c r="BH904" s="197">
        <f ca="1">IFERROR(VLOOKUP(CONCATENATE(PlayerGameData[[#This Row],[Opponent]]," ",MONTH(PlayerGameData[[#This Row],[Date]]),"/",DAY(PlayerGameData[[#This Row],[Date]]),"/",YEAR(PlayerGameData[[#This Row],[Date]])),Table35[],2,FALSE),0)</f>
        <v>0</v>
      </c>
      <c r="BI904" s="197">
        <f ca="1">IF(PlayerGameData[[#This Row],[Visible]]=1,1,1000)</f>
        <v>1000</v>
      </c>
      <c r="BJ904" s="197" t="e">
        <f ca="1">_xlfn.MAXIFS(TeamGameData[Win],TeamGameData[School, Opponent,Game'#],PlayerGameData[[#This Row],[School, Opponent,Game'#]])</f>
        <v>#NAME?</v>
      </c>
      <c r="BK904" s="197" t="e">
        <f ca="1">_xlfn.MAXIFS(TeamGameData[Loss],TeamGameData[School, Opponent,Game'#],PlayerGameData[[#This Row],[School, Opponent,Game'#]])</f>
        <v>#NAME?</v>
      </c>
    </row>
    <row r="905" spans="1:63" x14ac:dyDescent="0.25">
      <c r="A905" s="8" t="str">
        <f t="shared" ca="1" si="453"/>
        <v>Matt Stirmel, 33</v>
      </c>
      <c r="B905" s="8" t="str">
        <f>Roster!$B$1</f>
        <v>Upton</v>
      </c>
      <c r="C905" s="8">
        <f t="shared" ca="1" si="441"/>
        <v>0</v>
      </c>
      <c r="D905" s="10">
        <f t="shared" ca="1" si="442"/>
        <v>0</v>
      </c>
      <c r="E905" s="8">
        <f t="shared" ca="1" si="443"/>
        <v>0</v>
      </c>
      <c r="F905" s="8">
        <f t="shared" ca="1" si="444"/>
        <v>0</v>
      </c>
      <c r="G905" s="8">
        <f t="shared" ca="1" si="445"/>
        <v>0</v>
      </c>
      <c r="H905" s="8">
        <f t="shared" ca="1" si="446"/>
        <v>0</v>
      </c>
      <c r="I905" s="8">
        <f t="shared" ca="1" si="447"/>
        <v>0</v>
      </c>
      <c r="J905" s="8">
        <f t="shared" ca="1" si="448"/>
        <v>0</v>
      </c>
      <c r="K905" s="8">
        <f t="shared" ca="1" si="449"/>
        <v>0</v>
      </c>
      <c r="L905" s="8">
        <f t="shared" ca="1" si="454"/>
        <v>0</v>
      </c>
      <c r="M905" s="8">
        <f t="shared" ca="1" si="455"/>
        <v>0</v>
      </c>
      <c r="N905" s="8">
        <f t="shared" ca="1" si="456"/>
        <v>0</v>
      </c>
      <c r="O905" s="8">
        <f t="shared" ca="1" si="457"/>
        <v>0</v>
      </c>
      <c r="P905" s="8">
        <f t="shared" ca="1" si="458"/>
        <v>0</v>
      </c>
      <c r="Q905" s="8">
        <f t="shared" ca="1" si="459"/>
        <v>0</v>
      </c>
      <c r="R905" s="8">
        <f t="shared" ca="1" si="460"/>
        <v>0</v>
      </c>
      <c r="S905" s="8">
        <f t="shared" ca="1" si="461"/>
        <v>0</v>
      </c>
      <c r="T905" s="8">
        <f t="shared" ca="1" si="462"/>
        <v>0</v>
      </c>
      <c r="U905" s="8">
        <f t="shared" ca="1" si="463"/>
        <v>0</v>
      </c>
      <c r="V905" s="8">
        <f t="shared" ca="1" si="464"/>
        <v>0</v>
      </c>
      <c r="W905" s="11" t="str">
        <f t="shared" ca="1" si="465"/>
        <v/>
      </c>
      <c r="X905" s="11" t="str">
        <f t="shared" ca="1" si="466"/>
        <v/>
      </c>
      <c r="Y905" s="11" t="str">
        <f t="shared" ca="1" si="467"/>
        <v/>
      </c>
      <c r="Z905" s="11" t="str">
        <f t="shared" ca="1" si="468"/>
        <v/>
      </c>
      <c r="AA905" s="11" t="str">
        <f t="shared" ca="1" si="469"/>
        <v/>
      </c>
      <c r="AB905" s="47">
        <f ca="1">PlayerGameData[[#This Row],[3FGA]]+PlayerGameData[[#This Row],[2FGA]]</f>
        <v>0</v>
      </c>
      <c r="AC905" s="47">
        <f ca="1">PlayerGameData[[#This Row],[OFF REB]]+PlayerGameData[[#This Row],[DEF REB]]</f>
        <v>0</v>
      </c>
      <c r="AD905" s="8">
        <f t="shared" si="450"/>
        <v>38</v>
      </c>
      <c r="AE905" s="8" t="str">
        <f t="shared" ca="1" si="451"/>
        <v>Matt Stirmel, 33 - 0 1/0/1900</v>
      </c>
      <c r="AF905" s="8" t="str">
        <f t="shared" ca="1" si="470"/>
        <v/>
      </c>
      <c r="AG905" s="8" t="str">
        <f ca="1">IFERROR(IF(C905=0,"",IF(AND(VLOOKUP(PlayerGameData[[#This Row],[Opponent]],WYTeamInfo,2,FALSE)=Roster!$D$1,VLOOKUP(PlayerGameData[[#This Row],[Opponent]],WYTeamInfo,3,FALSE)=Roster!$D$2),"SR","")),"")</f>
        <v/>
      </c>
      <c r="AH905" s="8" t="str">
        <f>CONCATENATE(Roster!$D$1," ",Roster!$D$5)</f>
        <v>1A BB</v>
      </c>
      <c r="AI905" s="8" t="str">
        <f t="shared" ca="1" si="452"/>
        <v>Blank</v>
      </c>
      <c r="AJ905" s="8">
        <f ca="1">IFERROR(VLOOKUP(PlayerGameData[[#This Row],[School, Opponent,Game'#]],Table3[],2,FALSE),0)</f>
        <v>0</v>
      </c>
      <c r="AK905" s="8">
        <f ca="1">IF(PlayerGameData[[#This Row],[Visible]]=1,1,1000)</f>
        <v>1000</v>
      </c>
      <c r="AL905" s="8">
        <f ca="1">RANK(PlayerGameData[[#This Row],[TL PTS]],PlayerGameData[TL PTS],0)+PlayerGameData[[#This Row],[VisibleOrder]]</f>
        <v>1184</v>
      </c>
      <c r="AM905" s="8">
        <f ca="1">IF(COUNTIF(PlayerGameData[PointOrder],PlayerGameData[[#This Row],[PointOrder]])&gt;1,RANK(PlayerGameData[[#This Row],[FGA]],PlayerGameData[FGA],0)/100,0)+PlayerGameData[[#This Row],[PointOrder]]</f>
        <v>1186.1400000000001</v>
      </c>
      <c r="AN905" s="8">
        <f ca="1">RANK(PlayerGameData[[#This Row],[PointTieBreak]],PlayerGameData[PointTieBreak],1)</f>
        <v>625</v>
      </c>
      <c r="AO905" s="8">
        <f ca="1">RANK(PlayerGameData[[#This Row],[REB]],PlayerGameData[REB],0)+PlayerGameData[[#This Row],[VisibleOrder]]</f>
        <v>1191</v>
      </c>
      <c r="AP905" s="8">
        <f ca="1">IF(COUNTIF(PlayerGameData[REBOrder],PlayerGameData[[#This Row],[REBOrder]])&gt;1,PlayerGameData[[#This Row],[PointRank]]/100+PlayerGameData[[#This Row],[REBOrder]],PlayerGameData[[#This Row],[REBOrder]])</f>
        <v>1197.25</v>
      </c>
      <c r="AQ905" s="8">
        <f ca="1">RANK(PlayerGameData[[#This Row],[REBTieBreak]],PlayerGameData[REBTieBreak],1)</f>
        <v>625</v>
      </c>
      <c r="AR905" s="8">
        <f ca="1">RANK(PlayerGameData[[#This Row],[AST]],PlayerGameData[AST],0)+PlayerGameData[[#This Row],[VisibleOrder]]</f>
        <v>1157</v>
      </c>
      <c r="AS905" s="8">
        <f ca="1">IF(COUNTIF(PlayerGameData[ASTOrder],PlayerGameData[[#This Row],[ASTOrder]])&gt;1,PlayerGameData[[#This Row],[PointRank]]/100+PlayerGameData[[#This Row],[ASTOrder]],PlayerGameData[[#This Row],[ASTOrder]])</f>
        <v>1163.25</v>
      </c>
      <c r="AT905" s="8">
        <f ca="1">RANK(PlayerGameData[[#This Row],[ASTTieBreak]],PlayerGameData[ASTTieBreak],1)</f>
        <v>625</v>
      </c>
      <c r="AU905" s="8">
        <f ca="1">RANK(PlayerGameData[[#This Row],[STL]],PlayerGameData[STL],0)+PlayerGameData[[#This Row],[VisibleOrder]]</f>
        <v>1142</v>
      </c>
      <c r="AV905" s="8">
        <f ca="1">IF(COUNTIF(PlayerGameData[STLOrder],PlayerGameData[[#This Row],[STLOrder]])&gt;1,PlayerGameData[[#This Row],[PointRank]]/100+PlayerGameData[[#This Row],[STLOrder]],PlayerGameData[[#This Row],[STLOrder]])</f>
        <v>1148.25</v>
      </c>
      <c r="AW905" s="8">
        <f ca="1">RANK(PlayerGameData[[#This Row],[STLTieBreak]],PlayerGameData[STLTieBreak],1)</f>
        <v>625</v>
      </c>
      <c r="AX905" s="8">
        <f ca="1">RANK(PlayerGameData[[#This Row],[BLK]],PlayerGameData[BLK],0)+PlayerGameData[[#This Row],[VisibleOrder]]</f>
        <v>1031</v>
      </c>
      <c r="AY905" s="8">
        <f ca="1">IF(COUNTIF(PlayerGameData[BLKOrder],PlayerGameData[[#This Row],[BLKOrder]])&gt;1,PlayerGameData[[#This Row],[PointRank]]/100+PlayerGameData[[#This Row],[BLKOrder]],PlayerGameData[[#This Row],[BLKOrder]])</f>
        <v>1037.25</v>
      </c>
      <c r="AZ905" s="8">
        <f ca="1">RANK(PlayerGameData[[#This Row],[BLKTieBreak]],PlayerGameData[BLKTieBreak],1)</f>
        <v>625</v>
      </c>
      <c r="BA905" s="11">
        <f ca="1">IFERROR(IF(PlayerGameData[[#This Row],[FGA]]&gt;$AA$5,PlayerGameData[[#This Row],[FG%*]],PlayerGameData[[#This Row],[FG%*]]*-1),-2)</f>
        <v>-2</v>
      </c>
      <c r="BB905" s="8">
        <f ca="1">RANK(PlayerGameData[[#This Row],[EligFG]],PlayerGameData[EligFG],0)+PlayerGameData[[#This Row],[VisibleOrder]]</f>
        <v>1214</v>
      </c>
      <c r="BC905" s="8">
        <f ca="1">IF(COUNTIF(PlayerGameData[EligFGOrder],PlayerGameData[[#This Row],[EligFGOrder]])&gt;1,PlayerGameData[[#This Row],[PointRank]]/100+PlayerGameData[[#This Row],[EligFGOrder]],PlayerGameData[[#This Row],[EligFGOrder]])</f>
        <v>1220.25</v>
      </c>
      <c r="BD905" s="8">
        <f ca="1">RANK(PlayerGameData[[#This Row],[EligFGTieBreak]],PlayerGameData[EligFGTieBreak],1)</f>
        <v>625</v>
      </c>
      <c r="BE905" s="8" t="str">
        <f>Roster!$D$3</f>
        <v>East</v>
      </c>
      <c r="BF905" s="8" t="str">
        <f>Roster!$D$2</f>
        <v>Northeast</v>
      </c>
      <c r="BG905" s="8" t="str">
        <f>Roster!$D$4</f>
        <v>North</v>
      </c>
      <c r="BH905" s="197">
        <f ca="1">IFERROR(VLOOKUP(CONCATENATE(PlayerGameData[[#This Row],[Opponent]]," ",MONTH(PlayerGameData[[#This Row],[Date]]),"/",DAY(PlayerGameData[[#This Row],[Date]]),"/",YEAR(PlayerGameData[[#This Row],[Date]])),Table35[],2,FALSE),0)</f>
        <v>0</v>
      </c>
      <c r="BI905" s="197">
        <f ca="1">IF(PlayerGameData[[#This Row],[Visible]]=1,1,1000)</f>
        <v>1000</v>
      </c>
      <c r="BJ905" s="197" t="e">
        <f ca="1">_xlfn.MAXIFS(TeamGameData[Win],TeamGameData[School, Opponent,Game'#],PlayerGameData[[#This Row],[School, Opponent,Game'#]])</f>
        <v>#NAME?</v>
      </c>
      <c r="BK905" s="197" t="e">
        <f ca="1">_xlfn.MAXIFS(TeamGameData[Loss],TeamGameData[School, Opponent,Game'#],PlayerGameData[[#This Row],[School, Opponent,Game'#]])</f>
        <v>#NAME?</v>
      </c>
    </row>
    <row r="906" spans="1:63" x14ac:dyDescent="0.25">
      <c r="A906" s="8" t="str">
        <f t="shared" ca="1" si="453"/>
        <v>Jacob McNutt, 34</v>
      </c>
      <c r="B906" s="8" t="str">
        <f>Roster!$B$1</f>
        <v>Upton</v>
      </c>
      <c r="C906" s="8">
        <f t="shared" ca="1" si="441"/>
        <v>0</v>
      </c>
      <c r="D906" s="10">
        <f t="shared" ca="1" si="442"/>
        <v>0</v>
      </c>
      <c r="E906" s="8">
        <f t="shared" ca="1" si="443"/>
        <v>0</v>
      </c>
      <c r="F906" s="8">
        <f t="shared" ca="1" si="444"/>
        <v>0</v>
      </c>
      <c r="G906" s="8">
        <f t="shared" ca="1" si="445"/>
        <v>0</v>
      </c>
      <c r="H906" s="8">
        <f t="shared" ca="1" si="446"/>
        <v>0</v>
      </c>
      <c r="I906" s="8">
        <f t="shared" ca="1" si="447"/>
        <v>0</v>
      </c>
      <c r="J906" s="8">
        <f t="shared" ca="1" si="448"/>
        <v>0</v>
      </c>
      <c r="K906" s="8">
        <f t="shared" ca="1" si="449"/>
        <v>0</v>
      </c>
      <c r="L906" s="8">
        <f t="shared" ca="1" si="454"/>
        <v>0</v>
      </c>
      <c r="M906" s="8">
        <f t="shared" ca="1" si="455"/>
        <v>0</v>
      </c>
      <c r="N906" s="8">
        <f t="shared" ca="1" si="456"/>
        <v>0</v>
      </c>
      <c r="O906" s="8">
        <f t="shared" ca="1" si="457"/>
        <v>0</v>
      </c>
      <c r="P906" s="8">
        <f t="shared" ca="1" si="458"/>
        <v>0</v>
      </c>
      <c r="Q906" s="8">
        <f t="shared" ca="1" si="459"/>
        <v>0</v>
      </c>
      <c r="R906" s="8">
        <f t="shared" ca="1" si="460"/>
        <v>0</v>
      </c>
      <c r="S906" s="8">
        <f t="shared" ca="1" si="461"/>
        <v>0</v>
      </c>
      <c r="T906" s="8">
        <f t="shared" ca="1" si="462"/>
        <v>0</v>
      </c>
      <c r="U906" s="8">
        <f t="shared" ca="1" si="463"/>
        <v>0</v>
      </c>
      <c r="V906" s="8">
        <f t="shared" ca="1" si="464"/>
        <v>0</v>
      </c>
      <c r="W906" s="11" t="str">
        <f t="shared" ca="1" si="465"/>
        <v/>
      </c>
      <c r="X906" s="11" t="str">
        <f t="shared" ca="1" si="466"/>
        <v/>
      </c>
      <c r="Y906" s="11" t="str">
        <f t="shared" ca="1" si="467"/>
        <v/>
      </c>
      <c r="Z906" s="11" t="str">
        <f t="shared" ca="1" si="468"/>
        <v/>
      </c>
      <c r="AA906" s="11" t="str">
        <f t="shared" ca="1" si="469"/>
        <v/>
      </c>
      <c r="AB906" s="47">
        <f ca="1">PlayerGameData[[#This Row],[3FGA]]+PlayerGameData[[#This Row],[2FGA]]</f>
        <v>0</v>
      </c>
      <c r="AC906" s="47">
        <f ca="1">PlayerGameData[[#This Row],[OFF REB]]+PlayerGameData[[#This Row],[DEF REB]]</f>
        <v>0</v>
      </c>
      <c r="AD906" s="8">
        <f t="shared" si="450"/>
        <v>38</v>
      </c>
      <c r="AE906" s="8" t="str">
        <f t="shared" ca="1" si="451"/>
        <v>Jacob McNutt, 34 - 0 1/0/1900</v>
      </c>
      <c r="AF906" s="8" t="str">
        <f t="shared" ca="1" si="470"/>
        <v/>
      </c>
      <c r="AG906" s="8" t="str">
        <f ca="1">IFERROR(IF(C906=0,"",IF(AND(VLOOKUP(PlayerGameData[[#This Row],[Opponent]],WYTeamInfo,2,FALSE)=Roster!$D$1,VLOOKUP(PlayerGameData[[#This Row],[Opponent]],WYTeamInfo,3,FALSE)=Roster!$D$2),"SR","")),"")</f>
        <v/>
      </c>
      <c r="AH906" s="8" t="str">
        <f>CONCATENATE(Roster!$D$1," ",Roster!$D$5)</f>
        <v>1A BB</v>
      </c>
      <c r="AI906" s="8" t="str">
        <f t="shared" ca="1" si="452"/>
        <v>Blank</v>
      </c>
      <c r="AJ906" s="8">
        <f ca="1">IFERROR(VLOOKUP(PlayerGameData[[#This Row],[School, Opponent,Game'#]],Table3[],2,FALSE),0)</f>
        <v>0</v>
      </c>
      <c r="AK906" s="8">
        <f ca="1">IF(PlayerGameData[[#This Row],[Visible]]=1,1,1000)</f>
        <v>1000</v>
      </c>
      <c r="AL906" s="8">
        <f ca="1">RANK(PlayerGameData[[#This Row],[TL PTS]],PlayerGameData[TL PTS],0)+PlayerGameData[[#This Row],[VisibleOrder]]</f>
        <v>1184</v>
      </c>
      <c r="AM906" s="8">
        <f ca="1">IF(COUNTIF(PlayerGameData[PointOrder],PlayerGameData[[#This Row],[PointOrder]])&gt;1,RANK(PlayerGameData[[#This Row],[FGA]],PlayerGameData[FGA],0)/100,0)+PlayerGameData[[#This Row],[PointOrder]]</f>
        <v>1186.1400000000001</v>
      </c>
      <c r="AN906" s="8">
        <f ca="1">RANK(PlayerGameData[[#This Row],[PointTieBreak]],PlayerGameData[PointTieBreak],1)</f>
        <v>625</v>
      </c>
      <c r="AO906" s="8">
        <f ca="1">RANK(PlayerGameData[[#This Row],[REB]],PlayerGameData[REB],0)+PlayerGameData[[#This Row],[VisibleOrder]]</f>
        <v>1191</v>
      </c>
      <c r="AP906" s="8">
        <f ca="1">IF(COUNTIF(PlayerGameData[REBOrder],PlayerGameData[[#This Row],[REBOrder]])&gt;1,PlayerGameData[[#This Row],[PointRank]]/100+PlayerGameData[[#This Row],[REBOrder]],PlayerGameData[[#This Row],[REBOrder]])</f>
        <v>1197.25</v>
      </c>
      <c r="AQ906" s="8">
        <f ca="1">RANK(PlayerGameData[[#This Row],[REBTieBreak]],PlayerGameData[REBTieBreak],1)</f>
        <v>625</v>
      </c>
      <c r="AR906" s="8">
        <f ca="1">RANK(PlayerGameData[[#This Row],[AST]],PlayerGameData[AST],0)+PlayerGameData[[#This Row],[VisibleOrder]]</f>
        <v>1157</v>
      </c>
      <c r="AS906" s="8">
        <f ca="1">IF(COUNTIF(PlayerGameData[ASTOrder],PlayerGameData[[#This Row],[ASTOrder]])&gt;1,PlayerGameData[[#This Row],[PointRank]]/100+PlayerGameData[[#This Row],[ASTOrder]],PlayerGameData[[#This Row],[ASTOrder]])</f>
        <v>1163.25</v>
      </c>
      <c r="AT906" s="8">
        <f ca="1">RANK(PlayerGameData[[#This Row],[ASTTieBreak]],PlayerGameData[ASTTieBreak],1)</f>
        <v>625</v>
      </c>
      <c r="AU906" s="8">
        <f ca="1">RANK(PlayerGameData[[#This Row],[STL]],PlayerGameData[STL],0)+PlayerGameData[[#This Row],[VisibleOrder]]</f>
        <v>1142</v>
      </c>
      <c r="AV906" s="8">
        <f ca="1">IF(COUNTIF(PlayerGameData[STLOrder],PlayerGameData[[#This Row],[STLOrder]])&gt;1,PlayerGameData[[#This Row],[PointRank]]/100+PlayerGameData[[#This Row],[STLOrder]],PlayerGameData[[#This Row],[STLOrder]])</f>
        <v>1148.25</v>
      </c>
      <c r="AW906" s="8">
        <f ca="1">RANK(PlayerGameData[[#This Row],[STLTieBreak]],PlayerGameData[STLTieBreak],1)</f>
        <v>625</v>
      </c>
      <c r="AX906" s="8">
        <f ca="1">RANK(PlayerGameData[[#This Row],[BLK]],PlayerGameData[BLK],0)+PlayerGameData[[#This Row],[VisibleOrder]]</f>
        <v>1031</v>
      </c>
      <c r="AY906" s="8">
        <f ca="1">IF(COUNTIF(PlayerGameData[BLKOrder],PlayerGameData[[#This Row],[BLKOrder]])&gt;1,PlayerGameData[[#This Row],[PointRank]]/100+PlayerGameData[[#This Row],[BLKOrder]],PlayerGameData[[#This Row],[BLKOrder]])</f>
        <v>1037.25</v>
      </c>
      <c r="AZ906" s="8">
        <f ca="1">RANK(PlayerGameData[[#This Row],[BLKTieBreak]],PlayerGameData[BLKTieBreak],1)</f>
        <v>625</v>
      </c>
      <c r="BA906" s="11">
        <f ca="1">IFERROR(IF(PlayerGameData[[#This Row],[FGA]]&gt;$AA$5,PlayerGameData[[#This Row],[FG%*]],PlayerGameData[[#This Row],[FG%*]]*-1),-2)</f>
        <v>-2</v>
      </c>
      <c r="BB906" s="8">
        <f ca="1">RANK(PlayerGameData[[#This Row],[EligFG]],PlayerGameData[EligFG],0)+PlayerGameData[[#This Row],[VisibleOrder]]</f>
        <v>1214</v>
      </c>
      <c r="BC906" s="8">
        <f ca="1">IF(COUNTIF(PlayerGameData[EligFGOrder],PlayerGameData[[#This Row],[EligFGOrder]])&gt;1,PlayerGameData[[#This Row],[PointRank]]/100+PlayerGameData[[#This Row],[EligFGOrder]],PlayerGameData[[#This Row],[EligFGOrder]])</f>
        <v>1220.25</v>
      </c>
      <c r="BD906" s="8">
        <f ca="1">RANK(PlayerGameData[[#This Row],[EligFGTieBreak]],PlayerGameData[EligFGTieBreak],1)</f>
        <v>625</v>
      </c>
      <c r="BE906" s="8" t="str">
        <f>Roster!$D$3</f>
        <v>East</v>
      </c>
      <c r="BF906" s="8" t="str">
        <f>Roster!$D$2</f>
        <v>Northeast</v>
      </c>
      <c r="BG906" s="8" t="str">
        <f>Roster!$D$4</f>
        <v>North</v>
      </c>
      <c r="BH906" s="197">
        <f ca="1">IFERROR(VLOOKUP(CONCATENATE(PlayerGameData[[#This Row],[Opponent]]," ",MONTH(PlayerGameData[[#This Row],[Date]]),"/",DAY(PlayerGameData[[#This Row],[Date]]),"/",YEAR(PlayerGameData[[#This Row],[Date]])),Table35[],2,FALSE),0)</f>
        <v>0</v>
      </c>
      <c r="BI906" s="197">
        <f ca="1">IF(PlayerGameData[[#This Row],[Visible]]=1,1,1000)</f>
        <v>1000</v>
      </c>
      <c r="BJ906" s="197" t="e">
        <f ca="1">_xlfn.MAXIFS(TeamGameData[Win],TeamGameData[School, Opponent,Game'#],PlayerGameData[[#This Row],[School, Opponent,Game'#]])</f>
        <v>#NAME?</v>
      </c>
      <c r="BK906" s="197" t="e">
        <f ca="1">_xlfn.MAXIFS(TeamGameData[Loss],TeamGameData[School, Opponent,Game'#],PlayerGameData[[#This Row],[School, Opponent,Game'#]])</f>
        <v>#NAME?</v>
      </c>
    </row>
    <row r="907" spans="1:63" x14ac:dyDescent="0.25">
      <c r="A907" s="8" t="str">
        <f t="shared" ca="1" si="453"/>
        <v>Ryan Baker, 35</v>
      </c>
      <c r="B907" s="8" t="str">
        <f>Roster!$B$1</f>
        <v>Upton</v>
      </c>
      <c r="C907" s="8">
        <f t="shared" ca="1" si="441"/>
        <v>0</v>
      </c>
      <c r="D907" s="10">
        <f t="shared" ca="1" si="442"/>
        <v>0</v>
      </c>
      <c r="E907" s="8">
        <f t="shared" ca="1" si="443"/>
        <v>0</v>
      </c>
      <c r="F907" s="8">
        <f t="shared" ca="1" si="444"/>
        <v>0</v>
      </c>
      <c r="G907" s="8">
        <f t="shared" ca="1" si="445"/>
        <v>0</v>
      </c>
      <c r="H907" s="8">
        <f t="shared" ca="1" si="446"/>
        <v>0</v>
      </c>
      <c r="I907" s="8">
        <f t="shared" ca="1" si="447"/>
        <v>0</v>
      </c>
      <c r="J907" s="8">
        <f t="shared" ca="1" si="448"/>
        <v>0</v>
      </c>
      <c r="K907" s="8">
        <f t="shared" ca="1" si="449"/>
        <v>0</v>
      </c>
      <c r="L907" s="8">
        <f t="shared" ca="1" si="454"/>
        <v>0</v>
      </c>
      <c r="M907" s="8">
        <f t="shared" ca="1" si="455"/>
        <v>0</v>
      </c>
      <c r="N907" s="8">
        <f t="shared" ca="1" si="456"/>
        <v>0</v>
      </c>
      <c r="O907" s="8">
        <f t="shared" ca="1" si="457"/>
        <v>0</v>
      </c>
      <c r="P907" s="8">
        <f t="shared" ca="1" si="458"/>
        <v>0</v>
      </c>
      <c r="Q907" s="8">
        <f t="shared" ca="1" si="459"/>
        <v>0</v>
      </c>
      <c r="R907" s="8">
        <f t="shared" ca="1" si="460"/>
        <v>0</v>
      </c>
      <c r="S907" s="8">
        <f t="shared" ca="1" si="461"/>
        <v>0</v>
      </c>
      <c r="T907" s="8">
        <f t="shared" ca="1" si="462"/>
        <v>0</v>
      </c>
      <c r="U907" s="8">
        <f t="shared" ca="1" si="463"/>
        <v>0</v>
      </c>
      <c r="V907" s="8">
        <f t="shared" ca="1" si="464"/>
        <v>0</v>
      </c>
      <c r="W907" s="11" t="str">
        <f t="shared" ca="1" si="465"/>
        <v/>
      </c>
      <c r="X907" s="11" t="str">
        <f t="shared" ca="1" si="466"/>
        <v/>
      </c>
      <c r="Y907" s="11" t="str">
        <f t="shared" ca="1" si="467"/>
        <v/>
      </c>
      <c r="Z907" s="11" t="str">
        <f t="shared" ca="1" si="468"/>
        <v/>
      </c>
      <c r="AA907" s="11" t="str">
        <f t="shared" ca="1" si="469"/>
        <v/>
      </c>
      <c r="AB907" s="47">
        <f ca="1">PlayerGameData[[#This Row],[3FGA]]+PlayerGameData[[#This Row],[2FGA]]</f>
        <v>0</v>
      </c>
      <c r="AC907" s="47">
        <f ca="1">PlayerGameData[[#This Row],[OFF REB]]+PlayerGameData[[#This Row],[DEF REB]]</f>
        <v>0</v>
      </c>
      <c r="AD907" s="8">
        <f t="shared" si="450"/>
        <v>38</v>
      </c>
      <c r="AE907" s="8" t="str">
        <f t="shared" ca="1" si="451"/>
        <v>Ryan Baker, 35 - 0 1/0/1900</v>
      </c>
      <c r="AF907" s="8" t="str">
        <f t="shared" ca="1" si="470"/>
        <v/>
      </c>
      <c r="AG907" s="8" t="str">
        <f ca="1">IFERROR(IF(C907=0,"",IF(AND(VLOOKUP(PlayerGameData[[#This Row],[Opponent]],WYTeamInfo,2,FALSE)=Roster!$D$1,VLOOKUP(PlayerGameData[[#This Row],[Opponent]],WYTeamInfo,3,FALSE)=Roster!$D$2),"SR","")),"")</f>
        <v/>
      </c>
      <c r="AH907" s="8" t="str">
        <f>CONCATENATE(Roster!$D$1," ",Roster!$D$5)</f>
        <v>1A BB</v>
      </c>
      <c r="AI907" s="8" t="str">
        <f t="shared" ca="1" si="452"/>
        <v>Blank</v>
      </c>
      <c r="AJ907" s="8">
        <f ca="1">IFERROR(VLOOKUP(PlayerGameData[[#This Row],[School, Opponent,Game'#]],Table3[],2,FALSE),0)</f>
        <v>0</v>
      </c>
      <c r="AK907" s="8">
        <f ca="1">IF(PlayerGameData[[#This Row],[Visible]]=1,1,1000)</f>
        <v>1000</v>
      </c>
      <c r="AL907" s="8">
        <f ca="1">RANK(PlayerGameData[[#This Row],[TL PTS]],PlayerGameData[TL PTS],0)+PlayerGameData[[#This Row],[VisibleOrder]]</f>
        <v>1184</v>
      </c>
      <c r="AM907" s="8">
        <f ca="1">IF(COUNTIF(PlayerGameData[PointOrder],PlayerGameData[[#This Row],[PointOrder]])&gt;1,RANK(PlayerGameData[[#This Row],[FGA]],PlayerGameData[FGA],0)/100,0)+PlayerGameData[[#This Row],[PointOrder]]</f>
        <v>1186.1400000000001</v>
      </c>
      <c r="AN907" s="8">
        <f ca="1">RANK(PlayerGameData[[#This Row],[PointTieBreak]],PlayerGameData[PointTieBreak],1)</f>
        <v>625</v>
      </c>
      <c r="AO907" s="8">
        <f ca="1">RANK(PlayerGameData[[#This Row],[REB]],PlayerGameData[REB],0)+PlayerGameData[[#This Row],[VisibleOrder]]</f>
        <v>1191</v>
      </c>
      <c r="AP907" s="8">
        <f ca="1">IF(COUNTIF(PlayerGameData[REBOrder],PlayerGameData[[#This Row],[REBOrder]])&gt;1,PlayerGameData[[#This Row],[PointRank]]/100+PlayerGameData[[#This Row],[REBOrder]],PlayerGameData[[#This Row],[REBOrder]])</f>
        <v>1197.25</v>
      </c>
      <c r="AQ907" s="8">
        <f ca="1">RANK(PlayerGameData[[#This Row],[REBTieBreak]],PlayerGameData[REBTieBreak],1)</f>
        <v>625</v>
      </c>
      <c r="AR907" s="8">
        <f ca="1">RANK(PlayerGameData[[#This Row],[AST]],PlayerGameData[AST],0)+PlayerGameData[[#This Row],[VisibleOrder]]</f>
        <v>1157</v>
      </c>
      <c r="AS907" s="8">
        <f ca="1">IF(COUNTIF(PlayerGameData[ASTOrder],PlayerGameData[[#This Row],[ASTOrder]])&gt;1,PlayerGameData[[#This Row],[PointRank]]/100+PlayerGameData[[#This Row],[ASTOrder]],PlayerGameData[[#This Row],[ASTOrder]])</f>
        <v>1163.25</v>
      </c>
      <c r="AT907" s="8">
        <f ca="1">RANK(PlayerGameData[[#This Row],[ASTTieBreak]],PlayerGameData[ASTTieBreak],1)</f>
        <v>625</v>
      </c>
      <c r="AU907" s="8">
        <f ca="1">RANK(PlayerGameData[[#This Row],[STL]],PlayerGameData[STL],0)+PlayerGameData[[#This Row],[VisibleOrder]]</f>
        <v>1142</v>
      </c>
      <c r="AV907" s="8">
        <f ca="1">IF(COUNTIF(PlayerGameData[STLOrder],PlayerGameData[[#This Row],[STLOrder]])&gt;1,PlayerGameData[[#This Row],[PointRank]]/100+PlayerGameData[[#This Row],[STLOrder]],PlayerGameData[[#This Row],[STLOrder]])</f>
        <v>1148.25</v>
      </c>
      <c r="AW907" s="8">
        <f ca="1">RANK(PlayerGameData[[#This Row],[STLTieBreak]],PlayerGameData[STLTieBreak],1)</f>
        <v>625</v>
      </c>
      <c r="AX907" s="8">
        <f ca="1">RANK(PlayerGameData[[#This Row],[BLK]],PlayerGameData[BLK],0)+PlayerGameData[[#This Row],[VisibleOrder]]</f>
        <v>1031</v>
      </c>
      <c r="AY907" s="8">
        <f ca="1">IF(COUNTIF(PlayerGameData[BLKOrder],PlayerGameData[[#This Row],[BLKOrder]])&gt;1,PlayerGameData[[#This Row],[PointRank]]/100+PlayerGameData[[#This Row],[BLKOrder]],PlayerGameData[[#This Row],[BLKOrder]])</f>
        <v>1037.25</v>
      </c>
      <c r="AZ907" s="8">
        <f ca="1">RANK(PlayerGameData[[#This Row],[BLKTieBreak]],PlayerGameData[BLKTieBreak],1)</f>
        <v>625</v>
      </c>
      <c r="BA907" s="11">
        <f ca="1">IFERROR(IF(PlayerGameData[[#This Row],[FGA]]&gt;$AA$5,PlayerGameData[[#This Row],[FG%*]],PlayerGameData[[#This Row],[FG%*]]*-1),-2)</f>
        <v>-2</v>
      </c>
      <c r="BB907" s="8">
        <f ca="1">RANK(PlayerGameData[[#This Row],[EligFG]],PlayerGameData[EligFG],0)+PlayerGameData[[#This Row],[VisibleOrder]]</f>
        <v>1214</v>
      </c>
      <c r="BC907" s="8">
        <f ca="1">IF(COUNTIF(PlayerGameData[EligFGOrder],PlayerGameData[[#This Row],[EligFGOrder]])&gt;1,PlayerGameData[[#This Row],[PointRank]]/100+PlayerGameData[[#This Row],[EligFGOrder]],PlayerGameData[[#This Row],[EligFGOrder]])</f>
        <v>1220.25</v>
      </c>
      <c r="BD907" s="8">
        <f ca="1">RANK(PlayerGameData[[#This Row],[EligFGTieBreak]],PlayerGameData[EligFGTieBreak],1)</f>
        <v>625</v>
      </c>
      <c r="BE907" s="8" t="str">
        <f>Roster!$D$3</f>
        <v>East</v>
      </c>
      <c r="BF907" s="8" t="str">
        <f>Roster!$D$2</f>
        <v>Northeast</v>
      </c>
      <c r="BG907" s="8" t="str">
        <f>Roster!$D$4</f>
        <v>North</v>
      </c>
      <c r="BH907" s="197">
        <f ca="1">IFERROR(VLOOKUP(CONCATENATE(PlayerGameData[[#This Row],[Opponent]]," ",MONTH(PlayerGameData[[#This Row],[Date]]),"/",DAY(PlayerGameData[[#This Row],[Date]]),"/",YEAR(PlayerGameData[[#This Row],[Date]])),Table35[],2,FALSE),0)</f>
        <v>0</v>
      </c>
      <c r="BI907" s="197">
        <f ca="1">IF(PlayerGameData[[#This Row],[Visible]]=1,1,1000)</f>
        <v>1000</v>
      </c>
      <c r="BJ907" s="197" t="e">
        <f ca="1">_xlfn.MAXIFS(TeamGameData[Win],TeamGameData[School, Opponent,Game'#],PlayerGameData[[#This Row],[School, Opponent,Game'#]])</f>
        <v>#NAME?</v>
      </c>
      <c r="BK907" s="197" t="e">
        <f ca="1">_xlfn.MAXIFS(TeamGameData[Loss],TeamGameData[School, Opponent,Game'#],PlayerGameData[[#This Row],[School, Opponent,Game'#]])</f>
        <v>#NAME?</v>
      </c>
    </row>
    <row r="908" spans="1:63" x14ac:dyDescent="0.25">
      <c r="A908" s="8" t="str">
        <f t="shared" ca="1" si="453"/>
        <v xml:space="preserve">, </v>
      </c>
      <c r="B908" s="8" t="str">
        <f>Roster!$B$1</f>
        <v>Upton</v>
      </c>
      <c r="C908" s="8">
        <f t="shared" ca="1" si="441"/>
        <v>0</v>
      </c>
      <c r="D908" s="10">
        <f t="shared" ca="1" si="442"/>
        <v>0</v>
      </c>
      <c r="E908" s="8">
        <f t="shared" ca="1" si="443"/>
        <v>0</v>
      </c>
      <c r="F908" s="8">
        <f t="shared" ca="1" si="444"/>
        <v>0</v>
      </c>
      <c r="G908" s="8">
        <f t="shared" ca="1" si="445"/>
        <v>0</v>
      </c>
      <c r="H908" s="8">
        <f t="shared" ca="1" si="446"/>
        <v>0</v>
      </c>
      <c r="I908" s="8">
        <f t="shared" ca="1" si="447"/>
        <v>0</v>
      </c>
      <c r="J908" s="8">
        <f t="shared" ca="1" si="448"/>
        <v>0</v>
      </c>
      <c r="K908" s="8">
        <f t="shared" ca="1" si="449"/>
        <v>0</v>
      </c>
      <c r="L908" s="8">
        <f t="shared" ca="1" si="454"/>
        <v>0</v>
      </c>
      <c r="M908" s="8">
        <f t="shared" ca="1" si="455"/>
        <v>0</v>
      </c>
      <c r="N908" s="8">
        <f t="shared" ca="1" si="456"/>
        <v>0</v>
      </c>
      <c r="O908" s="8">
        <f t="shared" ca="1" si="457"/>
        <v>0</v>
      </c>
      <c r="P908" s="8">
        <f t="shared" ca="1" si="458"/>
        <v>0</v>
      </c>
      <c r="Q908" s="8">
        <f t="shared" ca="1" si="459"/>
        <v>0</v>
      </c>
      <c r="R908" s="8">
        <f t="shared" ca="1" si="460"/>
        <v>0</v>
      </c>
      <c r="S908" s="8">
        <f t="shared" ca="1" si="461"/>
        <v>0</v>
      </c>
      <c r="T908" s="8">
        <f t="shared" ca="1" si="462"/>
        <v>0</v>
      </c>
      <c r="U908" s="8">
        <f t="shared" ca="1" si="463"/>
        <v>0</v>
      </c>
      <c r="V908" s="8">
        <f t="shared" ca="1" si="464"/>
        <v>0</v>
      </c>
      <c r="W908" s="11" t="str">
        <f t="shared" ca="1" si="465"/>
        <v/>
      </c>
      <c r="X908" s="11" t="str">
        <f t="shared" ca="1" si="466"/>
        <v/>
      </c>
      <c r="Y908" s="11" t="str">
        <f t="shared" ca="1" si="467"/>
        <v/>
      </c>
      <c r="Z908" s="11" t="str">
        <f t="shared" ca="1" si="468"/>
        <v/>
      </c>
      <c r="AA908" s="11" t="str">
        <f t="shared" ca="1" si="469"/>
        <v/>
      </c>
      <c r="AB908" s="47">
        <f ca="1">PlayerGameData[[#This Row],[3FGA]]+PlayerGameData[[#This Row],[2FGA]]</f>
        <v>0</v>
      </c>
      <c r="AC908" s="47">
        <f ca="1">PlayerGameData[[#This Row],[OFF REB]]+PlayerGameData[[#This Row],[DEF REB]]</f>
        <v>0</v>
      </c>
      <c r="AD908" s="8">
        <f t="shared" si="450"/>
        <v>38</v>
      </c>
      <c r="AE908" s="8" t="str">
        <f t="shared" ca="1" si="451"/>
        <v>,  - 0 1/0/1900</v>
      </c>
      <c r="AF908" s="8" t="str">
        <f t="shared" ca="1" si="470"/>
        <v/>
      </c>
      <c r="AG908" s="8" t="str">
        <f ca="1">IFERROR(IF(C908=0,"",IF(AND(VLOOKUP(PlayerGameData[[#This Row],[Opponent]],WYTeamInfo,2,FALSE)=Roster!$D$1,VLOOKUP(PlayerGameData[[#This Row],[Opponent]],WYTeamInfo,3,FALSE)=Roster!$D$2),"SR","")),"")</f>
        <v/>
      </c>
      <c r="AH908" s="8" t="str">
        <f>CONCATENATE(Roster!$D$1," ",Roster!$D$5)</f>
        <v>1A BB</v>
      </c>
      <c r="AI908" s="8" t="str">
        <f t="shared" ca="1" si="452"/>
        <v>Blank</v>
      </c>
      <c r="AJ908" s="8">
        <f ca="1">IFERROR(VLOOKUP(PlayerGameData[[#This Row],[School, Opponent,Game'#]],Table3[],2,FALSE),0)</f>
        <v>0</v>
      </c>
      <c r="AK908" s="8">
        <f ca="1">IF(PlayerGameData[[#This Row],[Visible]]=1,1,1000)</f>
        <v>1000</v>
      </c>
      <c r="AL908" s="8">
        <f ca="1">RANK(PlayerGameData[[#This Row],[TL PTS]],PlayerGameData[TL PTS],0)+PlayerGameData[[#This Row],[VisibleOrder]]</f>
        <v>1184</v>
      </c>
      <c r="AM908" s="8">
        <f ca="1">IF(COUNTIF(PlayerGameData[PointOrder],PlayerGameData[[#This Row],[PointOrder]])&gt;1,RANK(PlayerGameData[[#This Row],[FGA]],PlayerGameData[FGA],0)/100,0)+PlayerGameData[[#This Row],[PointOrder]]</f>
        <v>1186.1400000000001</v>
      </c>
      <c r="AN908" s="8">
        <f ca="1">RANK(PlayerGameData[[#This Row],[PointTieBreak]],PlayerGameData[PointTieBreak],1)</f>
        <v>625</v>
      </c>
      <c r="AO908" s="8">
        <f ca="1">RANK(PlayerGameData[[#This Row],[REB]],PlayerGameData[REB],0)+PlayerGameData[[#This Row],[VisibleOrder]]</f>
        <v>1191</v>
      </c>
      <c r="AP908" s="8">
        <f ca="1">IF(COUNTIF(PlayerGameData[REBOrder],PlayerGameData[[#This Row],[REBOrder]])&gt;1,PlayerGameData[[#This Row],[PointRank]]/100+PlayerGameData[[#This Row],[REBOrder]],PlayerGameData[[#This Row],[REBOrder]])</f>
        <v>1197.25</v>
      </c>
      <c r="AQ908" s="8">
        <f ca="1">RANK(PlayerGameData[[#This Row],[REBTieBreak]],PlayerGameData[REBTieBreak],1)</f>
        <v>625</v>
      </c>
      <c r="AR908" s="8">
        <f ca="1">RANK(PlayerGameData[[#This Row],[AST]],PlayerGameData[AST],0)+PlayerGameData[[#This Row],[VisibleOrder]]</f>
        <v>1157</v>
      </c>
      <c r="AS908" s="8">
        <f ca="1">IF(COUNTIF(PlayerGameData[ASTOrder],PlayerGameData[[#This Row],[ASTOrder]])&gt;1,PlayerGameData[[#This Row],[PointRank]]/100+PlayerGameData[[#This Row],[ASTOrder]],PlayerGameData[[#This Row],[ASTOrder]])</f>
        <v>1163.25</v>
      </c>
      <c r="AT908" s="8">
        <f ca="1">RANK(PlayerGameData[[#This Row],[ASTTieBreak]],PlayerGameData[ASTTieBreak],1)</f>
        <v>625</v>
      </c>
      <c r="AU908" s="8">
        <f ca="1">RANK(PlayerGameData[[#This Row],[STL]],PlayerGameData[STL],0)+PlayerGameData[[#This Row],[VisibleOrder]]</f>
        <v>1142</v>
      </c>
      <c r="AV908" s="8">
        <f ca="1">IF(COUNTIF(PlayerGameData[STLOrder],PlayerGameData[[#This Row],[STLOrder]])&gt;1,PlayerGameData[[#This Row],[PointRank]]/100+PlayerGameData[[#This Row],[STLOrder]],PlayerGameData[[#This Row],[STLOrder]])</f>
        <v>1148.25</v>
      </c>
      <c r="AW908" s="8">
        <f ca="1">RANK(PlayerGameData[[#This Row],[STLTieBreak]],PlayerGameData[STLTieBreak],1)</f>
        <v>625</v>
      </c>
      <c r="AX908" s="8">
        <f ca="1">RANK(PlayerGameData[[#This Row],[BLK]],PlayerGameData[BLK],0)+PlayerGameData[[#This Row],[VisibleOrder]]</f>
        <v>1031</v>
      </c>
      <c r="AY908" s="8">
        <f ca="1">IF(COUNTIF(PlayerGameData[BLKOrder],PlayerGameData[[#This Row],[BLKOrder]])&gt;1,PlayerGameData[[#This Row],[PointRank]]/100+PlayerGameData[[#This Row],[BLKOrder]],PlayerGameData[[#This Row],[BLKOrder]])</f>
        <v>1037.25</v>
      </c>
      <c r="AZ908" s="8">
        <f ca="1">RANK(PlayerGameData[[#This Row],[BLKTieBreak]],PlayerGameData[BLKTieBreak],1)</f>
        <v>625</v>
      </c>
      <c r="BA908" s="11">
        <f ca="1">IFERROR(IF(PlayerGameData[[#This Row],[FGA]]&gt;$AA$5,PlayerGameData[[#This Row],[FG%*]],PlayerGameData[[#This Row],[FG%*]]*-1),-2)</f>
        <v>-2</v>
      </c>
      <c r="BB908" s="8">
        <f ca="1">RANK(PlayerGameData[[#This Row],[EligFG]],PlayerGameData[EligFG],0)+PlayerGameData[[#This Row],[VisibleOrder]]</f>
        <v>1214</v>
      </c>
      <c r="BC908" s="8">
        <f ca="1">IF(COUNTIF(PlayerGameData[EligFGOrder],PlayerGameData[[#This Row],[EligFGOrder]])&gt;1,PlayerGameData[[#This Row],[PointRank]]/100+PlayerGameData[[#This Row],[EligFGOrder]],PlayerGameData[[#This Row],[EligFGOrder]])</f>
        <v>1220.25</v>
      </c>
      <c r="BD908" s="8">
        <f ca="1">RANK(PlayerGameData[[#This Row],[EligFGTieBreak]],PlayerGameData[EligFGTieBreak],1)</f>
        <v>625</v>
      </c>
      <c r="BE908" s="8" t="str">
        <f>Roster!$D$3</f>
        <v>East</v>
      </c>
      <c r="BF908" s="8" t="str">
        <f>Roster!$D$2</f>
        <v>Northeast</v>
      </c>
      <c r="BG908" s="8" t="str">
        <f>Roster!$D$4</f>
        <v>North</v>
      </c>
      <c r="BH908" s="197">
        <f ca="1">IFERROR(VLOOKUP(CONCATENATE(PlayerGameData[[#This Row],[Opponent]]," ",MONTH(PlayerGameData[[#This Row],[Date]]),"/",DAY(PlayerGameData[[#This Row],[Date]]),"/",YEAR(PlayerGameData[[#This Row],[Date]])),Table35[],2,FALSE),0)</f>
        <v>0</v>
      </c>
      <c r="BI908" s="197">
        <f ca="1">IF(PlayerGameData[[#This Row],[Visible]]=1,1,1000)</f>
        <v>1000</v>
      </c>
      <c r="BJ908" s="197" t="e">
        <f ca="1">_xlfn.MAXIFS(TeamGameData[Win],TeamGameData[School, Opponent,Game'#],PlayerGameData[[#This Row],[School, Opponent,Game'#]])</f>
        <v>#NAME?</v>
      </c>
      <c r="BK908" s="197" t="e">
        <f ca="1">_xlfn.MAXIFS(TeamGameData[Loss],TeamGameData[School, Opponent,Game'#],PlayerGameData[[#This Row],[School, Opponent,Game'#]])</f>
        <v>#NAME?</v>
      </c>
    </row>
    <row r="909" spans="1:63" x14ac:dyDescent="0.25">
      <c r="A909" s="8" t="str">
        <f t="shared" ca="1" si="453"/>
        <v xml:space="preserve">, </v>
      </c>
      <c r="B909" s="8" t="str">
        <f>Roster!$B$1</f>
        <v>Upton</v>
      </c>
      <c r="C909" s="8">
        <f t="shared" ca="1" si="441"/>
        <v>0</v>
      </c>
      <c r="D909" s="10">
        <f t="shared" ca="1" si="442"/>
        <v>0</v>
      </c>
      <c r="E909" s="8">
        <f t="shared" ca="1" si="443"/>
        <v>0</v>
      </c>
      <c r="F909" s="8">
        <f t="shared" ca="1" si="444"/>
        <v>0</v>
      </c>
      <c r="G909" s="8">
        <f t="shared" ca="1" si="445"/>
        <v>0</v>
      </c>
      <c r="H909" s="8">
        <f t="shared" ca="1" si="446"/>
        <v>0</v>
      </c>
      <c r="I909" s="8">
        <f t="shared" ca="1" si="447"/>
        <v>0</v>
      </c>
      <c r="J909" s="8">
        <f t="shared" ca="1" si="448"/>
        <v>0</v>
      </c>
      <c r="K909" s="8">
        <f t="shared" ca="1" si="449"/>
        <v>0</v>
      </c>
      <c r="L909" s="8">
        <f t="shared" ca="1" si="454"/>
        <v>0</v>
      </c>
      <c r="M909" s="8">
        <f t="shared" ca="1" si="455"/>
        <v>0</v>
      </c>
      <c r="N909" s="8">
        <f t="shared" ca="1" si="456"/>
        <v>0</v>
      </c>
      <c r="O909" s="8">
        <f t="shared" ca="1" si="457"/>
        <v>0</v>
      </c>
      <c r="P909" s="8">
        <f t="shared" ca="1" si="458"/>
        <v>0</v>
      </c>
      <c r="Q909" s="8">
        <f t="shared" ca="1" si="459"/>
        <v>0</v>
      </c>
      <c r="R909" s="8">
        <f t="shared" ca="1" si="460"/>
        <v>0</v>
      </c>
      <c r="S909" s="8">
        <f t="shared" ca="1" si="461"/>
        <v>0</v>
      </c>
      <c r="T909" s="8">
        <f t="shared" ca="1" si="462"/>
        <v>0</v>
      </c>
      <c r="U909" s="8">
        <f t="shared" ca="1" si="463"/>
        <v>0</v>
      </c>
      <c r="V909" s="8">
        <f t="shared" ca="1" si="464"/>
        <v>0</v>
      </c>
      <c r="W909" s="11" t="str">
        <f t="shared" ca="1" si="465"/>
        <v/>
      </c>
      <c r="X909" s="11" t="str">
        <f t="shared" ca="1" si="466"/>
        <v/>
      </c>
      <c r="Y909" s="11" t="str">
        <f t="shared" ca="1" si="467"/>
        <v/>
      </c>
      <c r="Z909" s="11" t="str">
        <f t="shared" ca="1" si="468"/>
        <v/>
      </c>
      <c r="AA909" s="11" t="str">
        <f t="shared" ca="1" si="469"/>
        <v/>
      </c>
      <c r="AB909" s="47">
        <f ca="1">PlayerGameData[[#This Row],[3FGA]]+PlayerGameData[[#This Row],[2FGA]]</f>
        <v>0</v>
      </c>
      <c r="AC909" s="47">
        <f ca="1">PlayerGameData[[#This Row],[OFF REB]]+PlayerGameData[[#This Row],[DEF REB]]</f>
        <v>0</v>
      </c>
      <c r="AD909" s="8">
        <f t="shared" si="450"/>
        <v>38</v>
      </c>
      <c r="AE909" s="8" t="str">
        <f t="shared" ca="1" si="451"/>
        <v>,  - 0 1/0/1900</v>
      </c>
      <c r="AF909" s="8" t="str">
        <f t="shared" ca="1" si="470"/>
        <v/>
      </c>
      <c r="AG909" s="8" t="str">
        <f ca="1">IFERROR(IF(C909=0,"",IF(AND(VLOOKUP(PlayerGameData[[#This Row],[Opponent]],WYTeamInfo,2,FALSE)=Roster!$D$1,VLOOKUP(PlayerGameData[[#This Row],[Opponent]],WYTeamInfo,3,FALSE)=Roster!$D$2),"SR","")),"")</f>
        <v/>
      </c>
      <c r="AH909" s="8" t="str">
        <f>CONCATENATE(Roster!$D$1," ",Roster!$D$5)</f>
        <v>1A BB</v>
      </c>
      <c r="AI909" s="8" t="str">
        <f t="shared" ca="1" si="452"/>
        <v>Blank</v>
      </c>
      <c r="AJ909" s="8">
        <f ca="1">IFERROR(VLOOKUP(PlayerGameData[[#This Row],[School, Opponent,Game'#]],Table3[],2,FALSE),0)</f>
        <v>0</v>
      </c>
      <c r="AK909" s="8">
        <f ca="1">IF(PlayerGameData[[#This Row],[Visible]]=1,1,1000)</f>
        <v>1000</v>
      </c>
      <c r="AL909" s="8">
        <f ca="1">RANK(PlayerGameData[[#This Row],[TL PTS]],PlayerGameData[TL PTS],0)+PlayerGameData[[#This Row],[VisibleOrder]]</f>
        <v>1184</v>
      </c>
      <c r="AM909" s="8">
        <f ca="1">IF(COUNTIF(PlayerGameData[PointOrder],PlayerGameData[[#This Row],[PointOrder]])&gt;1,RANK(PlayerGameData[[#This Row],[FGA]],PlayerGameData[FGA],0)/100,0)+PlayerGameData[[#This Row],[PointOrder]]</f>
        <v>1186.1400000000001</v>
      </c>
      <c r="AN909" s="8">
        <f ca="1">RANK(PlayerGameData[[#This Row],[PointTieBreak]],PlayerGameData[PointTieBreak],1)</f>
        <v>625</v>
      </c>
      <c r="AO909" s="8">
        <f ca="1">RANK(PlayerGameData[[#This Row],[REB]],PlayerGameData[REB],0)+PlayerGameData[[#This Row],[VisibleOrder]]</f>
        <v>1191</v>
      </c>
      <c r="AP909" s="8">
        <f ca="1">IF(COUNTIF(PlayerGameData[REBOrder],PlayerGameData[[#This Row],[REBOrder]])&gt;1,PlayerGameData[[#This Row],[PointRank]]/100+PlayerGameData[[#This Row],[REBOrder]],PlayerGameData[[#This Row],[REBOrder]])</f>
        <v>1197.25</v>
      </c>
      <c r="AQ909" s="8">
        <f ca="1">RANK(PlayerGameData[[#This Row],[REBTieBreak]],PlayerGameData[REBTieBreak],1)</f>
        <v>625</v>
      </c>
      <c r="AR909" s="8">
        <f ca="1">RANK(PlayerGameData[[#This Row],[AST]],PlayerGameData[AST],0)+PlayerGameData[[#This Row],[VisibleOrder]]</f>
        <v>1157</v>
      </c>
      <c r="AS909" s="8">
        <f ca="1">IF(COUNTIF(PlayerGameData[ASTOrder],PlayerGameData[[#This Row],[ASTOrder]])&gt;1,PlayerGameData[[#This Row],[PointRank]]/100+PlayerGameData[[#This Row],[ASTOrder]],PlayerGameData[[#This Row],[ASTOrder]])</f>
        <v>1163.25</v>
      </c>
      <c r="AT909" s="8">
        <f ca="1">RANK(PlayerGameData[[#This Row],[ASTTieBreak]],PlayerGameData[ASTTieBreak],1)</f>
        <v>625</v>
      </c>
      <c r="AU909" s="8">
        <f ca="1">RANK(PlayerGameData[[#This Row],[STL]],PlayerGameData[STL],0)+PlayerGameData[[#This Row],[VisibleOrder]]</f>
        <v>1142</v>
      </c>
      <c r="AV909" s="8">
        <f ca="1">IF(COUNTIF(PlayerGameData[STLOrder],PlayerGameData[[#This Row],[STLOrder]])&gt;1,PlayerGameData[[#This Row],[PointRank]]/100+PlayerGameData[[#This Row],[STLOrder]],PlayerGameData[[#This Row],[STLOrder]])</f>
        <v>1148.25</v>
      </c>
      <c r="AW909" s="8">
        <f ca="1">RANK(PlayerGameData[[#This Row],[STLTieBreak]],PlayerGameData[STLTieBreak],1)</f>
        <v>625</v>
      </c>
      <c r="AX909" s="8">
        <f ca="1">RANK(PlayerGameData[[#This Row],[BLK]],PlayerGameData[BLK],0)+PlayerGameData[[#This Row],[VisibleOrder]]</f>
        <v>1031</v>
      </c>
      <c r="AY909" s="8">
        <f ca="1">IF(COUNTIF(PlayerGameData[BLKOrder],PlayerGameData[[#This Row],[BLKOrder]])&gt;1,PlayerGameData[[#This Row],[PointRank]]/100+PlayerGameData[[#This Row],[BLKOrder]],PlayerGameData[[#This Row],[BLKOrder]])</f>
        <v>1037.25</v>
      </c>
      <c r="AZ909" s="8">
        <f ca="1">RANK(PlayerGameData[[#This Row],[BLKTieBreak]],PlayerGameData[BLKTieBreak],1)</f>
        <v>625</v>
      </c>
      <c r="BA909" s="11">
        <f ca="1">IFERROR(IF(PlayerGameData[[#This Row],[FGA]]&gt;$AA$5,PlayerGameData[[#This Row],[FG%*]],PlayerGameData[[#This Row],[FG%*]]*-1),-2)</f>
        <v>-2</v>
      </c>
      <c r="BB909" s="8">
        <f ca="1">RANK(PlayerGameData[[#This Row],[EligFG]],PlayerGameData[EligFG],0)+PlayerGameData[[#This Row],[VisibleOrder]]</f>
        <v>1214</v>
      </c>
      <c r="BC909" s="8">
        <f ca="1">IF(COUNTIF(PlayerGameData[EligFGOrder],PlayerGameData[[#This Row],[EligFGOrder]])&gt;1,PlayerGameData[[#This Row],[PointRank]]/100+PlayerGameData[[#This Row],[EligFGOrder]],PlayerGameData[[#This Row],[EligFGOrder]])</f>
        <v>1220.25</v>
      </c>
      <c r="BD909" s="8">
        <f ca="1">RANK(PlayerGameData[[#This Row],[EligFGTieBreak]],PlayerGameData[EligFGTieBreak],1)</f>
        <v>625</v>
      </c>
      <c r="BE909" s="8" t="str">
        <f>Roster!$D$3</f>
        <v>East</v>
      </c>
      <c r="BF909" s="8" t="str">
        <f>Roster!$D$2</f>
        <v>Northeast</v>
      </c>
      <c r="BG909" s="8" t="str">
        <f>Roster!$D$4</f>
        <v>North</v>
      </c>
      <c r="BH909" s="197">
        <f ca="1">IFERROR(VLOOKUP(CONCATENATE(PlayerGameData[[#This Row],[Opponent]]," ",MONTH(PlayerGameData[[#This Row],[Date]]),"/",DAY(PlayerGameData[[#This Row],[Date]]),"/",YEAR(PlayerGameData[[#This Row],[Date]])),Table35[],2,FALSE),0)</f>
        <v>0</v>
      </c>
      <c r="BI909" s="197">
        <f ca="1">IF(PlayerGameData[[#This Row],[Visible]]=1,1,1000)</f>
        <v>1000</v>
      </c>
      <c r="BJ909" s="197" t="e">
        <f ca="1">_xlfn.MAXIFS(TeamGameData[Win],TeamGameData[School, Opponent,Game'#],PlayerGameData[[#This Row],[School, Opponent,Game'#]])</f>
        <v>#NAME?</v>
      </c>
      <c r="BK909" s="197" t="e">
        <f ca="1">_xlfn.MAXIFS(TeamGameData[Loss],TeamGameData[School, Opponent,Game'#],PlayerGameData[[#This Row],[School, Opponent,Game'#]])</f>
        <v>#NAME?</v>
      </c>
    </row>
    <row r="910" spans="1:63" x14ac:dyDescent="0.25">
      <c r="A910" s="8" t="str">
        <f t="shared" ca="1" si="453"/>
        <v xml:space="preserve">, </v>
      </c>
      <c r="B910" s="8" t="str">
        <f>Roster!$B$1</f>
        <v>Upton</v>
      </c>
      <c r="C910" s="8">
        <f t="shared" ca="1" si="441"/>
        <v>0</v>
      </c>
      <c r="D910" s="10">
        <f t="shared" ca="1" si="442"/>
        <v>0</v>
      </c>
      <c r="E910" s="8">
        <f t="shared" ca="1" si="443"/>
        <v>0</v>
      </c>
      <c r="F910" s="8">
        <f t="shared" ca="1" si="444"/>
        <v>0</v>
      </c>
      <c r="G910" s="8">
        <f t="shared" ca="1" si="445"/>
        <v>0</v>
      </c>
      <c r="H910" s="8">
        <f t="shared" ca="1" si="446"/>
        <v>0</v>
      </c>
      <c r="I910" s="8">
        <f t="shared" ca="1" si="447"/>
        <v>0</v>
      </c>
      <c r="J910" s="8">
        <f t="shared" ca="1" si="448"/>
        <v>0</v>
      </c>
      <c r="K910" s="8">
        <f t="shared" ca="1" si="449"/>
        <v>0</v>
      </c>
      <c r="L910" s="8">
        <f t="shared" ca="1" si="454"/>
        <v>0</v>
      </c>
      <c r="M910" s="8">
        <f t="shared" ca="1" si="455"/>
        <v>0</v>
      </c>
      <c r="N910" s="8">
        <f t="shared" ca="1" si="456"/>
        <v>0</v>
      </c>
      <c r="O910" s="8">
        <f t="shared" ca="1" si="457"/>
        <v>0</v>
      </c>
      <c r="P910" s="8">
        <f t="shared" ca="1" si="458"/>
        <v>0</v>
      </c>
      <c r="Q910" s="8">
        <f t="shared" ca="1" si="459"/>
        <v>0</v>
      </c>
      <c r="R910" s="8">
        <f t="shared" ca="1" si="460"/>
        <v>0</v>
      </c>
      <c r="S910" s="8">
        <f t="shared" ca="1" si="461"/>
        <v>0</v>
      </c>
      <c r="T910" s="8">
        <f t="shared" ca="1" si="462"/>
        <v>0</v>
      </c>
      <c r="U910" s="8">
        <f t="shared" ca="1" si="463"/>
        <v>0</v>
      </c>
      <c r="V910" s="8">
        <f t="shared" ca="1" si="464"/>
        <v>0</v>
      </c>
      <c r="W910" s="11" t="str">
        <f t="shared" ca="1" si="465"/>
        <v/>
      </c>
      <c r="X910" s="11" t="str">
        <f t="shared" ca="1" si="466"/>
        <v/>
      </c>
      <c r="Y910" s="11" t="str">
        <f t="shared" ca="1" si="467"/>
        <v/>
      </c>
      <c r="Z910" s="11" t="str">
        <f t="shared" ca="1" si="468"/>
        <v/>
      </c>
      <c r="AA910" s="11" t="str">
        <f t="shared" ca="1" si="469"/>
        <v/>
      </c>
      <c r="AB910" s="47">
        <f ca="1">PlayerGameData[[#This Row],[3FGA]]+PlayerGameData[[#This Row],[2FGA]]</f>
        <v>0</v>
      </c>
      <c r="AC910" s="47">
        <f ca="1">PlayerGameData[[#This Row],[OFF REB]]+PlayerGameData[[#This Row],[DEF REB]]</f>
        <v>0</v>
      </c>
      <c r="AD910" s="8">
        <f t="shared" si="450"/>
        <v>38</v>
      </c>
      <c r="AE910" s="8" t="str">
        <f t="shared" ca="1" si="451"/>
        <v>,  - 0 1/0/1900</v>
      </c>
      <c r="AF910" s="8" t="str">
        <f t="shared" ca="1" si="470"/>
        <v/>
      </c>
      <c r="AG910" s="8" t="str">
        <f ca="1">IFERROR(IF(C910=0,"",IF(AND(VLOOKUP(PlayerGameData[[#This Row],[Opponent]],WYTeamInfo,2,FALSE)=Roster!$D$1,VLOOKUP(PlayerGameData[[#This Row],[Opponent]],WYTeamInfo,3,FALSE)=Roster!$D$2),"SR","")),"")</f>
        <v/>
      </c>
      <c r="AH910" s="8" t="str">
        <f>CONCATENATE(Roster!$D$1," ",Roster!$D$5)</f>
        <v>1A BB</v>
      </c>
      <c r="AI910" s="8" t="str">
        <f t="shared" ca="1" si="452"/>
        <v>Blank</v>
      </c>
      <c r="AJ910" s="8">
        <f ca="1">IFERROR(VLOOKUP(PlayerGameData[[#This Row],[School, Opponent,Game'#]],Table3[],2,FALSE),0)</f>
        <v>0</v>
      </c>
      <c r="AK910" s="8">
        <f ca="1">IF(PlayerGameData[[#This Row],[Visible]]=1,1,1000)</f>
        <v>1000</v>
      </c>
      <c r="AL910" s="8">
        <f ca="1">RANK(PlayerGameData[[#This Row],[TL PTS]],PlayerGameData[TL PTS],0)+PlayerGameData[[#This Row],[VisibleOrder]]</f>
        <v>1184</v>
      </c>
      <c r="AM910" s="8">
        <f ca="1">IF(COUNTIF(PlayerGameData[PointOrder],PlayerGameData[[#This Row],[PointOrder]])&gt;1,RANK(PlayerGameData[[#This Row],[FGA]],PlayerGameData[FGA],0)/100,0)+PlayerGameData[[#This Row],[PointOrder]]</f>
        <v>1186.1400000000001</v>
      </c>
      <c r="AN910" s="8">
        <f ca="1">RANK(PlayerGameData[[#This Row],[PointTieBreak]],PlayerGameData[PointTieBreak],1)</f>
        <v>625</v>
      </c>
      <c r="AO910" s="8">
        <f ca="1">RANK(PlayerGameData[[#This Row],[REB]],PlayerGameData[REB],0)+PlayerGameData[[#This Row],[VisibleOrder]]</f>
        <v>1191</v>
      </c>
      <c r="AP910" s="8">
        <f ca="1">IF(COUNTIF(PlayerGameData[REBOrder],PlayerGameData[[#This Row],[REBOrder]])&gt;1,PlayerGameData[[#This Row],[PointRank]]/100+PlayerGameData[[#This Row],[REBOrder]],PlayerGameData[[#This Row],[REBOrder]])</f>
        <v>1197.25</v>
      </c>
      <c r="AQ910" s="8">
        <f ca="1">RANK(PlayerGameData[[#This Row],[REBTieBreak]],PlayerGameData[REBTieBreak],1)</f>
        <v>625</v>
      </c>
      <c r="AR910" s="8">
        <f ca="1">RANK(PlayerGameData[[#This Row],[AST]],PlayerGameData[AST],0)+PlayerGameData[[#This Row],[VisibleOrder]]</f>
        <v>1157</v>
      </c>
      <c r="AS910" s="8">
        <f ca="1">IF(COUNTIF(PlayerGameData[ASTOrder],PlayerGameData[[#This Row],[ASTOrder]])&gt;1,PlayerGameData[[#This Row],[PointRank]]/100+PlayerGameData[[#This Row],[ASTOrder]],PlayerGameData[[#This Row],[ASTOrder]])</f>
        <v>1163.25</v>
      </c>
      <c r="AT910" s="8">
        <f ca="1">RANK(PlayerGameData[[#This Row],[ASTTieBreak]],PlayerGameData[ASTTieBreak],1)</f>
        <v>625</v>
      </c>
      <c r="AU910" s="8">
        <f ca="1">RANK(PlayerGameData[[#This Row],[STL]],PlayerGameData[STL],0)+PlayerGameData[[#This Row],[VisibleOrder]]</f>
        <v>1142</v>
      </c>
      <c r="AV910" s="8">
        <f ca="1">IF(COUNTIF(PlayerGameData[STLOrder],PlayerGameData[[#This Row],[STLOrder]])&gt;1,PlayerGameData[[#This Row],[PointRank]]/100+PlayerGameData[[#This Row],[STLOrder]],PlayerGameData[[#This Row],[STLOrder]])</f>
        <v>1148.25</v>
      </c>
      <c r="AW910" s="8">
        <f ca="1">RANK(PlayerGameData[[#This Row],[STLTieBreak]],PlayerGameData[STLTieBreak],1)</f>
        <v>625</v>
      </c>
      <c r="AX910" s="8">
        <f ca="1">RANK(PlayerGameData[[#This Row],[BLK]],PlayerGameData[BLK],0)+PlayerGameData[[#This Row],[VisibleOrder]]</f>
        <v>1031</v>
      </c>
      <c r="AY910" s="8">
        <f ca="1">IF(COUNTIF(PlayerGameData[BLKOrder],PlayerGameData[[#This Row],[BLKOrder]])&gt;1,PlayerGameData[[#This Row],[PointRank]]/100+PlayerGameData[[#This Row],[BLKOrder]],PlayerGameData[[#This Row],[BLKOrder]])</f>
        <v>1037.25</v>
      </c>
      <c r="AZ910" s="8">
        <f ca="1">RANK(PlayerGameData[[#This Row],[BLKTieBreak]],PlayerGameData[BLKTieBreak],1)</f>
        <v>625</v>
      </c>
      <c r="BA910" s="11">
        <f ca="1">IFERROR(IF(PlayerGameData[[#This Row],[FGA]]&gt;$AA$5,PlayerGameData[[#This Row],[FG%*]],PlayerGameData[[#This Row],[FG%*]]*-1),-2)</f>
        <v>-2</v>
      </c>
      <c r="BB910" s="8">
        <f ca="1">RANK(PlayerGameData[[#This Row],[EligFG]],PlayerGameData[EligFG],0)+PlayerGameData[[#This Row],[VisibleOrder]]</f>
        <v>1214</v>
      </c>
      <c r="BC910" s="8">
        <f ca="1">IF(COUNTIF(PlayerGameData[EligFGOrder],PlayerGameData[[#This Row],[EligFGOrder]])&gt;1,PlayerGameData[[#This Row],[PointRank]]/100+PlayerGameData[[#This Row],[EligFGOrder]],PlayerGameData[[#This Row],[EligFGOrder]])</f>
        <v>1220.25</v>
      </c>
      <c r="BD910" s="8">
        <f ca="1">RANK(PlayerGameData[[#This Row],[EligFGTieBreak]],PlayerGameData[EligFGTieBreak],1)</f>
        <v>625</v>
      </c>
      <c r="BE910" s="8" t="str">
        <f>Roster!$D$3</f>
        <v>East</v>
      </c>
      <c r="BF910" s="8" t="str">
        <f>Roster!$D$2</f>
        <v>Northeast</v>
      </c>
      <c r="BG910" s="8" t="str">
        <f>Roster!$D$4</f>
        <v>North</v>
      </c>
      <c r="BH910" s="197">
        <f ca="1">IFERROR(VLOOKUP(CONCATENATE(PlayerGameData[[#This Row],[Opponent]]," ",MONTH(PlayerGameData[[#This Row],[Date]]),"/",DAY(PlayerGameData[[#This Row],[Date]]),"/",YEAR(PlayerGameData[[#This Row],[Date]])),Table35[],2,FALSE),0)</f>
        <v>0</v>
      </c>
      <c r="BI910" s="197">
        <f ca="1">IF(PlayerGameData[[#This Row],[Visible]]=1,1,1000)</f>
        <v>1000</v>
      </c>
      <c r="BJ910" s="197" t="e">
        <f ca="1">_xlfn.MAXIFS(TeamGameData[Win],TeamGameData[School, Opponent,Game'#],PlayerGameData[[#This Row],[School, Opponent,Game'#]])</f>
        <v>#NAME?</v>
      </c>
      <c r="BK910" s="197" t="e">
        <f ca="1">_xlfn.MAXIFS(TeamGameData[Loss],TeamGameData[School, Opponent,Game'#],PlayerGameData[[#This Row],[School, Opponent,Game'#]])</f>
        <v>#NAME?</v>
      </c>
    </row>
    <row r="911" spans="1:63" x14ac:dyDescent="0.25">
      <c r="A911" s="8" t="str">
        <f t="shared" ca="1" si="453"/>
        <v xml:space="preserve">, </v>
      </c>
      <c r="B911" s="8" t="str">
        <f>Roster!$B$1</f>
        <v>Upton</v>
      </c>
      <c r="C911" s="8">
        <f t="shared" ca="1" si="441"/>
        <v>0</v>
      </c>
      <c r="D911" s="10">
        <f t="shared" ca="1" si="442"/>
        <v>0</v>
      </c>
      <c r="E911" s="8">
        <f t="shared" ca="1" si="443"/>
        <v>0</v>
      </c>
      <c r="F911" s="8">
        <f t="shared" ca="1" si="444"/>
        <v>0</v>
      </c>
      <c r="G911" s="8">
        <f t="shared" ca="1" si="445"/>
        <v>0</v>
      </c>
      <c r="H911" s="8">
        <f t="shared" ca="1" si="446"/>
        <v>0</v>
      </c>
      <c r="I911" s="8">
        <f t="shared" ca="1" si="447"/>
        <v>0</v>
      </c>
      <c r="J911" s="8">
        <f t="shared" ca="1" si="448"/>
        <v>0</v>
      </c>
      <c r="K911" s="8">
        <f t="shared" ca="1" si="449"/>
        <v>0</v>
      </c>
      <c r="L911" s="8">
        <f t="shared" ca="1" si="454"/>
        <v>0</v>
      </c>
      <c r="M911" s="8">
        <f t="shared" ca="1" si="455"/>
        <v>0</v>
      </c>
      <c r="N911" s="8">
        <f t="shared" ca="1" si="456"/>
        <v>0</v>
      </c>
      <c r="O911" s="8">
        <f t="shared" ca="1" si="457"/>
        <v>0</v>
      </c>
      <c r="P911" s="8">
        <f t="shared" ca="1" si="458"/>
        <v>0</v>
      </c>
      <c r="Q911" s="8">
        <f t="shared" ca="1" si="459"/>
        <v>0</v>
      </c>
      <c r="R911" s="8">
        <f t="shared" ca="1" si="460"/>
        <v>0</v>
      </c>
      <c r="S911" s="8">
        <f t="shared" ca="1" si="461"/>
        <v>0</v>
      </c>
      <c r="T911" s="8">
        <f t="shared" ca="1" si="462"/>
        <v>0</v>
      </c>
      <c r="U911" s="8">
        <f t="shared" ca="1" si="463"/>
        <v>0</v>
      </c>
      <c r="V911" s="8">
        <f t="shared" ca="1" si="464"/>
        <v>0</v>
      </c>
      <c r="W911" s="11" t="str">
        <f t="shared" ca="1" si="465"/>
        <v/>
      </c>
      <c r="X911" s="11" t="str">
        <f t="shared" ca="1" si="466"/>
        <v/>
      </c>
      <c r="Y911" s="11" t="str">
        <f t="shared" ca="1" si="467"/>
        <v/>
      </c>
      <c r="Z911" s="11" t="str">
        <f t="shared" ca="1" si="468"/>
        <v/>
      </c>
      <c r="AA911" s="11" t="str">
        <f t="shared" ca="1" si="469"/>
        <v/>
      </c>
      <c r="AB911" s="47">
        <f ca="1">PlayerGameData[[#This Row],[3FGA]]+PlayerGameData[[#This Row],[2FGA]]</f>
        <v>0</v>
      </c>
      <c r="AC911" s="47">
        <f ca="1">PlayerGameData[[#This Row],[OFF REB]]+PlayerGameData[[#This Row],[DEF REB]]</f>
        <v>0</v>
      </c>
      <c r="AD911" s="8">
        <f t="shared" si="450"/>
        <v>38</v>
      </c>
      <c r="AE911" s="8" t="str">
        <f t="shared" ca="1" si="451"/>
        <v>,  - 0 1/0/1900</v>
      </c>
      <c r="AF911" s="8" t="str">
        <f t="shared" ca="1" si="470"/>
        <v/>
      </c>
      <c r="AG911" s="8" t="str">
        <f ca="1">IFERROR(IF(C911=0,"",IF(AND(VLOOKUP(PlayerGameData[[#This Row],[Opponent]],WYTeamInfo,2,FALSE)=Roster!$D$1,VLOOKUP(PlayerGameData[[#This Row],[Opponent]],WYTeamInfo,3,FALSE)=Roster!$D$2),"SR","")),"")</f>
        <v/>
      </c>
      <c r="AH911" s="8" t="str">
        <f>CONCATENATE(Roster!$D$1," ",Roster!$D$5)</f>
        <v>1A BB</v>
      </c>
      <c r="AI911" s="8" t="str">
        <f t="shared" ca="1" si="452"/>
        <v>Blank</v>
      </c>
      <c r="AJ911" s="8">
        <f ca="1">IFERROR(VLOOKUP(PlayerGameData[[#This Row],[School, Opponent,Game'#]],Table3[],2,FALSE),0)</f>
        <v>0</v>
      </c>
      <c r="AK911" s="8">
        <f ca="1">IF(PlayerGameData[[#This Row],[Visible]]=1,1,1000)</f>
        <v>1000</v>
      </c>
      <c r="AL911" s="8">
        <f ca="1">RANK(PlayerGameData[[#This Row],[TL PTS]],PlayerGameData[TL PTS],0)+PlayerGameData[[#This Row],[VisibleOrder]]</f>
        <v>1184</v>
      </c>
      <c r="AM911" s="8">
        <f ca="1">IF(COUNTIF(PlayerGameData[PointOrder],PlayerGameData[[#This Row],[PointOrder]])&gt;1,RANK(PlayerGameData[[#This Row],[FGA]],PlayerGameData[FGA],0)/100,0)+PlayerGameData[[#This Row],[PointOrder]]</f>
        <v>1186.1400000000001</v>
      </c>
      <c r="AN911" s="8">
        <f ca="1">RANK(PlayerGameData[[#This Row],[PointTieBreak]],PlayerGameData[PointTieBreak],1)</f>
        <v>625</v>
      </c>
      <c r="AO911" s="8">
        <f ca="1">RANK(PlayerGameData[[#This Row],[REB]],PlayerGameData[REB],0)+PlayerGameData[[#This Row],[VisibleOrder]]</f>
        <v>1191</v>
      </c>
      <c r="AP911" s="8">
        <f ca="1">IF(COUNTIF(PlayerGameData[REBOrder],PlayerGameData[[#This Row],[REBOrder]])&gt;1,PlayerGameData[[#This Row],[PointRank]]/100+PlayerGameData[[#This Row],[REBOrder]],PlayerGameData[[#This Row],[REBOrder]])</f>
        <v>1197.25</v>
      </c>
      <c r="AQ911" s="8">
        <f ca="1">RANK(PlayerGameData[[#This Row],[REBTieBreak]],PlayerGameData[REBTieBreak],1)</f>
        <v>625</v>
      </c>
      <c r="AR911" s="8">
        <f ca="1">RANK(PlayerGameData[[#This Row],[AST]],PlayerGameData[AST],0)+PlayerGameData[[#This Row],[VisibleOrder]]</f>
        <v>1157</v>
      </c>
      <c r="AS911" s="8">
        <f ca="1">IF(COUNTIF(PlayerGameData[ASTOrder],PlayerGameData[[#This Row],[ASTOrder]])&gt;1,PlayerGameData[[#This Row],[PointRank]]/100+PlayerGameData[[#This Row],[ASTOrder]],PlayerGameData[[#This Row],[ASTOrder]])</f>
        <v>1163.25</v>
      </c>
      <c r="AT911" s="8">
        <f ca="1">RANK(PlayerGameData[[#This Row],[ASTTieBreak]],PlayerGameData[ASTTieBreak],1)</f>
        <v>625</v>
      </c>
      <c r="AU911" s="8">
        <f ca="1">RANK(PlayerGameData[[#This Row],[STL]],PlayerGameData[STL],0)+PlayerGameData[[#This Row],[VisibleOrder]]</f>
        <v>1142</v>
      </c>
      <c r="AV911" s="8">
        <f ca="1">IF(COUNTIF(PlayerGameData[STLOrder],PlayerGameData[[#This Row],[STLOrder]])&gt;1,PlayerGameData[[#This Row],[PointRank]]/100+PlayerGameData[[#This Row],[STLOrder]],PlayerGameData[[#This Row],[STLOrder]])</f>
        <v>1148.25</v>
      </c>
      <c r="AW911" s="8">
        <f ca="1">RANK(PlayerGameData[[#This Row],[STLTieBreak]],PlayerGameData[STLTieBreak],1)</f>
        <v>625</v>
      </c>
      <c r="AX911" s="8">
        <f ca="1">RANK(PlayerGameData[[#This Row],[BLK]],PlayerGameData[BLK],0)+PlayerGameData[[#This Row],[VisibleOrder]]</f>
        <v>1031</v>
      </c>
      <c r="AY911" s="8">
        <f ca="1">IF(COUNTIF(PlayerGameData[BLKOrder],PlayerGameData[[#This Row],[BLKOrder]])&gt;1,PlayerGameData[[#This Row],[PointRank]]/100+PlayerGameData[[#This Row],[BLKOrder]],PlayerGameData[[#This Row],[BLKOrder]])</f>
        <v>1037.25</v>
      </c>
      <c r="AZ911" s="8">
        <f ca="1">RANK(PlayerGameData[[#This Row],[BLKTieBreak]],PlayerGameData[BLKTieBreak],1)</f>
        <v>625</v>
      </c>
      <c r="BA911" s="11">
        <f ca="1">IFERROR(IF(PlayerGameData[[#This Row],[FGA]]&gt;$AA$5,PlayerGameData[[#This Row],[FG%*]],PlayerGameData[[#This Row],[FG%*]]*-1),-2)</f>
        <v>-2</v>
      </c>
      <c r="BB911" s="8">
        <f ca="1">RANK(PlayerGameData[[#This Row],[EligFG]],PlayerGameData[EligFG],0)+PlayerGameData[[#This Row],[VisibleOrder]]</f>
        <v>1214</v>
      </c>
      <c r="BC911" s="8">
        <f ca="1">IF(COUNTIF(PlayerGameData[EligFGOrder],PlayerGameData[[#This Row],[EligFGOrder]])&gt;1,PlayerGameData[[#This Row],[PointRank]]/100+PlayerGameData[[#This Row],[EligFGOrder]],PlayerGameData[[#This Row],[EligFGOrder]])</f>
        <v>1220.25</v>
      </c>
      <c r="BD911" s="8">
        <f ca="1">RANK(PlayerGameData[[#This Row],[EligFGTieBreak]],PlayerGameData[EligFGTieBreak],1)</f>
        <v>625</v>
      </c>
      <c r="BE911" s="8" t="str">
        <f>Roster!$D$3</f>
        <v>East</v>
      </c>
      <c r="BF911" s="8" t="str">
        <f>Roster!$D$2</f>
        <v>Northeast</v>
      </c>
      <c r="BG911" s="8" t="str">
        <f>Roster!$D$4</f>
        <v>North</v>
      </c>
      <c r="BH911" s="197">
        <f ca="1">IFERROR(VLOOKUP(CONCATENATE(PlayerGameData[[#This Row],[Opponent]]," ",MONTH(PlayerGameData[[#This Row],[Date]]),"/",DAY(PlayerGameData[[#This Row],[Date]]),"/",YEAR(PlayerGameData[[#This Row],[Date]])),Table35[],2,FALSE),0)</f>
        <v>0</v>
      </c>
      <c r="BI911" s="197">
        <f ca="1">IF(PlayerGameData[[#This Row],[Visible]]=1,1,1000)</f>
        <v>1000</v>
      </c>
      <c r="BJ911" s="197" t="e">
        <f ca="1">_xlfn.MAXIFS(TeamGameData[Win],TeamGameData[School, Opponent,Game'#],PlayerGameData[[#This Row],[School, Opponent,Game'#]])</f>
        <v>#NAME?</v>
      </c>
      <c r="BK911" s="197" t="e">
        <f ca="1">_xlfn.MAXIFS(TeamGameData[Loss],TeamGameData[School, Opponent,Game'#],PlayerGameData[[#This Row],[School, Opponent,Game'#]])</f>
        <v>#NAME?</v>
      </c>
    </row>
    <row r="912" spans="1:63" x14ac:dyDescent="0.25">
      <c r="A912" s="8" t="str">
        <f t="shared" ca="1" si="453"/>
        <v xml:space="preserve">, </v>
      </c>
      <c r="B912" s="8" t="str">
        <f>Roster!$B$1</f>
        <v>Upton</v>
      </c>
      <c r="C912" s="8">
        <f t="shared" ca="1" si="441"/>
        <v>0</v>
      </c>
      <c r="D912" s="10">
        <f t="shared" ca="1" si="442"/>
        <v>0</v>
      </c>
      <c r="E912" s="8">
        <f t="shared" ca="1" si="443"/>
        <v>0</v>
      </c>
      <c r="F912" s="8">
        <f t="shared" ca="1" si="444"/>
        <v>0</v>
      </c>
      <c r="G912" s="8">
        <f t="shared" ca="1" si="445"/>
        <v>0</v>
      </c>
      <c r="H912" s="8">
        <f t="shared" ca="1" si="446"/>
        <v>0</v>
      </c>
      <c r="I912" s="8">
        <f t="shared" ca="1" si="447"/>
        <v>0</v>
      </c>
      <c r="J912" s="8">
        <f t="shared" ca="1" si="448"/>
        <v>0</v>
      </c>
      <c r="K912" s="8">
        <f t="shared" ca="1" si="449"/>
        <v>0</v>
      </c>
      <c r="L912" s="8">
        <f t="shared" ca="1" si="454"/>
        <v>0</v>
      </c>
      <c r="M912" s="8">
        <f t="shared" ca="1" si="455"/>
        <v>0</v>
      </c>
      <c r="N912" s="8">
        <f t="shared" ca="1" si="456"/>
        <v>0</v>
      </c>
      <c r="O912" s="8">
        <f t="shared" ca="1" si="457"/>
        <v>0</v>
      </c>
      <c r="P912" s="8">
        <f t="shared" ca="1" si="458"/>
        <v>0</v>
      </c>
      <c r="Q912" s="8">
        <f t="shared" ca="1" si="459"/>
        <v>0</v>
      </c>
      <c r="R912" s="8">
        <f t="shared" ca="1" si="460"/>
        <v>0</v>
      </c>
      <c r="S912" s="8">
        <f t="shared" ca="1" si="461"/>
        <v>0</v>
      </c>
      <c r="T912" s="8">
        <f t="shared" ca="1" si="462"/>
        <v>0</v>
      </c>
      <c r="U912" s="8">
        <f t="shared" ca="1" si="463"/>
        <v>0</v>
      </c>
      <c r="V912" s="8">
        <f t="shared" ca="1" si="464"/>
        <v>0</v>
      </c>
      <c r="W912" s="11" t="str">
        <f t="shared" ca="1" si="465"/>
        <v/>
      </c>
      <c r="X912" s="11" t="str">
        <f t="shared" ca="1" si="466"/>
        <v/>
      </c>
      <c r="Y912" s="11" t="str">
        <f t="shared" ca="1" si="467"/>
        <v/>
      </c>
      <c r="Z912" s="11" t="str">
        <f t="shared" ca="1" si="468"/>
        <v/>
      </c>
      <c r="AA912" s="11" t="str">
        <f t="shared" ca="1" si="469"/>
        <v/>
      </c>
      <c r="AB912" s="47">
        <f ca="1">PlayerGameData[[#This Row],[3FGA]]+PlayerGameData[[#This Row],[2FGA]]</f>
        <v>0</v>
      </c>
      <c r="AC912" s="47">
        <f ca="1">PlayerGameData[[#This Row],[OFF REB]]+PlayerGameData[[#This Row],[DEF REB]]</f>
        <v>0</v>
      </c>
      <c r="AD912" s="8">
        <f t="shared" si="450"/>
        <v>38</v>
      </c>
      <c r="AE912" s="8" t="str">
        <f t="shared" ca="1" si="451"/>
        <v>,  - 0 1/0/1900</v>
      </c>
      <c r="AF912" s="8" t="str">
        <f t="shared" ca="1" si="470"/>
        <v/>
      </c>
      <c r="AG912" s="8" t="str">
        <f ca="1">IFERROR(IF(C912=0,"",IF(AND(VLOOKUP(PlayerGameData[[#This Row],[Opponent]],WYTeamInfo,2,FALSE)=Roster!$D$1,VLOOKUP(PlayerGameData[[#This Row],[Opponent]],WYTeamInfo,3,FALSE)=Roster!$D$2),"SR","")),"")</f>
        <v/>
      </c>
      <c r="AH912" s="8" t="str">
        <f>CONCATENATE(Roster!$D$1," ",Roster!$D$5)</f>
        <v>1A BB</v>
      </c>
      <c r="AI912" s="8" t="str">
        <f t="shared" ca="1" si="452"/>
        <v>Blank</v>
      </c>
      <c r="AJ912" s="8">
        <f ca="1">IFERROR(VLOOKUP(PlayerGameData[[#This Row],[School, Opponent,Game'#]],Table3[],2,FALSE),0)</f>
        <v>0</v>
      </c>
      <c r="AK912" s="8">
        <f ca="1">IF(PlayerGameData[[#This Row],[Visible]]=1,1,1000)</f>
        <v>1000</v>
      </c>
      <c r="AL912" s="8">
        <f ca="1">RANK(PlayerGameData[[#This Row],[TL PTS]],PlayerGameData[TL PTS],0)+PlayerGameData[[#This Row],[VisibleOrder]]</f>
        <v>1184</v>
      </c>
      <c r="AM912" s="8">
        <f ca="1">IF(COUNTIF(PlayerGameData[PointOrder],PlayerGameData[[#This Row],[PointOrder]])&gt;1,RANK(PlayerGameData[[#This Row],[FGA]],PlayerGameData[FGA],0)/100,0)+PlayerGameData[[#This Row],[PointOrder]]</f>
        <v>1186.1400000000001</v>
      </c>
      <c r="AN912" s="8">
        <f ca="1">RANK(PlayerGameData[[#This Row],[PointTieBreak]],PlayerGameData[PointTieBreak],1)</f>
        <v>625</v>
      </c>
      <c r="AO912" s="8">
        <f ca="1">RANK(PlayerGameData[[#This Row],[REB]],PlayerGameData[REB],0)+PlayerGameData[[#This Row],[VisibleOrder]]</f>
        <v>1191</v>
      </c>
      <c r="AP912" s="8">
        <f ca="1">IF(COUNTIF(PlayerGameData[REBOrder],PlayerGameData[[#This Row],[REBOrder]])&gt;1,PlayerGameData[[#This Row],[PointRank]]/100+PlayerGameData[[#This Row],[REBOrder]],PlayerGameData[[#This Row],[REBOrder]])</f>
        <v>1197.25</v>
      </c>
      <c r="AQ912" s="8">
        <f ca="1">RANK(PlayerGameData[[#This Row],[REBTieBreak]],PlayerGameData[REBTieBreak],1)</f>
        <v>625</v>
      </c>
      <c r="AR912" s="8">
        <f ca="1">RANK(PlayerGameData[[#This Row],[AST]],PlayerGameData[AST],0)+PlayerGameData[[#This Row],[VisibleOrder]]</f>
        <v>1157</v>
      </c>
      <c r="AS912" s="8">
        <f ca="1">IF(COUNTIF(PlayerGameData[ASTOrder],PlayerGameData[[#This Row],[ASTOrder]])&gt;1,PlayerGameData[[#This Row],[PointRank]]/100+PlayerGameData[[#This Row],[ASTOrder]],PlayerGameData[[#This Row],[ASTOrder]])</f>
        <v>1163.25</v>
      </c>
      <c r="AT912" s="8">
        <f ca="1">RANK(PlayerGameData[[#This Row],[ASTTieBreak]],PlayerGameData[ASTTieBreak],1)</f>
        <v>625</v>
      </c>
      <c r="AU912" s="8">
        <f ca="1">RANK(PlayerGameData[[#This Row],[STL]],PlayerGameData[STL],0)+PlayerGameData[[#This Row],[VisibleOrder]]</f>
        <v>1142</v>
      </c>
      <c r="AV912" s="8">
        <f ca="1">IF(COUNTIF(PlayerGameData[STLOrder],PlayerGameData[[#This Row],[STLOrder]])&gt;1,PlayerGameData[[#This Row],[PointRank]]/100+PlayerGameData[[#This Row],[STLOrder]],PlayerGameData[[#This Row],[STLOrder]])</f>
        <v>1148.25</v>
      </c>
      <c r="AW912" s="8">
        <f ca="1">RANK(PlayerGameData[[#This Row],[STLTieBreak]],PlayerGameData[STLTieBreak],1)</f>
        <v>625</v>
      </c>
      <c r="AX912" s="8">
        <f ca="1">RANK(PlayerGameData[[#This Row],[BLK]],PlayerGameData[BLK],0)+PlayerGameData[[#This Row],[VisibleOrder]]</f>
        <v>1031</v>
      </c>
      <c r="AY912" s="8">
        <f ca="1">IF(COUNTIF(PlayerGameData[BLKOrder],PlayerGameData[[#This Row],[BLKOrder]])&gt;1,PlayerGameData[[#This Row],[PointRank]]/100+PlayerGameData[[#This Row],[BLKOrder]],PlayerGameData[[#This Row],[BLKOrder]])</f>
        <v>1037.25</v>
      </c>
      <c r="AZ912" s="8">
        <f ca="1">RANK(PlayerGameData[[#This Row],[BLKTieBreak]],PlayerGameData[BLKTieBreak],1)</f>
        <v>625</v>
      </c>
      <c r="BA912" s="11">
        <f ca="1">IFERROR(IF(PlayerGameData[[#This Row],[FGA]]&gt;$AA$5,PlayerGameData[[#This Row],[FG%*]],PlayerGameData[[#This Row],[FG%*]]*-1),-2)</f>
        <v>-2</v>
      </c>
      <c r="BB912" s="8">
        <f ca="1">RANK(PlayerGameData[[#This Row],[EligFG]],PlayerGameData[EligFG],0)+PlayerGameData[[#This Row],[VisibleOrder]]</f>
        <v>1214</v>
      </c>
      <c r="BC912" s="8">
        <f ca="1">IF(COUNTIF(PlayerGameData[EligFGOrder],PlayerGameData[[#This Row],[EligFGOrder]])&gt;1,PlayerGameData[[#This Row],[PointRank]]/100+PlayerGameData[[#This Row],[EligFGOrder]],PlayerGameData[[#This Row],[EligFGOrder]])</f>
        <v>1220.25</v>
      </c>
      <c r="BD912" s="8">
        <f ca="1">RANK(PlayerGameData[[#This Row],[EligFGTieBreak]],PlayerGameData[EligFGTieBreak],1)</f>
        <v>625</v>
      </c>
      <c r="BE912" s="8" t="str">
        <f>Roster!$D$3</f>
        <v>East</v>
      </c>
      <c r="BF912" s="8" t="str">
        <f>Roster!$D$2</f>
        <v>Northeast</v>
      </c>
      <c r="BG912" s="8" t="str">
        <f>Roster!$D$4</f>
        <v>North</v>
      </c>
      <c r="BH912" s="197">
        <f ca="1">IFERROR(VLOOKUP(CONCATENATE(PlayerGameData[[#This Row],[Opponent]]," ",MONTH(PlayerGameData[[#This Row],[Date]]),"/",DAY(PlayerGameData[[#This Row],[Date]]),"/",YEAR(PlayerGameData[[#This Row],[Date]])),Table35[],2,FALSE),0)</f>
        <v>0</v>
      </c>
      <c r="BI912" s="197">
        <f ca="1">IF(PlayerGameData[[#This Row],[Visible]]=1,1,1000)</f>
        <v>1000</v>
      </c>
      <c r="BJ912" s="197" t="e">
        <f ca="1">_xlfn.MAXIFS(TeamGameData[Win],TeamGameData[School, Opponent,Game'#],PlayerGameData[[#This Row],[School, Opponent,Game'#]])</f>
        <v>#NAME?</v>
      </c>
      <c r="BK912" s="197" t="e">
        <f ca="1">_xlfn.MAXIFS(TeamGameData[Loss],TeamGameData[School, Opponent,Game'#],PlayerGameData[[#This Row],[School, Opponent,Game'#]])</f>
        <v>#NAME?</v>
      </c>
    </row>
    <row r="913" spans="1:63" x14ac:dyDescent="0.25">
      <c r="A913" s="8" t="str">
        <f t="shared" ca="1" si="453"/>
        <v xml:space="preserve">, </v>
      </c>
      <c r="B913" s="8" t="str">
        <f>Roster!$B$1</f>
        <v>Upton</v>
      </c>
      <c r="C913" s="8">
        <f t="shared" ca="1" si="441"/>
        <v>0</v>
      </c>
      <c r="D913" s="10">
        <f t="shared" ca="1" si="442"/>
        <v>0</v>
      </c>
      <c r="E913" s="8">
        <f t="shared" ca="1" si="443"/>
        <v>0</v>
      </c>
      <c r="F913" s="8">
        <f t="shared" ca="1" si="444"/>
        <v>0</v>
      </c>
      <c r="G913" s="8">
        <f t="shared" ca="1" si="445"/>
        <v>0</v>
      </c>
      <c r="H913" s="8">
        <f t="shared" ca="1" si="446"/>
        <v>0</v>
      </c>
      <c r="I913" s="8">
        <f t="shared" ca="1" si="447"/>
        <v>0</v>
      </c>
      <c r="J913" s="8">
        <f t="shared" ca="1" si="448"/>
        <v>0</v>
      </c>
      <c r="K913" s="8">
        <f t="shared" ca="1" si="449"/>
        <v>0</v>
      </c>
      <c r="L913" s="8">
        <f t="shared" ca="1" si="454"/>
        <v>0</v>
      </c>
      <c r="M913" s="8">
        <f t="shared" ca="1" si="455"/>
        <v>0</v>
      </c>
      <c r="N913" s="8">
        <f t="shared" ca="1" si="456"/>
        <v>0</v>
      </c>
      <c r="O913" s="8">
        <f t="shared" ca="1" si="457"/>
        <v>0</v>
      </c>
      <c r="P913" s="8">
        <f t="shared" ca="1" si="458"/>
        <v>0</v>
      </c>
      <c r="Q913" s="8">
        <f t="shared" ca="1" si="459"/>
        <v>0</v>
      </c>
      <c r="R913" s="8">
        <f t="shared" ca="1" si="460"/>
        <v>0</v>
      </c>
      <c r="S913" s="8">
        <f t="shared" ca="1" si="461"/>
        <v>0</v>
      </c>
      <c r="T913" s="8">
        <f t="shared" ca="1" si="462"/>
        <v>0</v>
      </c>
      <c r="U913" s="8">
        <f t="shared" ca="1" si="463"/>
        <v>0</v>
      </c>
      <c r="V913" s="8">
        <f t="shared" ca="1" si="464"/>
        <v>0</v>
      </c>
      <c r="W913" s="11" t="str">
        <f t="shared" ca="1" si="465"/>
        <v/>
      </c>
      <c r="X913" s="11" t="str">
        <f t="shared" ca="1" si="466"/>
        <v/>
      </c>
      <c r="Y913" s="11" t="str">
        <f t="shared" ca="1" si="467"/>
        <v/>
      </c>
      <c r="Z913" s="11" t="str">
        <f t="shared" ca="1" si="468"/>
        <v/>
      </c>
      <c r="AA913" s="11" t="str">
        <f t="shared" ca="1" si="469"/>
        <v/>
      </c>
      <c r="AB913" s="47">
        <f ca="1">PlayerGameData[[#This Row],[3FGA]]+PlayerGameData[[#This Row],[2FGA]]</f>
        <v>0</v>
      </c>
      <c r="AC913" s="47">
        <f ca="1">PlayerGameData[[#This Row],[OFF REB]]+PlayerGameData[[#This Row],[DEF REB]]</f>
        <v>0</v>
      </c>
      <c r="AD913" s="8">
        <f t="shared" si="450"/>
        <v>38</v>
      </c>
      <c r="AE913" s="8" t="str">
        <f t="shared" ca="1" si="451"/>
        <v>,  - 0 1/0/1900</v>
      </c>
      <c r="AF913" s="8" t="str">
        <f t="shared" ca="1" si="470"/>
        <v/>
      </c>
      <c r="AG913" s="8" t="str">
        <f ca="1">IFERROR(IF(C913=0,"",IF(AND(VLOOKUP(PlayerGameData[[#This Row],[Opponent]],WYTeamInfo,2,FALSE)=Roster!$D$1,VLOOKUP(PlayerGameData[[#This Row],[Opponent]],WYTeamInfo,3,FALSE)=Roster!$D$2),"SR","")),"")</f>
        <v/>
      </c>
      <c r="AH913" s="8" t="str">
        <f>CONCATENATE(Roster!$D$1," ",Roster!$D$5)</f>
        <v>1A BB</v>
      </c>
      <c r="AI913" s="8" t="str">
        <f t="shared" ca="1" si="452"/>
        <v>Blank</v>
      </c>
      <c r="AJ913" s="8">
        <f ca="1">IFERROR(VLOOKUP(PlayerGameData[[#This Row],[School, Opponent,Game'#]],Table3[],2,FALSE),0)</f>
        <v>0</v>
      </c>
      <c r="AK913" s="8">
        <f ca="1">IF(PlayerGameData[[#This Row],[Visible]]=1,1,1000)</f>
        <v>1000</v>
      </c>
      <c r="AL913" s="8">
        <f ca="1">RANK(PlayerGameData[[#This Row],[TL PTS]],PlayerGameData[TL PTS],0)+PlayerGameData[[#This Row],[VisibleOrder]]</f>
        <v>1184</v>
      </c>
      <c r="AM913" s="8">
        <f ca="1">IF(COUNTIF(PlayerGameData[PointOrder],PlayerGameData[[#This Row],[PointOrder]])&gt;1,RANK(PlayerGameData[[#This Row],[FGA]],PlayerGameData[FGA],0)/100,0)+PlayerGameData[[#This Row],[PointOrder]]</f>
        <v>1186.1400000000001</v>
      </c>
      <c r="AN913" s="8">
        <f ca="1">RANK(PlayerGameData[[#This Row],[PointTieBreak]],PlayerGameData[PointTieBreak],1)</f>
        <v>625</v>
      </c>
      <c r="AO913" s="8">
        <f ca="1">RANK(PlayerGameData[[#This Row],[REB]],PlayerGameData[REB],0)+PlayerGameData[[#This Row],[VisibleOrder]]</f>
        <v>1191</v>
      </c>
      <c r="AP913" s="8">
        <f ca="1">IF(COUNTIF(PlayerGameData[REBOrder],PlayerGameData[[#This Row],[REBOrder]])&gt;1,PlayerGameData[[#This Row],[PointRank]]/100+PlayerGameData[[#This Row],[REBOrder]],PlayerGameData[[#This Row],[REBOrder]])</f>
        <v>1197.25</v>
      </c>
      <c r="AQ913" s="8">
        <f ca="1">RANK(PlayerGameData[[#This Row],[REBTieBreak]],PlayerGameData[REBTieBreak],1)</f>
        <v>625</v>
      </c>
      <c r="AR913" s="8">
        <f ca="1">RANK(PlayerGameData[[#This Row],[AST]],PlayerGameData[AST],0)+PlayerGameData[[#This Row],[VisibleOrder]]</f>
        <v>1157</v>
      </c>
      <c r="AS913" s="8">
        <f ca="1">IF(COUNTIF(PlayerGameData[ASTOrder],PlayerGameData[[#This Row],[ASTOrder]])&gt;1,PlayerGameData[[#This Row],[PointRank]]/100+PlayerGameData[[#This Row],[ASTOrder]],PlayerGameData[[#This Row],[ASTOrder]])</f>
        <v>1163.25</v>
      </c>
      <c r="AT913" s="8">
        <f ca="1">RANK(PlayerGameData[[#This Row],[ASTTieBreak]],PlayerGameData[ASTTieBreak],1)</f>
        <v>625</v>
      </c>
      <c r="AU913" s="8">
        <f ca="1">RANK(PlayerGameData[[#This Row],[STL]],PlayerGameData[STL],0)+PlayerGameData[[#This Row],[VisibleOrder]]</f>
        <v>1142</v>
      </c>
      <c r="AV913" s="8">
        <f ca="1">IF(COUNTIF(PlayerGameData[STLOrder],PlayerGameData[[#This Row],[STLOrder]])&gt;1,PlayerGameData[[#This Row],[PointRank]]/100+PlayerGameData[[#This Row],[STLOrder]],PlayerGameData[[#This Row],[STLOrder]])</f>
        <v>1148.25</v>
      </c>
      <c r="AW913" s="8">
        <f ca="1">RANK(PlayerGameData[[#This Row],[STLTieBreak]],PlayerGameData[STLTieBreak],1)</f>
        <v>625</v>
      </c>
      <c r="AX913" s="8">
        <f ca="1">RANK(PlayerGameData[[#This Row],[BLK]],PlayerGameData[BLK],0)+PlayerGameData[[#This Row],[VisibleOrder]]</f>
        <v>1031</v>
      </c>
      <c r="AY913" s="8">
        <f ca="1">IF(COUNTIF(PlayerGameData[BLKOrder],PlayerGameData[[#This Row],[BLKOrder]])&gt;1,PlayerGameData[[#This Row],[PointRank]]/100+PlayerGameData[[#This Row],[BLKOrder]],PlayerGameData[[#This Row],[BLKOrder]])</f>
        <v>1037.25</v>
      </c>
      <c r="AZ913" s="8">
        <f ca="1">RANK(PlayerGameData[[#This Row],[BLKTieBreak]],PlayerGameData[BLKTieBreak],1)</f>
        <v>625</v>
      </c>
      <c r="BA913" s="11">
        <f ca="1">IFERROR(IF(PlayerGameData[[#This Row],[FGA]]&gt;$AA$5,PlayerGameData[[#This Row],[FG%*]],PlayerGameData[[#This Row],[FG%*]]*-1),-2)</f>
        <v>-2</v>
      </c>
      <c r="BB913" s="8">
        <f ca="1">RANK(PlayerGameData[[#This Row],[EligFG]],PlayerGameData[EligFG],0)+PlayerGameData[[#This Row],[VisibleOrder]]</f>
        <v>1214</v>
      </c>
      <c r="BC913" s="8">
        <f ca="1">IF(COUNTIF(PlayerGameData[EligFGOrder],PlayerGameData[[#This Row],[EligFGOrder]])&gt;1,PlayerGameData[[#This Row],[PointRank]]/100+PlayerGameData[[#This Row],[EligFGOrder]],PlayerGameData[[#This Row],[EligFGOrder]])</f>
        <v>1220.25</v>
      </c>
      <c r="BD913" s="8">
        <f ca="1">RANK(PlayerGameData[[#This Row],[EligFGTieBreak]],PlayerGameData[EligFGTieBreak],1)</f>
        <v>625</v>
      </c>
      <c r="BE913" s="8" t="str">
        <f>Roster!$D$3</f>
        <v>East</v>
      </c>
      <c r="BF913" s="8" t="str">
        <f>Roster!$D$2</f>
        <v>Northeast</v>
      </c>
      <c r="BG913" s="8" t="str">
        <f>Roster!$D$4</f>
        <v>North</v>
      </c>
      <c r="BH913" s="197">
        <f ca="1">IFERROR(VLOOKUP(CONCATENATE(PlayerGameData[[#This Row],[Opponent]]," ",MONTH(PlayerGameData[[#This Row],[Date]]),"/",DAY(PlayerGameData[[#This Row],[Date]]),"/",YEAR(PlayerGameData[[#This Row],[Date]])),Table35[],2,FALSE),0)</f>
        <v>0</v>
      </c>
      <c r="BI913" s="197">
        <f ca="1">IF(PlayerGameData[[#This Row],[Visible]]=1,1,1000)</f>
        <v>1000</v>
      </c>
      <c r="BJ913" s="197" t="e">
        <f ca="1">_xlfn.MAXIFS(TeamGameData[Win],TeamGameData[School, Opponent,Game'#],PlayerGameData[[#This Row],[School, Opponent,Game'#]])</f>
        <v>#NAME?</v>
      </c>
      <c r="BK913" s="197" t="e">
        <f ca="1">_xlfn.MAXIFS(TeamGameData[Loss],TeamGameData[School, Opponent,Game'#],PlayerGameData[[#This Row],[School, Opponent,Game'#]])</f>
        <v>#NAME?</v>
      </c>
    </row>
    <row r="914" spans="1:63" x14ac:dyDescent="0.25">
      <c r="A914" s="8" t="str">
        <f t="shared" ca="1" si="453"/>
        <v xml:space="preserve">, </v>
      </c>
      <c r="B914" s="8" t="str">
        <f>Roster!$B$1</f>
        <v>Upton</v>
      </c>
      <c r="C914" s="8">
        <f t="shared" ca="1" si="441"/>
        <v>0</v>
      </c>
      <c r="D914" s="10">
        <f t="shared" ca="1" si="442"/>
        <v>0</v>
      </c>
      <c r="E914" s="8">
        <f t="shared" ca="1" si="443"/>
        <v>0</v>
      </c>
      <c r="F914" s="8">
        <f t="shared" ca="1" si="444"/>
        <v>0</v>
      </c>
      <c r="G914" s="8">
        <f t="shared" ca="1" si="445"/>
        <v>0</v>
      </c>
      <c r="H914" s="8">
        <f t="shared" ca="1" si="446"/>
        <v>0</v>
      </c>
      <c r="I914" s="8">
        <f t="shared" ca="1" si="447"/>
        <v>0</v>
      </c>
      <c r="J914" s="8">
        <f t="shared" ca="1" si="448"/>
        <v>0</v>
      </c>
      <c r="K914" s="8">
        <f t="shared" ca="1" si="449"/>
        <v>0</v>
      </c>
      <c r="L914" s="8">
        <f t="shared" ca="1" si="454"/>
        <v>0</v>
      </c>
      <c r="M914" s="8">
        <f t="shared" ca="1" si="455"/>
        <v>0</v>
      </c>
      <c r="N914" s="8">
        <f t="shared" ca="1" si="456"/>
        <v>0</v>
      </c>
      <c r="O914" s="8">
        <f t="shared" ca="1" si="457"/>
        <v>0</v>
      </c>
      <c r="P914" s="8">
        <f t="shared" ca="1" si="458"/>
        <v>0</v>
      </c>
      <c r="Q914" s="8">
        <f t="shared" ca="1" si="459"/>
        <v>0</v>
      </c>
      <c r="R914" s="8">
        <f t="shared" ca="1" si="460"/>
        <v>0</v>
      </c>
      <c r="S914" s="8">
        <f t="shared" ca="1" si="461"/>
        <v>0</v>
      </c>
      <c r="T914" s="8">
        <f t="shared" ca="1" si="462"/>
        <v>0</v>
      </c>
      <c r="U914" s="8">
        <f t="shared" ca="1" si="463"/>
        <v>0</v>
      </c>
      <c r="V914" s="8">
        <f t="shared" ca="1" si="464"/>
        <v>0</v>
      </c>
      <c r="W914" s="11" t="str">
        <f t="shared" ca="1" si="465"/>
        <v/>
      </c>
      <c r="X914" s="11" t="str">
        <f t="shared" ca="1" si="466"/>
        <v/>
      </c>
      <c r="Y914" s="11" t="str">
        <f t="shared" ca="1" si="467"/>
        <v/>
      </c>
      <c r="Z914" s="11" t="str">
        <f t="shared" ca="1" si="468"/>
        <v/>
      </c>
      <c r="AA914" s="11" t="str">
        <f t="shared" ca="1" si="469"/>
        <v/>
      </c>
      <c r="AB914" s="47">
        <f ca="1">PlayerGameData[[#This Row],[3FGA]]+PlayerGameData[[#This Row],[2FGA]]</f>
        <v>0</v>
      </c>
      <c r="AC914" s="47">
        <f ca="1">PlayerGameData[[#This Row],[OFF REB]]+PlayerGameData[[#This Row],[DEF REB]]</f>
        <v>0</v>
      </c>
      <c r="AD914" s="8">
        <f t="shared" si="450"/>
        <v>38</v>
      </c>
      <c r="AE914" s="8" t="str">
        <f t="shared" ca="1" si="451"/>
        <v>,  - 0 1/0/1900</v>
      </c>
      <c r="AF914" s="8" t="str">
        <f t="shared" ca="1" si="470"/>
        <v/>
      </c>
      <c r="AG914" s="8" t="str">
        <f ca="1">IFERROR(IF(C914=0,"",IF(AND(VLOOKUP(PlayerGameData[[#This Row],[Opponent]],WYTeamInfo,2,FALSE)=Roster!$D$1,VLOOKUP(PlayerGameData[[#This Row],[Opponent]],WYTeamInfo,3,FALSE)=Roster!$D$2),"SR","")),"")</f>
        <v/>
      </c>
      <c r="AH914" s="8" t="str">
        <f>CONCATENATE(Roster!$D$1," ",Roster!$D$5)</f>
        <v>1A BB</v>
      </c>
      <c r="AI914" s="8" t="str">
        <f t="shared" ca="1" si="452"/>
        <v>Blank</v>
      </c>
      <c r="AJ914" s="8">
        <f ca="1">IFERROR(VLOOKUP(PlayerGameData[[#This Row],[School, Opponent,Game'#]],Table3[],2,FALSE),0)</f>
        <v>0</v>
      </c>
      <c r="AK914" s="8">
        <f ca="1">IF(PlayerGameData[[#This Row],[Visible]]=1,1,1000)</f>
        <v>1000</v>
      </c>
      <c r="AL914" s="8">
        <f ca="1">RANK(PlayerGameData[[#This Row],[TL PTS]],PlayerGameData[TL PTS],0)+PlayerGameData[[#This Row],[VisibleOrder]]</f>
        <v>1184</v>
      </c>
      <c r="AM914" s="8">
        <f ca="1">IF(COUNTIF(PlayerGameData[PointOrder],PlayerGameData[[#This Row],[PointOrder]])&gt;1,RANK(PlayerGameData[[#This Row],[FGA]],PlayerGameData[FGA],0)/100,0)+PlayerGameData[[#This Row],[PointOrder]]</f>
        <v>1186.1400000000001</v>
      </c>
      <c r="AN914" s="8">
        <f ca="1">RANK(PlayerGameData[[#This Row],[PointTieBreak]],PlayerGameData[PointTieBreak],1)</f>
        <v>625</v>
      </c>
      <c r="AO914" s="8">
        <f ca="1">RANK(PlayerGameData[[#This Row],[REB]],PlayerGameData[REB],0)+PlayerGameData[[#This Row],[VisibleOrder]]</f>
        <v>1191</v>
      </c>
      <c r="AP914" s="8">
        <f ca="1">IF(COUNTIF(PlayerGameData[REBOrder],PlayerGameData[[#This Row],[REBOrder]])&gt;1,PlayerGameData[[#This Row],[PointRank]]/100+PlayerGameData[[#This Row],[REBOrder]],PlayerGameData[[#This Row],[REBOrder]])</f>
        <v>1197.25</v>
      </c>
      <c r="AQ914" s="8">
        <f ca="1">RANK(PlayerGameData[[#This Row],[REBTieBreak]],PlayerGameData[REBTieBreak],1)</f>
        <v>625</v>
      </c>
      <c r="AR914" s="8">
        <f ca="1">RANK(PlayerGameData[[#This Row],[AST]],PlayerGameData[AST],0)+PlayerGameData[[#This Row],[VisibleOrder]]</f>
        <v>1157</v>
      </c>
      <c r="AS914" s="8">
        <f ca="1">IF(COUNTIF(PlayerGameData[ASTOrder],PlayerGameData[[#This Row],[ASTOrder]])&gt;1,PlayerGameData[[#This Row],[PointRank]]/100+PlayerGameData[[#This Row],[ASTOrder]],PlayerGameData[[#This Row],[ASTOrder]])</f>
        <v>1163.25</v>
      </c>
      <c r="AT914" s="8">
        <f ca="1">RANK(PlayerGameData[[#This Row],[ASTTieBreak]],PlayerGameData[ASTTieBreak],1)</f>
        <v>625</v>
      </c>
      <c r="AU914" s="8">
        <f ca="1">RANK(PlayerGameData[[#This Row],[STL]],PlayerGameData[STL],0)+PlayerGameData[[#This Row],[VisibleOrder]]</f>
        <v>1142</v>
      </c>
      <c r="AV914" s="8">
        <f ca="1">IF(COUNTIF(PlayerGameData[STLOrder],PlayerGameData[[#This Row],[STLOrder]])&gt;1,PlayerGameData[[#This Row],[PointRank]]/100+PlayerGameData[[#This Row],[STLOrder]],PlayerGameData[[#This Row],[STLOrder]])</f>
        <v>1148.25</v>
      </c>
      <c r="AW914" s="8">
        <f ca="1">RANK(PlayerGameData[[#This Row],[STLTieBreak]],PlayerGameData[STLTieBreak],1)</f>
        <v>625</v>
      </c>
      <c r="AX914" s="8">
        <f ca="1">RANK(PlayerGameData[[#This Row],[BLK]],PlayerGameData[BLK],0)+PlayerGameData[[#This Row],[VisibleOrder]]</f>
        <v>1031</v>
      </c>
      <c r="AY914" s="8">
        <f ca="1">IF(COUNTIF(PlayerGameData[BLKOrder],PlayerGameData[[#This Row],[BLKOrder]])&gt;1,PlayerGameData[[#This Row],[PointRank]]/100+PlayerGameData[[#This Row],[BLKOrder]],PlayerGameData[[#This Row],[BLKOrder]])</f>
        <v>1037.25</v>
      </c>
      <c r="AZ914" s="8">
        <f ca="1">RANK(PlayerGameData[[#This Row],[BLKTieBreak]],PlayerGameData[BLKTieBreak],1)</f>
        <v>625</v>
      </c>
      <c r="BA914" s="11">
        <f ca="1">IFERROR(IF(PlayerGameData[[#This Row],[FGA]]&gt;$AA$5,PlayerGameData[[#This Row],[FG%*]],PlayerGameData[[#This Row],[FG%*]]*-1),-2)</f>
        <v>-2</v>
      </c>
      <c r="BB914" s="8">
        <f ca="1">RANK(PlayerGameData[[#This Row],[EligFG]],PlayerGameData[EligFG],0)+PlayerGameData[[#This Row],[VisibleOrder]]</f>
        <v>1214</v>
      </c>
      <c r="BC914" s="8">
        <f ca="1">IF(COUNTIF(PlayerGameData[EligFGOrder],PlayerGameData[[#This Row],[EligFGOrder]])&gt;1,PlayerGameData[[#This Row],[PointRank]]/100+PlayerGameData[[#This Row],[EligFGOrder]],PlayerGameData[[#This Row],[EligFGOrder]])</f>
        <v>1220.25</v>
      </c>
      <c r="BD914" s="8">
        <f ca="1">RANK(PlayerGameData[[#This Row],[EligFGTieBreak]],PlayerGameData[EligFGTieBreak],1)</f>
        <v>625</v>
      </c>
      <c r="BE914" s="8" t="str">
        <f>Roster!$D$3</f>
        <v>East</v>
      </c>
      <c r="BF914" s="8" t="str">
        <f>Roster!$D$2</f>
        <v>Northeast</v>
      </c>
      <c r="BG914" s="8" t="str">
        <f>Roster!$D$4</f>
        <v>North</v>
      </c>
      <c r="BH914" s="197">
        <f ca="1">IFERROR(VLOOKUP(CONCATENATE(PlayerGameData[[#This Row],[Opponent]]," ",MONTH(PlayerGameData[[#This Row],[Date]]),"/",DAY(PlayerGameData[[#This Row],[Date]]),"/",YEAR(PlayerGameData[[#This Row],[Date]])),Table35[],2,FALSE),0)</f>
        <v>0</v>
      </c>
      <c r="BI914" s="197">
        <f ca="1">IF(PlayerGameData[[#This Row],[Visible]]=1,1,1000)</f>
        <v>1000</v>
      </c>
      <c r="BJ914" s="197" t="e">
        <f ca="1">_xlfn.MAXIFS(TeamGameData[Win],TeamGameData[School, Opponent,Game'#],PlayerGameData[[#This Row],[School, Opponent,Game'#]])</f>
        <v>#NAME?</v>
      </c>
      <c r="BK914" s="197" t="e">
        <f ca="1">_xlfn.MAXIFS(TeamGameData[Loss],TeamGameData[School, Opponent,Game'#],PlayerGameData[[#This Row],[School, Opponent,Game'#]])</f>
        <v>#NAME?</v>
      </c>
    </row>
    <row r="915" spans="1:63" x14ac:dyDescent="0.25">
      <c r="A915" s="8" t="str">
        <f t="shared" ca="1" si="453"/>
        <v xml:space="preserve">, </v>
      </c>
      <c r="B915" s="8" t="str">
        <f>Roster!$B$1</f>
        <v>Upton</v>
      </c>
      <c r="C915" s="8">
        <f t="shared" ca="1" si="441"/>
        <v>0</v>
      </c>
      <c r="D915" s="10">
        <f t="shared" ca="1" si="442"/>
        <v>0</v>
      </c>
      <c r="E915" s="8">
        <f t="shared" ca="1" si="443"/>
        <v>0</v>
      </c>
      <c r="F915" s="8">
        <f t="shared" ca="1" si="444"/>
        <v>0</v>
      </c>
      <c r="G915" s="8">
        <f t="shared" ca="1" si="445"/>
        <v>0</v>
      </c>
      <c r="H915" s="8">
        <f t="shared" ca="1" si="446"/>
        <v>0</v>
      </c>
      <c r="I915" s="8">
        <f t="shared" ca="1" si="447"/>
        <v>0</v>
      </c>
      <c r="J915" s="8">
        <f t="shared" ca="1" si="448"/>
        <v>0</v>
      </c>
      <c r="K915" s="8">
        <f t="shared" ca="1" si="449"/>
        <v>0</v>
      </c>
      <c r="L915" s="8">
        <f t="shared" ca="1" si="454"/>
        <v>0</v>
      </c>
      <c r="M915" s="8">
        <f t="shared" ca="1" si="455"/>
        <v>0</v>
      </c>
      <c r="N915" s="8">
        <f t="shared" ca="1" si="456"/>
        <v>0</v>
      </c>
      <c r="O915" s="8">
        <f t="shared" ca="1" si="457"/>
        <v>0</v>
      </c>
      <c r="P915" s="8">
        <f t="shared" ca="1" si="458"/>
        <v>0</v>
      </c>
      <c r="Q915" s="8">
        <f t="shared" ca="1" si="459"/>
        <v>0</v>
      </c>
      <c r="R915" s="8">
        <f t="shared" ca="1" si="460"/>
        <v>0</v>
      </c>
      <c r="S915" s="8">
        <f t="shared" ca="1" si="461"/>
        <v>0</v>
      </c>
      <c r="T915" s="8">
        <f t="shared" ca="1" si="462"/>
        <v>0</v>
      </c>
      <c r="U915" s="8">
        <f t="shared" ca="1" si="463"/>
        <v>0</v>
      </c>
      <c r="V915" s="8">
        <f t="shared" ca="1" si="464"/>
        <v>0</v>
      </c>
      <c r="W915" s="11" t="str">
        <f t="shared" ca="1" si="465"/>
        <v/>
      </c>
      <c r="X915" s="11" t="str">
        <f t="shared" ca="1" si="466"/>
        <v/>
      </c>
      <c r="Y915" s="11" t="str">
        <f t="shared" ca="1" si="467"/>
        <v/>
      </c>
      <c r="Z915" s="11" t="str">
        <f t="shared" ca="1" si="468"/>
        <v/>
      </c>
      <c r="AA915" s="11" t="str">
        <f t="shared" ca="1" si="469"/>
        <v/>
      </c>
      <c r="AB915" s="47">
        <f ca="1">PlayerGameData[[#This Row],[3FGA]]+PlayerGameData[[#This Row],[2FGA]]</f>
        <v>0</v>
      </c>
      <c r="AC915" s="47">
        <f ca="1">PlayerGameData[[#This Row],[OFF REB]]+PlayerGameData[[#This Row],[DEF REB]]</f>
        <v>0</v>
      </c>
      <c r="AD915" s="8">
        <f t="shared" si="450"/>
        <v>38</v>
      </c>
      <c r="AE915" s="8" t="str">
        <f t="shared" ca="1" si="451"/>
        <v>,  - 0 1/0/1900</v>
      </c>
      <c r="AF915" s="8" t="str">
        <f t="shared" ca="1" si="470"/>
        <v/>
      </c>
      <c r="AG915" s="8" t="str">
        <f ca="1">IFERROR(IF(C915=0,"",IF(AND(VLOOKUP(PlayerGameData[[#This Row],[Opponent]],WYTeamInfo,2,FALSE)=Roster!$D$1,VLOOKUP(PlayerGameData[[#This Row],[Opponent]],WYTeamInfo,3,FALSE)=Roster!$D$2),"SR","")),"")</f>
        <v/>
      </c>
      <c r="AH915" s="8" t="str">
        <f>CONCATENATE(Roster!$D$1," ",Roster!$D$5)</f>
        <v>1A BB</v>
      </c>
      <c r="AI915" s="8" t="str">
        <f t="shared" ca="1" si="452"/>
        <v>Blank</v>
      </c>
      <c r="AJ915" s="8">
        <f ca="1">IFERROR(VLOOKUP(PlayerGameData[[#This Row],[School, Opponent,Game'#]],Table3[],2,FALSE),0)</f>
        <v>0</v>
      </c>
      <c r="AK915" s="8">
        <f ca="1">IF(PlayerGameData[[#This Row],[Visible]]=1,1,1000)</f>
        <v>1000</v>
      </c>
      <c r="AL915" s="8">
        <f ca="1">RANK(PlayerGameData[[#This Row],[TL PTS]],PlayerGameData[TL PTS],0)+PlayerGameData[[#This Row],[VisibleOrder]]</f>
        <v>1184</v>
      </c>
      <c r="AM915" s="8">
        <f ca="1">IF(COUNTIF(PlayerGameData[PointOrder],PlayerGameData[[#This Row],[PointOrder]])&gt;1,RANK(PlayerGameData[[#This Row],[FGA]],PlayerGameData[FGA],0)/100,0)+PlayerGameData[[#This Row],[PointOrder]]</f>
        <v>1186.1400000000001</v>
      </c>
      <c r="AN915" s="8">
        <f ca="1">RANK(PlayerGameData[[#This Row],[PointTieBreak]],PlayerGameData[PointTieBreak],1)</f>
        <v>625</v>
      </c>
      <c r="AO915" s="8">
        <f ca="1">RANK(PlayerGameData[[#This Row],[REB]],PlayerGameData[REB],0)+PlayerGameData[[#This Row],[VisibleOrder]]</f>
        <v>1191</v>
      </c>
      <c r="AP915" s="8">
        <f ca="1">IF(COUNTIF(PlayerGameData[REBOrder],PlayerGameData[[#This Row],[REBOrder]])&gt;1,PlayerGameData[[#This Row],[PointRank]]/100+PlayerGameData[[#This Row],[REBOrder]],PlayerGameData[[#This Row],[REBOrder]])</f>
        <v>1197.25</v>
      </c>
      <c r="AQ915" s="8">
        <f ca="1">RANK(PlayerGameData[[#This Row],[REBTieBreak]],PlayerGameData[REBTieBreak],1)</f>
        <v>625</v>
      </c>
      <c r="AR915" s="8">
        <f ca="1">RANK(PlayerGameData[[#This Row],[AST]],PlayerGameData[AST],0)+PlayerGameData[[#This Row],[VisibleOrder]]</f>
        <v>1157</v>
      </c>
      <c r="AS915" s="8">
        <f ca="1">IF(COUNTIF(PlayerGameData[ASTOrder],PlayerGameData[[#This Row],[ASTOrder]])&gt;1,PlayerGameData[[#This Row],[PointRank]]/100+PlayerGameData[[#This Row],[ASTOrder]],PlayerGameData[[#This Row],[ASTOrder]])</f>
        <v>1163.25</v>
      </c>
      <c r="AT915" s="8">
        <f ca="1">RANK(PlayerGameData[[#This Row],[ASTTieBreak]],PlayerGameData[ASTTieBreak],1)</f>
        <v>625</v>
      </c>
      <c r="AU915" s="8">
        <f ca="1">RANK(PlayerGameData[[#This Row],[STL]],PlayerGameData[STL],0)+PlayerGameData[[#This Row],[VisibleOrder]]</f>
        <v>1142</v>
      </c>
      <c r="AV915" s="8">
        <f ca="1">IF(COUNTIF(PlayerGameData[STLOrder],PlayerGameData[[#This Row],[STLOrder]])&gt;1,PlayerGameData[[#This Row],[PointRank]]/100+PlayerGameData[[#This Row],[STLOrder]],PlayerGameData[[#This Row],[STLOrder]])</f>
        <v>1148.25</v>
      </c>
      <c r="AW915" s="8">
        <f ca="1">RANK(PlayerGameData[[#This Row],[STLTieBreak]],PlayerGameData[STLTieBreak],1)</f>
        <v>625</v>
      </c>
      <c r="AX915" s="8">
        <f ca="1">RANK(PlayerGameData[[#This Row],[BLK]],PlayerGameData[BLK],0)+PlayerGameData[[#This Row],[VisibleOrder]]</f>
        <v>1031</v>
      </c>
      <c r="AY915" s="8">
        <f ca="1">IF(COUNTIF(PlayerGameData[BLKOrder],PlayerGameData[[#This Row],[BLKOrder]])&gt;1,PlayerGameData[[#This Row],[PointRank]]/100+PlayerGameData[[#This Row],[BLKOrder]],PlayerGameData[[#This Row],[BLKOrder]])</f>
        <v>1037.25</v>
      </c>
      <c r="AZ915" s="8">
        <f ca="1">RANK(PlayerGameData[[#This Row],[BLKTieBreak]],PlayerGameData[BLKTieBreak],1)</f>
        <v>625</v>
      </c>
      <c r="BA915" s="11">
        <f ca="1">IFERROR(IF(PlayerGameData[[#This Row],[FGA]]&gt;$AA$5,PlayerGameData[[#This Row],[FG%*]],PlayerGameData[[#This Row],[FG%*]]*-1),-2)</f>
        <v>-2</v>
      </c>
      <c r="BB915" s="8">
        <f ca="1">RANK(PlayerGameData[[#This Row],[EligFG]],PlayerGameData[EligFG],0)+PlayerGameData[[#This Row],[VisibleOrder]]</f>
        <v>1214</v>
      </c>
      <c r="BC915" s="8">
        <f ca="1">IF(COUNTIF(PlayerGameData[EligFGOrder],PlayerGameData[[#This Row],[EligFGOrder]])&gt;1,PlayerGameData[[#This Row],[PointRank]]/100+PlayerGameData[[#This Row],[EligFGOrder]],PlayerGameData[[#This Row],[EligFGOrder]])</f>
        <v>1220.25</v>
      </c>
      <c r="BD915" s="8">
        <f ca="1">RANK(PlayerGameData[[#This Row],[EligFGTieBreak]],PlayerGameData[EligFGTieBreak],1)</f>
        <v>625</v>
      </c>
      <c r="BE915" s="8" t="str">
        <f>Roster!$D$3</f>
        <v>East</v>
      </c>
      <c r="BF915" s="8" t="str">
        <f>Roster!$D$2</f>
        <v>Northeast</v>
      </c>
      <c r="BG915" s="8" t="str">
        <f>Roster!$D$4</f>
        <v>North</v>
      </c>
      <c r="BH915" s="197">
        <f ca="1">IFERROR(VLOOKUP(CONCATENATE(PlayerGameData[[#This Row],[Opponent]]," ",MONTH(PlayerGameData[[#This Row],[Date]]),"/",DAY(PlayerGameData[[#This Row],[Date]]),"/",YEAR(PlayerGameData[[#This Row],[Date]])),Table35[],2,FALSE),0)</f>
        <v>0</v>
      </c>
      <c r="BI915" s="197">
        <f ca="1">IF(PlayerGameData[[#This Row],[Visible]]=1,1,1000)</f>
        <v>1000</v>
      </c>
      <c r="BJ915" s="197" t="e">
        <f ca="1">_xlfn.MAXIFS(TeamGameData[Win],TeamGameData[School, Opponent,Game'#],PlayerGameData[[#This Row],[School, Opponent,Game'#]])</f>
        <v>#NAME?</v>
      </c>
      <c r="BK915" s="197" t="e">
        <f ca="1">_xlfn.MAXIFS(TeamGameData[Loss],TeamGameData[School, Opponent,Game'#],PlayerGameData[[#This Row],[School, Opponent,Game'#]])</f>
        <v>#NAME?</v>
      </c>
    </row>
    <row r="916" spans="1:63" x14ac:dyDescent="0.25">
      <c r="A916" s="8" t="str">
        <f t="shared" ca="1" si="453"/>
        <v xml:space="preserve">, </v>
      </c>
      <c r="B916" s="8" t="str">
        <f>Roster!$B$1</f>
        <v>Upton</v>
      </c>
      <c r="C916" s="8">
        <f t="shared" ca="1" si="441"/>
        <v>0</v>
      </c>
      <c r="D916" s="10">
        <f t="shared" ca="1" si="442"/>
        <v>0</v>
      </c>
      <c r="E916" s="8">
        <f t="shared" ca="1" si="443"/>
        <v>0</v>
      </c>
      <c r="F916" s="8">
        <f t="shared" ca="1" si="444"/>
        <v>0</v>
      </c>
      <c r="G916" s="8">
        <f t="shared" ca="1" si="445"/>
        <v>0</v>
      </c>
      <c r="H916" s="8">
        <f t="shared" ca="1" si="446"/>
        <v>0</v>
      </c>
      <c r="I916" s="8">
        <f t="shared" ca="1" si="447"/>
        <v>0</v>
      </c>
      <c r="J916" s="8">
        <f t="shared" ca="1" si="448"/>
        <v>0</v>
      </c>
      <c r="K916" s="8">
        <f t="shared" ca="1" si="449"/>
        <v>0</v>
      </c>
      <c r="L916" s="8">
        <f t="shared" ca="1" si="454"/>
        <v>0</v>
      </c>
      <c r="M916" s="8">
        <f t="shared" ca="1" si="455"/>
        <v>0</v>
      </c>
      <c r="N916" s="8">
        <f t="shared" ca="1" si="456"/>
        <v>0</v>
      </c>
      <c r="O916" s="8">
        <f t="shared" ca="1" si="457"/>
        <v>0</v>
      </c>
      <c r="P916" s="8">
        <f t="shared" ca="1" si="458"/>
        <v>0</v>
      </c>
      <c r="Q916" s="8">
        <f t="shared" ca="1" si="459"/>
        <v>0</v>
      </c>
      <c r="R916" s="8">
        <f t="shared" ca="1" si="460"/>
        <v>0</v>
      </c>
      <c r="S916" s="8">
        <f t="shared" ca="1" si="461"/>
        <v>0</v>
      </c>
      <c r="T916" s="8">
        <f t="shared" ca="1" si="462"/>
        <v>0</v>
      </c>
      <c r="U916" s="8">
        <f t="shared" ca="1" si="463"/>
        <v>0</v>
      </c>
      <c r="V916" s="8">
        <f t="shared" ca="1" si="464"/>
        <v>0</v>
      </c>
      <c r="W916" s="11" t="str">
        <f t="shared" ca="1" si="465"/>
        <v/>
      </c>
      <c r="X916" s="11" t="str">
        <f t="shared" ca="1" si="466"/>
        <v/>
      </c>
      <c r="Y916" s="11" t="str">
        <f t="shared" ca="1" si="467"/>
        <v/>
      </c>
      <c r="Z916" s="11" t="str">
        <f t="shared" ca="1" si="468"/>
        <v/>
      </c>
      <c r="AA916" s="11" t="str">
        <f t="shared" ca="1" si="469"/>
        <v/>
      </c>
      <c r="AB916" s="47">
        <f ca="1">PlayerGameData[[#This Row],[3FGA]]+PlayerGameData[[#This Row],[2FGA]]</f>
        <v>0</v>
      </c>
      <c r="AC916" s="47">
        <f ca="1">PlayerGameData[[#This Row],[OFF REB]]+PlayerGameData[[#This Row],[DEF REB]]</f>
        <v>0</v>
      </c>
      <c r="AD916" s="8">
        <f t="shared" si="450"/>
        <v>38</v>
      </c>
      <c r="AE916" s="8" t="str">
        <f t="shared" ca="1" si="451"/>
        <v>,  - 0 1/0/1900</v>
      </c>
      <c r="AF916" s="8" t="str">
        <f t="shared" ca="1" si="470"/>
        <v/>
      </c>
      <c r="AG916" s="8" t="str">
        <f ca="1">IFERROR(IF(C916=0,"",IF(AND(VLOOKUP(PlayerGameData[[#This Row],[Opponent]],WYTeamInfo,2,FALSE)=Roster!$D$1,VLOOKUP(PlayerGameData[[#This Row],[Opponent]],WYTeamInfo,3,FALSE)=Roster!$D$2),"SR","")),"")</f>
        <v/>
      </c>
      <c r="AH916" s="8" t="str">
        <f>CONCATENATE(Roster!$D$1," ",Roster!$D$5)</f>
        <v>1A BB</v>
      </c>
      <c r="AI916" s="8" t="str">
        <f t="shared" ca="1" si="452"/>
        <v>Blank</v>
      </c>
      <c r="AJ916" s="8">
        <f ca="1">IFERROR(VLOOKUP(PlayerGameData[[#This Row],[School, Opponent,Game'#]],Table3[],2,FALSE),0)</f>
        <v>0</v>
      </c>
      <c r="AK916" s="8">
        <f ca="1">IF(PlayerGameData[[#This Row],[Visible]]=1,1,1000)</f>
        <v>1000</v>
      </c>
      <c r="AL916" s="8">
        <f ca="1">RANK(PlayerGameData[[#This Row],[TL PTS]],PlayerGameData[TL PTS],0)+PlayerGameData[[#This Row],[VisibleOrder]]</f>
        <v>1184</v>
      </c>
      <c r="AM916" s="8">
        <f ca="1">IF(COUNTIF(PlayerGameData[PointOrder],PlayerGameData[[#This Row],[PointOrder]])&gt;1,RANK(PlayerGameData[[#This Row],[FGA]],PlayerGameData[FGA],0)/100,0)+PlayerGameData[[#This Row],[PointOrder]]</f>
        <v>1186.1400000000001</v>
      </c>
      <c r="AN916" s="8">
        <f ca="1">RANK(PlayerGameData[[#This Row],[PointTieBreak]],PlayerGameData[PointTieBreak],1)</f>
        <v>625</v>
      </c>
      <c r="AO916" s="8">
        <f ca="1">RANK(PlayerGameData[[#This Row],[REB]],PlayerGameData[REB],0)+PlayerGameData[[#This Row],[VisibleOrder]]</f>
        <v>1191</v>
      </c>
      <c r="AP916" s="8">
        <f ca="1">IF(COUNTIF(PlayerGameData[REBOrder],PlayerGameData[[#This Row],[REBOrder]])&gt;1,PlayerGameData[[#This Row],[PointRank]]/100+PlayerGameData[[#This Row],[REBOrder]],PlayerGameData[[#This Row],[REBOrder]])</f>
        <v>1197.25</v>
      </c>
      <c r="AQ916" s="8">
        <f ca="1">RANK(PlayerGameData[[#This Row],[REBTieBreak]],PlayerGameData[REBTieBreak],1)</f>
        <v>625</v>
      </c>
      <c r="AR916" s="8">
        <f ca="1">RANK(PlayerGameData[[#This Row],[AST]],PlayerGameData[AST],0)+PlayerGameData[[#This Row],[VisibleOrder]]</f>
        <v>1157</v>
      </c>
      <c r="AS916" s="8">
        <f ca="1">IF(COUNTIF(PlayerGameData[ASTOrder],PlayerGameData[[#This Row],[ASTOrder]])&gt;1,PlayerGameData[[#This Row],[PointRank]]/100+PlayerGameData[[#This Row],[ASTOrder]],PlayerGameData[[#This Row],[ASTOrder]])</f>
        <v>1163.25</v>
      </c>
      <c r="AT916" s="8">
        <f ca="1">RANK(PlayerGameData[[#This Row],[ASTTieBreak]],PlayerGameData[ASTTieBreak],1)</f>
        <v>625</v>
      </c>
      <c r="AU916" s="8">
        <f ca="1">RANK(PlayerGameData[[#This Row],[STL]],PlayerGameData[STL],0)+PlayerGameData[[#This Row],[VisibleOrder]]</f>
        <v>1142</v>
      </c>
      <c r="AV916" s="8">
        <f ca="1">IF(COUNTIF(PlayerGameData[STLOrder],PlayerGameData[[#This Row],[STLOrder]])&gt;1,PlayerGameData[[#This Row],[PointRank]]/100+PlayerGameData[[#This Row],[STLOrder]],PlayerGameData[[#This Row],[STLOrder]])</f>
        <v>1148.25</v>
      </c>
      <c r="AW916" s="8">
        <f ca="1">RANK(PlayerGameData[[#This Row],[STLTieBreak]],PlayerGameData[STLTieBreak],1)</f>
        <v>625</v>
      </c>
      <c r="AX916" s="8">
        <f ca="1">RANK(PlayerGameData[[#This Row],[BLK]],PlayerGameData[BLK],0)+PlayerGameData[[#This Row],[VisibleOrder]]</f>
        <v>1031</v>
      </c>
      <c r="AY916" s="8">
        <f ca="1">IF(COUNTIF(PlayerGameData[BLKOrder],PlayerGameData[[#This Row],[BLKOrder]])&gt;1,PlayerGameData[[#This Row],[PointRank]]/100+PlayerGameData[[#This Row],[BLKOrder]],PlayerGameData[[#This Row],[BLKOrder]])</f>
        <v>1037.25</v>
      </c>
      <c r="AZ916" s="8">
        <f ca="1">RANK(PlayerGameData[[#This Row],[BLKTieBreak]],PlayerGameData[BLKTieBreak],1)</f>
        <v>625</v>
      </c>
      <c r="BA916" s="11">
        <f ca="1">IFERROR(IF(PlayerGameData[[#This Row],[FGA]]&gt;$AA$5,PlayerGameData[[#This Row],[FG%*]],PlayerGameData[[#This Row],[FG%*]]*-1),-2)</f>
        <v>-2</v>
      </c>
      <c r="BB916" s="8">
        <f ca="1">RANK(PlayerGameData[[#This Row],[EligFG]],PlayerGameData[EligFG],0)+PlayerGameData[[#This Row],[VisibleOrder]]</f>
        <v>1214</v>
      </c>
      <c r="BC916" s="8">
        <f ca="1">IF(COUNTIF(PlayerGameData[EligFGOrder],PlayerGameData[[#This Row],[EligFGOrder]])&gt;1,PlayerGameData[[#This Row],[PointRank]]/100+PlayerGameData[[#This Row],[EligFGOrder]],PlayerGameData[[#This Row],[EligFGOrder]])</f>
        <v>1220.25</v>
      </c>
      <c r="BD916" s="8">
        <f ca="1">RANK(PlayerGameData[[#This Row],[EligFGTieBreak]],PlayerGameData[EligFGTieBreak],1)</f>
        <v>625</v>
      </c>
      <c r="BE916" s="8" t="str">
        <f>Roster!$D$3</f>
        <v>East</v>
      </c>
      <c r="BF916" s="8" t="str">
        <f>Roster!$D$2</f>
        <v>Northeast</v>
      </c>
      <c r="BG916" s="8" t="str">
        <f>Roster!$D$4</f>
        <v>North</v>
      </c>
      <c r="BH916" s="197">
        <f ca="1">IFERROR(VLOOKUP(CONCATENATE(PlayerGameData[[#This Row],[Opponent]]," ",MONTH(PlayerGameData[[#This Row],[Date]]),"/",DAY(PlayerGameData[[#This Row],[Date]]),"/",YEAR(PlayerGameData[[#This Row],[Date]])),Table35[],2,FALSE),0)</f>
        <v>0</v>
      </c>
      <c r="BI916" s="197">
        <f ca="1">IF(PlayerGameData[[#This Row],[Visible]]=1,1,1000)</f>
        <v>1000</v>
      </c>
      <c r="BJ916" s="197" t="e">
        <f ca="1">_xlfn.MAXIFS(TeamGameData[Win],TeamGameData[School, Opponent,Game'#],PlayerGameData[[#This Row],[School, Opponent,Game'#]])</f>
        <v>#NAME?</v>
      </c>
      <c r="BK916" s="197" t="e">
        <f ca="1">_xlfn.MAXIFS(TeamGameData[Loss],TeamGameData[School, Opponent,Game'#],PlayerGameData[[#This Row],[School, Opponent,Game'#]])</f>
        <v>#NAME?</v>
      </c>
    </row>
    <row r="917" spans="1:63" x14ac:dyDescent="0.25">
      <c r="A917" s="8" t="str">
        <f t="shared" ca="1" si="453"/>
        <v xml:space="preserve">, </v>
      </c>
      <c r="B917" s="8" t="str">
        <f>Roster!$B$1</f>
        <v>Upton</v>
      </c>
      <c r="C917" s="8">
        <f t="shared" ca="1" si="441"/>
        <v>0</v>
      </c>
      <c r="D917" s="10">
        <f t="shared" ca="1" si="442"/>
        <v>0</v>
      </c>
      <c r="E917" s="8">
        <f t="shared" ca="1" si="443"/>
        <v>0</v>
      </c>
      <c r="F917" s="8">
        <f t="shared" ca="1" si="444"/>
        <v>0</v>
      </c>
      <c r="G917" s="8">
        <f t="shared" ca="1" si="445"/>
        <v>0</v>
      </c>
      <c r="H917" s="8">
        <f t="shared" ca="1" si="446"/>
        <v>0</v>
      </c>
      <c r="I917" s="8">
        <f t="shared" ca="1" si="447"/>
        <v>0</v>
      </c>
      <c r="J917" s="8">
        <f t="shared" ca="1" si="448"/>
        <v>0</v>
      </c>
      <c r="K917" s="8">
        <f t="shared" ca="1" si="449"/>
        <v>0</v>
      </c>
      <c r="L917" s="8">
        <f t="shared" ca="1" si="454"/>
        <v>0</v>
      </c>
      <c r="M917" s="8">
        <f t="shared" ca="1" si="455"/>
        <v>0</v>
      </c>
      <c r="N917" s="8">
        <f t="shared" ca="1" si="456"/>
        <v>0</v>
      </c>
      <c r="O917" s="8">
        <f t="shared" ca="1" si="457"/>
        <v>0</v>
      </c>
      <c r="P917" s="8">
        <f t="shared" ca="1" si="458"/>
        <v>0</v>
      </c>
      <c r="Q917" s="8">
        <f t="shared" ca="1" si="459"/>
        <v>0</v>
      </c>
      <c r="R917" s="8">
        <f t="shared" ca="1" si="460"/>
        <v>0</v>
      </c>
      <c r="S917" s="8">
        <f t="shared" ca="1" si="461"/>
        <v>0</v>
      </c>
      <c r="T917" s="8">
        <f t="shared" ca="1" si="462"/>
        <v>0</v>
      </c>
      <c r="U917" s="8">
        <f t="shared" ca="1" si="463"/>
        <v>0</v>
      </c>
      <c r="V917" s="8">
        <f t="shared" ca="1" si="464"/>
        <v>0</v>
      </c>
      <c r="W917" s="11" t="str">
        <f t="shared" ca="1" si="465"/>
        <v/>
      </c>
      <c r="X917" s="11" t="str">
        <f t="shared" ca="1" si="466"/>
        <v/>
      </c>
      <c r="Y917" s="11" t="str">
        <f t="shared" ca="1" si="467"/>
        <v/>
      </c>
      <c r="Z917" s="11" t="str">
        <f t="shared" ca="1" si="468"/>
        <v/>
      </c>
      <c r="AA917" s="11" t="str">
        <f t="shared" ca="1" si="469"/>
        <v/>
      </c>
      <c r="AB917" s="47">
        <f ca="1">PlayerGameData[[#This Row],[3FGA]]+PlayerGameData[[#This Row],[2FGA]]</f>
        <v>0</v>
      </c>
      <c r="AC917" s="47">
        <f ca="1">PlayerGameData[[#This Row],[OFF REB]]+PlayerGameData[[#This Row],[DEF REB]]</f>
        <v>0</v>
      </c>
      <c r="AD917" s="8">
        <f t="shared" si="450"/>
        <v>38</v>
      </c>
      <c r="AE917" s="8" t="str">
        <f t="shared" ca="1" si="451"/>
        <v>,  - 0 1/0/1900</v>
      </c>
      <c r="AF917" s="8" t="str">
        <f t="shared" ca="1" si="470"/>
        <v/>
      </c>
      <c r="AG917" s="8" t="str">
        <f ca="1">IFERROR(IF(C917=0,"",IF(AND(VLOOKUP(PlayerGameData[[#This Row],[Opponent]],WYTeamInfo,2,FALSE)=Roster!$D$1,VLOOKUP(PlayerGameData[[#This Row],[Opponent]],WYTeamInfo,3,FALSE)=Roster!$D$2),"SR","")),"")</f>
        <v/>
      </c>
      <c r="AH917" s="8" t="str">
        <f>CONCATENATE(Roster!$D$1," ",Roster!$D$5)</f>
        <v>1A BB</v>
      </c>
      <c r="AI917" s="8" t="str">
        <f t="shared" ca="1" si="452"/>
        <v>Blank</v>
      </c>
      <c r="AJ917" s="8">
        <f ca="1">IFERROR(VLOOKUP(PlayerGameData[[#This Row],[School, Opponent,Game'#]],Table3[],2,FALSE),0)</f>
        <v>0</v>
      </c>
      <c r="AK917" s="8">
        <f ca="1">IF(PlayerGameData[[#This Row],[Visible]]=1,1,1000)</f>
        <v>1000</v>
      </c>
      <c r="AL917" s="8">
        <f ca="1">RANK(PlayerGameData[[#This Row],[TL PTS]],PlayerGameData[TL PTS],0)+PlayerGameData[[#This Row],[VisibleOrder]]</f>
        <v>1184</v>
      </c>
      <c r="AM917" s="8">
        <f ca="1">IF(COUNTIF(PlayerGameData[PointOrder],PlayerGameData[[#This Row],[PointOrder]])&gt;1,RANK(PlayerGameData[[#This Row],[FGA]],PlayerGameData[FGA],0)/100,0)+PlayerGameData[[#This Row],[PointOrder]]</f>
        <v>1186.1400000000001</v>
      </c>
      <c r="AN917" s="8">
        <f ca="1">RANK(PlayerGameData[[#This Row],[PointTieBreak]],PlayerGameData[PointTieBreak],1)</f>
        <v>625</v>
      </c>
      <c r="AO917" s="8">
        <f ca="1">RANK(PlayerGameData[[#This Row],[REB]],PlayerGameData[REB],0)+PlayerGameData[[#This Row],[VisibleOrder]]</f>
        <v>1191</v>
      </c>
      <c r="AP917" s="8">
        <f ca="1">IF(COUNTIF(PlayerGameData[REBOrder],PlayerGameData[[#This Row],[REBOrder]])&gt;1,PlayerGameData[[#This Row],[PointRank]]/100+PlayerGameData[[#This Row],[REBOrder]],PlayerGameData[[#This Row],[REBOrder]])</f>
        <v>1197.25</v>
      </c>
      <c r="AQ917" s="8">
        <f ca="1">RANK(PlayerGameData[[#This Row],[REBTieBreak]],PlayerGameData[REBTieBreak],1)</f>
        <v>625</v>
      </c>
      <c r="AR917" s="8">
        <f ca="1">RANK(PlayerGameData[[#This Row],[AST]],PlayerGameData[AST],0)+PlayerGameData[[#This Row],[VisibleOrder]]</f>
        <v>1157</v>
      </c>
      <c r="AS917" s="8">
        <f ca="1">IF(COUNTIF(PlayerGameData[ASTOrder],PlayerGameData[[#This Row],[ASTOrder]])&gt;1,PlayerGameData[[#This Row],[PointRank]]/100+PlayerGameData[[#This Row],[ASTOrder]],PlayerGameData[[#This Row],[ASTOrder]])</f>
        <v>1163.25</v>
      </c>
      <c r="AT917" s="8">
        <f ca="1">RANK(PlayerGameData[[#This Row],[ASTTieBreak]],PlayerGameData[ASTTieBreak],1)</f>
        <v>625</v>
      </c>
      <c r="AU917" s="8">
        <f ca="1">RANK(PlayerGameData[[#This Row],[STL]],PlayerGameData[STL],0)+PlayerGameData[[#This Row],[VisibleOrder]]</f>
        <v>1142</v>
      </c>
      <c r="AV917" s="8">
        <f ca="1">IF(COUNTIF(PlayerGameData[STLOrder],PlayerGameData[[#This Row],[STLOrder]])&gt;1,PlayerGameData[[#This Row],[PointRank]]/100+PlayerGameData[[#This Row],[STLOrder]],PlayerGameData[[#This Row],[STLOrder]])</f>
        <v>1148.25</v>
      </c>
      <c r="AW917" s="8">
        <f ca="1">RANK(PlayerGameData[[#This Row],[STLTieBreak]],PlayerGameData[STLTieBreak],1)</f>
        <v>625</v>
      </c>
      <c r="AX917" s="8">
        <f ca="1">RANK(PlayerGameData[[#This Row],[BLK]],PlayerGameData[BLK],0)+PlayerGameData[[#This Row],[VisibleOrder]]</f>
        <v>1031</v>
      </c>
      <c r="AY917" s="8">
        <f ca="1">IF(COUNTIF(PlayerGameData[BLKOrder],PlayerGameData[[#This Row],[BLKOrder]])&gt;1,PlayerGameData[[#This Row],[PointRank]]/100+PlayerGameData[[#This Row],[BLKOrder]],PlayerGameData[[#This Row],[BLKOrder]])</f>
        <v>1037.25</v>
      </c>
      <c r="AZ917" s="8">
        <f ca="1">RANK(PlayerGameData[[#This Row],[BLKTieBreak]],PlayerGameData[BLKTieBreak],1)</f>
        <v>625</v>
      </c>
      <c r="BA917" s="11">
        <f ca="1">IFERROR(IF(PlayerGameData[[#This Row],[FGA]]&gt;$AA$5,PlayerGameData[[#This Row],[FG%*]],PlayerGameData[[#This Row],[FG%*]]*-1),-2)</f>
        <v>-2</v>
      </c>
      <c r="BB917" s="8">
        <f ca="1">RANK(PlayerGameData[[#This Row],[EligFG]],PlayerGameData[EligFG],0)+PlayerGameData[[#This Row],[VisibleOrder]]</f>
        <v>1214</v>
      </c>
      <c r="BC917" s="8">
        <f ca="1">IF(COUNTIF(PlayerGameData[EligFGOrder],PlayerGameData[[#This Row],[EligFGOrder]])&gt;1,PlayerGameData[[#This Row],[PointRank]]/100+PlayerGameData[[#This Row],[EligFGOrder]],PlayerGameData[[#This Row],[EligFGOrder]])</f>
        <v>1220.25</v>
      </c>
      <c r="BD917" s="8">
        <f ca="1">RANK(PlayerGameData[[#This Row],[EligFGTieBreak]],PlayerGameData[EligFGTieBreak],1)</f>
        <v>625</v>
      </c>
      <c r="BE917" s="8" t="str">
        <f>Roster!$D$3</f>
        <v>East</v>
      </c>
      <c r="BF917" s="8" t="str">
        <f>Roster!$D$2</f>
        <v>Northeast</v>
      </c>
      <c r="BG917" s="8" t="str">
        <f>Roster!$D$4</f>
        <v>North</v>
      </c>
      <c r="BH917" s="197">
        <f ca="1">IFERROR(VLOOKUP(CONCATENATE(PlayerGameData[[#This Row],[Opponent]]," ",MONTH(PlayerGameData[[#This Row],[Date]]),"/",DAY(PlayerGameData[[#This Row],[Date]]),"/",YEAR(PlayerGameData[[#This Row],[Date]])),Table35[],2,FALSE),0)</f>
        <v>0</v>
      </c>
      <c r="BI917" s="197">
        <f ca="1">IF(PlayerGameData[[#This Row],[Visible]]=1,1,1000)</f>
        <v>1000</v>
      </c>
      <c r="BJ917" s="197" t="e">
        <f ca="1">_xlfn.MAXIFS(TeamGameData[Win],TeamGameData[School, Opponent,Game'#],PlayerGameData[[#This Row],[School, Opponent,Game'#]])</f>
        <v>#NAME?</v>
      </c>
      <c r="BK917" s="197" t="e">
        <f ca="1">_xlfn.MAXIFS(TeamGameData[Loss],TeamGameData[School, Opponent,Game'#],PlayerGameData[[#This Row],[School, Opponent,Game'#]])</f>
        <v>#NAME?</v>
      </c>
    </row>
    <row r="918" spans="1:63" x14ac:dyDescent="0.25">
      <c r="A918" s="8" t="str">
        <f t="shared" ca="1" si="453"/>
        <v xml:space="preserve">Team, </v>
      </c>
      <c r="B918" s="8" t="str">
        <f>Roster!$B$1</f>
        <v>Upton</v>
      </c>
      <c r="C918" s="8">
        <f t="shared" ca="1" si="441"/>
        <v>0</v>
      </c>
      <c r="D918" s="10">
        <f t="shared" ca="1" si="442"/>
        <v>0</v>
      </c>
      <c r="E918" s="8">
        <f t="shared" ca="1" si="443"/>
        <v>0</v>
      </c>
      <c r="F918" s="8">
        <f t="shared" ca="1" si="444"/>
        <v>0</v>
      </c>
      <c r="G918" s="8">
        <f t="shared" ca="1" si="445"/>
        <v>0</v>
      </c>
      <c r="H918" s="8">
        <f t="shared" ca="1" si="446"/>
        <v>0</v>
      </c>
      <c r="I918" s="8">
        <f t="shared" ca="1" si="447"/>
        <v>0</v>
      </c>
      <c r="J918" s="8">
        <f t="shared" ca="1" si="448"/>
        <v>0</v>
      </c>
      <c r="K918" s="8">
        <f t="shared" ca="1" si="449"/>
        <v>0</v>
      </c>
      <c r="L918" s="8">
        <f t="shared" ca="1" si="454"/>
        <v>0</v>
      </c>
      <c r="M918" s="8">
        <f t="shared" ca="1" si="455"/>
        <v>0</v>
      </c>
      <c r="N918" s="8">
        <f t="shared" ca="1" si="456"/>
        <v>0</v>
      </c>
      <c r="O918" s="8">
        <f t="shared" ca="1" si="457"/>
        <v>0</v>
      </c>
      <c r="P918" s="8">
        <f t="shared" ca="1" si="458"/>
        <v>0</v>
      </c>
      <c r="Q918" s="8">
        <f t="shared" ca="1" si="459"/>
        <v>0</v>
      </c>
      <c r="R918" s="8">
        <f t="shared" ca="1" si="460"/>
        <v>0</v>
      </c>
      <c r="S918" s="8">
        <f t="shared" ca="1" si="461"/>
        <v>0</v>
      </c>
      <c r="T918" s="8">
        <f t="shared" ca="1" si="462"/>
        <v>0</v>
      </c>
      <c r="U918" s="8">
        <f t="shared" ca="1" si="463"/>
        <v>0</v>
      </c>
      <c r="V918" s="8">
        <f t="shared" ca="1" si="464"/>
        <v>0</v>
      </c>
      <c r="W918" s="11" t="str">
        <f t="shared" ca="1" si="465"/>
        <v/>
      </c>
      <c r="X918" s="11" t="str">
        <f t="shared" ca="1" si="466"/>
        <v/>
      </c>
      <c r="Y918" s="11" t="str">
        <f t="shared" ca="1" si="467"/>
        <v/>
      </c>
      <c r="Z918" s="11" t="str">
        <f t="shared" ca="1" si="468"/>
        <v/>
      </c>
      <c r="AA918" s="11" t="str">
        <f t="shared" ca="1" si="469"/>
        <v/>
      </c>
      <c r="AB918" s="47">
        <f ca="1">PlayerGameData[[#This Row],[3FGA]]+PlayerGameData[[#This Row],[2FGA]]</f>
        <v>0</v>
      </c>
      <c r="AC918" s="47">
        <f ca="1">PlayerGameData[[#This Row],[OFF REB]]+PlayerGameData[[#This Row],[DEF REB]]</f>
        <v>0</v>
      </c>
      <c r="AD918" s="8">
        <f t="shared" si="450"/>
        <v>38</v>
      </c>
      <c r="AE918" s="8" t="str">
        <f t="shared" ca="1" si="451"/>
        <v>Team,  - 0 1/0/1900</v>
      </c>
      <c r="AF918" s="8" t="str">
        <f t="shared" ca="1" si="470"/>
        <v/>
      </c>
      <c r="AG918" s="8" t="str">
        <f ca="1">IFERROR(IF(C918=0,"",IF(AND(VLOOKUP(PlayerGameData[[#This Row],[Opponent]],WYTeamInfo,2,FALSE)=Roster!$D$1,VLOOKUP(PlayerGameData[[#This Row],[Opponent]],WYTeamInfo,3,FALSE)=Roster!$D$2),"SR","")),"")</f>
        <v/>
      </c>
      <c r="AH918" s="8" t="str">
        <f>CONCATENATE(Roster!$D$1," ",Roster!$D$5)</f>
        <v>1A BB</v>
      </c>
      <c r="AI918" s="8" t="str">
        <f t="shared" ca="1" si="452"/>
        <v>Blank</v>
      </c>
      <c r="AJ918" s="8">
        <f ca="1">IFERROR(VLOOKUP(PlayerGameData[[#This Row],[School, Opponent,Game'#]],Table3[],2,FALSE),0)</f>
        <v>0</v>
      </c>
      <c r="AK918" s="8">
        <f ca="1">IF(PlayerGameData[[#This Row],[Visible]]=1,1,1000)</f>
        <v>1000</v>
      </c>
      <c r="AL918" s="8">
        <f ca="1">RANK(PlayerGameData[[#This Row],[TL PTS]],PlayerGameData[TL PTS],0)+PlayerGameData[[#This Row],[VisibleOrder]]</f>
        <v>1184</v>
      </c>
      <c r="AM918" s="8">
        <f ca="1">IF(COUNTIF(PlayerGameData[PointOrder],PlayerGameData[[#This Row],[PointOrder]])&gt;1,RANK(PlayerGameData[[#This Row],[FGA]],PlayerGameData[FGA],0)/100,0)+PlayerGameData[[#This Row],[PointOrder]]</f>
        <v>1186.1400000000001</v>
      </c>
      <c r="AN918" s="8">
        <f ca="1">RANK(PlayerGameData[[#This Row],[PointTieBreak]],PlayerGameData[PointTieBreak],1)</f>
        <v>625</v>
      </c>
      <c r="AO918" s="8">
        <f ca="1">RANK(PlayerGameData[[#This Row],[REB]],PlayerGameData[REB],0)+PlayerGameData[[#This Row],[VisibleOrder]]</f>
        <v>1191</v>
      </c>
      <c r="AP918" s="8">
        <f ca="1">IF(COUNTIF(PlayerGameData[REBOrder],PlayerGameData[[#This Row],[REBOrder]])&gt;1,PlayerGameData[[#This Row],[PointRank]]/100+PlayerGameData[[#This Row],[REBOrder]],PlayerGameData[[#This Row],[REBOrder]])</f>
        <v>1197.25</v>
      </c>
      <c r="AQ918" s="8">
        <f ca="1">RANK(PlayerGameData[[#This Row],[REBTieBreak]],PlayerGameData[REBTieBreak],1)</f>
        <v>625</v>
      </c>
      <c r="AR918" s="8">
        <f ca="1">RANK(PlayerGameData[[#This Row],[AST]],PlayerGameData[AST],0)+PlayerGameData[[#This Row],[VisibleOrder]]</f>
        <v>1157</v>
      </c>
      <c r="AS918" s="8">
        <f ca="1">IF(COUNTIF(PlayerGameData[ASTOrder],PlayerGameData[[#This Row],[ASTOrder]])&gt;1,PlayerGameData[[#This Row],[PointRank]]/100+PlayerGameData[[#This Row],[ASTOrder]],PlayerGameData[[#This Row],[ASTOrder]])</f>
        <v>1163.25</v>
      </c>
      <c r="AT918" s="8">
        <f ca="1">RANK(PlayerGameData[[#This Row],[ASTTieBreak]],PlayerGameData[ASTTieBreak],1)</f>
        <v>625</v>
      </c>
      <c r="AU918" s="8">
        <f ca="1">RANK(PlayerGameData[[#This Row],[STL]],PlayerGameData[STL],0)+PlayerGameData[[#This Row],[VisibleOrder]]</f>
        <v>1142</v>
      </c>
      <c r="AV918" s="8">
        <f ca="1">IF(COUNTIF(PlayerGameData[STLOrder],PlayerGameData[[#This Row],[STLOrder]])&gt;1,PlayerGameData[[#This Row],[PointRank]]/100+PlayerGameData[[#This Row],[STLOrder]],PlayerGameData[[#This Row],[STLOrder]])</f>
        <v>1148.25</v>
      </c>
      <c r="AW918" s="8">
        <f ca="1">RANK(PlayerGameData[[#This Row],[STLTieBreak]],PlayerGameData[STLTieBreak],1)</f>
        <v>625</v>
      </c>
      <c r="AX918" s="8">
        <f ca="1">RANK(PlayerGameData[[#This Row],[BLK]],PlayerGameData[BLK],0)+PlayerGameData[[#This Row],[VisibleOrder]]</f>
        <v>1031</v>
      </c>
      <c r="AY918" s="8">
        <f ca="1">IF(COUNTIF(PlayerGameData[BLKOrder],PlayerGameData[[#This Row],[BLKOrder]])&gt;1,PlayerGameData[[#This Row],[PointRank]]/100+PlayerGameData[[#This Row],[BLKOrder]],PlayerGameData[[#This Row],[BLKOrder]])</f>
        <v>1037.25</v>
      </c>
      <c r="AZ918" s="8">
        <f ca="1">RANK(PlayerGameData[[#This Row],[BLKTieBreak]],PlayerGameData[BLKTieBreak],1)</f>
        <v>625</v>
      </c>
      <c r="BA918" s="11">
        <f ca="1">IFERROR(IF(PlayerGameData[[#This Row],[FGA]]&gt;$AA$5,PlayerGameData[[#This Row],[FG%*]],PlayerGameData[[#This Row],[FG%*]]*-1),-2)</f>
        <v>-2</v>
      </c>
      <c r="BB918" s="8">
        <f ca="1">RANK(PlayerGameData[[#This Row],[EligFG]],PlayerGameData[EligFG],0)+PlayerGameData[[#This Row],[VisibleOrder]]</f>
        <v>1214</v>
      </c>
      <c r="BC918" s="8">
        <f ca="1">IF(COUNTIF(PlayerGameData[EligFGOrder],PlayerGameData[[#This Row],[EligFGOrder]])&gt;1,PlayerGameData[[#This Row],[PointRank]]/100+PlayerGameData[[#This Row],[EligFGOrder]],PlayerGameData[[#This Row],[EligFGOrder]])</f>
        <v>1220.25</v>
      </c>
      <c r="BD918" s="8">
        <f ca="1">RANK(PlayerGameData[[#This Row],[EligFGTieBreak]],PlayerGameData[EligFGTieBreak],1)</f>
        <v>625</v>
      </c>
      <c r="BE918" s="8" t="str">
        <f>Roster!$D$3</f>
        <v>East</v>
      </c>
      <c r="BF918" s="8" t="str">
        <f>Roster!$D$2</f>
        <v>Northeast</v>
      </c>
      <c r="BG918" s="8" t="str">
        <f>Roster!$D$4</f>
        <v>North</v>
      </c>
      <c r="BH918" s="197">
        <f ca="1">IFERROR(VLOOKUP(CONCATENATE(PlayerGameData[[#This Row],[Opponent]]," ",MONTH(PlayerGameData[[#This Row],[Date]]),"/",DAY(PlayerGameData[[#This Row],[Date]]),"/",YEAR(PlayerGameData[[#This Row],[Date]])),Table35[],2,FALSE),0)</f>
        <v>0</v>
      </c>
      <c r="BI918" s="197">
        <f ca="1">IF(PlayerGameData[[#This Row],[Visible]]=1,1,1000)</f>
        <v>1000</v>
      </c>
      <c r="BJ918" s="197" t="e">
        <f ca="1">_xlfn.MAXIFS(TeamGameData[Win],TeamGameData[School, Opponent,Game'#],PlayerGameData[[#This Row],[School, Opponent,Game'#]])</f>
        <v>#NAME?</v>
      </c>
      <c r="BK918" s="197" t="e">
        <f ca="1">_xlfn.MAXIFS(TeamGameData[Loss],TeamGameData[School, Opponent,Game'#],PlayerGameData[[#This Row],[School, Opponent,Game'#]])</f>
        <v>#NAME?</v>
      </c>
    </row>
    <row r="919" spans="1:63" x14ac:dyDescent="0.25">
      <c r="A919" s="8" t="str">
        <f t="shared" ca="1" si="453"/>
        <v>Landon Butler, 1</v>
      </c>
      <c r="B919" s="8" t="str">
        <f>Roster!$B$1</f>
        <v>Upton</v>
      </c>
      <c r="C919" s="8">
        <f t="shared" ca="1" si="441"/>
        <v>0</v>
      </c>
      <c r="D919" s="10">
        <f t="shared" ca="1" si="442"/>
        <v>0</v>
      </c>
      <c r="E919" s="8">
        <f t="shared" ca="1" si="443"/>
        <v>0</v>
      </c>
      <c r="F919" s="8">
        <f t="shared" ca="1" si="444"/>
        <v>0</v>
      </c>
      <c r="G919" s="8">
        <f t="shared" ca="1" si="445"/>
        <v>0</v>
      </c>
      <c r="H919" s="8">
        <f t="shared" ca="1" si="446"/>
        <v>0</v>
      </c>
      <c r="I919" s="8">
        <f t="shared" ca="1" si="447"/>
        <v>0</v>
      </c>
      <c r="J919" s="8">
        <f t="shared" ca="1" si="448"/>
        <v>0</v>
      </c>
      <c r="K919" s="8">
        <f t="shared" ca="1" si="449"/>
        <v>0</v>
      </c>
      <c r="L919" s="8">
        <f t="shared" ca="1" si="454"/>
        <v>0</v>
      </c>
      <c r="M919" s="8">
        <f t="shared" ca="1" si="455"/>
        <v>0</v>
      </c>
      <c r="N919" s="8">
        <f t="shared" ca="1" si="456"/>
        <v>0</v>
      </c>
      <c r="O919" s="8">
        <f t="shared" ca="1" si="457"/>
        <v>0</v>
      </c>
      <c r="P919" s="8">
        <f t="shared" ca="1" si="458"/>
        <v>0</v>
      </c>
      <c r="Q919" s="8">
        <f t="shared" ca="1" si="459"/>
        <v>0</v>
      </c>
      <c r="R919" s="8">
        <f t="shared" ca="1" si="460"/>
        <v>0</v>
      </c>
      <c r="S919" s="8">
        <f t="shared" ca="1" si="461"/>
        <v>0</v>
      </c>
      <c r="T919" s="8">
        <f t="shared" ca="1" si="462"/>
        <v>0</v>
      </c>
      <c r="U919" s="8">
        <f t="shared" ca="1" si="463"/>
        <v>0</v>
      </c>
      <c r="V919" s="8">
        <f t="shared" ca="1" si="464"/>
        <v>0</v>
      </c>
      <c r="W919" s="11" t="str">
        <f t="shared" ca="1" si="465"/>
        <v/>
      </c>
      <c r="X919" s="11" t="str">
        <f t="shared" ca="1" si="466"/>
        <v/>
      </c>
      <c r="Y919" s="11" t="str">
        <f t="shared" ca="1" si="467"/>
        <v/>
      </c>
      <c r="Z919" s="11" t="str">
        <f t="shared" ca="1" si="468"/>
        <v/>
      </c>
      <c r="AA919" s="11" t="str">
        <f t="shared" ca="1" si="469"/>
        <v/>
      </c>
      <c r="AB919" s="47">
        <f ca="1">PlayerGameData[[#This Row],[3FGA]]+PlayerGameData[[#This Row],[2FGA]]</f>
        <v>0</v>
      </c>
      <c r="AC919" s="47">
        <f ca="1">PlayerGameData[[#This Row],[OFF REB]]+PlayerGameData[[#This Row],[DEF REB]]</f>
        <v>0</v>
      </c>
      <c r="AD919" s="8">
        <f t="shared" si="450"/>
        <v>39</v>
      </c>
      <c r="AE919" s="8" t="str">
        <f t="shared" ca="1" si="451"/>
        <v>Landon Butler, 1 - 0 1/0/1900</v>
      </c>
      <c r="AF919" s="8" t="str">
        <f t="shared" ca="1" si="470"/>
        <v/>
      </c>
      <c r="AG919" s="8" t="str">
        <f ca="1">IFERROR(IF(C919=0,"",IF(AND(VLOOKUP(PlayerGameData[[#This Row],[Opponent]],WYTeamInfo,2,FALSE)=Roster!$D$1,VLOOKUP(PlayerGameData[[#This Row],[Opponent]],WYTeamInfo,3,FALSE)=Roster!$D$2),"SR","")),"")</f>
        <v/>
      </c>
      <c r="AH919" s="8" t="str">
        <f>CONCATENATE(Roster!$D$1," ",Roster!$D$5)</f>
        <v>1A BB</v>
      </c>
      <c r="AI919" s="8" t="str">
        <f t="shared" ca="1" si="452"/>
        <v>Blank</v>
      </c>
      <c r="AJ919" s="8">
        <f ca="1">IFERROR(VLOOKUP(PlayerGameData[[#This Row],[School, Opponent,Game'#]],Table3[],2,FALSE),0)</f>
        <v>0</v>
      </c>
      <c r="AK919" s="8">
        <f ca="1">IF(PlayerGameData[[#This Row],[Visible]]=1,1,1000)</f>
        <v>1000</v>
      </c>
      <c r="AL919" s="8">
        <f ca="1">RANK(PlayerGameData[[#This Row],[TL PTS]],PlayerGameData[TL PTS],0)+PlayerGameData[[#This Row],[VisibleOrder]]</f>
        <v>1184</v>
      </c>
      <c r="AM919" s="8">
        <f ca="1">IF(COUNTIF(PlayerGameData[PointOrder],PlayerGameData[[#This Row],[PointOrder]])&gt;1,RANK(PlayerGameData[[#This Row],[FGA]],PlayerGameData[FGA],0)/100,0)+PlayerGameData[[#This Row],[PointOrder]]</f>
        <v>1186.1400000000001</v>
      </c>
      <c r="AN919" s="8">
        <f ca="1">RANK(PlayerGameData[[#This Row],[PointTieBreak]],PlayerGameData[PointTieBreak],1)</f>
        <v>625</v>
      </c>
      <c r="AO919" s="8">
        <f ca="1">RANK(PlayerGameData[[#This Row],[REB]],PlayerGameData[REB],0)+PlayerGameData[[#This Row],[VisibleOrder]]</f>
        <v>1191</v>
      </c>
      <c r="AP919" s="8">
        <f ca="1">IF(COUNTIF(PlayerGameData[REBOrder],PlayerGameData[[#This Row],[REBOrder]])&gt;1,PlayerGameData[[#This Row],[PointRank]]/100+PlayerGameData[[#This Row],[REBOrder]],PlayerGameData[[#This Row],[REBOrder]])</f>
        <v>1197.25</v>
      </c>
      <c r="AQ919" s="8">
        <f ca="1">RANK(PlayerGameData[[#This Row],[REBTieBreak]],PlayerGameData[REBTieBreak],1)</f>
        <v>625</v>
      </c>
      <c r="AR919" s="8">
        <f ca="1">RANK(PlayerGameData[[#This Row],[AST]],PlayerGameData[AST],0)+PlayerGameData[[#This Row],[VisibleOrder]]</f>
        <v>1157</v>
      </c>
      <c r="AS919" s="8">
        <f ca="1">IF(COUNTIF(PlayerGameData[ASTOrder],PlayerGameData[[#This Row],[ASTOrder]])&gt;1,PlayerGameData[[#This Row],[PointRank]]/100+PlayerGameData[[#This Row],[ASTOrder]],PlayerGameData[[#This Row],[ASTOrder]])</f>
        <v>1163.25</v>
      </c>
      <c r="AT919" s="8">
        <f ca="1">RANK(PlayerGameData[[#This Row],[ASTTieBreak]],PlayerGameData[ASTTieBreak],1)</f>
        <v>625</v>
      </c>
      <c r="AU919" s="8">
        <f ca="1">RANK(PlayerGameData[[#This Row],[STL]],PlayerGameData[STL],0)+PlayerGameData[[#This Row],[VisibleOrder]]</f>
        <v>1142</v>
      </c>
      <c r="AV919" s="8">
        <f ca="1">IF(COUNTIF(PlayerGameData[STLOrder],PlayerGameData[[#This Row],[STLOrder]])&gt;1,PlayerGameData[[#This Row],[PointRank]]/100+PlayerGameData[[#This Row],[STLOrder]],PlayerGameData[[#This Row],[STLOrder]])</f>
        <v>1148.25</v>
      </c>
      <c r="AW919" s="8">
        <f ca="1">RANK(PlayerGameData[[#This Row],[STLTieBreak]],PlayerGameData[STLTieBreak],1)</f>
        <v>625</v>
      </c>
      <c r="AX919" s="8">
        <f ca="1">RANK(PlayerGameData[[#This Row],[BLK]],PlayerGameData[BLK],0)+PlayerGameData[[#This Row],[VisibleOrder]]</f>
        <v>1031</v>
      </c>
      <c r="AY919" s="8">
        <f ca="1">IF(COUNTIF(PlayerGameData[BLKOrder],PlayerGameData[[#This Row],[BLKOrder]])&gt;1,PlayerGameData[[#This Row],[PointRank]]/100+PlayerGameData[[#This Row],[BLKOrder]],PlayerGameData[[#This Row],[BLKOrder]])</f>
        <v>1037.25</v>
      </c>
      <c r="AZ919" s="8">
        <f ca="1">RANK(PlayerGameData[[#This Row],[BLKTieBreak]],PlayerGameData[BLKTieBreak],1)</f>
        <v>625</v>
      </c>
      <c r="BA919" s="11">
        <f ca="1">IFERROR(IF(PlayerGameData[[#This Row],[FGA]]&gt;$AA$5,PlayerGameData[[#This Row],[FG%*]],PlayerGameData[[#This Row],[FG%*]]*-1),-2)</f>
        <v>-2</v>
      </c>
      <c r="BB919" s="8">
        <f ca="1">RANK(PlayerGameData[[#This Row],[EligFG]],PlayerGameData[EligFG],0)+PlayerGameData[[#This Row],[VisibleOrder]]</f>
        <v>1214</v>
      </c>
      <c r="BC919" s="8">
        <f ca="1">IF(COUNTIF(PlayerGameData[EligFGOrder],PlayerGameData[[#This Row],[EligFGOrder]])&gt;1,PlayerGameData[[#This Row],[PointRank]]/100+PlayerGameData[[#This Row],[EligFGOrder]],PlayerGameData[[#This Row],[EligFGOrder]])</f>
        <v>1220.25</v>
      </c>
      <c r="BD919" s="8">
        <f ca="1">RANK(PlayerGameData[[#This Row],[EligFGTieBreak]],PlayerGameData[EligFGTieBreak],1)</f>
        <v>625</v>
      </c>
      <c r="BE919" s="8" t="str">
        <f>Roster!$D$3</f>
        <v>East</v>
      </c>
      <c r="BF919" s="8" t="str">
        <f>Roster!$D$2</f>
        <v>Northeast</v>
      </c>
      <c r="BG919" s="8" t="str">
        <f>Roster!$D$4</f>
        <v>North</v>
      </c>
      <c r="BH919" s="197">
        <f ca="1">IFERROR(VLOOKUP(CONCATENATE(PlayerGameData[[#This Row],[Opponent]]," ",MONTH(PlayerGameData[[#This Row],[Date]]),"/",DAY(PlayerGameData[[#This Row],[Date]]),"/",YEAR(PlayerGameData[[#This Row],[Date]])),Table35[],2,FALSE),0)</f>
        <v>0</v>
      </c>
      <c r="BI919" s="197">
        <f ca="1">IF(PlayerGameData[[#This Row],[Visible]]=1,1,1000)</f>
        <v>1000</v>
      </c>
      <c r="BJ919" s="197" t="e">
        <f ca="1">_xlfn.MAXIFS(TeamGameData[Win],TeamGameData[School, Opponent,Game'#],PlayerGameData[[#This Row],[School, Opponent,Game'#]])</f>
        <v>#NAME?</v>
      </c>
      <c r="BK919" s="197" t="e">
        <f ca="1">_xlfn.MAXIFS(TeamGameData[Loss],TeamGameData[School, Opponent,Game'#],PlayerGameData[[#This Row],[School, Opponent,Game'#]])</f>
        <v>#NAME?</v>
      </c>
    </row>
    <row r="920" spans="1:63" x14ac:dyDescent="0.25">
      <c r="A920" s="8" t="str">
        <f t="shared" ca="1" si="453"/>
        <v>Logan Timberman, 3</v>
      </c>
      <c r="B920" s="8" t="str">
        <f>Roster!$B$1</f>
        <v>Upton</v>
      </c>
      <c r="C920" s="8">
        <f t="shared" ca="1" si="441"/>
        <v>0</v>
      </c>
      <c r="D920" s="10">
        <f t="shared" ca="1" si="442"/>
        <v>0</v>
      </c>
      <c r="E920" s="8">
        <f t="shared" ca="1" si="443"/>
        <v>0</v>
      </c>
      <c r="F920" s="8">
        <f t="shared" ca="1" si="444"/>
        <v>0</v>
      </c>
      <c r="G920" s="8">
        <f t="shared" ca="1" si="445"/>
        <v>0</v>
      </c>
      <c r="H920" s="8">
        <f t="shared" ca="1" si="446"/>
        <v>0</v>
      </c>
      <c r="I920" s="8">
        <f t="shared" ca="1" si="447"/>
        <v>0</v>
      </c>
      <c r="J920" s="8">
        <f t="shared" ca="1" si="448"/>
        <v>0</v>
      </c>
      <c r="K920" s="8">
        <f t="shared" ca="1" si="449"/>
        <v>0</v>
      </c>
      <c r="L920" s="8">
        <f t="shared" ca="1" si="454"/>
        <v>0</v>
      </c>
      <c r="M920" s="8">
        <f t="shared" ca="1" si="455"/>
        <v>0</v>
      </c>
      <c r="N920" s="8">
        <f t="shared" ca="1" si="456"/>
        <v>0</v>
      </c>
      <c r="O920" s="8">
        <f t="shared" ca="1" si="457"/>
        <v>0</v>
      </c>
      <c r="P920" s="8">
        <f t="shared" ca="1" si="458"/>
        <v>0</v>
      </c>
      <c r="Q920" s="8">
        <f t="shared" ca="1" si="459"/>
        <v>0</v>
      </c>
      <c r="R920" s="8">
        <f t="shared" ca="1" si="460"/>
        <v>0</v>
      </c>
      <c r="S920" s="8">
        <f t="shared" ca="1" si="461"/>
        <v>0</v>
      </c>
      <c r="T920" s="8">
        <f t="shared" ca="1" si="462"/>
        <v>0</v>
      </c>
      <c r="U920" s="8">
        <f t="shared" ca="1" si="463"/>
        <v>0</v>
      </c>
      <c r="V920" s="8">
        <f t="shared" ca="1" si="464"/>
        <v>0</v>
      </c>
      <c r="W920" s="11" t="str">
        <f t="shared" ca="1" si="465"/>
        <v/>
      </c>
      <c r="X920" s="11" t="str">
        <f t="shared" ca="1" si="466"/>
        <v/>
      </c>
      <c r="Y920" s="11" t="str">
        <f t="shared" ca="1" si="467"/>
        <v/>
      </c>
      <c r="Z920" s="11" t="str">
        <f t="shared" ca="1" si="468"/>
        <v/>
      </c>
      <c r="AA920" s="11" t="str">
        <f t="shared" ca="1" si="469"/>
        <v/>
      </c>
      <c r="AB920" s="47">
        <f ca="1">PlayerGameData[[#This Row],[3FGA]]+PlayerGameData[[#This Row],[2FGA]]</f>
        <v>0</v>
      </c>
      <c r="AC920" s="47">
        <f ca="1">PlayerGameData[[#This Row],[OFF REB]]+PlayerGameData[[#This Row],[DEF REB]]</f>
        <v>0</v>
      </c>
      <c r="AD920" s="8">
        <f t="shared" si="450"/>
        <v>39</v>
      </c>
      <c r="AE920" s="8" t="str">
        <f t="shared" ca="1" si="451"/>
        <v>Logan Timberman, 3 - 0 1/0/1900</v>
      </c>
      <c r="AF920" s="8" t="str">
        <f t="shared" ca="1" si="470"/>
        <v/>
      </c>
      <c r="AG920" s="8" t="str">
        <f ca="1">IFERROR(IF(C920=0,"",IF(AND(VLOOKUP(PlayerGameData[[#This Row],[Opponent]],WYTeamInfo,2,FALSE)=Roster!$D$1,VLOOKUP(PlayerGameData[[#This Row],[Opponent]],WYTeamInfo,3,FALSE)=Roster!$D$2),"SR","")),"")</f>
        <v/>
      </c>
      <c r="AH920" s="8" t="str">
        <f>CONCATENATE(Roster!$D$1," ",Roster!$D$5)</f>
        <v>1A BB</v>
      </c>
      <c r="AI920" s="8" t="str">
        <f t="shared" ca="1" si="452"/>
        <v>Blank</v>
      </c>
      <c r="AJ920" s="8">
        <f ca="1">IFERROR(VLOOKUP(PlayerGameData[[#This Row],[School, Opponent,Game'#]],Table3[],2,FALSE),0)</f>
        <v>0</v>
      </c>
      <c r="AK920" s="8">
        <f ca="1">IF(PlayerGameData[[#This Row],[Visible]]=1,1,1000)</f>
        <v>1000</v>
      </c>
      <c r="AL920" s="8">
        <f ca="1">RANK(PlayerGameData[[#This Row],[TL PTS]],PlayerGameData[TL PTS],0)+PlayerGameData[[#This Row],[VisibleOrder]]</f>
        <v>1184</v>
      </c>
      <c r="AM920" s="8">
        <f ca="1">IF(COUNTIF(PlayerGameData[PointOrder],PlayerGameData[[#This Row],[PointOrder]])&gt;1,RANK(PlayerGameData[[#This Row],[FGA]],PlayerGameData[FGA],0)/100,0)+PlayerGameData[[#This Row],[PointOrder]]</f>
        <v>1186.1400000000001</v>
      </c>
      <c r="AN920" s="8">
        <f ca="1">RANK(PlayerGameData[[#This Row],[PointTieBreak]],PlayerGameData[PointTieBreak],1)</f>
        <v>625</v>
      </c>
      <c r="AO920" s="8">
        <f ca="1">RANK(PlayerGameData[[#This Row],[REB]],PlayerGameData[REB],0)+PlayerGameData[[#This Row],[VisibleOrder]]</f>
        <v>1191</v>
      </c>
      <c r="AP920" s="8">
        <f ca="1">IF(COUNTIF(PlayerGameData[REBOrder],PlayerGameData[[#This Row],[REBOrder]])&gt;1,PlayerGameData[[#This Row],[PointRank]]/100+PlayerGameData[[#This Row],[REBOrder]],PlayerGameData[[#This Row],[REBOrder]])</f>
        <v>1197.25</v>
      </c>
      <c r="AQ920" s="8">
        <f ca="1">RANK(PlayerGameData[[#This Row],[REBTieBreak]],PlayerGameData[REBTieBreak],1)</f>
        <v>625</v>
      </c>
      <c r="AR920" s="8">
        <f ca="1">RANK(PlayerGameData[[#This Row],[AST]],PlayerGameData[AST],0)+PlayerGameData[[#This Row],[VisibleOrder]]</f>
        <v>1157</v>
      </c>
      <c r="AS920" s="8">
        <f ca="1">IF(COUNTIF(PlayerGameData[ASTOrder],PlayerGameData[[#This Row],[ASTOrder]])&gt;1,PlayerGameData[[#This Row],[PointRank]]/100+PlayerGameData[[#This Row],[ASTOrder]],PlayerGameData[[#This Row],[ASTOrder]])</f>
        <v>1163.25</v>
      </c>
      <c r="AT920" s="8">
        <f ca="1">RANK(PlayerGameData[[#This Row],[ASTTieBreak]],PlayerGameData[ASTTieBreak],1)</f>
        <v>625</v>
      </c>
      <c r="AU920" s="8">
        <f ca="1">RANK(PlayerGameData[[#This Row],[STL]],PlayerGameData[STL],0)+PlayerGameData[[#This Row],[VisibleOrder]]</f>
        <v>1142</v>
      </c>
      <c r="AV920" s="8">
        <f ca="1">IF(COUNTIF(PlayerGameData[STLOrder],PlayerGameData[[#This Row],[STLOrder]])&gt;1,PlayerGameData[[#This Row],[PointRank]]/100+PlayerGameData[[#This Row],[STLOrder]],PlayerGameData[[#This Row],[STLOrder]])</f>
        <v>1148.25</v>
      </c>
      <c r="AW920" s="8">
        <f ca="1">RANK(PlayerGameData[[#This Row],[STLTieBreak]],PlayerGameData[STLTieBreak],1)</f>
        <v>625</v>
      </c>
      <c r="AX920" s="8">
        <f ca="1">RANK(PlayerGameData[[#This Row],[BLK]],PlayerGameData[BLK],0)+PlayerGameData[[#This Row],[VisibleOrder]]</f>
        <v>1031</v>
      </c>
      <c r="AY920" s="8">
        <f ca="1">IF(COUNTIF(PlayerGameData[BLKOrder],PlayerGameData[[#This Row],[BLKOrder]])&gt;1,PlayerGameData[[#This Row],[PointRank]]/100+PlayerGameData[[#This Row],[BLKOrder]],PlayerGameData[[#This Row],[BLKOrder]])</f>
        <v>1037.25</v>
      </c>
      <c r="AZ920" s="8">
        <f ca="1">RANK(PlayerGameData[[#This Row],[BLKTieBreak]],PlayerGameData[BLKTieBreak],1)</f>
        <v>625</v>
      </c>
      <c r="BA920" s="11">
        <f ca="1">IFERROR(IF(PlayerGameData[[#This Row],[FGA]]&gt;$AA$5,PlayerGameData[[#This Row],[FG%*]],PlayerGameData[[#This Row],[FG%*]]*-1),-2)</f>
        <v>-2</v>
      </c>
      <c r="BB920" s="8">
        <f ca="1">RANK(PlayerGameData[[#This Row],[EligFG]],PlayerGameData[EligFG],0)+PlayerGameData[[#This Row],[VisibleOrder]]</f>
        <v>1214</v>
      </c>
      <c r="BC920" s="8">
        <f ca="1">IF(COUNTIF(PlayerGameData[EligFGOrder],PlayerGameData[[#This Row],[EligFGOrder]])&gt;1,PlayerGameData[[#This Row],[PointRank]]/100+PlayerGameData[[#This Row],[EligFGOrder]],PlayerGameData[[#This Row],[EligFGOrder]])</f>
        <v>1220.25</v>
      </c>
      <c r="BD920" s="8">
        <f ca="1">RANK(PlayerGameData[[#This Row],[EligFGTieBreak]],PlayerGameData[EligFGTieBreak],1)</f>
        <v>625</v>
      </c>
      <c r="BE920" s="8" t="str">
        <f>Roster!$D$3</f>
        <v>East</v>
      </c>
      <c r="BF920" s="8" t="str">
        <f>Roster!$D$2</f>
        <v>Northeast</v>
      </c>
      <c r="BG920" s="8" t="str">
        <f>Roster!$D$4</f>
        <v>North</v>
      </c>
      <c r="BH920" s="197">
        <f ca="1">IFERROR(VLOOKUP(CONCATENATE(PlayerGameData[[#This Row],[Opponent]]," ",MONTH(PlayerGameData[[#This Row],[Date]]),"/",DAY(PlayerGameData[[#This Row],[Date]]),"/",YEAR(PlayerGameData[[#This Row],[Date]])),Table35[],2,FALSE),0)</f>
        <v>0</v>
      </c>
      <c r="BI920" s="197">
        <f ca="1">IF(PlayerGameData[[#This Row],[Visible]]=1,1,1000)</f>
        <v>1000</v>
      </c>
      <c r="BJ920" s="197" t="e">
        <f ca="1">_xlfn.MAXIFS(TeamGameData[Win],TeamGameData[School, Opponent,Game'#],PlayerGameData[[#This Row],[School, Opponent,Game'#]])</f>
        <v>#NAME?</v>
      </c>
      <c r="BK920" s="197" t="e">
        <f ca="1">_xlfn.MAXIFS(TeamGameData[Loss],TeamGameData[School, Opponent,Game'#],PlayerGameData[[#This Row],[School, Opponent,Game'#]])</f>
        <v>#NAME?</v>
      </c>
    </row>
    <row r="921" spans="1:63" x14ac:dyDescent="0.25">
      <c r="A921" s="8" t="str">
        <f t="shared" ca="1" si="453"/>
        <v>Chase Mills, 5</v>
      </c>
      <c r="B921" s="8" t="str">
        <f>Roster!$B$1</f>
        <v>Upton</v>
      </c>
      <c r="C921" s="8">
        <f t="shared" ca="1" si="441"/>
        <v>0</v>
      </c>
      <c r="D921" s="10">
        <f t="shared" ca="1" si="442"/>
        <v>0</v>
      </c>
      <c r="E921" s="8">
        <f t="shared" ca="1" si="443"/>
        <v>0</v>
      </c>
      <c r="F921" s="8">
        <f t="shared" ca="1" si="444"/>
        <v>0</v>
      </c>
      <c r="G921" s="8">
        <f t="shared" ca="1" si="445"/>
        <v>0</v>
      </c>
      <c r="H921" s="8">
        <f t="shared" ca="1" si="446"/>
        <v>0</v>
      </c>
      <c r="I921" s="8">
        <f t="shared" ca="1" si="447"/>
        <v>0</v>
      </c>
      <c r="J921" s="8">
        <f t="shared" ca="1" si="448"/>
        <v>0</v>
      </c>
      <c r="K921" s="8">
        <f t="shared" ca="1" si="449"/>
        <v>0</v>
      </c>
      <c r="L921" s="8">
        <f t="shared" ca="1" si="454"/>
        <v>0</v>
      </c>
      <c r="M921" s="8">
        <f t="shared" ca="1" si="455"/>
        <v>0</v>
      </c>
      <c r="N921" s="8">
        <f t="shared" ca="1" si="456"/>
        <v>0</v>
      </c>
      <c r="O921" s="8">
        <f t="shared" ca="1" si="457"/>
        <v>0</v>
      </c>
      <c r="P921" s="8">
        <f t="shared" ca="1" si="458"/>
        <v>0</v>
      </c>
      <c r="Q921" s="8">
        <f t="shared" ca="1" si="459"/>
        <v>0</v>
      </c>
      <c r="R921" s="8">
        <f t="shared" ca="1" si="460"/>
        <v>0</v>
      </c>
      <c r="S921" s="8">
        <f t="shared" ca="1" si="461"/>
        <v>0</v>
      </c>
      <c r="T921" s="8">
        <f t="shared" ca="1" si="462"/>
        <v>0</v>
      </c>
      <c r="U921" s="8">
        <f t="shared" ca="1" si="463"/>
        <v>0</v>
      </c>
      <c r="V921" s="8">
        <f t="shared" ca="1" si="464"/>
        <v>0</v>
      </c>
      <c r="W921" s="11" t="str">
        <f t="shared" ca="1" si="465"/>
        <v/>
      </c>
      <c r="X921" s="11" t="str">
        <f t="shared" ca="1" si="466"/>
        <v/>
      </c>
      <c r="Y921" s="11" t="str">
        <f t="shared" ca="1" si="467"/>
        <v/>
      </c>
      <c r="Z921" s="11" t="str">
        <f t="shared" ca="1" si="468"/>
        <v/>
      </c>
      <c r="AA921" s="11" t="str">
        <f t="shared" ca="1" si="469"/>
        <v/>
      </c>
      <c r="AB921" s="47">
        <f ca="1">PlayerGameData[[#This Row],[3FGA]]+PlayerGameData[[#This Row],[2FGA]]</f>
        <v>0</v>
      </c>
      <c r="AC921" s="47">
        <f ca="1">PlayerGameData[[#This Row],[OFF REB]]+PlayerGameData[[#This Row],[DEF REB]]</f>
        <v>0</v>
      </c>
      <c r="AD921" s="8">
        <f t="shared" si="450"/>
        <v>39</v>
      </c>
      <c r="AE921" s="8" t="str">
        <f t="shared" ca="1" si="451"/>
        <v>Chase Mills, 5 - 0 1/0/1900</v>
      </c>
      <c r="AF921" s="8" t="str">
        <f t="shared" ca="1" si="470"/>
        <v/>
      </c>
      <c r="AG921" s="8" t="str">
        <f ca="1">IFERROR(IF(C921=0,"",IF(AND(VLOOKUP(PlayerGameData[[#This Row],[Opponent]],WYTeamInfo,2,FALSE)=Roster!$D$1,VLOOKUP(PlayerGameData[[#This Row],[Opponent]],WYTeamInfo,3,FALSE)=Roster!$D$2),"SR","")),"")</f>
        <v/>
      </c>
      <c r="AH921" s="8" t="str">
        <f>CONCATENATE(Roster!$D$1," ",Roster!$D$5)</f>
        <v>1A BB</v>
      </c>
      <c r="AI921" s="8" t="str">
        <f t="shared" ca="1" si="452"/>
        <v>Blank</v>
      </c>
      <c r="AJ921" s="8">
        <f ca="1">IFERROR(VLOOKUP(PlayerGameData[[#This Row],[School, Opponent,Game'#]],Table3[],2,FALSE),0)</f>
        <v>0</v>
      </c>
      <c r="AK921" s="8">
        <f ca="1">IF(PlayerGameData[[#This Row],[Visible]]=1,1,1000)</f>
        <v>1000</v>
      </c>
      <c r="AL921" s="8">
        <f ca="1">RANK(PlayerGameData[[#This Row],[TL PTS]],PlayerGameData[TL PTS],0)+PlayerGameData[[#This Row],[VisibleOrder]]</f>
        <v>1184</v>
      </c>
      <c r="AM921" s="8">
        <f ca="1">IF(COUNTIF(PlayerGameData[PointOrder],PlayerGameData[[#This Row],[PointOrder]])&gt;1,RANK(PlayerGameData[[#This Row],[FGA]],PlayerGameData[FGA],0)/100,0)+PlayerGameData[[#This Row],[PointOrder]]</f>
        <v>1186.1400000000001</v>
      </c>
      <c r="AN921" s="8">
        <f ca="1">RANK(PlayerGameData[[#This Row],[PointTieBreak]],PlayerGameData[PointTieBreak],1)</f>
        <v>625</v>
      </c>
      <c r="AO921" s="8">
        <f ca="1">RANK(PlayerGameData[[#This Row],[REB]],PlayerGameData[REB],0)+PlayerGameData[[#This Row],[VisibleOrder]]</f>
        <v>1191</v>
      </c>
      <c r="AP921" s="8">
        <f ca="1">IF(COUNTIF(PlayerGameData[REBOrder],PlayerGameData[[#This Row],[REBOrder]])&gt;1,PlayerGameData[[#This Row],[PointRank]]/100+PlayerGameData[[#This Row],[REBOrder]],PlayerGameData[[#This Row],[REBOrder]])</f>
        <v>1197.25</v>
      </c>
      <c r="AQ921" s="8">
        <f ca="1">RANK(PlayerGameData[[#This Row],[REBTieBreak]],PlayerGameData[REBTieBreak],1)</f>
        <v>625</v>
      </c>
      <c r="AR921" s="8">
        <f ca="1">RANK(PlayerGameData[[#This Row],[AST]],PlayerGameData[AST],0)+PlayerGameData[[#This Row],[VisibleOrder]]</f>
        <v>1157</v>
      </c>
      <c r="AS921" s="8">
        <f ca="1">IF(COUNTIF(PlayerGameData[ASTOrder],PlayerGameData[[#This Row],[ASTOrder]])&gt;1,PlayerGameData[[#This Row],[PointRank]]/100+PlayerGameData[[#This Row],[ASTOrder]],PlayerGameData[[#This Row],[ASTOrder]])</f>
        <v>1163.25</v>
      </c>
      <c r="AT921" s="8">
        <f ca="1">RANK(PlayerGameData[[#This Row],[ASTTieBreak]],PlayerGameData[ASTTieBreak],1)</f>
        <v>625</v>
      </c>
      <c r="AU921" s="8">
        <f ca="1">RANK(PlayerGameData[[#This Row],[STL]],PlayerGameData[STL],0)+PlayerGameData[[#This Row],[VisibleOrder]]</f>
        <v>1142</v>
      </c>
      <c r="AV921" s="8">
        <f ca="1">IF(COUNTIF(PlayerGameData[STLOrder],PlayerGameData[[#This Row],[STLOrder]])&gt;1,PlayerGameData[[#This Row],[PointRank]]/100+PlayerGameData[[#This Row],[STLOrder]],PlayerGameData[[#This Row],[STLOrder]])</f>
        <v>1148.25</v>
      </c>
      <c r="AW921" s="8">
        <f ca="1">RANK(PlayerGameData[[#This Row],[STLTieBreak]],PlayerGameData[STLTieBreak],1)</f>
        <v>625</v>
      </c>
      <c r="AX921" s="8">
        <f ca="1">RANK(PlayerGameData[[#This Row],[BLK]],PlayerGameData[BLK],0)+PlayerGameData[[#This Row],[VisibleOrder]]</f>
        <v>1031</v>
      </c>
      <c r="AY921" s="8">
        <f ca="1">IF(COUNTIF(PlayerGameData[BLKOrder],PlayerGameData[[#This Row],[BLKOrder]])&gt;1,PlayerGameData[[#This Row],[PointRank]]/100+PlayerGameData[[#This Row],[BLKOrder]],PlayerGameData[[#This Row],[BLKOrder]])</f>
        <v>1037.25</v>
      </c>
      <c r="AZ921" s="8">
        <f ca="1">RANK(PlayerGameData[[#This Row],[BLKTieBreak]],PlayerGameData[BLKTieBreak],1)</f>
        <v>625</v>
      </c>
      <c r="BA921" s="11">
        <f ca="1">IFERROR(IF(PlayerGameData[[#This Row],[FGA]]&gt;$AA$5,PlayerGameData[[#This Row],[FG%*]],PlayerGameData[[#This Row],[FG%*]]*-1),-2)</f>
        <v>-2</v>
      </c>
      <c r="BB921" s="8">
        <f ca="1">RANK(PlayerGameData[[#This Row],[EligFG]],PlayerGameData[EligFG],0)+PlayerGameData[[#This Row],[VisibleOrder]]</f>
        <v>1214</v>
      </c>
      <c r="BC921" s="8">
        <f ca="1">IF(COUNTIF(PlayerGameData[EligFGOrder],PlayerGameData[[#This Row],[EligFGOrder]])&gt;1,PlayerGameData[[#This Row],[PointRank]]/100+PlayerGameData[[#This Row],[EligFGOrder]],PlayerGameData[[#This Row],[EligFGOrder]])</f>
        <v>1220.25</v>
      </c>
      <c r="BD921" s="8">
        <f ca="1">RANK(PlayerGameData[[#This Row],[EligFGTieBreak]],PlayerGameData[EligFGTieBreak],1)</f>
        <v>625</v>
      </c>
      <c r="BE921" s="8" t="str">
        <f>Roster!$D$3</f>
        <v>East</v>
      </c>
      <c r="BF921" s="8" t="str">
        <f>Roster!$D$2</f>
        <v>Northeast</v>
      </c>
      <c r="BG921" s="8" t="str">
        <f>Roster!$D$4</f>
        <v>North</v>
      </c>
      <c r="BH921" s="197">
        <f ca="1">IFERROR(VLOOKUP(CONCATENATE(PlayerGameData[[#This Row],[Opponent]]," ",MONTH(PlayerGameData[[#This Row],[Date]]),"/",DAY(PlayerGameData[[#This Row],[Date]]),"/",YEAR(PlayerGameData[[#This Row],[Date]])),Table35[],2,FALSE),0)</f>
        <v>0</v>
      </c>
      <c r="BI921" s="197">
        <f ca="1">IF(PlayerGameData[[#This Row],[Visible]]=1,1,1000)</f>
        <v>1000</v>
      </c>
      <c r="BJ921" s="197" t="e">
        <f ca="1">_xlfn.MAXIFS(TeamGameData[Win],TeamGameData[School, Opponent,Game'#],PlayerGameData[[#This Row],[School, Opponent,Game'#]])</f>
        <v>#NAME?</v>
      </c>
      <c r="BK921" s="197" t="e">
        <f ca="1">_xlfn.MAXIFS(TeamGameData[Loss],TeamGameData[School, Opponent,Game'#],PlayerGameData[[#This Row],[School, Opponent,Game'#]])</f>
        <v>#NAME?</v>
      </c>
    </row>
    <row r="922" spans="1:63" x14ac:dyDescent="0.25">
      <c r="A922" s="8" t="str">
        <f t="shared" ca="1" si="453"/>
        <v>Rhett Watt, 10</v>
      </c>
      <c r="B922" s="8" t="str">
        <f>Roster!$B$1</f>
        <v>Upton</v>
      </c>
      <c r="C922" s="8">
        <f t="shared" ca="1" si="441"/>
        <v>0</v>
      </c>
      <c r="D922" s="10">
        <f t="shared" ca="1" si="442"/>
        <v>0</v>
      </c>
      <c r="E922" s="8">
        <f t="shared" ca="1" si="443"/>
        <v>0</v>
      </c>
      <c r="F922" s="8">
        <f t="shared" ca="1" si="444"/>
        <v>0</v>
      </c>
      <c r="G922" s="8">
        <f t="shared" ca="1" si="445"/>
        <v>0</v>
      </c>
      <c r="H922" s="8">
        <f t="shared" ca="1" si="446"/>
        <v>0</v>
      </c>
      <c r="I922" s="8">
        <f t="shared" ca="1" si="447"/>
        <v>0</v>
      </c>
      <c r="J922" s="8">
        <f t="shared" ca="1" si="448"/>
        <v>0</v>
      </c>
      <c r="K922" s="8">
        <f t="shared" ca="1" si="449"/>
        <v>0</v>
      </c>
      <c r="L922" s="8">
        <f t="shared" ca="1" si="454"/>
        <v>0</v>
      </c>
      <c r="M922" s="8">
        <f t="shared" ca="1" si="455"/>
        <v>0</v>
      </c>
      <c r="N922" s="8">
        <f t="shared" ca="1" si="456"/>
        <v>0</v>
      </c>
      <c r="O922" s="8">
        <f t="shared" ca="1" si="457"/>
        <v>0</v>
      </c>
      <c r="P922" s="8">
        <f t="shared" ca="1" si="458"/>
        <v>0</v>
      </c>
      <c r="Q922" s="8">
        <f t="shared" ca="1" si="459"/>
        <v>0</v>
      </c>
      <c r="R922" s="8">
        <f t="shared" ca="1" si="460"/>
        <v>0</v>
      </c>
      <c r="S922" s="8">
        <f t="shared" ca="1" si="461"/>
        <v>0</v>
      </c>
      <c r="T922" s="8">
        <f t="shared" ca="1" si="462"/>
        <v>0</v>
      </c>
      <c r="U922" s="8">
        <f t="shared" ca="1" si="463"/>
        <v>0</v>
      </c>
      <c r="V922" s="8">
        <f t="shared" ca="1" si="464"/>
        <v>0</v>
      </c>
      <c r="W922" s="11" t="str">
        <f t="shared" ca="1" si="465"/>
        <v/>
      </c>
      <c r="X922" s="11" t="str">
        <f t="shared" ca="1" si="466"/>
        <v/>
      </c>
      <c r="Y922" s="11" t="str">
        <f t="shared" ca="1" si="467"/>
        <v/>
      </c>
      <c r="Z922" s="11" t="str">
        <f t="shared" ca="1" si="468"/>
        <v/>
      </c>
      <c r="AA922" s="11" t="str">
        <f t="shared" ca="1" si="469"/>
        <v/>
      </c>
      <c r="AB922" s="47">
        <f ca="1">PlayerGameData[[#This Row],[3FGA]]+PlayerGameData[[#This Row],[2FGA]]</f>
        <v>0</v>
      </c>
      <c r="AC922" s="47">
        <f ca="1">PlayerGameData[[#This Row],[OFF REB]]+PlayerGameData[[#This Row],[DEF REB]]</f>
        <v>0</v>
      </c>
      <c r="AD922" s="8">
        <f t="shared" si="450"/>
        <v>39</v>
      </c>
      <c r="AE922" s="8" t="str">
        <f t="shared" ca="1" si="451"/>
        <v>Rhett Watt, 10 - 0 1/0/1900</v>
      </c>
      <c r="AF922" s="8" t="str">
        <f t="shared" ca="1" si="470"/>
        <v/>
      </c>
      <c r="AG922" s="8" t="str">
        <f ca="1">IFERROR(IF(C922=0,"",IF(AND(VLOOKUP(PlayerGameData[[#This Row],[Opponent]],WYTeamInfo,2,FALSE)=Roster!$D$1,VLOOKUP(PlayerGameData[[#This Row],[Opponent]],WYTeamInfo,3,FALSE)=Roster!$D$2),"SR","")),"")</f>
        <v/>
      </c>
      <c r="AH922" s="8" t="str">
        <f>CONCATENATE(Roster!$D$1," ",Roster!$D$5)</f>
        <v>1A BB</v>
      </c>
      <c r="AI922" s="8" t="str">
        <f t="shared" ca="1" si="452"/>
        <v>Blank</v>
      </c>
      <c r="AJ922" s="8">
        <f ca="1">IFERROR(VLOOKUP(PlayerGameData[[#This Row],[School, Opponent,Game'#]],Table3[],2,FALSE),0)</f>
        <v>0</v>
      </c>
      <c r="AK922" s="8">
        <f ca="1">IF(PlayerGameData[[#This Row],[Visible]]=1,1,1000)</f>
        <v>1000</v>
      </c>
      <c r="AL922" s="8">
        <f ca="1">RANK(PlayerGameData[[#This Row],[TL PTS]],PlayerGameData[TL PTS],0)+PlayerGameData[[#This Row],[VisibleOrder]]</f>
        <v>1184</v>
      </c>
      <c r="AM922" s="8">
        <f ca="1">IF(COUNTIF(PlayerGameData[PointOrder],PlayerGameData[[#This Row],[PointOrder]])&gt;1,RANK(PlayerGameData[[#This Row],[FGA]],PlayerGameData[FGA],0)/100,0)+PlayerGameData[[#This Row],[PointOrder]]</f>
        <v>1186.1400000000001</v>
      </c>
      <c r="AN922" s="8">
        <f ca="1">RANK(PlayerGameData[[#This Row],[PointTieBreak]],PlayerGameData[PointTieBreak],1)</f>
        <v>625</v>
      </c>
      <c r="AO922" s="8">
        <f ca="1">RANK(PlayerGameData[[#This Row],[REB]],PlayerGameData[REB],0)+PlayerGameData[[#This Row],[VisibleOrder]]</f>
        <v>1191</v>
      </c>
      <c r="AP922" s="8">
        <f ca="1">IF(COUNTIF(PlayerGameData[REBOrder],PlayerGameData[[#This Row],[REBOrder]])&gt;1,PlayerGameData[[#This Row],[PointRank]]/100+PlayerGameData[[#This Row],[REBOrder]],PlayerGameData[[#This Row],[REBOrder]])</f>
        <v>1197.25</v>
      </c>
      <c r="AQ922" s="8">
        <f ca="1">RANK(PlayerGameData[[#This Row],[REBTieBreak]],PlayerGameData[REBTieBreak],1)</f>
        <v>625</v>
      </c>
      <c r="AR922" s="8">
        <f ca="1">RANK(PlayerGameData[[#This Row],[AST]],PlayerGameData[AST],0)+PlayerGameData[[#This Row],[VisibleOrder]]</f>
        <v>1157</v>
      </c>
      <c r="AS922" s="8">
        <f ca="1">IF(COUNTIF(PlayerGameData[ASTOrder],PlayerGameData[[#This Row],[ASTOrder]])&gt;1,PlayerGameData[[#This Row],[PointRank]]/100+PlayerGameData[[#This Row],[ASTOrder]],PlayerGameData[[#This Row],[ASTOrder]])</f>
        <v>1163.25</v>
      </c>
      <c r="AT922" s="8">
        <f ca="1">RANK(PlayerGameData[[#This Row],[ASTTieBreak]],PlayerGameData[ASTTieBreak],1)</f>
        <v>625</v>
      </c>
      <c r="AU922" s="8">
        <f ca="1">RANK(PlayerGameData[[#This Row],[STL]],PlayerGameData[STL],0)+PlayerGameData[[#This Row],[VisibleOrder]]</f>
        <v>1142</v>
      </c>
      <c r="AV922" s="8">
        <f ca="1">IF(COUNTIF(PlayerGameData[STLOrder],PlayerGameData[[#This Row],[STLOrder]])&gt;1,PlayerGameData[[#This Row],[PointRank]]/100+PlayerGameData[[#This Row],[STLOrder]],PlayerGameData[[#This Row],[STLOrder]])</f>
        <v>1148.25</v>
      </c>
      <c r="AW922" s="8">
        <f ca="1">RANK(PlayerGameData[[#This Row],[STLTieBreak]],PlayerGameData[STLTieBreak],1)</f>
        <v>625</v>
      </c>
      <c r="AX922" s="8">
        <f ca="1">RANK(PlayerGameData[[#This Row],[BLK]],PlayerGameData[BLK],0)+PlayerGameData[[#This Row],[VisibleOrder]]</f>
        <v>1031</v>
      </c>
      <c r="AY922" s="8">
        <f ca="1">IF(COUNTIF(PlayerGameData[BLKOrder],PlayerGameData[[#This Row],[BLKOrder]])&gt;1,PlayerGameData[[#This Row],[PointRank]]/100+PlayerGameData[[#This Row],[BLKOrder]],PlayerGameData[[#This Row],[BLKOrder]])</f>
        <v>1037.25</v>
      </c>
      <c r="AZ922" s="8">
        <f ca="1">RANK(PlayerGameData[[#This Row],[BLKTieBreak]],PlayerGameData[BLKTieBreak],1)</f>
        <v>625</v>
      </c>
      <c r="BA922" s="11">
        <f ca="1">IFERROR(IF(PlayerGameData[[#This Row],[FGA]]&gt;$AA$5,PlayerGameData[[#This Row],[FG%*]],PlayerGameData[[#This Row],[FG%*]]*-1),-2)</f>
        <v>-2</v>
      </c>
      <c r="BB922" s="8">
        <f ca="1">RANK(PlayerGameData[[#This Row],[EligFG]],PlayerGameData[EligFG],0)+PlayerGameData[[#This Row],[VisibleOrder]]</f>
        <v>1214</v>
      </c>
      <c r="BC922" s="8">
        <f ca="1">IF(COUNTIF(PlayerGameData[EligFGOrder],PlayerGameData[[#This Row],[EligFGOrder]])&gt;1,PlayerGameData[[#This Row],[PointRank]]/100+PlayerGameData[[#This Row],[EligFGOrder]],PlayerGameData[[#This Row],[EligFGOrder]])</f>
        <v>1220.25</v>
      </c>
      <c r="BD922" s="8">
        <f ca="1">RANK(PlayerGameData[[#This Row],[EligFGTieBreak]],PlayerGameData[EligFGTieBreak],1)</f>
        <v>625</v>
      </c>
      <c r="BE922" s="8" t="str">
        <f>Roster!$D$3</f>
        <v>East</v>
      </c>
      <c r="BF922" s="8" t="str">
        <f>Roster!$D$2</f>
        <v>Northeast</v>
      </c>
      <c r="BG922" s="8" t="str">
        <f>Roster!$D$4</f>
        <v>North</v>
      </c>
      <c r="BH922" s="197">
        <f ca="1">IFERROR(VLOOKUP(CONCATENATE(PlayerGameData[[#This Row],[Opponent]]," ",MONTH(PlayerGameData[[#This Row],[Date]]),"/",DAY(PlayerGameData[[#This Row],[Date]]),"/",YEAR(PlayerGameData[[#This Row],[Date]])),Table35[],2,FALSE),0)</f>
        <v>0</v>
      </c>
      <c r="BI922" s="197">
        <f ca="1">IF(PlayerGameData[[#This Row],[Visible]]=1,1,1000)</f>
        <v>1000</v>
      </c>
      <c r="BJ922" s="197" t="e">
        <f ca="1">_xlfn.MAXIFS(TeamGameData[Win],TeamGameData[School, Opponent,Game'#],PlayerGameData[[#This Row],[School, Opponent,Game'#]])</f>
        <v>#NAME?</v>
      </c>
      <c r="BK922" s="197" t="e">
        <f ca="1">_xlfn.MAXIFS(TeamGameData[Loss],TeamGameData[School, Opponent,Game'#],PlayerGameData[[#This Row],[School, Opponent,Game'#]])</f>
        <v>#NAME?</v>
      </c>
    </row>
    <row r="923" spans="1:63" x14ac:dyDescent="0.25">
      <c r="A923" s="8" t="str">
        <f t="shared" ca="1" si="453"/>
        <v>Keith Coburn, 11</v>
      </c>
      <c r="B923" s="8" t="str">
        <f>Roster!$B$1</f>
        <v>Upton</v>
      </c>
      <c r="C923" s="8">
        <f t="shared" ca="1" si="441"/>
        <v>0</v>
      </c>
      <c r="D923" s="10">
        <f t="shared" ca="1" si="442"/>
        <v>0</v>
      </c>
      <c r="E923" s="8">
        <f t="shared" ca="1" si="443"/>
        <v>0</v>
      </c>
      <c r="F923" s="8">
        <f t="shared" ca="1" si="444"/>
        <v>0</v>
      </c>
      <c r="G923" s="8">
        <f t="shared" ca="1" si="445"/>
        <v>0</v>
      </c>
      <c r="H923" s="8">
        <f t="shared" ca="1" si="446"/>
        <v>0</v>
      </c>
      <c r="I923" s="8">
        <f t="shared" ca="1" si="447"/>
        <v>0</v>
      </c>
      <c r="J923" s="8">
        <f t="shared" ca="1" si="448"/>
        <v>0</v>
      </c>
      <c r="K923" s="8">
        <f t="shared" ca="1" si="449"/>
        <v>0</v>
      </c>
      <c r="L923" s="8">
        <f t="shared" ca="1" si="454"/>
        <v>0</v>
      </c>
      <c r="M923" s="8">
        <f t="shared" ca="1" si="455"/>
        <v>0</v>
      </c>
      <c r="N923" s="8">
        <f t="shared" ca="1" si="456"/>
        <v>0</v>
      </c>
      <c r="O923" s="8">
        <f t="shared" ca="1" si="457"/>
        <v>0</v>
      </c>
      <c r="P923" s="8">
        <f t="shared" ca="1" si="458"/>
        <v>0</v>
      </c>
      <c r="Q923" s="8">
        <f t="shared" ca="1" si="459"/>
        <v>0</v>
      </c>
      <c r="R923" s="8">
        <f t="shared" ca="1" si="460"/>
        <v>0</v>
      </c>
      <c r="S923" s="8">
        <f t="shared" ca="1" si="461"/>
        <v>0</v>
      </c>
      <c r="T923" s="8">
        <f t="shared" ca="1" si="462"/>
        <v>0</v>
      </c>
      <c r="U923" s="8">
        <f t="shared" ca="1" si="463"/>
        <v>0</v>
      </c>
      <c r="V923" s="8">
        <f t="shared" ca="1" si="464"/>
        <v>0</v>
      </c>
      <c r="W923" s="11" t="str">
        <f t="shared" ca="1" si="465"/>
        <v/>
      </c>
      <c r="X923" s="11" t="str">
        <f t="shared" ca="1" si="466"/>
        <v/>
      </c>
      <c r="Y923" s="11" t="str">
        <f t="shared" ca="1" si="467"/>
        <v/>
      </c>
      <c r="Z923" s="11" t="str">
        <f t="shared" ca="1" si="468"/>
        <v/>
      </c>
      <c r="AA923" s="11" t="str">
        <f t="shared" ca="1" si="469"/>
        <v/>
      </c>
      <c r="AB923" s="47">
        <f ca="1">PlayerGameData[[#This Row],[3FGA]]+PlayerGameData[[#This Row],[2FGA]]</f>
        <v>0</v>
      </c>
      <c r="AC923" s="47">
        <f ca="1">PlayerGameData[[#This Row],[OFF REB]]+PlayerGameData[[#This Row],[DEF REB]]</f>
        <v>0</v>
      </c>
      <c r="AD923" s="8">
        <f t="shared" si="450"/>
        <v>39</v>
      </c>
      <c r="AE923" s="8" t="str">
        <f t="shared" ca="1" si="451"/>
        <v>Keith Coburn, 11 - 0 1/0/1900</v>
      </c>
      <c r="AF923" s="8" t="str">
        <f t="shared" ca="1" si="470"/>
        <v/>
      </c>
      <c r="AG923" s="8" t="str">
        <f ca="1">IFERROR(IF(C923=0,"",IF(AND(VLOOKUP(PlayerGameData[[#This Row],[Opponent]],WYTeamInfo,2,FALSE)=Roster!$D$1,VLOOKUP(PlayerGameData[[#This Row],[Opponent]],WYTeamInfo,3,FALSE)=Roster!$D$2),"SR","")),"")</f>
        <v/>
      </c>
      <c r="AH923" s="8" t="str">
        <f>CONCATENATE(Roster!$D$1," ",Roster!$D$5)</f>
        <v>1A BB</v>
      </c>
      <c r="AI923" s="8" t="str">
        <f t="shared" ca="1" si="452"/>
        <v>Blank</v>
      </c>
      <c r="AJ923" s="8">
        <f ca="1">IFERROR(VLOOKUP(PlayerGameData[[#This Row],[School, Opponent,Game'#]],Table3[],2,FALSE),0)</f>
        <v>0</v>
      </c>
      <c r="AK923" s="8">
        <f ca="1">IF(PlayerGameData[[#This Row],[Visible]]=1,1,1000)</f>
        <v>1000</v>
      </c>
      <c r="AL923" s="8">
        <f ca="1">RANK(PlayerGameData[[#This Row],[TL PTS]],PlayerGameData[TL PTS],0)+PlayerGameData[[#This Row],[VisibleOrder]]</f>
        <v>1184</v>
      </c>
      <c r="AM923" s="8">
        <f ca="1">IF(COUNTIF(PlayerGameData[PointOrder],PlayerGameData[[#This Row],[PointOrder]])&gt;1,RANK(PlayerGameData[[#This Row],[FGA]],PlayerGameData[FGA],0)/100,0)+PlayerGameData[[#This Row],[PointOrder]]</f>
        <v>1186.1400000000001</v>
      </c>
      <c r="AN923" s="8">
        <f ca="1">RANK(PlayerGameData[[#This Row],[PointTieBreak]],PlayerGameData[PointTieBreak],1)</f>
        <v>625</v>
      </c>
      <c r="AO923" s="8">
        <f ca="1">RANK(PlayerGameData[[#This Row],[REB]],PlayerGameData[REB],0)+PlayerGameData[[#This Row],[VisibleOrder]]</f>
        <v>1191</v>
      </c>
      <c r="AP923" s="8">
        <f ca="1">IF(COUNTIF(PlayerGameData[REBOrder],PlayerGameData[[#This Row],[REBOrder]])&gt;1,PlayerGameData[[#This Row],[PointRank]]/100+PlayerGameData[[#This Row],[REBOrder]],PlayerGameData[[#This Row],[REBOrder]])</f>
        <v>1197.25</v>
      </c>
      <c r="AQ923" s="8">
        <f ca="1">RANK(PlayerGameData[[#This Row],[REBTieBreak]],PlayerGameData[REBTieBreak],1)</f>
        <v>625</v>
      </c>
      <c r="AR923" s="8">
        <f ca="1">RANK(PlayerGameData[[#This Row],[AST]],PlayerGameData[AST],0)+PlayerGameData[[#This Row],[VisibleOrder]]</f>
        <v>1157</v>
      </c>
      <c r="AS923" s="8">
        <f ca="1">IF(COUNTIF(PlayerGameData[ASTOrder],PlayerGameData[[#This Row],[ASTOrder]])&gt;1,PlayerGameData[[#This Row],[PointRank]]/100+PlayerGameData[[#This Row],[ASTOrder]],PlayerGameData[[#This Row],[ASTOrder]])</f>
        <v>1163.25</v>
      </c>
      <c r="AT923" s="8">
        <f ca="1">RANK(PlayerGameData[[#This Row],[ASTTieBreak]],PlayerGameData[ASTTieBreak],1)</f>
        <v>625</v>
      </c>
      <c r="AU923" s="8">
        <f ca="1">RANK(PlayerGameData[[#This Row],[STL]],PlayerGameData[STL],0)+PlayerGameData[[#This Row],[VisibleOrder]]</f>
        <v>1142</v>
      </c>
      <c r="AV923" s="8">
        <f ca="1">IF(COUNTIF(PlayerGameData[STLOrder],PlayerGameData[[#This Row],[STLOrder]])&gt;1,PlayerGameData[[#This Row],[PointRank]]/100+PlayerGameData[[#This Row],[STLOrder]],PlayerGameData[[#This Row],[STLOrder]])</f>
        <v>1148.25</v>
      </c>
      <c r="AW923" s="8">
        <f ca="1">RANK(PlayerGameData[[#This Row],[STLTieBreak]],PlayerGameData[STLTieBreak],1)</f>
        <v>625</v>
      </c>
      <c r="AX923" s="8">
        <f ca="1">RANK(PlayerGameData[[#This Row],[BLK]],PlayerGameData[BLK],0)+PlayerGameData[[#This Row],[VisibleOrder]]</f>
        <v>1031</v>
      </c>
      <c r="AY923" s="8">
        <f ca="1">IF(COUNTIF(PlayerGameData[BLKOrder],PlayerGameData[[#This Row],[BLKOrder]])&gt;1,PlayerGameData[[#This Row],[PointRank]]/100+PlayerGameData[[#This Row],[BLKOrder]],PlayerGameData[[#This Row],[BLKOrder]])</f>
        <v>1037.25</v>
      </c>
      <c r="AZ923" s="8">
        <f ca="1">RANK(PlayerGameData[[#This Row],[BLKTieBreak]],PlayerGameData[BLKTieBreak],1)</f>
        <v>625</v>
      </c>
      <c r="BA923" s="11">
        <f ca="1">IFERROR(IF(PlayerGameData[[#This Row],[FGA]]&gt;$AA$5,PlayerGameData[[#This Row],[FG%*]],PlayerGameData[[#This Row],[FG%*]]*-1),-2)</f>
        <v>-2</v>
      </c>
      <c r="BB923" s="8">
        <f ca="1">RANK(PlayerGameData[[#This Row],[EligFG]],PlayerGameData[EligFG],0)+PlayerGameData[[#This Row],[VisibleOrder]]</f>
        <v>1214</v>
      </c>
      <c r="BC923" s="8">
        <f ca="1">IF(COUNTIF(PlayerGameData[EligFGOrder],PlayerGameData[[#This Row],[EligFGOrder]])&gt;1,PlayerGameData[[#This Row],[PointRank]]/100+PlayerGameData[[#This Row],[EligFGOrder]],PlayerGameData[[#This Row],[EligFGOrder]])</f>
        <v>1220.25</v>
      </c>
      <c r="BD923" s="8">
        <f ca="1">RANK(PlayerGameData[[#This Row],[EligFGTieBreak]],PlayerGameData[EligFGTieBreak],1)</f>
        <v>625</v>
      </c>
      <c r="BE923" s="8" t="str">
        <f>Roster!$D$3</f>
        <v>East</v>
      </c>
      <c r="BF923" s="8" t="str">
        <f>Roster!$D$2</f>
        <v>Northeast</v>
      </c>
      <c r="BG923" s="8" t="str">
        <f>Roster!$D$4</f>
        <v>North</v>
      </c>
      <c r="BH923" s="197">
        <f ca="1">IFERROR(VLOOKUP(CONCATENATE(PlayerGameData[[#This Row],[Opponent]]," ",MONTH(PlayerGameData[[#This Row],[Date]]),"/",DAY(PlayerGameData[[#This Row],[Date]]),"/",YEAR(PlayerGameData[[#This Row],[Date]])),Table35[],2,FALSE),0)</f>
        <v>0</v>
      </c>
      <c r="BI923" s="197">
        <f ca="1">IF(PlayerGameData[[#This Row],[Visible]]=1,1,1000)</f>
        <v>1000</v>
      </c>
      <c r="BJ923" s="197" t="e">
        <f ca="1">_xlfn.MAXIFS(TeamGameData[Win],TeamGameData[School, Opponent,Game'#],PlayerGameData[[#This Row],[School, Opponent,Game'#]])</f>
        <v>#NAME?</v>
      </c>
      <c r="BK923" s="197" t="e">
        <f ca="1">_xlfn.MAXIFS(TeamGameData[Loss],TeamGameData[School, Opponent,Game'#],PlayerGameData[[#This Row],[School, Opponent,Game'#]])</f>
        <v>#NAME?</v>
      </c>
    </row>
    <row r="924" spans="1:63" x14ac:dyDescent="0.25">
      <c r="A924" s="8" t="str">
        <f t="shared" ca="1" si="453"/>
        <v>Carson Barritt, 14</v>
      </c>
      <c r="B924" s="8" t="str">
        <f>Roster!$B$1</f>
        <v>Upton</v>
      </c>
      <c r="C924" s="8">
        <f t="shared" ca="1" si="441"/>
        <v>0</v>
      </c>
      <c r="D924" s="10">
        <f t="shared" ca="1" si="442"/>
        <v>0</v>
      </c>
      <c r="E924" s="8">
        <f t="shared" ca="1" si="443"/>
        <v>0</v>
      </c>
      <c r="F924" s="8">
        <f t="shared" ca="1" si="444"/>
        <v>0</v>
      </c>
      <c r="G924" s="8">
        <f t="shared" ca="1" si="445"/>
        <v>0</v>
      </c>
      <c r="H924" s="8">
        <f t="shared" ca="1" si="446"/>
        <v>0</v>
      </c>
      <c r="I924" s="8">
        <f t="shared" ca="1" si="447"/>
        <v>0</v>
      </c>
      <c r="J924" s="8">
        <f t="shared" ca="1" si="448"/>
        <v>0</v>
      </c>
      <c r="K924" s="8">
        <f t="shared" ca="1" si="449"/>
        <v>0</v>
      </c>
      <c r="L924" s="8">
        <f t="shared" ca="1" si="454"/>
        <v>0</v>
      </c>
      <c r="M924" s="8">
        <f t="shared" ca="1" si="455"/>
        <v>0</v>
      </c>
      <c r="N924" s="8">
        <f t="shared" ca="1" si="456"/>
        <v>0</v>
      </c>
      <c r="O924" s="8">
        <f t="shared" ca="1" si="457"/>
        <v>0</v>
      </c>
      <c r="P924" s="8">
        <f t="shared" ca="1" si="458"/>
        <v>0</v>
      </c>
      <c r="Q924" s="8">
        <f t="shared" ca="1" si="459"/>
        <v>0</v>
      </c>
      <c r="R924" s="8">
        <f t="shared" ca="1" si="460"/>
        <v>0</v>
      </c>
      <c r="S924" s="8">
        <f t="shared" ca="1" si="461"/>
        <v>0</v>
      </c>
      <c r="T924" s="8">
        <f t="shared" ca="1" si="462"/>
        <v>0</v>
      </c>
      <c r="U924" s="8">
        <f t="shared" ca="1" si="463"/>
        <v>0</v>
      </c>
      <c r="V924" s="8">
        <f t="shared" ca="1" si="464"/>
        <v>0</v>
      </c>
      <c r="W924" s="11" t="str">
        <f t="shared" ca="1" si="465"/>
        <v/>
      </c>
      <c r="X924" s="11" t="str">
        <f t="shared" ca="1" si="466"/>
        <v/>
      </c>
      <c r="Y924" s="11" t="str">
        <f t="shared" ca="1" si="467"/>
        <v/>
      </c>
      <c r="Z924" s="11" t="str">
        <f t="shared" ca="1" si="468"/>
        <v/>
      </c>
      <c r="AA924" s="11" t="str">
        <f t="shared" ca="1" si="469"/>
        <v/>
      </c>
      <c r="AB924" s="47">
        <f ca="1">PlayerGameData[[#This Row],[3FGA]]+PlayerGameData[[#This Row],[2FGA]]</f>
        <v>0</v>
      </c>
      <c r="AC924" s="47">
        <f ca="1">PlayerGameData[[#This Row],[OFF REB]]+PlayerGameData[[#This Row],[DEF REB]]</f>
        <v>0</v>
      </c>
      <c r="AD924" s="8">
        <f t="shared" si="450"/>
        <v>39</v>
      </c>
      <c r="AE924" s="8" t="str">
        <f t="shared" ca="1" si="451"/>
        <v>Carson Barritt, 14 - 0 1/0/1900</v>
      </c>
      <c r="AF924" s="8" t="str">
        <f t="shared" ca="1" si="470"/>
        <v/>
      </c>
      <c r="AG924" s="8" t="str">
        <f ca="1">IFERROR(IF(C924=0,"",IF(AND(VLOOKUP(PlayerGameData[[#This Row],[Opponent]],WYTeamInfo,2,FALSE)=Roster!$D$1,VLOOKUP(PlayerGameData[[#This Row],[Opponent]],WYTeamInfo,3,FALSE)=Roster!$D$2),"SR","")),"")</f>
        <v/>
      </c>
      <c r="AH924" s="8" t="str">
        <f>CONCATENATE(Roster!$D$1," ",Roster!$D$5)</f>
        <v>1A BB</v>
      </c>
      <c r="AI924" s="8" t="str">
        <f t="shared" ca="1" si="452"/>
        <v>Blank</v>
      </c>
      <c r="AJ924" s="8">
        <f ca="1">IFERROR(VLOOKUP(PlayerGameData[[#This Row],[School, Opponent,Game'#]],Table3[],2,FALSE),0)</f>
        <v>0</v>
      </c>
      <c r="AK924" s="8">
        <f ca="1">IF(PlayerGameData[[#This Row],[Visible]]=1,1,1000)</f>
        <v>1000</v>
      </c>
      <c r="AL924" s="8">
        <f ca="1">RANK(PlayerGameData[[#This Row],[TL PTS]],PlayerGameData[TL PTS],0)+PlayerGameData[[#This Row],[VisibleOrder]]</f>
        <v>1184</v>
      </c>
      <c r="AM924" s="8">
        <f ca="1">IF(COUNTIF(PlayerGameData[PointOrder],PlayerGameData[[#This Row],[PointOrder]])&gt;1,RANK(PlayerGameData[[#This Row],[FGA]],PlayerGameData[FGA],0)/100,0)+PlayerGameData[[#This Row],[PointOrder]]</f>
        <v>1186.1400000000001</v>
      </c>
      <c r="AN924" s="8">
        <f ca="1">RANK(PlayerGameData[[#This Row],[PointTieBreak]],PlayerGameData[PointTieBreak],1)</f>
        <v>625</v>
      </c>
      <c r="AO924" s="8">
        <f ca="1">RANK(PlayerGameData[[#This Row],[REB]],PlayerGameData[REB],0)+PlayerGameData[[#This Row],[VisibleOrder]]</f>
        <v>1191</v>
      </c>
      <c r="AP924" s="8">
        <f ca="1">IF(COUNTIF(PlayerGameData[REBOrder],PlayerGameData[[#This Row],[REBOrder]])&gt;1,PlayerGameData[[#This Row],[PointRank]]/100+PlayerGameData[[#This Row],[REBOrder]],PlayerGameData[[#This Row],[REBOrder]])</f>
        <v>1197.25</v>
      </c>
      <c r="AQ924" s="8">
        <f ca="1">RANK(PlayerGameData[[#This Row],[REBTieBreak]],PlayerGameData[REBTieBreak],1)</f>
        <v>625</v>
      </c>
      <c r="AR924" s="8">
        <f ca="1">RANK(PlayerGameData[[#This Row],[AST]],PlayerGameData[AST],0)+PlayerGameData[[#This Row],[VisibleOrder]]</f>
        <v>1157</v>
      </c>
      <c r="AS924" s="8">
        <f ca="1">IF(COUNTIF(PlayerGameData[ASTOrder],PlayerGameData[[#This Row],[ASTOrder]])&gt;1,PlayerGameData[[#This Row],[PointRank]]/100+PlayerGameData[[#This Row],[ASTOrder]],PlayerGameData[[#This Row],[ASTOrder]])</f>
        <v>1163.25</v>
      </c>
      <c r="AT924" s="8">
        <f ca="1">RANK(PlayerGameData[[#This Row],[ASTTieBreak]],PlayerGameData[ASTTieBreak],1)</f>
        <v>625</v>
      </c>
      <c r="AU924" s="8">
        <f ca="1">RANK(PlayerGameData[[#This Row],[STL]],PlayerGameData[STL],0)+PlayerGameData[[#This Row],[VisibleOrder]]</f>
        <v>1142</v>
      </c>
      <c r="AV924" s="8">
        <f ca="1">IF(COUNTIF(PlayerGameData[STLOrder],PlayerGameData[[#This Row],[STLOrder]])&gt;1,PlayerGameData[[#This Row],[PointRank]]/100+PlayerGameData[[#This Row],[STLOrder]],PlayerGameData[[#This Row],[STLOrder]])</f>
        <v>1148.25</v>
      </c>
      <c r="AW924" s="8">
        <f ca="1">RANK(PlayerGameData[[#This Row],[STLTieBreak]],PlayerGameData[STLTieBreak],1)</f>
        <v>625</v>
      </c>
      <c r="AX924" s="8">
        <f ca="1">RANK(PlayerGameData[[#This Row],[BLK]],PlayerGameData[BLK],0)+PlayerGameData[[#This Row],[VisibleOrder]]</f>
        <v>1031</v>
      </c>
      <c r="AY924" s="8">
        <f ca="1">IF(COUNTIF(PlayerGameData[BLKOrder],PlayerGameData[[#This Row],[BLKOrder]])&gt;1,PlayerGameData[[#This Row],[PointRank]]/100+PlayerGameData[[#This Row],[BLKOrder]],PlayerGameData[[#This Row],[BLKOrder]])</f>
        <v>1037.25</v>
      </c>
      <c r="AZ924" s="8">
        <f ca="1">RANK(PlayerGameData[[#This Row],[BLKTieBreak]],PlayerGameData[BLKTieBreak],1)</f>
        <v>625</v>
      </c>
      <c r="BA924" s="11">
        <f ca="1">IFERROR(IF(PlayerGameData[[#This Row],[FGA]]&gt;$AA$5,PlayerGameData[[#This Row],[FG%*]],PlayerGameData[[#This Row],[FG%*]]*-1),-2)</f>
        <v>-2</v>
      </c>
      <c r="BB924" s="8">
        <f ca="1">RANK(PlayerGameData[[#This Row],[EligFG]],PlayerGameData[EligFG],0)+PlayerGameData[[#This Row],[VisibleOrder]]</f>
        <v>1214</v>
      </c>
      <c r="BC924" s="8">
        <f ca="1">IF(COUNTIF(PlayerGameData[EligFGOrder],PlayerGameData[[#This Row],[EligFGOrder]])&gt;1,PlayerGameData[[#This Row],[PointRank]]/100+PlayerGameData[[#This Row],[EligFGOrder]],PlayerGameData[[#This Row],[EligFGOrder]])</f>
        <v>1220.25</v>
      </c>
      <c r="BD924" s="8">
        <f ca="1">RANK(PlayerGameData[[#This Row],[EligFGTieBreak]],PlayerGameData[EligFGTieBreak],1)</f>
        <v>625</v>
      </c>
      <c r="BE924" s="8" t="str">
        <f>Roster!$D$3</f>
        <v>East</v>
      </c>
      <c r="BF924" s="8" t="str">
        <f>Roster!$D$2</f>
        <v>Northeast</v>
      </c>
      <c r="BG924" s="8" t="str">
        <f>Roster!$D$4</f>
        <v>North</v>
      </c>
      <c r="BH924" s="197">
        <f ca="1">IFERROR(VLOOKUP(CONCATENATE(PlayerGameData[[#This Row],[Opponent]]," ",MONTH(PlayerGameData[[#This Row],[Date]]),"/",DAY(PlayerGameData[[#This Row],[Date]]),"/",YEAR(PlayerGameData[[#This Row],[Date]])),Table35[],2,FALSE),0)</f>
        <v>0</v>
      </c>
      <c r="BI924" s="197">
        <f ca="1">IF(PlayerGameData[[#This Row],[Visible]]=1,1,1000)</f>
        <v>1000</v>
      </c>
      <c r="BJ924" s="197" t="e">
        <f ca="1">_xlfn.MAXIFS(TeamGameData[Win],TeamGameData[School, Opponent,Game'#],PlayerGameData[[#This Row],[School, Opponent,Game'#]])</f>
        <v>#NAME?</v>
      </c>
      <c r="BK924" s="197" t="e">
        <f ca="1">_xlfn.MAXIFS(TeamGameData[Loss],TeamGameData[School, Opponent,Game'#],PlayerGameData[[#This Row],[School, Opponent,Game'#]])</f>
        <v>#NAME?</v>
      </c>
    </row>
    <row r="925" spans="1:63" x14ac:dyDescent="0.25">
      <c r="A925" s="8" t="str">
        <f t="shared" ca="1" si="453"/>
        <v>Ben Carpenter, 21</v>
      </c>
      <c r="B925" s="8" t="str">
        <f>Roster!$B$1</f>
        <v>Upton</v>
      </c>
      <c r="C925" s="8">
        <f t="shared" ca="1" si="441"/>
        <v>0</v>
      </c>
      <c r="D925" s="10">
        <f t="shared" ca="1" si="442"/>
        <v>0</v>
      </c>
      <c r="E925" s="8">
        <f t="shared" ca="1" si="443"/>
        <v>0</v>
      </c>
      <c r="F925" s="8">
        <f t="shared" ca="1" si="444"/>
        <v>0</v>
      </c>
      <c r="G925" s="8">
        <f t="shared" ca="1" si="445"/>
        <v>0</v>
      </c>
      <c r="H925" s="8">
        <f t="shared" ca="1" si="446"/>
        <v>0</v>
      </c>
      <c r="I925" s="8">
        <f t="shared" ca="1" si="447"/>
        <v>0</v>
      </c>
      <c r="J925" s="8">
        <f t="shared" ca="1" si="448"/>
        <v>0</v>
      </c>
      <c r="K925" s="8">
        <f t="shared" ca="1" si="449"/>
        <v>0</v>
      </c>
      <c r="L925" s="8">
        <f t="shared" ca="1" si="454"/>
        <v>0</v>
      </c>
      <c r="M925" s="8">
        <f t="shared" ca="1" si="455"/>
        <v>0</v>
      </c>
      <c r="N925" s="8">
        <f t="shared" ca="1" si="456"/>
        <v>0</v>
      </c>
      <c r="O925" s="8">
        <f t="shared" ca="1" si="457"/>
        <v>0</v>
      </c>
      <c r="P925" s="8">
        <f t="shared" ca="1" si="458"/>
        <v>0</v>
      </c>
      <c r="Q925" s="8">
        <f t="shared" ca="1" si="459"/>
        <v>0</v>
      </c>
      <c r="R925" s="8">
        <f t="shared" ca="1" si="460"/>
        <v>0</v>
      </c>
      <c r="S925" s="8">
        <f t="shared" ca="1" si="461"/>
        <v>0</v>
      </c>
      <c r="T925" s="8">
        <f t="shared" ca="1" si="462"/>
        <v>0</v>
      </c>
      <c r="U925" s="8">
        <f t="shared" ca="1" si="463"/>
        <v>0</v>
      </c>
      <c r="V925" s="8">
        <f t="shared" ca="1" si="464"/>
        <v>0</v>
      </c>
      <c r="W925" s="11" t="str">
        <f t="shared" ca="1" si="465"/>
        <v/>
      </c>
      <c r="X925" s="11" t="str">
        <f t="shared" ca="1" si="466"/>
        <v/>
      </c>
      <c r="Y925" s="11" t="str">
        <f t="shared" ca="1" si="467"/>
        <v/>
      </c>
      <c r="Z925" s="11" t="str">
        <f t="shared" ca="1" si="468"/>
        <v/>
      </c>
      <c r="AA925" s="11" t="str">
        <f t="shared" ca="1" si="469"/>
        <v/>
      </c>
      <c r="AB925" s="47">
        <f ca="1">PlayerGameData[[#This Row],[3FGA]]+PlayerGameData[[#This Row],[2FGA]]</f>
        <v>0</v>
      </c>
      <c r="AC925" s="47">
        <f ca="1">PlayerGameData[[#This Row],[OFF REB]]+PlayerGameData[[#This Row],[DEF REB]]</f>
        <v>0</v>
      </c>
      <c r="AD925" s="8">
        <f t="shared" si="450"/>
        <v>39</v>
      </c>
      <c r="AE925" s="8" t="str">
        <f t="shared" ca="1" si="451"/>
        <v>Ben Carpenter, 21 - 0 1/0/1900</v>
      </c>
      <c r="AF925" s="8" t="str">
        <f t="shared" ca="1" si="470"/>
        <v/>
      </c>
      <c r="AG925" s="8" t="str">
        <f ca="1">IFERROR(IF(C925=0,"",IF(AND(VLOOKUP(PlayerGameData[[#This Row],[Opponent]],WYTeamInfo,2,FALSE)=Roster!$D$1,VLOOKUP(PlayerGameData[[#This Row],[Opponent]],WYTeamInfo,3,FALSE)=Roster!$D$2),"SR","")),"")</f>
        <v/>
      </c>
      <c r="AH925" s="8" t="str">
        <f>CONCATENATE(Roster!$D$1," ",Roster!$D$5)</f>
        <v>1A BB</v>
      </c>
      <c r="AI925" s="8" t="str">
        <f t="shared" ca="1" si="452"/>
        <v>Blank</v>
      </c>
      <c r="AJ925" s="8">
        <f ca="1">IFERROR(VLOOKUP(PlayerGameData[[#This Row],[School, Opponent,Game'#]],Table3[],2,FALSE),0)</f>
        <v>0</v>
      </c>
      <c r="AK925" s="8">
        <f ca="1">IF(PlayerGameData[[#This Row],[Visible]]=1,1,1000)</f>
        <v>1000</v>
      </c>
      <c r="AL925" s="8">
        <f ca="1">RANK(PlayerGameData[[#This Row],[TL PTS]],PlayerGameData[TL PTS],0)+PlayerGameData[[#This Row],[VisibleOrder]]</f>
        <v>1184</v>
      </c>
      <c r="AM925" s="8">
        <f ca="1">IF(COUNTIF(PlayerGameData[PointOrder],PlayerGameData[[#This Row],[PointOrder]])&gt;1,RANK(PlayerGameData[[#This Row],[FGA]],PlayerGameData[FGA],0)/100,0)+PlayerGameData[[#This Row],[PointOrder]]</f>
        <v>1186.1400000000001</v>
      </c>
      <c r="AN925" s="8">
        <f ca="1">RANK(PlayerGameData[[#This Row],[PointTieBreak]],PlayerGameData[PointTieBreak],1)</f>
        <v>625</v>
      </c>
      <c r="AO925" s="8">
        <f ca="1">RANK(PlayerGameData[[#This Row],[REB]],PlayerGameData[REB],0)+PlayerGameData[[#This Row],[VisibleOrder]]</f>
        <v>1191</v>
      </c>
      <c r="AP925" s="8">
        <f ca="1">IF(COUNTIF(PlayerGameData[REBOrder],PlayerGameData[[#This Row],[REBOrder]])&gt;1,PlayerGameData[[#This Row],[PointRank]]/100+PlayerGameData[[#This Row],[REBOrder]],PlayerGameData[[#This Row],[REBOrder]])</f>
        <v>1197.25</v>
      </c>
      <c r="AQ925" s="8">
        <f ca="1">RANK(PlayerGameData[[#This Row],[REBTieBreak]],PlayerGameData[REBTieBreak],1)</f>
        <v>625</v>
      </c>
      <c r="AR925" s="8">
        <f ca="1">RANK(PlayerGameData[[#This Row],[AST]],PlayerGameData[AST],0)+PlayerGameData[[#This Row],[VisibleOrder]]</f>
        <v>1157</v>
      </c>
      <c r="AS925" s="8">
        <f ca="1">IF(COUNTIF(PlayerGameData[ASTOrder],PlayerGameData[[#This Row],[ASTOrder]])&gt;1,PlayerGameData[[#This Row],[PointRank]]/100+PlayerGameData[[#This Row],[ASTOrder]],PlayerGameData[[#This Row],[ASTOrder]])</f>
        <v>1163.25</v>
      </c>
      <c r="AT925" s="8">
        <f ca="1">RANK(PlayerGameData[[#This Row],[ASTTieBreak]],PlayerGameData[ASTTieBreak],1)</f>
        <v>625</v>
      </c>
      <c r="AU925" s="8">
        <f ca="1">RANK(PlayerGameData[[#This Row],[STL]],PlayerGameData[STL],0)+PlayerGameData[[#This Row],[VisibleOrder]]</f>
        <v>1142</v>
      </c>
      <c r="AV925" s="8">
        <f ca="1">IF(COUNTIF(PlayerGameData[STLOrder],PlayerGameData[[#This Row],[STLOrder]])&gt;1,PlayerGameData[[#This Row],[PointRank]]/100+PlayerGameData[[#This Row],[STLOrder]],PlayerGameData[[#This Row],[STLOrder]])</f>
        <v>1148.25</v>
      </c>
      <c r="AW925" s="8">
        <f ca="1">RANK(PlayerGameData[[#This Row],[STLTieBreak]],PlayerGameData[STLTieBreak],1)</f>
        <v>625</v>
      </c>
      <c r="AX925" s="8">
        <f ca="1">RANK(PlayerGameData[[#This Row],[BLK]],PlayerGameData[BLK],0)+PlayerGameData[[#This Row],[VisibleOrder]]</f>
        <v>1031</v>
      </c>
      <c r="AY925" s="8">
        <f ca="1">IF(COUNTIF(PlayerGameData[BLKOrder],PlayerGameData[[#This Row],[BLKOrder]])&gt;1,PlayerGameData[[#This Row],[PointRank]]/100+PlayerGameData[[#This Row],[BLKOrder]],PlayerGameData[[#This Row],[BLKOrder]])</f>
        <v>1037.25</v>
      </c>
      <c r="AZ925" s="8">
        <f ca="1">RANK(PlayerGameData[[#This Row],[BLKTieBreak]],PlayerGameData[BLKTieBreak],1)</f>
        <v>625</v>
      </c>
      <c r="BA925" s="11">
        <f ca="1">IFERROR(IF(PlayerGameData[[#This Row],[FGA]]&gt;$AA$5,PlayerGameData[[#This Row],[FG%*]],PlayerGameData[[#This Row],[FG%*]]*-1),-2)</f>
        <v>-2</v>
      </c>
      <c r="BB925" s="8">
        <f ca="1">RANK(PlayerGameData[[#This Row],[EligFG]],PlayerGameData[EligFG],0)+PlayerGameData[[#This Row],[VisibleOrder]]</f>
        <v>1214</v>
      </c>
      <c r="BC925" s="8">
        <f ca="1">IF(COUNTIF(PlayerGameData[EligFGOrder],PlayerGameData[[#This Row],[EligFGOrder]])&gt;1,PlayerGameData[[#This Row],[PointRank]]/100+PlayerGameData[[#This Row],[EligFGOrder]],PlayerGameData[[#This Row],[EligFGOrder]])</f>
        <v>1220.25</v>
      </c>
      <c r="BD925" s="8">
        <f ca="1">RANK(PlayerGameData[[#This Row],[EligFGTieBreak]],PlayerGameData[EligFGTieBreak],1)</f>
        <v>625</v>
      </c>
      <c r="BE925" s="8" t="str">
        <f>Roster!$D$3</f>
        <v>East</v>
      </c>
      <c r="BF925" s="8" t="str">
        <f>Roster!$D$2</f>
        <v>Northeast</v>
      </c>
      <c r="BG925" s="8" t="str">
        <f>Roster!$D$4</f>
        <v>North</v>
      </c>
      <c r="BH925" s="197">
        <f ca="1">IFERROR(VLOOKUP(CONCATENATE(PlayerGameData[[#This Row],[Opponent]]," ",MONTH(PlayerGameData[[#This Row],[Date]]),"/",DAY(PlayerGameData[[#This Row],[Date]]),"/",YEAR(PlayerGameData[[#This Row],[Date]])),Table35[],2,FALSE),0)</f>
        <v>0</v>
      </c>
      <c r="BI925" s="197">
        <f ca="1">IF(PlayerGameData[[#This Row],[Visible]]=1,1,1000)</f>
        <v>1000</v>
      </c>
      <c r="BJ925" s="197" t="e">
        <f ca="1">_xlfn.MAXIFS(TeamGameData[Win],TeamGameData[School, Opponent,Game'#],PlayerGameData[[#This Row],[School, Opponent,Game'#]])</f>
        <v>#NAME?</v>
      </c>
      <c r="BK925" s="197" t="e">
        <f ca="1">_xlfn.MAXIFS(TeamGameData[Loss],TeamGameData[School, Opponent,Game'#],PlayerGameData[[#This Row],[School, Opponent,Game'#]])</f>
        <v>#NAME?</v>
      </c>
    </row>
    <row r="926" spans="1:63" x14ac:dyDescent="0.25">
      <c r="A926" s="8" t="str">
        <f t="shared" ca="1" si="453"/>
        <v>Ethan Schiller, 23</v>
      </c>
      <c r="B926" s="8" t="str">
        <f>Roster!$B$1</f>
        <v>Upton</v>
      </c>
      <c r="C926" s="8">
        <f t="shared" ca="1" si="441"/>
        <v>0</v>
      </c>
      <c r="D926" s="10">
        <f t="shared" ca="1" si="442"/>
        <v>0</v>
      </c>
      <c r="E926" s="8">
        <f t="shared" ca="1" si="443"/>
        <v>0</v>
      </c>
      <c r="F926" s="8">
        <f t="shared" ca="1" si="444"/>
        <v>0</v>
      </c>
      <c r="G926" s="8">
        <f t="shared" ca="1" si="445"/>
        <v>0</v>
      </c>
      <c r="H926" s="8">
        <f t="shared" ca="1" si="446"/>
        <v>0</v>
      </c>
      <c r="I926" s="8">
        <f t="shared" ca="1" si="447"/>
        <v>0</v>
      </c>
      <c r="J926" s="8">
        <f t="shared" ca="1" si="448"/>
        <v>0</v>
      </c>
      <c r="K926" s="8">
        <f t="shared" ca="1" si="449"/>
        <v>0</v>
      </c>
      <c r="L926" s="8">
        <f t="shared" ca="1" si="454"/>
        <v>0</v>
      </c>
      <c r="M926" s="8">
        <f t="shared" ca="1" si="455"/>
        <v>0</v>
      </c>
      <c r="N926" s="8">
        <f t="shared" ca="1" si="456"/>
        <v>0</v>
      </c>
      <c r="O926" s="8">
        <f t="shared" ca="1" si="457"/>
        <v>0</v>
      </c>
      <c r="P926" s="8">
        <f t="shared" ca="1" si="458"/>
        <v>0</v>
      </c>
      <c r="Q926" s="8">
        <f t="shared" ca="1" si="459"/>
        <v>0</v>
      </c>
      <c r="R926" s="8">
        <f t="shared" ca="1" si="460"/>
        <v>0</v>
      </c>
      <c r="S926" s="8">
        <f t="shared" ca="1" si="461"/>
        <v>0</v>
      </c>
      <c r="T926" s="8">
        <f t="shared" ca="1" si="462"/>
        <v>0</v>
      </c>
      <c r="U926" s="8">
        <f t="shared" ca="1" si="463"/>
        <v>0</v>
      </c>
      <c r="V926" s="8">
        <f t="shared" ca="1" si="464"/>
        <v>0</v>
      </c>
      <c r="W926" s="11" t="str">
        <f t="shared" ca="1" si="465"/>
        <v/>
      </c>
      <c r="X926" s="11" t="str">
        <f t="shared" ca="1" si="466"/>
        <v/>
      </c>
      <c r="Y926" s="11" t="str">
        <f t="shared" ca="1" si="467"/>
        <v/>
      </c>
      <c r="Z926" s="11" t="str">
        <f t="shared" ca="1" si="468"/>
        <v/>
      </c>
      <c r="AA926" s="11" t="str">
        <f t="shared" ca="1" si="469"/>
        <v/>
      </c>
      <c r="AB926" s="47">
        <f ca="1">PlayerGameData[[#This Row],[3FGA]]+PlayerGameData[[#This Row],[2FGA]]</f>
        <v>0</v>
      </c>
      <c r="AC926" s="47">
        <f ca="1">PlayerGameData[[#This Row],[OFF REB]]+PlayerGameData[[#This Row],[DEF REB]]</f>
        <v>0</v>
      </c>
      <c r="AD926" s="8">
        <f t="shared" si="450"/>
        <v>39</v>
      </c>
      <c r="AE926" s="8" t="str">
        <f t="shared" ca="1" si="451"/>
        <v>Ethan Schiller, 23 - 0 1/0/1900</v>
      </c>
      <c r="AF926" s="8" t="str">
        <f t="shared" ca="1" si="470"/>
        <v/>
      </c>
      <c r="AG926" s="8" t="str">
        <f ca="1">IFERROR(IF(C926=0,"",IF(AND(VLOOKUP(PlayerGameData[[#This Row],[Opponent]],WYTeamInfo,2,FALSE)=Roster!$D$1,VLOOKUP(PlayerGameData[[#This Row],[Opponent]],WYTeamInfo,3,FALSE)=Roster!$D$2),"SR","")),"")</f>
        <v/>
      </c>
      <c r="AH926" s="8" t="str">
        <f>CONCATENATE(Roster!$D$1," ",Roster!$D$5)</f>
        <v>1A BB</v>
      </c>
      <c r="AI926" s="8" t="str">
        <f t="shared" ca="1" si="452"/>
        <v>Blank</v>
      </c>
      <c r="AJ926" s="8">
        <f ca="1">IFERROR(VLOOKUP(PlayerGameData[[#This Row],[School, Opponent,Game'#]],Table3[],2,FALSE),0)</f>
        <v>0</v>
      </c>
      <c r="AK926" s="8">
        <f ca="1">IF(PlayerGameData[[#This Row],[Visible]]=1,1,1000)</f>
        <v>1000</v>
      </c>
      <c r="AL926" s="8">
        <f ca="1">RANK(PlayerGameData[[#This Row],[TL PTS]],PlayerGameData[TL PTS],0)+PlayerGameData[[#This Row],[VisibleOrder]]</f>
        <v>1184</v>
      </c>
      <c r="AM926" s="8">
        <f ca="1">IF(COUNTIF(PlayerGameData[PointOrder],PlayerGameData[[#This Row],[PointOrder]])&gt;1,RANK(PlayerGameData[[#This Row],[FGA]],PlayerGameData[FGA],0)/100,0)+PlayerGameData[[#This Row],[PointOrder]]</f>
        <v>1186.1400000000001</v>
      </c>
      <c r="AN926" s="8">
        <f ca="1">RANK(PlayerGameData[[#This Row],[PointTieBreak]],PlayerGameData[PointTieBreak],1)</f>
        <v>625</v>
      </c>
      <c r="AO926" s="8">
        <f ca="1">RANK(PlayerGameData[[#This Row],[REB]],PlayerGameData[REB],0)+PlayerGameData[[#This Row],[VisibleOrder]]</f>
        <v>1191</v>
      </c>
      <c r="AP926" s="8">
        <f ca="1">IF(COUNTIF(PlayerGameData[REBOrder],PlayerGameData[[#This Row],[REBOrder]])&gt;1,PlayerGameData[[#This Row],[PointRank]]/100+PlayerGameData[[#This Row],[REBOrder]],PlayerGameData[[#This Row],[REBOrder]])</f>
        <v>1197.25</v>
      </c>
      <c r="AQ926" s="8">
        <f ca="1">RANK(PlayerGameData[[#This Row],[REBTieBreak]],PlayerGameData[REBTieBreak],1)</f>
        <v>625</v>
      </c>
      <c r="AR926" s="8">
        <f ca="1">RANK(PlayerGameData[[#This Row],[AST]],PlayerGameData[AST],0)+PlayerGameData[[#This Row],[VisibleOrder]]</f>
        <v>1157</v>
      </c>
      <c r="AS926" s="8">
        <f ca="1">IF(COUNTIF(PlayerGameData[ASTOrder],PlayerGameData[[#This Row],[ASTOrder]])&gt;1,PlayerGameData[[#This Row],[PointRank]]/100+PlayerGameData[[#This Row],[ASTOrder]],PlayerGameData[[#This Row],[ASTOrder]])</f>
        <v>1163.25</v>
      </c>
      <c r="AT926" s="8">
        <f ca="1">RANK(PlayerGameData[[#This Row],[ASTTieBreak]],PlayerGameData[ASTTieBreak],1)</f>
        <v>625</v>
      </c>
      <c r="AU926" s="8">
        <f ca="1">RANK(PlayerGameData[[#This Row],[STL]],PlayerGameData[STL],0)+PlayerGameData[[#This Row],[VisibleOrder]]</f>
        <v>1142</v>
      </c>
      <c r="AV926" s="8">
        <f ca="1">IF(COUNTIF(PlayerGameData[STLOrder],PlayerGameData[[#This Row],[STLOrder]])&gt;1,PlayerGameData[[#This Row],[PointRank]]/100+PlayerGameData[[#This Row],[STLOrder]],PlayerGameData[[#This Row],[STLOrder]])</f>
        <v>1148.25</v>
      </c>
      <c r="AW926" s="8">
        <f ca="1">RANK(PlayerGameData[[#This Row],[STLTieBreak]],PlayerGameData[STLTieBreak],1)</f>
        <v>625</v>
      </c>
      <c r="AX926" s="8">
        <f ca="1">RANK(PlayerGameData[[#This Row],[BLK]],PlayerGameData[BLK],0)+PlayerGameData[[#This Row],[VisibleOrder]]</f>
        <v>1031</v>
      </c>
      <c r="AY926" s="8">
        <f ca="1">IF(COUNTIF(PlayerGameData[BLKOrder],PlayerGameData[[#This Row],[BLKOrder]])&gt;1,PlayerGameData[[#This Row],[PointRank]]/100+PlayerGameData[[#This Row],[BLKOrder]],PlayerGameData[[#This Row],[BLKOrder]])</f>
        <v>1037.25</v>
      </c>
      <c r="AZ926" s="8">
        <f ca="1">RANK(PlayerGameData[[#This Row],[BLKTieBreak]],PlayerGameData[BLKTieBreak],1)</f>
        <v>625</v>
      </c>
      <c r="BA926" s="11">
        <f ca="1">IFERROR(IF(PlayerGameData[[#This Row],[FGA]]&gt;$AA$5,PlayerGameData[[#This Row],[FG%*]],PlayerGameData[[#This Row],[FG%*]]*-1),-2)</f>
        <v>-2</v>
      </c>
      <c r="BB926" s="8">
        <f ca="1">RANK(PlayerGameData[[#This Row],[EligFG]],PlayerGameData[EligFG],0)+PlayerGameData[[#This Row],[VisibleOrder]]</f>
        <v>1214</v>
      </c>
      <c r="BC926" s="8">
        <f ca="1">IF(COUNTIF(PlayerGameData[EligFGOrder],PlayerGameData[[#This Row],[EligFGOrder]])&gt;1,PlayerGameData[[#This Row],[PointRank]]/100+PlayerGameData[[#This Row],[EligFGOrder]],PlayerGameData[[#This Row],[EligFGOrder]])</f>
        <v>1220.25</v>
      </c>
      <c r="BD926" s="8">
        <f ca="1">RANK(PlayerGameData[[#This Row],[EligFGTieBreak]],PlayerGameData[EligFGTieBreak],1)</f>
        <v>625</v>
      </c>
      <c r="BE926" s="8" t="str">
        <f>Roster!$D$3</f>
        <v>East</v>
      </c>
      <c r="BF926" s="8" t="str">
        <f>Roster!$D$2</f>
        <v>Northeast</v>
      </c>
      <c r="BG926" s="8" t="str">
        <f>Roster!$D$4</f>
        <v>North</v>
      </c>
      <c r="BH926" s="197">
        <f ca="1">IFERROR(VLOOKUP(CONCATENATE(PlayerGameData[[#This Row],[Opponent]]," ",MONTH(PlayerGameData[[#This Row],[Date]]),"/",DAY(PlayerGameData[[#This Row],[Date]]),"/",YEAR(PlayerGameData[[#This Row],[Date]])),Table35[],2,FALSE),0)</f>
        <v>0</v>
      </c>
      <c r="BI926" s="197">
        <f ca="1">IF(PlayerGameData[[#This Row],[Visible]]=1,1,1000)</f>
        <v>1000</v>
      </c>
      <c r="BJ926" s="197" t="e">
        <f ca="1">_xlfn.MAXIFS(TeamGameData[Win],TeamGameData[School, Opponent,Game'#],PlayerGameData[[#This Row],[School, Opponent,Game'#]])</f>
        <v>#NAME?</v>
      </c>
      <c r="BK926" s="197" t="e">
        <f ca="1">_xlfn.MAXIFS(TeamGameData[Loss],TeamGameData[School, Opponent,Game'#],PlayerGameData[[#This Row],[School, Opponent,Game'#]])</f>
        <v>#NAME?</v>
      </c>
    </row>
    <row r="927" spans="1:63" x14ac:dyDescent="0.25">
      <c r="A927" s="8" t="str">
        <f t="shared" ca="1" si="453"/>
        <v>Bridger Bruce, 25</v>
      </c>
      <c r="B927" s="8" t="str">
        <f>Roster!$B$1</f>
        <v>Upton</v>
      </c>
      <c r="C927" s="8">
        <f t="shared" ca="1" si="441"/>
        <v>0</v>
      </c>
      <c r="D927" s="10">
        <f t="shared" ca="1" si="442"/>
        <v>0</v>
      </c>
      <c r="E927" s="8">
        <f t="shared" ca="1" si="443"/>
        <v>0</v>
      </c>
      <c r="F927" s="8">
        <f t="shared" ca="1" si="444"/>
        <v>0</v>
      </c>
      <c r="G927" s="8">
        <f t="shared" ca="1" si="445"/>
        <v>0</v>
      </c>
      <c r="H927" s="8">
        <f t="shared" ca="1" si="446"/>
        <v>0</v>
      </c>
      <c r="I927" s="8">
        <f t="shared" ca="1" si="447"/>
        <v>0</v>
      </c>
      <c r="J927" s="8">
        <f t="shared" ca="1" si="448"/>
        <v>0</v>
      </c>
      <c r="K927" s="8">
        <f t="shared" ca="1" si="449"/>
        <v>0</v>
      </c>
      <c r="L927" s="8">
        <f t="shared" ca="1" si="454"/>
        <v>0</v>
      </c>
      <c r="M927" s="8">
        <f t="shared" ca="1" si="455"/>
        <v>0</v>
      </c>
      <c r="N927" s="8">
        <f t="shared" ca="1" si="456"/>
        <v>0</v>
      </c>
      <c r="O927" s="8">
        <f t="shared" ca="1" si="457"/>
        <v>0</v>
      </c>
      <c r="P927" s="8">
        <f t="shared" ca="1" si="458"/>
        <v>0</v>
      </c>
      <c r="Q927" s="8">
        <f t="shared" ca="1" si="459"/>
        <v>0</v>
      </c>
      <c r="R927" s="8">
        <f t="shared" ca="1" si="460"/>
        <v>0</v>
      </c>
      <c r="S927" s="8">
        <f t="shared" ca="1" si="461"/>
        <v>0</v>
      </c>
      <c r="T927" s="8">
        <f t="shared" ca="1" si="462"/>
        <v>0</v>
      </c>
      <c r="U927" s="8">
        <f t="shared" ca="1" si="463"/>
        <v>0</v>
      </c>
      <c r="V927" s="8">
        <f t="shared" ca="1" si="464"/>
        <v>0</v>
      </c>
      <c r="W927" s="11" t="str">
        <f t="shared" ca="1" si="465"/>
        <v/>
      </c>
      <c r="X927" s="11" t="str">
        <f t="shared" ca="1" si="466"/>
        <v/>
      </c>
      <c r="Y927" s="11" t="str">
        <f t="shared" ca="1" si="467"/>
        <v/>
      </c>
      <c r="Z927" s="11" t="str">
        <f t="shared" ca="1" si="468"/>
        <v/>
      </c>
      <c r="AA927" s="11" t="str">
        <f t="shared" ca="1" si="469"/>
        <v/>
      </c>
      <c r="AB927" s="47">
        <f ca="1">PlayerGameData[[#This Row],[3FGA]]+PlayerGameData[[#This Row],[2FGA]]</f>
        <v>0</v>
      </c>
      <c r="AC927" s="47">
        <f ca="1">PlayerGameData[[#This Row],[OFF REB]]+PlayerGameData[[#This Row],[DEF REB]]</f>
        <v>0</v>
      </c>
      <c r="AD927" s="8">
        <f t="shared" si="450"/>
        <v>39</v>
      </c>
      <c r="AE927" s="8" t="str">
        <f t="shared" ca="1" si="451"/>
        <v>Bridger Bruce, 25 - 0 1/0/1900</v>
      </c>
      <c r="AF927" s="8" t="str">
        <f t="shared" ca="1" si="470"/>
        <v/>
      </c>
      <c r="AG927" s="8" t="str">
        <f ca="1">IFERROR(IF(C927=0,"",IF(AND(VLOOKUP(PlayerGameData[[#This Row],[Opponent]],WYTeamInfo,2,FALSE)=Roster!$D$1,VLOOKUP(PlayerGameData[[#This Row],[Opponent]],WYTeamInfo,3,FALSE)=Roster!$D$2),"SR","")),"")</f>
        <v/>
      </c>
      <c r="AH927" s="8" t="str">
        <f>CONCATENATE(Roster!$D$1," ",Roster!$D$5)</f>
        <v>1A BB</v>
      </c>
      <c r="AI927" s="8" t="str">
        <f t="shared" ca="1" si="452"/>
        <v>Blank</v>
      </c>
      <c r="AJ927" s="8">
        <f ca="1">IFERROR(VLOOKUP(PlayerGameData[[#This Row],[School, Opponent,Game'#]],Table3[],2,FALSE),0)</f>
        <v>0</v>
      </c>
      <c r="AK927" s="8">
        <f ca="1">IF(PlayerGameData[[#This Row],[Visible]]=1,1,1000)</f>
        <v>1000</v>
      </c>
      <c r="AL927" s="8">
        <f ca="1">RANK(PlayerGameData[[#This Row],[TL PTS]],PlayerGameData[TL PTS],0)+PlayerGameData[[#This Row],[VisibleOrder]]</f>
        <v>1184</v>
      </c>
      <c r="AM927" s="8">
        <f ca="1">IF(COUNTIF(PlayerGameData[PointOrder],PlayerGameData[[#This Row],[PointOrder]])&gt;1,RANK(PlayerGameData[[#This Row],[FGA]],PlayerGameData[FGA],0)/100,0)+PlayerGameData[[#This Row],[PointOrder]]</f>
        <v>1186.1400000000001</v>
      </c>
      <c r="AN927" s="8">
        <f ca="1">RANK(PlayerGameData[[#This Row],[PointTieBreak]],PlayerGameData[PointTieBreak],1)</f>
        <v>625</v>
      </c>
      <c r="AO927" s="8">
        <f ca="1">RANK(PlayerGameData[[#This Row],[REB]],PlayerGameData[REB],0)+PlayerGameData[[#This Row],[VisibleOrder]]</f>
        <v>1191</v>
      </c>
      <c r="AP927" s="8">
        <f ca="1">IF(COUNTIF(PlayerGameData[REBOrder],PlayerGameData[[#This Row],[REBOrder]])&gt;1,PlayerGameData[[#This Row],[PointRank]]/100+PlayerGameData[[#This Row],[REBOrder]],PlayerGameData[[#This Row],[REBOrder]])</f>
        <v>1197.25</v>
      </c>
      <c r="AQ927" s="8">
        <f ca="1">RANK(PlayerGameData[[#This Row],[REBTieBreak]],PlayerGameData[REBTieBreak],1)</f>
        <v>625</v>
      </c>
      <c r="AR927" s="8">
        <f ca="1">RANK(PlayerGameData[[#This Row],[AST]],PlayerGameData[AST],0)+PlayerGameData[[#This Row],[VisibleOrder]]</f>
        <v>1157</v>
      </c>
      <c r="AS927" s="8">
        <f ca="1">IF(COUNTIF(PlayerGameData[ASTOrder],PlayerGameData[[#This Row],[ASTOrder]])&gt;1,PlayerGameData[[#This Row],[PointRank]]/100+PlayerGameData[[#This Row],[ASTOrder]],PlayerGameData[[#This Row],[ASTOrder]])</f>
        <v>1163.25</v>
      </c>
      <c r="AT927" s="8">
        <f ca="1">RANK(PlayerGameData[[#This Row],[ASTTieBreak]],PlayerGameData[ASTTieBreak],1)</f>
        <v>625</v>
      </c>
      <c r="AU927" s="8">
        <f ca="1">RANK(PlayerGameData[[#This Row],[STL]],PlayerGameData[STL],0)+PlayerGameData[[#This Row],[VisibleOrder]]</f>
        <v>1142</v>
      </c>
      <c r="AV927" s="8">
        <f ca="1">IF(COUNTIF(PlayerGameData[STLOrder],PlayerGameData[[#This Row],[STLOrder]])&gt;1,PlayerGameData[[#This Row],[PointRank]]/100+PlayerGameData[[#This Row],[STLOrder]],PlayerGameData[[#This Row],[STLOrder]])</f>
        <v>1148.25</v>
      </c>
      <c r="AW927" s="8">
        <f ca="1">RANK(PlayerGameData[[#This Row],[STLTieBreak]],PlayerGameData[STLTieBreak],1)</f>
        <v>625</v>
      </c>
      <c r="AX927" s="8">
        <f ca="1">RANK(PlayerGameData[[#This Row],[BLK]],PlayerGameData[BLK],0)+PlayerGameData[[#This Row],[VisibleOrder]]</f>
        <v>1031</v>
      </c>
      <c r="AY927" s="8">
        <f ca="1">IF(COUNTIF(PlayerGameData[BLKOrder],PlayerGameData[[#This Row],[BLKOrder]])&gt;1,PlayerGameData[[#This Row],[PointRank]]/100+PlayerGameData[[#This Row],[BLKOrder]],PlayerGameData[[#This Row],[BLKOrder]])</f>
        <v>1037.25</v>
      </c>
      <c r="AZ927" s="8">
        <f ca="1">RANK(PlayerGameData[[#This Row],[BLKTieBreak]],PlayerGameData[BLKTieBreak],1)</f>
        <v>625</v>
      </c>
      <c r="BA927" s="11">
        <f ca="1">IFERROR(IF(PlayerGameData[[#This Row],[FGA]]&gt;$AA$5,PlayerGameData[[#This Row],[FG%*]],PlayerGameData[[#This Row],[FG%*]]*-1),-2)</f>
        <v>-2</v>
      </c>
      <c r="BB927" s="8">
        <f ca="1">RANK(PlayerGameData[[#This Row],[EligFG]],PlayerGameData[EligFG],0)+PlayerGameData[[#This Row],[VisibleOrder]]</f>
        <v>1214</v>
      </c>
      <c r="BC927" s="8">
        <f ca="1">IF(COUNTIF(PlayerGameData[EligFGOrder],PlayerGameData[[#This Row],[EligFGOrder]])&gt;1,PlayerGameData[[#This Row],[PointRank]]/100+PlayerGameData[[#This Row],[EligFGOrder]],PlayerGameData[[#This Row],[EligFGOrder]])</f>
        <v>1220.25</v>
      </c>
      <c r="BD927" s="8">
        <f ca="1">RANK(PlayerGameData[[#This Row],[EligFGTieBreak]],PlayerGameData[EligFGTieBreak],1)</f>
        <v>625</v>
      </c>
      <c r="BE927" s="8" t="str">
        <f>Roster!$D$3</f>
        <v>East</v>
      </c>
      <c r="BF927" s="8" t="str">
        <f>Roster!$D$2</f>
        <v>Northeast</v>
      </c>
      <c r="BG927" s="8" t="str">
        <f>Roster!$D$4</f>
        <v>North</v>
      </c>
      <c r="BH927" s="197">
        <f ca="1">IFERROR(VLOOKUP(CONCATENATE(PlayerGameData[[#This Row],[Opponent]]," ",MONTH(PlayerGameData[[#This Row],[Date]]),"/",DAY(PlayerGameData[[#This Row],[Date]]),"/",YEAR(PlayerGameData[[#This Row],[Date]])),Table35[],2,FALSE),0)</f>
        <v>0</v>
      </c>
      <c r="BI927" s="197">
        <f ca="1">IF(PlayerGameData[[#This Row],[Visible]]=1,1,1000)</f>
        <v>1000</v>
      </c>
      <c r="BJ927" s="197" t="e">
        <f ca="1">_xlfn.MAXIFS(TeamGameData[Win],TeamGameData[School, Opponent,Game'#],PlayerGameData[[#This Row],[School, Opponent,Game'#]])</f>
        <v>#NAME?</v>
      </c>
      <c r="BK927" s="197" t="e">
        <f ca="1">_xlfn.MAXIFS(TeamGameData[Loss],TeamGameData[School, Opponent,Game'#],PlayerGameData[[#This Row],[School, Opponent,Game'#]])</f>
        <v>#NAME?</v>
      </c>
    </row>
    <row r="928" spans="1:63" x14ac:dyDescent="0.25">
      <c r="A928" s="8" t="str">
        <f t="shared" ca="1" si="453"/>
        <v>Kailer Duarte, 31</v>
      </c>
      <c r="B928" s="8" t="str">
        <f>Roster!$B$1</f>
        <v>Upton</v>
      </c>
      <c r="C928" s="8">
        <f t="shared" ca="1" si="441"/>
        <v>0</v>
      </c>
      <c r="D928" s="10">
        <f t="shared" ca="1" si="442"/>
        <v>0</v>
      </c>
      <c r="E928" s="8">
        <f t="shared" ca="1" si="443"/>
        <v>0</v>
      </c>
      <c r="F928" s="8">
        <f t="shared" ca="1" si="444"/>
        <v>0</v>
      </c>
      <c r="G928" s="8">
        <f t="shared" ca="1" si="445"/>
        <v>0</v>
      </c>
      <c r="H928" s="8">
        <f t="shared" ca="1" si="446"/>
        <v>0</v>
      </c>
      <c r="I928" s="8">
        <f t="shared" ca="1" si="447"/>
        <v>0</v>
      </c>
      <c r="J928" s="8">
        <f t="shared" ca="1" si="448"/>
        <v>0</v>
      </c>
      <c r="K928" s="8">
        <f t="shared" ca="1" si="449"/>
        <v>0</v>
      </c>
      <c r="L928" s="8">
        <f t="shared" ca="1" si="454"/>
        <v>0</v>
      </c>
      <c r="M928" s="8">
        <f t="shared" ca="1" si="455"/>
        <v>0</v>
      </c>
      <c r="N928" s="8">
        <f t="shared" ca="1" si="456"/>
        <v>0</v>
      </c>
      <c r="O928" s="8">
        <f t="shared" ca="1" si="457"/>
        <v>0</v>
      </c>
      <c r="P928" s="8">
        <f t="shared" ca="1" si="458"/>
        <v>0</v>
      </c>
      <c r="Q928" s="8">
        <f t="shared" ca="1" si="459"/>
        <v>0</v>
      </c>
      <c r="R928" s="8">
        <f t="shared" ca="1" si="460"/>
        <v>0</v>
      </c>
      <c r="S928" s="8">
        <f t="shared" ca="1" si="461"/>
        <v>0</v>
      </c>
      <c r="T928" s="8">
        <f t="shared" ca="1" si="462"/>
        <v>0</v>
      </c>
      <c r="U928" s="8">
        <f t="shared" ca="1" si="463"/>
        <v>0</v>
      </c>
      <c r="V928" s="8">
        <f t="shared" ca="1" si="464"/>
        <v>0</v>
      </c>
      <c r="W928" s="11" t="str">
        <f t="shared" ca="1" si="465"/>
        <v/>
      </c>
      <c r="X928" s="11" t="str">
        <f t="shared" ca="1" si="466"/>
        <v/>
      </c>
      <c r="Y928" s="11" t="str">
        <f t="shared" ca="1" si="467"/>
        <v/>
      </c>
      <c r="Z928" s="11" t="str">
        <f t="shared" ca="1" si="468"/>
        <v/>
      </c>
      <c r="AA928" s="11" t="str">
        <f t="shared" ca="1" si="469"/>
        <v/>
      </c>
      <c r="AB928" s="47">
        <f ca="1">PlayerGameData[[#This Row],[3FGA]]+PlayerGameData[[#This Row],[2FGA]]</f>
        <v>0</v>
      </c>
      <c r="AC928" s="47">
        <f ca="1">PlayerGameData[[#This Row],[OFF REB]]+PlayerGameData[[#This Row],[DEF REB]]</f>
        <v>0</v>
      </c>
      <c r="AD928" s="8">
        <f t="shared" si="450"/>
        <v>39</v>
      </c>
      <c r="AE928" s="8" t="str">
        <f t="shared" ca="1" si="451"/>
        <v>Kailer Duarte, 31 - 0 1/0/1900</v>
      </c>
      <c r="AF928" s="8" t="str">
        <f t="shared" ca="1" si="470"/>
        <v/>
      </c>
      <c r="AG928" s="8" t="str">
        <f ca="1">IFERROR(IF(C928=0,"",IF(AND(VLOOKUP(PlayerGameData[[#This Row],[Opponent]],WYTeamInfo,2,FALSE)=Roster!$D$1,VLOOKUP(PlayerGameData[[#This Row],[Opponent]],WYTeamInfo,3,FALSE)=Roster!$D$2),"SR","")),"")</f>
        <v/>
      </c>
      <c r="AH928" s="8" t="str">
        <f>CONCATENATE(Roster!$D$1," ",Roster!$D$5)</f>
        <v>1A BB</v>
      </c>
      <c r="AI928" s="8" t="str">
        <f t="shared" ca="1" si="452"/>
        <v>Blank</v>
      </c>
      <c r="AJ928" s="8">
        <f ca="1">IFERROR(VLOOKUP(PlayerGameData[[#This Row],[School, Opponent,Game'#]],Table3[],2,FALSE),0)</f>
        <v>0</v>
      </c>
      <c r="AK928" s="8">
        <f ca="1">IF(PlayerGameData[[#This Row],[Visible]]=1,1,1000)</f>
        <v>1000</v>
      </c>
      <c r="AL928" s="8">
        <f ca="1">RANK(PlayerGameData[[#This Row],[TL PTS]],PlayerGameData[TL PTS],0)+PlayerGameData[[#This Row],[VisibleOrder]]</f>
        <v>1184</v>
      </c>
      <c r="AM928" s="8">
        <f ca="1">IF(COUNTIF(PlayerGameData[PointOrder],PlayerGameData[[#This Row],[PointOrder]])&gt;1,RANK(PlayerGameData[[#This Row],[FGA]],PlayerGameData[FGA],0)/100,0)+PlayerGameData[[#This Row],[PointOrder]]</f>
        <v>1186.1400000000001</v>
      </c>
      <c r="AN928" s="8">
        <f ca="1">RANK(PlayerGameData[[#This Row],[PointTieBreak]],PlayerGameData[PointTieBreak],1)</f>
        <v>625</v>
      </c>
      <c r="AO928" s="8">
        <f ca="1">RANK(PlayerGameData[[#This Row],[REB]],PlayerGameData[REB],0)+PlayerGameData[[#This Row],[VisibleOrder]]</f>
        <v>1191</v>
      </c>
      <c r="AP928" s="8">
        <f ca="1">IF(COUNTIF(PlayerGameData[REBOrder],PlayerGameData[[#This Row],[REBOrder]])&gt;1,PlayerGameData[[#This Row],[PointRank]]/100+PlayerGameData[[#This Row],[REBOrder]],PlayerGameData[[#This Row],[REBOrder]])</f>
        <v>1197.25</v>
      </c>
      <c r="AQ928" s="8">
        <f ca="1">RANK(PlayerGameData[[#This Row],[REBTieBreak]],PlayerGameData[REBTieBreak],1)</f>
        <v>625</v>
      </c>
      <c r="AR928" s="8">
        <f ca="1">RANK(PlayerGameData[[#This Row],[AST]],PlayerGameData[AST],0)+PlayerGameData[[#This Row],[VisibleOrder]]</f>
        <v>1157</v>
      </c>
      <c r="AS928" s="8">
        <f ca="1">IF(COUNTIF(PlayerGameData[ASTOrder],PlayerGameData[[#This Row],[ASTOrder]])&gt;1,PlayerGameData[[#This Row],[PointRank]]/100+PlayerGameData[[#This Row],[ASTOrder]],PlayerGameData[[#This Row],[ASTOrder]])</f>
        <v>1163.25</v>
      </c>
      <c r="AT928" s="8">
        <f ca="1">RANK(PlayerGameData[[#This Row],[ASTTieBreak]],PlayerGameData[ASTTieBreak],1)</f>
        <v>625</v>
      </c>
      <c r="AU928" s="8">
        <f ca="1">RANK(PlayerGameData[[#This Row],[STL]],PlayerGameData[STL],0)+PlayerGameData[[#This Row],[VisibleOrder]]</f>
        <v>1142</v>
      </c>
      <c r="AV928" s="8">
        <f ca="1">IF(COUNTIF(PlayerGameData[STLOrder],PlayerGameData[[#This Row],[STLOrder]])&gt;1,PlayerGameData[[#This Row],[PointRank]]/100+PlayerGameData[[#This Row],[STLOrder]],PlayerGameData[[#This Row],[STLOrder]])</f>
        <v>1148.25</v>
      </c>
      <c r="AW928" s="8">
        <f ca="1">RANK(PlayerGameData[[#This Row],[STLTieBreak]],PlayerGameData[STLTieBreak],1)</f>
        <v>625</v>
      </c>
      <c r="AX928" s="8">
        <f ca="1">RANK(PlayerGameData[[#This Row],[BLK]],PlayerGameData[BLK],0)+PlayerGameData[[#This Row],[VisibleOrder]]</f>
        <v>1031</v>
      </c>
      <c r="AY928" s="8">
        <f ca="1">IF(COUNTIF(PlayerGameData[BLKOrder],PlayerGameData[[#This Row],[BLKOrder]])&gt;1,PlayerGameData[[#This Row],[PointRank]]/100+PlayerGameData[[#This Row],[BLKOrder]],PlayerGameData[[#This Row],[BLKOrder]])</f>
        <v>1037.25</v>
      </c>
      <c r="AZ928" s="8">
        <f ca="1">RANK(PlayerGameData[[#This Row],[BLKTieBreak]],PlayerGameData[BLKTieBreak],1)</f>
        <v>625</v>
      </c>
      <c r="BA928" s="11">
        <f ca="1">IFERROR(IF(PlayerGameData[[#This Row],[FGA]]&gt;$AA$5,PlayerGameData[[#This Row],[FG%*]],PlayerGameData[[#This Row],[FG%*]]*-1),-2)</f>
        <v>-2</v>
      </c>
      <c r="BB928" s="8">
        <f ca="1">RANK(PlayerGameData[[#This Row],[EligFG]],PlayerGameData[EligFG],0)+PlayerGameData[[#This Row],[VisibleOrder]]</f>
        <v>1214</v>
      </c>
      <c r="BC928" s="8">
        <f ca="1">IF(COUNTIF(PlayerGameData[EligFGOrder],PlayerGameData[[#This Row],[EligFGOrder]])&gt;1,PlayerGameData[[#This Row],[PointRank]]/100+PlayerGameData[[#This Row],[EligFGOrder]],PlayerGameData[[#This Row],[EligFGOrder]])</f>
        <v>1220.25</v>
      </c>
      <c r="BD928" s="8">
        <f ca="1">RANK(PlayerGameData[[#This Row],[EligFGTieBreak]],PlayerGameData[EligFGTieBreak],1)</f>
        <v>625</v>
      </c>
      <c r="BE928" s="8" t="str">
        <f>Roster!$D$3</f>
        <v>East</v>
      </c>
      <c r="BF928" s="8" t="str">
        <f>Roster!$D$2</f>
        <v>Northeast</v>
      </c>
      <c r="BG928" s="8" t="str">
        <f>Roster!$D$4</f>
        <v>North</v>
      </c>
      <c r="BH928" s="197">
        <f ca="1">IFERROR(VLOOKUP(CONCATENATE(PlayerGameData[[#This Row],[Opponent]]," ",MONTH(PlayerGameData[[#This Row],[Date]]),"/",DAY(PlayerGameData[[#This Row],[Date]]),"/",YEAR(PlayerGameData[[#This Row],[Date]])),Table35[],2,FALSE),0)</f>
        <v>0</v>
      </c>
      <c r="BI928" s="197">
        <f ca="1">IF(PlayerGameData[[#This Row],[Visible]]=1,1,1000)</f>
        <v>1000</v>
      </c>
      <c r="BJ928" s="197" t="e">
        <f ca="1">_xlfn.MAXIFS(TeamGameData[Win],TeamGameData[School, Opponent,Game'#],PlayerGameData[[#This Row],[School, Opponent,Game'#]])</f>
        <v>#NAME?</v>
      </c>
      <c r="BK928" s="197" t="e">
        <f ca="1">_xlfn.MAXIFS(TeamGameData[Loss],TeamGameData[School, Opponent,Game'#],PlayerGameData[[#This Row],[School, Opponent,Game'#]])</f>
        <v>#NAME?</v>
      </c>
    </row>
    <row r="929" spans="1:63" x14ac:dyDescent="0.25">
      <c r="A929" s="8" t="str">
        <f t="shared" ca="1" si="453"/>
        <v>Matt Stirmel, 33</v>
      </c>
      <c r="B929" s="8" t="str">
        <f>Roster!$B$1</f>
        <v>Upton</v>
      </c>
      <c r="C929" s="8">
        <f t="shared" ca="1" si="441"/>
        <v>0</v>
      </c>
      <c r="D929" s="10">
        <f t="shared" ca="1" si="442"/>
        <v>0</v>
      </c>
      <c r="E929" s="8">
        <f t="shared" ca="1" si="443"/>
        <v>0</v>
      </c>
      <c r="F929" s="8">
        <f t="shared" ca="1" si="444"/>
        <v>0</v>
      </c>
      <c r="G929" s="8">
        <f t="shared" ca="1" si="445"/>
        <v>0</v>
      </c>
      <c r="H929" s="8">
        <f t="shared" ca="1" si="446"/>
        <v>0</v>
      </c>
      <c r="I929" s="8">
        <f t="shared" ca="1" si="447"/>
        <v>0</v>
      </c>
      <c r="J929" s="8">
        <f t="shared" ca="1" si="448"/>
        <v>0</v>
      </c>
      <c r="K929" s="8">
        <f t="shared" ca="1" si="449"/>
        <v>0</v>
      </c>
      <c r="L929" s="8">
        <f t="shared" ca="1" si="454"/>
        <v>0</v>
      </c>
      <c r="M929" s="8">
        <f t="shared" ca="1" si="455"/>
        <v>0</v>
      </c>
      <c r="N929" s="8">
        <f t="shared" ca="1" si="456"/>
        <v>0</v>
      </c>
      <c r="O929" s="8">
        <f t="shared" ca="1" si="457"/>
        <v>0</v>
      </c>
      <c r="P929" s="8">
        <f t="shared" ca="1" si="458"/>
        <v>0</v>
      </c>
      <c r="Q929" s="8">
        <f t="shared" ca="1" si="459"/>
        <v>0</v>
      </c>
      <c r="R929" s="8">
        <f t="shared" ca="1" si="460"/>
        <v>0</v>
      </c>
      <c r="S929" s="8">
        <f t="shared" ca="1" si="461"/>
        <v>0</v>
      </c>
      <c r="T929" s="8">
        <f t="shared" ca="1" si="462"/>
        <v>0</v>
      </c>
      <c r="U929" s="8">
        <f t="shared" ca="1" si="463"/>
        <v>0</v>
      </c>
      <c r="V929" s="8">
        <f t="shared" ca="1" si="464"/>
        <v>0</v>
      </c>
      <c r="W929" s="11" t="str">
        <f t="shared" ca="1" si="465"/>
        <v/>
      </c>
      <c r="X929" s="11" t="str">
        <f t="shared" ca="1" si="466"/>
        <v/>
      </c>
      <c r="Y929" s="11" t="str">
        <f t="shared" ca="1" si="467"/>
        <v/>
      </c>
      <c r="Z929" s="11" t="str">
        <f t="shared" ca="1" si="468"/>
        <v/>
      </c>
      <c r="AA929" s="11" t="str">
        <f t="shared" ca="1" si="469"/>
        <v/>
      </c>
      <c r="AB929" s="47">
        <f ca="1">PlayerGameData[[#This Row],[3FGA]]+PlayerGameData[[#This Row],[2FGA]]</f>
        <v>0</v>
      </c>
      <c r="AC929" s="47">
        <f ca="1">PlayerGameData[[#This Row],[OFF REB]]+PlayerGameData[[#This Row],[DEF REB]]</f>
        <v>0</v>
      </c>
      <c r="AD929" s="8">
        <f t="shared" si="450"/>
        <v>39</v>
      </c>
      <c r="AE929" s="8" t="str">
        <f t="shared" ca="1" si="451"/>
        <v>Matt Stirmel, 33 - 0 1/0/1900</v>
      </c>
      <c r="AF929" s="8" t="str">
        <f t="shared" ca="1" si="470"/>
        <v/>
      </c>
      <c r="AG929" s="8" t="str">
        <f ca="1">IFERROR(IF(C929=0,"",IF(AND(VLOOKUP(PlayerGameData[[#This Row],[Opponent]],WYTeamInfo,2,FALSE)=Roster!$D$1,VLOOKUP(PlayerGameData[[#This Row],[Opponent]],WYTeamInfo,3,FALSE)=Roster!$D$2),"SR","")),"")</f>
        <v/>
      </c>
      <c r="AH929" s="8" t="str">
        <f>CONCATENATE(Roster!$D$1," ",Roster!$D$5)</f>
        <v>1A BB</v>
      </c>
      <c r="AI929" s="8" t="str">
        <f t="shared" ca="1" si="452"/>
        <v>Blank</v>
      </c>
      <c r="AJ929" s="8">
        <f ca="1">IFERROR(VLOOKUP(PlayerGameData[[#This Row],[School, Opponent,Game'#]],Table3[],2,FALSE),0)</f>
        <v>0</v>
      </c>
      <c r="AK929" s="8">
        <f ca="1">IF(PlayerGameData[[#This Row],[Visible]]=1,1,1000)</f>
        <v>1000</v>
      </c>
      <c r="AL929" s="8">
        <f ca="1">RANK(PlayerGameData[[#This Row],[TL PTS]],PlayerGameData[TL PTS],0)+PlayerGameData[[#This Row],[VisibleOrder]]</f>
        <v>1184</v>
      </c>
      <c r="AM929" s="8">
        <f ca="1">IF(COUNTIF(PlayerGameData[PointOrder],PlayerGameData[[#This Row],[PointOrder]])&gt;1,RANK(PlayerGameData[[#This Row],[FGA]],PlayerGameData[FGA],0)/100,0)+PlayerGameData[[#This Row],[PointOrder]]</f>
        <v>1186.1400000000001</v>
      </c>
      <c r="AN929" s="8">
        <f ca="1">RANK(PlayerGameData[[#This Row],[PointTieBreak]],PlayerGameData[PointTieBreak],1)</f>
        <v>625</v>
      </c>
      <c r="AO929" s="8">
        <f ca="1">RANK(PlayerGameData[[#This Row],[REB]],PlayerGameData[REB],0)+PlayerGameData[[#This Row],[VisibleOrder]]</f>
        <v>1191</v>
      </c>
      <c r="AP929" s="8">
        <f ca="1">IF(COUNTIF(PlayerGameData[REBOrder],PlayerGameData[[#This Row],[REBOrder]])&gt;1,PlayerGameData[[#This Row],[PointRank]]/100+PlayerGameData[[#This Row],[REBOrder]],PlayerGameData[[#This Row],[REBOrder]])</f>
        <v>1197.25</v>
      </c>
      <c r="AQ929" s="8">
        <f ca="1">RANK(PlayerGameData[[#This Row],[REBTieBreak]],PlayerGameData[REBTieBreak],1)</f>
        <v>625</v>
      </c>
      <c r="AR929" s="8">
        <f ca="1">RANK(PlayerGameData[[#This Row],[AST]],PlayerGameData[AST],0)+PlayerGameData[[#This Row],[VisibleOrder]]</f>
        <v>1157</v>
      </c>
      <c r="AS929" s="8">
        <f ca="1">IF(COUNTIF(PlayerGameData[ASTOrder],PlayerGameData[[#This Row],[ASTOrder]])&gt;1,PlayerGameData[[#This Row],[PointRank]]/100+PlayerGameData[[#This Row],[ASTOrder]],PlayerGameData[[#This Row],[ASTOrder]])</f>
        <v>1163.25</v>
      </c>
      <c r="AT929" s="8">
        <f ca="1">RANK(PlayerGameData[[#This Row],[ASTTieBreak]],PlayerGameData[ASTTieBreak],1)</f>
        <v>625</v>
      </c>
      <c r="AU929" s="8">
        <f ca="1">RANK(PlayerGameData[[#This Row],[STL]],PlayerGameData[STL],0)+PlayerGameData[[#This Row],[VisibleOrder]]</f>
        <v>1142</v>
      </c>
      <c r="AV929" s="8">
        <f ca="1">IF(COUNTIF(PlayerGameData[STLOrder],PlayerGameData[[#This Row],[STLOrder]])&gt;1,PlayerGameData[[#This Row],[PointRank]]/100+PlayerGameData[[#This Row],[STLOrder]],PlayerGameData[[#This Row],[STLOrder]])</f>
        <v>1148.25</v>
      </c>
      <c r="AW929" s="8">
        <f ca="1">RANK(PlayerGameData[[#This Row],[STLTieBreak]],PlayerGameData[STLTieBreak],1)</f>
        <v>625</v>
      </c>
      <c r="AX929" s="8">
        <f ca="1">RANK(PlayerGameData[[#This Row],[BLK]],PlayerGameData[BLK],0)+PlayerGameData[[#This Row],[VisibleOrder]]</f>
        <v>1031</v>
      </c>
      <c r="AY929" s="8">
        <f ca="1">IF(COUNTIF(PlayerGameData[BLKOrder],PlayerGameData[[#This Row],[BLKOrder]])&gt;1,PlayerGameData[[#This Row],[PointRank]]/100+PlayerGameData[[#This Row],[BLKOrder]],PlayerGameData[[#This Row],[BLKOrder]])</f>
        <v>1037.25</v>
      </c>
      <c r="AZ929" s="8">
        <f ca="1">RANK(PlayerGameData[[#This Row],[BLKTieBreak]],PlayerGameData[BLKTieBreak],1)</f>
        <v>625</v>
      </c>
      <c r="BA929" s="11">
        <f ca="1">IFERROR(IF(PlayerGameData[[#This Row],[FGA]]&gt;$AA$5,PlayerGameData[[#This Row],[FG%*]],PlayerGameData[[#This Row],[FG%*]]*-1),-2)</f>
        <v>-2</v>
      </c>
      <c r="BB929" s="8">
        <f ca="1">RANK(PlayerGameData[[#This Row],[EligFG]],PlayerGameData[EligFG],0)+PlayerGameData[[#This Row],[VisibleOrder]]</f>
        <v>1214</v>
      </c>
      <c r="BC929" s="8">
        <f ca="1">IF(COUNTIF(PlayerGameData[EligFGOrder],PlayerGameData[[#This Row],[EligFGOrder]])&gt;1,PlayerGameData[[#This Row],[PointRank]]/100+PlayerGameData[[#This Row],[EligFGOrder]],PlayerGameData[[#This Row],[EligFGOrder]])</f>
        <v>1220.25</v>
      </c>
      <c r="BD929" s="8">
        <f ca="1">RANK(PlayerGameData[[#This Row],[EligFGTieBreak]],PlayerGameData[EligFGTieBreak],1)</f>
        <v>625</v>
      </c>
      <c r="BE929" s="8" t="str">
        <f>Roster!$D$3</f>
        <v>East</v>
      </c>
      <c r="BF929" s="8" t="str">
        <f>Roster!$D$2</f>
        <v>Northeast</v>
      </c>
      <c r="BG929" s="8" t="str">
        <f>Roster!$D$4</f>
        <v>North</v>
      </c>
      <c r="BH929" s="197">
        <f ca="1">IFERROR(VLOOKUP(CONCATENATE(PlayerGameData[[#This Row],[Opponent]]," ",MONTH(PlayerGameData[[#This Row],[Date]]),"/",DAY(PlayerGameData[[#This Row],[Date]]),"/",YEAR(PlayerGameData[[#This Row],[Date]])),Table35[],2,FALSE),0)</f>
        <v>0</v>
      </c>
      <c r="BI929" s="197">
        <f ca="1">IF(PlayerGameData[[#This Row],[Visible]]=1,1,1000)</f>
        <v>1000</v>
      </c>
      <c r="BJ929" s="197" t="e">
        <f ca="1">_xlfn.MAXIFS(TeamGameData[Win],TeamGameData[School, Opponent,Game'#],PlayerGameData[[#This Row],[School, Opponent,Game'#]])</f>
        <v>#NAME?</v>
      </c>
      <c r="BK929" s="197" t="e">
        <f ca="1">_xlfn.MAXIFS(TeamGameData[Loss],TeamGameData[School, Opponent,Game'#],PlayerGameData[[#This Row],[School, Opponent,Game'#]])</f>
        <v>#NAME?</v>
      </c>
    </row>
    <row r="930" spans="1:63" x14ac:dyDescent="0.25">
      <c r="A930" s="8" t="str">
        <f t="shared" ca="1" si="453"/>
        <v>Jacob McNutt, 34</v>
      </c>
      <c r="B930" s="8" t="str">
        <f>Roster!$B$1</f>
        <v>Upton</v>
      </c>
      <c r="C930" s="8">
        <f t="shared" ca="1" si="441"/>
        <v>0</v>
      </c>
      <c r="D930" s="10">
        <f t="shared" ca="1" si="442"/>
        <v>0</v>
      </c>
      <c r="E930" s="8">
        <f t="shared" ca="1" si="443"/>
        <v>0</v>
      </c>
      <c r="F930" s="8">
        <f t="shared" ca="1" si="444"/>
        <v>0</v>
      </c>
      <c r="G930" s="8">
        <f t="shared" ca="1" si="445"/>
        <v>0</v>
      </c>
      <c r="H930" s="8">
        <f t="shared" ca="1" si="446"/>
        <v>0</v>
      </c>
      <c r="I930" s="8">
        <f t="shared" ca="1" si="447"/>
        <v>0</v>
      </c>
      <c r="J930" s="8">
        <f t="shared" ca="1" si="448"/>
        <v>0</v>
      </c>
      <c r="K930" s="8">
        <f t="shared" ca="1" si="449"/>
        <v>0</v>
      </c>
      <c r="L930" s="8">
        <f t="shared" ca="1" si="454"/>
        <v>0</v>
      </c>
      <c r="M930" s="8">
        <f t="shared" ca="1" si="455"/>
        <v>0</v>
      </c>
      <c r="N930" s="8">
        <f t="shared" ca="1" si="456"/>
        <v>0</v>
      </c>
      <c r="O930" s="8">
        <f t="shared" ca="1" si="457"/>
        <v>0</v>
      </c>
      <c r="P930" s="8">
        <f t="shared" ca="1" si="458"/>
        <v>0</v>
      </c>
      <c r="Q930" s="8">
        <f t="shared" ca="1" si="459"/>
        <v>0</v>
      </c>
      <c r="R930" s="8">
        <f t="shared" ca="1" si="460"/>
        <v>0</v>
      </c>
      <c r="S930" s="8">
        <f t="shared" ca="1" si="461"/>
        <v>0</v>
      </c>
      <c r="T930" s="8">
        <f t="shared" ca="1" si="462"/>
        <v>0</v>
      </c>
      <c r="U930" s="8">
        <f t="shared" ca="1" si="463"/>
        <v>0</v>
      </c>
      <c r="V930" s="8">
        <f t="shared" ca="1" si="464"/>
        <v>0</v>
      </c>
      <c r="W930" s="11" t="str">
        <f t="shared" ca="1" si="465"/>
        <v/>
      </c>
      <c r="X930" s="11" t="str">
        <f t="shared" ca="1" si="466"/>
        <v/>
      </c>
      <c r="Y930" s="11" t="str">
        <f t="shared" ca="1" si="467"/>
        <v/>
      </c>
      <c r="Z930" s="11" t="str">
        <f t="shared" ca="1" si="468"/>
        <v/>
      </c>
      <c r="AA930" s="11" t="str">
        <f t="shared" ca="1" si="469"/>
        <v/>
      </c>
      <c r="AB930" s="47">
        <f ca="1">PlayerGameData[[#This Row],[3FGA]]+PlayerGameData[[#This Row],[2FGA]]</f>
        <v>0</v>
      </c>
      <c r="AC930" s="47">
        <f ca="1">PlayerGameData[[#This Row],[OFF REB]]+PlayerGameData[[#This Row],[DEF REB]]</f>
        <v>0</v>
      </c>
      <c r="AD930" s="8">
        <f t="shared" si="450"/>
        <v>39</v>
      </c>
      <c r="AE930" s="8" t="str">
        <f t="shared" ca="1" si="451"/>
        <v>Jacob McNutt, 34 - 0 1/0/1900</v>
      </c>
      <c r="AF930" s="8" t="str">
        <f t="shared" ca="1" si="470"/>
        <v/>
      </c>
      <c r="AG930" s="8" t="str">
        <f ca="1">IFERROR(IF(C930=0,"",IF(AND(VLOOKUP(PlayerGameData[[#This Row],[Opponent]],WYTeamInfo,2,FALSE)=Roster!$D$1,VLOOKUP(PlayerGameData[[#This Row],[Opponent]],WYTeamInfo,3,FALSE)=Roster!$D$2),"SR","")),"")</f>
        <v/>
      </c>
      <c r="AH930" s="8" t="str">
        <f>CONCATENATE(Roster!$D$1," ",Roster!$D$5)</f>
        <v>1A BB</v>
      </c>
      <c r="AI930" s="8" t="str">
        <f t="shared" ca="1" si="452"/>
        <v>Blank</v>
      </c>
      <c r="AJ930" s="8">
        <f ca="1">IFERROR(VLOOKUP(PlayerGameData[[#This Row],[School, Opponent,Game'#]],Table3[],2,FALSE),0)</f>
        <v>0</v>
      </c>
      <c r="AK930" s="8">
        <f ca="1">IF(PlayerGameData[[#This Row],[Visible]]=1,1,1000)</f>
        <v>1000</v>
      </c>
      <c r="AL930" s="8">
        <f ca="1">RANK(PlayerGameData[[#This Row],[TL PTS]],PlayerGameData[TL PTS],0)+PlayerGameData[[#This Row],[VisibleOrder]]</f>
        <v>1184</v>
      </c>
      <c r="AM930" s="8">
        <f ca="1">IF(COUNTIF(PlayerGameData[PointOrder],PlayerGameData[[#This Row],[PointOrder]])&gt;1,RANK(PlayerGameData[[#This Row],[FGA]],PlayerGameData[FGA],0)/100,0)+PlayerGameData[[#This Row],[PointOrder]]</f>
        <v>1186.1400000000001</v>
      </c>
      <c r="AN930" s="8">
        <f ca="1">RANK(PlayerGameData[[#This Row],[PointTieBreak]],PlayerGameData[PointTieBreak],1)</f>
        <v>625</v>
      </c>
      <c r="AO930" s="8">
        <f ca="1">RANK(PlayerGameData[[#This Row],[REB]],PlayerGameData[REB],0)+PlayerGameData[[#This Row],[VisibleOrder]]</f>
        <v>1191</v>
      </c>
      <c r="AP930" s="8">
        <f ca="1">IF(COUNTIF(PlayerGameData[REBOrder],PlayerGameData[[#This Row],[REBOrder]])&gt;1,PlayerGameData[[#This Row],[PointRank]]/100+PlayerGameData[[#This Row],[REBOrder]],PlayerGameData[[#This Row],[REBOrder]])</f>
        <v>1197.25</v>
      </c>
      <c r="AQ930" s="8">
        <f ca="1">RANK(PlayerGameData[[#This Row],[REBTieBreak]],PlayerGameData[REBTieBreak],1)</f>
        <v>625</v>
      </c>
      <c r="AR930" s="8">
        <f ca="1">RANK(PlayerGameData[[#This Row],[AST]],PlayerGameData[AST],0)+PlayerGameData[[#This Row],[VisibleOrder]]</f>
        <v>1157</v>
      </c>
      <c r="AS930" s="8">
        <f ca="1">IF(COUNTIF(PlayerGameData[ASTOrder],PlayerGameData[[#This Row],[ASTOrder]])&gt;1,PlayerGameData[[#This Row],[PointRank]]/100+PlayerGameData[[#This Row],[ASTOrder]],PlayerGameData[[#This Row],[ASTOrder]])</f>
        <v>1163.25</v>
      </c>
      <c r="AT930" s="8">
        <f ca="1">RANK(PlayerGameData[[#This Row],[ASTTieBreak]],PlayerGameData[ASTTieBreak],1)</f>
        <v>625</v>
      </c>
      <c r="AU930" s="8">
        <f ca="1">RANK(PlayerGameData[[#This Row],[STL]],PlayerGameData[STL],0)+PlayerGameData[[#This Row],[VisibleOrder]]</f>
        <v>1142</v>
      </c>
      <c r="AV930" s="8">
        <f ca="1">IF(COUNTIF(PlayerGameData[STLOrder],PlayerGameData[[#This Row],[STLOrder]])&gt;1,PlayerGameData[[#This Row],[PointRank]]/100+PlayerGameData[[#This Row],[STLOrder]],PlayerGameData[[#This Row],[STLOrder]])</f>
        <v>1148.25</v>
      </c>
      <c r="AW930" s="8">
        <f ca="1">RANK(PlayerGameData[[#This Row],[STLTieBreak]],PlayerGameData[STLTieBreak],1)</f>
        <v>625</v>
      </c>
      <c r="AX930" s="8">
        <f ca="1">RANK(PlayerGameData[[#This Row],[BLK]],PlayerGameData[BLK],0)+PlayerGameData[[#This Row],[VisibleOrder]]</f>
        <v>1031</v>
      </c>
      <c r="AY930" s="8">
        <f ca="1">IF(COUNTIF(PlayerGameData[BLKOrder],PlayerGameData[[#This Row],[BLKOrder]])&gt;1,PlayerGameData[[#This Row],[PointRank]]/100+PlayerGameData[[#This Row],[BLKOrder]],PlayerGameData[[#This Row],[BLKOrder]])</f>
        <v>1037.25</v>
      </c>
      <c r="AZ930" s="8">
        <f ca="1">RANK(PlayerGameData[[#This Row],[BLKTieBreak]],PlayerGameData[BLKTieBreak],1)</f>
        <v>625</v>
      </c>
      <c r="BA930" s="11">
        <f ca="1">IFERROR(IF(PlayerGameData[[#This Row],[FGA]]&gt;$AA$5,PlayerGameData[[#This Row],[FG%*]],PlayerGameData[[#This Row],[FG%*]]*-1),-2)</f>
        <v>-2</v>
      </c>
      <c r="BB930" s="8">
        <f ca="1">RANK(PlayerGameData[[#This Row],[EligFG]],PlayerGameData[EligFG],0)+PlayerGameData[[#This Row],[VisibleOrder]]</f>
        <v>1214</v>
      </c>
      <c r="BC930" s="8">
        <f ca="1">IF(COUNTIF(PlayerGameData[EligFGOrder],PlayerGameData[[#This Row],[EligFGOrder]])&gt;1,PlayerGameData[[#This Row],[PointRank]]/100+PlayerGameData[[#This Row],[EligFGOrder]],PlayerGameData[[#This Row],[EligFGOrder]])</f>
        <v>1220.25</v>
      </c>
      <c r="BD930" s="8">
        <f ca="1">RANK(PlayerGameData[[#This Row],[EligFGTieBreak]],PlayerGameData[EligFGTieBreak],1)</f>
        <v>625</v>
      </c>
      <c r="BE930" s="8" t="str">
        <f>Roster!$D$3</f>
        <v>East</v>
      </c>
      <c r="BF930" s="8" t="str">
        <f>Roster!$D$2</f>
        <v>Northeast</v>
      </c>
      <c r="BG930" s="8" t="str">
        <f>Roster!$D$4</f>
        <v>North</v>
      </c>
      <c r="BH930" s="197">
        <f ca="1">IFERROR(VLOOKUP(CONCATENATE(PlayerGameData[[#This Row],[Opponent]]," ",MONTH(PlayerGameData[[#This Row],[Date]]),"/",DAY(PlayerGameData[[#This Row],[Date]]),"/",YEAR(PlayerGameData[[#This Row],[Date]])),Table35[],2,FALSE),0)</f>
        <v>0</v>
      </c>
      <c r="BI930" s="197">
        <f ca="1">IF(PlayerGameData[[#This Row],[Visible]]=1,1,1000)</f>
        <v>1000</v>
      </c>
      <c r="BJ930" s="197" t="e">
        <f ca="1">_xlfn.MAXIFS(TeamGameData[Win],TeamGameData[School, Opponent,Game'#],PlayerGameData[[#This Row],[School, Opponent,Game'#]])</f>
        <v>#NAME?</v>
      </c>
      <c r="BK930" s="197" t="e">
        <f ca="1">_xlfn.MAXIFS(TeamGameData[Loss],TeamGameData[School, Opponent,Game'#],PlayerGameData[[#This Row],[School, Opponent,Game'#]])</f>
        <v>#NAME?</v>
      </c>
    </row>
    <row r="931" spans="1:63" x14ac:dyDescent="0.25">
      <c r="A931" s="8" t="str">
        <f t="shared" ca="1" si="453"/>
        <v>Ryan Baker, 35</v>
      </c>
      <c r="B931" s="8" t="str">
        <f>Roster!$B$1</f>
        <v>Upton</v>
      </c>
      <c r="C931" s="8">
        <f t="shared" ca="1" si="441"/>
        <v>0</v>
      </c>
      <c r="D931" s="10">
        <f t="shared" ca="1" si="442"/>
        <v>0</v>
      </c>
      <c r="E931" s="8">
        <f t="shared" ca="1" si="443"/>
        <v>0</v>
      </c>
      <c r="F931" s="8">
        <f t="shared" ca="1" si="444"/>
        <v>0</v>
      </c>
      <c r="G931" s="8">
        <f t="shared" ca="1" si="445"/>
        <v>0</v>
      </c>
      <c r="H931" s="8">
        <f t="shared" ca="1" si="446"/>
        <v>0</v>
      </c>
      <c r="I931" s="8">
        <f t="shared" ca="1" si="447"/>
        <v>0</v>
      </c>
      <c r="J931" s="8">
        <f t="shared" ca="1" si="448"/>
        <v>0</v>
      </c>
      <c r="K931" s="8">
        <f t="shared" ca="1" si="449"/>
        <v>0</v>
      </c>
      <c r="L931" s="8">
        <f t="shared" ca="1" si="454"/>
        <v>0</v>
      </c>
      <c r="M931" s="8">
        <f t="shared" ca="1" si="455"/>
        <v>0</v>
      </c>
      <c r="N931" s="8">
        <f t="shared" ca="1" si="456"/>
        <v>0</v>
      </c>
      <c r="O931" s="8">
        <f t="shared" ca="1" si="457"/>
        <v>0</v>
      </c>
      <c r="P931" s="8">
        <f t="shared" ca="1" si="458"/>
        <v>0</v>
      </c>
      <c r="Q931" s="8">
        <f t="shared" ca="1" si="459"/>
        <v>0</v>
      </c>
      <c r="R931" s="8">
        <f t="shared" ca="1" si="460"/>
        <v>0</v>
      </c>
      <c r="S931" s="8">
        <f t="shared" ca="1" si="461"/>
        <v>0</v>
      </c>
      <c r="T931" s="8">
        <f t="shared" ca="1" si="462"/>
        <v>0</v>
      </c>
      <c r="U931" s="8">
        <f t="shared" ca="1" si="463"/>
        <v>0</v>
      </c>
      <c r="V931" s="8">
        <f t="shared" ca="1" si="464"/>
        <v>0</v>
      </c>
      <c r="W931" s="11" t="str">
        <f t="shared" ca="1" si="465"/>
        <v/>
      </c>
      <c r="X931" s="11" t="str">
        <f t="shared" ca="1" si="466"/>
        <v/>
      </c>
      <c r="Y931" s="11" t="str">
        <f t="shared" ca="1" si="467"/>
        <v/>
      </c>
      <c r="Z931" s="11" t="str">
        <f t="shared" ca="1" si="468"/>
        <v/>
      </c>
      <c r="AA931" s="11" t="str">
        <f t="shared" ca="1" si="469"/>
        <v/>
      </c>
      <c r="AB931" s="47">
        <f ca="1">PlayerGameData[[#This Row],[3FGA]]+PlayerGameData[[#This Row],[2FGA]]</f>
        <v>0</v>
      </c>
      <c r="AC931" s="47">
        <f ca="1">PlayerGameData[[#This Row],[OFF REB]]+PlayerGameData[[#This Row],[DEF REB]]</f>
        <v>0</v>
      </c>
      <c r="AD931" s="8">
        <f t="shared" si="450"/>
        <v>39</v>
      </c>
      <c r="AE931" s="8" t="str">
        <f t="shared" ca="1" si="451"/>
        <v>Ryan Baker, 35 - 0 1/0/1900</v>
      </c>
      <c r="AF931" s="8" t="str">
        <f t="shared" ca="1" si="470"/>
        <v/>
      </c>
      <c r="AG931" s="8" t="str">
        <f ca="1">IFERROR(IF(C931=0,"",IF(AND(VLOOKUP(PlayerGameData[[#This Row],[Opponent]],WYTeamInfo,2,FALSE)=Roster!$D$1,VLOOKUP(PlayerGameData[[#This Row],[Opponent]],WYTeamInfo,3,FALSE)=Roster!$D$2),"SR","")),"")</f>
        <v/>
      </c>
      <c r="AH931" s="8" t="str">
        <f>CONCATENATE(Roster!$D$1," ",Roster!$D$5)</f>
        <v>1A BB</v>
      </c>
      <c r="AI931" s="8" t="str">
        <f t="shared" ca="1" si="452"/>
        <v>Blank</v>
      </c>
      <c r="AJ931" s="8">
        <f ca="1">IFERROR(VLOOKUP(PlayerGameData[[#This Row],[School, Opponent,Game'#]],Table3[],2,FALSE),0)</f>
        <v>0</v>
      </c>
      <c r="AK931" s="8">
        <f ca="1">IF(PlayerGameData[[#This Row],[Visible]]=1,1,1000)</f>
        <v>1000</v>
      </c>
      <c r="AL931" s="8">
        <f ca="1">RANK(PlayerGameData[[#This Row],[TL PTS]],PlayerGameData[TL PTS],0)+PlayerGameData[[#This Row],[VisibleOrder]]</f>
        <v>1184</v>
      </c>
      <c r="AM931" s="8">
        <f ca="1">IF(COUNTIF(PlayerGameData[PointOrder],PlayerGameData[[#This Row],[PointOrder]])&gt;1,RANK(PlayerGameData[[#This Row],[FGA]],PlayerGameData[FGA],0)/100,0)+PlayerGameData[[#This Row],[PointOrder]]</f>
        <v>1186.1400000000001</v>
      </c>
      <c r="AN931" s="8">
        <f ca="1">RANK(PlayerGameData[[#This Row],[PointTieBreak]],PlayerGameData[PointTieBreak],1)</f>
        <v>625</v>
      </c>
      <c r="AO931" s="8">
        <f ca="1">RANK(PlayerGameData[[#This Row],[REB]],PlayerGameData[REB],0)+PlayerGameData[[#This Row],[VisibleOrder]]</f>
        <v>1191</v>
      </c>
      <c r="AP931" s="8">
        <f ca="1">IF(COUNTIF(PlayerGameData[REBOrder],PlayerGameData[[#This Row],[REBOrder]])&gt;1,PlayerGameData[[#This Row],[PointRank]]/100+PlayerGameData[[#This Row],[REBOrder]],PlayerGameData[[#This Row],[REBOrder]])</f>
        <v>1197.25</v>
      </c>
      <c r="AQ931" s="8">
        <f ca="1">RANK(PlayerGameData[[#This Row],[REBTieBreak]],PlayerGameData[REBTieBreak],1)</f>
        <v>625</v>
      </c>
      <c r="AR931" s="8">
        <f ca="1">RANK(PlayerGameData[[#This Row],[AST]],PlayerGameData[AST],0)+PlayerGameData[[#This Row],[VisibleOrder]]</f>
        <v>1157</v>
      </c>
      <c r="AS931" s="8">
        <f ca="1">IF(COUNTIF(PlayerGameData[ASTOrder],PlayerGameData[[#This Row],[ASTOrder]])&gt;1,PlayerGameData[[#This Row],[PointRank]]/100+PlayerGameData[[#This Row],[ASTOrder]],PlayerGameData[[#This Row],[ASTOrder]])</f>
        <v>1163.25</v>
      </c>
      <c r="AT931" s="8">
        <f ca="1">RANK(PlayerGameData[[#This Row],[ASTTieBreak]],PlayerGameData[ASTTieBreak],1)</f>
        <v>625</v>
      </c>
      <c r="AU931" s="8">
        <f ca="1">RANK(PlayerGameData[[#This Row],[STL]],PlayerGameData[STL],0)+PlayerGameData[[#This Row],[VisibleOrder]]</f>
        <v>1142</v>
      </c>
      <c r="AV931" s="8">
        <f ca="1">IF(COUNTIF(PlayerGameData[STLOrder],PlayerGameData[[#This Row],[STLOrder]])&gt;1,PlayerGameData[[#This Row],[PointRank]]/100+PlayerGameData[[#This Row],[STLOrder]],PlayerGameData[[#This Row],[STLOrder]])</f>
        <v>1148.25</v>
      </c>
      <c r="AW931" s="8">
        <f ca="1">RANK(PlayerGameData[[#This Row],[STLTieBreak]],PlayerGameData[STLTieBreak],1)</f>
        <v>625</v>
      </c>
      <c r="AX931" s="8">
        <f ca="1">RANK(PlayerGameData[[#This Row],[BLK]],PlayerGameData[BLK],0)+PlayerGameData[[#This Row],[VisibleOrder]]</f>
        <v>1031</v>
      </c>
      <c r="AY931" s="8">
        <f ca="1">IF(COUNTIF(PlayerGameData[BLKOrder],PlayerGameData[[#This Row],[BLKOrder]])&gt;1,PlayerGameData[[#This Row],[PointRank]]/100+PlayerGameData[[#This Row],[BLKOrder]],PlayerGameData[[#This Row],[BLKOrder]])</f>
        <v>1037.25</v>
      </c>
      <c r="AZ931" s="8">
        <f ca="1">RANK(PlayerGameData[[#This Row],[BLKTieBreak]],PlayerGameData[BLKTieBreak],1)</f>
        <v>625</v>
      </c>
      <c r="BA931" s="11">
        <f ca="1">IFERROR(IF(PlayerGameData[[#This Row],[FGA]]&gt;$AA$5,PlayerGameData[[#This Row],[FG%*]],PlayerGameData[[#This Row],[FG%*]]*-1),-2)</f>
        <v>-2</v>
      </c>
      <c r="BB931" s="8">
        <f ca="1">RANK(PlayerGameData[[#This Row],[EligFG]],PlayerGameData[EligFG],0)+PlayerGameData[[#This Row],[VisibleOrder]]</f>
        <v>1214</v>
      </c>
      <c r="BC931" s="8">
        <f ca="1">IF(COUNTIF(PlayerGameData[EligFGOrder],PlayerGameData[[#This Row],[EligFGOrder]])&gt;1,PlayerGameData[[#This Row],[PointRank]]/100+PlayerGameData[[#This Row],[EligFGOrder]],PlayerGameData[[#This Row],[EligFGOrder]])</f>
        <v>1220.25</v>
      </c>
      <c r="BD931" s="8">
        <f ca="1">RANK(PlayerGameData[[#This Row],[EligFGTieBreak]],PlayerGameData[EligFGTieBreak],1)</f>
        <v>625</v>
      </c>
      <c r="BE931" s="8" t="str">
        <f>Roster!$D$3</f>
        <v>East</v>
      </c>
      <c r="BF931" s="8" t="str">
        <f>Roster!$D$2</f>
        <v>Northeast</v>
      </c>
      <c r="BG931" s="8" t="str">
        <f>Roster!$D$4</f>
        <v>North</v>
      </c>
      <c r="BH931" s="197">
        <f ca="1">IFERROR(VLOOKUP(CONCATENATE(PlayerGameData[[#This Row],[Opponent]]," ",MONTH(PlayerGameData[[#This Row],[Date]]),"/",DAY(PlayerGameData[[#This Row],[Date]]),"/",YEAR(PlayerGameData[[#This Row],[Date]])),Table35[],2,FALSE),0)</f>
        <v>0</v>
      </c>
      <c r="BI931" s="197">
        <f ca="1">IF(PlayerGameData[[#This Row],[Visible]]=1,1,1000)</f>
        <v>1000</v>
      </c>
      <c r="BJ931" s="197" t="e">
        <f ca="1">_xlfn.MAXIFS(TeamGameData[Win],TeamGameData[School, Opponent,Game'#],PlayerGameData[[#This Row],[School, Opponent,Game'#]])</f>
        <v>#NAME?</v>
      </c>
      <c r="BK931" s="197" t="e">
        <f ca="1">_xlfn.MAXIFS(TeamGameData[Loss],TeamGameData[School, Opponent,Game'#],PlayerGameData[[#This Row],[School, Opponent,Game'#]])</f>
        <v>#NAME?</v>
      </c>
    </row>
    <row r="932" spans="1:63" x14ac:dyDescent="0.25">
      <c r="A932" s="8" t="str">
        <f t="shared" ca="1" si="453"/>
        <v xml:space="preserve">, </v>
      </c>
      <c r="B932" s="8" t="str">
        <f>Roster!$B$1</f>
        <v>Upton</v>
      </c>
      <c r="C932" s="8">
        <f t="shared" ca="1" si="441"/>
        <v>0</v>
      </c>
      <c r="D932" s="10">
        <f t="shared" ca="1" si="442"/>
        <v>0</v>
      </c>
      <c r="E932" s="8">
        <f t="shared" ca="1" si="443"/>
        <v>0</v>
      </c>
      <c r="F932" s="8">
        <f t="shared" ca="1" si="444"/>
        <v>0</v>
      </c>
      <c r="G932" s="8">
        <f t="shared" ca="1" si="445"/>
        <v>0</v>
      </c>
      <c r="H932" s="8">
        <f t="shared" ca="1" si="446"/>
        <v>0</v>
      </c>
      <c r="I932" s="8">
        <f t="shared" ca="1" si="447"/>
        <v>0</v>
      </c>
      <c r="J932" s="8">
        <f t="shared" ca="1" si="448"/>
        <v>0</v>
      </c>
      <c r="K932" s="8">
        <f t="shared" ca="1" si="449"/>
        <v>0</v>
      </c>
      <c r="L932" s="8">
        <f t="shared" ca="1" si="454"/>
        <v>0</v>
      </c>
      <c r="M932" s="8">
        <f t="shared" ca="1" si="455"/>
        <v>0</v>
      </c>
      <c r="N932" s="8">
        <f t="shared" ca="1" si="456"/>
        <v>0</v>
      </c>
      <c r="O932" s="8">
        <f t="shared" ca="1" si="457"/>
        <v>0</v>
      </c>
      <c r="P932" s="8">
        <f t="shared" ca="1" si="458"/>
        <v>0</v>
      </c>
      <c r="Q932" s="8">
        <f t="shared" ca="1" si="459"/>
        <v>0</v>
      </c>
      <c r="R932" s="8">
        <f t="shared" ca="1" si="460"/>
        <v>0</v>
      </c>
      <c r="S932" s="8">
        <f t="shared" ca="1" si="461"/>
        <v>0</v>
      </c>
      <c r="T932" s="8">
        <f t="shared" ca="1" si="462"/>
        <v>0</v>
      </c>
      <c r="U932" s="8">
        <f t="shared" ca="1" si="463"/>
        <v>0</v>
      </c>
      <c r="V932" s="8">
        <f t="shared" ca="1" si="464"/>
        <v>0</v>
      </c>
      <c r="W932" s="11" t="str">
        <f t="shared" ca="1" si="465"/>
        <v/>
      </c>
      <c r="X932" s="11" t="str">
        <f t="shared" ca="1" si="466"/>
        <v/>
      </c>
      <c r="Y932" s="11" t="str">
        <f t="shared" ca="1" si="467"/>
        <v/>
      </c>
      <c r="Z932" s="11" t="str">
        <f t="shared" ca="1" si="468"/>
        <v/>
      </c>
      <c r="AA932" s="11" t="str">
        <f t="shared" ca="1" si="469"/>
        <v/>
      </c>
      <c r="AB932" s="47">
        <f ca="1">PlayerGameData[[#This Row],[3FGA]]+PlayerGameData[[#This Row],[2FGA]]</f>
        <v>0</v>
      </c>
      <c r="AC932" s="47">
        <f ca="1">PlayerGameData[[#This Row],[OFF REB]]+PlayerGameData[[#This Row],[DEF REB]]</f>
        <v>0</v>
      </c>
      <c r="AD932" s="8">
        <f t="shared" si="450"/>
        <v>39</v>
      </c>
      <c r="AE932" s="8" t="str">
        <f t="shared" ca="1" si="451"/>
        <v>,  - 0 1/0/1900</v>
      </c>
      <c r="AF932" s="8" t="str">
        <f t="shared" ca="1" si="470"/>
        <v/>
      </c>
      <c r="AG932" s="8" t="str">
        <f ca="1">IFERROR(IF(C932=0,"",IF(AND(VLOOKUP(PlayerGameData[[#This Row],[Opponent]],WYTeamInfo,2,FALSE)=Roster!$D$1,VLOOKUP(PlayerGameData[[#This Row],[Opponent]],WYTeamInfo,3,FALSE)=Roster!$D$2),"SR","")),"")</f>
        <v/>
      </c>
      <c r="AH932" s="8" t="str">
        <f>CONCATENATE(Roster!$D$1," ",Roster!$D$5)</f>
        <v>1A BB</v>
      </c>
      <c r="AI932" s="8" t="str">
        <f t="shared" ca="1" si="452"/>
        <v>Blank</v>
      </c>
      <c r="AJ932" s="8">
        <f ca="1">IFERROR(VLOOKUP(PlayerGameData[[#This Row],[School, Opponent,Game'#]],Table3[],2,FALSE),0)</f>
        <v>0</v>
      </c>
      <c r="AK932" s="8">
        <f ca="1">IF(PlayerGameData[[#This Row],[Visible]]=1,1,1000)</f>
        <v>1000</v>
      </c>
      <c r="AL932" s="8">
        <f ca="1">RANK(PlayerGameData[[#This Row],[TL PTS]],PlayerGameData[TL PTS],0)+PlayerGameData[[#This Row],[VisibleOrder]]</f>
        <v>1184</v>
      </c>
      <c r="AM932" s="8">
        <f ca="1">IF(COUNTIF(PlayerGameData[PointOrder],PlayerGameData[[#This Row],[PointOrder]])&gt;1,RANK(PlayerGameData[[#This Row],[FGA]],PlayerGameData[FGA],0)/100,0)+PlayerGameData[[#This Row],[PointOrder]]</f>
        <v>1186.1400000000001</v>
      </c>
      <c r="AN932" s="8">
        <f ca="1">RANK(PlayerGameData[[#This Row],[PointTieBreak]],PlayerGameData[PointTieBreak],1)</f>
        <v>625</v>
      </c>
      <c r="AO932" s="8">
        <f ca="1">RANK(PlayerGameData[[#This Row],[REB]],PlayerGameData[REB],0)+PlayerGameData[[#This Row],[VisibleOrder]]</f>
        <v>1191</v>
      </c>
      <c r="AP932" s="8">
        <f ca="1">IF(COUNTIF(PlayerGameData[REBOrder],PlayerGameData[[#This Row],[REBOrder]])&gt;1,PlayerGameData[[#This Row],[PointRank]]/100+PlayerGameData[[#This Row],[REBOrder]],PlayerGameData[[#This Row],[REBOrder]])</f>
        <v>1197.25</v>
      </c>
      <c r="AQ932" s="8">
        <f ca="1">RANK(PlayerGameData[[#This Row],[REBTieBreak]],PlayerGameData[REBTieBreak],1)</f>
        <v>625</v>
      </c>
      <c r="AR932" s="8">
        <f ca="1">RANK(PlayerGameData[[#This Row],[AST]],PlayerGameData[AST],0)+PlayerGameData[[#This Row],[VisibleOrder]]</f>
        <v>1157</v>
      </c>
      <c r="AS932" s="8">
        <f ca="1">IF(COUNTIF(PlayerGameData[ASTOrder],PlayerGameData[[#This Row],[ASTOrder]])&gt;1,PlayerGameData[[#This Row],[PointRank]]/100+PlayerGameData[[#This Row],[ASTOrder]],PlayerGameData[[#This Row],[ASTOrder]])</f>
        <v>1163.25</v>
      </c>
      <c r="AT932" s="8">
        <f ca="1">RANK(PlayerGameData[[#This Row],[ASTTieBreak]],PlayerGameData[ASTTieBreak],1)</f>
        <v>625</v>
      </c>
      <c r="AU932" s="8">
        <f ca="1">RANK(PlayerGameData[[#This Row],[STL]],PlayerGameData[STL],0)+PlayerGameData[[#This Row],[VisibleOrder]]</f>
        <v>1142</v>
      </c>
      <c r="AV932" s="8">
        <f ca="1">IF(COUNTIF(PlayerGameData[STLOrder],PlayerGameData[[#This Row],[STLOrder]])&gt;1,PlayerGameData[[#This Row],[PointRank]]/100+PlayerGameData[[#This Row],[STLOrder]],PlayerGameData[[#This Row],[STLOrder]])</f>
        <v>1148.25</v>
      </c>
      <c r="AW932" s="8">
        <f ca="1">RANK(PlayerGameData[[#This Row],[STLTieBreak]],PlayerGameData[STLTieBreak],1)</f>
        <v>625</v>
      </c>
      <c r="AX932" s="8">
        <f ca="1">RANK(PlayerGameData[[#This Row],[BLK]],PlayerGameData[BLK],0)+PlayerGameData[[#This Row],[VisibleOrder]]</f>
        <v>1031</v>
      </c>
      <c r="AY932" s="8">
        <f ca="1">IF(COUNTIF(PlayerGameData[BLKOrder],PlayerGameData[[#This Row],[BLKOrder]])&gt;1,PlayerGameData[[#This Row],[PointRank]]/100+PlayerGameData[[#This Row],[BLKOrder]],PlayerGameData[[#This Row],[BLKOrder]])</f>
        <v>1037.25</v>
      </c>
      <c r="AZ932" s="8">
        <f ca="1">RANK(PlayerGameData[[#This Row],[BLKTieBreak]],PlayerGameData[BLKTieBreak],1)</f>
        <v>625</v>
      </c>
      <c r="BA932" s="11">
        <f ca="1">IFERROR(IF(PlayerGameData[[#This Row],[FGA]]&gt;$AA$5,PlayerGameData[[#This Row],[FG%*]],PlayerGameData[[#This Row],[FG%*]]*-1),-2)</f>
        <v>-2</v>
      </c>
      <c r="BB932" s="8">
        <f ca="1">RANK(PlayerGameData[[#This Row],[EligFG]],PlayerGameData[EligFG],0)+PlayerGameData[[#This Row],[VisibleOrder]]</f>
        <v>1214</v>
      </c>
      <c r="BC932" s="8">
        <f ca="1">IF(COUNTIF(PlayerGameData[EligFGOrder],PlayerGameData[[#This Row],[EligFGOrder]])&gt;1,PlayerGameData[[#This Row],[PointRank]]/100+PlayerGameData[[#This Row],[EligFGOrder]],PlayerGameData[[#This Row],[EligFGOrder]])</f>
        <v>1220.25</v>
      </c>
      <c r="BD932" s="8">
        <f ca="1">RANK(PlayerGameData[[#This Row],[EligFGTieBreak]],PlayerGameData[EligFGTieBreak],1)</f>
        <v>625</v>
      </c>
      <c r="BE932" s="8" t="str">
        <f>Roster!$D$3</f>
        <v>East</v>
      </c>
      <c r="BF932" s="8" t="str">
        <f>Roster!$D$2</f>
        <v>Northeast</v>
      </c>
      <c r="BG932" s="8" t="str">
        <f>Roster!$D$4</f>
        <v>North</v>
      </c>
      <c r="BH932" s="197">
        <f ca="1">IFERROR(VLOOKUP(CONCATENATE(PlayerGameData[[#This Row],[Opponent]]," ",MONTH(PlayerGameData[[#This Row],[Date]]),"/",DAY(PlayerGameData[[#This Row],[Date]]),"/",YEAR(PlayerGameData[[#This Row],[Date]])),Table35[],2,FALSE),0)</f>
        <v>0</v>
      </c>
      <c r="BI932" s="197">
        <f ca="1">IF(PlayerGameData[[#This Row],[Visible]]=1,1,1000)</f>
        <v>1000</v>
      </c>
      <c r="BJ932" s="197" t="e">
        <f ca="1">_xlfn.MAXIFS(TeamGameData[Win],TeamGameData[School, Opponent,Game'#],PlayerGameData[[#This Row],[School, Opponent,Game'#]])</f>
        <v>#NAME?</v>
      </c>
      <c r="BK932" s="197" t="e">
        <f ca="1">_xlfn.MAXIFS(TeamGameData[Loss],TeamGameData[School, Opponent,Game'#],PlayerGameData[[#This Row],[School, Opponent,Game'#]])</f>
        <v>#NAME?</v>
      </c>
    </row>
    <row r="933" spans="1:63" x14ac:dyDescent="0.25">
      <c r="A933" s="8" t="str">
        <f t="shared" ca="1" si="453"/>
        <v xml:space="preserve">, </v>
      </c>
      <c r="B933" s="8" t="str">
        <f>Roster!$B$1</f>
        <v>Upton</v>
      </c>
      <c r="C933" s="8">
        <f t="shared" ca="1" si="441"/>
        <v>0</v>
      </c>
      <c r="D933" s="10">
        <f t="shared" ca="1" si="442"/>
        <v>0</v>
      </c>
      <c r="E933" s="8">
        <f t="shared" ca="1" si="443"/>
        <v>0</v>
      </c>
      <c r="F933" s="8">
        <f t="shared" ca="1" si="444"/>
        <v>0</v>
      </c>
      <c r="G933" s="8">
        <f t="shared" ca="1" si="445"/>
        <v>0</v>
      </c>
      <c r="H933" s="8">
        <f t="shared" ca="1" si="446"/>
        <v>0</v>
      </c>
      <c r="I933" s="8">
        <f t="shared" ca="1" si="447"/>
        <v>0</v>
      </c>
      <c r="J933" s="8">
        <f t="shared" ca="1" si="448"/>
        <v>0</v>
      </c>
      <c r="K933" s="8">
        <f t="shared" ca="1" si="449"/>
        <v>0</v>
      </c>
      <c r="L933" s="8">
        <f t="shared" ca="1" si="454"/>
        <v>0</v>
      </c>
      <c r="M933" s="8">
        <f t="shared" ca="1" si="455"/>
        <v>0</v>
      </c>
      <c r="N933" s="8">
        <f t="shared" ca="1" si="456"/>
        <v>0</v>
      </c>
      <c r="O933" s="8">
        <f t="shared" ca="1" si="457"/>
        <v>0</v>
      </c>
      <c r="P933" s="8">
        <f t="shared" ca="1" si="458"/>
        <v>0</v>
      </c>
      <c r="Q933" s="8">
        <f t="shared" ca="1" si="459"/>
        <v>0</v>
      </c>
      <c r="R933" s="8">
        <f t="shared" ca="1" si="460"/>
        <v>0</v>
      </c>
      <c r="S933" s="8">
        <f t="shared" ca="1" si="461"/>
        <v>0</v>
      </c>
      <c r="T933" s="8">
        <f t="shared" ca="1" si="462"/>
        <v>0</v>
      </c>
      <c r="U933" s="8">
        <f t="shared" ca="1" si="463"/>
        <v>0</v>
      </c>
      <c r="V933" s="8">
        <f t="shared" ca="1" si="464"/>
        <v>0</v>
      </c>
      <c r="W933" s="11" t="str">
        <f t="shared" ca="1" si="465"/>
        <v/>
      </c>
      <c r="X933" s="11" t="str">
        <f t="shared" ca="1" si="466"/>
        <v/>
      </c>
      <c r="Y933" s="11" t="str">
        <f t="shared" ca="1" si="467"/>
        <v/>
      </c>
      <c r="Z933" s="11" t="str">
        <f t="shared" ca="1" si="468"/>
        <v/>
      </c>
      <c r="AA933" s="11" t="str">
        <f t="shared" ca="1" si="469"/>
        <v/>
      </c>
      <c r="AB933" s="47">
        <f ca="1">PlayerGameData[[#This Row],[3FGA]]+PlayerGameData[[#This Row],[2FGA]]</f>
        <v>0</v>
      </c>
      <c r="AC933" s="47">
        <f ca="1">PlayerGameData[[#This Row],[OFF REB]]+PlayerGameData[[#This Row],[DEF REB]]</f>
        <v>0</v>
      </c>
      <c r="AD933" s="8">
        <f t="shared" si="450"/>
        <v>39</v>
      </c>
      <c r="AE933" s="8" t="str">
        <f t="shared" ca="1" si="451"/>
        <v>,  - 0 1/0/1900</v>
      </c>
      <c r="AF933" s="8" t="str">
        <f t="shared" ca="1" si="470"/>
        <v/>
      </c>
      <c r="AG933" s="8" t="str">
        <f ca="1">IFERROR(IF(C933=0,"",IF(AND(VLOOKUP(PlayerGameData[[#This Row],[Opponent]],WYTeamInfo,2,FALSE)=Roster!$D$1,VLOOKUP(PlayerGameData[[#This Row],[Opponent]],WYTeamInfo,3,FALSE)=Roster!$D$2),"SR","")),"")</f>
        <v/>
      </c>
      <c r="AH933" s="8" t="str">
        <f>CONCATENATE(Roster!$D$1," ",Roster!$D$5)</f>
        <v>1A BB</v>
      </c>
      <c r="AI933" s="8" t="str">
        <f t="shared" ca="1" si="452"/>
        <v>Blank</v>
      </c>
      <c r="AJ933" s="8">
        <f ca="1">IFERROR(VLOOKUP(PlayerGameData[[#This Row],[School, Opponent,Game'#]],Table3[],2,FALSE),0)</f>
        <v>0</v>
      </c>
      <c r="AK933" s="8">
        <f ca="1">IF(PlayerGameData[[#This Row],[Visible]]=1,1,1000)</f>
        <v>1000</v>
      </c>
      <c r="AL933" s="8">
        <f ca="1">RANK(PlayerGameData[[#This Row],[TL PTS]],PlayerGameData[TL PTS],0)+PlayerGameData[[#This Row],[VisibleOrder]]</f>
        <v>1184</v>
      </c>
      <c r="AM933" s="8">
        <f ca="1">IF(COUNTIF(PlayerGameData[PointOrder],PlayerGameData[[#This Row],[PointOrder]])&gt;1,RANK(PlayerGameData[[#This Row],[FGA]],PlayerGameData[FGA],0)/100,0)+PlayerGameData[[#This Row],[PointOrder]]</f>
        <v>1186.1400000000001</v>
      </c>
      <c r="AN933" s="8">
        <f ca="1">RANK(PlayerGameData[[#This Row],[PointTieBreak]],PlayerGameData[PointTieBreak],1)</f>
        <v>625</v>
      </c>
      <c r="AO933" s="8">
        <f ca="1">RANK(PlayerGameData[[#This Row],[REB]],PlayerGameData[REB],0)+PlayerGameData[[#This Row],[VisibleOrder]]</f>
        <v>1191</v>
      </c>
      <c r="AP933" s="8">
        <f ca="1">IF(COUNTIF(PlayerGameData[REBOrder],PlayerGameData[[#This Row],[REBOrder]])&gt;1,PlayerGameData[[#This Row],[PointRank]]/100+PlayerGameData[[#This Row],[REBOrder]],PlayerGameData[[#This Row],[REBOrder]])</f>
        <v>1197.25</v>
      </c>
      <c r="AQ933" s="8">
        <f ca="1">RANK(PlayerGameData[[#This Row],[REBTieBreak]],PlayerGameData[REBTieBreak],1)</f>
        <v>625</v>
      </c>
      <c r="AR933" s="8">
        <f ca="1">RANK(PlayerGameData[[#This Row],[AST]],PlayerGameData[AST],0)+PlayerGameData[[#This Row],[VisibleOrder]]</f>
        <v>1157</v>
      </c>
      <c r="AS933" s="8">
        <f ca="1">IF(COUNTIF(PlayerGameData[ASTOrder],PlayerGameData[[#This Row],[ASTOrder]])&gt;1,PlayerGameData[[#This Row],[PointRank]]/100+PlayerGameData[[#This Row],[ASTOrder]],PlayerGameData[[#This Row],[ASTOrder]])</f>
        <v>1163.25</v>
      </c>
      <c r="AT933" s="8">
        <f ca="1">RANK(PlayerGameData[[#This Row],[ASTTieBreak]],PlayerGameData[ASTTieBreak],1)</f>
        <v>625</v>
      </c>
      <c r="AU933" s="8">
        <f ca="1">RANK(PlayerGameData[[#This Row],[STL]],PlayerGameData[STL],0)+PlayerGameData[[#This Row],[VisibleOrder]]</f>
        <v>1142</v>
      </c>
      <c r="AV933" s="8">
        <f ca="1">IF(COUNTIF(PlayerGameData[STLOrder],PlayerGameData[[#This Row],[STLOrder]])&gt;1,PlayerGameData[[#This Row],[PointRank]]/100+PlayerGameData[[#This Row],[STLOrder]],PlayerGameData[[#This Row],[STLOrder]])</f>
        <v>1148.25</v>
      </c>
      <c r="AW933" s="8">
        <f ca="1">RANK(PlayerGameData[[#This Row],[STLTieBreak]],PlayerGameData[STLTieBreak],1)</f>
        <v>625</v>
      </c>
      <c r="AX933" s="8">
        <f ca="1">RANK(PlayerGameData[[#This Row],[BLK]],PlayerGameData[BLK],0)+PlayerGameData[[#This Row],[VisibleOrder]]</f>
        <v>1031</v>
      </c>
      <c r="AY933" s="8">
        <f ca="1">IF(COUNTIF(PlayerGameData[BLKOrder],PlayerGameData[[#This Row],[BLKOrder]])&gt;1,PlayerGameData[[#This Row],[PointRank]]/100+PlayerGameData[[#This Row],[BLKOrder]],PlayerGameData[[#This Row],[BLKOrder]])</f>
        <v>1037.25</v>
      </c>
      <c r="AZ933" s="8">
        <f ca="1">RANK(PlayerGameData[[#This Row],[BLKTieBreak]],PlayerGameData[BLKTieBreak],1)</f>
        <v>625</v>
      </c>
      <c r="BA933" s="11">
        <f ca="1">IFERROR(IF(PlayerGameData[[#This Row],[FGA]]&gt;$AA$5,PlayerGameData[[#This Row],[FG%*]],PlayerGameData[[#This Row],[FG%*]]*-1),-2)</f>
        <v>-2</v>
      </c>
      <c r="BB933" s="8">
        <f ca="1">RANK(PlayerGameData[[#This Row],[EligFG]],PlayerGameData[EligFG],0)+PlayerGameData[[#This Row],[VisibleOrder]]</f>
        <v>1214</v>
      </c>
      <c r="BC933" s="8">
        <f ca="1">IF(COUNTIF(PlayerGameData[EligFGOrder],PlayerGameData[[#This Row],[EligFGOrder]])&gt;1,PlayerGameData[[#This Row],[PointRank]]/100+PlayerGameData[[#This Row],[EligFGOrder]],PlayerGameData[[#This Row],[EligFGOrder]])</f>
        <v>1220.25</v>
      </c>
      <c r="BD933" s="8">
        <f ca="1">RANK(PlayerGameData[[#This Row],[EligFGTieBreak]],PlayerGameData[EligFGTieBreak],1)</f>
        <v>625</v>
      </c>
      <c r="BE933" s="8" t="str">
        <f>Roster!$D$3</f>
        <v>East</v>
      </c>
      <c r="BF933" s="8" t="str">
        <f>Roster!$D$2</f>
        <v>Northeast</v>
      </c>
      <c r="BG933" s="8" t="str">
        <f>Roster!$D$4</f>
        <v>North</v>
      </c>
      <c r="BH933" s="197">
        <f ca="1">IFERROR(VLOOKUP(CONCATENATE(PlayerGameData[[#This Row],[Opponent]]," ",MONTH(PlayerGameData[[#This Row],[Date]]),"/",DAY(PlayerGameData[[#This Row],[Date]]),"/",YEAR(PlayerGameData[[#This Row],[Date]])),Table35[],2,FALSE),0)</f>
        <v>0</v>
      </c>
      <c r="BI933" s="197">
        <f ca="1">IF(PlayerGameData[[#This Row],[Visible]]=1,1,1000)</f>
        <v>1000</v>
      </c>
      <c r="BJ933" s="197" t="e">
        <f ca="1">_xlfn.MAXIFS(TeamGameData[Win],TeamGameData[School, Opponent,Game'#],PlayerGameData[[#This Row],[School, Opponent,Game'#]])</f>
        <v>#NAME?</v>
      </c>
      <c r="BK933" s="197" t="e">
        <f ca="1">_xlfn.MAXIFS(TeamGameData[Loss],TeamGameData[School, Opponent,Game'#],PlayerGameData[[#This Row],[School, Opponent,Game'#]])</f>
        <v>#NAME?</v>
      </c>
    </row>
    <row r="934" spans="1:63" x14ac:dyDescent="0.25">
      <c r="A934" s="8" t="str">
        <f t="shared" ca="1" si="453"/>
        <v xml:space="preserve">, </v>
      </c>
      <c r="B934" s="8" t="str">
        <f>Roster!$B$1</f>
        <v>Upton</v>
      </c>
      <c r="C934" s="8">
        <f t="shared" ca="1" si="441"/>
        <v>0</v>
      </c>
      <c r="D934" s="10">
        <f t="shared" ca="1" si="442"/>
        <v>0</v>
      </c>
      <c r="E934" s="8">
        <f t="shared" ca="1" si="443"/>
        <v>0</v>
      </c>
      <c r="F934" s="8">
        <f t="shared" ca="1" si="444"/>
        <v>0</v>
      </c>
      <c r="G934" s="8">
        <f t="shared" ca="1" si="445"/>
        <v>0</v>
      </c>
      <c r="H934" s="8">
        <f t="shared" ca="1" si="446"/>
        <v>0</v>
      </c>
      <c r="I934" s="8">
        <f t="shared" ca="1" si="447"/>
        <v>0</v>
      </c>
      <c r="J934" s="8">
        <f t="shared" ca="1" si="448"/>
        <v>0</v>
      </c>
      <c r="K934" s="8">
        <f t="shared" ca="1" si="449"/>
        <v>0</v>
      </c>
      <c r="L934" s="8">
        <f t="shared" ca="1" si="454"/>
        <v>0</v>
      </c>
      <c r="M934" s="8">
        <f t="shared" ca="1" si="455"/>
        <v>0</v>
      </c>
      <c r="N934" s="8">
        <f t="shared" ca="1" si="456"/>
        <v>0</v>
      </c>
      <c r="O934" s="8">
        <f t="shared" ca="1" si="457"/>
        <v>0</v>
      </c>
      <c r="P934" s="8">
        <f t="shared" ca="1" si="458"/>
        <v>0</v>
      </c>
      <c r="Q934" s="8">
        <f t="shared" ca="1" si="459"/>
        <v>0</v>
      </c>
      <c r="R934" s="8">
        <f t="shared" ca="1" si="460"/>
        <v>0</v>
      </c>
      <c r="S934" s="8">
        <f t="shared" ca="1" si="461"/>
        <v>0</v>
      </c>
      <c r="T934" s="8">
        <f t="shared" ca="1" si="462"/>
        <v>0</v>
      </c>
      <c r="U934" s="8">
        <f t="shared" ca="1" si="463"/>
        <v>0</v>
      </c>
      <c r="V934" s="8">
        <f t="shared" ca="1" si="464"/>
        <v>0</v>
      </c>
      <c r="W934" s="11" t="str">
        <f t="shared" ca="1" si="465"/>
        <v/>
      </c>
      <c r="X934" s="11" t="str">
        <f t="shared" ca="1" si="466"/>
        <v/>
      </c>
      <c r="Y934" s="11" t="str">
        <f t="shared" ca="1" si="467"/>
        <v/>
      </c>
      <c r="Z934" s="11" t="str">
        <f t="shared" ca="1" si="468"/>
        <v/>
      </c>
      <c r="AA934" s="11" t="str">
        <f t="shared" ca="1" si="469"/>
        <v/>
      </c>
      <c r="AB934" s="47">
        <f ca="1">PlayerGameData[[#This Row],[3FGA]]+PlayerGameData[[#This Row],[2FGA]]</f>
        <v>0</v>
      </c>
      <c r="AC934" s="47">
        <f ca="1">PlayerGameData[[#This Row],[OFF REB]]+PlayerGameData[[#This Row],[DEF REB]]</f>
        <v>0</v>
      </c>
      <c r="AD934" s="8">
        <f t="shared" si="450"/>
        <v>39</v>
      </c>
      <c r="AE934" s="8" t="str">
        <f t="shared" ca="1" si="451"/>
        <v>,  - 0 1/0/1900</v>
      </c>
      <c r="AF934" s="8" t="str">
        <f t="shared" ca="1" si="470"/>
        <v/>
      </c>
      <c r="AG934" s="8" t="str">
        <f ca="1">IFERROR(IF(C934=0,"",IF(AND(VLOOKUP(PlayerGameData[[#This Row],[Opponent]],WYTeamInfo,2,FALSE)=Roster!$D$1,VLOOKUP(PlayerGameData[[#This Row],[Opponent]],WYTeamInfo,3,FALSE)=Roster!$D$2),"SR","")),"")</f>
        <v/>
      </c>
      <c r="AH934" s="8" t="str">
        <f>CONCATENATE(Roster!$D$1," ",Roster!$D$5)</f>
        <v>1A BB</v>
      </c>
      <c r="AI934" s="8" t="str">
        <f t="shared" ca="1" si="452"/>
        <v>Blank</v>
      </c>
      <c r="AJ934" s="8">
        <f ca="1">IFERROR(VLOOKUP(PlayerGameData[[#This Row],[School, Opponent,Game'#]],Table3[],2,FALSE),0)</f>
        <v>0</v>
      </c>
      <c r="AK934" s="8">
        <f ca="1">IF(PlayerGameData[[#This Row],[Visible]]=1,1,1000)</f>
        <v>1000</v>
      </c>
      <c r="AL934" s="8">
        <f ca="1">RANK(PlayerGameData[[#This Row],[TL PTS]],PlayerGameData[TL PTS],0)+PlayerGameData[[#This Row],[VisibleOrder]]</f>
        <v>1184</v>
      </c>
      <c r="AM934" s="8">
        <f ca="1">IF(COUNTIF(PlayerGameData[PointOrder],PlayerGameData[[#This Row],[PointOrder]])&gt;1,RANK(PlayerGameData[[#This Row],[FGA]],PlayerGameData[FGA],0)/100,0)+PlayerGameData[[#This Row],[PointOrder]]</f>
        <v>1186.1400000000001</v>
      </c>
      <c r="AN934" s="8">
        <f ca="1">RANK(PlayerGameData[[#This Row],[PointTieBreak]],PlayerGameData[PointTieBreak],1)</f>
        <v>625</v>
      </c>
      <c r="AO934" s="8">
        <f ca="1">RANK(PlayerGameData[[#This Row],[REB]],PlayerGameData[REB],0)+PlayerGameData[[#This Row],[VisibleOrder]]</f>
        <v>1191</v>
      </c>
      <c r="AP934" s="8">
        <f ca="1">IF(COUNTIF(PlayerGameData[REBOrder],PlayerGameData[[#This Row],[REBOrder]])&gt;1,PlayerGameData[[#This Row],[PointRank]]/100+PlayerGameData[[#This Row],[REBOrder]],PlayerGameData[[#This Row],[REBOrder]])</f>
        <v>1197.25</v>
      </c>
      <c r="AQ934" s="8">
        <f ca="1">RANK(PlayerGameData[[#This Row],[REBTieBreak]],PlayerGameData[REBTieBreak],1)</f>
        <v>625</v>
      </c>
      <c r="AR934" s="8">
        <f ca="1">RANK(PlayerGameData[[#This Row],[AST]],PlayerGameData[AST],0)+PlayerGameData[[#This Row],[VisibleOrder]]</f>
        <v>1157</v>
      </c>
      <c r="AS934" s="8">
        <f ca="1">IF(COUNTIF(PlayerGameData[ASTOrder],PlayerGameData[[#This Row],[ASTOrder]])&gt;1,PlayerGameData[[#This Row],[PointRank]]/100+PlayerGameData[[#This Row],[ASTOrder]],PlayerGameData[[#This Row],[ASTOrder]])</f>
        <v>1163.25</v>
      </c>
      <c r="AT934" s="8">
        <f ca="1">RANK(PlayerGameData[[#This Row],[ASTTieBreak]],PlayerGameData[ASTTieBreak],1)</f>
        <v>625</v>
      </c>
      <c r="AU934" s="8">
        <f ca="1">RANK(PlayerGameData[[#This Row],[STL]],PlayerGameData[STL],0)+PlayerGameData[[#This Row],[VisibleOrder]]</f>
        <v>1142</v>
      </c>
      <c r="AV934" s="8">
        <f ca="1">IF(COUNTIF(PlayerGameData[STLOrder],PlayerGameData[[#This Row],[STLOrder]])&gt;1,PlayerGameData[[#This Row],[PointRank]]/100+PlayerGameData[[#This Row],[STLOrder]],PlayerGameData[[#This Row],[STLOrder]])</f>
        <v>1148.25</v>
      </c>
      <c r="AW934" s="8">
        <f ca="1">RANK(PlayerGameData[[#This Row],[STLTieBreak]],PlayerGameData[STLTieBreak],1)</f>
        <v>625</v>
      </c>
      <c r="AX934" s="8">
        <f ca="1">RANK(PlayerGameData[[#This Row],[BLK]],PlayerGameData[BLK],0)+PlayerGameData[[#This Row],[VisibleOrder]]</f>
        <v>1031</v>
      </c>
      <c r="AY934" s="8">
        <f ca="1">IF(COUNTIF(PlayerGameData[BLKOrder],PlayerGameData[[#This Row],[BLKOrder]])&gt;1,PlayerGameData[[#This Row],[PointRank]]/100+PlayerGameData[[#This Row],[BLKOrder]],PlayerGameData[[#This Row],[BLKOrder]])</f>
        <v>1037.25</v>
      </c>
      <c r="AZ934" s="8">
        <f ca="1">RANK(PlayerGameData[[#This Row],[BLKTieBreak]],PlayerGameData[BLKTieBreak],1)</f>
        <v>625</v>
      </c>
      <c r="BA934" s="11">
        <f ca="1">IFERROR(IF(PlayerGameData[[#This Row],[FGA]]&gt;$AA$5,PlayerGameData[[#This Row],[FG%*]],PlayerGameData[[#This Row],[FG%*]]*-1),-2)</f>
        <v>-2</v>
      </c>
      <c r="BB934" s="8">
        <f ca="1">RANK(PlayerGameData[[#This Row],[EligFG]],PlayerGameData[EligFG],0)+PlayerGameData[[#This Row],[VisibleOrder]]</f>
        <v>1214</v>
      </c>
      <c r="BC934" s="8">
        <f ca="1">IF(COUNTIF(PlayerGameData[EligFGOrder],PlayerGameData[[#This Row],[EligFGOrder]])&gt;1,PlayerGameData[[#This Row],[PointRank]]/100+PlayerGameData[[#This Row],[EligFGOrder]],PlayerGameData[[#This Row],[EligFGOrder]])</f>
        <v>1220.25</v>
      </c>
      <c r="BD934" s="8">
        <f ca="1">RANK(PlayerGameData[[#This Row],[EligFGTieBreak]],PlayerGameData[EligFGTieBreak],1)</f>
        <v>625</v>
      </c>
      <c r="BE934" s="8" t="str">
        <f>Roster!$D$3</f>
        <v>East</v>
      </c>
      <c r="BF934" s="8" t="str">
        <f>Roster!$D$2</f>
        <v>Northeast</v>
      </c>
      <c r="BG934" s="8" t="str">
        <f>Roster!$D$4</f>
        <v>North</v>
      </c>
      <c r="BH934" s="197">
        <f ca="1">IFERROR(VLOOKUP(CONCATENATE(PlayerGameData[[#This Row],[Opponent]]," ",MONTH(PlayerGameData[[#This Row],[Date]]),"/",DAY(PlayerGameData[[#This Row],[Date]]),"/",YEAR(PlayerGameData[[#This Row],[Date]])),Table35[],2,FALSE),0)</f>
        <v>0</v>
      </c>
      <c r="BI934" s="197">
        <f ca="1">IF(PlayerGameData[[#This Row],[Visible]]=1,1,1000)</f>
        <v>1000</v>
      </c>
      <c r="BJ934" s="197" t="e">
        <f ca="1">_xlfn.MAXIFS(TeamGameData[Win],TeamGameData[School, Opponent,Game'#],PlayerGameData[[#This Row],[School, Opponent,Game'#]])</f>
        <v>#NAME?</v>
      </c>
      <c r="BK934" s="197" t="e">
        <f ca="1">_xlfn.MAXIFS(TeamGameData[Loss],TeamGameData[School, Opponent,Game'#],PlayerGameData[[#This Row],[School, Opponent,Game'#]])</f>
        <v>#NAME?</v>
      </c>
    </row>
    <row r="935" spans="1:63" x14ac:dyDescent="0.25">
      <c r="A935" s="8" t="str">
        <f t="shared" ca="1" si="453"/>
        <v xml:space="preserve">, </v>
      </c>
      <c r="B935" s="8" t="str">
        <f>Roster!$B$1</f>
        <v>Upton</v>
      </c>
      <c r="C935" s="8">
        <f t="shared" ca="1" si="441"/>
        <v>0</v>
      </c>
      <c r="D935" s="10">
        <f t="shared" ca="1" si="442"/>
        <v>0</v>
      </c>
      <c r="E935" s="8">
        <f t="shared" ca="1" si="443"/>
        <v>0</v>
      </c>
      <c r="F935" s="8">
        <f t="shared" ca="1" si="444"/>
        <v>0</v>
      </c>
      <c r="G935" s="8">
        <f t="shared" ca="1" si="445"/>
        <v>0</v>
      </c>
      <c r="H935" s="8">
        <f t="shared" ca="1" si="446"/>
        <v>0</v>
      </c>
      <c r="I935" s="8">
        <f t="shared" ca="1" si="447"/>
        <v>0</v>
      </c>
      <c r="J935" s="8">
        <f t="shared" ca="1" si="448"/>
        <v>0</v>
      </c>
      <c r="K935" s="8">
        <f t="shared" ca="1" si="449"/>
        <v>0</v>
      </c>
      <c r="L935" s="8">
        <f t="shared" ca="1" si="454"/>
        <v>0</v>
      </c>
      <c r="M935" s="8">
        <f t="shared" ca="1" si="455"/>
        <v>0</v>
      </c>
      <c r="N935" s="8">
        <f t="shared" ca="1" si="456"/>
        <v>0</v>
      </c>
      <c r="O935" s="8">
        <f t="shared" ca="1" si="457"/>
        <v>0</v>
      </c>
      <c r="P935" s="8">
        <f t="shared" ca="1" si="458"/>
        <v>0</v>
      </c>
      <c r="Q935" s="8">
        <f t="shared" ca="1" si="459"/>
        <v>0</v>
      </c>
      <c r="R935" s="8">
        <f t="shared" ca="1" si="460"/>
        <v>0</v>
      </c>
      <c r="S935" s="8">
        <f t="shared" ca="1" si="461"/>
        <v>0</v>
      </c>
      <c r="T935" s="8">
        <f t="shared" ca="1" si="462"/>
        <v>0</v>
      </c>
      <c r="U935" s="8">
        <f t="shared" ca="1" si="463"/>
        <v>0</v>
      </c>
      <c r="V935" s="8">
        <f t="shared" ca="1" si="464"/>
        <v>0</v>
      </c>
      <c r="W935" s="11" t="str">
        <f t="shared" ca="1" si="465"/>
        <v/>
      </c>
      <c r="X935" s="11" t="str">
        <f t="shared" ca="1" si="466"/>
        <v/>
      </c>
      <c r="Y935" s="11" t="str">
        <f t="shared" ca="1" si="467"/>
        <v/>
      </c>
      <c r="Z935" s="11" t="str">
        <f t="shared" ca="1" si="468"/>
        <v/>
      </c>
      <c r="AA935" s="11" t="str">
        <f t="shared" ca="1" si="469"/>
        <v/>
      </c>
      <c r="AB935" s="47">
        <f ca="1">PlayerGameData[[#This Row],[3FGA]]+PlayerGameData[[#This Row],[2FGA]]</f>
        <v>0</v>
      </c>
      <c r="AC935" s="47">
        <f ca="1">PlayerGameData[[#This Row],[OFF REB]]+PlayerGameData[[#This Row],[DEF REB]]</f>
        <v>0</v>
      </c>
      <c r="AD935" s="8">
        <f t="shared" si="450"/>
        <v>39</v>
      </c>
      <c r="AE935" s="8" t="str">
        <f t="shared" ca="1" si="451"/>
        <v>,  - 0 1/0/1900</v>
      </c>
      <c r="AF935" s="8" t="str">
        <f t="shared" ca="1" si="470"/>
        <v/>
      </c>
      <c r="AG935" s="8" t="str">
        <f ca="1">IFERROR(IF(C935=0,"",IF(AND(VLOOKUP(PlayerGameData[[#This Row],[Opponent]],WYTeamInfo,2,FALSE)=Roster!$D$1,VLOOKUP(PlayerGameData[[#This Row],[Opponent]],WYTeamInfo,3,FALSE)=Roster!$D$2),"SR","")),"")</f>
        <v/>
      </c>
      <c r="AH935" s="8" t="str">
        <f>CONCATENATE(Roster!$D$1," ",Roster!$D$5)</f>
        <v>1A BB</v>
      </c>
      <c r="AI935" s="8" t="str">
        <f t="shared" ca="1" si="452"/>
        <v>Blank</v>
      </c>
      <c r="AJ935" s="8">
        <f ca="1">IFERROR(VLOOKUP(PlayerGameData[[#This Row],[School, Opponent,Game'#]],Table3[],2,FALSE),0)</f>
        <v>0</v>
      </c>
      <c r="AK935" s="8">
        <f ca="1">IF(PlayerGameData[[#This Row],[Visible]]=1,1,1000)</f>
        <v>1000</v>
      </c>
      <c r="AL935" s="8">
        <f ca="1">RANK(PlayerGameData[[#This Row],[TL PTS]],PlayerGameData[TL PTS],0)+PlayerGameData[[#This Row],[VisibleOrder]]</f>
        <v>1184</v>
      </c>
      <c r="AM935" s="8">
        <f ca="1">IF(COUNTIF(PlayerGameData[PointOrder],PlayerGameData[[#This Row],[PointOrder]])&gt;1,RANK(PlayerGameData[[#This Row],[FGA]],PlayerGameData[FGA],0)/100,0)+PlayerGameData[[#This Row],[PointOrder]]</f>
        <v>1186.1400000000001</v>
      </c>
      <c r="AN935" s="8">
        <f ca="1">RANK(PlayerGameData[[#This Row],[PointTieBreak]],PlayerGameData[PointTieBreak],1)</f>
        <v>625</v>
      </c>
      <c r="AO935" s="8">
        <f ca="1">RANK(PlayerGameData[[#This Row],[REB]],PlayerGameData[REB],0)+PlayerGameData[[#This Row],[VisibleOrder]]</f>
        <v>1191</v>
      </c>
      <c r="AP935" s="8">
        <f ca="1">IF(COUNTIF(PlayerGameData[REBOrder],PlayerGameData[[#This Row],[REBOrder]])&gt;1,PlayerGameData[[#This Row],[PointRank]]/100+PlayerGameData[[#This Row],[REBOrder]],PlayerGameData[[#This Row],[REBOrder]])</f>
        <v>1197.25</v>
      </c>
      <c r="AQ935" s="8">
        <f ca="1">RANK(PlayerGameData[[#This Row],[REBTieBreak]],PlayerGameData[REBTieBreak],1)</f>
        <v>625</v>
      </c>
      <c r="AR935" s="8">
        <f ca="1">RANK(PlayerGameData[[#This Row],[AST]],PlayerGameData[AST],0)+PlayerGameData[[#This Row],[VisibleOrder]]</f>
        <v>1157</v>
      </c>
      <c r="AS935" s="8">
        <f ca="1">IF(COUNTIF(PlayerGameData[ASTOrder],PlayerGameData[[#This Row],[ASTOrder]])&gt;1,PlayerGameData[[#This Row],[PointRank]]/100+PlayerGameData[[#This Row],[ASTOrder]],PlayerGameData[[#This Row],[ASTOrder]])</f>
        <v>1163.25</v>
      </c>
      <c r="AT935" s="8">
        <f ca="1">RANK(PlayerGameData[[#This Row],[ASTTieBreak]],PlayerGameData[ASTTieBreak],1)</f>
        <v>625</v>
      </c>
      <c r="AU935" s="8">
        <f ca="1">RANK(PlayerGameData[[#This Row],[STL]],PlayerGameData[STL],0)+PlayerGameData[[#This Row],[VisibleOrder]]</f>
        <v>1142</v>
      </c>
      <c r="AV935" s="8">
        <f ca="1">IF(COUNTIF(PlayerGameData[STLOrder],PlayerGameData[[#This Row],[STLOrder]])&gt;1,PlayerGameData[[#This Row],[PointRank]]/100+PlayerGameData[[#This Row],[STLOrder]],PlayerGameData[[#This Row],[STLOrder]])</f>
        <v>1148.25</v>
      </c>
      <c r="AW935" s="8">
        <f ca="1">RANK(PlayerGameData[[#This Row],[STLTieBreak]],PlayerGameData[STLTieBreak],1)</f>
        <v>625</v>
      </c>
      <c r="AX935" s="8">
        <f ca="1">RANK(PlayerGameData[[#This Row],[BLK]],PlayerGameData[BLK],0)+PlayerGameData[[#This Row],[VisibleOrder]]</f>
        <v>1031</v>
      </c>
      <c r="AY935" s="8">
        <f ca="1">IF(COUNTIF(PlayerGameData[BLKOrder],PlayerGameData[[#This Row],[BLKOrder]])&gt;1,PlayerGameData[[#This Row],[PointRank]]/100+PlayerGameData[[#This Row],[BLKOrder]],PlayerGameData[[#This Row],[BLKOrder]])</f>
        <v>1037.25</v>
      </c>
      <c r="AZ935" s="8">
        <f ca="1">RANK(PlayerGameData[[#This Row],[BLKTieBreak]],PlayerGameData[BLKTieBreak],1)</f>
        <v>625</v>
      </c>
      <c r="BA935" s="11">
        <f ca="1">IFERROR(IF(PlayerGameData[[#This Row],[FGA]]&gt;$AA$5,PlayerGameData[[#This Row],[FG%*]],PlayerGameData[[#This Row],[FG%*]]*-1),-2)</f>
        <v>-2</v>
      </c>
      <c r="BB935" s="8">
        <f ca="1">RANK(PlayerGameData[[#This Row],[EligFG]],PlayerGameData[EligFG],0)+PlayerGameData[[#This Row],[VisibleOrder]]</f>
        <v>1214</v>
      </c>
      <c r="BC935" s="8">
        <f ca="1">IF(COUNTIF(PlayerGameData[EligFGOrder],PlayerGameData[[#This Row],[EligFGOrder]])&gt;1,PlayerGameData[[#This Row],[PointRank]]/100+PlayerGameData[[#This Row],[EligFGOrder]],PlayerGameData[[#This Row],[EligFGOrder]])</f>
        <v>1220.25</v>
      </c>
      <c r="BD935" s="8">
        <f ca="1">RANK(PlayerGameData[[#This Row],[EligFGTieBreak]],PlayerGameData[EligFGTieBreak],1)</f>
        <v>625</v>
      </c>
      <c r="BE935" s="8" t="str">
        <f>Roster!$D$3</f>
        <v>East</v>
      </c>
      <c r="BF935" s="8" t="str">
        <f>Roster!$D$2</f>
        <v>Northeast</v>
      </c>
      <c r="BG935" s="8" t="str">
        <f>Roster!$D$4</f>
        <v>North</v>
      </c>
      <c r="BH935" s="197">
        <f ca="1">IFERROR(VLOOKUP(CONCATENATE(PlayerGameData[[#This Row],[Opponent]]," ",MONTH(PlayerGameData[[#This Row],[Date]]),"/",DAY(PlayerGameData[[#This Row],[Date]]),"/",YEAR(PlayerGameData[[#This Row],[Date]])),Table35[],2,FALSE),0)</f>
        <v>0</v>
      </c>
      <c r="BI935" s="197">
        <f ca="1">IF(PlayerGameData[[#This Row],[Visible]]=1,1,1000)</f>
        <v>1000</v>
      </c>
      <c r="BJ935" s="197" t="e">
        <f ca="1">_xlfn.MAXIFS(TeamGameData[Win],TeamGameData[School, Opponent,Game'#],PlayerGameData[[#This Row],[School, Opponent,Game'#]])</f>
        <v>#NAME?</v>
      </c>
      <c r="BK935" s="197" t="e">
        <f ca="1">_xlfn.MAXIFS(TeamGameData[Loss],TeamGameData[School, Opponent,Game'#],PlayerGameData[[#This Row],[School, Opponent,Game'#]])</f>
        <v>#NAME?</v>
      </c>
    </row>
    <row r="936" spans="1:63" x14ac:dyDescent="0.25">
      <c r="A936" s="8" t="str">
        <f t="shared" ca="1" si="453"/>
        <v xml:space="preserve">, </v>
      </c>
      <c r="B936" s="8" t="str">
        <f>Roster!$B$1</f>
        <v>Upton</v>
      </c>
      <c r="C936" s="8">
        <f t="shared" ca="1" si="441"/>
        <v>0</v>
      </c>
      <c r="D936" s="10">
        <f t="shared" ca="1" si="442"/>
        <v>0</v>
      </c>
      <c r="E936" s="8">
        <f t="shared" ca="1" si="443"/>
        <v>0</v>
      </c>
      <c r="F936" s="8">
        <f t="shared" ca="1" si="444"/>
        <v>0</v>
      </c>
      <c r="G936" s="8">
        <f t="shared" ca="1" si="445"/>
        <v>0</v>
      </c>
      <c r="H936" s="8">
        <f t="shared" ca="1" si="446"/>
        <v>0</v>
      </c>
      <c r="I936" s="8">
        <f t="shared" ca="1" si="447"/>
        <v>0</v>
      </c>
      <c r="J936" s="8">
        <f t="shared" ca="1" si="448"/>
        <v>0</v>
      </c>
      <c r="K936" s="8">
        <f t="shared" ca="1" si="449"/>
        <v>0</v>
      </c>
      <c r="L936" s="8">
        <f t="shared" ca="1" si="454"/>
        <v>0</v>
      </c>
      <c r="M936" s="8">
        <f t="shared" ca="1" si="455"/>
        <v>0</v>
      </c>
      <c r="N936" s="8">
        <f t="shared" ca="1" si="456"/>
        <v>0</v>
      </c>
      <c r="O936" s="8">
        <f t="shared" ca="1" si="457"/>
        <v>0</v>
      </c>
      <c r="P936" s="8">
        <f t="shared" ca="1" si="458"/>
        <v>0</v>
      </c>
      <c r="Q936" s="8">
        <f t="shared" ca="1" si="459"/>
        <v>0</v>
      </c>
      <c r="R936" s="8">
        <f t="shared" ca="1" si="460"/>
        <v>0</v>
      </c>
      <c r="S936" s="8">
        <f t="shared" ca="1" si="461"/>
        <v>0</v>
      </c>
      <c r="T936" s="8">
        <f t="shared" ca="1" si="462"/>
        <v>0</v>
      </c>
      <c r="U936" s="8">
        <f t="shared" ca="1" si="463"/>
        <v>0</v>
      </c>
      <c r="V936" s="8">
        <f t="shared" ca="1" si="464"/>
        <v>0</v>
      </c>
      <c r="W936" s="11" t="str">
        <f t="shared" ca="1" si="465"/>
        <v/>
      </c>
      <c r="X936" s="11" t="str">
        <f t="shared" ca="1" si="466"/>
        <v/>
      </c>
      <c r="Y936" s="11" t="str">
        <f t="shared" ca="1" si="467"/>
        <v/>
      </c>
      <c r="Z936" s="11" t="str">
        <f t="shared" ca="1" si="468"/>
        <v/>
      </c>
      <c r="AA936" s="11" t="str">
        <f t="shared" ca="1" si="469"/>
        <v/>
      </c>
      <c r="AB936" s="47">
        <f ca="1">PlayerGameData[[#This Row],[3FGA]]+PlayerGameData[[#This Row],[2FGA]]</f>
        <v>0</v>
      </c>
      <c r="AC936" s="47">
        <f ca="1">PlayerGameData[[#This Row],[OFF REB]]+PlayerGameData[[#This Row],[DEF REB]]</f>
        <v>0</v>
      </c>
      <c r="AD936" s="8">
        <f t="shared" si="450"/>
        <v>39</v>
      </c>
      <c r="AE936" s="8" t="str">
        <f t="shared" ca="1" si="451"/>
        <v>,  - 0 1/0/1900</v>
      </c>
      <c r="AF936" s="8" t="str">
        <f t="shared" ca="1" si="470"/>
        <v/>
      </c>
      <c r="AG936" s="8" t="str">
        <f ca="1">IFERROR(IF(C936=0,"",IF(AND(VLOOKUP(PlayerGameData[[#This Row],[Opponent]],WYTeamInfo,2,FALSE)=Roster!$D$1,VLOOKUP(PlayerGameData[[#This Row],[Opponent]],WYTeamInfo,3,FALSE)=Roster!$D$2),"SR","")),"")</f>
        <v/>
      </c>
      <c r="AH936" s="8" t="str">
        <f>CONCATENATE(Roster!$D$1," ",Roster!$D$5)</f>
        <v>1A BB</v>
      </c>
      <c r="AI936" s="8" t="str">
        <f t="shared" ca="1" si="452"/>
        <v>Blank</v>
      </c>
      <c r="AJ936" s="8">
        <f ca="1">IFERROR(VLOOKUP(PlayerGameData[[#This Row],[School, Opponent,Game'#]],Table3[],2,FALSE),0)</f>
        <v>0</v>
      </c>
      <c r="AK936" s="8">
        <f ca="1">IF(PlayerGameData[[#This Row],[Visible]]=1,1,1000)</f>
        <v>1000</v>
      </c>
      <c r="AL936" s="8">
        <f ca="1">RANK(PlayerGameData[[#This Row],[TL PTS]],PlayerGameData[TL PTS],0)+PlayerGameData[[#This Row],[VisibleOrder]]</f>
        <v>1184</v>
      </c>
      <c r="AM936" s="8">
        <f ca="1">IF(COUNTIF(PlayerGameData[PointOrder],PlayerGameData[[#This Row],[PointOrder]])&gt;1,RANK(PlayerGameData[[#This Row],[FGA]],PlayerGameData[FGA],0)/100,0)+PlayerGameData[[#This Row],[PointOrder]]</f>
        <v>1186.1400000000001</v>
      </c>
      <c r="AN936" s="8">
        <f ca="1">RANK(PlayerGameData[[#This Row],[PointTieBreak]],PlayerGameData[PointTieBreak],1)</f>
        <v>625</v>
      </c>
      <c r="AO936" s="8">
        <f ca="1">RANK(PlayerGameData[[#This Row],[REB]],PlayerGameData[REB],0)+PlayerGameData[[#This Row],[VisibleOrder]]</f>
        <v>1191</v>
      </c>
      <c r="AP936" s="8">
        <f ca="1">IF(COUNTIF(PlayerGameData[REBOrder],PlayerGameData[[#This Row],[REBOrder]])&gt;1,PlayerGameData[[#This Row],[PointRank]]/100+PlayerGameData[[#This Row],[REBOrder]],PlayerGameData[[#This Row],[REBOrder]])</f>
        <v>1197.25</v>
      </c>
      <c r="AQ936" s="8">
        <f ca="1">RANK(PlayerGameData[[#This Row],[REBTieBreak]],PlayerGameData[REBTieBreak],1)</f>
        <v>625</v>
      </c>
      <c r="AR936" s="8">
        <f ca="1">RANK(PlayerGameData[[#This Row],[AST]],PlayerGameData[AST],0)+PlayerGameData[[#This Row],[VisibleOrder]]</f>
        <v>1157</v>
      </c>
      <c r="AS936" s="8">
        <f ca="1">IF(COUNTIF(PlayerGameData[ASTOrder],PlayerGameData[[#This Row],[ASTOrder]])&gt;1,PlayerGameData[[#This Row],[PointRank]]/100+PlayerGameData[[#This Row],[ASTOrder]],PlayerGameData[[#This Row],[ASTOrder]])</f>
        <v>1163.25</v>
      </c>
      <c r="AT936" s="8">
        <f ca="1">RANK(PlayerGameData[[#This Row],[ASTTieBreak]],PlayerGameData[ASTTieBreak],1)</f>
        <v>625</v>
      </c>
      <c r="AU936" s="8">
        <f ca="1">RANK(PlayerGameData[[#This Row],[STL]],PlayerGameData[STL],0)+PlayerGameData[[#This Row],[VisibleOrder]]</f>
        <v>1142</v>
      </c>
      <c r="AV936" s="8">
        <f ca="1">IF(COUNTIF(PlayerGameData[STLOrder],PlayerGameData[[#This Row],[STLOrder]])&gt;1,PlayerGameData[[#This Row],[PointRank]]/100+PlayerGameData[[#This Row],[STLOrder]],PlayerGameData[[#This Row],[STLOrder]])</f>
        <v>1148.25</v>
      </c>
      <c r="AW936" s="8">
        <f ca="1">RANK(PlayerGameData[[#This Row],[STLTieBreak]],PlayerGameData[STLTieBreak],1)</f>
        <v>625</v>
      </c>
      <c r="AX936" s="8">
        <f ca="1">RANK(PlayerGameData[[#This Row],[BLK]],PlayerGameData[BLK],0)+PlayerGameData[[#This Row],[VisibleOrder]]</f>
        <v>1031</v>
      </c>
      <c r="AY936" s="8">
        <f ca="1">IF(COUNTIF(PlayerGameData[BLKOrder],PlayerGameData[[#This Row],[BLKOrder]])&gt;1,PlayerGameData[[#This Row],[PointRank]]/100+PlayerGameData[[#This Row],[BLKOrder]],PlayerGameData[[#This Row],[BLKOrder]])</f>
        <v>1037.25</v>
      </c>
      <c r="AZ936" s="8">
        <f ca="1">RANK(PlayerGameData[[#This Row],[BLKTieBreak]],PlayerGameData[BLKTieBreak],1)</f>
        <v>625</v>
      </c>
      <c r="BA936" s="11">
        <f ca="1">IFERROR(IF(PlayerGameData[[#This Row],[FGA]]&gt;$AA$5,PlayerGameData[[#This Row],[FG%*]],PlayerGameData[[#This Row],[FG%*]]*-1),-2)</f>
        <v>-2</v>
      </c>
      <c r="BB936" s="8">
        <f ca="1">RANK(PlayerGameData[[#This Row],[EligFG]],PlayerGameData[EligFG],0)+PlayerGameData[[#This Row],[VisibleOrder]]</f>
        <v>1214</v>
      </c>
      <c r="BC936" s="8">
        <f ca="1">IF(COUNTIF(PlayerGameData[EligFGOrder],PlayerGameData[[#This Row],[EligFGOrder]])&gt;1,PlayerGameData[[#This Row],[PointRank]]/100+PlayerGameData[[#This Row],[EligFGOrder]],PlayerGameData[[#This Row],[EligFGOrder]])</f>
        <v>1220.25</v>
      </c>
      <c r="BD936" s="8">
        <f ca="1">RANK(PlayerGameData[[#This Row],[EligFGTieBreak]],PlayerGameData[EligFGTieBreak],1)</f>
        <v>625</v>
      </c>
      <c r="BE936" s="8" t="str">
        <f>Roster!$D$3</f>
        <v>East</v>
      </c>
      <c r="BF936" s="8" t="str">
        <f>Roster!$D$2</f>
        <v>Northeast</v>
      </c>
      <c r="BG936" s="8" t="str">
        <f>Roster!$D$4</f>
        <v>North</v>
      </c>
      <c r="BH936" s="197">
        <f ca="1">IFERROR(VLOOKUP(CONCATENATE(PlayerGameData[[#This Row],[Opponent]]," ",MONTH(PlayerGameData[[#This Row],[Date]]),"/",DAY(PlayerGameData[[#This Row],[Date]]),"/",YEAR(PlayerGameData[[#This Row],[Date]])),Table35[],2,FALSE),0)</f>
        <v>0</v>
      </c>
      <c r="BI936" s="197">
        <f ca="1">IF(PlayerGameData[[#This Row],[Visible]]=1,1,1000)</f>
        <v>1000</v>
      </c>
      <c r="BJ936" s="197" t="e">
        <f ca="1">_xlfn.MAXIFS(TeamGameData[Win],TeamGameData[School, Opponent,Game'#],PlayerGameData[[#This Row],[School, Opponent,Game'#]])</f>
        <v>#NAME?</v>
      </c>
      <c r="BK936" s="197" t="e">
        <f ca="1">_xlfn.MAXIFS(TeamGameData[Loss],TeamGameData[School, Opponent,Game'#],PlayerGameData[[#This Row],[School, Opponent,Game'#]])</f>
        <v>#NAME?</v>
      </c>
    </row>
    <row r="937" spans="1:63" x14ac:dyDescent="0.25">
      <c r="A937" s="8" t="str">
        <f t="shared" ca="1" si="453"/>
        <v xml:space="preserve">, </v>
      </c>
      <c r="B937" s="8" t="str">
        <f>Roster!$B$1</f>
        <v>Upton</v>
      </c>
      <c r="C937" s="8">
        <f t="shared" ca="1" si="441"/>
        <v>0</v>
      </c>
      <c r="D937" s="10">
        <f t="shared" ca="1" si="442"/>
        <v>0</v>
      </c>
      <c r="E937" s="8">
        <f t="shared" ca="1" si="443"/>
        <v>0</v>
      </c>
      <c r="F937" s="8">
        <f t="shared" ca="1" si="444"/>
        <v>0</v>
      </c>
      <c r="G937" s="8">
        <f t="shared" ca="1" si="445"/>
        <v>0</v>
      </c>
      <c r="H937" s="8">
        <f t="shared" ca="1" si="446"/>
        <v>0</v>
      </c>
      <c r="I937" s="8">
        <f t="shared" ca="1" si="447"/>
        <v>0</v>
      </c>
      <c r="J937" s="8">
        <f t="shared" ca="1" si="448"/>
        <v>0</v>
      </c>
      <c r="K937" s="8">
        <f t="shared" ca="1" si="449"/>
        <v>0</v>
      </c>
      <c r="L937" s="8">
        <f t="shared" ca="1" si="454"/>
        <v>0</v>
      </c>
      <c r="M937" s="8">
        <f t="shared" ca="1" si="455"/>
        <v>0</v>
      </c>
      <c r="N937" s="8">
        <f t="shared" ca="1" si="456"/>
        <v>0</v>
      </c>
      <c r="O937" s="8">
        <f t="shared" ca="1" si="457"/>
        <v>0</v>
      </c>
      <c r="P937" s="8">
        <f t="shared" ca="1" si="458"/>
        <v>0</v>
      </c>
      <c r="Q937" s="8">
        <f t="shared" ca="1" si="459"/>
        <v>0</v>
      </c>
      <c r="R937" s="8">
        <f t="shared" ca="1" si="460"/>
        <v>0</v>
      </c>
      <c r="S937" s="8">
        <f t="shared" ca="1" si="461"/>
        <v>0</v>
      </c>
      <c r="T937" s="8">
        <f t="shared" ca="1" si="462"/>
        <v>0</v>
      </c>
      <c r="U937" s="8">
        <f t="shared" ca="1" si="463"/>
        <v>0</v>
      </c>
      <c r="V937" s="8">
        <f t="shared" ca="1" si="464"/>
        <v>0</v>
      </c>
      <c r="W937" s="11" t="str">
        <f t="shared" ca="1" si="465"/>
        <v/>
      </c>
      <c r="X937" s="11" t="str">
        <f t="shared" ca="1" si="466"/>
        <v/>
      </c>
      <c r="Y937" s="11" t="str">
        <f t="shared" ca="1" si="467"/>
        <v/>
      </c>
      <c r="Z937" s="11" t="str">
        <f t="shared" ca="1" si="468"/>
        <v/>
      </c>
      <c r="AA937" s="11" t="str">
        <f t="shared" ca="1" si="469"/>
        <v/>
      </c>
      <c r="AB937" s="47">
        <f ca="1">PlayerGameData[[#This Row],[3FGA]]+PlayerGameData[[#This Row],[2FGA]]</f>
        <v>0</v>
      </c>
      <c r="AC937" s="47">
        <f ca="1">PlayerGameData[[#This Row],[OFF REB]]+PlayerGameData[[#This Row],[DEF REB]]</f>
        <v>0</v>
      </c>
      <c r="AD937" s="8">
        <f t="shared" si="450"/>
        <v>39</v>
      </c>
      <c r="AE937" s="8" t="str">
        <f t="shared" ca="1" si="451"/>
        <v>,  - 0 1/0/1900</v>
      </c>
      <c r="AF937" s="8" t="str">
        <f t="shared" ca="1" si="470"/>
        <v/>
      </c>
      <c r="AG937" s="8" t="str">
        <f ca="1">IFERROR(IF(C937=0,"",IF(AND(VLOOKUP(PlayerGameData[[#This Row],[Opponent]],WYTeamInfo,2,FALSE)=Roster!$D$1,VLOOKUP(PlayerGameData[[#This Row],[Opponent]],WYTeamInfo,3,FALSE)=Roster!$D$2),"SR","")),"")</f>
        <v/>
      </c>
      <c r="AH937" s="8" t="str">
        <f>CONCATENATE(Roster!$D$1," ",Roster!$D$5)</f>
        <v>1A BB</v>
      </c>
      <c r="AI937" s="8" t="str">
        <f t="shared" ca="1" si="452"/>
        <v>Blank</v>
      </c>
      <c r="AJ937" s="8">
        <f ca="1">IFERROR(VLOOKUP(PlayerGameData[[#This Row],[School, Opponent,Game'#]],Table3[],2,FALSE),0)</f>
        <v>0</v>
      </c>
      <c r="AK937" s="8">
        <f ca="1">IF(PlayerGameData[[#This Row],[Visible]]=1,1,1000)</f>
        <v>1000</v>
      </c>
      <c r="AL937" s="8">
        <f ca="1">RANK(PlayerGameData[[#This Row],[TL PTS]],PlayerGameData[TL PTS],0)+PlayerGameData[[#This Row],[VisibleOrder]]</f>
        <v>1184</v>
      </c>
      <c r="AM937" s="8">
        <f ca="1">IF(COUNTIF(PlayerGameData[PointOrder],PlayerGameData[[#This Row],[PointOrder]])&gt;1,RANK(PlayerGameData[[#This Row],[FGA]],PlayerGameData[FGA],0)/100,0)+PlayerGameData[[#This Row],[PointOrder]]</f>
        <v>1186.1400000000001</v>
      </c>
      <c r="AN937" s="8">
        <f ca="1">RANK(PlayerGameData[[#This Row],[PointTieBreak]],PlayerGameData[PointTieBreak],1)</f>
        <v>625</v>
      </c>
      <c r="AO937" s="8">
        <f ca="1">RANK(PlayerGameData[[#This Row],[REB]],PlayerGameData[REB],0)+PlayerGameData[[#This Row],[VisibleOrder]]</f>
        <v>1191</v>
      </c>
      <c r="AP937" s="8">
        <f ca="1">IF(COUNTIF(PlayerGameData[REBOrder],PlayerGameData[[#This Row],[REBOrder]])&gt;1,PlayerGameData[[#This Row],[PointRank]]/100+PlayerGameData[[#This Row],[REBOrder]],PlayerGameData[[#This Row],[REBOrder]])</f>
        <v>1197.25</v>
      </c>
      <c r="AQ937" s="8">
        <f ca="1">RANK(PlayerGameData[[#This Row],[REBTieBreak]],PlayerGameData[REBTieBreak],1)</f>
        <v>625</v>
      </c>
      <c r="AR937" s="8">
        <f ca="1">RANK(PlayerGameData[[#This Row],[AST]],PlayerGameData[AST],0)+PlayerGameData[[#This Row],[VisibleOrder]]</f>
        <v>1157</v>
      </c>
      <c r="AS937" s="8">
        <f ca="1">IF(COUNTIF(PlayerGameData[ASTOrder],PlayerGameData[[#This Row],[ASTOrder]])&gt;1,PlayerGameData[[#This Row],[PointRank]]/100+PlayerGameData[[#This Row],[ASTOrder]],PlayerGameData[[#This Row],[ASTOrder]])</f>
        <v>1163.25</v>
      </c>
      <c r="AT937" s="8">
        <f ca="1">RANK(PlayerGameData[[#This Row],[ASTTieBreak]],PlayerGameData[ASTTieBreak],1)</f>
        <v>625</v>
      </c>
      <c r="AU937" s="8">
        <f ca="1">RANK(PlayerGameData[[#This Row],[STL]],PlayerGameData[STL],0)+PlayerGameData[[#This Row],[VisibleOrder]]</f>
        <v>1142</v>
      </c>
      <c r="AV937" s="8">
        <f ca="1">IF(COUNTIF(PlayerGameData[STLOrder],PlayerGameData[[#This Row],[STLOrder]])&gt;1,PlayerGameData[[#This Row],[PointRank]]/100+PlayerGameData[[#This Row],[STLOrder]],PlayerGameData[[#This Row],[STLOrder]])</f>
        <v>1148.25</v>
      </c>
      <c r="AW937" s="8">
        <f ca="1">RANK(PlayerGameData[[#This Row],[STLTieBreak]],PlayerGameData[STLTieBreak],1)</f>
        <v>625</v>
      </c>
      <c r="AX937" s="8">
        <f ca="1">RANK(PlayerGameData[[#This Row],[BLK]],PlayerGameData[BLK],0)+PlayerGameData[[#This Row],[VisibleOrder]]</f>
        <v>1031</v>
      </c>
      <c r="AY937" s="8">
        <f ca="1">IF(COUNTIF(PlayerGameData[BLKOrder],PlayerGameData[[#This Row],[BLKOrder]])&gt;1,PlayerGameData[[#This Row],[PointRank]]/100+PlayerGameData[[#This Row],[BLKOrder]],PlayerGameData[[#This Row],[BLKOrder]])</f>
        <v>1037.25</v>
      </c>
      <c r="AZ937" s="8">
        <f ca="1">RANK(PlayerGameData[[#This Row],[BLKTieBreak]],PlayerGameData[BLKTieBreak],1)</f>
        <v>625</v>
      </c>
      <c r="BA937" s="11">
        <f ca="1">IFERROR(IF(PlayerGameData[[#This Row],[FGA]]&gt;$AA$5,PlayerGameData[[#This Row],[FG%*]],PlayerGameData[[#This Row],[FG%*]]*-1),-2)</f>
        <v>-2</v>
      </c>
      <c r="BB937" s="8">
        <f ca="1">RANK(PlayerGameData[[#This Row],[EligFG]],PlayerGameData[EligFG],0)+PlayerGameData[[#This Row],[VisibleOrder]]</f>
        <v>1214</v>
      </c>
      <c r="BC937" s="8">
        <f ca="1">IF(COUNTIF(PlayerGameData[EligFGOrder],PlayerGameData[[#This Row],[EligFGOrder]])&gt;1,PlayerGameData[[#This Row],[PointRank]]/100+PlayerGameData[[#This Row],[EligFGOrder]],PlayerGameData[[#This Row],[EligFGOrder]])</f>
        <v>1220.25</v>
      </c>
      <c r="BD937" s="8">
        <f ca="1">RANK(PlayerGameData[[#This Row],[EligFGTieBreak]],PlayerGameData[EligFGTieBreak],1)</f>
        <v>625</v>
      </c>
      <c r="BE937" s="8" t="str">
        <f>Roster!$D$3</f>
        <v>East</v>
      </c>
      <c r="BF937" s="8" t="str">
        <f>Roster!$D$2</f>
        <v>Northeast</v>
      </c>
      <c r="BG937" s="8" t="str">
        <f>Roster!$D$4</f>
        <v>North</v>
      </c>
      <c r="BH937" s="197">
        <f ca="1">IFERROR(VLOOKUP(CONCATENATE(PlayerGameData[[#This Row],[Opponent]]," ",MONTH(PlayerGameData[[#This Row],[Date]]),"/",DAY(PlayerGameData[[#This Row],[Date]]),"/",YEAR(PlayerGameData[[#This Row],[Date]])),Table35[],2,FALSE),0)</f>
        <v>0</v>
      </c>
      <c r="BI937" s="197">
        <f ca="1">IF(PlayerGameData[[#This Row],[Visible]]=1,1,1000)</f>
        <v>1000</v>
      </c>
      <c r="BJ937" s="197" t="e">
        <f ca="1">_xlfn.MAXIFS(TeamGameData[Win],TeamGameData[School, Opponent,Game'#],PlayerGameData[[#This Row],[School, Opponent,Game'#]])</f>
        <v>#NAME?</v>
      </c>
      <c r="BK937" s="197" t="e">
        <f ca="1">_xlfn.MAXIFS(TeamGameData[Loss],TeamGameData[School, Opponent,Game'#],PlayerGameData[[#This Row],[School, Opponent,Game'#]])</f>
        <v>#NAME?</v>
      </c>
    </row>
    <row r="938" spans="1:63" x14ac:dyDescent="0.25">
      <c r="A938" s="8" t="str">
        <f t="shared" ca="1" si="453"/>
        <v xml:space="preserve">, </v>
      </c>
      <c r="B938" s="8" t="str">
        <f>Roster!$B$1</f>
        <v>Upton</v>
      </c>
      <c r="C938" s="8">
        <f t="shared" ca="1" si="441"/>
        <v>0</v>
      </c>
      <c r="D938" s="10">
        <f t="shared" ca="1" si="442"/>
        <v>0</v>
      </c>
      <c r="E938" s="8">
        <f t="shared" ca="1" si="443"/>
        <v>0</v>
      </c>
      <c r="F938" s="8">
        <f t="shared" ca="1" si="444"/>
        <v>0</v>
      </c>
      <c r="G938" s="8">
        <f t="shared" ca="1" si="445"/>
        <v>0</v>
      </c>
      <c r="H938" s="8">
        <f t="shared" ca="1" si="446"/>
        <v>0</v>
      </c>
      <c r="I938" s="8">
        <f t="shared" ca="1" si="447"/>
        <v>0</v>
      </c>
      <c r="J938" s="8">
        <f t="shared" ca="1" si="448"/>
        <v>0</v>
      </c>
      <c r="K938" s="8">
        <f t="shared" ca="1" si="449"/>
        <v>0</v>
      </c>
      <c r="L938" s="8">
        <f t="shared" ca="1" si="454"/>
        <v>0</v>
      </c>
      <c r="M938" s="8">
        <f t="shared" ca="1" si="455"/>
        <v>0</v>
      </c>
      <c r="N938" s="8">
        <f t="shared" ca="1" si="456"/>
        <v>0</v>
      </c>
      <c r="O938" s="8">
        <f t="shared" ca="1" si="457"/>
        <v>0</v>
      </c>
      <c r="P938" s="8">
        <f t="shared" ca="1" si="458"/>
        <v>0</v>
      </c>
      <c r="Q938" s="8">
        <f t="shared" ca="1" si="459"/>
        <v>0</v>
      </c>
      <c r="R938" s="8">
        <f t="shared" ca="1" si="460"/>
        <v>0</v>
      </c>
      <c r="S938" s="8">
        <f t="shared" ca="1" si="461"/>
        <v>0</v>
      </c>
      <c r="T938" s="8">
        <f t="shared" ca="1" si="462"/>
        <v>0</v>
      </c>
      <c r="U938" s="8">
        <f t="shared" ca="1" si="463"/>
        <v>0</v>
      </c>
      <c r="V938" s="8">
        <f t="shared" ca="1" si="464"/>
        <v>0</v>
      </c>
      <c r="W938" s="11" t="str">
        <f t="shared" ca="1" si="465"/>
        <v/>
      </c>
      <c r="X938" s="11" t="str">
        <f t="shared" ca="1" si="466"/>
        <v/>
      </c>
      <c r="Y938" s="11" t="str">
        <f t="shared" ca="1" si="467"/>
        <v/>
      </c>
      <c r="Z938" s="11" t="str">
        <f t="shared" ca="1" si="468"/>
        <v/>
      </c>
      <c r="AA938" s="11" t="str">
        <f t="shared" ca="1" si="469"/>
        <v/>
      </c>
      <c r="AB938" s="47">
        <f ca="1">PlayerGameData[[#This Row],[3FGA]]+PlayerGameData[[#This Row],[2FGA]]</f>
        <v>0</v>
      </c>
      <c r="AC938" s="47">
        <f ca="1">PlayerGameData[[#This Row],[OFF REB]]+PlayerGameData[[#This Row],[DEF REB]]</f>
        <v>0</v>
      </c>
      <c r="AD938" s="8">
        <f t="shared" si="450"/>
        <v>39</v>
      </c>
      <c r="AE938" s="8" t="str">
        <f t="shared" ca="1" si="451"/>
        <v>,  - 0 1/0/1900</v>
      </c>
      <c r="AF938" s="8" t="str">
        <f t="shared" ca="1" si="470"/>
        <v/>
      </c>
      <c r="AG938" s="8" t="str">
        <f ca="1">IFERROR(IF(C938=0,"",IF(AND(VLOOKUP(PlayerGameData[[#This Row],[Opponent]],WYTeamInfo,2,FALSE)=Roster!$D$1,VLOOKUP(PlayerGameData[[#This Row],[Opponent]],WYTeamInfo,3,FALSE)=Roster!$D$2),"SR","")),"")</f>
        <v/>
      </c>
      <c r="AH938" s="8" t="str">
        <f>CONCATENATE(Roster!$D$1," ",Roster!$D$5)</f>
        <v>1A BB</v>
      </c>
      <c r="AI938" s="8" t="str">
        <f t="shared" ca="1" si="452"/>
        <v>Blank</v>
      </c>
      <c r="AJ938" s="8">
        <f ca="1">IFERROR(VLOOKUP(PlayerGameData[[#This Row],[School, Opponent,Game'#]],Table3[],2,FALSE),0)</f>
        <v>0</v>
      </c>
      <c r="AK938" s="8">
        <f ca="1">IF(PlayerGameData[[#This Row],[Visible]]=1,1,1000)</f>
        <v>1000</v>
      </c>
      <c r="AL938" s="8">
        <f ca="1">RANK(PlayerGameData[[#This Row],[TL PTS]],PlayerGameData[TL PTS],0)+PlayerGameData[[#This Row],[VisibleOrder]]</f>
        <v>1184</v>
      </c>
      <c r="AM938" s="8">
        <f ca="1">IF(COUNTIF(PlayerGameData[PointOrder],PlayerGameData[[#This Row],[PointOrder]])&gt;1,RANK(PlayerGameData[[#This Row],[FGA]],PlayerGameData[FGA],0)/100,0)+PlayerGameData[[#This Row],[PointOrder]]</f>
        <v>1186.1400000000001</v>
      </c>
      <c r="AN938" s="8">
        <f ca="1">RANK(PlayerGameData[[#This Row],[PointTieBreak]],PlayerGameData[PointTieBreak],1)</f>
        <v>625</v>
      </c>
      <c r="AO938" s="8">
        <f ca="1">RANK(PlayerGameData[[#This Row],[REB]],PlayerGameData[REB],0)+PlayerGameData[[#This Row],[VisibleOrder]]</f>
        <v>1191</v>
      </c>
      <c r="AP938" s="8">
        <f ca="1">IF(COUNTIF(PlayerGameData[REBOrder],PlayerGameData[[#This Row],[REBOrder]])&gt;1,PlayerGameData[[#This Row],[PointRank]]/100+PlayerGameData[[#This Row],[REBOrder]],PlayerGameData[[#This Row],[REBOrder]])</f>
        <v>1197.25</v>
      </c>
      <c r="AQ938" s="8">
        <f ca="1">RANK(PlayerGameData[[#This Row],[REBTieBreak]],PlayerGameData[REBTieBreak],1)</f>
        <v>625</v>
      </c>
      <c r="AR938" s="8">
        <f ca="1">RANK(PlayerGameData[[#This Row],[AST]],PlayerGameData[AST],0)+PlayerGameData[[#This Row],[VisibleOrder]]</f>
        <v>1157</v>
      </c>
      <c r="AS938" s="8">
        <f ca="1">IF(COUNTIF(PlayerGameData[ASTOrder],PlayerGameData[[#This Row],[ASTOrder]])&gt;1,PlayerGameData[[#This Row],[PointRank]]/100+PlayerGameData[[#This Row],[ASTOrder]],PlayerGameData[[#This Row],[ASTOrder]])</f>
        <v>1163.25</v>
      </c>
      <c r="AT938" s="8">
        <f ca="1">RANK(PlayerGameData[[#This Row],[ASTTieBreak]],PlayerGameData[ASTTieBreak],1)</f>
        <v>625</v>
      </c>
      <c r="AU938" s="8">
        <f ca="1">RANK(PlayerGameData[[#This Row],[STL]],PlayerGameData[STL],0)+PlayerGameData[[#This Row],[VisibleOrder]]</f>
        <v>1142</v>
      </c>
      <c r="AV938" s="8">
        <f ca="1">IF(COUNTIF(PlayerGameData[STLOrder],PlayerGameData[[#This Row],[STLOrder]])&gt;1,PlayerGameData[[#This Row],[PointRank]]/100+PlayerGameData[[#This Row],[STLOrder]],PlayerGameData[[#This Row],[STLOrder]])</f>
        <v>1148.25</v>
      </c>
      <c r="AW938" s="8">
        <f ca="1">RANK(PlayerGameData[[#This Row],[STLTieBreak]],PlayerGameData[STLTieBreak],1)</f>
        <v>625</v>
      </c>
      <c r="AX938" s="8">
        <f ca="1">RANK(PlayerGameData[[#This Row],[BLK]],PlayerGameData[BLK],0)+PlayerGameData[[#This Row],[VisibleOrder]]</f>
        <v>1031</v>
      </c>
      <c r="AY938" s="8">
        <f ca="1">IF(COUNTIF(PlayerGameData[BLKOrder],PlayerGameData[[#This Row],[BLKOrder]])&gt;1,PlayerGameData[[#This Row],[PointRank]]/100+PlayerGameData[[#This Row],[BLKOrder]],PlayerGameData[[#This Row],[BLKOrder]])</f>
        <v>1037.25</v>
      </c>
      <c r="AZ938" s="8">
        <f ca="1">RANK(PlayerGameData[[#This Row],[BLKTieBreak]],PlayerGameData[BLKTieBreak],1)</f>
        <v>625</v>
      </c>
      <c r="BA938" s="11">
        <f ca="1">IFERROR(IF(PlayerGameData[[#This Row],[FGA]]&gt;$AA$5,PlayerGameData[[#This Row],[FG%*]],PlayerGameData[[#This Row],[FG%*]]*-1),-2)</f>
        <v>-2</v>
      </c>
      <c r="BB938" s="8">
        <f ca="1">RANK(PlayerGameData[[#This Row],[EligFG]],PlayerGameData[EligFG],0)+PlayerGameData[[#This Row],[VisibleOrder]]</f>
        <v>1214</v>
      </c>
      <c r="BC938" s="8">
        <f ca="1">IF(COUNTIF(PlayerGameData[EligFGOrder],PlayerGameData[[#This Row],[EligFGOrder]])&gt;1,PlayerGameData[[#This Row],[PointRank]]/100+PlayerGameData[[#This Row],[EligFGOrder]],PlayerGameData[[#This Row],[EligFGOrder]])</f>
        <v>1220.25</v>
      </c>
      <c r="BD938" s="8">
        <f ca="1">RANK(PlayerGameData[[#This Row],[EligFGTieBreak]],PlayerGameData[EligFGTieBreak],1)</f>
        <v>625</v>
      </c>
      <c r="BE938" s="8" t="str">
        <f>Roster!$D$3</f>
        <v>East</v>
      </c>
      <c r="BF938" s="8" t="str">
        <f>Roster!$D$2</f>
        <v>Northeast</v>
      </c>
      <c r="BG938" s="8" t="str">
        <f>Roster!$D$4</f>
        <v>North</v>
      </c>
      <c r="BH938" s="197">
        <f ca="1">IFERROR(VLOOKUP(CONCATENATE(PlayerGameData[[#This Row],[Opponent]]," ",MONTH(PlayerGameData[[#This Row],[Date]]),"/",DAY(PlayerGameData[[#This Row],[Date]]),"/",YEAR(PlayerGameData[[#This Row],[Date]])),Table35[],2,FALSE),0)</f>
        <v>0</v>
      </c>
      <c r="BI938" s="197">
        <f ca="1">IF(PlayerGameData[[#This Row],[Visible]]=1,1,1000)</f>
        <v>1000</v>
      </c>
      <c r="BJ938" s="197" t="e">
        <f ca="1">_xlfn.MAXIFS(TeamGameData[Win],TeamGameData[School, Opponent,Game'#],PlayerGameData[[#This Row],[School, Opponent,Game'#]])</f>
        <v>#NAME?</v>
      </c>
      <c r="BK938" s="197" t="e">
        <f ca="1">_xlfn.MAXIFS(TeamGameData[Loss],TeamGameData[School, Opponent,Game'#],PlayerGameData[[#This Row],[School, Opponent,Game'#]])</f>
        <v>#NAME?</v>
      </c>
    </row>
    <row r="939" spans="1:63" x14ac:dyDescent="0.25">
      <c r="A939" s="8" t="str">
        <f t="shared" ca="1" si="453"/>
        <v xml:space="preserve">, </v>
      </c>
      <c r="B939" s="8" t="str">
        <f>Roster!$B$1</f>
        <v>Upton</v>
      </c>
      <c r="C939" s="8">
        <f t="shared" ca="1" si="441"/>
        <v>0</v>
      </c>
      <c r="D939" s="10">
        <f t="shared" ca="1" si="442"/>
        <v>0</v>
      </c>
      <c r="E939" s="8">
        <f t="shared" ca="1" si="443"/>
        <v>0</v>
      </c>
      <c r="F939" s="8">
        <f t="shared" ca="1" si="444"/>
        <v>0</v>
      </c>
      <c r="G939" s="8">
        <f t="shared" ca="1" si="445"/>
        <v>0</v>
      </c>
      <c r="H939" s="8">
        <f t="shared" ca="1" si="446"/>
        <v>0</v>
      </c>
      <c r="I939" s="8">
        <f t="shared" ca="1" si="447"/>
        <v>0</v>
      </c>
      <c r="J939" s="8">
        <f t="shared" ca="1" si="448"/>
        <v>0</v>
      </c>
      <c r="K939" s="8">
        <f t="shared" ca="1" si="449"/>
        <v>0</v>
      </c>
      <c r="L939" s="8">
        <f t="shared" ca="1" si="454"/>
        <v>0</v>
      </c>
      <c r="M939" s="8">
        <f t="shared" ca="1" si="455"/>
        <v>0</v>
      </c>
      <c r="N939" s="8">
        <f t="shared" ca="1" si="456"/>
        <v>0</v>
      </c>
      <c r="O939" s="8">
        <f t="shared" ca="1" si="457"/>
        <v>0</v>
      </c>
      <c r="P939" s="8">
        <f t="shared" ca="1" si="458"/>
        <v>0</v>
      </c>
      <c r="Q939" s="8">
        <f t="shared" ca="1" si="459"/>
        <v>0</v>
      </c>
      <c r="R939" s="8">
        <f t="shared" ca="1" si="460"/>
        <v>0</v>
      </c>
      <c r="S939" s="8">
        <f t="shared" ca="1" si="461"/>
        <v>0</v>
      </c>
      <c r="T939" s="8">
        <f t="shared" ca="1" si="462"/>
        <v>0</v>
      </c>
      <c r="U939" s="8">
        <f t="shared" ca="1" si="463"/>
        <v>0</v>
      </c>
      <c r="V939" s="8">
        <f t="shared" ca="1" si="464"/>
        <v>0</v>
      </c>
      <c r="W939" s="11" t="str">
        <f t="shared" ca="1" si="465"/>
        <v/>
      </c>
      <c r="X939" s="11" t="str">
        <f t="shared" ca="1" si="466"/>
        <v/>
      </c>
      <c r="Y939" s="11" t="str">
        <f t="shared" ca="1" si="467"/>
        <v/>
      </c>
      <c r="Z939" s="11" t="str">
        <f t="shared" ca="1" si="468"/>
        <v/>
      </c>
      <c r="AA939" s="11" t="str">
        <f t="shared" ca="1" si="469"/>
        <v/>
      </c>
      <c r="AB939" s="47">
        <f ca="1">PlayerGameData[[#This Row],[3FGA]]+PlayerGameData[[#This Row],[2FGA]]</f>
        <v>0</v>
      </c>
      <c r="AC939" s="47">
        <f ca="1">PlayerGameData[[#This Row],[OFF REB]]+PlayerGameData[[#This Row],[DEF REB]]</f>
        <v>0</v>
      </c>
      <c r="AD939" s="8">
        <f t="shared" si="450"/>
        <v>39</v>
      </c>
      <c r="AE939" s="8" t="str">
        <f t="shared" ca="1" si="451"/>
        <v>,  - 0 1/0/1900</v>
      </c>
      <c r="AF939" s="8" t="str">
        <f t="shared" ca="1" si="470"/>
        <v/>
      </c>
      <c r="AG939" s="8" t="str">
        <f ca="1">IFERROR(IF(C939=0,"",IF(AND(VLOOKUP(PlayerGameData[[#This Row],[Opponent]],WYTeamInfo,2,FALSE)=Roster!$D$1,VLOOKUP(PlayerGameData[[#This Row],[Opponent]],WYTeamInfo,3,FALSE)=Roster!$D$2),"SR","")),"")</f>
        <v/>
      </c>
      <c r="AH939" s="8" t="str">
        <f>CONCATENATE(Roster!$D$1," ",Roster!$D$5)</f>
        <v>1A BB</v>
      </c>
      <c r="AI939" s="8" t="str">
        <f t="shared" ca="1" si="452"/>
        <v>Blank</v>
      </c>
      <c r="AJ939" s="8">
        <f ca="1">IFERROR(VLOOKUP(PlayerGameData[[#This Row],[School, Opponent,Game'#]],Table3[],2,FALSE),0)</f>
        <v>0</v>
      </c>
      <c r="AK939" s="8">
        <f ca="1">IF(PlayerGameData[[#This Row],[Visible]]=1,1,1000)</f>
        <v>1000</v>
      </c>
      <c r="AL939" s="8">
        <f ca="1">RANK(PlayerGameData[[#This Row],[TL PTS]],PlayerGameData[TL PTS],0)+PlayerGameData[[#This Row],[VisibleOrder]]</f>
        <v>1184</v>
      </c>
      <c r="AM939" s="8">
        <f ca="1">IF(COUNTIF(PlayerGameData[PointOrder],PlayerGameData[[#This Row],[PointOrder]])&gt;1,RANK(PlayerGameData[[#This Row],[FGA]],PlayerGameData[FGA],0)/100,0)+PlayerGameData[[#This Row],[PointOrder]]</f>
        <v>1186.1400000000001</v>
      </c>
      <c r="AN939" s="8">
        <f ca="1">RANK(PlayerGameData[[#This Row],[PointTieBreak]],PlayerGameData[PointTieBreak],1)</f>
        <v>625</v>
      </c>
      <c r="AO939" s="8">
        <f ca="1">RANK(PlayerGameData[[#This Row],[REB]],PlayerGameData[REB],0)+PlayerGameData[[#This Row],[VisibleOrder]]</f>
        <v>1191</v>
      </c>
      <c r="AP939" s="8">
        <f ca="1">IF(COUNTIF(PlayerGameData[REBOrder],PlayerGameData[[#This Row],[REBOrder]])&gt;1,PlayerGameData[[#This Row],[PointRank]]/100+PlayerGameData[[#This Row],[REBOrder]],PlayerGameData[[#This Row],[REBOrder]])</f>
        <v>1197.25</v>
      </c>
      <c r="AQ939" s="8">
        <f ca="1">RANK(PlayerGameData[[#This Row],[REBTieBreak]],PlayerGameData[REBTieBreak],1)</f>
        <v>625</v>
      </c>
      <c r="AR939" s="8">
        <f ca="1">RANK(PlayerGameData[[#This Row],[AST]],PlayerGameData[AST],0)+PlayerGameData[[#This Row],[VisibleOrder]]</f>
        <v>1157</v>
      </c>
      <c r="AS939" s="8">
        <f ca="1">IF(COUNTIF(PlayerGameData[ASTOrder],PlayerGameData[[#This Row],[ASTOrder]])&gt;1,PlayerGameData[[#This Row],[PointRank]]/100+PlayerGameData[[#This Row],[ASTOrder]],PlayerGameData[[#This Row],[ASTOrder]])</f>
        <v>1163.25</v>
      </c>
      <c r="AT939" s="8">
        <f ca="1">RANK(PlayerGameData[[#This Row],[ASTTieBreak]],PlayerGameData[ASTTieBreak],1)</f>
        <v>625</v>
      </c>
      <c r="AU939" s="8">
        <f ca="1">RANK(PlayerGameData[[#This Row],[STL]],PlayerGameData[STL],0)+PlayerGameData[[#This Row],[VisibleOrder]]</f>
        <v>1142</v>
      </c>
      <c r="AV939" s="8">
        <f ca="1">IF(COUNTIF(PlayerGameData[STLOrder],PlayerGameData[[#This Row],[STLOrder]])&gt;1,PlayerGameData[[#This Row],[PointRank]]/100+PlayerGameData[[#This Row],[STLOrder]],PlayerGameData[[#This Row],[STLOrder]])</f>
        <v>1148.25</v>
      </c>
      <c r="AW939" s="8">
        <f ca="1">RANK(PlayerGameData[[#This Row],[STLTieBreak]],PlayerGameData[STLTieBreak],1)</f>
        <v>625</v>
      </c>
      <c r="AX939" s="8">
        <f ca="1">RANK(PlayerGameData[[#This Row],[BLK]],PlayerGameData[BLK],0)+PlayerGameData[[#This Row],[VisibleOrder]]</f>
        <v>1031</v>
      </c>
      <c r="AY939" s="8">
        <f ca="1">IF(COUNTIF(PlayerGameData[BLKOrder],PlayerGameData[[#This Row],[BLKOrder]])&gt;1,PlayerGameData[[#This Row],[PointRank]]/100+PlayerGameData[[#This Row],[BLKOrder]],PlayerGameData[[#This Row],[BLKOrder]])</f>
        <v>1037.25</v>
      </c>
      <c r="AZ939" s="8">
        <f ca="1">RANK(PlayerGameData[[#This Row],[BLKTieBreak]],PlayerGameData[BLKTieBreak],1)</f>
        <v>625</v>
      </c>
      <c r="BA939" s="11">
        <f ca="1">IFERROR(IF(PlayerGameData[[#This Row],[FGA]]&gt;$AA$5,PlayerGameData[[#This Row],[FG%*]],PlayerGameData[[#This Row],[FG%*]]*-1),-2)</f>
        <v>-2</v>
      </c>
      <c r="BB939" s="8">
        <f ca="1">RANK(PlayerGameData[[#This Row],[EligFG]],PlayerGameData[EligFG],0)+PlayerGameData[[#This Row],[VisibleOrder]]</f>
        <v>1214</v>
      </c>
      <c r="BC939" s="8">
        <f ca="1">IF(COUNTIF(PlayerGameData[EligFGOrder],PlayerGameData[[#This Row],[EligFGOrder]])&gt;1,PlayerGameData[[#This Row],[PointRank]]/100+PlayerGameData[[#This Row],[EligFGOrder]],PlayerGameData[[#This Row],[EligFGOrder]])</f>
        <v>1220.25</v>
      </c>
      <c r="BD939" s="8">
        <f ca="1">RANK(PlayerGameData[[#This Row],[EligFGTieBreak]],PlayerGameData[EligFGTieBreak],1)</f>
        <v>625</v>
      </c>
      <c r="BE939" s="8" t="str">
        <f>Roster!$D$3</f>
        <v>East</v>
      </c>
      <c r="BF939" s="8" t="str">
        <f>Roster!$D$2</f>
        <v>Northeast</v>
      </c>
      <c r="BG939" s="8" t="str">
        <f>Roster!$D$4</f>
        <v>North</v>
      </c>
      <c r="BH939" s="197">
        <f ca="1">IFERROR(VLOOKUP(CONCATENATE(PlayerGameData[[#This Row],[Opponent]]," ",MONTH(PlayerGameData[[#This Row],[Date]]),"/",DAY(PlayerGameData[[#This Row],[Date]]),"/",YEAR(PlayerGameData[[#This Row],[Date]])),Table35[],2,FALSE),0)</f>
        <v>0</v>
      </c>
      <c r="BI939" s="197">
        <f ca="1">IF(PlayerGameData[[#This Row],[Visible]]=1,1,1000)</f>
        <v>1000</v>
      </c>
      <c r="BJ939" s="197" t="e">
        <f ca="1">_xlfn.MAXIFS(TeamGameData[Win],TeamGameData[School, Opponent,Game'#],PlayerGameData[[#This Row],[School, Opponent,Game'#]])</f>
        <v>#NAME?</v>
      </c>
      <c r="BK939" s="197" t="e">
        <f ca="1">_xlfn.MAXIFS(TeamGameData[Loss],TeamGameData[School, Opponent,Game'#],PlayerGameData[[#This Row],[School, Opponent,Game'#]])</f>
        <v>#NAME?</v>
      </c>
    </row>
    <row r="940" spans="1:63" x14ac:dyDescent="0.25">
      <c r="A940" s="8" t="str">
        <f t="shared" ca="1" si="453"/>
        <v xml:space="preserve">, </v>
      </c>
      <c r="B940" s="8" t="str">
        <f>Roster!$B$1</f>
        <v>Upton</v>
      </c>
      <c r="C940" s="8">
        <f t="shared" ca="1" si="441"/>
        <v>0</v>
      </c>
      <c r="D940" s="10">
        <f t="shared" ca="1" si="442"/>
        <v>0</v>
      </c>
      <c r="E940" s="8">
        <f t="shared" ca="1" si="443"/>
        <v>0</v>
      </c>
      <c r="F940" s="8">
        <f t="shared" ca="1" si="444"/>
        <v>0</v>
      </c>
      <c r="G940" s="8">
        <f t="shared" ca="1" si="445"/>
        <v>0</v>
      </c>
      <c r="H940" s="8">
        <f t="shared" ca="1" si="446"/>
        <v>0</v>
      </c>
      <c r="I940" s="8">
        <f t="shared" ca="1" si="447"/>
        <v>0</v>
      </c>
      <c r="J940" s="8">
        <f t="shared" ca="1" si="448"/>
        <v>0</v>
      </c>
      <c r="K940" s="8">
        <f t="shared" ca="1" si="449"/>
        <v>0</v>
      </c>
      <c r="L940" s="8">
        <f t="shared" ca="1" si="454"/>
        <v>0</v>
      </c>
      <c r="M940" s="8">
        <f t="shared" ca="1" si="455"/>
        <v>0</v>
      </c>
      <c r="N940" s="8">
        <f t="shared" ca="1" si="456"/>
        <v>0</v>
      </c>
      <c r="O940" s="8">
        <f t="shared" ca="1" si="457"/>
        <v>0</v>
      </c>
      <c r="P940" s="8">
        <f t="shared" ca="1" si="458"/>
        <v>0</v>
      </c>
      <c r="Q940" s="8">
        <f t="shared" ca="1" si="459"/>
        <v>0</v>
      </c>
      <c r="R940" s="8">
        <f t="shared" ca="1" si="460"/>
        <v>0</v>
      </c>
      <c r="S940" s="8">
        <f t="shared" ca="1" si="461"/>
        <v>0</v>
      </c>
      <c r="T940" s="8">
        <f t="shared" ca="1" si="462"/>
        <v>0</v>
      </c>
      <c r="U940" s="8">
        <f t="shared" ca="1" si="463"/>
        <v>0</v>
      </c>
      <c r="V940" s="8">
        <f t="shared" ca="1" si="464"/>
        <v>0</v>
      </c>
      <c r="W940" s="11" t="str">
        <f t="shared" ca="1" si="465"/>
        <v/>
      </c>
      <c r="X940" s="11" t="str">
        <f t="shared" ca="1" si="466"/>
        <v/>
      </c>
      <c r="Y940" s="11" t="str">
        <f t="shared" ca="1" si="467"/>
        <v/>
      </c>
      <c r="Z940" s="11" t="str">
        <f t="shared" ca="1" si="468"/>
        <v/>
      </c>
      <c r="AA940" s="11" t="str">
        <f t="shared" ca="1" si="469"/>
        <v/>
      </c>
      <c r="AB940" s="47">
        <f ca="1">PlayerGameData[[#This Row],[3FGA]]+PlayerGameData[[#This Row],[2FGA]]</f>
        <v>0</v>
      </c>
      <c r="AC940" s="47">
        <f ca="1">PlayerGameData[[#This Row],[OFF REB]]+PlayerGameData[[#This Row],[DEF REB]]</f>
        <v>0</v>
      </c>
      <c r="AD940" s="8">
        <f t="shared" si="450"/>
        <v>39</v>
      </c>
      <c r="AE940" s="8" t="str">
        <f t="shared" ca="1" si="451"/>
        <v>,  - 0 1/0/1900</v>
      </c>
      <c r="AF940" s="8" t="str">
        <f t="shared" ca="1" si="470"/>
        <v/>
      </c>
      <c r="AG940" s="8" t="str">
        <f ca="1">IFERROR(IF(C940=0,"",IF(AND(VLOOKUP(PlayerGameData[[#This Row],[Opponent]],WYTeamInfo,2,FALSE)=Roster!$D$1,VLOOKUP(PlayerGameData[[#This Row],[Opponent]],WYTeamInfo,3,FALSE)=Roster!$D$2),"SR","")),"")</f>
        <v/>
      </c>
      <c r="AH940" s="8" t="str">
        <f>CONCATENATE(Roster!$D$1," ",Roster!$D$5)</f>
        <v>1A BB</v>
      </c>
      <c r="AI940" s="8" t="str">
        <f t="shared" ca="1" si="452"/>
        <v>Blank</v>
      </c>
      <c r="AJ940" s="8">
        <f ca="1">IFERROR(VLOOKUP(PlayerGameData[[#This Row],[School, Opponent,Game'#]],Table3[],2,FALSE),0)</f>
        <v>0</v>
      </c>
      <c r="AK940" s="8">
        <f ca="1">IF(PlayerGameData[[#This Row],[Visible]]=1,1,1000)</f>
        <v>1000</v>
      </c>
      <c r="AL940" s="8">
        <f ca="1">RANK(PlayerGameData[[#This Row],[TL PTS]],PlayerGameData[TL PTS],0)+PlayerGameData[[#This Row],[VisibleOrder]]</f>
        <v>1184</v>
      </c>
      <c r="AM940" s="8">
        <f ca="1">IF(COUNTIF(PlayerGameData[PointOrder],PlayerGameData[[#This Row],[PointOrder]])&gt;1,RANK(PlayerGameData[[#This Row],[FGA]],PlayerGameData[FGA],0)/100,0)+PlayerGameData[[#This Row],[PointOrder]]</f>
        <v>1186.1400000000001</v>
      </c>
      <c r="AN940" s="8">
        <f ca="1">RANK(PlayerGameData[[#This Row],[PointTieBreak]],PlayerGameData[PointTieBreak],1)</f>
        <v>625</v>
      </c>
      <c r="AO940" s="8">
        <f ca="1">RANK(PlayerGameData[[#This Row],[REB]],PlayerGameData[REB],0)+PlayerGameData[[#This Row],[VisibleOrder]]</f>
        <v>1191</v>
      </c>
      <c r="AP940" s="8">
        <f ca="1">IF(COUNTIF(PlayerGameData[REBOrder],PlayerGameData[[#This Row],[REBOrder]])&gt;1,PlayerGameData[[#This Row],[PointRank]]/100+PlayerGameData[[#This Row],[REBOrder]],PlayerGameData[[#This Row],[REBOrder]])</f>
        <v>1197.25</v>
      </c>
      <c r="AQ940" s="8">
        <f ca="1">RANK(PlayerGameData[[#This Row],[REBTieBreak]],PlayerGameData[REBTieBreak],1)</f>
        <v>625</v>
      </c>
      <c r="AR940" s="8">
        <f ca="1">RANK(PlayerGameData[[#This Row],[AST]],PlayerGameData[AST],0)+PlayerGameData[[#This Row],[VisibleOrder]]</f>
        <v>1157</v>
      </c>
      <c r="AS940" s="8">
        <f ca="1">IF(COUNTIF(PlayerGameData[ASTOrder],PlayerGameData[[#This Row],[ASTOrder]])&gt;1,PlayerGameData[[#This Row],[PointRank]]/100+PlayerGameData[[#This Row],[ASTOrder]],PlayerGameData[[#This Row],[ASTOrder]])</f>
        <v>1163.25</v>
      </c>
      <c r="AT940" s="8">
        <f ca="1">RANK(PlayerGameData[[#This Row],[ASTTieBreak]],PlayerGameData[ASTTieBreak],1)</f>
        <v>625</v>
      </c>
      <c r="AU940" s="8">
        <f ca="1">RANK(PlayerGameData[[#This Row],[STL]],PlayerGameData[STL],0)+PlayerGameData[[#This Row],[VisibleOrder]]</f>
        <v>1142</v>
      </c>
      <c r="AV940" s="8">
        <f ca="1">IF(COUNTIF(PlayerGameData[STLOrder],PlayerGameData[[#This Row],[STLOrder]])&gt;1,PlayerGameData[[#This Row],[PointRank]]/100+PlayerGameData[[#This Row],[STLOrder]],PlayerGameData[[#This Row],[STLOrder]])</f>
        <v>1148.25</v>
      </c>
      <c r="AW940" s="8">
        <f ca="1">RANK(PlayerGameData[[#This Row],[STLTieBreak]],PlayerGameData[STLTieBreak],1)</f>
        <v>625</v>
      </c>
      <c r="AX940" s="8">
        <f ca="1">RANK(PlayerGameData[[#This Row],[BLK]],PlayerGameData[BLK],0)+PlayerGameData[[#This Row],[VisibleOrder]]</f>
        <v>1031</v>
      </c>
      <c r="AY940" s="8">
        <f ca="1">IF(COUNTIF(PlayerGameData[BLKOrder],PlayerGameData[[#This Row],[BLKOrder]])&gt;1,PlayerGameData[[#This Row],[PointRank]]/100+PlayerGameData[[#This Row],[BLKOrder]],PlayerGameData[[#This Row],[BLKOrder]])</f>
        <v>1037.25</v>
      </c>
      <c r="AZ940" s="8">
        <f ca="1">RANK(PlayerGameData[[#This Row],[BLKTieBreak]],PlayerGameData[BLKTieBreak],1)</f>
        <v>625</v>
      </c>
      <c r="BA940" s="11">
        <f ca="1">IFERROR(IF(PlayerGameData[[#This Row],[FGA]]&gt;$AA$5,PlayerGameData[[#This Row],[FG%*]],PlayerGameData[[#This Row],[FG%*]]*-1),-2)</f>
        <v>-2</v>
      </c>
      <c r="BB940" s="8">
        <f ca="1">RANK(PlayerGameData[[#This Row],[EligFG]],PlayerGameData[EligFG],0)+PlayerGameData[[#This Row],[VisibleOrder]]</f>
        <v>1214</v>
      </c>
      <c r="BC940" s="8">
        <f ca="1">IF(COUNTIF(PlayerGameData[EligFGOrder],PlayerGameData[[#This Row],[EligFGOrder]])&gt;1,PlayerGameData[[#This Row],[PointRank]]/100+PlayerGameData[[#This Row],[EligFGOrder]],PlayerGameData[[#This Row],[EligFGOrder]])</f>
        <v>1220.25</v>
      </c>
      <c r="BD940" s="8">
        <f ca="1">RANK(PlayerGameData[[#This Row],[EligFGTieBreak]],PlayerGameData[EligFGTieBreak],1)</f>
        <v>625</v>
      </c>
      <c r="BE940" s="8" t="str">
        <f>Roster!$D$3</f>
        <v>East</v>
      </c>
      <c r="BF940" s="8" t="str">
        <f>Roster!$D$2</f>
        <v>Northeast</v>
      </c>
      <c r="BG940" s="8" t="str">
        <f>Roster!$D$4</f>
        <v>North</v>
      </c>
      <c r="BH940" s="197">
        <f ca="1">IFERROR(VLOOKUP(CONCATENATE(PlayerGameData[[#This Row],[Opponent]]," ",MONTH(PlayerGameData[[#This Row],[Date]]),"/",DAY(PlayerGameData[[#This Row],[Date]]),"/",YEAR(PlayerGameData[[#This Row],[Date]])),Table35[],2,FALSE),0)</f>
        <v>0</v>
      </c>
      <c r="BI940" s="197">
        <f ca="1">IF(PlayerGameData[[#This Row],[Visible]]=1,1,1000)</f>
        <v>1000</v>
      </c>
      <c r="BJ940" s="197" t="e">
        <f ca="1">_xlfn.MAXIFS(TeamGameData[Win],TeamGameData[School, Opponent,Game'#],PlayerGameData[[#This Row],[School, Opponent,Game'#]])</f>
        <v>#NAME?</v>
      </c>
      <c r="BK940" s="197" t="e">
        <f ca="1">_xlfn.MAXIFS(TeamGameData[Loss],TeamGameData[School, Opponent,Game'#],PlayerGameData[[#This Row],[School, Opponent,Game'#]])</f>
        <v>#NAME?</v>
      </c>
    </row>
    <row r="941" spans="1:63" x14ac:dyDescent="0.25">
      <c r="A941" s="8" t="str">
        <f t="shared" ca="1" si="453"/>
        <v xml:space="preserve">, </v>
      </c>
      <c r="B941" s="8" t="str">
        <f>Roster!$B$1</f>
        <v>Upton</v>
      </c>
      <c r="C941" s="8">
        <f t="shared" ca="1" si="441"/>
        <v>0</v>
      </c>
      <c r="D941" s="10">
        <f t="shared" ca="1" si="442"/>
        <v>0</v>
      </c>
      <c r="E941" s="8">
        <f t="shared" ca="1" si="443"/>
        <v>0</v>
      </c>
      <c r="F941" s="8">
        <f t="shared" ca="1" si="444"/>
        <v>0</v>
      </c>
      <c r="G941" s="8">
        <f t="shared" ca="1" si="445"/>
        <v>0</v>
      </c>
      <c r="H941" s="8">
        <f t="shared" ca="1" si="446"/>
        <v>0</v>
      </c>
      <c r="I941" s="8">
        <f t="shared" ca="1" si="447"/>
        <v>0</v>
      </c>
      <c r="J941" s="8">
        <f t="shared" ca="1" si="448"/>
        <v>0</v>
      </c>
      <c r="K941" s="8">
        <f t="shared" ca="1" si="449"/>
        <v>0</v>
      </c>
      <c r="L941" s="8">
        <f t="shared" ca="1" si="454"/>
        <v>0</v>
      </c>
      <c r="M941" s="8">
        <f t="shared" ca="1" si="455"/>
        <v>0</v>
      </c>
      <c r="N941" s="8">
        <f t="shared" ca="1" si="456"/>
        <v>0</v>
      </c>
      <c r="O941" s="8">
        <f t="shared" ca="1" si="457"/>
        <v>0</v>
      </c>
      <c r="P941" s="8">
        <f t="shared" ca="1" si="458"/>
        <v>0</v>
      </c>
      <c r="Q941" s="8">
        <f t="shared" ca="1" si="459"/>
        <v>0</v>
      </c>
      <c r="R941" s="8">
        <f t="shared" ca="1" si="460"/>
        <v>0</v>
      </c>
      <c r="S941" s="8">
        <f t="shared" ca="1" si="461"/>
        <v>0</v>
      </c>
      <c r="T941" s="8">
        <f t="shared" ca="1" si="462"/>
        <v>0</v>
      </c>
      <c r="U941" s="8">
        <f t="shared" ca="1" si="463"/>
        <v>0</v>
      </c>
      <c r="V941" s="8">
        <f t="shared" ca="1" si="464"/>
        <v>0</v>
      </c>
      <c r="W941" s="11" t="str">
        <f t="shared" ca="1" si="465"/>
        <v/>
      </c>
      <c r="X941" s="11" t="str">
        <f t="shared" ca="1" si="466"/>
        <v/>
      </c>
      <c r="Y941" s="11" t="str">
        <f t="shared" ca="1" si="467"/>
        <v/>
      </c>
      <c r="Z941" s="11" t="str">
        <f t="shared" ca="1" si="468"/>
        <v/>
      </c>
      <c r="AA941" s="11" t="str">
        <f t="shared" ca="1" si="469"/>
        <v/>
      </c>
      <c r="AB941" s="47">
        <f ca="1">PlayerGameData[[#This Row],[3FGA]]+PlayerGameData[[#This Row],[2FGA]]</f>
        <v>0</v>
      </c>
      <c r="AC941" s="47">
        <f ca="1">PlayerGameData[[#This Row],[OFF REB]]+PlayerGameData[[#This Row],[DEF REB]]</f>
        <v>0</v>
      </c>
      <c r="AD941" s="8">
        <f t="shared" si="450"/>
        <v>39</v>
      </c>
      <c r="AE941" s="8" t="str">
        <f t="shared" ca="1" si="451"/>
        <v>,  - 0 1/0/1900</v>
      </c>
      <c r="AF941" s="8" t="str">
        <f t="shared" ca="1" si="470"/>
        <v/>
      </c>
      <c r="AG941" s="8" t="str">
        <f ca="1">IFERROR(IF(C941=0,"",IF(AND(VLOOKUP(PlayerGameData[[#This Row],[Opponent]],WYTeamInfo,2,FALSE)=Roster!$D$1,VLOOKUP(PlayerGameData[[#This Row],[Opponent]],WYTeamInfo,3,FALSE)=Roster!$D$2),"SR","")),"")</f>
        <v/>
      </c>
      <c r="AH941" s="8" t="str">
        <f>CONCATENATE(Roster!$D$1," ",Roster!$D$5)</f>
        <v>1A BB</v>
      </c>
      <c r="AI941" s="8" t="str">
        <f t="shared" ca="1" si="452"/>
        <v>Blank</v>
      </c>
      <c r="AJ941" s="8">
        <f ca="1">IFERROR(VLOOKUP(PlayerGameData[[#This Row],[School, Opponent,Game'#]],Table3[],2,FALSE),0)</f>
        <v>0</v>
      </c>
      <c r="AK941" s="8">
        <f ca="1">IF(PlayerGameData[[#This Row],[Visible]]=1,1,1000)</f>
        <v>1000</v>
      </c>
      <c r="AL941" s="8">
        <f ca="1">RANK(PlayerGameData[[#This Row],[TL PTS]],PlayerGameData[TL PTS],0)+PlayerGameData[[#This Row],[VisibleOrder]]</f>
        <v>1184</v>
      </c>
      <c r="AM941" s="8">
        <f ca="1">IF(COUNTIF(PlayerGameData[PointOrder],PlayerGameData[[#This Row],[PointOrder]])&gt;1,RANK(PlayerGameData[[#This Row],[FGA]],PlayerGameData[FGA],0)/100,0)+PlayerGameData[[#This Row],[PointOrder]]</f>
        <v>1186.1400000000001</v>
      </c>
      <c r="AN941" s="8">
        <f ca="1">RANK(PlayerGameData[[#This Row],[PointTieBreak]],PlayerGameData[PointTieBreak],1)</f>
        <v>625</v>
      </c>
      <c r="AO941" s="8">
        <f ca="1">RANK(PlayerGameData[[#This Row],[REB]],PlayerGameData[REB],0)+PlayerGameData[[#This Row],[VisibleOrder]]</f>
        <v>1191</v>
      </c>
      <c r="AP941" s="8">
        <f ca="1">IF(COUNTIF(PlayerGameData[REBOrder],PlayerGameData[[#This Row],[REBOrder]])&gt;1,PlayerGameData[[#This Row],[PointRank]]/100+PlayerGameData[[#This Row],[REBOrder]],PlayerGameData[[#This Row],[REBOrder]])</f>
        <v>1197.25</v>
      </c>
      <c r="AQ941" s="8">
        <f ca="1">RANK(PlayerGameData[[#This Row],[REBTieBreak]],PlayerGameData[REBTieBreak],1)</f>
        <v>625</v>
      </c>
      <c r="AR941" s="8">
        <f ca="1">RANK(PlayerGameData[[#This Row],[AST]],PlayerGameData[AST],0)+PlayerGameData[[#This Row],[VisibleOrder]]</f>
        <v>1157</v>
      </c>
      <c r="AS941" s="8">
        <f ca="1">IF(COUNTIF(PlayerGameData[ASTOrder],PlayerGameData[[#This Row],[ASTOrder]])&gt;1,PlayerGameData[[#This Row],[PointRank]]/100+PlayerGameData[[#This Row],[ASTOrder]],PlayerGameData[[#This Row],[ASTOrder]])</f>
        <v>1163.25</v>
      </c>
      <c r="AT941" s="8">
        <f ca="1">RANK(PlayerGameData[[#This Row],[ASTTieBreak]],PlayerGameData[ASTTieBreak],1)</f>
        <v>625</v>
      </c>
      <c r="AU941" s="8">
        <f ca="1">RANK(PlayerGameData[[#This Row],[STL]],PlayerGameData[STL],0)+PlayerGameData[[#This Row],[VisibleOrder]]</f>
        <v>1142</v>
      </c>
      <c r="AV941" s="8">
        <f ca="1">IF(COUNTIF(PlayerGameData[STLOrder],PlayerGameData[[#This Row],[STLOrder]])&gt;1,PlayerGameData[[#This Row],[PointRank]]/100+PlayerGameData[[#This Row],[STLOrder]],PlayerGameData[[#This Row],[STLOrder]])</f>
        <v>1148.25</v>
      </c>
      <c r="AW941" s="8">
        <f ca="1">RANK(PlayerGameData[[#This Row],[STLTieBreak]],PlayerGameData[STLTieBreak],1)</f>
        <v>625</v>
      </c>
      <c r="AX941" s="8">
        <f ca="1">RANK(PlayerGameData[[#This Row],[BLK]],PlayerGameData[BLK],0)+PlayerGameData[[#This Row],[VisibleOrder]]</f>
        <v>1031</v>
      </c>
      <c r="AY941" s="8">
        <f ca="1">IF(COUNTIF(PlayerGameData[BLKOrder],PlayerGameData[[#This Row],[BLKOrder]])&gt;1,PlayerGameData[[#This Row],[PointRank]]/100+PlayerGameData[[#This Row],[BLKOrder]],PlayerGameData[[#This Row],[BLKOrder]])</f>
        <v>1037.25</v>
      </c>
      <c r="AZ941" s="8">
        <f ca="1">RANK(PlayerGameData[[#This Row],[BLKTieBreak]],PlayerGameData[BLKTieBreak],1)</f>
        <v>625</v>
      </c>
      <c r="BA941" s="11">
        <f ca="1">IFERROR(IF(PlayerGameData[[#This Row],[FGA]]&gt;$AA$5,PlayerGameData[[#This Row],[FG%*]],PlayerGameData[[#This Row],[FG%*]]*-1),-2)</f>
        <v>-2</v>
      </c>
      <c r="BB941" s="8">
        <f ca="1">RANK(PlayerGameData[[#This Row],[EligFG]],PlayerGameData[EligFG],0)+PlayerGameData[[#This Row],[VisibleOrder]]</f>
        <v>1214</v>
      </c>
      <c r="BC941" s="8">
        <f ca="1">IF(COUNTIF(PlayerGameData[EligFGOrder],PlayerGameData[[#This Row],[EligFGOrder]])&gt;1,PlayerGameData[[#This Row],[PointRank]]/100+PlayerGameData[[#This Row],[EligFGOrder]],PlayerGameData[[#This Row],[EligFGOrder]])</f>
        <v>1220.25</v>
      </c>
      <c r="BD941" s="8">
        <f ca="1">RANK(PlayerGameData[[#This Row],[EligFGTieBreak]],PlayerGameData[EligFGTieBreak],1)</f>
        <v>625</v>
      </c>
      <c r="BE941" s="8" t="str">
        <f>Roster!$D$3</f>
        <v>East</v>
      </c>
      <c r="BF941" s="8" t="str">
        <f>Roster!$D$2</f>
        <v>Northeast</v>
      </c>
      <c r="BG941" s="8" t="str">
        <f>Roster!$D$4</f>
        <v>North</v>
      </c>
      <c r="BH941" s="197">
        <f ca="1">IFERROR(VLOOKUP(CONCATENATE(PlayerGameData[[#This Row],[Opponent]]," ",MONTH(PlayerGameData[[#This Row],[Date]]),"/",DAY(PlayerGameData[[#This Row],[Date]]),"/",YEAR(PlayerGameData[[#This Row],[Date]])),Table35[],2,FALSE),0)</f>
        <v>0</v>
      </c>
      <c r="BI941" s="197">
        <f ca="1">IF(PlayerGameData[[#This Row],[Visible]]=1,1,1000)</f>
        <v>1000</v>
      </c>
      <c r="BJ941" s="197" t="e">
        <f ca="1">_xlfn.MAXIFS(TeamGameData[Win],TeamGameData[School, Opponent,Game'#],PlayerGameData[[#This Row],[School, Opponent,Game'#]])</f>
        <v>#NAME?</v>
      </c>
      <c r="BK941" s="197" t="e">
        <f ca="1">_xlfn.MAXIFS(TeamGameData[Loss],TeamGameData[School, Opponent,Game'#],PlayerGameData[[#This Row],[School, Opponent,Game'#]])</f>
        <v>#NAME?</v>
      </c>
    </row>
    <row r="942" spans="1:63" x14ac:dyDescent="0.25">
      <c r="A942" s="8" t="str">
        <f t="shared" ca="1" si="453"/>
        <v xml:space="preserve">Team, </v>
      </c>
      <c r="B942" s="8" t="str">
        <f>Roster!$B$1</f>
        <v>Upton</v>
      </c>
      <c r="C942" s="8">
        <f t="shared" ca="1" si="441"/>
        <v>0</v>
      </c>
      <c r="D942" s="10">
        <f t="shared" ca="1" si="442"/>
        <v>0</v>
      </c>
      <c r="E942" s="8">
        <f t="shared" ca="1" si="443"/>
        <v>0</v>
      </c>
      <c r="F942" s="8">
        <f t="shared" ca="1" si="444"/>
        <v>0</v>
      </c>
      <c r="G942" s="8">
        <f t="shared" ca="1" si="445"/>
        <v>0</v>
      </c>
      <c r="H942" s="8">
        <f t="shared" ca="1" si="446"/>
        <v>0</v>
      </c>
      <c r="I942" s="8">
        <f t="shared" ca="1" si="447"/>
        <v>0</v>
      </c>
      <c r="J942" s="8">
        <f t="shared" ca="1" si="448"/>
        <v>0</v>
      </c>
      <c r="K942" s="8">
        <f t="shared" ca="1" si="449"/>
        <v>0</v>
      </c>
      <c r="L942" s="8">
        <f t="shared" ca="1" si="454"/>
        <v>0</v>
      </c>
      <c r="M942" s="8">
        <f t="shared" ca="1" si="455"/>
        <v>0</v>
      </c>
      <c r="N942" s="8">
        <f t="shared" ca="1" si="456"/>
        <v>0</v>
      </c>
      <c r="O942" s="8">
        <f t="shared" ca="1" si="457"/>
        <v>0</v>
      </c>
      <c r="P942" s="8">
        <f t="shared" ca="1" si="458"/>
        <v>0</v>
      </c>
      <c r="Q942" s="8">
        <f t="shared" ca="1" si="459"/>
        <v>0</v>
      </c>
      <c r="R942" s="8">
        <f t="shared" ca="1" si="460"/>
        <v>0</v>
      </c>
      <c r="S942" s="8">
        <f t="shared" ca="1" si="461"/>
        <v>0</v>
      </c>
      <c r="T942" s="8">
        <f t="shared" ca="1" si="462"/>
        <v>0</v>
      </c>
      <c r="U942" s="8">
        <f t="shared" ca="1" si="463"/>
        <v>0</v>
      </c>
      <c r="V942" s="8">
        <f t="shared" ca="1" si="464"/>
        <v>0</v>
      </c>
      <c r="W942" s="11" t="str">
        <f t="shared" ca="1" si="465"/>
        <v/>
      </c>
      <c r="X942" s="11" t="str">
        <f t="shared" ca="1" si="466"/>
        <v/>
      </c>
      <c r="Y942" s="11" t="str">
        <f t="shared" ca="1" si="467"/>
        <v/>
      </c>
      <c r="Z942" s="11" t="str">
        <f t="shared" ca="1" si="468"/>
        <v/>
      </c>
      <c r="AA942" s="11" t="str">
        <f t="shared" ca="1" si="469"/>
        <v/>
      </c>
      <c r="AB942" s="47">
        <f ca="1">PlayerGameData[[#This Row],[3FGA]]+PlayerGameData[[#This Row],[2FGA]]</f>
        <v>0</v>
      </c>
      <c r="AC942" s="47">
        <f ca="1">PlayerGameData[[#This Row],[OFF REB]]+PlayerGameData[[#This Row],[DEF REB]]</f>
        <v>0</v>
      </c>
      <c r="AD942" s="8">
        <f t="shared" si="450"/>
        <v>39</v>
      </c>
      <c r="AE942" s="8" t="str">
        <f t="shared" ca="1" si="451"/>
        <v>Team,  - 0 1/0/1900</v>
      </c>
      <c r="AF942" s="8" t="str">
        <f t="shared" ca="1" si="470"/>
        <v/>
      </c>
      <c r="AG942" s="8" t="str">
        <f ca="1">IFERROR(IF(C942=0,"",IF(AND(VLOOKUP(PlayerGameData[[#This Row],[Opponent]],WYTeamInfo,2,FALSE)=Roster!$D$1,VLOOKUP(PlayerGameData[[#This Row],[Opponent]],WYTeamInfo,3,FALSE)=Roster!$D$2),"SR","")),"")</f>
        <v/>
      </c>
      <c r="AH942" s="8" t="str">
        <f>CONCATENATE(Roster!$D$1," ",Roster!$D$5)</f>
        <v>1A BB</v>
      </c>
      <c r="AI942" s="8" t="str">
        <f t="shared" ca="1" si="452"/>
        <v>Blank</v>
      </c>
      <c r="AJ942" s="8">
        <f ca="1">IFERROR(VLOOKUP(PlayerGameData[[#This Row],[School, Opponent,Game'#]],Table3[],2,FALSE),0)</f>
        <v>0</v>
      </c>
      <c r="AK942" s="8">
        <f ca="1">IF(PlayerGameData[[#This Row],[Visible]]=1,1,1000)</f>
        <v>1000</v>
      </c>
      <c r="AL942" s="8">
        <f ca="1">RANK(PlayerGameData[[#This Row],[TL PTS]],PlayerGameData[TL PTS],0)+PlayerGameData[[#This Row],[VisibleOrder]]</f>
        <v>1184</v>
      </c>
      <c r="AM942" s="8">
        <f ca="1">IF(COUNTIF(PlayerGameData[PointOrder],PlayerGameData[[#This Row],[PointOrder]])&gt;1,RANK(PlayerGameData[[#This Row],[FGA]],PlayerGameData[FGA],0)/100,0)+PlayerGameData[[#This Row],[PointOrder]]</f>
        <v>1186.1400000000001</v>
      </c>
      <c r="AN942" s="8">
        <f ca="1">RANK(PlayerGameData[[#This Row],[PointTieBreak]],PlayerGameData[PointTieBreak],1)</f>
        <v>625</v>
      </c>
      <c r="AO942" s="8">
        <f ca="1">RANK(PlayerGameData[[#This Row],[REB]],PlayerGameData[REB],0)+PlayerGameData[[#This Row],[VisibleOrder]]</f>
        <v>1191</v>
      </c>
      <c r="AP942" s="8">
        <f ca="1">IF(COUNTIF(PlayerGameData[REBOrder],PlayerGameData[[#This Row],[REBOrder]])&gt;1,PlayerGameData[[#This Row],[PointRank]]/100+PlayerGameData[[#This Row],[REBOrder]],PlayerGameData[[#This Row],[REBOrder]])</f>
        <v>1197.25</v>
      </c>
      <c r="AQ942" s="8">
        <f ca="1">RANK(PlayerGameData[[#This Row],[REBTieBreak]],PlayerGameData[REBTieBreak],1)</f>
        <v>625</v>
      </c>
      <c r="AR942" s="8">
        <f ca="1">RANK(PlayerGameData[[#This Row],[AST]],PlayerGameData[AST],0)+PlayerGameData[[#This Row],[VisibleOrder]]</f>
        <v>1157</v>
      </c>
      <c r="AS942" s="8">
        <f ca="1">IF(COUNTIF(PlayerGameData[ASTOrder],PlayerGameData[[#This Row],[ASTOrder]])&gt;1,PlayerGameData[[#This Row],[PointRank]]/100+PlayerGameData[[#This Row],[ASTOrder]],PlayerGameData[[#This Row],[ASTOrder]])</f>
        <v>1163.25</v>
      </c>
      <c r="AT942" s="8">
        <f ca="1">RANK(PlayerGameData[[#This Row],[ASTTieBreak]],PlayerGameData[ASTTieBreak],1)</f>
        <v>625</v>
      </c>
      <c r="AU942" s="8">
        <f ca="1">RANK(PlayerGameData[[#This Row],[STL]],PlayerGameData[STL],0)+PlayerGameData[[#This Row],[VisibleOrder]]</f>
        <v>1142</v>
      </c>
      <c r="AV942" s="8">
        <f ca="1">IF(COUNTIF(PlayerGameData[STLOrder],PlayerGameData[[#This Row],[STLOrder]])&gt;1,PlayerGameData[[#This Row],[PointRank]]/100+PlayerGameData[[#This Row],[STLOrder]],PlayerGameData[[#This Row],[STLOrder]])</f>
        <v>1148.25</v>
      </c>
      <c r="AW942" s="8">
        <f ca="1">RANK(PlayerGameData[[#This Row],[STLTieBreak]],PlayerGameData[STLTieBreak],1)</f>
        <v>625</v>
      </c>
      <c r="AX942" s="8">
        <f ca="1">RANK(PlayerGameData[[#This Row],[BLK]],PlayerGameData[BLK],0)+PlayerGameData[[#This Row],[VisibleOrder]]</f>
        <v>1031</v>
      </c>
      <c r="AY942" s="8">
        <f ca="1">IF(COUNTIF(PlayerGameData[BLKOrder],PlayerGameData[[#This Row],[BLKOrder]])&gt;1,PlayerGameData[[#This Row],[PointRank]]/100+PlayerGameData[[#This Row],[BLKOrder]],PlayerGameData[[#This Row],[BLKOrder]])</f>
        <v>1037.25</v>
      </c>
      <c r="AZ942" s="8">
        <f ca="1">RANK(PlayerGameData[[#This Row],[BLKTieBreak]],PlayerGameData[BLKTieBreak],1)</f>
        <v>625</v>
      </c>
      <c r="BA942" s="11">
        <f ca="1">IFERROR(IF(PlayerGameData[[#This Row],[FGA]]&gt;$AA$5,PlayerGameData[[#This Row],[FG%*]],PlayerGameData[[#This Row],[FG%*]]*-1),-2)</f>
        <v>-2</v>
      </c>
      <c r="BB942" s="8">
        <f ca="1">RANK(PlayerGameData[[#This Row],[EligFG]],PlayerGameData[EligFG],0)+PlayerGameData[[#This Row],[VisibleOrder]]</f>
        <v>1214</v>
      </c>
      <c r="BC942" s="8">
        <f ca="1">IF(COUNTIF(PlayerGameData[EligFGOrder],PlayerGameData[[#This Row],[EligFGOrder]])&gt;1,PlayerGameData[[#This Row],[PointRank]]/100+PlayerGameData[[#This Row],[EligFGOrder]],PlayerGameData[[#This Row],[EligFGOrder]])</f>
        <v>1220.25</v>
      </c>
      <c r="BD942" s="8">
        <f ca="1">RANK(PlayerGameData[[#This Row],[EligFGTieBreak]],PlayerGameData[EligFGTieBreak],1)</f>
        <v>625</v>
      </c>
      <c r="BE942" s="8" t="str">
        <f>Roster!$D$3</f>
        <v>East</v>
      </c>
      <c r="BF942" s="8" t="str">
        <f>Roster!$D$2</f>
        <v>Northeast</v>
      </c>
      <c r="BG942" s="8" t="str">
        <f>Roster!$D$4</f>
        <v>North</v>
      </c>
      <c r="BH942" s="197">
        <f ca="1">IFERROR(VLOOKUP(CONCATENATE(PlayerGameData[[#This Row],[Opponent]]," ",MONTH(PlayerGameData[[#This Row],[Date]]),"/",DAY(PlayerGameData[[#This Row],[Date]]),"/",YEAR(PlayerGameData[[#This Row],[Date]])),Table35[],2,FALSE),0)</f>
        <v>0</v>
      </c>
      <c r="BI942" s="197">
        <f ca="1">IF(PlayerGameData[[#This Row],[Visible]]=1,1,1000)</f>
        <v>1000</v>
      </c>
      <c r="BJ942" s="197" t="e">
        <f ca="1">_xlfn.MAXIFS(TeamGameData[Win],TeamGameData[School, Opponent,Game'#],PlayerGameData[[#This Row],[School, Opponent,Game'#]])</f>
        <v>#NAME?</v>
      </c>
      <c r="BK942" s="197" t="e">
        <f ca="1">_xlfn.MAXIFS(TeamGameData[Loss],TeamGameData[School, Opponent,Game'#],PlayerGameData[[#This Row],[School, Opponent,Game'#]])</f>
        <v>#NAME?</v>
      </c>
    </row>
    <row r="943" spans="1:63" x14ac:dyDescent="0.25">
      <c r="A943" s="8" t="str">
        <f t="shared" ca="1" si="453"/>
        <v>Landon Butler, 1</v>
      </c>
      <c r="B943" s="8" t="str">
        <f>Roster!$B$1</f>
        <v>Upton</v>
      </c>
      <c r="C943" s="8">
        <f t="shared" ca="1" si="441"/>
        <v>0</v>
      </c>
      <c r="D943" s="10">
        <f t="shared" ca="1" si="442"/>
        <v>0</v>
      </c>
      <c r="E943" s="8">
        <f t="shared" ca="1" si="443"/>
        <v>0</v>
      </c>
      <c r="F943" s="8">
        <f t="shared" ca="1" si="444"/>
        <v>0</v>
      </c>
      <c r="G943" s="8">
        <f t="shared" ca="1" si="445"/>
        <v>0</v>
      </c>
      <c r="H943" s="8">
        <f t="shared" ca="1" si="446"/>
        <v>0</v>
      </c>
      <c r="I943" s="8">
        <f t="shared" ca="1" si="447"/>
        <v>0</v>
      </c>
      <c r="J943" s="8">
        <f t="shared" ca="1" si="448"/>
        <v>0</v>
      </c>
      <c r="K943" s="8">
        <f t="shared" ca="1" si="449"/>
        <v>0</v>
      </c>
      <c r="L943" s="8">
        <f t="shared" ca="1" si="454"/>
        <v>0</v>
      </c>
      <c r="M943" s="8">
        <f t="shared" ca="1" si="455"/>
        <v>0</v>
      </c>
      <c r="N943" s="8">
        <f t="shared" ca="1" si="456"/>
        <v>0</v>
      </c>
      <c r="O943" s="8">
        <f t="shared" ca="1" si="457"/>
        <v>0</v>
      </c>
      <c r="P943" s="8">
        <f t="shared" ca="1" si="458"/>
        <v>0</v>
      </c>
      <c r="Q943" s="8">
        <f t="shared" ca="1" si="459"/>
        <v>0</v>
      </c>
      <c r="R943" s="8">
        <f t="shared" ca="1" si="460"/>
        <v>0</v>
      </c>
      <c r="S943" s="8">
        <f t="shared" ca="1" si="461"/>
        <v>0</v>
      </c>
      <c r="T943" s="8">
        <f t="shared" ca="1" si="462"/>
        <v>0</v>
      </c>
      <c r="U943" s="8">
        <f t="shared" ca="1" si="463"/>
        <v>0</v>
      </c>
      <c r="V943" s="8">
        <f t="shared" ca="1" si="464"/>
        <v>0</v>
      </c>
      <c r="W943" s="11" t="str">
        <f t="shared" ca="1" si="465"/>
        <v/>
      </c>
      <c r="X943" s="11" t="str">
        <f t="shared" ca="1" si="466"/>
        <v/>
      </c>
      <c r="Y943" s="11" t="str">
        <f t="shared" ca="1" si="467"/>
        <v/>
      </c>
      <c r="Z943" s="11" t="str">
        <f t="shared" ca="1" si="468"/>
        <v/>
      </c>
      <c r="AA943" s="11" t="str">
        <f t="shared" ca="1" si="469"/>
        <v/>
      </c>
      <c r="AB943" s="47">
        <f ca="1">PlayerGameData[[#This Row],[3FGA]]+PlayerGameData[[#This Row],[2FGA]]</f>
        <v>0</v>
      </c>
      <c r="AC943" s="47">
        <f ca="1">PlayerGameData[[#This Row],[OFF REB]]+PlayerGameData[[#This Row],[DEF REB]]</f>
        <v>0</v>
      </c>
      <c r="AD943" s="8">
        <f t="shared" si="450"/>
        <v>40</v>
      </c>
      <c r="AE943" s="8" t="str">
        <f t="shared" ca="1" si="451"/>
        <v>Landon Butler, 1 - 0 1/0/1900</v>
      </c>
      <c r="AF943" s="8" t="str">
        <f t="shared" ca="1" si="470"/>
        <v/>
      </c>
      <c r="AG943" s="8" t="str">
        <f ca="1">IFERROR(IF(C943=0,"",IF(AND(VLOOKUP(PlayerGameData[[#This Row],[Opponent]],WYTeamInfo,2,FALSE)=Roster!$D$1,VLOOKUP(PlayerGameData[[#This Row],[Opponent]],WYTeamInfo,3,FALSE)=Roster!$D$2),"SR","")),"")</f>
        <v/>
      </c>
      <c r="AH943" s="8" t="str">
        <f>CONCATENATE(Roster!$D$1," ",Roster!$D$5)</f>
        <v>1A BB</v>
      </c>
      <c r="AI943" s="8" t="str">
        <f t="shared" ca="1" si="452"/>
        <v>Blank</v>
      </c>
      <c r="AJ943" s="8">
        <f ca="1">IFERROR(VLOOKUP(PlayerGameData[[#This Row],[School, Opponent,Game'#]],Table3[],2,FALSE),0)</f>
        <v>0</v>
      </c>
      <c r="AK943" s="8">
        <f ca="1">IF(PlayerGameData[[#This Row],[Visible]]=1,1,1000)</f>
        <v>1000</v>
      </c>
      <c r="AL943" s="8">
        <f ca="1">RANK(PlayerGameData[[#This Row],[TL PTS]],PlayerGameData[TL PTS],0)+PlayerGameData[[#This Row],[VisibleOrder]]</f>
        <v>1184</v>
      </c>
      <c r="AM943" s="8">
        <f ca="1">IF(COUNTIF(PlayerGameData[PointOrder],PlayerGameData[[#This Row],[PointOrder]])&gt;1,RANK(PlayerGameData[[#This Row],[FGA]],PlayerGameData[FGA],0)/100,0)+PlayerGameData[[#This Row],[PointOrder]]</f>
        <v>1186.1400000000001</v>
      </c>
      <c r="AN943" s="8">
        <f ca="1">RANK(PlayerGameData[[#This Row],[PointTieBreak]],PlayerGameData[PointTieBreak],1)</f>
        <v>625</v>
      </c>
      <c r="AO943" s="8">
        <f ca="1">RANK(PlayerGameData[[#This Row],[REB]],PlayerGameData[REB],0)+PlayerGameData[[#This Row],[VisibleOrder]]</f>
        <v>1191</v>
      </c>
      <c r="AP943" s="8">
        <f ca="1">IF(COUNTIF(PlayerGameData[REBOrder],PlayerGameData[[#This Row],[REBOrder]])&gt;1,PlayerGameData[[#This Row],[PointRank]]/100+PlayerGameData[[#This Row],[REBOrder]],PlayerGameData[[#This Row],[REBOrder]])</f>
        <v>1197.25</v>
      </c>
      <c r="AQ943" s="8">
        <f ca="1">RANK(PlayerGameData[[#This Row],[REBTieBreak]],PlayerGameData[REBTieBreak],1)</f>
        <v>625</v>
      </c>
      <c r="AR943" s="8">
        <f ca="1">RANK(PlayerGameData[[#This Row],[AST]],PlayerGameData[AST],0)+PlayerGameData[[#This Row],[VisibleOrder]]</f>
        <v>1157</v>
      </c>
      <c r="AS943" s="8">
        <f ca="1">IF(COUNTIF(PlayerGameData[ASTOrder],PlayerGameData[[#This Row],[ASTOrder]])&gt;1,PlayerGameData[[#This Row],[PointRank]]/100+PlayerGameData[[#This Row],[ASTOrder]],PlayerGameData[[#This Row],[ASTOrder]])</f>
        <v>1163.25</v>
      </c>
      <c r="AT943" s="8">
        <f ca="1">RANK(PlayerGameData[[#This Row],[ASTTieBreak]],PlayerGameData[ASTTieBreak],1)</f>
        <v>625</v>
      </c>
      <c r="AU943" s="8">
        <f ca="1">RANK(PlayerGameData[[#This Row],[STL]],PlayerGameData[STL],0)+PlayerGameData[[#This Row],[VisibleOrder]]</f>
        <v>1142</v>
      </c>
      <c r="AV943" s="8">
        <f ca="1">IF(COUNTIF(PlayerGameData[STLOrder],PlayerGameData[[#This Row],[STLOrder]])&gt;1,PlayerGameData[[#This Row],[PointRank]]/100+PlayerGameData[[#This Row],[STLOrder]],PlayerGameData[[#This Row],[STLOrder]])</f>
        <v>1148.25</v>
      </c>
      <c r="AW943" s="8">
        <f ca="1">RANK(PlayerGameData[[#This Row],[STLTieBreak]],PlayerGameData[STLTieBreak],1)</f>
        <v>625</v>
      </c>
      <c r="AX943" s="8">
        <f ca="1">RANK(PlayerGameData[[#This Row],[BLK]],PlayerGameData[BLK],0)+PlayerGameData[[#This Row],[VisibleOrder]]</f>
        <v>1031</v>
      </c>
      <c r="AY943" s="8">
        <f ca="1">IF(COUNTIF(PlayerGameData[BLKOrder],PlayerGameData[[#This Row],[BLKOrder]])&gt;1,PlayerGameData[[#This Row],[PointRank]]/100+PlayerGameData[[#This Row],[BLKOrder]],PlayerGameData[[#This Row],[BLKOrder]])</f>
        <v>1037.25</v>
      </c>
      <c r="AZ943" s="8">
        <f ca="1">RANK(PlayerGameData[[#This Row],[BLKTieBreak]],PlayerGameData[BLKTieBreak],1)</f>
        <v>625</v>
      </c>
      <c r="BA943" s="11">
        <f ca="1">IFERROR(IF(PlayerGameData[[#This Row],[FGA]]&gt;$AA$5,PlayerGameData[[#This Row],[FG%*]],PlayerGameData[[#This Row],[FG%*]]*-1),-2)</f>
        <v>-2</v>
      </c>
      <c r="BB943" s="8">
        <f ca="1">RANK(PlayerGameData[[#This Row],[EligFG]],PlayerGameData[EligFG],0)+PlayerGameData[[#This Row],[VisibleOrder]]</f>
        <v>1214</v>
      </c>
      <c r="BC943" s="8">
        <f ca="1">IF(COUNTIF(PlayerGameData[EligFGOrder],PlayerGameData[[#This Row],[EligFGOrder]])&gt;1,PlayerGameData[[#This Row],[PointRank]]/100+PlayerGameData[[#This Row],[EligFGOrder]],PlayerGameData[[#This Row],[EligFGOrder]])</f>
        <v>1220.25</v>
      </c>
      <c r="BD943" s="8">
        <f ca="1">RANK(PlayerGameData[[#This Row],[EligFGTieBreak]],PlayerGameData[EligFGTieBreak],1)</f>
        <v>625</v>
      </c>
      <c r="BE943" s="8" t="str">
        <f>Roster!$D$3</f>
        <v>East</v>
      </c>
      <c r="BF943" s="8" t="str">
        <f>Roster!$D$2</f>
        <v>Northeast</v>
      </c>
      <c r="BG943" s="8" t="str">
        <f>Roster!$D$4</f>
        <v>North</v>
      </c>
      <c r="BH943" s="197">
        <f ca="1">IFERROR(VLOOKUP(CONCATENATE(PlayerGameData[[#This Row],[Opponent]]," ",MONTH(PlayerGameData[[#This Row],[Date]]),"/",DAY(PlayerGameData[[#This Row],[Date]]),"/",YEAR(PlayerGameData[[#This Row],[Date]])),Table35[],2,FALSE),0)</f>
        <v>0</v>
      </c>
      <c r="BI943" s="197">
        <f ca="1">IF(PlayerGameData[[#This Row],[Visible]]=1,1,1000)</f>
        <v>1000</v>
      </c>
      <c r="BJ943" s="197" t="e">
        <f ca="1">_xlfn.MAXIFS(TeamGameData[Win],TeamGameData[School, Opponent,Game'#],PlayerGameData[[#This Row],[School, Opponent,Game'#]])</f>
        <v>#NAME?</v>
      </c>
      <c r="BK943" s="197" t="e">
        <f ca="1">_xlfn.MAXIFS(TeamGameData[Loss],TeamGameData[School, Opponent,Game'#],PlayerGameData[[#This Row],[School, Opponent,Game'#]])</f>
        <v>#NAME?</v>
      </c>
    </row>
    <row r="944" spans="1:63" x14ac:dyDescent="0.25">
      <c r="A944" s="8" t="str">
        <f t="shared" ca="1" si="453"/>
        <v>Logan Timberman, 3</v>
      </c>
      <c r="B944" s="8" t="str">
        <f>Roster!$B$1</f>
        <v>Upton</v>
      </c>
      <c r="C944" s="8">
        <f t="shared" ca="1" si="441"/>
        <v>0</v>
      </c>
      <c r="D944" s="10">
        <f t="shared" ca="1" si="442"/>
        <v>0</v>
      </c>
      <c r="E944" s="8">
        <f t="shared" ca="1" si="443"/>
        <v>0</v>
      </c>
      <c r="F944" s="8">
        <f t="shared" ca="1" si="444"/>
        <v>0</v>
      </c>
      <c r="G944" s="8">
        <f t="shared" ca="1" si="445"/>
        <v>0</v>
      </c>
      <c r="H944" s="8">
        <f t="shared" ca="1" si="446"/>
        <v>0</v>
      </c>
      <c r="I944" s="8">
        <f t="shared" ca="1" si="447"/>
        <v>0</v>
      </c>
      <c r="J944" s="8">
        <f t="shared" ca="1" si="448"/>
        <v>0</v>
      </c>
      <c r="K944" s="8">
        <f t="shared" ca="1" si="449"/>
        <v>0</v>
      </c>
      <c r="L944" s="8">
        <f t="shared" ca="1" si="454"/>
        <v>0</v>
      </c>
      <c r="M944" s="8">
        <f t="shared" ca="1" si="455"/>
        <v>0</v>
      </c>
      <c r="N944" s="8">
        <f t="shared" ca="1" si="456"/>
        <v>0</v>
      </c>
      <c r="O944" s="8">
        <f t="shared" ca="1" si="457"/>
        <v>0</v>
      </c>
      <c r="P944" s="8">
        <f t="shared" ca="1" si="458"/>
        <v>0</v>
      </c>
      <c r="Q944" s="8">
        <f t="shared" ca="1" si="459"/>
        <v>0</v>
      </c>
      <c r="R944" s="8">
        <f t="shared" ca="1" si="460"/>
        <v>0</v>
      </c>
      <c r="S944" s="8">
        <f t="shared" ca="1" si="461"/>
        <v>0</v>
      </c>
      <c r="T944" s="8">
        <f t="shared" ca="1" si="462"/>
        <v>0</v>
      </c>
      <c r="U944" s="8">
        <f t="shared" ca="1" si="463"/>
        <v>0</v>
      </c>
      <c r="V944" s="8">
        <f t="shared" ca="1" si="464"/>
        <v>0</v>
      </c>
      <c r="W944" s="11" t="str">
        <f t="shared" ca="1" si="465"/>
        <v/>
      </c>
      <c r="X944" s="11" t="str">
        <f t="shared" ca="1" si="466"/>
        <v/>
      </c>
      <c r="Y944" s="11" t="str">
        <f t="shared" ca="1" si="467"/>
        <v/>
      </c>
      <c r="Z944" s="11" t="str">
        <f t="shared" ca="1" si="468"/>
        <v/>
      </c>
      <c r="AA944" s="11" t="str">
        <f t="shared" ca="1" si="469"/>
        <v/>
      </c>
      <c r="AB944" s="47">
        <f ca="1">PlayerGameData[[#This Row],[3FGA]]+PlayerGameData[[#This Row],[2FGA]]</f>
        <v>0</v>
      </c>
      <c r="AC944" s="47">
        <f ca="1">PlayerGameData[[#This Row],[OFF REB]]+PlayerGameData[[#This Row],[DEF REB]]</f>
        <v>0</v>
      </c>
      <c r="AD944" s="8">
        <f t="shared" si="450"/>
        <v>40</v>
      </c>
      <c r="AE944" s="8" t="str">
        <f t="shared" ca="1" si="451"/>
        <v>Logan Timberman, 3 - 0 1/0/1900</v>
      </c>
      <c r="AF944" s="8" t="str">
        <f t="shared" ca="1" si="470"/>
        <v/>
      </c>
      <c r="AG944" s="8" t="str">
        <f ca="1">IFERROR(IF(C944=0,"",IF(AND(VLOOKUP(PlayerGameData[[#This Row],[Opponent]],WYTeamInfo,2,FALSE)=Roster!$D$1,VLOOKUP(PlayerGameData[[#This Row],[Opponent]],WYTeamInfo,3,FALSE)=Roster!$D$2),"SR","")),"")</f>
        <v/>
      </c>
      <c r="AH944" s="8" t="str">
        <f>CONCATENATE(Roster!$D$1," ",Roster!$D$5)</f>
        <v>1A BB</v>
      </c>
      <c r="AI944" s="8" t="str">
        <f t="shared" ca="1" si="452"/>
        <v>Blank</v>
      </c>
      <c r="AJ944" s="8">
        <f ca="1">IFERROR(VLOOKUP(PlayerGameData[[#This Row],[School, Opponent,Game'#]],Table3[],2,FALSE),0)</f>
        <v>0</v>
      </c>
      <c r="AK944" s="8">
        <f ca="1">IF(PlayerGameData[[#This Row],[Visible]]=1,1,1000)</f>
        <v>1000</v>
      </c>
      <c r="AL944" s="8">
        <f ca="1">RANK(PlayerGameData[[#This Row],[TL PTS]],PlayerGameData[TL PTS],0)+PlayerGameData[[#This Row],[VisibleOrder]]</f>
        <v>1184</v>
      </c>
      <c r="AM944" s="8">
        <f ca="1">IF(COUNTIF(PlayerGameData[PointOrder],PlayerGameData[[#This Row],[PointOrder]])&gt;1,RANK(PlayerGameData[[#This Row],[FGA]],PlayerGameData[FGA],0)/100,0)+PlayerGameData[[#This Row],[PointOrder]]</f>
        <v>1186.1400000000001</v>
      </c>
      <c r="AN944" s="8">
        <f ca="1">RANK(PlayerGameData[[#This Row],[PointTieBreak]],PlayerGameData[PointTieBreak],1)</f>
        <v>625</v>
      </c>
      <c r="AO944" s="8">
        <f ca="1">RANK(PlayerGameData[[#This Row],[REB]],PlayerGameData[REB],0)+PlayerGameData[[#This Row],[VisibleOrder]]</f>
        <v>1191</v>
      </c>
      <c r="AP944" s="8">
        <f ca="1">IF(COUNTIF(PlayerGameData[REBOrder],PlayerGameData[[#This Row],[REBOrder]])&gt;1,PlayerGameData[[#This Row],[PointRank]]/100+PlayerGameData[[#This Row],[REBOrder]],PlayerGameData[[#This Row],[REBOrder]])</f>
        <v>1197.25</v>
      </c>
      <c r="AQ944" s="8">
        <f ca="1">RANK(PlayerGameData[[#This Row],[REBTieBreak]],PlayerGameData[REBTieBreak],1)</f>
        <v>625</v>
      </c>
      <c r="AR944" s="8">
        <f ca="1">RANK(PlayerGameData[[#This Row],[AST]],PlayerGameData[AST],0)+PlayerGameData[[#This Row],[VisibleOrder]]</f>
        <v>1157</v>
      </c>
      <c r="AS944" s="8">
        <f ca="1">IF(COUNTIF(PlayerGameData[ASTOrder],PlayerGameData[[#This Row],[ASTOrder]])&gt;1,PlayerGameData[[#This Row],[PointRank]]/100+PlayerGameData[[#This Row],[ASTOrder]],PlayerGameData[[#This Row],[ASTOrder]])</f>
        <v>1163.25</v>
      </c>
      <c r="AT944" s="8">
        <f ca="1">RANK(PlayerGameData[[#This Row],[ASTTieBreak]],PlayerGameData[ASTTieBreak],1)</f>
        <v>625</v>
      </c>
      <c r="AU944" s="8">
        <f ca="1">RANK(PlayerGameData[[#This Row],[STL]],PlayerGameData[STL],0)+PlayerGameData[[#This Row],[VisibleOrder]]</f>
        <v>1142</v>
      </c>
      <c r="AV944" s="8">
        <f ca="1">IF(COUNTIF(PlayerGameData[STLOrder],PlayerGameData[[#This Row],[STLOrder]])&gt;1,PlayerGameData[[#This Row],[PointRank]]/100+PlayerGameData[[#This Row],[STLOrder]],PlayerGameData[[#This Row],[STLOrder]])</f>
        <v>1148.25</v>
      </c>
      <c r="AW944" s="8">
        <f ca="1">RANK(PlayerGameData[[#This Row],[STLTieBreak]],PlayerGameData[STLTieBreak],1)</f>
        <v>625</v>
      </c>
      <c r="AX944" s="8">
        <f ca="1">RANK(PlayerGameData[[#This Row],[BLK]],PlayerGameData[BLK],0)+PlayerGameData[[#This Row],[VisibleOrder]]</f>
        <v>1031</v>
      </c>
      <c r="AY944" s="8">
        <f ca="1">IF(COUNTIF(PlayerGameData[BLKOrder],PlayerGameData[[#This Row],[BLKOrder]])&gt;1,PlayerGameData[[#This Row],[PointRank]]/100+PlayerGameData[[#This Row],[BLKOrder]],PlayerGameData[[#This Row],[BLKOrder]])</f>
        <v>1037.25</v>
      </c>
      <c r="AZ944" s="8">
        <f ca="1">RANK(PlayerGameData[[#This Row],[BLKTieBreak]],PlayerGameData[BLKTieBreak],1)</f>
        <v>625</v>
      </c>
      <c r="BA944" s="11">
        <f ca="1">IFERROR(IF(PlayerGameData[[#This Row],[FGA]]&gt;$AA$5,PlayerGameData[[#This Row],[FG%*]],PlayerGameData[[#This Row],[FG%*]]*-1),-2)</f>
        <v>-2</v>
      </c>
      <c r="BB944" s="8">
        <f ca="1">RANK(PlayerGameData[[#This Row],[EligFG]],PlayerGameData[EligFG],0)+PlayerGameData[[#This Row],[VisibleOrder]]</f>
        <v>1214</v>
      </c>
      <c r="BC944" s="8">
        <f ca="1">IF(COUNTIF(PlayerGameData[EligFGOrder],PlayerGameData[[#This Row],[EligFGOrder]])&gt;1,PlayerGameData[[#This Row],[PointRank]]/100+PlayerGameData[[#This Row],[EligFGOrder]],PlayerGameData[[#This Row],[EligFGOrder]])</f>
        <v>1220.25</v>
      </c>
      <c r="BD944" s="8">
        <f ca="1">RANK(PlayerGameData[[#This Row],[EligFGTieBreak]],PlayerGameData[EligFGTieBreak],1)</f>
        <v>625</v>
      </c>
      <c r="BE944" s="8" t="str">
        <f>Roster!$D$3</f>
        <v>East</v>
      </c>
      <c r="BF944" s="8" t="str">
        <f>Roster!$D$2</f>
        <v>Northeast</v>
      </c>
      <c r="BG944" s="8" t="str">
        <f>Roster!$D$4</f>
        <v>North</v>
      </c>
      <c r="BH944" s="197">
        <f ca="1">IFERROR(VLOOKUP(CONCATENATE(PlayerGameData[[#This Row],[Opponent]]," ",MONTH(PlayerGameData[[#This Row],[Date]]),"/",DAY(PlayerGameData[[#This Row],[Date]]),"/",YEAR(PlayerGameData[[#This Row],[Date]])),Table35[],2,FALSE),0)</f>
        <v>0</v>
      </c>
      <c r="BI944" s="197">
        <f ca="1">IF(PlayerGameData[[#This Row],[Visible]]=1,1,1000)</f>
        <v>1000</v>
      </c>
      <c r="BJ944" s="197" t="e">
        <f ca="1">_xlfn.MAXIFS(TeamGameData[Win],TeamGameData[School, Opponent,Game'#],PlayerGameData[[#This Row],[School, Opponent,Game'#]])</f>
        <v>#NAME?</v>
      </c>
      <c r="BK944" s="197" t="e">
        <f ca="1">_xlfn.MAXIFS(TeamGameData[Loss],TeamGameData[School, Opponent,Game'#],PlayerGameData[[#This Row],[School, Opponent,Game'#]])</f>
        <v>#NAME?</v>
      </c>
    </row>
    <row r="945" spans="1:63" x14ac:dyDescent="0.25">
      <c r="A945" s="8" t="str">
        <f t="shared" ca="1" si="453"/>
        <v>Chase Mills, 5</v>
      </c>
      <c r="B945" s="8" t="str">
        <f>Roster!$B$1</f>
        <v>Upton</v>
      </c>
      <c r="C945" s="8">
        <f t="shared" ca="1" si="441"/>
        <v>0</v>
      </c>
      <c r="D945" s="10">
        <f t="shared" ca="1" si="442"/>
        <v>0</v>
      </c>
      <c r="E945" s="8">
        <f t="shared" ca="1" si="443"/>
        <v>0</v>
      </c>
      <c r="F945" s="8">
        <f t="shared" ca="1" si="444"/>
        <v>0</v>
      </c>
      <c r="G945" s="8">
        <f t="shared" ca="1" si="445"/>
        <v>0</v>
      </c>
      <c r="H945" s="8">
        <f t="shared" ca="1" si="446"/>
        <v>0</v>
      </c>
      <c r="I945" s="8">
        <f t="shared" ca="1" si="447"/>
        <v>0</v>
      </c>
      <c r="J945" s="8">
        <f t="shared" ca="1" si="448"/>
        <v>0</v>
      </c>
      <c r="K945" s="8">
        <f t="shared" ca="1" si="449"/>
        <v>0</v>
      </c>
      <c r="L945" s="8">
        <f t="shared" ca="1" si="454"/>
        <v>0</v>
      </c>
      <c r="M945" s="8">
        <f t="shared" ca="1" si="455"/>
        <v>0</v>
      </c>
      <c r="N945" s="8">
        <f t="shared" ca="1" si="456"/>
        <v>0</v>
      </c>
      <c r="O945" s="8">
        <f t="shared" ca="1" si="457"/>
        <v>0</v>
      </c>
      <c r="P945" s="8">
        <f t="shared" ca="1" si="458"/>
        <v>0</v>
      </c>
      <c r="Q945" s="8">
        <f t="shared" ca="1" si="459"/>
        <v>0</v>
      </c>
      <c r="R945" s="8">
        <f t="shared" ca="1" si="460"/>
        <v>0</v>
      </c>
      <c r="S945" s="8">
        <f t="shared" ca="1" si="461"/>
        <v>0</v>
      </c>
      <c r="T945" s="8">
        <f t="shared" ca="1" si="462"/>
        <v>0</v>
      </c>
      <c r="U945" s="8">
        <f t="shared" ca="1" si="463"/>
        <v>0</v>
      </c>
      <c r="V945" s="8">
        <f t="shared" ca="1" si="464"/>
        <v>0</v>
      </c>
      <c r="W945" s="11" t="str">
        <f t="shared" ca="1" si="465"/>
        <v/>
      </c>
      <c r="X945" s="11" t="str">
        <f t="shared" ca="1" si="466"/>
        <v/>
      </c>
      <c r="Y945" s="11" t="str">
        <f t="shared" ca="1" si="467"/>
        <v/>
      </c>
      <c r="Z945" s="11" t="str">
        <f t="shared" ca="1" si="468"/>
        <v/>
      </c>
      <c r="AA945" s="11" t="str">
        <f t="shared" ca="1" si="469"/>
        <v/>
      </c>
      <c r="AB945" s="47">
        <f ca="1">PlayerGameData[[#This Row],[3FGA]]+PlayerGameData[[#This Row],[2FGA]]</f>
        <v>0</v>
      </c>
      <c r="AC945" s="47">
        <f ca="1">PlayerGameData[[#This Row],[OFF REB]]+PlayerGameData[[#This Row],[DEF REB]]</f>
        <v>0</v>
      </c>
      <c r="AD945" s="8">
        <f t="shared" si="450"/>
        <v>40</v>
      </c>
      <c r="AE945" s="8" t="str">
        <f t="shared" ca="1" si="451"/>
        <v>Chase Mills, 5 - 0 1/0/1900</v>
      </c>
      <c r="AF945" s="8" t="str">
        <f t="shared" ca="1" si="470"/>
        <v/>
      </c>
      <c r="AG945" s="8" t="str">
        <f ca="1">IFERROR(IF(C945=0,"",IF(AND(VLOOKUP(PlayerGameData[[#This Row],[Opponent]],WYTeamInfo,2,FALSE)=Roster!$D$1,VLOOKUP(PlayerGameData[[#This Row],[Opponent]],WYTeamInfo,3,FALSE)=Roster!$D$2),"SR","")),"")</f>
        <v/>
      </c>
      <c r="AH945" s="8" t="str">
        <f>CONCATENATE(Roster!$D$1," ",Roster!$D$5)</f>
        <v>1A BB</v>
      </c>
      <c r="AI945" s="8" t="str">
        <f t="shared" ca="1" si="452"/>
        <v>Blank</v>
      </c>
      <c r="AJ945" s="8">
        <f ca="1">IFERROR(VLOOKUP(PlayerGameData[[#This Row],[School, Opponent,Game'#]],Table3[],2,FALSE),0)</f>
        <v>0</v>
      </c>
      <c r="AK945" s="8">
        <f ca="1">IF(PlayerGameData[[#This Row],[Visible]]=1,1,1000)</f>
        <v>1000</v>
      </c>
      <c r="AL945" s="8">
        <f ca="1">RANK(PlayerGameData[[#This Row],[TL PTS]],PlayerGameData[TL PTS],0)+PlayerGameData[[#This Row],[VisibleOrder]]</f>
        <v>1184</v>
      </c>
      <c r="AM945" s="8">
        <f ca="1">IF(COUNTIF(PlayerGameData[PointOrder],PlayerGameData[[#This Row],[PointOrder]])&gt;1,RANK(PlayerGameData[[#This Row],[FGA]],PlayerGameData[FGA],0)/100,0)+PlayerGameData[[#This Row],[PointOrder]]</f>
        <v>1186.1400000000001</v>
      </c>
      <c r="AN945" s="8">
        <f ca="1">RANK(PlayerGameData[[#This Row],[PointTieBreak]],PlayerGameData[PointTieBreak],1)</f>
        <v>625</v>
      </c>
      <c r="AO945" s="8">
        <f ca="1">RANK(PlayerGameData[[#This Row],[REB]],PlayerGameData[REB],0)+PlayerGameData[[#This Row],[VisibleOrder]]</f>
        <v>1191</v>
      </c>
      <c r="AP945" s="8">
        <f ca="1">IF(COUNTIF(PlayerGameData[REBOrder],PlayerGameData[[#This Row],[REBOrder]])&gt;1,PlayerGameData[[#This Row],[PointRank]]/100+PlayerGameData[[#This Row],[REBOrder]],PlayerGameData[[#This Row],[REBOrder]])</f>
        <v>1197.25</v>
      </c>
      <c r="AQ945" s="8">
        <f ca="1">RANK(PlayerGameData[[#This Row],[REBTieBreak]],PlayerGameData[REBTieBreak],1)</f>
        <v>625</v>
      </c>
      <c r="AR945" s="8">
        <f ca="1">RANK(PlayerGameData[[#This Row],[AST]],PlayerGameData[AST],0)+PlayerGameData[[#This Row],[VisibleOrder]]</f>
        <v>1157</v>
      </c>
      <c r="AS945" s="8">
        <f ca="1">IF(COUNTIF(PlayerGameData[ASTOrder],PlayerGameData[[#This Row],[ASTOrder]])&gt;1,PlayerGameData[[#This Row],[PointRank]]/100+PlayerGameData[[#This Row],[ASTOrder]],PlayerGameData[[#This Row],[ASTOrder]])</f>
        <v>1163.25</v>
      </c>
      <c r="AT945" s="8">
        <f ca="1">RANK(PlayerGameData[[#This Row],[ASTTieBreak]],PlayerGameData[ASTTieBreak],1)</f>
        <v>625</v>
      </c>
      <c r="AU945" s="8">
        <f ca="1">RANK(PlayerGameData[[#This Row],[STL]],PlayerGameData[STL],0)+PlayerGameData[[#This Row],[VisibleOrder]]</f>
        <v>1142</v>
      </c>
      <c r="AV945" s="8">
        <f ca="1">IF(COUNTIF(PlayerGameData[STLOrder],PlayerGameData[[#This Row],[STLOrder]])&gt;1,PlayerGameData[[#This Row],[PointRank]]/100+PlayerGameData[[#This Row],[STLOrder]],PlayerGameData[[#This Row],[STLOrder]])</f>
        <v>1148.25</v>
      </c>
      <c r="AW945" s="8">
        <f ca="1">RANK(PlayerGameData[[#This Row],[STLTieBreak]],PlayerGameData[STLTieBreak],1)</f>
        <v>625</v>
      </c>
      <c r="AX945" s="8">
        <f ca="1">RANK(PlayerGameData[[#This Row],[BLK]],PlayerGameData[BLK],0)+PlayerGameData[[#This Row],[VisibleOrder]]</f>
        <v>1031</v>
      </c>
      <c r="AY945" s="8">
        <f ca="1">IF(COUNTIF(PlayerGameData[BLKOrder],PlayerGameData[[#This Row],[BLKOrder]])&gt;1,PlayerGameData[[#This Row],[PointRank]]/100+PlayerGameData[[#This Row],[BLKOrder]],PlayerGameData[[#This Row],[BLKOrder]])</f>
        <v>1037.25</v>
      </c>
      <c r="AZ945" s="8">
        <f ca="1">RANK(PlayerGameData[[#This Row],[BLKTieBreak]],PlayerGameData[BLKTieBreak],1)</f>
        <v>625</v>
      </c>
      <c r="BA945" s="11">
        <f ca="1">IFERROR(IF(PlayerGameData[[#This Row],[FGA]]&gt;$AA$5,PlayerGameData[[#This Row],[FG%*]],PlayerGameData[[#This Row],[FG%*]]*-1),-2)</f>
        <v>-2</v>
      </c>
      <c r="BB945" s="8">
        <f ca="1">RANK(PlayerGameData[[#This Row],[EligFG]],PlayerGameData[EligFG],0)+PlayerGameData[[#This Row],[VisibleOrder]]</f>
        <v>1214</v>
      </c>
      <c r="BC945" s="8">
        <f ca="1">IF(COUNTIF(PlayerGameData[EligFGOrder],PlayerGameData[[#This Row],[EligFGOrder]])&gt;1,PlayerGameData[[#This Row],[PointRank]]/100+PlayerGameData[[#This Row],[EligFGOrder]],PlayerGameData[[#This Row],[EligFGOrder]])</f>
        <v>1220.25</v>
      </c>
      <c r="BD945" s="8">
        <f ca="1">RANK(PlayerGameData[[#This Row],[EligFGTieBreak]],PlayerGameData[EligFGTieBreak],1)</f>
        <v>625</v>
      </c>
      <c r="BE945" s="8" t="str">
        <f>Roster!$D$3</f>
        <v>East</v>
      </c>
      <c r="BF945" s="8" t="str">
        <f>Roster!$D$2</f>
        <v>Northeast</v>
      </c>
      <c r="BG945" s="8" t="str">
        <f>Roster!$D$4</f>
        <v>North</v>
      </c>
      <c r="BH945" s="197">
        <f ca="1">IFERROR(VLOOKUP(CONCATENATE(PlayerGameData[[#This Row],[Opponent]]," ",MONTH(PlayerGameData[[#This Row],[Date]]),"/",DAY(PlayerGameData[[#This Row],[Date]]),"/",YEAR(PlayerGameData[[#This Row],[Date]])),Table35[],2,FALSE),0)</f>
        <v>0</v>
      </c>
      <c r="BI945" s="197">
        <f ca="1">IF(PlayerGameData[[#This Row],[Visible]]=1,1,1000)</f>
        <v>1000</v>
      </c>
      <c r="BJ945" s="197" t="e">
        <f ca="1">_xlfn.MAXIFS(TeamGameData[Win],TeamGameData[School, Opponent,Game'#],PlayerGameData[[#This Row],[School, Opponent,Game'#]])</f>
        <v>#NAME?</v>
      </c>
      <c r="BK945" s="197" t="e">
        <f ca="1">_xlfn.MAXIFS(TeamGameData[Loss],TeamGameData[School, Opponent,Game'#],PlayerGameData[[#This Row],[School, Opponent,Game'#]])</f>
        <v>#NAME?</v>
      </c>
    </row>
    <row r="946" spans="1:63" x14ac:dyDescent="0.25">
      <c r="A946" s="8" t="str">
        <f t="shared" ca="1" si="453"/>
        <v>Rhett Watt, 10</v>
      </c>
      <c r="B946" s="8" t="str">
        <f>Roster!$B$1</f>
        <v>Upton</v>
      </c>
      <c r="C946" s="8">
        <f t="shared" ca="1" si="441"/>
        <v>0</v>
      </c>
      <c r="D946" s="10">
        <f t="shared" ca="1" si="442"/>
        <v>0</v>
      </c>
      <c r="E946" s="8">
        <f t="shared" ca="1" si="443"/>
        <v>0</v>
      </c>
      <c r="F946" s="8">
        <f t="shared" ca="1" si="444"/>
        <v>0</v>
      </c>
      <c r="G946" s="8">
        <f t="shared" ca="1" si="445"/>
        <v>0</v>
      </c>
      <c r="H946" s="8">
        <f t="shared" ca="1" si="446"/>
        <v>0</v>
      </c>
      <c r="I946" s="8">
        <f t="shared" ca="1" si="447"/>
        <v>0</v>
      </c>
      <c r="J946" s="8">
        <f t="shared" ca="1" si="448"/>
        <v>0</v>
      </c>
      <c r="K946" s="8">
        <f t="shared" ca="1" si="449"/>
        <v>0</v>
      </c>
      <c r="L946" s="8">
        <f t="shared" ca="1" si="454"/>
        <v>0</v>
      </c>
      <c r="M946" s="8">
        <f t="shared" ca="1" si="455"/>
        <v>0</v>
      </c>
      <c r="N946" s="8">
        <f t="shared" ca="1" si="456"/>
        <v>0</v>
      </c>
      <c r="O946" s="8">
        <f t="shared" ca="1" si="457"/>
        <v>0</v>
      </c>
      <c r="P946" s="8">
        <f t="shared" ca="1" si="458"/>
        <v>0</v>
      </c>
      <c r="Q946" s="8">
        <f t="shared" ca="1" si="459"/>
        <v>0</v>
      </c>
      <c r="R946" s="8">
        <f t="shared" ca="1" si="460"/>
        <v>0</v>
      </c>
      <c r="S946" s="8">
        <f t="shared" ca="1" si="461"/>
        <v>0</v>
      </c>
      <c r="T946" s="8">
        <f t="shared" ca="1" si="462"/>
        <v>0</v>
      </c>
      <c r="U946" s="8">
        <f t="shared" ca="1" si="463"/>
        <v>0</v>
      </c>
      <c r="V946" s="8">
        <f t="shared" ca="1" si="464"/>
        <v>0</v>
      </c>
      <c r="W946" s="11" t="str">
        <f t="shared" ca="1" si="465"/>
        <v/>
      </c>
      <c r="X946" s="11" t="str">
        <f t="shared" ca="1" si="466"/>
        <v/>
      </c>
      <c r="Y946" s="11" t="str">
        <f t="shared" ca="1" si="467"/>
        <v/>
      </c>
      <c r="Z946" s="11" t="str">
        <f t="shared" ca="1" si="468"/>
        <v/>
      </c>
      <c r="AA946" s="11" t="str">
        <f t="shared" ca="1" si="469"/>
        <v/>
      </c>
      <c r="AB946" s="47">
        <f ca="1">PlayerGameData[[#This Row],[3FGA]]+PlayerGameData[[#This Row],[2FGA]]</f>
        <v>0</v>
      </c>
      <c r="AC946" s="47">
        <f ca="1">PlayerGameData[[#This Row],[OFF REB]]+PlayerGameData[[#This Row],[DEF REB]]</f>
        <v>0</v>
      </c>
      <c r="AD946" s="8">
        <f t="shared" si="450"/>
        <v>40</v>
      </c>
      <c r="AE946" s="8" t="str">
        <f t="shared" ca="1" si="451"/>
        <v>Rhett Watt, 10 - 0 1/0/1900</v>
      </c>
      <c r="AF946" s="8" t="str">
        <f t="shared" ca="1" si="470"/>
        <v/>
      </c>
      <c r="AG946" s="8" t="str">
        <f ca="1">IFERROR(IF(C946=0,"",IF(AND(VLOOKUP(PlayerGameData[[#This Row],[Opponent]],WYTeamInfo,2,FALSE)=Roster!$D$1,VLOOKUP(PlayerGameData[[#This Row],[Opponent]],WYTeamInfo,3,FALSE)=Roster!$D$2),"SR","")),"")</f>
        <v/>
      </c>
      <c r="AH946" s="8" t="str">
        <f>CONCATENATE(Roster!$D$1," ",Roster!$D$5)</f>
        <v>1A BB</v>
      </c>
      <c r="AI946" s="8" t="str">
        <f t="shared" ca="1" si="452"/>
        <v>Blank</v>
      </c>
      <c r="AJ946" s="8">
        <f ca="1">IFERROR(VLOOKUP(PlayerGameData[[#This Row],[School, Opponent,Game'#]],Table3[],2,FALSE),0)</f>
        <v>0</v>
      </c>
      <c r="AK946" s="8">
        <f ca="1">IF(PlayerGameData[[#This Row],[Visible]]=1,1,1000)</f>
        <v>1000</v>
      </c>
      <c r="AL946" s="8">
        <f ca="1">RANK(PlayerGameData[[#This Row],[TL PTS]],PlayerGameData[TL PTS],0)+PlayerGameData[[#This Row],[VisibleOrder]]</f>
        <v>1184</v>
      </c>
      <c r="AM946" s="8">
        <f ca="1">IF(COUNTIF(PlayerGameData[PointOrder],PlayerGameData[[#This Row],[PointOrder]])&gt;1,RANK(PlayerGameData[[#This Row],[FGA]],PlayerGameData[FGA],0)/100,0)+PlayerGameData[[#This Row],[PointOrder]]</f>
        <v>1186.1400000000001</v>
      </c>
      <c r="AN946" s="8">
        <f ca="1">RANK(PlayerGameData[[#This Row],[PointTieBreak]],PlayerGameData[PointTieBreak],1)</f>
        <v>625</v>
      </c>
      <c r="AO946" s="8">
        <f ca="1">RANK(PlayerGameData[[#This Row],[REB]],PlayerGameData[REB],0)+PlayerGameData[[#This Row],[VisibleOrder]]</f>
        <v>1191</v>
      </c>
      <c r="AP946" s="8">
        <f ca="1">IF(COUNTIF(PlayerGameData[REBOrder],PlayerGameData[[#This Row],[REBOrder]])&gt;1,PlayerGameData[[#This Row],[PointRank]]/100+PlayerGameData[[#This Row],[REBOrder]],PlayerGameData[[#This Row],[REBOrder]])</f>
        <v>1197.25</v>
      </c>
      <c r="AQ946" s="8">
        <f ca="1">RANK(PlayerGameData[[#This Row],[REBTieBreak]],PlayerGameData[REBTieBreak],1)</f>
        <v>625</v>
      </c>
      <c r="AR946" s="8">
        <f ca="1">RANK(PlayerGameData[[#This Row],[AST]],PlayerGameData[AST],0)+PlayerGameData[[#This Row],[VisibleOrder]]</f>
        <v>1157</v>
      </c>
      <c r="AS946" s="8">
        <f ca="1">IF(COUNTIF(PlayerGameData[ASTOrder],PlayerGameData[[#This Row],[ASTOrder]])&gt;1,PlayerGameData[[#This Row],[PointRank]]/100+PlayerGameData[[#This Row],[ASTOrder]],PlayerGameData[[#This Row],[ASTOrder]])</f>
        <v>1163.25</v>
      </c>
      <c r="AT946" s="8">
        <f ca="1">RANK(PlayerGameData[[#This Row],[ASTTieBreak]],PlayerGameData[ASTTieBreak],1)</f>
        <v>625</v>
      </c>
      <c r="AU946" s="8">
        <f ca="1">RANK(PlayerGameData[[#This Row],[STL]],PlayerGameData[STL],0)+PlayerGameData[[#This Row],[VisibleOrder]]</f>
        <v>1142</v>
      </c>
      <c r="AV946" s="8">
        <f ca="1">IF(COUNTIF(PlayerGameData[STLOrder],PlayerGameData[[#This Row],[STLOrder]])&gt;1,PlayerGameData[[#This Row],[PointRank]]/100+PlayerGameData[[#This Row],[STLOrder]],PlayerGameData[[#This Row],[STLOrder]])</f>
        <v>1148.25</v>
      </c>
      <c r="AW946" s="8">
        <f ca="1">RANK(PlayerGameData[[#This Row],[STLTieBreak]],PlayerGameData[STLTieBreak],1)</f>
        <v>625</v>
      </c>
      <c r="AX946" s="8">
        <f ca="1">RANK(PlayerGameData[[#This Row],[BLK]],PlayerGameData[BLK],0)+PlayerGameData[[#This Row],[VisibleOrder]]</f>
        <v>1031</v>
      </c>
      <c r="AY946" s="8">
        <f ca="1">IF(COUNTIF(PlayerGameData[BLKOrder],PlayerGameData[[#This Row],[BLKOrder]])&gt;1,PlayerGameData[[#This Row],[PointRank]]/100+PlayerGameData[[#This Row],[BLKOrder]],PlayerGameData[[#This Row],[BLKOrder]])</f>
        <v>1037.25</v>
      </c>
      <c r="AZ946" s="8">
        <f ca="1">RANK(PlayerGameData[[#This Row],[BLKTieBreak]],PlayerGameData[BLKTieBreak],1)</f>
        <v>625</v>
      </c>
      <c r="BA946" s="11">
        <f ca="1">IFERROR(IF(PlayerGameData[[#This Row],[FGA]]&gt;$AA$5,PlayerGameData[[#This Row],[FG%*]],PlayerGameData[[#This Row],[FG%*]]*-1),-2)</f>
        <v>-2</v>
      </c>
      <c r="BB946" s="8">
        <f ca="1">RANK(PlayerGameData[[#This Row],[EligFG]],PlayerGameData[EligFG],0)+PlayerGameData[[#This Row],[VisibleOrder]]</f>
        <v>1214</v>
      </c>
      <c r="BC946" s="8">
        <f ca="1">IF(COUNTIF(PlayerGameData[EligFGOrder],PlayerGameData[[#This Row],[EligFGOrder]])&gt;1,PlayerGameData[[#This Row],[PointRank]]/100+PlayerGameData[[#This Row],[EligFGOrder]],PlayerGameData[[#This Row],[EligFGOrder]])</f>
        <v>1220.25</v>
      </c>
      <c r="BD946" s="8">
        <f ca="1">RANK(PlayerGameData[[#This Row],[EligFGTieBreak]],PlayerGameData[EligFGTieBreak],1)</f>
        <v>625</v>
      </c>
      <c r="BE946" s="8" t="str">
        <f>Roster!$D$3</f>
        <v>East</v>
      </c>
      <c r="BF946" s="8" t="str">
        <f>Roster!$D$2</f>
        <v>Northeast</v>
      </c>
      <c r="BG946" s="8" t="str">
        <f>Roster!$D$4</f>
        <v>North</v>
      </c>
      <c r="BH946" s="197">
        <f ca="1">IFERROR(VLOOKUP(CONCATENATE(PlayerGameData[[#This Row],[Opponent]]," ",MONTH(PlayerGameData[[#This Row],[Date]]),"/",DAY(PlayerGameData[[#This Row],[Date]]),"/",YEAR(PlayerGameData[[#This Row],[Date]])),Table35[],2,FALSE),0)</f>
        <v>0</v>
      </c>
      <c r="BI946" s="197">
        <f ca="1">IF(PlayerGameData[[#This Row],[Visible]]=1,1,1000)</f>
        <v>1000</v>
      </c>
      <c r="BJ946" s="197" t="e">
        <f ca="1">_xlfn.MAXIFS(TeamGameData[Win],TeamGameData[School, Opponent,Game'#],PlayerGameData[[#This Row],[School, Opponent,Game'#]])</f>
        <v>#NAME?</v>
      </c>
      <c r="BK946" s="197" t="e">
        <f ca="1">_xlfn.MAXIFS(TeamGameData[Loss],TeamGameData[School, Opponent,Game'#],PlayerGameData[[#This Row],[School, Opponent,Game'#]])</f>
        <v>#NAME?</v>
      </c>
    </row>
    <row r="947" spans="1:63" x14ac:dyDescent="0.25">
      <c r="A947" s="8" t="str">
        <f t="shared" ca="1" si="453"/>
        <v>Keith Coburn, 11</v>
      </c>
      <c r="B947" s="8" t="str">
        <f>Roster!$B$1</f>
        <v>Upton</v>
      </c>
      <c r="C947" s="8">
        <f t="shared" ca="1" si="441"/>
        <v>0</v>
      </c>
      <c r="D947" s="10">
        <f t="shared" ca="1" si="442"/>
        <v>0</v>
      </c>
      <c r="E947" s="8">
        <f t="shared" ca="1" si="443"/>
        <v>0</v>
      </c>
      <c r="F947" s="8">
        <f t="shared" ca="1" si="444"/>
        <v>0</v>
      </c>
      <c r="G947" s="8">
        <f t="shared" ca="1" si="445"/>
        <v>0</v>
      </c>
      <c r="H947" s="8">
        <f t="shared" ca="1" si="446"/>
        <v>0</v>
      </c>
      <c r="I947" s="8">
        <f t="shared" ca="1" si="447"/>
        <v>0</v>
      </c>
      <c r="J947" s="8">
        <f t="shared" ca="1" si="448"/>
        <v>0</v>
      </c>
      <c r="K947" s="8">
        <f t="shared" ca="1" si="449"/>
        <v>0</v>
      </c>
      <c r="L947" s="8">
        <f t="shared" ca="1" si="454"/>
        <v>0</v>
      </c>
      <c r="M947" s="8">
        <f t="shared" ca="1" si="455"/>
        <v>0</v>
      </c>
      <c r="N947" s="8">
        <f t="shared" ca="1" si="456"/>
        <v>0</v>
      </c>
      <c r="O947" s="8">
        <f t="shared" ca="1" si="457"/>
        <v>0</v>
      </c>
      <c r="P947" s="8">
        <f t="shared" ca="1" si="458"/>
        <v>0</v>
      </c>
      <c r="Q947" s="8">
        <f t="shared" ca="1" si="459"/>
        <v>0</v>
      </c>
      <c r="R947" s="8">
        <f t="shared" ca="1" si="460"/>
        <v>0</v>
      </c>
      <c r="S947" s="8">
        <f t="shared" ca="1" si="461"/>
        <v>0</v>
      </c>
      <c r="T947" s="8">
        <f t="shared" ca="1" si="462"/>
        <v>0</v>
      </c>
      <c r="U947" s="8">
        <f t="shared" ca="1" si="463"/>
        <v>0</v>
      </c>
      <c r="V947" s="8">
        <f t="shared" ca="1" si="464"/>
        <v>0</v>
      </c>
      <c r="W947" s="11" t="str">
        <f t="shared" ca="1" si="465"/>
        <v/>
      </c>
      <c r="X947" s="11" t="str">
        <f t="shared" ca="1" si="466"/>
        <v/>
      </c>
      <c r="Y947" s="11" t="str">
        <f t="shared" ca="1" si="467"/>
        <v/>
      </c>
      <c r="Z947" s="11" t="str">
        <f t="shared" ca="1" si="468"/>
        <v/>
      </c>
      <c r="AA947" s="11" t="str">
        <f t="shared" ca="1" si="469"/>
        <v/>
      </c>
      <c r="AB947" s="47">
        <f ca="1">PlayerGameData[[#This Row],[3FGA]]+PlayerGameData[[#This Row],[2FGA]]</f>
        <v>0</v>
      </c>
      <c r="AC947" s="47">
        <f ca="1">PlayerGameData[[#This Row],[OFF REB]]+PlayerGameData[[#This Row],[DEF REB]]</f>
        <v>0</v>
      </c>
      <c r="AD947" s="8">
        <f t="shared" si="450"/>
        <v>40</v>
      </c>
      <c r="AE947" s="8" t="str">
        <f t="shared" ca="1" si="451"/>
        <v>Keith Coburn, 11 - 0 1/0/1900</v>
      </c>
      <c r="AF947" s="8" t="str">
        <f t="shared" ca="1" si="470"/>
        <v/>
      </c>
      <c r="AG947" s="8" t="str">
        <f ca="1">IFERROR(IF(C947=0,"",IF(AND(VLOOKUP(PlayerGameData[[#This Row],[Opponent]],WYTeamInfo,2,FALSE)=Roster!$D$1,VLOOKUP(PlayerGameData[[#This Row],[Opponent]],WYTeamInfo,3,FALSE)=Roster!$D$2),"SR","")),"")</f>
        <v/>
      </c>
      <c r="AH947" s="8" t="str">
        <f>CONCATENATE(Roster!$D$1," ",Roster!$D$5)</f>
        <v>1A BB</v>
      </c>
      <c r="AI947" s="8" t="str">
        <f t="shared" ca="1" si="452"/>
        <v>Blank</v>
      </c>
      <c r="AJ947" s="8">
        <f ca="1">IFERROR(VLOOKUP(PlayerGameData[[#This Row],[School, Opponent,Game'#]],Table3[],2,FALSE),0)</f>
        <v>0</v>
      </c>
      <c r="AK947" s="8">
        <f ca="1">IF(PlayerGameData[[#This Row],[Visible]]=1,1,1000)</f>
        <v>1000</v>
      </c>
      <c r="AL947" s="8">
        <f ca="1">RANK(PlayerGameData[[#This Row],[TL PTS]],PlayerGameData[TL PTS],0)+PlayerGameData[[#This Row],[VisibleOrder]]</f>
        <v>1184</v>
      </c>
      <c r="AM947" s="8">
        <f ca="1">IF(COUNTIF(PlayerGameData[PointOrder],PlayerGameData[[#This Row],[PointOrder]])&gt;1,RANK(PlayerGameData[[#This Row],[FGA]],PlayerGameData[FGA],0)/100,0)+PlayerGameData[[#This Row],[PointOrder]]</f>
        <v>1186.1400000000001</v>
      </c>
      <c r="AN947" s="8">
        <f ca="1">RANK(PlayerGameData[[#This Row],[PointTieBreak]],PlayerGameData[PointTieBreak],1)</f>
        <v>625</v>
      </c>
      <c r="AO947" s="8">
        <f ca="1">RANK(PlayerGameData[[#This Row],[REB]],PlayerGameData[REB],0)+PlayerGameData[[#This Row],[VisibleOrder]]</f>
        <v>1191</v>
      </c>
      <c r="AP947" s="8">
        <f ca="1">IF(COUNTIF(PlayerGameData[REBOrder],PlayerGameData[[#This Row],[REBOrder]])&gt;1,PlayerGameData[[#This Row],[PointRank]]/100+PlayerGameData[[#This Row],[REBOrder]],PlayerGameData[[#This Row],[REBOrder]])</f>
        <v>1197.25</v>
      </c>
      <c r="AQ947" s="8">
        <f ca="1">RANK(PlayerGameData[[#This Row],[REBTieBreak]],PlayerGameData[REBTieBreak],1)</f>
        <v>625</v>
      </c>
      <c r="AR947" s="8">
        <f ca="1">RANK(PlayerGameData[[#This Row],[AST]],PlayerGameData[AST],0)+PlayerGameData[[#This Row],[VisibleOrder]]</f>
        <v>1157</v>
      </c>
      <c r="AS947" s="8">
        <f ca="1">IF(COUNTIF(PlayerGameData[ASTOrder],PlayerGameData[[#This Row],[ASTOrder]])&gt;1,PlayerGameData[[#This Row],[PointRank]]/100+PlayerGameData[[#This Row],[ASTOrder]],PlayerGameData[[#This Row],[ASTOrder]])</f>
        <v>1163.25</v>
      </c>
      <c r="AT947" s="8">
        <f ca="1">RANK(PlayerGameData[[#This Row],[ASTTieBreak]],PlayerGameData[ASTTieBreak],1)</f>
        <v>625</v>
      </c>
      <c r="AU947" s="8">
        <f ca="1">RANK(PlayerGameData[[#This Row],[STL]],PlayerGameData[STL],0)+PlayerGameData[[#This Row],[VisibleOrder]]</f>
        <v>1142</v>
      </c>
      <c r="AV947" s="8">
        <f ca="1">IF(COUNTIF(PlayerGameData[STLOrder],PlayerGameData[[#This Row],[STLOrder]])&gt;1,PlayerGameData[[#This Row],[PointRank]]/100+PlayerGameData[[#This Row],[STLOrder]],PlayerGameData[[#This Row],[STLOrder]])</f>
        <v>1148.25</v>
      </c>
      <c r="AW947" s="8">
        <f ca="1">RANK(PlayerGameData[[#This Row],[STLTieBreak]],PlayerGameData[STLTieBreak],1)</f>
        <v>625</v>
      </c>
      <c r="AX947" s="8">
        <f ca="1">RANK(PlayerGameData[[#This Row],[BLK]],PlayerGameData[BLK],0)+PlayerGameData[[#This Row],[VisibleOrder]]</f>
        <v>1031</v>
      </c>
      <c r="AY947" s="8">
        <f ca="1">IF(COUNTIF(PlayerGameData[BLKOrder],PlayerGameData[[#This Row],[BLKOrder]])&gt;1,PlayerGameData[[#This Row],[PointRank]]/100+PlayerGameData[[#This Row],[BLKOrder]],PlayerGameData[[#This Row],[BLKOrder]])</f>
        <v>1037.25</v>
      </c>
      <c r="AZ947" s="8">
        <f ca="1">RANK(PlayerGameData[[#This Row],[BLKTieBreak]],PlayerGameData[BLKTieBreak],1)</f>
        <v>625</v>
      </c>
      <c r="BA947" s="11">
        <f ca="1">IFERROR(IF(PlayerGameData[[#This Row],[FGA]]&gt;$AA$5,PlayerGameData[[#This Row],[FG%*]],PlayerGameData[[#This Row],[FG%*]]*-1),-2)</f>
        <v>-2</v>
      </c>
      <c r="BB947" s="8">
        <f ca="1">RANK(PlayerGameData[[#This Row],[EligFG]],PlayerGameData[EligFG],0)+PlayerGameData[[#This Row],[VisibleOrder]]</f>
        <v>1214</v>
      </c>
      <c r="BC947" s="8">
        <f ca="1">IF(COUNTIF(PlayerGameData[EligFGOrder],PlayerGameData[[#This Row],[EligFGOrder]])&gt;1,PlayerGameData[[#This Row],[PointRank]]/100+PlayerGameData[[#This Row],[EligFGOrder]],PlayerGameData[[#This Row],[EligFGOrder]])</f>
        <v>1220.25</v>
      </c>
      <c r="BD947" s="8">
        <f ca="1">RANK(PlayerGameData[[#This Row],[EligFGTieBreak]],PlayerGameData[EligFGTieBreak],1)</f>
        <v>625</v>
      </c>
      <c r="BE947" s="8" t="str">
        <f>Roster!$D$3</f>
        <v>East</v>
      </c>
      <c r="BF947" s="8" t="str">
        <f>Roster!$D$2</f>
        <v>Northeast</v>
      </c>
      <c r="BG947" s="8" t="str">
        <f>Roster!$D$4</f>
        <v>North</v>
      </c>
      <c r="BH947" s="197">
        <f ca="1">IFERROR(VLOOKUP(CONCATENATE(PlayerGameData[[#This Row],[Opponent]]," ",MONTH(PlayerGameData[[#This Row],[Date]]),"/",DAY(PlayerGameData[[#This Row],[Date]]),"/",YEAR(PlayerGameData[[#This Row],[Date]])),Table35[],2,FALSE),0)</f>
        <v>0</v>
      </c>
      <c r="BI947" s="197">
        <f ca="1">IF(PlayerGameData[[#This Row],[Visible]]=1,1,1000)</f>
        <v>1000</v>
      </c>
      <c r="BJ947" s="197" t="e">
        <f ca="1">_xlfn.MAXIFS(TeamGameData[Win],TeamGameData[School, Opponent,Game'#],PlayerGameData[[#This Row],[School, Opponent,Game'#]])</f>
        <v>#NAME?</v>
      </c>
      <c r="BK947" s="197" t="e">
        <f ca="1">_xlfn.MAXIFS(TeamGameData[Loss],TeamGameData[School, Opponent,Game'#],PlayerGameData[[#This Row],[School, Opponent,Game'#]])</f>
        <v>#NAME?</v>
      </c>
    </row>
    <row r="948" spans="1:63" x14ac:dyDescent="0.25">
      <c r="A948" s="8" t="str">
        <f t="shared" ca="1" si="453"/>
        <v>Carson Barritt, 14</v>
      </c>
      <c r="B948" s="8" t="str">
        <f>Roster!$B$1</f>
        <v>Upton</v>
      </c>
      <c r="C948" s="8">
        <f t="shared" ca="1" si="441"/>
        <v>0</v>
      </c>
      <c r="D948" s="10">
        <f t="shared" ca="1" si="442"/>
        <v>0</v>
      </c>
      <c r="E948" s="8">
        <f t="shared" ca="1" si="443"/>
        <v>0</v>
      </c>
      <c r="F948" s="8">
        <f t="shared" ca="1" si="444"/>
        <v>0</v>
      </c>
      <c r="G948" s="8">
        <f t="shared" ca="1" si="445"/>
        <v>0</v>
      </c>
      <c r="H948" s="8">
        <f t="shared" ca="1" si="446"/>
        <v>0</v>
      </c>
      <c r="I948" s="8">
        <f t="shared" ca="1" si="447"/>
        <v>0</v>
      </c>
      <c r="J948" s="8">
        <f t="shared" ca="1" si="448"/>
        <v>0</v>
      </c>
      <c r="K948" s="8">
        <f t="shared" ca="1" si="449"/>
        <v>0</v>
      </c>
      <c r="L948" s="8">
        <f t="shared" ca="1" si="454"/>
        <v>0</v>
      </c>
      <c r="M948" s="8">
        <f t="shared" ca="1" si="455"/>
        <v>0</v>
      </c>
      <c r="N948" s="8">
        <f t="shared" ca="1" si="456"/>
        <v>0</v>
      </c>
      <c r="O948" s="8">
        <f t="shared" ca="1" si="457"/>
        <v>0</v>
      </c>
      <c r="P948" s="8">
        <f t="shared" ca="1" si="458"/>
        <v>0</v>
      </c>
      <c r="Q948" s="8">
        <f t="shared" ca="1" si="459"/>
        <v>0</v>
      </c>
      <c r="R948" s="8">
        <f t="shared" ca="1" si="460"/>
        <v>0</v>
      </c>
      <c r="S948" s="8">
        <f t="shared" ca="1" si="461"/>
        <v>0</v>
      </c>
      <c r="T948" s="8">
        <f t="shared" ca="1" si="462"/>
        <v>0</v>
      </c>
      <c r="U948" s="8">
        <f t="shared" ca="1" si="463"/>
        <v>0</v>
      </c>
      <c r="V948" s="8">
        <f t="shared" ca="1" si="464"/>
        <v>0</v>
      </c>
      <c r="W948" s="11" t="str">
        <f t="shared" ca="1" si="465"/>
        <v/>
      </c>
      <c r="X948" s="11" t="str">
        <f t="shared" ca="1" si="466"/>
        <v/>
      </c>
      <c r="Y948" s="11" t="str">
        <f t="shared" ca="1" si="467"/>
        <v/>
      </c>
      <c r="Z948" s="11" t="str">
        <f t="shared" ca="1" si="468"/>
        <v/>
      </c>
      <c r="AA948" s="11" t="str">
        <f t="shared" ca="1" si="469"/>
        <v/>
      </c>
      <c r="AB948" s="47">
        <f ca="1">PlayerGameData[[#This Row],[3FGA]]+PlayerGameData[[#This Row],[2FGA]]</f>
        <v>0</v>
      </c>
      <c r="AC948" s="47">
        <f ca="1">PlayerGameData[[#This Row],[OFF REB]]+PlayerGameData[[#This Row],[DEF REB]]</f>
        <v>0</v>
      </c>
      <c r="AD948" s="8">
        <f t="shared" si="450"/>
        <v>40</v>
      </c>
      <c r="AE948" s="8" t="str">
        <f t="shared" ca="1" si="451"/>
        <v>Carson Barritt, 14 - 0 1/0/1900</v>
      </c>
      <c r="AF948" s="8" t="str">
        <f t="shared" ca="1" si="470"/>
        <v/>
      </c>
      <c r="AG948" s="8" t="str">
        <f ca="1">IFERROR(IF(C948=0,"",IF(AND(VLOOKUP(PlayerGameData[[#This Row],[Opponent]],WYTeamInfo,2,FALSE)=Roster!$D$1,VLOOKUP(PlayerGameData[[#This Row],[Opponent]],WYTeamInfo,3,FALSE)=Roster!$D$2),"SR","")),"")</f>
        <v/>
      </c>
      <c r="AH948" s="8" t="str">
        <f>CONCATENATE(Roster!$D$1," ",Roster!$D$5)</f>
        <v>1A BB</v>
      </c>
      <c r="AI948" s="8" t="str">
        <f t="shared" ca="1" si="452"/>
        <v>Blank</v>
      </c>
      <c r="AJ948" s="8">
        <f ca="1">IFERROR(VLOOKUP(PlayerGameData[[#This Row],[School, Opponent,Game'#]],Table3[],2,FALSE),0)</f>
        <v>0</v>
      </c>
      <c r="AK948" s="8">
        <f ca="1">IF(PlayerGameData[[#This Row],[Visible]]=1,1,1000)</f>
        <v>1000</v>
      </c>
      <c r="AL948" s="8">
        <f ca="1">RANK(PlayerGameData[[#This Row],[TL PTS]],PlayerGameData[TL PTS],0)+PlayerGameData[[#This Row],[VisibleOrder]]</f>
        <v>1184</v>
      </c>
      <c r="AM948" s="8">
        <f ca="1">IF(COUNTIF(PlayerGameData[PointOrder],PlayerGameData[[#This Row],[PointOrder]])&gt;1,RANK(PlayerGameData[[#This Row],[FGA]],PlayerGameData[FGA],0)/100,0)+PlayerGameData[[#This Row],[PointOrder]]</f>
        <v>1186.1400000000001</v>
      </c>
      <c r="AN948" s="8">
        <f ca="1">RANK(PlayerGameData[[#This Row],[PointTieBreak]],PlayerGameData[PointTieBreak],1)</f>
        <v>625</v>
      </c>
      <c r="AO948" s="8">
        <f ca="1">RANK(PlayerGameData[[#This Row],[REB]],PlayerGameData[REB],0)+PlayerGameData[[#This Row],[VisibleOrder]]</f>
        <v>1191</v>
      </c>
      <c r="AP948" s="8">
        <f ca="1">IF(COUNTIF(PlayerGameData[REBOrder],PlayerGameData[[#This Row],[REBOrder]])&gt;1,PlayerGameData[[#This Row],[PointRank]]/100+PlayerGameData[[#This Row],[REBOrder]],PlayerGameData[[#This Row],[REBOrder]])</f>
        <v>1197.25</v>
      </c>
      <c r="AQ948" s="8">
        <f ca="1">RANK(PlayerGameData[[#This Row],[REBTieBreak]],PlayerGameData[REBTieBreak],1)</f>
        <v>625</v>
      </c>
      <c r="AR948" s="8">
        <f ca="1">RANK(PlayerGameData[[#This Row],[AST]],PlayerGameData[AST],0)+PlayerGameData[[#This Row],[VisibleOrder]]</f>
        <v>1157</v>
      </c>
      <c r="AS948" s="8">
        <f ca="1">IF(COUNTIF(PlayerGameData[ASTOrder],PlayerGameData[[#This Row],[ASTOrder]])&gt;1,PlayerGameData[[#This Row],[PointRank]]/100+PlayerGameData[[#This Row],[ASTOrder]],PlayerGameData[[#This Row],[ASTOrder]])</f>
        <v>1163.25</v>
      </c>
      <c r="AT948" s="8">
        <f ca="1">RANK(PlayerGameData[[#This Row],[ASTTieBreak]],PlayerGameData[ASTTieBreak],1)</f>
        <v>625</v>
      </c>
      <c r="AU948" s="8">
        <f ca="1">RANK(PlayerGameData[[#This Row],[STL]],PlayerGameData[STL],0)+PlayerGameData[[#This Row],[VisibleOrder]]</f>
        <v>1142</v>
      </c>
      <c r="AV948" s="8">
        <f ca="1">IF(COUNTIF(PlayerGameData[STLOrder],PlayerGameData[[#This Row],[STLOrder]])&gt;1,PlayerGameData[[#This Row],[PointRank]]/100+PlayerGameData[[#This Row],[STLOrder]],PlayerGameData[[#This Row],[STLOrder]])</f>
        <v>1148.25</v>
      </c>
      <c r="AW948" s="8">
        <f ca="1">RANK(PlayerGameData[[#This Row],[STLTieBreak]],PlayerGameData[STLTieBreak],1)</f>
        <v>625</v>
      </c>
      <c r="AX948" s="8">
        <f ca="1">RANK(PlayerGameData[[#This Row],[BLK]],PlayerGameData[BLK],0)+PlayerGameData[[#This Row],[VisibleOrder]]</f>
        <v>1031</v>
      </c>
      <c r="AY948" s="8">
        <f ca="1">IF(COUNTIF(PlayerGameData[BLKOrder],PlayerGameData[[#This Row],[BLKOrder]])&gt;1,PlayerGameData[[#This Row],[PointRank]]/100+PlayerGameData[[#This Row],[BLKOrder]],PlayerGameData[[#This Row],[BLKOrder]])</f>
        <v>1037.25</v>
      </c>
      <c r="AZ948" s="8">
        <f ca="1">RANK(PlayerGameData[[#This Row],[BLKTieBreak]],PlayerGameData[BLKTieBreak],1)</f>
        <v>625</v>
      </c>
      <c r="BA948" s="11">
        <f ca="1">IFERROR(IF(PlayerGameData[[#This Row],[FGA]]&gt;$AA$5,PlayerGameData[[#This Row],[FG%*]],PlayerGameData[[#This Row],[FG%*]]*-1),-2)</f>
        <v>-2</v>
      </c>
      <c r="BB948" s="8">
        <f ca="1">RANK(PlayerGameData[[#This Row],[EligFG]],PlayerGameData[EligFG],0)+PlayerGameData[[#This Row],[VisibleOrder]]</f>
        <v>1214</v>
      </c>
      <c r="BC948" s="8">
        <f ca="1">IF(COUNTIF(PlayerGameData[EligFGOrder],PlayerGameData[[#This Row],[EligFGOrder]])&gt;1,PlayerGameData[[#This Row],[PointRank]]/100+PlayerGameData[[#This Row],[EligFGOrder]],PlayerGameData[[#This Row],[EligFGOrder]])</f>
        <v>1220.25</v>
      </c>
      <c r="BD948" s="8">
        <f ca="1">RANK(PlayerGameData[[#This Row],[EligFGTieBreak]],PlayerGameData[EligFGTieBreak],1)</f>
        <v>625</v>
      </c>
      <c r="BE948" s="8" t="str">
        <f>Roster!$D$3</f>
        <v>East</v>
      </c>
      <c r="BF948" s="8" t="str">
        <f>Roster!$D$2</f>
        <v>Northeast</v>
      </c>
      <c r="BG948" s="8" t="str">
        <f>Roster!$D$4</f>
        <v>North</v>
      </c>
      <c r="BH948" s="197">
        <f ca="1">IFERROR(VLOOKUP(CONCATENATE(PlayerGameData[[#This Row],[Opponent]]," ",MONTH(PlayerGameData[[#This Row],[Date]]),"/",DAY(PlayerGameData[[#This Row],[Date]]),"/",YEAR(PlayerGameData[[#This Row],[Date]])),Table35[],2,FALSE),0)</f>
        <v>0</v>
      </c>
      <c r="BI948" s="197">
        <f ca="1">IF(PlayerGameData[[#This Row],[Visible]]=1,1,1000)</f>
        <v>1000</v>
      </c>
      <c r="BJ948" s="197" t="e">
        <f ca="1">_xlfn.MAXIFS(TeamGameData[Win],TeamGameData[School, Opponent,Game'#],PlayerGameData[[#This Row],[School, Opponent,Game'#]])</f>
        <v>#NAME?</v>
      </c>
      <c r="BK948" s="197" t="e">
        <f ca="1">_xlfn.MAXIFS(TeamGameData[Loss],TeamGameData[School, Opponent,Game'#],PlayerGameData[[#This Row],[School, Opponent,Game'#]])</f>
        <v>#NAME?</v>
      </c>
    </row>
    <row r="949" spans="1:63" x14ac:dyDescent="0.25">
      <c r="A949" s="8" t="str">
        <f t="shared" ca="1" si="453"/>
        <v>Ben Carpenter, 21</v>
      </c>
      <c r="B949" s="8" t="str">
        <f>Roster!$B$1</f>
        <v>Upton</v>
      </c>
      <c r="C949" s="8">
        <f t="shared" ca="1" si="441"/>
        <v>0</v>
      </c>
      <c r="D949" s="10">
        <f t="shared" ca="1" si="442"/>
        <v>0</v>
      </c>
      <c r="E949" s="8">
        <f t="shared" ca="1" si="443"/>
        <v>0</v>
      </c>
      <c r="F949" s="8">
        <f t="shared" ca="1" si="444"/>
        <v>0</v>
      </c>
      <c r="G949" s="8">
        <f t="shared" ca="1" si="445"/>
        <v>0</v>
      </c>
      <c r="H949" s="8">
        <f t="shared" ca="1" si="446"/>
        <v>0</v>
      </c>
      <c r="I949" s="8">
        <f t="shared" ca="1" si="447"/>
        <v>0</v>
      </c>
      <c r="J949" s="8">
        <f t="shared" ca="1" si="448"/>
        <v>0</v>
      </c>
      <c r="K949" s="8">
        <f t="shared" ca="1" si="449"/>
        <v>0</v>
      </c>
      <c r="L949" s="8">
        <f t="shared" ca="1" si="454"/>
        <v>0</v>
      </c>
      <c r="M949" s="8">
        <f t="shared" ca="1" si="455"/>
        <v>0</v>
      </c>
      <c r="N949" s="8">
        <f t="shared" ca="1" si="456"/>
        <v>0</v>
      </c>
      <c r="O949" s="8">
        <f t="shared" ca="1" si="457"/>
        <v>0</v>
      </c>
      <c r="P949" s="8">
        <f t="shared" ca="1" si="458"/>
        <v>0</v>
      </c>
      <c r="Q949" s="8">
        <f t="shared" ca="1" si="459"/>
        <v>0</v>
      </c>
      <c r="R949" s="8">
        <f t="shared" ca="1" si="460"/>
        <v>0</v>
      </c>
      <c r="S949" s="8">
        <f t="shared" ca="1" si="461"/>
        <v>0</v>
      </c>
      <c r="T949" s="8">
        <f t="shared" ca="1" si="462"/>
        <v>0</v>
      </c>
      <c r="U949" s="8">
        <f t="shared" ca="1" si="463"/>
        <v>0</v>
      </c>
      <c r="V949" s="8">
        <f t="shared" ca="1" si="464"/>
        <v>0</v>
      </c>
      <c r="W949" s="11" t="str">
        <f t="shared" ca="1" si="465"/>
        <v/>
      </c>
      <c r="X949" s="11" t="str">
        <f t="shared" ca="1" si="466"/>
        <v/>
      </c>
      <c r="Y949" s="11" t="str">
        <f t="shared" ca="1" si="467"/>
        <v/>
      </c>
      <c r="Z949" s="11" t="str">
        <f t="shared" ca="1" si="468"/>
        <v/>
      </c>
      <c r="AA949" s="11" t="str">
        <f t="shared" ca="1" si="469"/>
        <v/>
      </c>
      <c r="AB949" s="47">
        <f ca="1">PlayerGameData[[#This Row],[3FGA]]+PlayerGameData[[#This Row],[2FGA]]</f>
        <v>0</v>
      </c>
      <c r="AC949" s="47">
        <f ca="1">PlayerGameData[[#This Row],[OFF REB]]+PlayerGameData[[#This Row],[DEF REB]]</f>
        <v>0</v>
      </c>
      <c r="AD949" s="8">
        <f t="shared" si="450"/>
        <v>40</v>
      </c>
      <c r="AE949" s="8" t="str">
        <f t="shared" ca="1" si="451"/>
        <v>Ben Carpenter, 21 - 0 1/0/1900</v>
      </c>
      <c r="AF949" s="8" t="str">
        <f t="shared" ca="1" si="470"/>
        <v/>
      </c>
      <c r="AG949" s="8" t="str">
        <f ca="1">IFERROR(IF(C949=0,"",IF(AND(VLOOKUP(PlayerGameData[[#This Row],[Opponent]],WYTeamInfo,2,FALSE)=Roster!$D$1,VLOOKUP(PlayerGameData[[#This Row],[Opponent]],WYTeamInfo,3,FALSE)=Roster!$D$2),"SR","")),"")</f>
        <v/>
      </c>
      <c r="AH949" s="8" t="str">
        <f>CONCATENATE(Roster!$D$1," ",Roster!$D$5)</f>
        <v>1A BB</v>
      </c>
      <c r="AI949" s="8" t="str">
        <f t="shared" ca="1" si="452"/>
        <v>Blank</v>
      </c>
      <c r="AJ949" s="8">
        <f ca="1">IFERROR(VLOOKUP(PlayerGameData[[#This Row],[School, Opponent,Game'#]],Table3[],2,FALSE),0)</f>
        <v>0</v>
      </c>
      <c r="AK949" s="8">
        <f ca="1">IF(PlayerGameData[[#This Row],[Visible]]=1,1,1000)</f>
        <v>1000</v>
      </c>
      <c r="AL949" s="8">
        <f ca="1">RANK(PlayerGameData[[#This Row],[TL PTS]],PlayerGameData[TL PTS],0)+PlayerGameData[[#This Row],[VisibleOrder]]</f>
        <v>1184</v>
      </c>
      <c r="AM949" s="8">
        <f ca="1">IF(COUNTIF(PlayerGameData[PointOrder],PlayerGameData[[#This Row],[PointOrder]])&gt;1,RANK(PlayerGameData[[#This Row],[FGA]],PlayerGameData[FGA],0)/100,0)+PlayerGameData[[#This Row],[PointOrder]]</f>
        <v>1186.1400000000001</v>
      </c>
      <c r="AN949" s="8">
        <f ca="1">RANK(PlayerGameData[[#This Row],[PointTieBreak]],PlayerGameData[PointTieBreak],1)</f>
        <v>625</v>
      </c>
      <c r="AO949" s="8">
        <f ca="1">RANK(PlayerGameData[[#This Row],[REB]],PlayerGameData[REB],0)+PlayerGameData[[#This Row],[VisibleOrder]]</f>
        <v>1191</v>
      </c>
      <c r="AP949" s="8">
        <f ca="1">IF(COUNTIF(PlayerGameData[REBOrder],PlayerGameData[[#This Row],[REBOrder]])&gt;1,PlayerGameData[[#This Row],[PointRank]]/100+PlayerGameData[[#This Row],[REBOrder]],PlayerGameData[[#This Row],[REBOrder]])</f>
        <v>1197.25</v>
      </c>
      <c r="AQ949" s="8">
        <f ca="1">RANK(PlayerGameData[[#This Row],[REBTieBreak]],PlayerGameData[REBTieBreak],1)</f>
        <v>625</v>
      </c>
      <c r="AR949" s="8">
        <f ca="1">RANK(PlayerGameData[[#This Row],[AST]],PlayerGameData[AST],0)+PlayerGameData[[#This Row],[VisibleOrder]]</f>
        <v>1157</v>
      </c>
      <c r="AS949" s="8">
        <f ca="1">IF(COUNTIF(PlayerGameData[ASTOrder],PlayerGameData[[#This Row],[ASTOrder]])&gt;1,PlayerGameData[[#This Row],[PointRank]]/100+PlayerGameData[[#This Row],[ASTOrder]],PlayerGameData[[#This Row],[ASTOrder]])</f>
        <v>1163.25</v>
      </c>
      <c r="AT949" s="8">
        <f ca="1">RANK(PlayerGameData[[#This Row],[ASTTieBreak]],PlayerGameData[ASTTieBreak],1)</f>
        <v>625</v>
      </c>
      <c r="AU949" s="8">
        <f ca="1">RANK(PlayerGameData[[#This Row],[STL]],PlayerGameData[STL],0)+PlayerGameData[[#This Row],[VisibleOrder]]</f>
        <v>1142</v>
      </c>
      <c r="AV949" s="8">
        <f ca="1">IF(COUNTIF(PlayerGameData[STLOrder],PlayerGameData[[#This Row],[STLOrder]])&gt;1,PlayerGameData[[#This Row],[PointRank]]/100+PlayerGameData[[#This Row],[STLOrder]],PlayerGameData[[#This Row],[STLOrder]])</f>
        <v>1148.25</v>
      </c>
      <c r="AW949" s="8">
        <f ca="1">RANK(PlayerGameData[[#This Row],[STLTieBreak]],PlayerGameData[STLTieBreak],1)</f>
        <v>625</v>
      </c>
      <c r="AX949" s="8">
        <f ca="1">RANK(PlayerGameData[[#This Row],[BLK]],PlayerGameData[BLK],0)+PlayerGameData[[#This Row],[VisibleOrder]]</f>
        <v>1031</v>
      </c>
      <c r="AY949" s="8">
        <f ca="1">IF(COUNTIF(PlayerGameData[BLKOrder],PlayerGameData[[#This Row],[BLKOrder]])&gt;1,PlayerGameData[[#This Row],[PointRank]]/100+PlayerGameData[[#This Row],[BLKOrder]],PlayerGameData[[#This Row],[BLKOrder]])</f>
        <v>1037.25</v>
      </c>
      <c r="AZ949" s="8">
        <f ca="1">RANK(PlayerGameData[[#This Row],[BLKTieBreak]],PlayerGameData[BLKTieBreak],1)</f>
        <v>625</v>
      </c>
      <c r="BA949" s="11">
        <f ca="1">IFERROR(IF(PlayerGameData[[#This Row],[FGA]]&gt;$AA$5,PlayerGameData[[#This Row],[FG%*]],PlayerGameData[[#This Row],[FG%*]]*-1),-2)</f>
        <v>-2</v>
      </c>
      <c r="BB949" s="8">
        <f ca="1">RANK(PlayerGameData[[#This Row],[EligFG]],PlayerGameData[EligFG],0)+PlayerGameData[[#This Row],[VisibleOrder]]</f>
        <v>1214</v>
      </c>
      <c r="BC949" s="8">
        <f ca="1">IF(COUNTIF(PlayerGameData[EligFGOrder],PlayerGameData[[#This Row],[EligFGOrder]])&gt;1,PlayerGameData[[#This Row],[PointRank]]/100+PlayerGameData[[#This Row],[EligFGOrder]],PlayerGameData[[#This Row],[EligFGOrder]])</f>
        <v>1220.25</v>
      </c>
      <c r="BD949" s="8">
        <f ca="1">RANK(PlayerGameData[[#This Row],[EligFGTieBreak]],PlayerGameData[EligFGTieBreak],1)</f>
        <v>625</v>
      </c>
      <c r="BE949" s="8" t="str">
        <f>Roster!$D$3</f>
        <v>East</v>
      </c>
      <c r="BF949" s="8" t="str">
        <f>Roster!$D$2</f>
        <v>Northeast</v>
      </c>
      <c r="BG949" s="8" t="str">
        <f>Roster!$D$4</f>
        <v>North</v>
      </c>
      <c r="BH949" s="197">
        <f ca="1">IFERROR(VLOOKUP(CONCATENATE(PlayerGameData[[#This Row],[Opponent]]," ",MONTH(PlayerGameData[[#This Row],[Date]]),"/",DAY(PlayerGameData[[#This Row],[Date]]),"/",YEAR(PlayerGameData[[#This Row],[Date]])),Table35[],2,FALSE),0)</f>
        <v>0</v>
      </c>
      <c r="BI949" s="197">
        <f ca="1">IF(PlayerGameData[[#This Row],[Visible]]=1,1,1000)</f>
        <v>1000</v>
      </c>
      <c r="BJ949" s="197" t="e">
        <f ca="1">_xlfn.MAXIFS(TeamGameData[Win],TeamGameData[School, Opponent,Game'#],PlayerGameData[[#This Row],[School, Opponent,Game'#]])</f>
        <v>#NAME?</v>
      </c>
      <c r="BK949" s="197" t="e">
        <f ca="1">_xlfn.MAXIFS(TeamGameData[Loss],TeamGameData[School, Opponent,Game'#],PlayerGameData[[#This Row],[School, Opponent,Game'#]])</f>
        <v>#NAME?</v>
      </c>
    </row>
    <row r="950" spans="1:63" x14ac:dyDescent="0.25">
      <c r="A950" s="8" t="str">
        <f t="shared" ca="1" si="453"/>
        <v>Ethan Schiller, 23</v>
      </c>
      <c r="B950" s="8" t="str">
        <f>Roster!$B$1</f>
        <v>Upton</v>
      </c>
      <c r="C950" s="8">
        <f t="shared" ca="1" si="441"/>
        <v>0</v>
      </c>
      <c r="D950" s="10">
        <f t="shared" ca="1" si="442"/>
        <v>0</v>
      </c>
      <c r="E950" s="8">
        <f t="shared" ca="1" si="443"/>
        <v>0</v>
      </c>
      <c r="F950" s="8">
        <f t="shared" ca="1" si="444"/>
        <v>0</v>
      </c>
      <c r="G950" s="8">
        <f t="shared" ca="1" si="445"/>
        <v>0</v>
      </c>
      <c r="H950" s="8">
        <f t="shared" ca="1" si="446"/>
        <v>0</v>
      </c>
      <c r="I950" s="8">
        <f t="shared" ca="1" si="447"/>
        <v>0</v>
      </c>
      <c r="J950" s="8">
        <f t="shared" ca="1" si="448"/>
        <v>0</v>
      </c>
      <c r="K950" s="8">
        <f t="shared" ca="1" si="449"/>
        <v>0</v>
      </c>
      <c r="L950" s="8">
        <f t="shared" ca="1" si="454"/>
        <v>0</v>
      </c>
      <c r="M950" s="8">
        <f t="shared" ca="1" si="455"/>
        <v>0</v>
      </c>
      <c r="N950" s="8">
        <f t="shared" ca="1" si="456"/>
        <v>0</v>
      </c>
      <c r="O950" s="8">
        <f t="shared" ca="1" si="457"/>
        <v>0</v>
      </c>
      <c r="P950" s="8">
        <f t="shared" ca="1" si="458"/>
        <v>0</v>
      </c>
      <c r="Q950" s="8">
        <f t="shared" ca="1" si="459"/>
        <v>0</v>
      </c>
      <c r="R950" s="8">
        <f t="shared" ca="1" si="460"/>
        <v>0</v>
      </c>
      <c r="S950" s="8">
        <f t="shared" ca="1" si="461"/>
        <v>0</v>
      </c>
      <c r="T950" s="8">
        <f t="shared" ca="1" si="462"/>
        <v>0</v>
      </c>
      <c r="U950" s="8">
        <f t="shared" ca="1" si="463"/>
        <v>0</v>
      </c>
      <c r="V950" s="8">
        <f t="shared" ca="1" si="464"/>
        <v>0</v>
      </c>
      <c r="W950" s="11" t="str">
        <f t="shared" ca="1" si="465"/>
        <v/>
      </c>
      <c r="X950" s="11" t="str">
        <f t="shared" ca="1" si="466"/>
        <v/>
      </c>
      <c r="Y950" s="11" t="str">
        <f t="shared" ca="1" si="467"/>
        <v/>
      </c>
      <c r="Z950" s="11" t="str">
        <f t="shared" ca="1" si="468"/>
        <v/>
      </c>
      <c r="AA950" s="11" t="str">
        <f t="shared" ca="1" si="469"/>
        <v/>
      </c>
      <c r="AB950" s="47">
        <f ca="1">PlayerGameData[[#This Row],[3FGA]]+PlayerGameData[[#This Row],[2FGA]]</f>
        <v>0</v>
      </c>
      <c r="AC950" s="47">
        <f ca="1">PlayerGameData[[#This Row],[OFF REB]]+PlayerGameData[[#This Row],[DEF REB]]</f>
        <v>0</v>
      </c>
      <c r="AD950" s="8">
        <f t="shared" si="450"/>
        <v>40</v>
      </c>
      <c r="AE950" s="8" t="str">
        <f t="shared" ca="1" si="451"/>
        <v>Ethan Schiller, 23 - 0 1/0/1900</v>
      </c>
      <c r="AF950" s="8" t="str">
        <f t="shared" ca="1" si="470"/>
        <v/>
      </c>
      <c r="AG950" s="8" t="str">
        <f ca="1">IFERROR(IF(C950=0,"",IF(AND(VLOOKUP(PlayerGameData[[#This Row],[Opponent]],WYTeamInfo,2,FALSE)=Roster!$D$1,VLOOKUP(PlayerGameData[[#This Row],[Opponent]],WYTeamInfo,3,FALSE)=Roster!$D$2),"SR","")),"")</f>
        <v/>
      </c>
      <c r="AH950" s="8" t="str">
        <f>CONCATENATE(Roster!$D$1," ",Roster!$D$5)</f>
        <v>1A BB</v>
      </c>
      <c r="AI950" s="8" t="str">
        <f t="shared" ca="1" si="452"/>
        <v>Blank</v>
      </c>
      <c r="AJ950" s="8">
        <f ca="1">IFERROR(VLOOKUP(PlayerGameData[[#This Row],[School, Opponent,Game'#]],Table3[],2,FALSE),0)</f>
        <v>0</v>
      </c>
      <c r="AK950" s="8">
        <f ca="1">IF(PlayerGameData[[#This Row],[Visible]]=1,1,1000)</f>
        <v>1000</v>
      </c>
      <c r="AL950" s="8">
        <f ca="1">RANK(PlayerGameData[[#This Row],[TL PTS]],PlayerGameData[TL PTS],0)+PlayerGameData[[#This Row],[VisibleOrder]]</f>
        <v>1184</v>
      </c>
      <c r="AM950" s="8">
        <f ca="1">IF(COUNTIF(PlayerGameData[PointOrder],PlayerGameData[[#This Row],[PointOrder]])&gt;1,RANK(PlayerGameData[[#This Row],[FGA]],PlayerGameData[FGA],0)/100,0)+PlayerGameData[[#This Row],[PointOrder]]</f>
        <v>1186.1400000000001</v>
      </c>
      <c r="AN950" s="8">
        <f ca="1">RANK(PlayerGameData[[#This Row],[PointTieBreak]],PlayerGameData[PointTieBreak],1)</f>
        <v>625</v>
      </c>
      <c r="AO950" s="8">
        <f ca="1">RANK(PlayerGameData[[#This Row],[REB]],PlayerGameData[REB],0)+PlayerGameData[[#This Row],[VisibleOrder]]</f>
        <v>1191</v>
      </c>
      <c r="AP950" s="8">
        <f ca="1">IF(COUNTIF(PlayerGameData[REBOrder],PlayerGameData[[#This Row],[REBOrder]])&gt;1,PlayerGameData[[#This Row],[PointRank]]/100+PlayerGameData[[#This Row],[REBOrder]],PlayerGameData[[#This Row],[REBOrder]])</f>
        <v>1197.25</v>
      </c>
      <c r="AQ950" s="8">
        <f ca="1">RANK(PlayerGameData[[#This Row],[REBTieBreak]],PlayerGameData[REBTieBreak],1)</f>
        <v>625</v>
      </c>
      <c r="AR950" s="8">
        <f ca="1">RANK(PlayerGameData[[#This Row],[AST]],PlayerGameData[AST],0)+PlayerGameData[[#This Row],[VisibleOrder]]</f>
        <v>1157</v>
      </c>
      <c r="AS950" s="8">
        <f ca="1">IF(COUNTIF(PlayerGameData[ASTOrder],PlayerGameData[[#This Row],[ASTOrder]])&gt;1,PlayerGameData[[#This Row],[PointRank]]/100+PlayerGameData[[#This Row],[ASTOrder]],PlayerGameData[[#This Row],[ASTOrder]])</f>
        <v>1163.25</v>
      </c>
      <c r="AT950" s="8">
        <f ca="1">RANK(PlayerGameData[[#This Row],[ASTTieBreak]],PlayerGameData[ASTTieBreak],1)</f>
        <v>625</v>
      </c>
      <c r="AU950" s="8">
        <f ca="1">RANK(PlayerGameData[[#This Row],[STL]],PlayerGameData[STL],0)+PlayerGameData[[#This Row],[VisibleOrder]]</f>
        <v>1142</v>
      </c>
      <c r="AV950" s="8">
        <f ca="1">IF(COUNTIF(PlayerGameData[STLOrder],PlayerGameData[[#This Row],[STLOrder]])&gt;1,PlayerGameData[[#This Row],[PointRank]]/100+PlayerGameData[[#This Row],[STLOrder]],PlayerGameData[[#This Row],[STLOrder]])</f>
        <v>1148.25</v>
      </c>
      <c r="AW950" s="8">
        <f ca="1">RANK(PlayerGameData[[#This Row],[STLTieBreak]],PlayerGameData[STLTieBreak],1)</f>
        <v>625</v>
      </c>
      <c r="AX950" s="8">
        <f ca="1">RANK(PlayerGameData[[#This Row],[BLK]],PlayerGameData[BLK],0)+PlayerGameData[[#This Row],[VisibleOrder]]</f>
        <v>1031</v>
      </c>
      <c r="AY950" s="8">
        <f ca="1">IF(COUNTIF(PlayerGameData[BLKOrder],PlayerGameData[[#This Row],[BLKOrder]])&gt;1,PlayerGameData[[#This Row],[PointRank]]/100+PlayerGameData[[#This Row],[BLKOrder]],PlayerGameData[[#This Row],[BLKOrder]])</f>
        <v>1037.25</v>
      </c>
      <c r="AZ950" s="8">
        <f ca="1">RANK(PlayerGameData[[#This Row],[BLKTieBreak]],PlayerGameData[BLKTieBreak],1)</f>
        <v>625</v>
      </c>
      <c r="BA950" s="11">
        <f ca="1">IFERROR(IF(PlayerGameData[[#This Row],[FGA]]&gt;$AA$5,PlayerGameData[[#This Row],[FG%*]],PlayerGameData[[#This Row],[FG%*]]*-1),-2)</f>
        <v>-2</v>
      </c>
      <c r="BB950" s="8">
        <f ca="1">RANK(PlayerGameData[[#This Row],[EligFG]],PlayerGameData[EligFG],0)+PlayerGameData[[#This Row],[VisibleOrder]]</f>
        <v>1214</v>
      </c>
      <c r="BC950" s="8">
        <f ca="1">IF(COUNTIF(PlayerGameData[EligFGOrder],PlayerGameData[[#This Row],[EligFGOrder]])&gt;1,PlayerGameData[[#This Row],[PointRank]]/100+PlayerGameData[[#This Row],[EligFGOrder]],PlayerGameData[[#This Row],[EligFGOrder]])</f>
        <v>1220.25</v>
      </c>
      <c r="BD950" s="8">
        <f ca="1">RANK(PlayerGameData[[#This Row],[EligFGTieBreak]],PlayerGameData[EligFGTieBreak],1)</f>
        <v>625</v>
      </c>
      <c r="BE950" s="8" t="str">
        <f>Roster!$D$3</f>
        <v>East</v>
      </c>
      <c r="BF950" s="8" t="str">
        <f>Roster!$D$2</f>
        <v>Northeast</v>
      </c>
      <c r="BG950" s="8" t="str">
        <f>Roster!$D$4</f>
        <v>North</v>
      </c>
      <c r="BH950" s="197">
        <f ca="1">IFERROR(VLOOKUP(CONCATENATE(PlayerGameData[[#This Row],[Opponent]]," ",MONTH(PlayerGameData[[#This Row],[Date]]),"/",DAY(PlayerGameData[[#This Row],[Date]]),"/",YEAR(PlayerGameData[[#This Row],[Date]])),Table35[],2,FALSE),0)</f>
        <v>0</v>
      </c>
      <c r="BI950" s="197">
        <f ca="1">IF(PlayerGameData[[#This Row],[Visible]]=1,1,1000)</f>
        <v>1000</v>
      </c>
      <c r="BJ950" s="197" t="e">
        <f ca="1">_xlfn.MAXIFS(TeamGameData[Win],TeamGameData[School, Opponent,Game'#],PlayerGameData[[#This Row],[School, Opponent,Game'#]])</f>
        <v>#NAME?</v>
      </c>
      <c r="BK950" s="197" t="e">
        <f ca="1">_xlfn.MAXIFS(TeamGameData[Loss],TeamGameData[School, Opponent,Game'#],PlayerGameData[[#This Row],[School, Opponent,Game'#]])</f>
        <v>#NAME?</v>
      </c>
    </row>
    <row r="951" spans="1:63" x14ac:dyDescent="0.25">
      <c r="A951" s="8" t="str">
        <f t="shared" ca="1" si="453"/>
        <v>Bridger Bruce, 25</v>
      </c>
      <c r="B951" s="8" t="str">
        <f>Roster!$B$1</f>
        <v>Upton</v>
      </c>
      <c r="C951" s="8">
        <f t="shared" ca="1" si="441"/>
        <v>0</v>
      </c>
      <c r="D951" s="10">
        <f t="shared" ca="1" si="442"/>
        <v>0</v>
      </c>
      <c r="E951" s="8">
        <f t="shared" ca="1" si="443"/>
        <v>0</v>
      </c>
      <c r="F951" s="8">
        <f t="shared" ca="1" si="444"/>
        <v>0</v>
      </c>
      <c r="G951" s="8">
        <f t="shared" ca="1" si="445"/>
        <v>0</v>
      </c>
      <c r="H951" s="8">
        <f t="shared" ca="1" si="446"/>
        <v>0</v>
      </c>
      <c r="I951" s="8">
        <f t="shared" ca="1" si="447"/>
        <v>0</v>
      </c>
      <c r="J951" s="8">
        <f t="shared" ca="1" si="448"/>
        <v>0</v>
      </c>
      <c r="K951" s="8">
        <f t="shared" ca="1" si="449"/>
        <v>0</v>
      </c>
      <c r="L951" s="8">
        <f t="shared" ca="1" si="454"/>
        <v>0</v>
      </c>
      <c r="M951" s="8">
        <f t="shared" ca="1" si="455"/>
        <v>0</v>
      </c>
      <c r="N951" s="8">
        <f t="shared" ca="1" si="456"/>
        <v>0</v>
      </c>
      <c r="O951" s="8">
        <f t="shared" ca="1" si="457"/>
        <v>0</v>
      </c>
      <c r="P951" s="8">
        <f t="shared" ca="1" si="458"/>
        <v>0</v>
      </c>
      <c r="Q951" s="8">
        <f t="shared" ca="1" si="459"/>
        <v>0</v>
      </c>
      <c r="R951" s="8">
        <f t="shared" ca="1" si="460"/>
        <v>0</v>
      </c>
      <c r="S951" s="8">
        <f t="shared" ca="1" si="461"/>
        <v>0</v>
      </c>
      <c r="T951" s="8">
        <f t="shared" ca="1" si="462"/>
        <v>0</v>
      </c>
      <c r="U951" s="8">
        <f t="shared" ca="1" si="463"/>
        <v>0</v>
      </c>
      <c r="V951" s="8">
        <f t="shared" ca="1" si="464"/>
        <v>0</v>
      </c>
      <c r="W951" s="11" t="str">
        <f t="shared" ca="1" si="465"/>
        <v/>
      </c>
      <c r="X951" s="11" t="str">
        <f t="shared" ca="1" si="466"/>
        <v/>
      </c>
      <c r="Y951" s="11" t="str">
        <f t="shared" ca="1" si="467"/>
        <v/>
      </c>
      <c r="Z951" s="11" t="str">
        <f t="shared" ca="1" si="468"/>
        <v/>
      </c>
      <c r="AA951" s="11" t="str">
        <f t="shared" ca="1" si="469"/>
        <v/>
      </c>
      <c r="AB951" s="47">
        <f ca="1">PlayerGameData[[#This Row],[3FGA]]+PlayerGameData[[#This Row],[2FGA]]</f>
        <v>0</v>
      </c>
      <c r="AC951" s="47">
        <f ca="1">PlayerGameData[[#This Row],[OFF REB]]+PlayerGameData[[#This Row],[DEF REB]]</f>
        <v>0</v>
      </c>
      <c r="AD951" s="8">
        <f t="shared" si="450"/>
        <v>40</v>
      </c>
      <c r="AE951" s="8" t="str">
        <f t="shared" ca="1" si="451"/>
        <v>Bridger Bruce, 25 - 0 1/0/1900</v>
      </c>
      <c r="AF951" s="8" t="str">
        <f t="shared" ca="1" si="470"/>
        <v/>
      </c>
      <c r="AG951" s="8" t="str">
        <f ca="1">IFERROR(IF(C951=0,"",IF(AND(VLOOKUP(PlayerGameData[[#This Row],[Opponent]],WYTeamInfo,2,FALSE)=Roster!$D$1,VLOOKUP(PlayerGameData[[#This Row],[Opponent]],WYTeamInfo,3,FALSE)=Roster!$D$2),"SR","")),"")</f>
        <v/>
      </c>
      <c r="AH951" s="8" t="str">
        <f>CONCATENATE(Roster!$D$1," ",Roster!$D$5)</f>
        <v>1A BB</v>
      </c>
      <c r="AI951" s="8" t="str">
        <f t="shared" ca="1" si="452"/>
        <v>Blank</v>
      </c>
      <c r="AJ951" s="8">
        <f ca="1">IFERROR(VLOOKUP(PlayerGameData[[#This Row],[School, Opponent,Game'#]],Table3[],2,FALSE),0)</f>
        <v>0</v>
      </c>
      <c r="AK951" s="8">
        <f ca="1">IF(PlayerGameData[[#This Row],[Visible]]=1,1,1000)</f>
        <v>1000</v>
      </c>
      <c r="AL951" s="8">
        <f ca="1">RANK(PlayerGameData[[#This Row],[TL PTS]],PlayerGameData[TL PTS],0)+PlayerGameData[[#This Row],[VisibleOrder]]</f>
        <v>1184</v>
      </c>
      <c r="AM951" s="8">
        <f ca="1">IF(COUNTIF(PlayerGameData[PointOrder],PlayerGameData[[#This Row],[PointOrder]])&gt;1,RANK(PlayerGameData[[#This Row],[FGA]],PlayerGameData[FGA],0)/100,0)+PlayerGameData[[#This Row],[PointOrder]]</f>
        <v>1186.1400000000001</v>
      </c>
      <c r="AN951" s="8">
        <f ca="1">RANK(PlayerGameData[[#This Row],[PointTieBreak]],PlayerGameData[PointTieBreak],1)</f>
        <v>625</v>
      </c>
      <c r="AO951" s="8">
        <f ca="1">RANK(PlayerGameData[[#This Row],[REB]],PlayerGameData[REB],0)+PlayerGameData[[#This Row],[VisibleOrder]]</f>
        <v>1191</v>
      </c>
      <c r="AP951" s="8">
        <f ca="1">IF(COUNTIF(PlayerGameData[REBOrder],PlayerGameData[[#This Row],[REBOrder]])&gt;1,PlayerGameData[[#This Row],[PointRank]]/100+PlayerGameData[[#This Row],[REBOrder]],PlayerGameData[[#This Row],[REBOrder]])</f>
        <v>1197.25</v>
      </c>
      <c r="AQ951" s="8">
        <f ca="1">RANK(PlayerGameData[[#This Row],[REBTieBreak]],PlayerGameData[REBTieBreak],1)</f>
        <v>625</v>
      </c>
      <c r="AR951" s="8">
        <f ca="1">RANK(PlayerGameData[[#This Row],[AST]],PlayerGameData[AST],0)+PlayerGameData[[#This Row],[VisibleOrder]]</f>
        <v>1157</v>
      </c>
      <c r="AS951" s="8">
        <f ca="1">IF(COUNTIF(PlayerGameData[ASTOrder],PlayerGameData[[#This Row],[ASTOrder]])&gt;1,PlayerGameData[[#This Row],[PointRank]]/100+PlayerGameData[[#This Row],[ASTOrder]],PlayerGameData[[#This Row],[ASTOrder]])</f>
        <v>1163.25</v>
      </c>
      <c r="AT951" s="8">
        <f ca="1">RANK(PlayerGameData[[#This Row],[ASTTieBreak]],PlayerGameData[ASTTieBreak],1)</f>
        <v>625</v>
      </c>
      <c r="AU951" s="8">
        <f ca="1">RANK(PlayerGameData[[#This Row],[STL]],PlayerGameData[STL],0)+PlayerGameData[[#This Row],[VisibleOrder]]</f>
        <v>1142</v>
      </c>
      <c r="AV951" s="8">
        <f ca="1">IF(COUNTIF(PlayerGameData[STLOrder],PlayerGameData[[#This Row],[STLOrder]])&gt;1,PlayerGameData[[#This Row],[PointRank]]/100+PlayerGameData[[#This Row],[STLOrder]],PlayerGameData[[#This Row],[STLOrder]])</f>
        <v>1148.25</v>
      </c>
      <c r="AW951" s="8">
        <f ca="1">RANK(PlayerGameData[[#This Row],[STLTieBreak]],PlayerGameData[STLTieBreak],1)</f>
        <v>625</v>
      </c>
      <c r="AX951" s="8">
        <f ca="1">RANK(PlayerGameData[[#This Row],[BLK]],PlayerGameData[BLK],0)+PlayerGameData[[#This Row],[VisibleOrder]]</f>
        <v>1031</v>
      </c>
      <c r="AY951" s="8">
        <f ca="1">IF(COUNTIF(PlayerGameData[BLKOrder],PlayerGameData[[#This Row],[BLKOrder]])&gt;1,PlayerGameData[[#This Row],[PointRank]]/100+PlayerGameData[[#This Row],[BLKOrder]],PlayerGameData[[#This Row],[BLKOrder]])</f>
        <v>1037.25</v>
      </c>
      <c r="AZ951" s="8">
        <f ca="1">RANK(PlayerGameData[[#This Row],[BLKTieBreak]],PlayerGameData[BLKTieBreak],1)</f>
        <v>625</v>
      </c>
      <c r="BA951" s="11">
        <f ca="1">IFERROR(IF(PlayerGameData[[#This Row],[FGA]]&gt;$AA$5,PlayerGameData[[#This Row],[FG%*]],PlayerGameData[[#This Row],[FG%*]]*-1),-2)</f>
        <v>-2</v>
      </c>
      <c r="BB951" s="8">
        <f ca="1">RANK(PlayerGameData[[#This Row],[EligFG]],PlayerGameData[EligFG],0)+PlayerGameData[[#This Row],[VisibleOrder]]</f>
        <v>1214</v>
      </c>
      <c r="BC951" s="8">
        <f ca="1">IF(COUNTIF(PlayerGameData[EligFGOrder],PlayerGameData[[#This Row],[EligFGOrder]])&gt;1,PlayerGameData[[#This Row],[PointRank]]/100+PlayerGameData[[#This Row],[EligFGOrder]],PlayerGameData[[#This Row],[EligFGOrder]])</f>
        <v>1220.25</v>
      </c>
      <c r="BD951" s="8">
        <f ca="1">RANK(PlayerGameData[[#This Row],[EligFGTieBreak]],PlayerGameData[EligFGTieBreak],1)</f>
        <v>625</v>
      </c>
      <c r="BE951" s="8" t="str">
        <f>Roster!$D$3</f>
        <v>East</v>
      </c>
      <c r="BF951" s="8" t="str">
        <f>Roster!$D$2</f>
        <v>Northeast</v>
      </c>
      <c r="BG951" s="8" t="str">
        <f>Roster!$D$4</f>
        <v>North</v>
      </c>
      <c r="BH951" s="197">
        <f ca="1">IFERROR(VLOOKUP(CONCATENATE(PlayerGameData[[#This Row],[Opponent]]," ",MONTH(PlayerGameData[[#This Row],[Date]]),"/",DAY(PlayerGameData[[#This Row],[Date]]),"/",YEAR(PlayerGameData[[#This Row],[Date]])),Table35[],2,FALSE),0)</f>
        <v>0</v>
      </c>
      <c r="BI951" s="197">
        <f ca="1">IF(PlayerGameData[[#This Row],[Visible]]=1,1,1000)</f>
        <v>1000</v>
      </c>
      <c r="BJ951" s="197" t="e">
        <f ca="1">_xlfn.MAXIFS(TeamGameData[Win],TeamGameData[School, Opponent,Game'#],PlayerGameData[[#This Row],[School, Opponent,Game'#]])</f>
        <v>#NAME?</v>
      </c>
      <c r="BK951" s="197" t="e">
        <f ca="1">_xlfn.MAXIFS(TeamGameData[Loss],TeamGameData[School, Opponent,Game'#],PlayerGameData[[#This Row],[School, Opponent,Game'#]])</f>
        <v>#NAME?</v>
      </c>
    </row>
    <row r="952" spans="1:63" x14ac:dyDescent="0.25">
      <c r="A952" s="8" t="str">
        <f t="shared" ca="1" si="453"/>
        <v>Kailer Duarte, 31</v>
      </c>
      <c r="B952" s="8" t="str">
        <f>Roster!$B$1</f>
        <v>Upton</v>
      </c>
      <c r="C952" s="8">
        <f t="shared" ca="1" si="441"/>
        <v>0</v>
      </c>
      <c r="D952" s="10">
        <f t="shared" ca="1" si="442"/>
        <v>0</v>
      </c>
      <c r="E952" s="8">
        <f t="shared" ca="1" si="443"/>
        <v>0</v>
      </c>
      <c r="F952" s="8">
        <f t="shared" ca="1" si="444"/>
        <v>0</v>
      </c>
      <c r="G952" s="8">
        <f t="shared" ca="1" si="445"/>
        <v>0</v>
      </c>
      <c r="H952" s="8">
        <f t="shared" ca="1" si="446"/>
        <v>0</v>
      </c>
      <c r="I952" s="8">
        <f t="shared" ca="1" si="447"/>
        <v>0</v>
      </c>
      <c r="J952" s="8">
        <f t="shared" ca="1" si="448"/>
        <v>0</v>
      </c>
      <c r="K952" s="8">
        <f t="shared" ca="1" si="449"/>
        <v>0</v>
      </c>
      <c r="L952" s="8">
        <f t="shared" ca="1" si="454"/>
        <v>0</v>
      </c>
      <c r="M952" s="8">
        <f t="shared" ca="1" si="455"/>
        <v>0</v>
      </c>
      <c r="N952" s="8">
        <f t="shared" ca="1" si="456"/>
        <v>0</v>
      </c>
      <c r="O952" s="8">
        <f t="shared" ca="1" si="457"/>
        <v>0</v>
      </c>
      <c r="P952" s="8">
        <f t="shared" ca="1" si="458"/>
        <v>0</v>
      </c>
      <c r="Q952" s="8">
        <f t="shared" ca="1" si="459"/>
        <v>0</v>
      </c>
      <c r="R952" s="8">
        <f t="shared" ca="1" si="460"/>
        <v>0</v>
      </c>
      <c r="S952" s="8">
        <f t="shared" ca="1" si="461"/>
        <v>0</v>
      </c>
      <c r="T952" s="8">
        <f t="shared" ca="1" si="462"/>
        <v>0</v>
      </c>
      <c r="U952" s="8">
        <f t="shared" ca="1" si="463"/>
        <v>0</v>
      </c>
      <c r="V952" s="8">
        <f t="shared" ca="1" si="464"/>
        <v>0</v>
      </c>
      <c r="W952" s="11" t="str">
        <f t="shared" ca="1" si="465"/>
        <v/>
      </c>
      <c r="X952" s="11" t="str">
        <f t="shared" ca="1" si="466"/>
        <v/>
      </c>
      <c r="Y952" s="11" t="str">
        <f t="shared" ca="1" si="467"/>
        <v/>
      </c>
      <c r="Z952" s="11" t="str">
        <f t="shared" ca="1" si="468"/>
        <v/>
      </c>
      <c r="AA952" s="11" t="str">
        <f t="shared" ca="1" si="469"/>
        <v/>
      </c>
      <c r="AB952" s="47">
        <f ca="1">PlayerGameData[[#This Row],[3FGA]]+PlayerGameData[[#This Row],[2FGA]]</f>
        <v>0</v>
      </c>
      <c r="AC952" s="47">
        <f ca="1">PlayerGameData[[#This Row],[OFF REB]]+PlayerGameData[[#This Row],[DEF REB]]</f>
        <v>0</v>
      </c>
      <c r="AD952" s="8">
        <f t="shared" si="450"/>
        <v>40</v>
      </c>
      <c r="AE952" s="8" t="str">
        <f t="shared" ca="1" si="451"/>
        <v>Kailer Duarte, 31 - 0 1/0/1900</v>
      </c>
      <c r="AF952" s="8" t="str">
        <f t="shared" ca="1" si="470"/>
        <v/>
      </c>
      <c r="AG952" s="8" t="str">
        <f ca="1">IFERROR(IF(C952=0,"",IF(AND(VLOOKUP(PlayerGameData[[#This Row],[Opponent]],WYTeamInfo,2,FALSE)=Roster!$D$1,VLOOKUP(PlayerGameData[[#This Row],[Opponent]],WYTeamInfo,3,FALSE)=Roster!$D$2),"SR","")),"")</f>
        <v/>
      </c>
      <c r="AH952" s="8" t="str">
        <f>CONCATENATE(Roster!$D$1," ",Roster!$D$5)</f>
        <v>1A BB</v>
      </c>
      <c r="AI952" s="8" t="str">
        <f t="shared" ca="1" si="452"/>
        <v>Blank</v>
      </c>
      <c r="AJ952" s="8">
        <f ca="1">IFERROR(VLOOKUP(PlayerGameData[[#This Row],[School, Opponent,Game'#]],Table3[],2,FALSE),0)</f>
        <v>0</v>
      </c>
      <c r="AK952" s="8">
        <f ca="1">IF(PlayerGameData[[#This Row],[Visible]]=1,1,1000)</f>
        <v>1000</v>
      </c>
      <c r="AL952" s="8">
        <f ca="1">RANK(PlayerGameData[[#This Row],[TL PTS]],PlayerGameData[TL PTS],0)+PlayerGameData[[#This Row],[VisibleOrder]]</f>
        <v>1184</v>
      </c>
      <c r="AM952" s="8">
        <f ca="1">IF(COUNTIF(PlayerGameData[PointOrder],PlayerGameData[[#This Row],[PointOrder]])&gt;1,RANK(PlayerGameData[[#This Row],[FGA]],PlayerGameData[FGA],0)/100,0)+PlayerGameData[[#This Row],[PointOrder]]</f>
        <v>1186.1400000000001</v>
      </c>
      <c r="AN952" s="8">
        <f ca="1">RANK(PlayerGameData[[#This Row],[PointTieBreak]],PlayerGameData[PointTieBreak],1)</f>
        <v>625</v>
      </c>
      <c r="AO952" s="8">
        <f ca="1">RANK(PlayerGameData[[#This Row],[REB]],PlayerGameData[REB],0)+PlayerGameData[[#This Row],[VisibleOrder]]</f>
        <v>1191</v>
      </c>
      <c r="AP952" s="8">
        <f ca="1">IF(COUNTIF(PlayerGameData[REBOrder],PlayerGameData[[#This Row],[REBOrder]])&gt;1,PlayerGameData[[#This Row],[PointRank]]/100+PlayerGameData[[#This Row],[REBOrder]],PlayerGameData[[#This Row],[REBOrder]])</f>
        <v>1197.25</v>
      </c>
      <c r="AQ952" s="8">
        <f ca="1">RANK(PlayerGameData[[#This Row],[REBTieBreak]],PlayerGameData[REBTieBreak],1)</f>
        <v>625</v>
      </c>
      <c r="AR952" s="8">
        <f ca="1">RANK(PlayerGameData[[#This Row],[AST]],PlayerGameData[AST],0)+PlayerGameData[[#This Row],[VisibleOrder]]</f>
        <v>1157</v>
      </c>
      <c r="AS952" s="8">
        <f ca="1">IF(COUNTIF(PlayerGameData[ASTOrder],PlayerGameData[[#This Row],[ASTOrder]])&gt;1,PlayerGameData[[#This Row],[PointRank]]/100+PlayerGameData[[#This Row],[ASTOrder]],PlayerGameData[[#This Row],[ASTOrder]])</f>
        <v>1163.25</v>
      </c>
      <c r="AT952" s="8">
        <f ca="1">RANK(PlayerGameData[[#This Row],[ASTTieBreak]],PlayerGameData[ASTTieBreak],1)</f>
        <v>625</v>
      </c>
      <c r="AU952" s="8">
        <f ca="1">RANK(PlayerGameData[[#This Row],[STL]],PlayerGameData[STL],0)+PlayerGameData[[#This Row],[VisibleOrder]]</f>
        <v>1142</v>
      </c>
      <c r="AV952" s="8">
        <f ca="1">IF(COUNTIF(PlayerGameData[STLOrder],PlayerGameData[[#This Row],[STLOrder]])&gt;1,PlayerGameData[[#This Row],[PointRank]]/100+PlayerGameData[[#This Row],[STLOrder]],PlayerGameData[[#This Row],[STLOrder]])</f>
        <v>1148.25</v>
      </c>
      <c r="AW952" s="8">
        <f ca="1">RANK(PlayerGameData[[#This Row],[STLTieBreak]],PlayerGameData[STLTieBreak],1)</f>
        <v>625</v>
      </c>
      <c r="AX952" s="8">
        <f ca="1">RANK(PlayerGameData[[#This Row],[BLK]],PlayerGameData[BLK],0)+PlayerGameData[[#This Row],[VisibleOrder]]</f>
        <v>1031</v>
      </c>
      <c r="AY952" s="8">
        <f ca="1">IF(COUNTIF(PlayerGameData[BLKOrder],PlayerGameData[[#This Row],[BLKOrder]])&gt;1,PlayerGameData[[#This Row],[PointRank]]/100+PlayerGameData[[#This Row],[BLKOrder]],PlayerGameData[[#This Row],[BLKOrder]])</f>
        <v>1037.25</v>
      </c>
      <c r="AZ952" s="8">
        <f ca="1">RANK(PlayerGameData[[#This Row],[BLKTieBreak]],PlayerGameData[BLKTieBreak],1)</f>
        <v>625</v>
      </c>
      <c r="BA952" s="11">
        <f ca="1">IFERROR(IF(PlayerGameData[[#This Row],[FGA]]&gt;$AA$5,PlayerGameData[[#This Row],[FG%*]],PlayerGameData[[#This Row],[FG%*]]*-1),-2)</f>
        <v>-2</v>
      </c>
      <c r="BB952" s="8">
        <f ca="1">RANK(PlayerGameData[[#This Row],[EligFG]],PlayerGameData[EligFG],0)+PlayerGameData[[#This Row],[VisibleOrder]]</f>
        <v>1214</v>
      </c>
      <c r="BC952" s="8">
        <f ca="1">IF(COUNTIF(PlayerGameData[EligFGOrder],PlayerGameData[[#This Row],[EligFGOrder]])&gt;1,PlayerGameData[[#This Row],[PointRank]]/100+PlayerGameData[[#This Row],[EligFGOrder]],PlayerGameData[[#This Row],[EligFGOrder]])</f>
        <v>1220.25</v>
      </c>
      <c r="BD952" s="8">
        <f ca="1">RANK(PlayerGameData[[#This Row],[EligFGTieBreak]],PlayerGameData[EligFGTieBreak],1)</f>
        <v>625</v>
      </c>
      <c r="BE952" s="8" t="str">
        <f>Roster!$D$3</f>
        <v>East</v>
      </c>
      <c r="BF952" s="8" t="str">
        <f>Roster!$D$2</f>
        <v>Northeast</v>
      </c>
      <c r="BG952" s="8" t="str">
        <f>Roster!$D$4</f>
        <v>North</v>
      </c>
      <c r="BH952" s="197">
        <f ca="1">IFERROR(VLOOKUP(CONCATENATE(PlayerGameData[[#This Row],[Opponent]]," ",MONTH(PlayerGameData[[#This Row],[Date]]),"/",DAY(PlayerGameData[[#This Row],[Date]]),"/",YEAR(PlayerGameData[[#This Row],[Date]])),Table35[],2,FALSE),0)</f>
        <v>0</v>
      </c>
      <c r="BI952" s="197">
        <f ca="1">IF(PlayerGameData[[#This Row],[Visible]]=1,1,1000)</f>
        <v>1000</v>
      </c>
      <c r="BJ952" s="197" t="e">
        <f ca="1">_xlfn.MAXIFS(TeamGameData[Win],TeamGameData[School, Opponent,Game'#],PlayerGameData[[#This Row],[School, Opponent,Game'#]])</f>
        <v>#NAME?</v>
      </c>
      <c r="BK952" s="197" t="e">
        <f ca="1">_xlfn.MAXIFS(TeamGameData[Loss],TeamGameData[School, Opponent,Game'#],PlayerGameData[[#This Row],[School, Opponent,Game'#]])</f>
        <v>#NAME?</v>
      </c>
    </row>
    <row r="953" spans="1:63" x14ac:dyDescent="0.25">
      <c r="A953" s="8" t="str">
        <f t="shared" ca="1" si="453"/>
        <v>Matt Stirmel, 33</v>
      </c>
      <c r="B953" s="8" t="str">
        <f>Roster!$B$1</f>
        <v>Upton</v>
      </c>
      <c r="C953" s="8">
        <f t="shared" ca="1" si="441"/>
        <v>0</v>
      </c>
      <c r="D953" s="10">
        <f t="shared" ca="1" si="442"/>
        <v>0</v>
      </c>
      <c r="E953" s="8">
        <f t="shared" ca="1" si="443"/>
        <v>0</v>
      </c>
      <c r="F953" s="8">
        <f t="shared" ca="1" si="444"/>
        <v>0</v>
      </c>
      <c r="G953" s="8">
        <f t="shared" ca="1" si="445"/>
        <v>0</v>
      </c>
      <c r="H953" s="8">
        <f t="shared" ca="1" si="446"/>
        <v>0</v>
      </c>
      <c r="I953" s="8">
        <f t="shared" ca="1" si="447"/>
        <v>0</v>
      </c>
      <c r="J953" s="8">
        <f t="shared" ca="1" si="448"/>
        <v>0</v>
      </c>
      <c r="K953" s="8">
        <f t="shared" ca="1" si="449"/>
        <v>0</v>
      </c>
      <c r="L953" s="8">
        <f t="shared" ca="1" si="454"/>
        <v>0</v>
      </c>
      <c r="M953" s="8">
        <f t="shared" ca="1" si="455"/>
        <v>0</v>
      </c>
      <c r="N953" s="8">
        <f t="shared" ca="1" si="456"/>
        <v>0</v>
      </c>
      <c r="O953" s="8">
        <f t="shared" ca="1" si="457"/>
        <v>0</v>
      </c>
      <c r="P953" s="8">
        <f t="shared" ca="1" si="458"/>
        <v>0</v>
      </c>
      <c r="Q953" s="8">
        <f t="shared" ca="1" si="459"/>
        <v>0</v>
      </c>
      <c r="R953" s="8">
        <f t="shared" ca="1" si="460"/>
        <v>0</v>
      </c>
      <c r="S953" s="8">
        <f t="shared" ca="1" si="461"/>
        <v>0</v>
      </c>
      <c r="T953" s="8">
        <f t="shared" ca="1" si="462"/>
        <v>0</v>
      </c>
      <c r="U953" s="8">
        <f t="shared" ca="1" si="463"/>
        <v>0</v>
      </c>
      <c r="V953" s="8">
        <f t="shared" ca="1" si="464"/>
        <v>0</v>
      </c>
      <c r="W953" s="11" t="str">
        <f t="shared" ca="1" si="465"/>
        <v/>
      </c>
      <c r="X953" s="11" t="str">
        <f t="shared" ca="1" si="466"/>
        <v/>
      </c>
      <c r="Y953" s="11" t="str">
        <f t="shared" ca="1" si="467"/>
        <v/>
      </c>
      <c r="Z953" s="11" t="str">
        <f t="shared" ca="1" si="468"/>
        <v/>
      </c>
      <c r="AA953" s="11" t="str">
        <f t="shared" ca="1" si="469"/>
        <v/>
      </c>
      <c r="AB953" s="47">
        <f ca="1">PlayerGameData[[#This Row],[3FGA]]+PlayerGameData[[#This Row],[2FGA]]</f>
        <v>0</v>
      </c>
      <c r="AC953" s="47">
        <f ca="1">PlayerGameData[[#This Row],[OFF REB]]+PlayerGameData[[#This Row],[DEF REB]]</f>
        <v>0</v>
      </c>
      <c r="AD953" s="8">
        <f t="shared" si="450"/>
        <v>40</v>
      </c>
      <c r="AE953" s="8" t="str">
        <f t="shared" ca="1" si="451"/>
        <v>Matt Stirmel, 33 - 0 1/0/1900</v>
      </c>
      <c r="AF953" s="8" t="str">
        <f t="shared" ca="1" si="470"/>
        <v/>
      </c>
      <c r="AG953" s="8" t="str">
        <f ca="1">IFERROR(IF(C953=0,"",IF(AND(VLOOKUP(PlayerGameData[[#This Row],[Opponent]],WYTeamInfo,2,FALSE)=Roster!$D$1,VLOOKUP(PlayerGameData[[#This Row],[Opponent]],WYTeamInfo,3,FALSE)=Roster!$D$2),"SR","")),"")</f>
        <v/>
      </c>
      <c r="AH953" s="8" t="str">
        <f>CONCATENATE(Roster!$D$1," ",Roster!$D$5)</f>
        <v>1A BB</v>
      </c>
      <c r="AI953" s="8" t="str">
        <f t="shared" ca="1" si="452"/>
        <v>Blank</v>
      </c>
      <c r="AJ953" s="8">
        <f ca="1">IFERROR(VLOOKUP(PlayerGameData[[#This Row],[School, Opponent,Game'#]],Table3[],2,FALSE),0)</f>
        <v>0</v>
      </c>
      <c r="AK953" s="8">
        <f ca="1">IF(PlayerGameData[[#This Row],[Visible]]=1,1,1000)</f>
        <v>1000</v>
      </c>
      <c r="AL953" s="8">
        <f ca="1">RANK(PlayerGameData[[#This Row],[TL PTS]],PlayerGameData[TL PTS],0)+PlayerGameData[[#This Row],[VisibleOrder]]</f>
        <v>1184</v>
      </c>
      <c r="AM953" s="8">
        <f ca="1">IF(COUNTIF(PlayerGameData[PointOrder],PlayerGameData[[#This Row],[PointOrder]])&gt;1,RANK(PlayerGameData[[#This Row],[FGA]],PlayerGameData[FGA],0)/100,0)+PlayerGameData[[#This Row],[PointOrder]]</f>
        <v>1186.1400000000001</v>
      </c>
      <c r="AN953" s="8">
        <f ca="1">RANK(PlayerGameData[[#This Row],[PointTieBreak]],PlayerGameData[PointTieBreak],1)</f>
        <v>625</v>
      </c>
      <c r="AO953" s="8">
        <f ca="1">RANK(PlayerGameData[[#This Row],[REB]],PlayerGameData[REB],0)+PlayerGameData[[#This Row],[VisibleOrder]]</f>
        <v>1191</v>
      </c>
      <c r="AP953" s="8">
        <f ca="1">IF(COUNTIF(PlayerGameData[REBOrder],PlayerGameData[[#This Row],[REBOrder]])&gt;1,PlayerGameData[[#This Row],[PointRank]]/100+PlayerGameData[[#This Row],[REBOrder]],PlayerGameData[[#This Row],[REBOrder]])</f>
        <v>1197.25</v>
      </c>
      <c r="AQ953" s="8">
        <f ca="1">RANK(PlayerGameData[[#This Row],[REBTieBreak]],PlayerGameData[REBTieBreak],1)</f>
        <v>625</v>
      </c>
      <c r="AR953" s="8">
        <f ca="1">RANK(PlayerGameData[[#This Row],[AST]],PlayerGameData[AST],0)+PlayerGameData[[#This Row],[VisibleOrder]]</f>
        <v>1157</v>
      </c>
      <c r="AS953" s="8">
        <f ca="1">IF(COUNTIF(PlayerGameData[ASTOrder],PlayerGameData[[#This Row],[ASTOrder]])&gt;1,PlayerGameData[[#This Row],[PointRank]]/100+PlayerGameData[[#This Row],[ASTOrder]],PlayerGameData[[#This Row],[ASTOrder]])</f>
        <v>1163.25</v>
      </c>
      <c r="AT953" s="8">
        <f ca="1">RANK(PlayerGameData[[#This Row],[ASTTieBreak]],PlayerGameData[ASTTieBreak],1)</f>
        <v>625</v>
      </c>
      <c r="AU953" s="8">
        <f ca="1">RANK(PlayerGameData[[#This Row],[STL]],PlayerGameData[STL],0)+PlayerGameData[[#This Row],[VisibleOrder]]</f>
        <v>1142</v>
      </c>
      <c r="AV953" s="8">
        <f ca="1">IF(COUNTIF(PlayerGameData[STLOrder],PlayerGameData[[#This Row],[STLOrder]])&gt;1,PlayerGameData[[#This Row],[PointRank]]/100+PlayerGameData[[#This Row],[STLOrder]],PlayerGameData[[#This Row],[STLOrder]])</f>
        <v>1148.25</v>
      </c>
      <c r="AW953" s="8">
        <f ca="1">RANK(PlayerGameData[[#This Row],[STLTieBreak]],PlayerGameData[STLTieBreak],1)</f>
        <v>625</v>
      </c>
      <c r="AX953" s="8">
        <f ca="1">RANK(PlayerGameData[[#This Row],[BLK]],PlayerGameData[BLK],0)+PlayerGameData[[#This Row],[VisibleOrder]]</f>
        <v>1031</v>
      </c>
      <c r="AY953" s="8">
        <f ca="1">IF(COUNTIF(PlayerGameData[BLKOrder],PlayerGameData[[#This Row],[BLKOrder]])&gt;1,PlayerGameData[[#This Row],[PointRank]]/100+PlayerGameData[[#This Row],[BLKOrder]],PlayerGameData[[#This Row],[BLKOrder]])</f>
        <v>1037.25</v>
      </c>
      <c r="AZ953" s="8">
        <f ca="1">RANK(PlayerGameData[[#This Row],[BLKTieBreak]],PlayerGameData[BLKTieBreak],1)</f>
        <v>625</v>
      </c>
      <c r="BA953" s="11">
        <f ca="1">IFERROR(IF(PlayerGameData[[#This Row],[FGA]]&gt;$AA$5,PlayerGameData[[#This Row],[FG%*]],PlayerGameData[[#This Row],[FG%*]]*-1),-2)</f>
        <v>-2</v>
      </c>
      <c r="BB953" s="8">
        <f ca="1">RANK(PlayerGameData[[#This Row],[EligFG]],PlayerGameData[EligFG],0)+PlayerGameData[[#This Row],[VisibleOrder]]</f>
        <v>1214</v>
      </c>
      <c r="BC953" s="8">
        <f ca="1">IF(COUNTIF(PlayerGameData[EligFGOrder],PlayerGameData[[#This Row],[EligFGOrder]])&gt;1,PlayerGameData[[#This Row],[PointRank]]/100+PlayerGameData[[#This Row],[EligFGOrder]],PlayerGameData[[#This Row],[EligFGOrder]])</f>
        <v>1220.25</v>
      </c>
      <c r="BD953" s="8">
        <f ca="1">RANK(PlayerGameData[[#This Row],[EligFGTieBreak]],PlayerGameData[EligFGTieBreak],1)</f>
        <v>625</v>
      </c>
      <c r="BE953" s="8" t="str">
        <f>Roster!$D$3</f>
        <v>East</v>
      </c>
      <c r="BF953" s="8" t="str">
        <f>Roster!$D$2</f>
        <v>Northeast</v>
      </c>
      <c r="BG953" s="8" t="str">
        <f>Roster!$D$4</f>
        <v>North</v>
      </c>
      <c r="BH953" s="197">
        <f ca="1">IFERROR(VLOOKUP(CONCATENATE(PlayerGameData[[#This Row],[Opponent]]," ",MONTH(PlayerGameData[[#This Row],[Date]]),"/",DAY(PlayerGameData[[#This Row],[Date]]),"/",YEAR(PlayerGameData[[#This Row],[Date]])),Table35[],2,FALSE),0)</f>
        <v>0</v>
      </c>
      <c r="BI953" s="197">
        <f ca="1">IF(PlayerGameData[[#This Row],[Visible]]=1,1,1000)</f>
        <v>1000</v>
      </c>
      <c r="BJ953" s="197" t="e">
        <f ca="1">_xlfn.MAXIFS(TeamGameData[Win],TeamGameData[School, Opponent,Game'#],PlayerGameData[[#This Row],[School, Opponent,Game'#]])</f>
        <v>#NAME?</v>
      </c>
      <c r="BK953" s="197" t="e">
        <f ca="1">_xlfn.MAXIFS(TeamGameData[Loss],TeamGameData[School, Opponent,Game'#],PlayerGameData[[#This Row],[School, Opponent,Game'#]])</f>
        <v>#NAME?</v>
      </c>
    </row>
    <row r="954" spans="1:63" x14ac:dyDescent="0.25">
      <c r="A954" s="8" t="str">
        <f t="shared" ca="1" si="453"/>
        <v>Jacob McNutt, 34</v>
      </c>
      <c r="B954" s="8" t="str">
        <f>Roster!$B$1</f>
        <v>Upton</v>
      </c>
      <c r="C954" s="8">
        <f t="shared" ca="1" si="441"/>
        <v>0</v>
      </c>
      <c r="D954" s="10">
        <f t="shared" ca="1" si="442"/>
        <v>0</v>
      </c>
      <c r="E954" s="8">
        <f t="shared" ca="1" si="443"/>
        <v>0</v>
      </c>
      <c r="F954" s="8">
        <f t="shared" ca="1" si="444"/>
        <v>0</v>
      </c>
      <c r="G954" s="8">
        <f t="shared" ca="1" si="445"/>
        <v>0</v>
      </c>
      <c r="H954" s="8">
        <f t="shared" ca="1" si="446"/>
        <v>0</v>
      </c>
      <c r="I954" s="8">
        <f t="shared" ca="1" si="447"/>
        <v>0</v>
      </c>
      <c r="J954" s="8">
        <f t="shared" ca="1" si="448"/>
        <v>0</v>
      </c>
      <c r="K954" s="8">
        <f t="shared" ca="1" si="449"/>
        <v>0</v>
      </c>
      <c r="L954" s="8">
        <f t="shared" ca="1" si="454"/>
        <v>0</v>
      </c>
      <c r="M954" s="8">
        <f t="shared" ca="1" si="455"/>
        <v>0</v>
      </c>
      <c r="N954" s="8">
        <f t="shared" ca="1" si="456"/>
        <v>0</v>
      </c>
      <c r="O954" s="8">
        <f t="shared" ca="1" si="457"/>
        <v>0</v>
      </c>
      <c r="P954" s="8">
        <f t="shared" ca="1" si="458"/>
        <v>0</v>
      </c>
      <c r="Q954" s="8">
        <f t="shared" ca="1" si="459"/>
        <v>0</v>
      </c>
      <c r="R954" s="8">
        <f t="shared" ca="1" si="460"/>
        <v>0</v>
      </c>
      <c r="S954" s="8">
        <f t="shared" ca="1" si="461"/>
        <v>0</v>
      </c>
      <c r="T954" s="8">
        <f t="shared" ca="1" si="462"/>
        <v>0</v>
      </c>
      <c r="U954" s="8">
        <f t="shared" ca="1" si="463"/>
        <v>0</v>
      </c>
      <c r="V954" s="8">
        <f t="shared" ca="1" si="464"/>
        <v>0</v>
      </c>
      <c r="W954" s="11" t="str">
        <f t="shared" ca="1" si="465"/>
        <v/>
      </c>
      <c r="X954" s="11" t="str">
        <f t="shared" ca="1" si="466"/>
        <v/>
      </c>
      <c r="Y954" s="11" t="str">
        <f t="shared" ca="1" si="467"/>
        <v/>
      </c>
      <c r="Z954" s="11" t="str">
        <f t="shared" ca="1" si="468"/>
        <v/>
      </c>
      <c r="AA954" s="11" t="str">
        <f t="shared" ca="1" si="469"/>
        <v/>
      </c>
      <c r="AB954" s="47">
        <f ca="1">PlayerGameData[[#This Row],[3FGA]]+PlayerGameData[[#This Row],[2FGA]]</f>
        <v>0</v>
      </c>
      <c r="AC954" s="47">
        <f ca="1">PlayerGameData[[#This Row],[OFF REB]]+PlayerGameData[[#This Row],[DEF REB]]</f>
        <v>0</v>
      </c>
      <c r="AD954" s="8">
        <f t="shared" si="450"/>
        <v>40</v>
      </c>
      <c r="AE954" s="8" t="str">
        <f t="shared" ca="1" si="451"/>
        <v>Jacob McNutt, 34 - 0 1/0/1900</v>
      </c>
      <c r="AF954" s="8" t="str">
        <f t="shared" ca="1" si="470"/>
        <v/>
      </c>
      <c r="AG954" s="8" t="str">
        <f ca="1">IFERROR(IF(C954=0,"",IF(AND(VLOOKUP(PlayerGameData[[#This Row],[Opponent]],WYTeamInfo,2,FALSE)=Roster!$D$1,VLOOKUP(PlayerGameData[[#This Row],[Opponent]],WYTeamInfo,3,FALSE)=Roster!$D$2),"SR","")),"")</f>
        <v/>
      </c>
      <c r="AH954" s="8" t="str">
        <f>CONCATENATE(Roster!$D$1," ",Roster!$D$5)</f>
        <v>1A BB</v>
      </c>
      <c r="AI954" s="8" t="str">
        <f t="shared" ca="1" si="452"/>
        <v>Blank</v>
      </c>
      <c r="AJ954" s="8">
        <f ca="1">IFERROR(VLOOKUP(PlayerGameData[[#This Row],[School, Opponent,Game'#]],Table3[],2,FALSE),0)</f>
        <v>0</v>
      </c>
      <c r="AK954" s="8">
        <f ca="1">IF(PlayerGameData[[#This Row],[Visible]]=1,1,1000)</f>
        <v>1000</v>
      </c>
      <c r="AL954" s="8">
        <f ca="1">RANK(PlayerGameData[[#This Row],[TL PTS]],PlayerGameData[TL PTS],0)+PlayerGameData[[#This Row],[VisibleOrder]]</f>
        <v>1184</v>
      </c>
      <c r="AM954" s="8">
        <f ca="1">IF(COUNTIF(PlayerGameData[PointOrder],PlayerGameData[[#This Row],[PointOrder]])&gt;1,RANK(PlayerGameData[[#This Row],[FGA]],PlayerGameData[FGA],0)/100,0)+PlayerGameData[[#This Row],[PointOrder]]</f>
        <v>1186.1400000000001</v>
      </c>
      <c r="AN954" s="8">
        <f ca="1">RANK(PlayerGameData[[#This Row],[PointTieBreak]],PlayerGameData[PointTieBreak],1)</f>
        <v>625</v>
      </c>
      <c r="AO954" s="8">
        <f ca="1">RANK(PlayerGameData[[#This Row],[REB]],PlayerGameData[REB],0)+PlayerGameData[[#This Row],[VisibleOrder]]</f>
        <v>1191</v>
      </c>
      <c r="AP954" s="8">
        <f ca="1">IF(COUNTIF(PlayerGameData[REBOrder],PlayerGameData[[#This Row],[REBOrder]])&gt;1,PlayerGameData[[#This Row],[PointRank]]/100+PlayerGameData[[#This Row],[REBOrder]],PlayerGameData[[#This Row],[REBOrder]])</f>
        <v>1197.25</v>
      </c>
      <c r="AQ954" s="8">
        <f ca="1">RANK(PlayerGameData[[#This Row],[REBTieBreak]],PlayerGameData[REBTieBreak],1)</f>
        <v>625</v>
      </c>
      <c r="AR954" s="8">
        <f ca="1">RANK(PlayerGameData[[#This Row],[AST]],PlayerGameData[AST],0)+PlayerGameData[[#This Row],[VisibleOrder]]</f>
        <v>1157</v>
      </c>
      <c r="AS954" s="8">
        <f ca="1">IF(COUNTIF(PlayerGameData[ASTOrder],PlayerGameData[[#This Row],[ASTOrder]])&gt;1,PlayerGameData[[#This Row],[PointRank]]/100+PlayerGameData[[#This Row],[ASTOrder]],PlayerGameData[[#This Row],[ASTOrder]])</f>
        <v>1163.25</v>
      </c>
      <c r="AT954" s="8">
        <f ca="1">RANK(PlayerGameData[[#This Row],[ASTTieBreak]],PlayerGameData[ASTTieBreak],1)</f>
        <v>625</v>
      </c>
      <c r="AU954" s="8">
        <f ca="1">RANK(PlayerGameData[[#This Row],[STL]],PlayerGameData[STL],0)+PlayerGameData[[#This Row],[VisibleOrder]]</f>
        <v>1142</v>
      </c>
      <c r="AV954" s="8">
        <f ca="1">IF(COUNTIF(PlayerGameData[STLOrder],PlayerGameData[[#This Row],[STLOrder]])&gt;1,PlayerGameData[[#This Row],[PointRank]]/100+PlayerGameData[[#This Row],[STLOrder]],PlayerGameData[[#This Row],[STLOrder]])</f>
        <v>1148.25</v>
      </c>
      <c r="AW954" s="8">
        <f ca="1">RANK(PlayerGameData[[#This Row],[STLTieBreak]],PlayerGameData[STLTieBreak],1)</f>
        <v>625</v>
      </c>
      <c r="AX954" s="8">
        <f ca="1">RANK(PlayerGameData[[#This Row],[BLK]],PlayerGameData[BLK],0)+PlayerGameData[[#This Row],[VisibleOrder]]</f>
        <v>1031</v>
      </c>
      <c r="AY954" s="8">
        <f ca="1">IF(COUNTIF(PlayerGameData[BLKOrder],PlayerGameData[[#This Row],[BLKOrder]])&gt;1,PlayerGameData[[#This Row],[PointRank]]/100+PlayerGameData[[#This Row],[BLKOrder]],PlayerGameData[[#This Row],[BLKOrder]])</f>
        <v>1037.25</v>
      </c>
      <c r="AZ954" s="8">
        <f ca="1">RANK(PlayerGameData[[#This Row],[BLKTieBreak]],PlayerGameData[BLKTieBreak],1)</f>
        <v>625</v>
      </c>
      <c r="BA954" s="11">
        <f ca="1">IFERROR(IF(PlayerGameData[[#This Row],[FGA]]&gt;$AA$5,PlayerGameData[[#This Row],[FG%*]],PlayerGameData[[#This Row],[FG%*]]*-1),-2)</f>
        <v>-2</v>
      </c>
      <c r="BB954" s="8">
        <f ca="1">RANK(PlayerGameData[[#This Row],[EligFG]],PlayerGameData[EligFG],0)+PlayerGameData[[#This Row],[VisibleOrder]]</f>
        <v>1214</v>
      </c>
      <c r="BC954" s="8">
        <f ca="1">IF(COUNTIF(PlayerGameData[EligFGOrder],PlayerGameData[[#This Row],[EligFGOrder]])&gt;1,PlayerGameData[[#This Row],[PointRank]]/100+PlayerGameData[[#This Row],[EligFGOrder]],PlayerGameData[[#This Row],[EligFGOrder]])</f>
        <v>1220.25</v>
      </c>
      <c r="BD954" s="8">
        <f ca="1">RANK(PlayerGameData[[#This Row],[EligFGTieBreak]],PlayerGameData[EligFGTieBreak],1)</f>
        <v>625</v>
      </c>
      <c r="BE954" s="8" t="str">
        <f>Roster!$D$3</f>
        <v>East</v>
      </c>
      <c r="BF954" s="8" t="str">
        <f>Roster!$D$2</f>
        <v>Northeast</v>
      </c>
      <c r="BG954" s="8" t="str">
        <f>Roster!$D$4</f>
        <v>North</v>
      </c>
      <c r="BH954" s="197">
        <f ca="1">IFERROR(VLOOKUP(CONCATENATE(PlayerGameData[[#This Row],[Opponent]]," ",MONTH(PlayerGameData[[#This Row],[Date]]),"/",DAY(PlayerGameData[[#This Row],[Date]]),"/",YEAR(PlayerGameData[[#This Row],[Date]])),Table35[],2,FALSE),0)</f>
        <v>0</v>
      </c>
      <c r="BI954" s="197">
        <f ca="1">IF(PlayerGameData[[#This Row],[Visible]]=1,1,1000)</f>
        <v>1000</v>
      </c>
      <c r="BJ954" s="197" t="e">
        <f ca="1">_xlfn.MAXIFS(TeamGameData[Win],TeamGameData[School, Opponent,Game'#],PlayerGameData[[#This Row],[School, Opponent,Game'#]])</f>
        <v>#NAME?</v>
      </c>
      <c r="BK954" s="197" t="e">
        <f ca="1">_xlfn.MAXIFS(TeamGameData[Loss],TeamGameData[School, Opponent,Game'#],PlayerGameData[[#This Row],[School, Opponent,Game'#]])</f>
        <v>#NAME?</v>
      </c>
    </row>
    <row r="955" spans="1:63" x14ac:dyDescent="0.25">
      <c r="A955" s="8" t="str">
        <f t="shared" ca="1" si="453"/>
        <v>Ryan Baker, 35</v>
      </c>
      <c r="B955" s="8" t="str">
        <f>Roster!$B$1</f>
        <v>Upton</v>
      </c>
      <c r="C955" s="8">
        <f t="shared" ca="1" si="441"/>
        <v>0</v>
      </c>
      <c r="D955" s="10">
        <f t="shared" ca="1" si="442"/>
        <v>0</v>
      </c>
      <c r="E955" s="8">
        <f t="shared" ca="1" si="443"/>
        <v>0</v>
      </c>
      <c r="F955" s="8">
        <f t="shared" ca="1" si="444"/>
        <v>0</v>
      </c>
      <c r="G955" s="8">
        <f t="shared" ca="1" si="445"/>
        <v>0</v>
      </c>
      <c r="H955" s="8">
        <f t="shared" ca="1" si="446"/>
        <v>0</v>
      </c>
      <c r="I955" s="8">
        <f t="shared" ca="1" si="447"/>
        <v>0</v>
      </c>
      <c r="J955" s="8">
        <f t="shared" ca="1" si="448"/>
        <v>0</v>
      </c>
      <c r="K955" s="8">
        <f t="shared" ca="1" si="449"/>
        <v>0</v>
      </c>
      <c r="L955" s="8">
        <f t="shared" ca="1" si="454"/>
        <v>0</v>
      </c>
      <c r="M955" s="8">
        <f t="shared" ca="1" si="455"/>
        <v>0</v>
      </c>
      <c r="N955" s="8">
        <f t="shared" ca="1" si="456"/>
        <v>0</v>
      </c>
      <c r="O955" s="8">
        <f t="shared" ca="1" si="457"/>
        <v>0</v>
      </c>
      <c r="P955" s="8">
        <f t="shared" ca="1" si="458"/>
        <v>0</v>
      </c>
      <c r="Q955" s="8">
        <f t="shared" ca="1" si="459"/>
        <v>0</v>
      </c>
      <c r="R955" s="8">
        <f t="shared" ca="1" si="460"/>
        <v>0</v>
      </c>
      <c r="S955" s="8">
        <f t="shared" ca="1" si="461"/>
        <v>0</v>
      </c>
      <c r="T955" s="8">
        <f t="shared" ca="1" si="462"/>
        <v>0</v>
      </c>
      <c r="U955" s="8">
        <f t="shared" ca="1" si="463"/>
        <v>0</v>
      </c>
      <c r="V955" s="8">
        <f t="shared" ca="1" si="464"/>
        <v>0</v>
      </c>
      <c r="W955" s="11" t="str">
        <f t="shared" ca="1" si="465"/>
        <v/>
      </c>
      <c r="X955" s="11" t="str">
        <f t="shared" ca="1" si="466"/>
        <v/>
      </c>
      <c r="Y955" s="11" t="str">
        <f t="shared" ca="1" si="467"/>
        <v/>
      </c>
      <c r="Z955" s="11" t="str">
        <f t="shared" ca="1" si="468"/>
        <v/>
      </c>
      <c r="AA955" s="11" t="str">
        <f t="shared" ca="1" si="469"/>
        <v/>
      </c>
      <c r="AB955" s="47">
        <f ca="1">PlayerGameData[[#This Row],[3FGA]]+PlayerGameData[[#This Row],[2FGA]]</f>
        <v>0</v>
      </c>
      <c r="AC955" s="47">
        <f ca="1">PlayerGameData[[#This Row],[OFF REB]]+PlayerGameData[[#This Row],[DEF REB]]</f>
        <v>0</v>
      </c>
      <c r="AD955" s="8">
        <f t="shared" si="450"/>
        <v>40</v>
      </c>
      <c r="AE955" s="8" t="str">
        <f t="shared" ca="1" si="451"/>
        <v>Ryan Baker, 35 - 0 1/0/1900</v>
      </c>
      <c r="AF955" s="8" t="str">
        <f t="shared" ca="1" si="470"/>
        <v/>
      </c>
      <c r="AG955" s="8" t="str">
        <f ca="1">IFERROR(IF(C955=0,"",IF(AND(VLOOKUP(PlayerGameData[[#This Row],[Opponent]],WYTeamInfo,2,FALSE)=Roster!$D$1,VLOOKUP(PlayerGameData[[#This Row],[Opponent]],WYTeamInfo,3,FALSE)=Roster!$D$2),"SR","")),"")</f>
        <v/>
      </c>
      <c r="AH955" s="8" t="str">
        <f>CONCATENATE(Roster!$D$1," ",Roster!$D$5)</f>
        <v>1A BB</v>
      </c>
      <c r="AI955" s="8" t="str">
        <f t="shared" ca="1" si="452"/>
        <v>Blank</v>
      </c>
      <c r="AJ955" s="8">
        <f ca="1">IFERROR(VLOOKUP(PlayerGameData[[#This Row],[School, Opponent,Game'#]],Table3[],2,FALSE),0)</f>
        <v>0</v>
      </c>
      <c r="AK955" s="8">
        <f ca="1">IF(PlayerGameData[[#This Row],[Visible]]=1,1,1000)</f>
        <v>1000</v>
      </c>
      <c r="AL955" s="8">
        <f ca="1">RANK(PlayerGameData[[#This Row],[TL PTS]],PlayerGameData[TL PTS],0)+PlayerGameData[[#This Row],[VisibleOrder]]</f>
        <v>1184</v>
      </c>
      <c r="AM955" s="8">
        <f ca="1">IF(COUNTIF(PlayerGameData[PointOrder],PlayerGameData[[#This Row],[PointOrder]])&gt;1,RANK(PlayerGameData[[#This Row],[FGA]],PlayerGameData[FGA],0)/100,0)+PlayerGameData[[#This Row],[PointOrder]]</f>
        <v>1186.1400000000001</v>
      </c>
      <c r="AN955" s="8">
        <f ca="1">RANK(PlayerGameData[[#This Row],[PointTieBreak]],PlayerGameData[PointTieBreak],1)</f>
        <v>625</v>
      </c>
      <c r="AO955" s="8">
        <f ca="1">RANK(PlayerGameData[[#This Row],[REB]],PlayerGameData[REB],0)+PlayerGameData[[#This Row],[VisibleOrder]]</f>
        <v>1191</v>
      </c>
      <c r="AP955" s="8">
        <f ca="1">IF(COUNTIF(PlayerGameData[REBOrder],PlayerGameData[[#This Row],[REBOrder]])&gt;1,PlayerGameData[[#This Row],[PointRank]]/100+PlayerGameData[[#This Row],[REBOrder]],PlayerGameData[[#This Row],[REBOrder]])</f>
        <v>1197.25</v>
      </c>
      <c r="AQ955" s="8">
        <f ca="1">RANK(PlayerGameData[[#This Row],[REBTieBreak]],PlayerGameData[REBTieBreak],1)</f>
        <v>625</v>
      </c>
      <c r="AR955" s="8">
        <f ca="1">RANK(PlayerGameData[[#This Row],[AST]],PlayerGameData[AST],0)+PlayerGameData[[#This Row],[VisibleOrder]]</f>
        <v>1157</v>
      </c>
      <c r="AS955" s="8">
        <f ca="1">IF(COUNTIF(PlayerGameData[ASTOrder],PlayerGameData[[#This Row],[ASTOrder]])&gt;1,PlayerGameData[[#This Row],[PointRank]]/100+PlayerGameData[[#This Row],[ASTOrder]],PlayerGameData[[#This Row],[ASTOrder]])</f>
        <v>1163.25</v>
      </c>
      <c r="AT955" s="8">
        <f ca="1">RANK(PlayerGameData[[#This Row],[ASTTieBreak]],PlayerGameData[ASTTieBreak],1)</f>
        <v>625</v>
      </c>
      <c r="AU955" s="8">
        <f ca="1">RANK(PlayerGameData[[#This Row],[STL]],PlayerGameData[STL],0)+PlayerGameData[[#This Row],[VisibleOrder]]</f>
        <v>1142</v>
      </c>
      <c r="AV955" s="8">
        <f ca="1">IF(COUNTIF(PlayerGameData[STLOrder],PlayerGameData[[#This Row],[STLOrder]])&gt;1,PlayerGameData[[#This Row],[PointRank]]/100+PlayerGameData[[#This Row],[STLOrder]],PlayerGameData[[#This Row],[STLOrder]])</f>
        <v>1148.25</v>
      </c>
      <c r="AW955" s="8">
        <f ca="1">RANK(PlayerGameData[[#This Row],[STLTieBreak]],PlayerGameData[STLTieBreak],1)</f>
        <v>625</v>
      </c>
      <c r="AX955" s="8">
        <f ca="1">RANK(PlayerGameData[[#This Row],[BLK]],PlayerGameData[BLK],0)+PlayerGameData[[#This Row],[VisibleOrder]]</f>
        <v>1031</v>
      </c>
      <c r="AY955" s="8">
        <f ca="1">IF(COUNTIF(PlayerGameData[BLKOrder],PlayerGameData[[#This Row],[BLKOrder]])&gt;1,PlayerGameData[[#This Row],[PointRank]]/100+PlayerGameData[[#This Row],[BLKOrder]],PlayerGameData[[#This Row],[BLKOrder]])</f>
        <v>1037.25</v>
      </c>
      <c r="AZ955" s="8">
        <f ca="1">RANK(PlayerGameData[[#This Row],[BLKTieBreak]],PlayerGameData[BLKTieBreak],1)</f>
        <v>625</v>
      </c>
      <c r="BA955" s="11">
        <f ca="1">IFERROR(IF(PlayerGameData[[#This Row],[FGA]]&gt;$AA$5,PlayerGameData[[#This Row],[FG%*]],PlayerGameData[[#This Row],[FG%*]]*-1),-2)</f>
        <v>-2</v>
      </c>
      <c r="BB955" s="8">
        <f ca="1">RANK(PlayerGameData[[#This Row],[EligFG]],PlayerGameData[EligFG],0)+PlayerGameData[[#This Row],[VisibleOrder]]</f>
        <v>1214</v>
      </c>
      <c r="BC955" s="8">
        <f ca="1">IF(COUNTIF(PlayerGameData[EligFGOrder],PlayerGameData[[#This Row],[EligFGOrder]])&gt;1,PlayerGameData[[#This Row],[PointRank]]/100+PlayerGameData[[#This Row],[EligFGOrder]],PlayerGameData[[#This Row],[EligFGOrder]])</f>
        <v>1220.25</v>
      </c>
      <c r="BD955" s="8">
        <f ca="1">RANK(PlayerGameData[[#This Row],[EligFGTieBreak]],PlayerGameData[EligFGTieBreak],1)</f>
        <v>625</v>
      </c>
      <c r="BE955" s="8" t="str">
        <f>Roster!$D$3</f>
        <v>East</v>
      </c>
      <c r="BF955" s="8" t="str">
        <f>Roster!$D$2</f>
        <v>Northeast</v>
      </c>
      <c r="BG955" s="8" t="str">
        <f>Roster!$D$4</f>
        <v>North</v>
      </c>
      <c r="BH955" s="197">
        <f ca="1">IFERROR(VLOOKUP(CONCATENATE(PlayerGameData[[#This Row],[Opponent]]," ",MONTH(PlayerGameData[[#This Row],[Date]]),"/",DAY(PlayerGameData[[#This Row],[Date]]),"/",YEAR(PlayerGameData[[#This Row],[Date]])),Table35[],2,FALSE),0)</f>
        <v>0</v>
      </c>
      <c r="BI955" s="197">
        <f ca="1">IF(PlayerGameData[[#This Row],[Visible]]=1,1,1000)</f>
        <v>1000</v>
      </c>
      <c r="BJ955" s="197" t="e">
        <f ca="1">_xlfn.MAXIFS(TeamGameData[Win],TeamGameData[School, Opponent,Game'#],PlayerGameData[[#This Row],[School, Opponent,Game'#]])</f>
        <v>#NAME?</v>
      </c>
      <c r="BK955" s="197" t="e">
        <f ca="1">_xlfn.MAXIFS(TeamGameData[Loss],TeamGameData[School, Opponent,Game'#],PlayerGameData[[#This Row],[School, Opponent,Game'#]])</f>
        <v>#NAME?</v>
      </c>
    </row>
    <row r="956" spans="1:63" x14ac:dyDescent="0.25">
      <c r="A956" s="8" t="str">
        <f t="shared" ca="1" si="453"/>
        <v xml:space="preserve">, </v>
      </c>
      <c r="B956" s="8" t="str">
        <f>Roster!$B$1</f>
        <v>Upton</v>
      </c>
      <c r="C956" s="8">
        <f t="shared" ca="1" si="441"/>
        <v>0</v>
      </c>
      <c r="D956" s="10">
        <f t="shared" ca="1" si="442"/>
        <v>0</v>
      </c>
      <c r="E956" s="8">
        <f t="shared" ca="1" si="443"/>
        <v>0</v>
      </c>
      <c r="F956" s="8">
        <f t="shared" ca="1" si="444"/>
        <v>0</v>
      </c>
      <c r="G956" s="8">
        <f t="shared" ca="1" si="445"/>
        <v>0</v>
      </c>
      <c r="H956" s="8">
        <f t="shared" ca="1" si="446"/>
        <v>0</v>
      </c>
      <c r="I956" s="8">
        <f t="shared" ca="1" si="447"/>
        <v>0</v>
      </c>
      <c r="J956" s="8">
        <f t="shared" ca="1" si="448"/>
        <v>0</v>
      </c>
      <c r="K956" s="8">
        <f t="shared" ca="1" si="449"/>
        <v>0</v>
      </c>
      <c r="L956" s="8">
        <f t="shared" ca="1" si="454"/>
        <v>0</v>
      </c>
      <c r="M956" s="8">
        <f t="shared" ca="1" si="455"/>
        <v>0</v>
      </c>
      <c r="N956" s="8">
        <f t="shared" ca="1" si="456"/>
        <v>0</v>
      </c>
      <c r="O956" s="8">
        <f t="shared" ca="1" si="457"/>
        <v>0</v>
      </c>
      <c r="P956" s="8">
        <f t="shared" ca="1" si="458"/>
        <v>0</v>
      </c>
      <c r="Q956" s="8">
        <f t="shared" ca="1" si="459"/>
        <v>0</v>
      </c>
      <c r="R956" s="8">
        <f t="shared" ca="1" si="460"/>
        <v>0</v>
      </c>
      <c r="S956" s="8">
        <f t="shared" ca="1" si="461"/>
        <v>0</v>
      </c>
      <c r="T956" s="8">
        <f t="shared" ca="1" si="462"/>
        <v>0</v>
      </c>
      <c r="U956" s="8">
        <f t="shared" ca="1" si="463"/>
        <v>0</v>
      </c>
      <c r="V956" s="8">
        <f t="shared" ca="1" si="464"/>
        <v>0</v>
      </c>
      <c r="W956" s="11" t="str">
        <f t="shared" ca="1" si="465"/>
        <v/>
      </c>
      <c r="X956" s="11" t="str">
        <f t="shared" ca="1" si="466"/>
        <v/>
      </c>
      <c r="Y956" s="11" t="str">
        <f t="shared" ca="1" si="467"/>
        <v/>
      </c>
      <c r="Z956" s="11" t="str">
        <f t="shared" ca="1" si="468"/>
        <v/>
      </c>
      <c r="AA956" s="11" t="str">
        <f t="shared" ca="1" si="469"/>
        <v/>
      </c>
      <c r="AB956" s="47">
        <f ca="1">PlayerGameData[[#This Row],[3FGA]]+PlayerGameData[[#This Row],[2FGA]]</f>
        <v>0</v>
      </c>
      <c r="AC956" s="47">
        <f ca="1">PlayerGameData[[#This Row],[OFF REB]]+PlayerGameData[[#This Row],[DEF REB]]</f>
        <v>0</v>
      </c>
      <c r="AD956" s="8">
        <f t="shared" si="450"/>
        <v>40</v>
      </c>
      <c r="AE956" s="8" t="str">
        <f t="shared" ca="1" si="451"/>
        <v>,  - 0 1/0/1900</v>
      </c>
      <c r="AF956" s="8" t="str">
        <f t="shared" ca="1" si="470"/>
        <v/>
      </c>
      <c r="AG956" s="8" t="str">
        <f ca="1">IFERROR(IF(C956=0,"",IF(AND(VLOOKUP(PlayerGameData[[#This Row],[Opponent]],WYTeamInfo,2,FALSE)=Roster!$D$1,VLOOKUP(PlayerGameData[[#This Row],[Opponent]],WYTeamInfo,3,FALSE)=Roster!$D$2),"SR","")),"")</f>
        <v/>
      </c>
      <c r="AH956" s="8" t="str">
        <f>CONCATENATE(Roster!$D$1," ",Roster!$D$5)</f>
        <v>1A BB</v>
      </c>
      <c r="AI956" s="8" t="str">
        <f t="shared" ca="1" si="452"/>
        <v>Blank</v>
      </c>
      <c r="AJ956" s="8">
        <f ca="1">IFERROR(VLOOKUP(PlayerGameData[[#This Row],[School, Opponent,Game'#]],Table3[],2,FALSE),0)</f>
        <v>0</v>
      </c>
      <c r="AK956" s="8">
        <f ca="1">IF(PlayerGameData[[#This Row],[Visible]]=1,1,1000)</f>
        <v>1000</v>
      </c>
      <c r="AL956" s="8">
        <f ca="1">RANK(PlayerGameData[[#This Row],[TL PTS]],PlayerGameData[TL PTS],0)+PlayerGameData[[#This Row],[VisibleOrder]]</f>
        <v>1184</v>
      </c>
      <c r="AM956" s="8">
        <f ca="1">IF(COUNTIF(PlayerGameData[PointOrder],PlayerGameData[[#This Row],[PointOrder]])&gt;1,RANK(PlayerGameData[[#This Row],[FGA]],PlayerGameData[FGA],0)/100,0)+PlayerGameData[[#This Row],[PointOrder]]</f>
        <v>1186.1400000000001</v>
      </c>
      <c r="AN956" s="8">
        <f ca="1">RANK(PlayerGameData[[#This Row],[PointTieBreak]],PlayerGameData[PointTieBreak],1)</f>
        <v>625</v>
      </c>
      <c r="AO956" s="8">
        <f ca="1">RANK(PlayerGameData[[#This Row],[REB]],PlayerGameData[REB],0)+PlayerGameData[[#This Row],[VisibleOrder]]</f>
        <v>1191</v>
      </c>
      <c r="AP956" s="8">
        <f ca="1">IF(COUNTIF(PlayerGameData[REBOrder],PlayerGameData[[#This Row],[REBOrder]])&gt;1,PlayerGameData[[#This Row],[PointRank]]/100+PlayerGameData[[#This Row],[REBOrder]],PlayerGameData[[#This Row],[REBOrder]])</f>
        <v>1197.25</v>
      </c>
      <c r="AQ956" s="8">
        <f ca="1">RANK(PlayerGameData[[#This Row],[REBTieBreak]],PlayerGameData[REBTieBreak],1)</f>
        <v>625</v>
      </c>
      <c r="AR956" s="8">
        <f ca="1">RANK(PlayerGameData[[#This Row],[AST]],PlayerGameData[AST],0)+PlayerGameData[[#This Row],[VisibleOrder]]</f>
        <v>1157</v>
      </c>
      <c r="AS956" s="8">
        <f ca="1">IF(COUNTIF(PlayerGameData[ASTOrder],PlayerGameData[[#This Row],[ASTOrder]])&gt;1,PlayerGameData[[#This Row],[PointRank]]/100+PlayerGameData[[#This Row],[ASTOrder]],PlayerGameData[[#This Row],[ASTOrder]])</f>
        <v>1163.25</v>
      </c>
      <c r="AT956" s="8">
        <f ca="1">RANK(PlayerGameData[[#This Row],[ASTTieBreak]],PlayerGameData[ASTTieBreak],1)</f>
        <v>625</v>
      </c>
      <c r="AU956" s="8">
        <f ca="1">RANK(PlayerGameData[[#This Row],[STL]],PlayerGameData[STL],0)+PlayerGameData[[#This Row],[VisibleOrder]]</f>
        <v>1142</v>
      </c>
      <c r="AV956" s="8">
        <f ca="1">IF(COUNTIF(PlayerGameData[STLOrder],PlayerGameData[[#This Row],[STLOrder]])&gt;1,PlayerGameData[[#This Row],[PointRank]]/100+PlayerGameData[[#This Row],[STLOrder]],PlayerGameData[[#This Row],[STLOrder]])</f>
        <v>1148.25</v>
      </c>
      <c r="AW956" s="8">
        <f ca="1">RANK(PlayerGameData[[#This Row],[STLTieBreak]],PlayerGameData[STLTieBreak],1)</f>
        <v>625</v>
      </c>
      <c r="AX956" s="8">
        <f ca="1">RANK(PlayerGameData[[#This Row],[BLK]],PlayerGameData[BLK],0)+PlayerGameData[[#This Row],[VisibleOrder]]</f>
        <v>1031</v>
      </c>
      <c r="AY956" s="8">
        <f ca="1">IF(COUNTIF(PlayerGameData[BLKOrder],PlayerGameData[[#This Row],[BLKOrder]])&gt;1,PlayerGameData[[#This Row],[PointRank]]/100+PlayerGameData[[#This Row],[BLKOrder]],PlayerGameData[[#This Row],[BLKOrder]])</f>
        <v>1037.25</v>
      </c>
      <c r="AZ956" s="8">
        <f ca="1">RANK(PlayerGameData[[#This Row],[BLKTieBreak]],PlayerGameData[BLKTieBreak],1)</f>
        <v>625</v>
      </c>
      <c r="BA956" s="11">
        <f ca="1">IFERROR(IF(PlayerGameData[[#This Row],[FGA]]&gt;$AA$5,PlayerGameData[[#This Row],[FG%*]],PlayerGameData[[#This Row],[FG%*]]*-1),-2)</f>
        <v>-2</v>
      </c>
      <c r="BB956" s="8">
        <f ca="1">RANK(PlayerGameData[[#This Row],[EligFG]],PlayerGameData[EligFG],0)+PlayerGameData[[#This Row],[VisibleOrder]]</f>
        <v>1214</v>
      </c>
      <c r="BC956" s="8">
        <f ca="1">IF(COUNTIF(PlayerGameData[EligFGOrder],PlayerGameData[[#This Row],[EligFGOrder]])&gt;1,PlayerGameData[[#This Row],[PointRank]]/100+PlayerGameData[[#This Row],[EligFGOrder]],PlayerGameData[[#This Row],[EligFGOrder]])</f>
        <v>1220.25</v>
      </c>
      <c r="BD956" s="8">
        <f ca="1">RANK(PlayerGameData[[#This Row],[EligFGTieBreak]],PlayerGameData[EligFGTieBreak],1)</f>
        <v>625</v>
      </c>
      <c r="BE956" s="8" t="str">
        <f>Roster!$D$3</f>
        <v>East</v>
      </c>
      <c r="BF956" s="8" t="str">
        <f>Roster!$D$2</f>
        <v>Northeast</v>
      </c>
      <c r="BG956" s="8" t="str">
        <f>Roster!$D$4</f>
        <v>North</v>
      </c>
      <c r="BH956" s="197">
        <f ca="1">IFERROR(VLOOKUP(CONCATENATE(PlayerGameData[[#This Row],[Opponent]]," ",MONTH(PlayerGameData[[#This Row],[Date]]),"/",DAY(PlayerGameData[[#This Row],[Date]]),"/",YEAR(PlayerGameData[[#This Row],[Date]])),Table35[],2,FALSE),0)</f>
        <v>0</v>
      </c>
      <c r="BI956" s="197">
        <f ca="1">IF(PlayerGameData[[#This Row],[Visible]]=1,1,1000)</f>
        <v>1000</v>
      </c>
      <c r="BJ956" s="197" t="e">
        <f ca="1">_xlfn.MAXIFS(TeamGameData[Win],TeamGameData[School, Opponent,Game'#],PlayerGameData[[#This Row],[School, Opponent,Game'#]])</f>
        <v>#NAME?</v>
      </c>
      <c r="BK956" s="197" t="e">
        <f ca="1">_xlfn.MAXIFS(TeamGameData[Loss],TeamGameData[School, Opponent,Game'#],PlayerGameData[[#This Row],[School, Opponent,Game'#]])</f>
        <v>#NAME?</v>
      </c>
    </row>
    <row r="957" spans="1:63" x14ac:dyDescent="0.25">
      <c r="A957" s="8" t="str">
        <f t="shared" ca="1" si="453"/>
        <v xml:space="preserve">, </v>
      </c>
      <c r="B957" s="8" t="str">
        <f>Roster!$B$1</f>
        <v>Upton</v>
      </c>
      <c r="C957" s="8">
        <f t="shared" ca="1" si="441"/>
        <v>0</v>
      </c>
      <c r="D957" s="10">
        <f t="shared" ca="1" si="442"/>
        <v>0</v>
      </c>
      <c r="E957" s="8">
        <f t="shared" ca="1" si="443"/>
        <v>0</v>
      </c>
      <c r="F957" s="8">
        <f t="shared" ca="1" si="444"/>
        <v>0</v>
      </c>
      <c r="G957" s="8">
        <f t="shared" ca="1" si="445"/>
        <v>0</v>
      </c>
      <c r="H957" s="8">
        <f t="shared" ca="1" si="446"/>
        <v>0</v>
      </c>
      <c r="I957" s="8">
        <f t="shared" ca="1" si="447"/>
        <v>0</v>
      </c>
      <c r="J957" s="8">
        <f t="shared" ca="1" si="448"/>
        <v>0</v>
      </c>
      <c r="K957" s="8">
        <f t="shared" ca="1" si="449"/>
        <v>0</v>
      </c>
      <c r="L957" s="8">
        <f t="shared" ca="1" si="454"/>
        <v>0</v>
      </c>
      <c r="M957" s="8">
        <f t="shared" ca="1" si="455"/>
        <v>0</v>
      </c>
      <c r="N957" s="8">
        <f t="shared" ca="1" si="456"/>
        <v>0</v>
      </c>
      <c r="O957" s="8">
        <f t="shared" ca="1" si="457"/>
        <v>0</v>
      </c>
      <c r="P957" s="8">
        <f t="shared" ca="1" si="458"/>
        <v>0</v>
      </c>
      <c r="Q957" s="8">
        <f t="shared" ca="1" si="459"/>
        <v>0</v>
      </c>
      <c r="R957" s="8">
        <f t="shared" ca="1" si="460"/>
        <v>0</v>
      </c>
      <c r="S957" s="8">
        <f t="shared" ca="1" si="461"/>
        <v>0</v>
      </c>
      <c r="T957" s="8">
        <f t="shared" ca="1" si="462"/>
        <v>0</v>
      </c>
      <c r="U957" s="8">
        <f t="shared" ca="1" si="463"/>
        <v>0</v>
      </c>
      <c r="V957" s="8">
        <f t="shared" ca="1" si="464"/>
        <v>0</v>
      </c>
      <c r="W957" s="11" t="str">
        <f t="shared" ca="1" si="465"/>
        <v/>
      </c>
      <c r="X957" s="11" t="str">
        <f t="shared" ca="1" si="466"/>
        <v/>
      </c>
      <c r="Y957" s="11" t="str">
        <f t="shared" ca="1" si="467"/>
        <v/>
      </c>
      <c r="Z957" s="11" t="str">
        <f t="shared" ca="1" si="468"/>
        <v/>
      </c>
      <c r="AA957" s="11" t="str">
        <f t="shared" ca="1" si="469"/>
        <v/>
      </c>
      <c r="AB957" s="47">
        <f ca="1">PlayerGameData[[#This Row],[3FGA]]+PlayerGameData[[#This Row],[2FGA]]</f>
        <v>0</v>
      </c>
      <c r="AC957" s="47">
        <f ca="1">PlayerGameData[[#This Row],[OFF REB]]+PlayerGameData[[#This Row],[DEF REB]]</f>
        <v>0</v>
      </c>
      <c r="AD957" s="8">
        <f t="shared" si="450"/>
        <v>40</v>
      </c>
      <c r="AE957" s="8" t="str">
        <f t="shared" ca="1" si="451"/>
        <v>,  - 0 1/0/1900</v>
      </c>
      <c r="AF957" s="8" t="str">
        <f t="shared" ca="1" si="470"/>
        <v/>
      </c>
      <c r="AG957" s="8" t="str">
        <f ca="1">IFERROR(IF(C957=0,"",IF(AND(VLOOKUP(PlayerGameData[[#This Row],[Opponent]],WYTeamInfo,2,FALSE)=Roster!$D$1,VLOOKUP(PlayerGameData[[#This Row],[Opponent]],WYTeamInfo,3,FALSE)=Roster!$D$2),"SR","")),"")</f>
        <v/>
      </c>
      <c r="AH957" s="8" t="str">
        <f>CONCATENATE(Roster!$D$1," ",Roster!$D$5)</f>
        <v>1A BB</v>
      </c>
      <c r="AI957" s="8" t="str">
        <f t="shared" ca="1" si="452"/>
        <v>Blank</v>
      </c>
      <c r="AJ957" s="8">
        <f ca="1">IFERROR(VLOOKUP(PlayerGameData[[#This Row],[School, Opponent,Game'#]],Table3[],2,FALSE),0)</f>
        <v>0</v>
      </c>
      <c r="AK957" s="8">
        <f ca="1">IF(PlayerGameData[[#This Row],[Visible]]=1,1,1000)</f>
        <v>1000</v>
      </c>
      <c r="AL957" s="8">
        <f ca="1">RANK(PlayerGameData[[#This Row],[TL PTS]],PlayerGameData[TL PTS],0)+PlayerGameData[[#This Row],[VisibleOrder]]</f>
        <v>1184</v>
      </c>
      <c r="AM957" s="8">
        <f ca="1">IF(COUNTIF(PlayerGameData[PointOrder],PlayerGameData[[#This Row],[PointOrder]])&gt;1,RANK(PlayerGameData[[#This Row],[FGA]],PlayerGameData[FGA],0)/100,0)+PlayerGameData[[#This Row],[PointOrder]]</f>
        <v>1186.1400000000001</v>
      </c>
      <c r="AN957" s="8">
        <f ca="1">RANK(PlayerGameData[[#This Row],[PointTieBreak]],PlayerGameData[PointTieBreak],1)</f>
        <v>625</v>
      </c>
      <c r="AO957" s="8">
        <f ca="1">RANK(PlayerGameData[[#This Row],[REB]],PlayerGameData[REB],0)+PlayerGameData[[#This Row],[VisibleOrder]]</f>
        <v>1191</v>
      </c>
      <c r="AP957" s="8">
        <f ca="1">IF(COUNTIF(PlayerGameData[REBOrder],PlayerGameData[[#This Row],[REBOrder]])&gt;1,PlayerGameData[[#This Row],[PointRank]]/100+PlayerGameData[[#This Row],[REBOrder]],PlayerGameData[[#This Row],[REBOrder]])</f>
        <v>1197.25</v>
      </c>
      <c r="AQ957" s="8">
        <f ca="1">RANK(PlayerGameData[[#This Row],[REBTieBreak]],PlayerGameData[REBTieBreak],1)</f>
        <v>625</v>
      </c>
      <c r="AR957" s="8">
        <f ca="1">RANK(PlayerGameData[[#This Row],[AST]],PlayerGameData[AST],0)+PlayerGameData[[#This Row],[VisibleOrder]]</f>
        <v>1157</v>
      </c>
      <c r="AS957" s="8">
        <f ca="1">IF(COUNTIF(PlayerGameData[ASTOrder],PlayerGameData[[#This Row],[ASTOrder]])&gt;1,PlayerGameData[[#This Row],[PointRank]]/100+PlayerGameData[[#This Row],[ASTOrder]],PlayerGameData[[#This Row],[ASTOrder]])</f>
        <v>1163.25</v>
      </c>
      <c r="AT957" s="8">
        <f ca="1">RANK(PlayerGameData[[#This Row],[ASTTieBreak]],PlayerGameData[ASTTieBreak],1)</f>
        <v>625</v>
      </c>
      <c r="AU957" s="8">
        <f ca="1">RANK(PlayerGameData[[#This Row],[STL]],PlayerGameData[STL],0)+PlayerGameData[[#This Row],[VisibleOrder]]</f>
        <v>1142</v>
      </c>
      <c r="AV957" s="8">
        <f ca="1">IF(COUNTIF(PlayerGameData[STLOrder],PlayerGameData[[#This Row],[STLOrder]])&gt;1,PlayerGameData[[#This Row],[PointRank]]/100+PlayerGameData[[#This Row],[STLOrder]],PlayerGameData[[#This Row],[STLOrder]])</f>
        <v>1148.25</v>
      </c>
      <c r="AW957" s="8">
        <f ca="1">RANK(PlayerGameData[[#This Row],[STLTieBreak]],PlayerGameData[STLTieBreak],1)</f>
        <v>625</v>
      </c>
      <c r="AX957" s="8">
        <f ca="1">RANK(PlayerGameData[[#This Row],[BLK]],PlayerGameData[BLK],0)+PlayerGameData[[#This Row],[VisibleOrder]]</f>
        <v>1031</v>
      </c>
      <c r="AY957" s="8">
        <f ca="1">IF(COUNTIF(PlayerGameData[BLKOrder],PlayerGameData[[#This Row],[BLKOrder]])&gt;1,PlayerGameData[[#This Row],[PointRank]]/100+PlayerGameData[[#This Row],[BLKOrder]],PlayerGameData[[#This Row],[BLKOrder]])</f>
        <v>1037.25</v>
      </c>
      <c r="AZ957" s="8">
        <f ca="1">RANK(PlayerGameData[[#This Row],[BLKTieBreak]],PlayerGameData[BLKTieBreak],1)</f>
        <v>625</v>
      </c>
      <c r="BA957" s="11">
        <f ca="1">IFERROR(IF(PlayerGameData[[#This Row],[FGA]]&gt;$AA$5,PlayerGameData[[#This Row],[FG%*]],PlayerGameData[[#This Row],[FG%*]]*-1),-2)</f>
        <v>-2</v>
      </c>
      <c r="BB957" s="8">
        <f ca="1">RANK(PlayerGameData[[#This Row],[EligFG]],PlayerGameData[EligFG],0)+PlayerGameData[[#This Row],[VisibleOrder]]</f>
        <v>1214</v>
      </c>
      <c r="BC957" s="8">
        <f ca="1">IF(COUNTIF(PlayerGameData[EligFGOrder],PlayerGameData[[#This Row],[EligFGOrder]])&gt;1,PlayerGameData[[#This Row],[PointRank]]/100+PlayerGameData[[#This Row],[EligFGOrder]],PlayerGameData[[#This Row],[EligFGOrder]])</f>
        <v>1220.25</v>
      </c>
      <c r="BD957" s="8">
        <f ca="1">RANK(PlayerGameData[[#This Row],[EligFGTieBreak]],PlayerGameData[EligFGTieBreak],1)</f>
        <v>625</v>
      </c>
      <c r="BE957" s="8" t="str">
        <f>Roster!$D$3</f>
        <v>East</v>
      </c>
      <c r="BF957" s="8" t="str">
        <f>Roster!$D$2</f>
        <v>Northeast</v>
      </c>
      <c r="BG957" s="8" t="str">
        <f>Roster!$D$4</f>
        <v>North</v>
      </c>
      <c r="BH957" s="197">
        <f ca="1">IFERROR(VLOOKUP(CONCATENATE(PlayerGameData[[#This Row],[Opponent]]," ",MONTH(PlayerGameData[[#This Row],[Date]]),"/",DAY(PlayerGameData[[#This Row],[Date]]),"/",YEAR(PlayerGameData[[#This Row],[Date]])),Table35[],2,FALSE),0)</f>
        <v>0</v>
      </c>
      <c r="BI957" s="197">
        <f ca="1">IF(PlayerGameData[[#This Row],[Visible]]=1,1,1000)</f>
        <v>1000</v>
      </c>
      <c r="BJ957" s="197" t="e">
        <f ca="1">_xlfn.MAXIFS(TeamGameData[Win],TeamGameData[School, Opponent,Game'#],PlayerGameData[[#This Row],[School, Opponent,Game'#]])</f>
        <v>#NAME?</v>
      </c>
      <c r="BK957" s="197" t="e">
        <f ca="1">_xlfn.MAXIFS(TeamGameData[Loss],TeamGameData[School, Opponent,Game'#],PlayerGameData[[#This Row],[School, Opponent,Game'#]])</f>
        <v>#NAME?</v>
      </c>
    </row>
    <row r="958" spans="1:63" x14ac:dyDescent="0.25">
      <c r="A958" s="8" t="str">
        <f t="shared" ca="1" si="453"/>
        <v xml:space="preserve">, </v>
      </c>
      <c r="B958" s="8" t="str">
        <f>Roster!$B$1</f>
        <v>Upton</v>
      </c>
      <c r="C958" s="8">
        <f t="shared" ca="1" si="441"/>
        <v>0</v>
      </c>
      <c r="D958" s="10">
        <f t="shared" ca="1" si="442"/>
        <v>0</v>
      </c>
      <c r="E958" s="8">
        <f t="shared" ca="1" si="443"/>
        <v>0</v>
      </c>
      <c r="F958" s="8">
        <f t="shared" ca="1" si="444"/>
        <v>0</v>
      </c>
      <c r="G958" s="8">
        <f t="shared" ca="1" si="445"/>
        <v>0</v>
      </c>
      <c r="H958" s="8">
        <f t="shared" ca="1" si="446"/>
        <v>0</v>
      </c>
      <c r="I958" s="8">
        <f t="shared" ca="1" si="447"/>
        <v>0</v>
      </c>
      <c r="J958" s="8">
        <f t="shared" ca="1" si="448"/>
        <v>0</v>
      </c>
      <c r="K958" s="8">
        <f t="shared" ca="1" si="449"/>
        <v>0</v>
      </c>
      <c r="L958" s="8">
        <f t="shared" ca="1" si="454"/>
        <v>0</v>
      </c>
      <c r="M958" s="8">
        <f t="shared" ca="1" si="455"/>
        <v>0</v>
      </c>
      <c r="N958" s="8">
        <f t="shared" ca="1" si="456"/>
        <v>0</v>
      </c>
      <c r="O958" s="8">
        <f t="shared" ca="1" si="457"/>
        <v>0</v>
      </c>
      <c r="P958" s="8">
        <f t="shared" ca="1" si="458"/>
        <v>0</v>
      </c>
      <c r="Q958" s="8">
        <f t="shared" ca="1" si="459"/>
        <v>0</v>
      </c>
      <c r="R958" s="8">
        <f t="shared" ca="1" si="460"/>
        <v>0</v>
      </c>
      <c r="S958" s="8">
        <f t="shared" ca="1" si="461"/>
        <v>0</v>
      </c>
      <c r="T958" s="8">
        <f t="shared" ca="1" si="462"/>
        <v>0</v>
      </c>
      <c r="U958" s="8">
        <f t="shared" ca="1" si="463"/>
        <v>0</v>
      </c>
      <c r="V958" s="8">
        <f t="shared" ca="1" si="464"/>
        <v>0</v>
      </c>
      <c r="W958" s="11" t="str">
        <f t="shared" ca="1" si="465"/>
        <v/>
      </c>
      <c r="X958" s="11" t="str">
        <f t="shared" ca="1" si="466"/>
        <v/>
      </c>
      <c r="Y958" s="11" t="str">
        <f t="shared" ca="1" si="467"/>
        <v/>
      </c>
      <c r="Z958" s="11" t="str">
        <f t="shared" ca="1" si="468"/>
        <v/>
      </c>
      <c r="AA958" s="11" t="str">
        <f t="shared" ca="1" si="469"/>
        <v/>
      </c>
      <c r="AB958" s="47">
        <f ca="1">PlayerGameData[[#This Row],[3FGA]]+PlayerGameData[[#This Row],[2FGA]]</f>
        <v>0</v>
      </c>
      <c r="AC958" s="47">
        <f ca="1">PlayerGameData[[#This Row],[OFF REB]]+PlayerGameData[[#This Row],[DEF REB]]</f>
        <v>0</v>
      </c>
      <c r="AD958" s="8">
        <f t="shared" si="450"/>
        <v>40</v>
      </c>
      <c r="AE958" s="8" t="str">
        <f t="shared" ca="1" si="451"/>
        <v>,  - 0 1/0/1900</v>
      </c>
      <c r="AF958" s="8" t="str">
        <f t="shared" ca="1" si="470"/>
        <v/>
      </c>
      <c r="AG958" s="8" t="str">
        <f ca="1">IFERROR(IF(C958=0,"",IF(AND(VLOOKUP(PlayerGameData[[#This Row],[Opponent]],WYTeamInfo,2,FALSE)=Roster!$D$1,VLOOKUP(PlayerGameData[[#This Row],[Opponent]],WYTeamInfo,3,FALSE)=Roster!$D$2),"SR","")),"")</f>
        <v/>
      </c>
      <c r="AH958" s="8" t="str">
        <f>CONCATENATE(Roster!$D$1," ",Roster!$D$5)</f>
        <v>1A BB</v>
      </c>
      <c r="AI958" s="8" t="str">
        <f t="shared" ca="1" si="452"/>
        <v>Blank</v>
      </c>
      <c r="AJ958" s="8">
        <f ca="1">IFERROR(VLOOKUP(PlayerGameData[[#This Row],[School, Opponent,Game'#]],Table3[],2,FALSE),0)</f>
        <v>0</v>
      </c>
      <c r="AK958" s="8">
        <f ca="1">IF(PlayerGameData[[#This Row],[Visible]]=1,1,1000)</f>
        <v>1000</v>
      </c>
      <c r="AL958" s="8">
        <f ca="1">RANK(PlayerGameData[[#This Row],[TL PTS]],PlayerGameData[TL PTS],0)+PlayerGameData[[#This Row],[VisibleOrder]]</f>
        <v>1184</v>
      </c>
      <c r="AM958" s="8">
        <f ca="1">IF(COUNTIF(PlayerGameData[PointOrder],PlayerGameData[[#This Row],[PointOrder]])&gt;1,RANK(PlayerGameData[[#This Row],[FGA]],PlayerGameData[FGA],0)/100,0)+PlayerGameData[[#This Row],[PointOrder]]</f>
        <v>1186.1400000000001</v>
      </c>
      <c r="AN958" s="8">
        <f ca="1">RANK(PlayerGameData[[#This Row],[PointTieBreak]],PlayerGameData[PointTieBreak],1)</f>
        <v>625</v>
      </c>
      <c r="AO958" s="8">
        <f ca="1">RANK(PlayerGameData[[#This Row],[REB]],PlayerGameData[REB],0)+PlayerGameData[[#This Row],[VisibleOrder]]</f>
        <v>1191</v>
      </c>
      <c r="AP958" s="8">
        <f ca="1">IF(COUNTIF(PlayerGameData[REBOrder],PlayerGameData[[#This Row],[REBOrder]])&gt;1,PlayerGameData[[#This Row],[PointRank]]/100+PlayerGameData[[#This Row],[REBOrder]],PlayerGameData[[#This Row],[REBOrder]])</f>
        <v>1197.25</v>
      </c>
      <c r="AQ958" s="8">
        <f ca="1">RANK(PlayerGameData[[#This Row],[REBTieBreak]],PlayerGameData[REBTieBreak],1)</f>
        <v>625</v>
      </c>
      <c r="AR958" s="8">
        <f ca="1">RANK(PlayerGameData[[#This Row],[AST]],PlayerGameData[AST],0)+PlayerGameData[[#This Row],[VisibleOrder]]</f>
        <v>1157</v>
      </c>
      <c r="AS958" s="8">
        <f ca="1">IF(COUNTIF(PlayerGameData[ASTOrder],PlayerGameData[[#This Row],[ASTOrder]])&gt;1,PlayerGameData[[#This Row],[PointRank]]/100+PlayerGameData[[#This Row],[ASTOrder]],PlayerGameData[[#This Row],[ASTOrder]])</f>
        <v>1163.25</v>
      </c>
      <c r="AT958" s="8">
        <f ca="1">RANK(PlayerGameData[[#This Row],[ASTTieBreak]],PlayerGameData[ASTTieBreak],1)</f>
        <v>625</v>
      </c>
      <c r="AU958" s="8">
        <f ca="1">RANK(PlayerGameData[[#This Row],[STL]],PlayerGameData[STL],0)+PlayerGameData[[#This Row],[VisibleOrder]]</f>
        <v>1142</v>
      </c>
      <c r="AV958" s="8">
        <f ca="1">IF(COUNTIF(PlayerGameData[STLOrder],PlayerGameData[[#This Row],[STLOrder]])&gt;1,PlayerGameData[[#This Row],[PointRank]]/100+PlayerGameData[[#This Row],[STLOrder]],PlayerGameData[[#This Row],[STLOrder]])</f>
        <v>1148.25</v>
      </c>
      <c r="AW958" s="8">
        <f ca="1">RANK(PlayerGameData[[#This Row],[STLTieBreak]],PlayerGameData[STLTieBreak],1)</f>
        <v>625</v>
      </c>
      <c r="AX958" s="8">
        <f ca="1">RANK(PlayerGameData[[#This Row],[BLK]],PlayerGameData[BLK],0)+PlayerGameData[[#This Row],[VisibleOrder]]</f>
        <v>1031</v>
      </c>
      <c r="AY958" s="8">
        <f ca="1">IF(COUNTIF(PlayerGameData[BLKOrder],PlayerGameData[[#This Row],[BLKOrder]])&gt;1,PlayerGameData[[#This Row],[PointRank]]/100+PlayerGameData[[#This Row],[BLKOrder]],PlayerGameData[[#This Row],[BLKOrder]])</f>
        <v>1037.25</v>
      </c>
      <c r="AZ958" s="8">
        <f ca="1">RANK(PlayerGameData[[#This Row],[BLKTieBreak]],PlayerGameData[BLKTieBreak],1)</f>
        <v>625</v>
      </c>
      <c r="BA958" s="11">
        <f ca="1">IFERROR(IF(PlayerGameData[[#This Row],[FGA]]&gt;$AA$5,PlayerGameData[[#This Row],[FG%*]],PlayerGameData[[#This Row],[FG%*]]*-1),-2)</f>
        <v>-2</v>
      </c>
      <c r="BB958" s="8">
        <f ca="1">RANK(PlayerGameData[[#This Row],[EligFG]],PlayerGameData[EligFG],0)+PlayerGameData[[#This Row],[VisibleOrder]]</f>
        <v>1214</v>
      </c>
      <c r="BC958" s="8">
        <f ca="1">IF(COUNTIF(PlayerGameData[EligFGOrder],PlayerGameData[[#This Row],[EligFGOrder]])&gt;1,PlayerGameData[[#This Row],[PointRank]]/100+PlayerGameData[[#This Row],[EligFGOrder]],PlayerGameData[[#This Row],[EligFGOrder]])</f>
        <v>1220.25</v>
      </c>
      <c r="BD958" s="8">
        <f ca="1">RANK(PlayerGameData[[#This Row],[EligFGTieBreak]],PlayerGameData[EligFGTieBreak],1)</f>
        <v>625</v>
      </c>
      <c r="BE958" s="8" t="str">
        <f>Roster!$D$3</f>
        <v>East</v>
      </c>
      <c r="BF958" s="8" t="str">
        <f>Roster!$D$2</f>
        <v>Northeast</v>
      </c>
      <c r="BG958" s="8" t="str">
        <f>Roster!$D$4</f>
        <v>North</v>
      </c>
      <c r="BH958" s="197">
        <f ca="1">IFERROR(VLOOKUP(CONCATENATE(PlayerGameData[[#This Row],[Opponent]]," ",MONTH(PlayerGameData[[#This Row],[Date]]),"/",DAY(PlayerGameData[[#This Row],[Date]]),"/",YEAR(PlayerGameData[[#This Row],[Date]])),Table35[],2,FALSE),0)</f>
        <v>0</v>
      </c>
      <c r="BI958" s="197">
        <f ca="1">IF(PlayerGameData[[#This Row],[Visible]]=1,1,1000)</f>
        <v>1000</v>
      </c>
      <c r="BJ958" s="197" t="e">
        <f ca="1">_xlfn.MAXIFS(TeamGameData[Win],TeamGameData[School, Opponent,Game'#],PlayerGameData[[#This Row],[School, Opponent,Game'#]])</f>
        <v>#NAME?</v>
      </c>
      <c r="BK958" s="197" t="e">
        <f ca="1">_xlfn.MAXIFS(TeamGameData[Loss],TeamGameData[School, Opponent,Game'#],PlayerGameData[[#This Row],[School, Opponent,Game'#]])</f>
        <v>#NAME?</v>
      </c>
    </row>
    <row r="959" spans="1:63" x14ac:dyDescent="0.25">
      <c r="A959" s="8" t="str">
        <f t="shared" ca="1" si="453"/>
        <v xml:space="preserve">, </v>
      </c>
      <c r="B959" s="8" t="str">
        <f>Roster!$B$1</f>
        <v>Upton</v>
      </c>
      <c r="C959" s="8">
        <f t="shared" ca="1" si="441"/>
        <v>0</v>
      </c>
      <c r="D959" s="10">
        <f t="shared" ca="1" si="442"/>
        <v>0</v>
      </c>
      <c r="E959" s="8">
        <f t="shared" ca="1" si="443"/>
        <v>0</v>
      </c>
      <c r="F959" s="8">
        <f t="shared" ca="1" si="444"/>
        <v>0</v>
      </c>
      <c r="G959" s="8">
        <f t="shared" ca="1" si="445"/>
        <v>0</v>
      </c>
      <c r="H959" s="8">
        <f t="shared" ca="1" si="446"/>
        <v>0</v>
      </c>
      <c r="I959" s="8">
        <f t="shared" ca="1" si="447"/>
        <v>0</v>
      </c>
      <c r="J959" s="8">
        <f t="shared" ca="1" si="448"/>
        <v>0</v>
      </c>
      <c r="K959" s="8">
        <f t="shared" ca="1" si="449"/>
        <v>0</v>
      </c>
      <c r="L959" s="8">
        <f t="shared" ca="1" si="454"/>
        <v>0</v>
      </c>
      <c r="M959" s="8">
        <f t="shared" ca="1" si="455"/>
        <v>0</v>
      </c>
      <c r="N959" s="8">
        <f t="shared" ca="1" si="456"/>
        <v>0</v>
      </c>
      <c r="O959" s="8">
        <f t="shared" ca="1" si="457"/>
        <v>0</v>
      </c>
      <c r="P959" s="8">
        <f t="shared" ca="1" si="458"/>
        <v>0</v>
      </c>
      <c r="Q959" s="8">
        <f t="shared" ca="1" si="459"/>
        <v>0</v>
      </c>
      <c r="R959" s="8">
        <f t="shared" ca="1" si="460"/>
        <v>0</v>
      </c>
      <c r="S959" s="8">
        <f t="shared" ca="1" si="461"/>
        <v>0</v>
      </c>
      <c r="T959" s="8">
        <f t="shared" ca="1" si="462"/>
        <v>0</v>
      </c>
      <c r="U959" s="8">
        <f t="shared" ca="1" si="463"/>
        <v>0</v>
      </c>
      <c r="V959" s="8">
        <f t="shared" ca="1" si="464"/>
        <v>0</v>
      </c>
      <c r="W959" s="11" t="str">
        <f t="shared" ca="1" si="465"/>
        <v/>
      </c>
      <c r="X959" s="11" t="str">
        <f t="shared" ca="1" si="466"/>
        <v/>
      </c>
      <c r="Y959" s="11" t="str">
        <f t="shared" ca="1" si="467"/>
        <v/>
      </c>
      <c r="Z959" s="11" t="str">
        <f t="shared" ca="1" si="468"/>
        <v/>
      </c>
      <c r="AA959" s="11" t="str">
        <f t="shared" ca="1" si="469"/>
        <v/>
      </c>
      <c r="AB959" s="47">
        <f ca="1">PlayerGameData[[#This Row],[3FGA]]+PlayerGameData[[#This Row],[2FGA]]</f>
        <v>0</v>
      </c>
      <c r="AC959" s="47">
        <f ca="1">PlayerGameData[[#This Row],[OFF REB]]+PlayerGameData[[#This Row],[DEF REB]]</f>
        <v>0</v>
      </c>
      <c r="AD959" s="8">
        <f t="shared" si="450"/>
        <v>40</v>
      </c>
      <c r="AE959" s="8" t="str">
        <f t="shared" ca="1" si="451"/>
        <v>,  - 0 1/0/1900</v>
      </c>
      <c r="AF959" s="8" t="str">
        <f t="shared" ca="1" si="470"/>
        <v/>
      </c>
      <c r="AG959" s="8" t="str">
        <f ca="1">IFERROR(IF(C959=0,"",IF(AND(VLOOKUP(PlayerGameData[[#This Row],[Opponent]],WYTeamInfo,2,FALSE)=Roster!$D$1,VLOOKUP(PlayerGameData[[#This Row],[Opponent]],WYTeamInfo,3,FALSE)=Roster!$D$2),"SR","")),"")</f>
        <v/>
      </c>
      <c r="AH959" s="8" t="str">
        <f>CONCATENATE(Roster!$D$1," ",Roster!$D$5)</f>
        <v>1A BB</v>
      </c>
      <c r="AI959" s="8" t="str">
        <f t="shared" ca="1" si="452"/>
        <v>Blank</v>
      </c>
      <c r="AJ959" s="8">
        <f ca="1">IFERROR(VLOOKUP(PlayerGameData[[#This Row],[School, Opponent,Game'#]],Table3[],2,FALSE),0)</f>
        <v>0</v>
      </c>
      <c r="AK959" s="8">
        <f ca="1">IF(PlayerGameData[[#This Row],[Visible]]=1,1,1000)</f>
        <v>1000</v>
      </c>
      <c r="AL959" s="8">
        <f ca="1">RANK(PlayerGameData[[#This Row],[TL PTS]],PlayerGameData[TL PTS],0)+PlayerGameData[[#This Row],[VisibleOrder]]</f>
        <v>1184</v>
      </c>
      <c r="AM959" s="8">
        <f ca="1">IF(COUNTIF(PlayerGameData[PointOrder],PlayerGameData[[#This Row],[PointOrder]])&gt;1,RANK(PlayerGameData[[#This Row],[FGA]],PlayerGameData[FGA],0)/100,0)+PlayerGameData[[#This Row],[PointOrder]]</f>
        <v>1186.1400000000001</v>
      </c>
      <c r="AN959" s="8">
        <f ca="1">RANK(PlayerGameData[[#This Row],[PointTieBreak]],PlayerGameData[PointTieBreak],1)</f>
        <v>625</v>
      </c>
      <c r="AO959" s="8">
        <f ca="1">RANK(PlayerGameData[[#This Row],[REB]],PlayerGameData[REB],0)+PlayerGameData[[#This Row],[VisibleOrder]]</f>
        <v>1191</v>
      </c>
      <c r="AP959" s="8">
        <f ca="1">IF(COUNTIF(PlayerGameData[REBOrder],PlayerGameData[[#This Row],[REBOrder]])&gt;1,PlayerGameData[[#This Row],[PointRank]]/100+PlayerGameData[[#This Row],[REBOrder]],PlayerGameData[[#This Row],[REBOrder]])</f>
        <v>1197.25</v>
      </c>
      <c r="AQ959" s="8">
        <f ca="1">RANK(PlayerGameData[[#This Row],[REBTieBreak]],PlayerGameData[REBTieBreak],1)</f>
        <v>625</v>
      </c>
      <c r="AR959" s="8">
        <f ca="1">RANK(PlayerGameData[[#This Row],[AST]],PlayerGameData[AST],0)+PlayerGameData[[#This Row],[VisibleOrder]]</f>
        <v>1157</v>
      </c>
      <c r="AS959" s="8">
        <f ca="1">IF(COUNTIF(PlayerGameData[ASTOrder],PlayerGameData[[#This Row],[ASTOrder]])&gt;1,PlayerGameData[[#This Row],[PointRank]]/100+PlayerGameData[[#This Row],[ASTOrder]],PlayerGameData[[#This Row],[ASTOrder]])</f>
        <v>1163.25</v>
      </c>
      <c r="AT959" s="8">
        <f ca="1">RANK(PlayerGameData[[#This Row],[ASTTieBreak]],PlayerGameData[ASTTieBreak],1)</f>
        <v>625</v>
      </c>
      <c r="AU959" s="8">
        <f ca="1">RANK(PlayerGameData[[#This Row],[STL]],PlayerGameData[STL],0)+PlayerGameData[[#This Row],[VisibleOrder]]</f>
        <v>1142</v>
      </c>
      <c r="AV959" s="8">
        <f ca="1">IF(COUNTIF(PlayerGameData[STLOrder],PlayerGameData[[#This Row],[STLOrder]])&gt;1,PlayerGameData[[#This Row],[PointRank]]/100+PlayerGameData[[#This Row],[STLOrder]],PlayerGameData[[#This Row],[STLOrder]])</f>
        <v>1148.25</v>
      </c>
      <c r="AW959" s="8">
        <f ca="1">RANK(PlayerGameData[[#This Row],[STLTieBreak]],PlayerGameData[STLTieBreak],1)</f>
        <v>625</v>
      </c>
      <c r="AX959" s="8">
        <f ca="1">RANK(PlayerGameData[[#This Row],[BLK]],PlayerGameData[BLK],0)+PlayerGameData[[#This Row],[VisibleOrder]]</f>
        <v>1031</v>
      </c>
      <c r="AY959" s="8">
        <f ca="1">IF(COUNTIF(PlayerGameData[BLKOrder],PlayerGameData[[#This Row],[BLKOrder]])&gt;1,PlayerGameData[[#This Row],[PointRank]]/100+PlayerGameData[[#This Row],[BLKOrder]],PlayerGameData[[#This Row],[BLKOrder]])</f>
        <v>1037.25</v>
      </c>
      <c r="AZ959" s="8">
        <f ca="1">RANK(PlayerGameData[[#This Row],[BLKTieBreak]],PlayerGameData[BLKTieBreak],1)</f>
        <v>625</v>
      </c>
      <c r="BA959" s="11">
        <f ca="1">IFERROR(IF(PlayerGameData[[#This Row],[FGA]]&gt;$AA$5,PlayerGameData[[#This Row],[FG%*]],PlayerGameData[[#This Row],[FG%*]]*-1),-2)</f>
        <v>-2</v>
      </c>
      <c r="BB959" s="8">
        <f ca="1">RANK(PlayerGameData[[#This Row],[EligFG]],PlayerGameData[EligFG],0)+PlayerGameData[[#This Row],[VisibleOrder]]</f>
        <v>1214</v>
      </c>
      <c r="BC959" s="8">
        <f ca="1">IF(COUNTIF(PlayerGameData[EligFGOrder],PlayerGameData[[#This Row],[EligFGOrder]])&gt;1,PlayerGameData[[#This Row],[PointRank]]/100+PlayerGameData[[#This Row],[EligFGOrder]],PlayerGameData[[#This Row],[EligFGOrder]])</f>
        <v>1220.25</v>
      </c>
      <c r="BD959" s="8">
        <f ca="1">RANK(PlayerGameData[[#This Row],[EligFGTieBreak]],PlayerGameData[EligFGTieBreak],1)</f>
        <v>625</v>
      </c>
      <c r="BE959" s="8" t="str">
        <f>Roster!$D$3</f>
        <v>East</v>
      </c>
      <c r="BF959" s="8" t="str">
        <f>Roster!$D$2</f>
        <v>Northeast</v>
      </c>
      <c r="BG959" s="8" t="str">
        <f>Roster!$D$4</f>
        <v>North</v>
      </c>
      <c r="BH959" s="197">
        <f ca="1">IFERROR(VLOOKUP(CONCATENATE(PlayerGameData[[#This Row],[Opponent]]," ",MONTH(PlayerGameData[[#This Row],[Date]]),"/",DAY(PlayerGameData[[#This Row],[Date]]),"/",YEAR(PlayerGameData[[#This Row],[Date]])),Table35[],2,FALSE),0)</f>
        <v>0</v>
      </c>
      <c r="BI959" s="197">
        <f ca="1">IF(PlayerGameData[[#This Row],[Visible]]=1,1,1000)</f>
        <v>1000</v>
      </c>
      <c r="BJ959" s="197" t="e">
        <f ca="1">_xlfn.MAXIFS(TeamGameData[Win],TeamGameData[School, Opponent,Game'#],PlayerGameData[[#This Row],[School, Opponent,Game'#]])</f>
        <v>#NAME?</v>
      </c>
      <c r="BK959" s="197" t="e">
        <f ca="1">_xlfn.MAXIFS(TeamGameData[Loss],TeamGameData[School, Opponent,Game'#],PlayerGameData[[#This Row],[School, Opponent,Game'#]])</f>
        <v>#NAME?</v>
      </c>
    </row>
    <row r="960" spans="1:63" x14ac:dyDescent="0.25">
      <c r="A960" s="8" t="str">
        <f t="shared" ca="1" si="453"/>
        <v xml:space="preserve">, </v>
      </c>
      <c r="B960" s="8" t="str">
        <f>Roster!$B$1</f>
        <v>Upton</v>
      </c>
      <c r="C960" s="8">
        <f t="shared" ca="1" si="441"/>
        <v>0</v>
      </c>
      <c r="D960" s="10">
        <f t="shared" ca="1" si="442"/>
        <v>0</v>
      </c>
      <c r="E960" s="8">
        <f t="shared" ca="1" si="443"/>
        <v>0</v>
      </c>
      <c r="F960" s="8">
        <f t="shared" ca="1" si="444"/>
        <v>0</v>
      </c>
      <c r="G960" s="8">
        <f t="shared" ca="1" si="445"/>
        <v>0</v>
      </c>
      <c r="H960" s="8">
        <f t="shared" ca="1" si="446"/>
        <v>0</v>
      </c>
      <c r="I960" s="8">
        <f t="shared" ca="1" si="447"/>
        <v>0</v>
      </c>
      <c r="J960" s="8">
        <f t="shared" ca="1" si="448"/>
        <v>0</v>
      </c>
      <c r="K960" s="8">
        <f t="shared" ca="1" si="449"/>
        <v>0</v>
      </c>
      <c r="L960" s="8">
        <f t="shared" ca="1" si="454"/>
        <v>0</v>
      </c>
      <c r="M960" s="8">
        <f t="shared" ca="1" si="455"/>
        <v>0</v>
      </c>
      <c r="N960" s="8">
        <f t="shared" ca="1" si="456"/>
        <v>0</v>
      </c>
      <c r="O960" s="8">
        <f t="shared" ca="1" si="457"/>
        <v>0</v>
      </c>
      <c r="P960" s="8">
        <f t="shared" ca="1" si="458"/>
        <v>0</v>
      </c>
      <c r="Q960" s="8">
        <f t="shared" ca="1" si="459"/>
        <v>0</v>
      </c>
      <c r="R960" s="8">
        <f t="shared" ca="1" si="460"/>
        <v>0</v>
      </c>
      <c r="S960" s="8">
        <f t="shared" ca="1" si="461"/>
        <v>0</v>
      </c>
      <c r="T960" s="8">
        <f t="shared" ca="1" si="462"/>
        <v>0</v>
      </c>
      <c r="U960" s="8">
        <f t="shared" ca="1" si="463"/>
        <v>0</v>
      </c>
      <c r="V960" s="8">
        <f t="shared" ca="1" si="464"/>
        <v>0</v>
      </c>
      <c r="W960" s="11" t="str">
        <f t="shared" ca="1" si="465"/>
        <v/>
      </c>
      <c r="X960" s="11" t="str">
        <f t="shared" ca="1" si="466"/>
        <v/>
      </c>
      <c r="Y960" s="11" t="str">
        <f t="shared" ca="1" si="467"/>
        <v/>
      </c>
      <c r="Z960" s="11" t="str">
        <f t="shared" ca="1" si="468"/>
        <v/>
      </c>
      <c r="AA960" s="11" t="str">
        <f t="shared" ca="1" si="469"/>
        <v/>
      </c>
      <c r="AB960" s="47">
        <f ca="1">PlayerGameData[[#This Row],[3FGA]]+PlayerGameData[[#This Row],[2FGA]]</f>
        <v>0</v>
      </c>
      <c r="AC960" s="47">
        <f ca="1">PlayerGameData[[#This Row],[OFF REB]]+PlayerGameData[[#This Row],[DEF REB]]</f>
        <v>0</v>
      </c>
      <c r="AD960" s="8">
        <f t="shared" si="450"/>
        <v>40</v>
      </c>
      <c r="AE960" s="8" t="str">
        <f t="shared" ca="1" si="451"/>
        <v>,  - 0 1/0/1900</v>
      </c>
      <c r="AF960" s="8" t="str">
        <f t="shared" ca="1" si="470"/>
        <v/>
      </c>
      <c r="AG960" s="8" t="str">
        <f ca="1">IFERROR(IF(C960=0,"",IF(AND(VLOOKUP(PlayerGameData[[#This Row],[Opponent]],WYTeamInfo,2,FALSE)=Roster!$D$1,VLOOKUP(PlayerGameData[[#This Row],[Opponent]],WYTeamInfo,3,FALSE)=Roster!$D$2),"SR","")),"")</f>
        <v/>
      </c>
      <c r="AH960" s="8" t="str">
        <f>CONCATENATE(Roster!$D$1," ",Roster!$D$5)</f>
        <v>1A BB</v>
      </c>
      <c r="AI960" s="8" t="str">
        <f t="shared" ca="1" si="452"/>
        <v>Blank</v>
      </c>
      <c r="AJ960" s="8">
        <f ca="1">IFERROR(VLOOKUP(PlayerGameData[[#This Row],[School, Opponent,Game'#]],Table3[],2,FALSE),0)</f>
        <v>0</v>
      </c>
      <c r="AK960" s="8">
        <f ca="1">IF(PlayerGameData[[#This Row],[Visible]]=1,1,1000)</f>
        <v>1000</v>
      </c>
      <c r="AL960" s="8">
        <f ca="1">RANK(PlayerGameData[[#This Row],[TL PTS]],PlayerGameData[TL PTS],0)+PlayerGameData[[#This Row],[VisibleOrder]]</f>
        <v>1184</v>
      </c>
      <c r="AM960" s="8">
        <f ca="1">IF(COUNTIF(PlayerGameData[PointOrder],PlayerGameData[[#This Row],[PointOrder]])&gt;1,RANK(PlayerGameData[[#This Row],[FGA]],PlayerGameData[FGA],0)/100,0)+PlayerGameData[[#This Row],[PointOrder]]</f>
        <v>1186.1400000000001</v>
      </c>
      <c r="AN960" s="8">
        <f ca="1">RANK(PlayerGameData[[#This Row],[PointTieBreak]],PlayerGameData[PointTieBreak],1)</f>
        <v>625</v>
      </c>
      <c r="AO960" s="8">
        <f ca="1">RANK(PlayerGameData[[#This Row],[REB]],PlayerGameData[REB],0)+PlayerGameData[[#This Row],[VisibleOrder]]</f>
        <v>1191</v>
      </c>
      <c r="AP960" s="8">
        <f ca="1">IF(COUNTIF(PlayerGameData[REBOrder],PlayerGameData[[#This Row],[REBOrder]])&gt;1,PlayerGameData[[#This Row],[PointRank]]/100+PlayerGameData[[#This Row],[REBOrder]],PlayerGameData[[#This Row],[REBOrder]])</f>
        <v>1197.25</v>
      </c>
      <c r="AQ960" s="8">
        <f ca="1">RANK(PlayerGameData[[#This Row],[REBTieBreak]],PlayerGameData[REBTieBreak],1)</f>
        <v>625</v>
      </c>
      <c r="AR960" s="8">
        <f ca="1">RANK(PlayerGameData[[#This Row],[AST]],PlayerGameData[AST],0)+PlayerGameData[[#This Row],[VisibleOrder]]</f>
        <v>1157</v>
      </c>
      <c r="AS960" s="8">
        <f ca="1">IF(COUNTIF(PlayerGameData[ASTOrder],PlayerGameData[[#This Row],[ASTOrder]])&gt;1,PlayerGameData[[#This Row],[PointRank]]/100+PlayerGameData[[#This Row],[ASTOrder]],PlayerGameData[[#This Row],[ASTOrder]])</f>
        <v>1163.25</v>
      </c>
      <c r="AT960" s="8">
        <f ca="1">RANK(PlayerGameData[[#This Row],[ASTTieBreak]],PlayerGameData[ASTTieBreak],1)</f>
        <v>625</v>
      </c>
      <c r="AU960" s="8">
        <f ca="1">RANK(PlayerGameData[[#This Row],[STL]],PlayerGameData[STL],0)+PlayerGameData[[#This Row],[VisibleOrder]]</f>
        <v>1142</v>
      </c>
      <c r="AV960" s="8">
        <f ca="1">IF(COUNTIF(PlayerGameData[STLOrder],PlayerGameData[[#This Row],[STLOrder]])&gt;1,PlayerGameData[[#This Row],[PointRank]]/100+PlayerGameData[[#This Row],[STLOrder]],PlayerGameData[[#This Row],[STLOrder]])</f>
        <v>1148.25</v>
      </c>
      <c r="AW960" s="8">
        <f ca="1">RANK(PlayerGameData[[#This Row],[STLTieBreak]],PlayerGameData[STLTieBreak],1)</f>
        <v>625</v>
      </c>
      <c r="AX960" s="8">
        <f ca="1">RANK(PlayerGameData[[#This Row],[BLK]],PlayerGameData[BLK],0)+PlayerGameData[[#This Row],[VisibleOrder]]</f>
        <v>1031</v>
      </c>
      <c r="AY960" s="8">
        <f ca="1">IF(COUNTIF(PlayerGameData[BLKOrder],PlayerGameData[[#This Row],[BLKOrder]])&gt;1,PlayerGameData[[#This Row],[PointRank]]/100+PlayerGameData[[#This Row],[BLKOrder]],PlayerGameData[[#This Row],[BLKOrder]])</f>
        <v>1037.25</v>
      </c>
      <c r="AZ960" s="8">
        <f ca="1">RANK(PlayerGameData[[#This Row],[BLKTieBreak]],PlayerGameData[BLKTieBreak],1)</f>
        <v>625</v>
      </c>
      <c r="BA960" s="11">
        <f ca="1">IFERROR(IF(PlayerGameData[[#This Row],[FGA]]&gt;$AA$5,PlayerGameData[[#This Row],[FG%*]],PlayerGameData[[#This Row],[FG%*]]*-1),-2)</f>
        <v>-2</v>
      </c>
      <c r="BB960" s="8">
        <f ca="1">RANK(PlayerGameData[[#This Row],[EligFG]],PlayerGameData[EligFG],0)+PlayerGameData[[#This Row],[VisibleOrder]]</f>
        <v>1214</v>
      </c>
      <c r="BC960" s="8">
        <f ca="1">IF(COUNTIF(PlayerGameData[EligFGOrder],PlayerGameData[[#This Row],[EligFGOrder]])&gt;1,PlayerGameData[[#This Row],[PointRank]]/100+PlayerGameData[[#This Row],[EligFGOrder]],PlayerGameData[[#This Row],[EligFGOrder]])</f>
        <v>1220.25</v>
      </c>
      <c r="BD960" s="8">
        <f ca="1">RANK(PlayerGameData[[#This Row],[EligFGTieBreak]],PlayerGameData[EligFGTieBreak],1)</f>
        <v>625</v>
      </c>
      <c r="BE960" s="8" t="str">
        <f>Roster!$D$3</f>
        <v>East</v>
      </c>
      <c r="BF960" s="8" t="str">
        <f>Roster!$D$2</f>
        <v>Northeast</v>
      </c>
      <c r="BG960" s="8" t="str">
        <f>Roster!$D$4</f>
        <v>North</v>
      </c>
      <c r="BH960" s="197">
        <f ca="1">IFERROR(VLOOKUP(CONCATENATE(PlayerGameData[[#This Row],[Opponent]]," ",MONTH(PlayerGameData[[#This Row],[Date]]),"/",DAY(PlayerGameData[[#This Row],[Date]]),"/",YEAR(PlayerGameData[[#This Row],[Date]])),Table35[],2,FALSE),0)</f>
        <v>0</v>
      </c>
      <c r="BI960" s="197">
        <f ca="1">IF(PlayerGameData[[#This Row],[Visible]]=1,1,1000)</f>
        <v>1000</v>
      </c>
      <c r="BJ960" s="197" t="e">
        <f ca="1">_xlfn.MAXIFS(TeamGameData[Win],TeamGameData[School, Opponent,Game'#],PlayerGameData[[#This Row],[School, Opponent,Game'#]])</f>
        <v>#NAME?</v>
      </c>
      <c r="BK960" s="197" t="e">
        <f ca="1">_xlfn.MAXIFS(TeamGameData[Loss],TeamGameData[School, Opponent,Game'#],PlayerGameData[[#This Row],[School, Opponent,Game'#]])</f>
        <v>#NAME?</v>
      </c>
    </row>
    <row r="961" spans="1:63" x14ac:dyDescent="0.25">
      <c r="A961" s="8" t="str">
        <f t="shared" ca="1" si="453"/>
        <v xml:space="preserve">, </v>
      </c>
      <c r="B961" s="8" t="str">
        <f>Roster!$B$1</f>
        <v>Upton</v>
      </c>
      <c r="C961" s="8">
        <f t="shared" ca="1" si="441"/>
        <v>0</v>
      </c>
      <c r="D961" s="10">
        <f t="shared" ca="1" si="442"/>
        <v>0</v>
      </c>
      <c r="E961" s="8">
        <f t="shared" ca="1" si="443"/>
        <v>0</v>
      </c>
      <c r="F961" s="8">
        <f t="shared" ca="1" si="444"/>
        <v>0</v>
      </c>
      <c r="G961" s="8">
        <f t="shared" ca="1" si="445"/>
        <v>0</v>
      </c>
      <c r="H961" s="8">
        <f t="shared" ca="1" si="446"/>
        <v>0</v>
      </c>
      <c r="I961" s="8">
        <f t="shared" ca="1" si="447"/>
        <v>0</v>
      </c>
      <c r="J961" s="8">
        <f t="shared" ca="1" si="448"/>
        <v>0</v>
      </c>
      <c r="K961" s="8">
        <f t="shared" ca="1" si="449"/>
        <v>0</v>
      </c>
      <c r="L961" s="8">
        <f t="shared" ca="1" si="454"/>
        <v>0</v>
      </c>
      <c r="M961" s="8">
        <f t="shared" ca="1" si="455"/>
        <v>0</v>
      </c>
      <c r="N961" s="8">
        <f t="shared" ca="1" si="456"/>
        <v>0</v>
      </c>
      <c r="O961" s="8">
        <f t="shared" ca="1" si="457"/>
        <v>0</v>
      </c>
      <c r="P961" s="8">
        <f t="shared" ca="1" si="458"/>
        <v>0</v>
      </c>
      <c r="Q961" s="8">
        <f t="shared" ca="1" si="459"/>
        <v>0</v>
      </c>
      <c r="R961" s="8">
        <f t="shared" ca="1" si="460"/>
        <v>0</v>
      </c>
      <c r="S961" s="8">
        <f t="shared" ca="1" si="461"/>
        <v>0</v>
      </c>
      <c r="T961" s="8">
        <f t="shared" ca="1" si="462"/>
        <v>0</v>
      </c>
      <c r="U961" s="8">
        <f t="shared" ca="1" si="463"/>
        <v>0</v>
      </c>
      <c r="V961" s="8">
        <f t="shared" ca="1" si="464"/>
        <v>0</v>
      </c>
      <c r="W961" s="11" t="str">
        <f t="shared" ca="1" si="465"/>
        <v/>
      </c>
      <c r="X961" s="11" t="str">
        <f t="shared" ca="1" si="466"/>
        <v/>
      </c>
      <c r="Y961" s="11" t="str">
        <f t="shared" ca="1" si="467"/>
        <v/>
      </c>
      <c r="Z961" s="11" t="str">
        <f t="shared" ca="1" si="468"/>
        <v/>
      </c>
      <c r="AA961" s="11" t="str">
        <f t="shared" ca="1" si="469"/>
        <v/>
      </c>
      <c r="AB961" s="47">
        <f ca="1">PlayerGameData[[#This Row],[3FGA]]+PlayerGameData[[#This Row],[2FGA]]</f>
        <v>0</v>
      </c>
      <c r="AC961" s="47">
        <f ca="1">PlayerGameData[[#This Row],[OFF REB]]+PlayerGameData[[#This Row],[DEF REB]]</f>
        <v>0</v>
      </c>
      <c r="AD961" s="8">
        <f t="shared" si="450"/>
        <v>40</v>
      </c>
      <c r="AE961" s="8" t="str">
        <f t="shared" ca="1" si="451"/>
        <v>,  - 0 1/0/1900</v>
      </c>
      <c r="AF961" s="8" t="str">
        <f t="shared" ca="1" si="470"/>
        <v/>
      </c>
      <c r="AG961" s="8" t="str">
        <f ca="1">IFERROR(IF(C961=0,"",IF(AND(VLOOKUP(PlayerGameData[[#This Row],[Opponent]],WYTeamInfo,2,FALSE)=Roster!$D$1,VLOOKUP(PlayerGameData[[#This Row],[Opponent]],WYTeamInfo,3,FALSE)=Roster!$D$2),"SR","")),"")</f>
        <v/>
      </c>
      <c r="AH961" s="8" t="str">
        <f>CONCATENATE(Roster!$D$1," ",Roster!$D$5)</f>
        <v>1A BB</v>
      </c>
      <c r="AI961" s="8" t="str">
        <f t="shared" ca="1" si="452"/>
        <v>Blank</v>
      </c>
      <c r="AJ961" s="8">
        <f ca="1">IFERROR(VLOOKUP(PlayerGameData[[#This Row],[School, Opponent,Game'#]],Table3[],2,FALSE),0)</f>
        <v>0</v>
      </c>
      <c r="AK961" s="8">
        <f ca="1">IF(PlayerGameData[[#This Row],[Visible]]=1,1,1000)</f>
        <v>1000</v>
      </c>
      <c r="AL961" s="8">
        <f ca="1">RANK(PlayerGameData[[#This Row],[TL PTS]],PlayerGameData[TL PTS],0)+PlayerGameData[[#This Row],[VisibleOrder]]</f>
        <v>1184</v>
      </c>
      <c r="AM961" s="8">
        <f ca="1">IF(COUNTIF(PlayerGameData[PointOrder],PlayerGameData[[#This Row],[PointOrder]])&gt;1,RANK(PlayerGameData[[#This Row],[FGA]],PlayerGameData[FGA],0)/100,0)+PlayerGameData[[#This Row],[PointOrder]]</f>
        <v>1186.1400000000001</v>
      </c>
      <c r="AN961" s="8">
        <f ca="1">RANK(PlayerGameData[[#This Row],[PointTieBreak]],PlayerGameData[PointTieBreak],1)</f>
        <v>625</v>
      </c>
      <c r="AO961" s="8">
        <f ca="1">RANK(PlayerGameData[[#This Row],[REB]],PlayerGameData[REB],0)+PlayerGameData[[#This Row],[VisibleOrder]]</f>
        <v>1191</v>
      </c>
      <c r="AP961" s="8">
        <f ca="1">IF(COUNTIF(PlayerGameData[REBOrder],PlayerGameData[[#This Row],[REBOrder]])&gt;1,PlayerGameData[[#This Row],[PointRank]]/100+PlayerGameData[[#This Row],[REBOrder]],PlayerGameData[[#This Row],[REBOrder]])</f>
        <v>1197.25</v>
      </c>
      <c r="AQ961" s="8">
        <f ca="1">RANK(PlayerGameData[[#This Row],[REBTieBreak]],PlayerGameData[REBTieBreak],1)</f>
        <v>625</v>
      </c>
      <c r="AR961" s="8">
        <f ca="1">RANK(PlayerGameData[[#This Row],[AST]],PlayerGameData[AST],0)+PlayerGameData[[#This Row],[VisibleOrder]]</f>
        <v>1157</v>
      </c>
      <c r="AS961" s="8">
        <f ca="1">IF(COUNTIF(PlayerGameData[ASTOrder],PlayerGameData[[#This Row],[ASTOrder]])&gt;1,PlayerGameData[[#This Row],[PointRank]]/100+PlayerGameData[[#This Row],[ASTOrder]],PlayerGameData[[#This Row],[ASTOrder]])</f>
        <v>1163.25</v>
      </c>
      <c r="AT961" s="8">
        <f ca="1">RANK(PlayerGameData[[#This Row],[ASTTieBreak]],PlayerGameData[ASTTieBreak],1)</f>
        <v>625</v>
      </c>
      <c r="AU961" s="8">
        <f ca="1">RANK(PlayerGameData[[#This Row],[STL]],PlayerGameData[STL],0)+PlayerGameData[[#This Row],[VisibleOrder]]</f>
        <v>1142</v>
      </c>
      <c r="AV961" s="8">
        <f ca="1">IF(COUNTIF(PlayerGameData[STLOrder],PlayerGameData[[#This Row],[STLOrder]])&gt;1,PlayerGameData[[#This Row],[PointRank]]/100+PlayerGameData[[#This Row],[STLOrder]],PlayerGameData[[#This Row],[STLOrder]])</f>
        <v>1148.25</v>
      </c>
      <c r="AW961" s="8">
        <f ca="1">RANK(PlayerGameData[[#This Row],[STLTieBreak]],PlayerGameData[STLTieBreak],1)</f>
        <v>625</v>
      </c>
      <c r="AX961" s="8">
        <f ca="1">RANK(PlayerGameData[[#This Row],[BLK]],PlayerGameData[BLK],0)+PlayerGameData[[#This Row],[VisibleOrder]]</f>
        <v>1031</v>
      </c>
      <c r="AY961" s="8">
        <f ca="1">IF(COUNTIF(PlayerGameData[BLKOrder],PlayerGameData[[#This Row],[BLKOrder]])&gt;1,PlayerGameData[[#This Row],[PointRank]]/100+PlayerGameData[[#This Row],[BLKOrder]],PlayerGameData[[#This Row],[BLKOrder]])</f>
        <v>1037.25</v>
      </c>
      <c r="AZ961" s="8">
        <f ca="1">RANK(PlayerGameData[[#This Row],[BLKTieBreak]],PlayerGameData[BLKTieBreak],1)</f>
        <v>625</v>
      </c>
      <c r="BA961" s="11">
        <f ca="1">IFERROR(IF(PlayerGameData[[#This Row],[FGA]]&gt;$AA$5,PlayerGameData[[#This Row],[FG%*]],PlayerGameData[[#This Row],[FG%*]]*-1),-2)</f>
        <v>-2</v>
      </c>
      <c r="BB961" s="8">
        <f ca="1">RANK(PlayerGameData[[#This Row],[EligFG]],PlayerGameData[EligFG],0)+PlayerGameData[[#This Row],[VisibleOrder]]</f>
        <v>1214</v>
      </c>
      <c r="BC961" s="8">
        <f ca="1">IF(COUNTIF(PlayerGameData[EligFGOrder],PlayerGameData[[#This Row],[EligFGOrder]])&gt;1,PlayerGameData[[#This Row],[PointRank]]/100+PlayerGameData[[#This Row],[EligFGOrder]],PlayerGameData[[#This Row],[EligFGOrder]])</f>
        <v>1220.25</v>
      </c>
      <c r="BD961" s="8">
        <f ca="1">RANK(PlayerGameData[[#This Row],[EligFGTieBreak]],PlayerGameData[EligFGTieBreak],1)</f>
        <v>625</v>
      </c>
      <c r="BE961" s="8" t="str">
        <f>Roster!$D$3</f>
        <v>East</v>
      </c>
      <c r="BF961" s="8" t="str">
        <f>Roster!$D$2</f>
        <v>Northeast</v>
      </c>
      <c r="BG961" s="8" t="str">
        <f>Roster!$D$4</f>
        <v>North</v>
      </c>
      <c r="BH961" s="197">
        <f ca="1">IFERROR(VLOOKUP(CONCATENATE(PlayerGameData[[#This Row],[Opponent]]," ",MONTH(PlayerGameData[[#This Row],[Date]]),"/",DAY(PlayerGameData[[#This Row],[Date]]),"/",YEAR(PlayerGameData[[#This Row],[Date]])),Table35[],2,FALSE),0)</f>
        <v>0</v>
      </c>
      <c r="BI961" s="197">
        <f ca="1">IF(PlayerGameData[[#This Row],[Visible]]=1,1,1000)</f>
        <v>1000</v>
      </c>
      <c r="BJ961" s="197" t="e">
        <f ca="1">_xlfn.MAXIFS(TeamGameData[Win],TeamGameData[School, Opponent,Game'#],PlayerGameData[[#This Row],[School, Opponent,Game'#]])</f>
        <v>#NAME?</v>
      </c>
      <c r="BK961" s="197" t="e">
        <f ca="1">_xlfn.MAXIFS(TeamGameData[Loss],TeamGameData[School, Opponent,Game'#],PlayerGameData[[#This Row],[School, Opponent,Game'#]])</f>
        <v>#NAME?</v>
      </c>
    </row>
    <row r="962" spans="1:63" x14ac:dyDescent="0.25">
      <c r="A962" s="8" t="str">
        <f t="shared" ca="1" si="453"/>
        <v xml:space="preserve">, </v>
      </c>
      <c r="B962" s="8" t="str">
        <f>Roster!$B$1</f>
        <v>Upton</v>
      </c>
      <c r="C962" s="8">
        <f t="shared" ca="1" si="441"/>
        <v>0</v>
      </c>
      <c r="D962" s="10">
        <f t="shared" ca="1" si="442"/>
        <v>0</v>
      </c>
      <c r="E962" s="8">
        <f t="shared" ca="1" si="443"/>
        <v>0</v>
      </c>
      <c r="F962" s="8">
        <f t="shared" ca="1" si="444"/>
        <v>0</v>
      </c>
      <c r="G962" s="8">
        <f t="shared" ca="1" si="445"/>
        <v>0</v>
      </c>
      <c r="H962" s="8">
        <f t="shared" ca="1" si="446"/>
        <v>0</v>
      </c>
      <c r="I962" s="8">
        <f t="shared" ca="1" si="447"/>
        <v>0</v>
      </c>
      <c r="J962" s="8">
        <f t="shared" ca="1" si="448"/>
        <v>0</v>
      </c>
      <c r="K962" s="8">
        <f t="shared" ca="1" si="449"/>
        <v>0</v>
      </c>
      <c r="L962" s="8">
        <f t="shared" ca="1" si="454"/>
        <v>0</v>
      </c>
      <c r="M962" s="8">
        <f t="shared" ca="1" si="455"/>
        <v>0</v>
      </c>
      <c r="N962" s="8">
        <f t="shared" ca="1" si="456"/>
        <v>0</v>
      </c>
      <c r="O962" s="8">
        <f t="shared" ca="1" si="457"/>
        <v>0</v>
      </c>
      <c r="P962" s="8">
        <f t="shared" ca="1" si="458"/>
        <v>0</v>
      </c>
      <c r="Q962" s="8">
        <f t="shared" ca="1" si="459"/>
        <v>0</v>
      </c>
      <c r="R962" s="8">
        <f t="shared" ca="1" si="460"/>
        <v>0</v>
      </c>
      <c r="S962" s="8">
        <f t="shared" ca="1" si="461"/>
        <v>0</v>
      </c>
      <c r="T962" s="8">
        <f t="shared" ca="1" si="462"/>
        <v>0</v>
      </c>
      <c r="U962" s="8">
        <f t="shared" ca="1" si="463"/>
        <v>0</v>
      </c>
      <c r="V962" s="8">
        <f t="shared" ca="1" si="464"/>
        <v>0</v>
      </c>
      <c r="W962" s="11" t="str">
        <f t="shared" ca="1" si="465"/>
        <v/>
      </c>
      <c r="X962" s="11" t="str">
        <f t="shared" ca="1" si="466"/>
        <v/>
      </c>
      <c r="Y962" s="11" t="str">
        <f t="shared" ca="1" si="467"/>
        <v/>
      </c>
      <c r="Z962" s="11" t="str">
        <f t="shared" ca="1" si="468"/>
        <v/>
      </c>
      <c r="AA962" s="11" t="str">
        <f t="shared" ca="1" si="469"/>
        <v/>
      </c>
      <c r="AB962" s="47">
        <f ca="1">PlayerGameData[[#This Row],[3FGA]]+PlayerGameData[[#This Row],[2FGA]]</f>
        <v>0</v>
      </c>
      <c r="AC962" s="47">
        <f ca="1">PlayerGameData[[#This Row],[OFF REB]]+PlayerGameData[[#This Row],[DEF REB]]</f>
        <v>0</v>
      </c>
      <c r="AD962" s="8">
        <f t="shared" si="450"/>
        <v>40</v>
      </c>
      <c r="AE962" s="8" t="str">
        <f t="shared" ca="1" si="451"/>
        <v>,  - 0 1/0/1900</v>
      </c>
      <c r="AF962" s="8" t="str">
        <f t="shared" ca="1" si="470"/>
        <v/>
      </c>
      <c r="AG962" s="8" t="str">
        <f ca="1">IFERROR(IF(C962=0,"",IF(AND(VLOOKUP(PlayerGameData[[#This Row],[Opponent]],WYTeamInfo,2,FALSE)=Roster!$D$1,VLOOKUP(PlayerGameData[[#This Row],[Opponent]],WYTeamInfo,3,FALSE)=Roster!$D$2),"SR","")),"")</f>
        <v/>
      </c>
      <c r="AH962" s="8" t="str">
        <f>CONCATENATE(Roster!$D$1," ",Roster!$D$5)</f>
        <v>1A BB</v>
      </c>
      <c r="AI962" s="8" t="str">
        <f t="shared" ca="1" si="452"/>
        <v>Blank</v>
      </c>
      <c r="AJ962" s="8">
        <f ca="1">IFERROR(VLOOKUP(PlayerGameData[[#This Row],[School, Opponent,Game'#]],Table3[],2,FALSE),0)</f>
        <v>0</v>
      </c>
      <c r="AK962" s="8">
        <f ca="1">IF(PlayerGameData[[#This Row],[Visible]]=1,1,1000)</f>
        <v>1000</v>
      </c>
      <c r="AL962" s="8">
        <f ca="1">RANK(PlayerGameData[[#This Row],[TL PTS]],PlayerGameData[TL PTS],0)+PlayerGameData[[#This Row],[VisibleOrder]]</f>
        <v>1184</v>
      </c>
      <c r="AM962" s="8">
        <f ca="1">IF(COUNTIF(PlayerGameData[PointOrder],PlayerGameData[[#This Row],[PointOrder]])&gt;1,RANK(PlayerGameData[[#This Row],[FGA]],PlayerGameData[FGA],0)/100,0)+PlayerGameData[[#This Row],[PointOrder]]</f>
        <v>1186.1400000000001</v>
      </c>
      <c r="AN962" s="8">
        <f ca="1">RANK(PlayerGameData[[#This Row],[PointTieBreak]],PlayerGameData[PointTieBreak],1)</f>
        <v>625</v>
      </c>
      <c r="AO962" s="8">
        <f ca="1">RANK(PlayerGameData[[#This Row],[REB]],PlayerGameData[REB],0)+PlayerGameData[[#This Row],[VisibleOrder]]</f>
        <v>1191</v>
      </c>
      <c r="AP962" s="8">
        <f ca="1">IF(COUNTIF(PlayerGameData[REBOrder],PlayerGameData[[#This Row],[REBOrder]])&gt;1,PlayerGameData[[#This Row],[PointRank]]/100+PlayerGameData[[#This Row],[REBOrder]],PlayerGameData[[#This Row],[REBOrder]])</f>
        <v>1197.25</v>
      </c>
      <c r="AQ962" s="8">
        <f ca="1">RANK(PlayerGameData[[#This Row],[REBTieBreak]],PlayerGameData[REBTieBreak],1)</f>
        <v>625</v>
      </c>
      <c r="AR962" s="8">
        <f ca="1">RANK(PlayerGameData[[#This Row],[AST]],PlayerGameData[AST],0)+PlayerGameData[[#This Row],[VisibleOrder]]</f>
        <v>1157</v>
      </c>
      <c r="AS962" s="8">
        <f ca="1">IF(COUNTIF(PlayerGameData[ASTOrder],PlayerGameData[[#This Row],[ASTOrder]])&gt;1,PlayerGameData[[#This Row],[PointRank]]/100+PlayerGameData[[#This Row],[ASTOrder]],PlayerGameData[[#This Row],[ASTOrder]])</f>
        <v>1163.25</v>
      </c>
      <c r="AT962" s="8">
        <f ca="1">RANK(PlayerGameData[[#This Row],[ASTTieBreak]],PlayerGameData[ASTTieBreak],1)</f>
        <v>625</v>
      </c>
      <c r="AU962" s="8">
        <f ca="1">RANK(PlayerGameData[[#This Row],[STL]],PlayerGameData[STL],0)+PlayerGameData[[#This Row],[VisibleOrder]]</f>
        <v>1142</v>
      </c>
      <c r="AV962" s="8">
        <f ca="1">IF(COUNTIF(PlayerGameData[STLOrder],PlayerGameData[[#This Row],[STLOrder]])&gt;1,PlayerGameData[[#This Row],[PointRank]]/100+PlayerGameData[[#This Row],[STLOrder]],PlayerGameData[[#This Row],[STLOrder]])</f>
        <v>1148.25</v>
      </c>
      <c r="AW962" s="8">
        <f ca="1">RANK(PlayerGameData[[#This Row],[STLTieBreak]],PlayerGameData[STLTieBreak],1)</f>
        <v>625</v>
      </c>
      <c r="AX962" s="8">
        <f ca="1">RANK(PlayerGameData[[#This Row],[BLK]],PlayerGameData[BLK],0)+PlayerGameData[[#This Row],[VisibleOrder]]</f>
        <v>1031</v>
      </c>
      <c r="AY962" s="8">
        <f ca="1">IF(COUNTIF(PlayerGameData[BLKOrder],PlayerGameData[[#This Row],[BLKOrder]])&gt;1,PlayerGameData[[#This Row],[PointRank]]/100+PlayerGameData[[#This Row],[BLKOrder]],PlayerGameData[[#This Row],[BLKOrder]])</f>
        <v>1037.25</v>
      </c>
      <c r="AZ962" s="8">
        <f ca="1">RANK(PlayerGameData[[#This Row],[BLKTieBreak]],PlayerGameData[BLKTieBreak],1)</f>
        <v>625</v>
      </c>
      <c r="BA962" s="11">
        <f ca="1">IFERROR(IF(PlayerGameData[[#This Row],[FGA]]&gt;$AA$5,PlayerGameData[[#This Row],[FG%*]],PlayerGameData[[#This Row],[FG%*]]*-1),-2)</f>
        <v>-2</v>
      </c>
      <c r="BB962" s="8">
        <f ca="1">RANK(PlayerGameData[[#This Row],[EligFG]],PlayerGameData[EligFG],0)+PlayerGameData[[#This Row],[VisibleOrder]]</f>
        <v>1214</v>
      </c>
      <c r="BC962" s="8">
        <f ca="1">IF(COUNTIF(PlayerGameData[EligFGOrder],PlayerGameData[[#This Row],[EligFGOrder]])&gt;1,PlayerGameData[[#This Row],[PointRank]]/100+PlayerGameData[[#This Row],[EligFGOrder]],PlayerGameData[[#This Row],[EligFGOrder]])</f>
        <v>1220.25</v>
      </c>
      <c r="BD962" s="8">
        <f ca="1">RANK(PlayerGameData[[#This Row],[EligFGTieBreak]],PlayerGameData[EligFGTieBreak],1)</f>
        <v>625</v>
      </c>
      <c r="BE962" s="8" t="str">
        <f>Roster!$D$3</f>
        <v>East</v>
      </c>
      <c r="BF962" s="8" t="str">
        <f>Roster!$D$2</f>
        <v>Northeast</v>
      </c>
      <c r="BG962" s="8" t="str">
        <f>Roster!$D$4</f>
        <v>North</v>
      </c>
      <c r="BH962" s="197">
        <f ca="1">IFERROR(VLOOKUP(CONCATENATE(PlayerGameData[[#This Row],[Opponent]]," ",MONTH(PlayerGameData[[#This Row],[Date]]),"/",DAY(PlayerGameData[[#This Row],[Date]]),"/",YEAR(PlayerGameData[[#This Row],[Date]])),Table35[],2,FALSE),0)</f>
        <v>0</v>
      </c>
      <c r="BI962" s="197">
        <f ca="1">IF(PlayerGameData[[#This Row],[Visible]]=1,1,1000)</f>
        <v>1000</v>
      </c>
      <c r="BJ962" s="197" t="e">
        <f ca="1">_xlfn.MAXIFS(TeamGameData[Win],TeamGameData[School, Opponent,Game'#],PlayerGameData[[#This Row],[School, Opponent,Game'#]])</f>
        <v>#NAME?</v>
      </c>
      <c r="BK962" s="197" t="e">
        <f ca="1">_xlfn.MAXIFS(TeamGameData[Loss],TeamGameData[School, Opponent,Game'#],PlayerGameData[[#This Row],[School, Opponent,Game'#]])</f>
        <v>#NAME?</v>
      </c>
    </row>
    <row r="963" spans="1:63" x14ac:dyDescent="0.25">
      <c r="A963" s="8" t="str">
        <f t="shared" ca="1" si="453"/>
        <v xml:space="preserve">, </v>
      </c>
      <c r="B963" s="8" t="str">
        <f>Roster!$B$1</f>
        <v>Upton</v>
      </c>
      <c r="C963" s="8">
        <f t="shared" ca="1" si="441"/>
        <v>0</v>
      </c>
      <c r="D963" s="10">
        <f t="shared" ca="1" si="442"/>
        <v>0</v>
      </c>
      <c r="E963" s="8">
        <f t="shared" ca="1" si="443"/>
        <v>0</v>
      </c>
      <c r="F963" s="8">
        <f t="shared" ca="1" si="444"/>
        <v>0</v>
      </c>
      <c r="G963" s="8">
        <f t="shared" ca="1" si="445"/>
        <v>0</v>
      </c>
      <c r="H963" s="8">
        <f t="shared" ca="1" si="446"/>
        <v>0</v>
      </c>
      <c r="I963" s="8">
        <f t="shared" ca="1" si="447"/>
        <v>0</v>
      </c>
      <c r="J963" s="8">
        <f t="shared" ca="1" si="448"/>
        <v>0</v>
      </c>
      <c r="K963" s="8">
        <f t="shared" ca="1" si="449"/>
        <v>0</v>
      </c>
      <c r="L963" s="8">
        <f t="shared" ca="1" si="454"/>
        <v>0</v>
      </c>
      <c r="M963" s="8">
        <f t="shared" ca="1" si="455"/>
        <v>0</v>
      </c>
      <c r="N963" s="8">
        <f t="shared" ca="1" si="456"/>
        <v>0</v>
      </c>
      <c r="O963" s="8">
        <f t="shared" ca="1" si="457"/>
        <v>0</v>
      </c>
      <c r="P963" s="8">
        <f t="shared" ca="1" si="458"/>
        <v>0</v>
      </c>
      <c r="Q963" s="8">
        <f t="shared" ca="1" si="459"/>
        <v>0</v>
      </c>
      <c r="R963" s="8">
        <f t="shared" ca="1" si="460"/>
        <v>0</v>
      </c>
      <c r="S963" s="8">
        <f t="shared" ca="1" si="461"/>
        <v>0</v>
      </c>
      <c r="T963" s="8">
        <f t="shared" ca="1" si="462"/>
        <v>0</v>
      </c>
      <c r="U963" s="8">
        <f t="shared" ca="1" si="463"/>
        <v>0</v>
      </c>
      <c r="V963" s="8">
        <f t="shared" ca="1" si="464"/>
        <v>0</v>
      </c>
      <c r="W963" s="11" t="str">
        <f t="shared" ca="1" si="465"/>
        <v/>
      </c>
      <c r="X963" s="11" t="str">
        <f t="shared" ca="1" si="466"/>
        <v/>
      </c>
      <c r="Y963" s="11" t="str">
        <f t="shared" ca="1" si="467"/>
        <v/>
      </c>
      <c r="Z963" s="11" t="str">
        <f t="shared" ca="1" si="468"/>
        <v/>
      </c>
      <c r="AA963" s="11" t="str">
        <f t="shared" ca="1" si="469"/>
        <v/>
      </c>
      <c r="AB963" s="47">
        <f ca="1">PlayerGameData[[#This Row],[3FGA]]+PlayerGameData[[#This Row],[2FGA]]</f>
        <v>0</v>
      </c>
      <c r="AC963" s="47">
        <f ca="1">PlayerGameData[[#This Row],[OFF REB]]+PlayerGameData[[#This Row],[DEF REB]]</f>
        <v>0</v>
      </c>
      <c r="AD963" s="8">
        <f t="shared" si="450"/>
        <v>40</v>
      </c>
      <c r="AE963" s="8" t="str">
        <f t="shared" ca="1" si="451"/>
        <v>,  - 0 1/0/1900</v>
      </c>
      <c r="AF963" s="8" t="str">
        <f t="shared" ca="1" si="470"/>
        <v/>
      </c>
      <c r="AG963" s="8" t="str">
        <f ca="1">IFERROR(IF(C963=0,"",IF(AND(VLOOKUP(PlayerGameData[[#This Row],[Opponent]],WYTeamInfo,2,FALSE)=Roster!$D$1,VLOOKUP(PlayerGameData[[#This Row],[Opponent]],WYTeamInfo,3,FALSE)=Roster!$D$2),"SR","")),"")</f>
        <v/>
      </c>
      <c r="AH963" s="8" t="str">
        <f>CONCATENATE(Roster!$D$1," ",Roster!$D$5)</f>
        <v>1A BB</v>
      </c>
      <c r="AI963" s="8" t="str">
        <f t="shared" ca="1" si="452"/>
        <v>Blank</v>
      </c>
      <c r="AJ963" s="8">
        <f ca="1">IFERROR(VLOOKUP(PlayerGameData[[#This Row],[School, Opponent,Game'#]],Table3[],2,FALSE),0)</f>
        <v>0</v>
      </c>
      <c r="AK963" s="8">
        <f ca="1">IF(PlayerGameData[[#This Row],[Visible]]=1,1,1000)</f>
        <v>1000</v>
      </c>
      <c r="AL963" s="8">
        <f ca="1">RANK(PlayerGameData[[#This Row],[TL PTS]],PlayerGameData[TL PTS],0)+PlayerGameData[[#This Row],[VisibleOrder]]</f>
        <v>1184</v>
      </c>
      <c r="AM963" s="8">
        <f ca="1">IF(COUNTIF(PlayerGameData[PointOrder],PlayerGameData[[#This Row],[PointOrder]])&gt;1,RANK(PlayerGameData[[#This Row],[FGA]],PlayerGameData[FGA],0)/100,0)+PlayerGameData[[#This Row],[PointOrder]]</f>
        <v>1186.1400000000001</v>
      </c>
      <c r="AN963" s="8">
        <f ca="1">RANK(PlayerGameData[[#This Row],[PointTieBreak]],PlayerGameData[PointTieBreak],1)</f>
        <v>625</v>
      </c>
      <c r="AO963" s="8">
        <f ca="1">RANK(PlayerGameData[[#This Row],[REB]],PlayerGameData[REB],0)+PlayerGameData[[#This Row],[VisibleOrder]]</f>
        <v>1191</v>
      </c>
      <c r="AP963" s="8">
        <f ca="1">IF(COUNTIF(PlayerGameData[REBOrder],PlayerGameData[[#This Row],[REBOrder]])&gt;1,PlayerGameData[[#This Row],[PointRank]]/100+PlayerGameData[[#This Row],[REBOrder]],PlayerGameData[[#This Row],[REBOrder]])</f>
        <v>1197.25</v>
      </c>
      <c r="AQ963" s="8">
        <f ca="1">RANK(PlayerGameData[[#This Row],[REBTieBreak]],PlayerGameData[REBTieBreak],1)</f>
        <v>625</v>
      </c>
      <c r="AR963" s="8">
        <f ca="1">RANK(PlayerGameData[[#This Row],[AST]],PlayerGameData[AST],0)+PlayerGameData[[#This Row],[VisibleOrder]]</f>
        <v>1157</v>
      </c>
      <c r="AS963" s="8">
        <f ca="1">IF(COUNTIF(PlayerGameData[ASTOrder],PlayerGameData[[#This Row],[ASTOrder]])&gt;1,PlayerGameData[[#This Row],[PointRank]]/100+PlayerGameData[[#This Row],[ASTOrder]],PlayerGameData[[#This Row],[ASTOrder]])</f>
        <v>1163.25</v>
      </c>
      <c r="AT963" s="8">
        <f ca="1">RANK(PlayerGameData[[#This Row],[ASTTieBreak]],PlayerGameData[ASTTieBreak],1)</f>
        <v>625</v>
      </c>
      <c r="AU963" s="8">
        <f ca="1">RANK(PlayerGameData[[#This Row],[STL]],PlayerGameData[STL],0)+PlayerGameData[[#This Row],[VisibleOrder]]</f>
        <v>1142</v>
      </c>
      <c r="AV963" s="8">
        <f ca="1">IF(COUNTIF(PlayerGameData[STLOrder],PlayerGameData[[#This Row],[STLOrder]])&gt;1,PlayerGameData[[#This Row],[PointRank]]/100+PlayerGameData[[#This Row],[STLOrder]],PlayerGameData[[#This Row],[STLOrder]])</f>
        <v>1148.25</v>
      </c>
      <c r="AW963" s="8">
        <f ca="1">RANK(PlayerGameData[[#This Row],[STLTieBreak]],PlayerGameData[STLTieBreak],1)</f>
        <v>625</v>
      </c>
      <c r="AX963" s="8">
        <f ca="1">RANK(PlayerGameData[[#This Row],[BLK]],PlayerGameData[BLK],0)+PlayerGameData[[#This Row],[VisibleOrder]]</f>
        <v>1031</v>
      </c>
      <c r="AY963" s="8">
        <f ca="1">IF(COUNTIF(PlayerGameData[BLKOrder],PlayerGameData[[#This Row],[BLKOrder]])&gt;1,PlayerGameData[[#This Row],[PointRank]]/100+PlayerGameData[[#This Row],[BLKOrder]],PlayerGameData[[#This Row],[BLKOrder]])</f>
        <v>1037.25</v>
      </c>
      <c r="AZ963" s="8">
        <f ca="1">RANK(PlayerGameData[[#This Row],[BLKTieBreak]],PlayerGameData[BLKTieBreak],1)</f>
        <v>625</v>
      </c>
      <c r="BA963" s="11">
        <f ca="1">IFERROR(IF(PlayerGameData[[#This Row],[FGA]]&gt;$AA$5,PlayerGameData[[#This Row],[FG%*]],PlayerGameData[[#This Row],[FG%*]]*-1),-2)</f>
        <v>-2</v>
      </c>
      <c r="BB963" s="8">
        <f ca="1">RANK(PlayerGameData[[#This Row],[EligFG]],PlayerGameData[EligFG],0)+PlayerGameData[[#This Row],[VisibleOrder]]</f>
        <v>1214</v>
      </c>
      <c r="BC963" s="8">
        <f ca="1">IF(COUNTIF(PlayerGameData[EligFGOrder],PlayerGameData[[#This Row],[EligFGOrder]])&gt;1,PlayerGameData[[#This Row],[PointRank]]/100+PlayerGameData[[#This Row],[EligFGOrder]],PlayerGameData[[#This Row],[EligFGOrder]])</f>
        <v>1220.25</v>
      </c>
      <c r="BD963" s="8">
        <f ca="1">RANK(PlayerGameData[[#This Row],[EligFGTieBreak]],PlayerGameData[EligFGTieBreak],1)</f>
        <v>625</v>
      </c>
      <c r="BE963" s="8" t="str">
        <f>Roster!$D$3</f>
        <v>East</v>
      </c>
      <c r="BF963" s="8" t="str">
        <f>Roster!$D$2</f>
        <v>Northeast</v>
      </c>
      <c r="BG963" s="8" t="str">
        <f>Roster!$D$4</f>
        <v>North</v>
      </c>
      <c r="BH963" s="197">
        <f ca="1">IFERROR(VLOOKUP(CONCATENATE(PlayerGameData[[#This Row],[Opponent]]," ",MONTH(PlayerGameData[[#This Row],[Date]]),"/",DAY(PlayerGameData[[#This Row],[Date]]),"/",YEAR(PlayerGameData[[#This Row],[Date]])),Table35[],2,FALSE),0)</f>
        <v>0</v>
      </c>
      <c r="BI963" s="197">
        <f ca="1">IF(PlayerGameData[[#This Row],[Visible]]=1,1,1000)</f>
        <v>1000</v>
      </c>
      <c r="BJ963" s="197" t="e">
        <f ca="1">_xlfn.MAXIFS(TeamGameData[Win],TeamGameData[School, Opponent,Game'#],PlayerGameData[[#This Row],[School, Opponent,Game'#]])</f>
        <v>#NAME?</v>
      </c>
      <c r="BK963" s="197" t="e">
        <f ca="1">_xlfn.MAXIFS(TeamGameData[Loss],TeamGameData[School, Opponent,Game'#],PlayerGameData[[#This Row],[School, Opponent,Game'#]])</f>
        <v>#NAME?</v>
      </c>
    </row>
    <row r="964" spans="1:63" x14ac:dyDescent="0.25">
      <c r="A964" s="8" t="str">
        <f t="shared" ca="1" si="453"/>
        <v xml:space="preserve">, </v>
      </c>
      <c r="B964" s="8" t="str">
        <f>Roster!$B$1</f>
        <v>Upton</v>
      </c>
      <c r="C964" s="8">
        <f t="shared" ca="1" si="441"/>
        <v>0</v>
      </c>
      <c r="D964" s="10">
        <f t="shared" ca="1" si="442"/>
        <v>0</v>
      </c>
      <c r="E964" s="8">
        <f t="shared" ca="1" si="443"/>
        <v>0</v>
      </c>
      <c r="F964" s="8">
        <f t="shared" ca="1" si="444"/>
        <v>0</v>
      </c>
      <c r="G964" s="8">
        <f t="shared" ca="1" si="445"/>
        <v>0</v>
      </c>
      <c r="H964" s="8">
        <f t="shared" ca="1" si="446"/>
        <v>0</v>
      </c>
      <c r="I964" s="8">
        <f t="shared" ca="1" si="447"/>
        <v>0</v>
      </c>
      <c r="J964" s="8">
        <f t="shared" ca="1" si="448"/>
        <v>0</v>
      </c>
      <c r="K964" s="8">
        <f t="shared" ca="1" si="449"/>
        <v>0</v>
      </c>
      <c r="L964" s="8">
        <f t="shared" ca="1" si="454"/>
        <v>0</v>
      </c>
      <c r="M964" s="8">
        <f t="shared" ca="1" si="455"/>
        <v>0</v>
      </c>
      <c r="N964" s="8">
        <f t="shared" ca="1" si="456"/>
        <v>0</v>
      </c>
      <c r="O964" s="8">
        <f t="shared" ca="1" si="457"/>
        <v>0</v>
      </c>
      <c r="P964" s="8">
        <f t="shared" ca="1" si="458"/>
        <v>0</v>
      </c>
      <c r="Q964" s="8">
        <f t="shared" ca="1" si="459"/>
        <v>0</v>
      </c>
      <c r="R964" s="8">
        <f t="shared" ca="1" si="460"/>
        <v>0</v>
      </c>
      <c r="S964" s="8">
        <f t="shared" ca="1" si="461"/>
        <v>0</v>
      </c>
      <c r="T964" s="8">
        <f t="shared" ca="1" si="462"/>
        <v>0</v>
      </c>
      <c r="U964" s="8">
        <f t="shared" ca="1" si="463"/>
        <v>0</v>
      </c>
      <c r="V964" s="8">
        <f t="shared" ca="1" si="464"/>
        <v>0</v>
      </c>
      <c r="W964" s="11" t="str">
        <f t="shared" ca="1" si="465"/>
        <v/>
      </c>
      <c r="X964" s="11" t="str">
        <f t="shared" ca="1" si="466"/>
        <v/>
      </c>
      <c r="Y964" s="11" t="str">
        <f t="shared" ca="1" si="467"/>
        <v/>
      </c>
      <c r="Z964" s="11" t="str">
        <f t="shared" ca="1" si="468"/>
        <v/>
      </c>
      <c r="AA964" s="11" t="str">
        <f t="shared" ca="1" si="469"/>
        <v/>
      </c>
      <c r="AB964" s="47">
        <f ca="1">PlayerGameData[[#This Row],[3FGA]]+PlayerGameData[[#This Row],[2FGA]]</f>
        <v>0</v>
      </c>
      <c r="AC964" s="47">
        <f ca="1">PlayerGameData[[#This Row],[OFF REB]]+PlayerGameData[[#This Row],[DEF REB]]</f>
        <v>0</v>
      </c>
      <c r="AD964" s="8">
        <f t="shared" si="450"/>
        <v>40</v>
      </c>
      <c r="AE964" s="8" t="str">
        <f t="shared" ca="1" si="451"/>
        <v>,  - 0 1/0/1900</v>
      </c>
      <c r="AF964" s="8" t="str">
        <f t="shared" ca="1" si="470"/>
        <v/>
      </c>
      <c r="AG964" s="8" t="str">
        <f ca="1">IFERROR(IF(C964=0,"",IF(AND(VLOOKUP(PlayerGameData[[#This Row],[Opponent]],WYTeamInfo,2,FALSE)=Roster!$D$1,VLOOKUP(PlayerGameData[[#This Row],[Opponent]],WYTeamInfo,3,FALSE)=Roster!$D$2),"SR","")),"")</f>
        <v/>
      </c>
      <c r="AH964" s="8" t="str">
        <f>CONCATENATE(Roster!$D$1," ",Roster!$D$5)</f>
        <v>1A BB</v>
      </c>
      <c r="AI964" s="8" t="str">
        <f t="shared" ca="1" si="452"/>
        <v>Blank</v>
      </c>
      <c r="AJ964" s="8">
        <f ca="1">IFERROR(VLOOKUP(PlayerGameData[[#This Row],[School, Opponent,Game'#]],Table3[],2,FALSE),0)</f>
        <v>0</v>
      </c>
      <c r="AK964" s="8">
        <f ca="1">IF(PlayerGameData[[#This Row],[Visible]]=1,1,1000)</f>
        <v>1000</v>
      </c>
      <c r="AL964" s="8">
        <f ca="1">RANK(PlayerGameData[[#This Row],[TL PTS]],PlayerGameData[TL PTS],0)+PlayerGameData[[#This Row],[VisibleOrder]]</f>
        <v>1184</v>
      </c>
      <c r="AM964" s="8">
        <f ca="1">IF(COUNTIF(PlayerGameData[PointOrder],PlayerGameData[[#This Row],[PointOrder]])&gt;1,RANK(PlayerGameData[[#This Row],[FGA]],PlayerGameData[FGA],0)/100,0)+PlayerGameData[[#This Row],[PointOrder]]</f>
        <v>1186.1400000000001</v>
      </c>
      <c r="AN964" s="8">
        <f ca="1">RANK(PlayerGameData[[#This Row],[PointTieBreak]],PlayerGameData[PointTieBreak],1)</f>
        <v>625</v>
      </c>
      <c r="AO964" s="8">
        <f ca="1">RANK(PlayerGameData[[#This Row],[REB]],PlayerGameData[REB],0)+PlayerGameData[[#This Row],[VisibleOrder]]</f>
        <v>1191</v>
      </c>
      <c r="AP964" s="8">
        <f ca="1">IF(COUNTIF(PlayerGameData[REBOrder],PlayerGameData[[#This Row],[REBOrder]])&gt;1,PlayerGameData[[#This Row],[PointRank]]/100+PlayerGameData[[#This Row],[REBOrder]],PlayerGameData[[#This Row],[REBOrder]])</f>
        <v>1197.25</v>
      </c>
      <c r="AQ964" s="8">
        <f ca="1">RANK(PlayerGameData[[#This Row],[REBTieBreak]],PlayerGameData[REBTieBreak],1)</f>
        <v>625</v>
      </c>
      <c r="AR964" s="8">
        <f ca="1">RANK(PlayerGameData[[#This Row],[AST]],PlayerGameData[AST],0)+PlayerGameData[[#This Row],[VisibleOrder]]</f>
        <v>1157</v>
      </c>
      <c r="AS964" s="8">
        <f ca="1">IF(COUNTIF(PlayerGameData[ASTOrder],PlayerGameData[[#This Row],[ASTOrder]])&gt;1,PlayerGameData[[#This Row],[PointRank]]/100+PlayerGameData[[#This Row],[ASTOrder]],PlayerGameData[[#This Row],[ASTOrder]])</f>
        <v>1163.25</v>
      </c>
      <c r="AT964" s="8">
        <f ca="1">RANK(PlayerGameData[[#This Row],[ASTTieBreak]],PlayerGameData[ASTTieBreak],1)</f>
        <v>625</v>
      </c>
      <c r="AU964" s="8">
        <f ca="1">RANK(PlayerGameData[[#This Row],[STL]],PlayerGameData[STL],0)+PlayerGameData[[#This Row],[VisibleOrder]]</f>
        <v>1142</v>
      </c>
      <c r="AV964" s="8">
        <f ca="1">IF(COUNTIF(PlayerGameData[STLOrder],PlayerGameData[[#This Row],[STLOrder]])&gt;1,PlayerGameData[[#This Row],[PointRank]]/100+PlayerGameData[[#This Row],[STLOrder]],PlayerGameData[[#This Row],[STLOrder]])</f>
        <v>1148.25</v>
      </c>
      <c r="AW964" s="8">
        <f ca="1">RANK(PlayerGameData[[#This Row],[STLTieBreak]],PlayerGameData[STLTieBreak],1)</f>
        <v>625</v>
      </c>
      <c r="AX964" s="8">
        <f ca="1">RANK(PlayerGameData[[#This Row],[BLK]],PlayerGameData[BLK],0)+PlayerGameData[[#This Row],[VisibleOrder]]</f>
        <v>1031</v>
      </c>
      <c r="AY964" s="8">
        <f ca="1">IF(COUNTIF(PlayerGameData[BLKOrder],PlayerGameData[[#This Row],[BLKOrder]])&gt;1,PlayerGameData[[#This Row],[PointRank]]/100+PlayerGameData[[#This Row],[BLKOrder]],PlayerGameData[[#This Row],[BLKOrder]])</f>
        <v>1037.25</v>
      </c>
      <c r="AZ964" s="8">
        <f ca="1">RANK(PlayerGameData[[#This Row],[BLKTieBreak]],PlayerGameData[BLKTieBreak],1)</f>
        <v>625</v>
      </c>
      <c r="BA964" s="11">
        <f ca="1">IFERROR(IF(PlayerGameData[[#This Row],[FGA]]&gt;$AA$5,PlayerGameData[[#This Row],[FG%*]],PlayerGameData[[#This Row],[FG%*]]*-1),-2)</f>
        <v>-2</v>
      </c>
      <c r="BB964" s="8">
        <f ca="1">RANK(PlayerGameData[[#This Row],[EligFG]],PlayerGameData[EligFG],0)+PlayerGameData[[#This Row],[VisibleOrder]]</f>
        <v>1214</v>
      </c>
      <c r="BC964" s="8">
        <f ca="1">IF(COUNTIF(PlayerGameData[EligFGOrder],PlayerGameData[[#This Row],[EligFGOrder]])&gt;1,PlayerGameData[[#This Row],[PointRank]]/100+PlayerGameData[[#This Row],[EligFGOrder]],PlayerGameData[[#This Row],[EligFGOrder]])</f>
        <v>1220.25</v>
      </c>
      <c r="BD964" s="8">
        <f ca="1">RANK(PlayerGameData[[#This Row],[EligFGTieBreak]],PlayerGameData[EligFGTieBreak],1)</f>
        <v>625</v>
      </c>
      <c r="BE964" s="8" t="str">
        <f>Roster!$D$3</f>
        <v>East</v>
      </c>
      <c r="BF964" s="8" t="str">
        <f>Roster!$D$2</f>
        <v>Northeast</v>
      </c>
      <c r="BG964" s="8" t="str">
        <f>Roster!$D$4</f>
        <v>North</v>
      </c>
      <c r="BH964" s="197">
        <f ca="1">IFERROR(VLOOKUP(CONCATENATE(PlayerGameData[[#This Row],[Opponent]]," ",MONTH(PlayerGameData[[#This Row],[Date]]),"/",DAY(PlayerGameData[[#This Row],[Date]]),"/",YEAR(PlayerGameData[[#This Row],[Date]])),Table35[],2,FALSE),0)</f>
        <v>0</v>
      </c>
      <c r="BI964" s="197">
        <f ca="1">IF(PlayerGameData[[#This Row],[Visible]]=1,1,1000)</f>
        <v>1000</v>
      </c>
      <c r="BJ964" s="197" t="e">
        <f ca="1">_xlfn.MAXIFS(TeamGameData[Win],TeamGameData[School, Opponent,Game'#],PlayerGameData[[#This Row],[School, Opponent,Game'#]])</f>
        <v>#NAME?</v>
      </c>
      <c r="BK964" s="197" t="e">
        <f ca="1">_xlfn.MAXIFS(TeamGameData[Loss],TeamGameData[School, Opponent,Game'#],PlayerGameData[[#This Row],[School, Opponent,Game'#]])</f>
        <v>#NAME?</v>
      </c>
    </row>
    <row r="965" spans="1:63" x14ac:dyDescent="0.25">
      <c r="A965" s="8" t="str">
        <f t="shared" ca="1" si="453"/>
        <v xml:space="preserve">, </v>
      </c>
      <c r="B965" s="8" t="str">
        <f>Roster!$B$1</f>
        <v>Upton</v>
      </c>
      <c r="C965" s="8">
        <f t="shared" ca="1" si="441"/>
        <v>0</v>
      </c>
      <c r="D965" s="10">
        <f t="shared" ca="1" si="442"/>
        <v>0</v>
      </c>
      <c r="E965" s="8">
        <f t="shared" ca="1" si="443"/>
        <v>0</v>
      </c>
      <c r="F965" s="8">
        <f t="shared" ca="1" si="444"/>
        <v>0</v>
      </c>
      <c r="G965" s="8">
        <f t="shared" ca="1" si="445"/>
        <v>0</v>
      </c>
      <c r="H965" s="8">
        <f t="shared" ca="1" si="446"/>
        <v>0</v>
      </c>
      <c r="I965" s="8">
        <f t="shared" ca="1" si="447"/>
        <v>0</v>
      </c>
      <c r="J965" s="8">
        <f t="shared" ca="1" si="448"/>
        <v>0</v>
      </c>
      <c r="K965" s="8">
        <f t="shared" ca="1" si="449"/>
        <v>0</v>
      </c>
      <c r="L965" s="8">
        <f t="shared" ca="1" si="454"/>
        <v>0</v>
      </c>
      <c r="M965" s="8">
        <f t="shared" ca="1" si="455"/>
        <v>0</v>
      </c>
      <c r="N965" s="8">
        <f t="shared" ca="1" si="456"/>
        <v>0</v>
      </c>
      <c r="O965" s="8">
        <f t="shared" ca="1" si="457"/>
        <v>0</v>
      </c>
      <c r="P965" s="8">
        <f t="shared" ca="1" si="458"/>
        <v>0</v>
      </c>
      <c r="Q965" s="8">
        <f t="shared" ca="1" si="459"/>
        <v>0</v>
      </c>
      <c r="R965" s="8">
        <f t="shared" ca="1" si="460"/>
        <v>0</v>
      </c>
      <c r="S965" s="8">
        <f t="shared" ca="1" si="461"/>
        <v>0</v>
      </c>
      <c r="T965" s="8">
        <f t="shared" ca="1" si="462"/>
        <v>0</v>
      </c>
      <c r="U965" s="8">
        <f t="shared" ca="1" si="463"/>
        <v>0</v>
      </c>
      <c r="V965" s="8">
        <f t="shared" ca="1" si="464"/>
        <v>0</v>
      </c>
      <c r="W965" s="11" t="str">
        <f t="shared" ca="1" si="465"/>
        <v/>
      </c>
      <c r="X965" s="11" t="str">
        <f t="shared" ca="1" si="466"/>
        <v/>
      </c>
      <c r="Y965" s="11" t="str">
        <f t="shared" ca="1" si="467"/>
        <v/>
      </c>
      <c r="Z965" s="11" t="str">
        <f t="shared" ca="1" si="468"/>
        <v/>
      </c>
      <c r="AA965" s="11" t="str">
        <f t="shared" ca="1" si="469"/>
        <v/>
      </c>
      <c r="AB965" s="47">
        <f ca="1">PlayerGameData[[#This Row],[3FGA]]+PlayerGameData[[#This Row],[2FGA]]</f>
        <v>0</v>
      </c>
      <c r="AC965" s="47">
        <f ca="1">PlayerGameData[[#This Row],[OFF REB]]+PlayerGameData[[#This Row],[DEF REB]]</f>
        <v>0</v>
      </c>
      <c r="AD965" s="8">
        <f t="shared" si="450"/>
        <v>40</v>
      </c>
      <c r="AE965" s="8" t="str">
        <f t="shared" ca="1" si="451"/>
        <v>,  - 0 1/0/1900</v>
      </c>
      <c r="AF965" s="8" t="str">
        <f t="shared" ca="1" si="470"/>
        <v/>
      </c>
      <c r="AG965" s="8" t="str">
        <f ca="1">IFERROR(IF(C965=0,"",IF(AND(VLOOKUP(PlayerGameData[[#This Row],[Opponent]],WYTeamInfo,2,FALSE)=Roster!$D$1,VLOOKUP(PlayerGameData[[#This Row],[Opponent]],WYTeamInfo,3,FALSE)=Roster!$D$2),"SR","")),"")</f>
        <v/>
      </c>
      <c r="AH965" s="8" t="str">
        <f>CONCATENATE(Roster!$D$1," ",Roster!$D$5)</f>
        <v>1A BB</v>
      </c>
      <c r="AI965" s="8" t="str">
        <f t="shared" ca="1" si="452"/>
        <v>Blank</v>
      </c>
      <c r="AJ965" s="8">
        <f ca="1">IFERROR(VLOOKUP(PlayerGameData[[#This Row],[School, Opponent,Game'#]],Table3[],2,FALSE),0)</f>
        <v>0</v>
      </c>
      <c r="AK965" s="8">
        <f ca="1">IF(PlayerGameData[[#This Row],[Visible]]=1,1,1000)</f>
        <v>1000</v>
      </c>
      <c r="AL965" s="8">
        <f ca="1">RANK(PlayerGameData[[#This Row],[TL PTS]],PlayerGameData[TL PTS],0)+PlayerGameData[[#This Row],[VisibleOrder]]</f>
        <v>1184</v>
      </c>
      <c r="AM965" s="8">
        <f ca="1">IF(COUNTIF(PlayerGameData[PointOrder],PlayerGameData[[#This Row],[PointOrder]])&gt;1,RANK(PlayerGameData[[#This Row],[FGA]],PlayerGameData[FGA],0)/100,0)+PlayerGameData[[#This Row],[PointOrder]]</f>
        <v>1186.1400000000001</v>
      </c>
      <c r="AN965" s="8">
        <f ca="1">RANK(PlayerGameData[[#This Row],[PointTieBreak]],PlayerGameData[PointTieBreak],1)</f>
        <v>625</v>
      </c>
      <c r="AO965" s="8">
        <f ca="1">RANK(PlayerGameData[[#This Row],[REB]],PlayerGameData[REB],0)+PlayerGameData[[#This Row],[VisibleOrder]]</f>
        <v>1191</v>
      </c>
      <c r="AP965" s="8">
        <f ca="1">IF(COUNTIF(PlayerGameData[REBOrder],PlayerGameData[[#This Row],[REBOrder]])&gt;1,PlayerGameData[[#This Row],[PointRank]]/100+PlayerGameData[[#This Row],[REBOrder]],PlayerGameData[[#This Row],[REBOrder]])</f>
        <v>1197.25</v>
      </c>
      <c r="AQ965" s="8">
        <f ca="1">RANK(PlayerGameData[[#This Row],[REBTieBreak]],PlayerGameData[REBTieBreak],1)</f>
        <v>625</v>
      </c>
      <c r="AR965" s="8">
        <f ca="1">RANK(PlayerGameData[[#This Row],[AST]],PlayerGameData[AST],0)+PlayerGameData[[#This Row],[VisibleOrder]]</f>
        <v>1157</v>
      </c>
      <c r="AS965" s="8">
        <f ca="1">IF(COUNTIF(PlayerGameData[ASTOrder],PlayerGameData[[#This Row],[ASTOrder]])&gt;1,PlayerGameData[[#This Row],[PointRank]]/100+PlayerGameData[[#This Row],[ASTOrder]],PlayerGameData[[#This Row],[ASTOrder]])</f>
        <v>1163.25</v>
      </c>
      <c r="AT965" s="8">
        <f ca="1">RANK(PlayerGameData[[#This Row],[ASTTieBreak]],PlayerGameData[ASTTieBreak],1)</f>
        <v>625</v>
      </c>
      <c r="AU965" s="8">
        <f ca="1">RANK(PlayerGameData[[#This Row],[STL]],PlayerGameData[STL],0)+PlayerGameData[[#This Row],[VisibleOrder]]</f>
        <v>1142</v>
      </c>
      <c r="AV965" s="8">
        <f ca="1">IF(COUNTIF(PlayerGameData[STLOrder],PlayerGameData[[#This Row],[STLOrder]])&gt;1,PlayerGameData[[#This Row],[PointRank]]/100+PlayerGameData[[#This Row],[STLOrder]],PlayerGameData[[#This Row],[STLOrder]])</f>
        <v>1148.25</v>
      </c>
      <c r="AW965" s="8">
        <f ca="1">RANK(PlayerGameData[[#This Row],[STLTieBreak]],PlayerGameData[STLTieBreak],1)</f>
        <v>625</v>
      </c>
      <c r="AX965" s="8">
        <f ca="1">RANK(PlayerGameData[[#This Row],[BLK]],PlayerGameData[BLK],0)+PlayerGameData[[#This Row],[VisibleOrder]]</f>
        <v>1031</v>
      </c>
      <c r="AY965" s="8">
        <f ca="1">IF(COUNTIF(PlayerGameData[BLKOrder],PlayerGameData[[#This Row],[BLKOrder]])&gt;1,PlayerGameData[[#This Row],[PointRank]]/100+PlayerGameData[[#This Row],[BLKOrder]],PlayerGameData[[#This Row],[BLKOrder]])</f>
        <v>1037.25</v>
      </c>
      <c r="AZ965" s="8">
        <f ca="1">RANK(PlayerGameData[[#This Row],[BLKTieBreak]],PlayerGameData[BLKTieBreak],1)</f>
        <v>625</v>
      </c>
      <c r="BA965" s="11">
        <f ca="1">IFERROR(IF(PlayerGameData[[#This Row],[FGA]]&gt;$AA$5,PlayerGameData[[#This Row],[FG%*]],PlayerGameData[[#This Row],[FG%*]]*-1),-2)</f>
        <v>-2</v>
      </c>
      <c r="BB965" s="8">
        <f ca="1">RANK(PlayerGameData[[#This Row],[EligFG]],PlayerGameData[EligFG],0)+PlayerGameData[[#This Row],[VisibleOrder]]</f>
        <v>1214</v>
      </c>
      <c r="BC965" s="8">
        <f ca="1">IF(COUNTIF(PlayerGameData[EligFGOrder],PlayerGameData[[#This Row],[EligFGOrder]])&gt;1,PlayerGameData[[#This Row],[PointRank]]/100+PlayerGameData[[#This Row],[EligFGOrder]],PlayerGameData[[#This Row],[EligFGOrder]])</f>
        <v>1220.25</v>
      </c>
      <c r="BD965" s="8">
        <f ca="1">RANK(PlayerGameData[[#This Row],[EligFGTieBreak]],PlayerGameData[EligFGTieBreak],1)</f>
        <v>625</v>
      </c>
      <c r="BE965" s="8" t="str">
        <f>Roster!$D$3</f>
        <v>East</v>
      </c>
      <c r="BF965" s="8" t="str">
        <f>Roster!$D$2</f>
        <v>Northeast</v>
      </c>
      <c r="BG965" s="8" t="str">
        <f>Roster!$D$4</f>
        <v>North</v>
      </c>
      <c r="BH965" s="197">
        <f ca="1">IFERROR(VLOOKUP(CONCATENATE(PlayerGameData[[#This Row],[Opponent]]," ",MONTH(PlayerGameData[[#This Row],[Date]]),"/",DAY(PlayerGameData[[#This Row],[Date]]),"/",YEAR(PlayerGameData[[#This Row],[Date]])),Table35[],2,FALSE),0)</f>
        <v>0</v>
      </c>
      <c r="BI965" s="197">
        <f ca="1">IF(PlayerGameData[[#This Row],[Visible]]=1,1,1000)</f>
        <v>1000</v>
      </c>
      <c r="BJ965" s="197" t="e">
        <f ca="1">_xlfn.MAXIFS(TeamGameData[Win],TeamGameData[School, Opponent,Game'#],PlayerGameData[[#This Row],[School, Opponent,Game'#]])</f>
        <v>#NAME?</v>
      </c>
      <c r="BK965" s="197" t="e">
        <f ca="1">_xlfn.MAXIFS(TeamGameData[Loss],TeamGameData[School, Opponent,Game'#],PlayerGameData[[#This Row],[School, Opponent,Game'#]])</f>
        <v>#NAME?</v>
      </c>
    </row>
    <row r="966" spans="1:63" x14ac:dyDescent="0.25">
      <c r="A966" s="8" t="str">
        <f t="shared" ca="1" si="453"/>
        <v xml:space="preserve">Team, </v>
      </c>
      <c r="B966" s="8" t="str">
        <f>Roster!$B$1</f>
        <v>Upton</v>
      </c>
      <c r="C966" s="8">
        <f t="shared" ca="1" si="441"/>
        <v>0</v>
      </c>
      <c r="D966" s="10">
        <f t="shared" ca="1" si="442"/>
        <v>0</v>
      </c>
      <c r="E966" s="8">
        <f t="shared" ca="1" si="443"/>
        <v>0</v>
      </c>
      <c r="F966" s="8">
        <f t="shared" ca="1" si="444"/>
        <v>0</v>
      </c>
      <c r="G966" s="8">
        <f t="shared" ca="1" si="445"/>
        <v>0</v>
      </c>
      <c r="H966" s="8">
        <f t="shared" ca="1" si="446"/>
        <v>0</v>
      </c>
      <c r="I966" s="8">
        <f t="shared" ca="1" si="447"/>
        <v>0</v>
      </c>
      <c r="J966" s="8">
        <f t="shared" ca="1" si="448"/>
        <v>0</v>
      </c>
      <c r="K966" s="8">
        <f t="shared" ca="1" si="449"/>
        <v>0</v>
      </c>
      <c r="L966" s="8">
        <f t="shared" ca="1" si="454"/>
        <v>0</v>
      </c>
      <c r="M966" s="8">
        <f t="shared" ca="1" si="455"/>
        <v>0</v>
      </c>
      <c r="N966" s="8">
        <f t="shared" ca="1" si="456"/>
        <v>0</v>
      </c>
      <c r="O966" s="8">
        <f t="shared" ca="1" si="457"/>
        <v>0</v>
      </c>
      <c r="P966" s="8">
        <f t="shared" ca="1" si="458"/>
        <v>0</v>
      </c>
      <c r="Q966" s="8">
        <f t="shared" ca="1" si="459"/>
        <v>0</v>
      </c>
      <c r="R966" s="8">
        <f t="shared" ca="1" si="460"/>
        <v>0</v>
      </c>
      <c r="S966" s="8">
        <f t="shared" ca="1" si="461"/>
        <v>0</v>
      </c>
      <c r="T966" s="8">
        <f t="shared" ca="1" si="462"/>
        <v>0</v>
      </c>
      <c r="U966" s="8">
        <f t="shared" ca="1" si="463"/>
        <v>0</v>
      </c>
      <c r="V966" s="8">
        <f t="shared" ca="1" si="464"/>
        <v>0</v>
      </c>
      <c r="W966" s="11" t="str">
        <f t="shared" ca="1" si="465"/>
        <v/>
      </c>
      <c r="X966" s="11" t="str">
        <f t="shared" ca="1" si="466"/>
        <v/>
      </c>
      <c r="Y966" s="11" t="str">
        <f t="shared" ca="1" si="467"/>
        <v/>
      </c>
      <c r="Z966" s="11" t="str">
        <f t="shared" ca="1" si="468"/>
        <v/>
      </c>
      <c r="AA966" s="11" t="str">
        <f t="shared" ca="1" si="469"/>
        <v/>
      </c>
      <c r="AB966" s="47">
        <f ca="1">PlayerGameData[[#This Row],[3FGA]]+PlayerGameData[[#This Row],[2FGA]]</f>
        <v>0</v>
      </c>
      <c r="AC966" s="47">
        <f ca="1">PlayerGameData[[#This Row],[OFF REB]]+PlayerGameData[[#This Row],[DEF REB]]</f>
        <v>0</v>
      </c>
      <c r="AD966" s="8">
        <f t="shared" si="450"/>
        <v>40</v>
      </c>
      <c r="AE966" s="8" t="str">
        <f t="shared" ca="1" si="451"/>
        <v>Team,  - 0 1/0/1900</v>
      </c>
      <c r="AF966" s="8" t="str">
        <f t="shared" ca="1" si="470"/>
        <v/>
      </c>
      <c r="AG966" s="8" t="str">
        <f ca="1">IFERROR(IF(C966=0,"",IF(AND(VLOOKUP(PlayerGameData[[#This Row],[Opponent]],WYTeamInfo,2,FALSE)=Roster!$D$1,VLOOKUP(PlayerGameData[[#This Row],[Opponent]],WYTeamInfo,3,FALSE)=Roster!$D$2),"SR","")),"")</f>
        <v/>
      </c>
      <c r="AH966" s="8" t="str">
        <f>CONCATENATE(Roster!$D$1," ",Roster!$D$5)</f>
        <v>1A BB</v>
      </c>
      <c r="AI966" s="8" t="str">
        <f t="shared" ca="1" si="452"/>
        <v>Blank</v>
      </c>
      <c r="AJ966" s="8">
        <f ca="1">IFERROR(VLOOKUP(PlayerGameData[[#This Row],[School, Opponent,Game'#]],Table3[],2,FALSE),0)</f>
        <v>0</v>
      </c>
      <c r="AK966" s="8">
        <f ca="1">IF(PlayerGameData[[#This Row],[Visible]]=1,1,1000)</f>
        <v>1000</v>
      </c>
      <c r="AL966" s="8">
        <f ca="1">RANK(PlayerGameData[[#This Row],[TL PTS]],PlayerGameData[TL PTS],0)+PlayerGameData[[#This Row],[VisibleOrder]]</f>
        <v>1184</v>
      </c>
      <c r="AM966" s="8">
        <f ca="1">IF(COUNTIF(PlayerGameData[PointOrder],PlayerGameData[[#This Row],[PointOrder]])&gt;1,RANK(PlayerGameData[[#This Row],[FGA]],PlayerGameData[FGA],0)/100,0)+PlayerGameData[[#This Row],[PointOrder]]</f>
        <v>1186.1400000000001</v>
      </c>
      <c r="AN966" s="8">
        <f ca="1">RANK(PlayerGameData[[#This Row],[PointTieBreak]],PlayerGameData[PointTieBreak],1)</f>
        <v>625</v>
      </c>
      <c r="AO966" s="8">
        <f ca="1">RANK(PlayerGameData[[#This Row],[REB]],PlayerGameData[REB],0)+PlayerGameData[[#This Row],[VisibleOrder]]</f>
        <v>1191</v>
      </c>
      <c r="AP966" s="8">
        <f ca="1">IF(COUNTIF(PlayerGameData[REBOrder],PlayerGameData[[#This Row],[REBOrder]])&gt;1,PlayerGameData[[#This Row],[PointRank]]/100+PlayerGameData[[#This Row],[REBOrder]],PlayerGameData[[#This Row],[REBOrder]])</f>
        <v>1197.25</v>
      </c>
      <c r="AQ966" s="8">
        <f ca="1">RANK(PlayerGameData[[#This Row],[REBTieBreak]],PlayerGameData[REBTieBreak],1)</f>
        <v>625</v>
      </c>
      <c r="AR966" s="8">
        <f ca="1">RANK(PlayerGameData[[#This Row],[AST]],PlayerGameData[AST],0)+PlayerGameData[[#This Row],[VisibleOrder]]</f>
        <v>1157</v>
      </c>
      <c r="AS966" s="8">
        <f ca="1">IF(COUNTIF(PlayerGameData[ASTOrder],PlayerGameData[[#This Row],[ASTOrder]])&gt;1,PlayerGameData[[#This Row],[PointRank]]/100+PlayerGameData[[#This Row],[ASTOrder]],PlayerGameData[[#This Row],[ASTOrder]])</f>
        <v>1163.25</v>
      </c>
      <c r="AT966" s="8">
        <f ca="1">RANK(PlayerGameData[[#This Row],[ASTTieBreak]],PlayerGameData[ASTTieBreak],1)</f>
        <v>625</v>
      </c>
      <c r="AU966" s="8">
        <f ca="1">RANK(PlayerGameData[[#This Row],[STL]],PlayerGameData[STL],0)+PlayerGameData[[#This Row],[VisibleOrder]]</f>
        <v>1142</v>
      </c>
      <c r="AV966" s="8">
        <f ca="1">IF(COUNTIF(PlayerGameData[STLOrder],PlayerGameData[[#This Row],[STLOrder]])&gt;1,PlayerGameData[[#This Row],[PointRank]]/100+PlayerGameData[[#This Row],[STLOrder]],PlayerGameData[[#This Row],[STLOrder]])</f>
        <v>1148.25</v>
      </c>
      <c r="AW966" s="8">
        <f ca="1">RANK(PlayerGameData[[#This Row],[STLTieBreak]],PlayerGameData[STLTieBreak],1)</f>
        <v>625</v>
      </c>
      <c r="AX966" s="8">
        <f ca="1">RANK(PlayerGameData[[#This Row],[BLK]],PlayerGameData[BLK],0)+PlayerGameData[[#This Row],[VisibleOrder]]</f>
        <v>1031</v>
      </c>
      <c r="AY966" s="8">
        <f ca="1">IF(COUNTIF(PlayerGameData[BLKOrder],PlayerGameData[[#This Row],[BLKOrder]])&gt;1,PlayerGameData[[#This Row],[PointRank]]/100+PlayerGameData[[#This Row],[BLKOrder]],PlayerGameData[[#This Row],[BLKOrder]])</f>
        <v>1037.25</v>
      </c>
      <c r="AZ966" s="8">
        <f ca="1">RANK(PlayerGameData[[#This Row],[BLKTieBreak]],PlayerGameData[BLKTieBreak],1)</f>
        <v>625</v>
      </c>
      <c r="BA966" s="11">
        <f ca="1">IFERROR(IF(PlayerGameData[[#This Row],[FGA]]&gt;$AA$5,PlayerGameData[[#This Row],[FG%*]],PlayerGameData[[#This Row],[FG%*]]*-1),-2)</f>
        <v>-2</v>
      </c>
      <c r="BB966" s="8">
        <f ca="1">RANK(PlayerGameData[[#This Row],[EligFG]],PlayerGameData[EligFG],0)+PlayerGameData[[#This Row],[VisibleOrder]]</f>
        <v>1214</v>
      </c>
      <c r="BC966" s="8">
        <f ca="1">IF(COUNTIF(PlayerGameData[EligFGOrder],PlayerGameData[[#This Row],[EligFGOrder]])&gt;1,PlayerGameData[[#This Row],[PointRank]]/100+PlayerGameData[[#This Row],[EligFGOrder]],PlayerGameData[[#This Row],[EligFGOrder]])</f>
        <v>1220.25</v>
      </c>
      <c r="BD966" s="8">
        <f ca="1">RANK(PlayerGameData[[#This Row],[EligFGTieBreak]],PlayerGameData[EligFGTieBreak],1)</f>
        <v>625</v>
      </c>
      <c r="BE966" s="8" t="str">
        <f>Roster!$D$3</f>
        <v>East</v>
      </c>
      <c r="BF966" s="8" t="str">
        <f>Roster!$D$2</f>
        <v>Northeast</v>
      </c>
      <c r="BG966" s="8" t="str">
        <f>Roster!$D$4</f>
        <v>North</v>
      </c>
      <c r="BH966" s="197">
        <f ca="1">IFERROR(VLOOKUP(CONCATENATE(PlayerGameData[[#This Row],[Opponent]]," ",MONTH(PlayerGameData[[#This Row],[Date]]),"/",DAY(PlayerGameData[[#This Row],[Date]]),"/",YEAR(PlayerGameData[[#This Row],[Date]])),Table35[],2,FALSE),0)</f>
        <v>0</v>
      </c>
      <c r="BI966" s="197">
        <f ca="1">IF(PlayerGameData[[#This Row],[Visible]]=1,1,1000)</f>
        <v>1000</v>
      </c>
      <c r="BJ966" s="197" t="e">
        <f ca="1">_xlfn.MAXIFS(TeamGameData[Win],TeamGameData[School, Opponent,Game'#],PlayerGameData[[#This Row],[School, Opponent,Game'#]])</f>
        <v>#NAME?</v>
      </c>
      <c r="BK966" s="197" t="e">
        <f ca="1">_xlfn.MAXIFS(TeamGameData[Loss],TeamGameData[School, Opponent,Game'#],PlayerGameData[[#This Row],[School, Opponent,Game'#]])</f>
        <v>#NAME?</v>
      </c>
    </row>
  </sheetData>
  <pageMargins left="0.7" right="0.7" top="0.75" bottom="0.75" header="0.3" footer="0.3"/>
  <legacyDrawing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G36" sqref="G36"/>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323</v>
      </c>
      <c r="C3" s="70">
        <v>8</v>
      </c>
      <c r="D3" s="71">
        <v>17</v>
      </c>
      <c r="E3" s="71">
        <v>13</v>
      </c>
      <c r="F3" s="71">
        <v>10</v>
      </c>
      <c r="G3" s="72"/>
      <c r="H3" s="73">
        <f>SUM(C3:G3)</f>
        <v>48</v>
      </c>
      <c r="J3" s="12" t="s">
        <v>165</v>
      </c>
      <c r="P3" s="74" t="s">
        <v>135</v>
      </c>
      <c r="Q3" s="74" t="s">
        <v>137</v>
      </c>
      <c r="S3" s="75" t="s">
        <v>138</v>
      </c>
      <c r="U3" s="76" t="s">
        <v>139</v>
      </c>
      <c r="W3" s="77" t="s">
        <v>134</v>
      </c>
      <c r="X3" s="77" t="s">
        <v>136</v>
      </c>
      <c r="AA3" s="48" t="str">
        <f>B4</f>
        <v>Upton</v>
      </c>
      <c r="AD3" s="48">
        <f>SUM($C3:C3)</f>
        <v>8</v>
      </c>
      <c r="AE3" s="48">
        <f>SUM($C3:D3)</f>
        <v>25</v>
      </c>
      <c r="AF3" s="48">
        <f>SUM($C3:E3)</f>
        <v>38</v>
      </c>
      <c r="AG3" s="48">
        <f>SUM($C3:F3)</f>
        <v>48</v>
      </c>
      <c r="AH3" s="48">
        <f>SUM($C3:G3)</f>
        <v>48</v>
      </c>
      <c r="AJ3" s="74"/>
    </row>
    <row r="4" spans="1:36" ht="16.5" customHeight="1" thickTop="1" thickBot="1" x14ac:dyDescent="0.3">
      <c r="B4" s="78" t="str">
        <f>Roster!$B$1</f>
        <v>Upton</v>
      </c>
      <c r="C4" s="79">
        <v>14</v>
      </c>
      <c r="D4" s="80">
        <v>21</v>
      </c>
      <c r="E4" s="80">
        <v>23</v>
      </c>
      <c r="F4" s="80">
        <v>27</v>
      </c>
      <c r="G4" s="81"/>
      <c r="H4" s="82">
        <f>SUM(C4:G4)</f>
        <v>85</v>
      </c>
      <c r="J4" s="83"/>
      <c r="L4" s="84" t="s">
        <v>133</v>
      </c>
      <c r="M4" s="404">
        <v>44960</v>
      </c>
      <c r="N4" s="405"/>
      <c r="P4" s="83">
        <v>1</v>
      </c>
      <c r="Q4" s="83"/>
      <c r="S4" s="83"/>
      <c r="U4" s="83"/>
      <c r="W4" s="85">
        <f>IF(OR($S$4=1,$H$4&gt;$H$3),1,"")</f>
        <v>1</v>
      </c>
      <c r="X4" s="85" t="str">
        <f>IF(OR($U$4=1,$H$4&lt;$H$3),1,"")</f>
        <v/>
      </c>
      <c r="AA4" s="48" t="str">
        <f>B3</f>
        <v>Kaycee</v>
      </c>
      <c r="AD4" s="48">
        <f>SUM($C4:C4)</f>
        <v>14</v>
      </c>
      <c r="AE4" s="48">
        <f>SUM($C4:D4)</f>
        <v>35</v>
      </c>
      <c r="AF4" s="48">
        <f>SUM($C4:E4)</f>
        <v>58</v>
      </c>
      <c r="AG4" s="48">
        <f>SUM($C4:F4)</f>
        <v>85</v>
      </c>
      <c r="AH4" s="48">
        <f>SUM($C4:G4)</f>
        <v>85</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2</v>
      </c>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v>1</v>
      </c>
      <c r="E8" s="100">
        <v>18</v>
      </c>
      <c r="F8" s="101"/>
      <c r="G8" s="102"/>
      <c r="H8" s="103">
        <v>6</v>
      </c>
      <c r="I8" s="102">
        <v>7</v>
      </c>
      <c r="J8" s="103"/>
      <c r="K8" s="102">
        <v>1</v>
      </c>
      <c r="L8" s="103"/>
      <c r="M8" s="103">
        <v>4</v>
      </c>
      <c r="N8" s="103">
        <v>6</v>
      </c>
      <c r="O8" s="103">
        <v>2</v>
      </c>
      <c r="P8" s="103"/>
      <c r="Q8" s="103"/>
      <c r="R8" s="103"/>
      <c r="S8" s="104"/>
      <c r="T8" s="105">
        <f t="shared" ref="T8:T30" si="1">IF(J8+2*H8+3*F8&gt;0,J8+2*H8+3*F8,0)</f>
        <v>12</v>
      </c>
      <c r="U8" s="106" t="str">
        <f t="shared" ref="U8:U30" si="2">IF(G8&gt;0,F8/G8,"")</f>
        <v/>
      </c>
      <c r="V8" s="106">
        <f t="shared" ref="V8:V30" si="3">IF(I8&gt;0,H8/I8,"")</f>
        <v>0.8571428571428571</v>
      </c>
      <c r="W8" s="107">
        <f t="shared" ref="W8:W30" si="4">IF(K8&gt;0,J8/K8,"")</f>
        <v>0</v>
      </c>
      <c r="X8" s="106">
        <f t="shared" si="0"/>
        <v>0.8571428571428571</v>
      </c>
      <c r="Y8" s="108">
        <f t="shared" ref="Y8:Y32" si="5">IF(OR(G8&gt;0,I8 &gt;0),(1.5*F8+H8)/(G8+I8),"")</f>
        <v>0.8571428571428571</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27</v>
      </c>
      <c r="F9" s="111"/>
      <c r="G9" s="112">
        <v>1</v>
      </c>
      <c r="H9" s="113">
        <v>6</v>
      </c>
      <c r="I9" s="112">
        <v>9</v>
      </c>
      <c r="J9" s="113">
        <v>5</v>
      </c>
      <c r="K9" s="112">
        <v>8</v>
      </c>
      <c r="L9" s="113"/>
      <c r="M9" s="113">
        <v>3</v>
      </c>
      <c r="N9" s="113">
        <v>2</v>
      </c>
      <c r="O9" s="113">
        <v>3</v>
      </c>
      <c r="P9" s="113"/>
      <c r="Q9" s="113">
        <v>2</v>
      </c>
      <c r="R9" s="113">
        <v>2</v>
      </c>
      <c r="S9" s="114"/>
      <c r="T9" s="115">
        <f t="shared" si="1"/>
        <v>17</v>
      </c>
      <c r="U9" s="95">
        <f t="shared" si="2"/>
        <v>0</v>
      </c>
      <c r="V9" s="95">
        <f t="shared" si="3"/>
        <v>0.66666666666666663</v>
      </c>
      <c r="W9" s="96">
        <f t="shared" si="4"/>
        <v>0.625</v>
      </c>
      <c r="X9" s="95">
        <f t="shared" si="0"/>
        <v>0.6</v>
      </c>
      <c r="Y9" s="116">
        <f t="shared" si="5"/>
        <v>0.6</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28</v>
      </c>
      <c r="F10" s="101">
        <v>2</v>
      </c>
      <c r="G10" s="102">
        <v>6</v>
      </c>
      <c r="H10" s="103">
        <v>2</v>
      </c>
      <c r="I10" s="102">
        <v>5</v>
      </c>
      <c r="J10" s="103">
        <v>1</v>
      </c>
      <c r="K10" s="102">
        <v>2</v>
      </c>
      <c r="L10" s="103"/>
      <c r="M10" s="103">
        <v>4</v>
      </c>
      <c r="N10" s="103">
        <v>5</v>
      </c>
      <c r="O10" s="103">
        <v>3</v>
      </c>
      <c r="P10" s="103"/>
      <c r="Q10" s="103">
        <v>1</v>
      </c>
      <c r="R10" s="103"/>
      <c r="S10" s="104"/>
      <c r="T10" s="105">
        <f t="shared" si="1"/>
        <v>11</v>
      </c>
      <c r="U10" s="106">
        <f t="shared" si="2"/>
        <v>0.33333333333333331</v>
      </c>
      <c r="V10" s="106">
        <f t="shared" si="3"/>
        <v>0.4</v>
      </c>
      <c r="W10" s="107">
        <f t="shared" si="4"/>
        <v>0.5</v>
      </c>
      <c r="X10" s="106">
        <f t="shared" si="0"/>
        <v>0.36363636363636365</v>
      </c>
      <c r="Y10" s="108">
        <f t="shared" si="5"/>
        <v>0.45454545454545453</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t="s">
        <v>369</v>
      </c>
      <c r="D11" s="149">
        <v>1</v>
      </c>
      <c r="E11" s="110">
        <v>3</v>
      </c>
      <c r="F11" s="111"/>
      <c r="G11" s="112"/>
      <c r="H11" s="113"/>
      <c r="I11" s="112"/>
      <c r="J11" s="113"/>
      <c r="K11" s="112"/>
      <c r="L11" s="113"/>
      <c r="M11" s="113"/>
      <c r="N11" s="113">
        <v>1</v>
      </c>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74</v>
      </c>
      <c r="AB11" s="385">
        <f>T31/AA11</f>
        <v>1.1486486486486487</v>
      </c>
      <c r="AC11" s="385">
        <f>L31/AA11</f>
        <v>8.1081081081081086E-2</v>
      </c>
      <c r="AD11" s="385">
        <f>M31/AA12</f>
        <v>0.3108108108108108</v>
      </c>
      <c r="AE11" s="389">
        <f>(L31+M31)/AA11</f>
        <v>0.39189189189189189</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1</v>
      </c>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74</v>
      </c>
      <c r="AB12" s="385">
        <f>T32/AA12</f>
        <v>0.64864864864864868</v>
      </c>
      <c r="AC12" s="385">
        <f>L32/AA12</f>
        <v>0.12162162162162163</v>
      </c>
      <c r="AD12" s="385">
        <f>M32/AA11</f>
        <v>0.22972972972972974</v>
      </c>
      <c r="AE12" s="389">
        <f>(L32+M32)/AA12</f>
        <v>0.35135135135135137</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1</v>
      </c>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19</v>
      </c>
      <c r="F14" s="101"/>
      <c r="G14" s="102">
        <v>1</v>
      </c>
      <c r="H14" s="103">
        <v>4</v>
      </c>
      <c r="I14" s="102">
        <v>5</v>
      </c>
      <c r="J14" s="103">
        <v>1</v>
      </c>
      <c r="K14" s="102">
        <v>1</v>
      </c>
      <c r="L14" s="103">
        <v>2</v>
      </c>
      <c r="M14" s="103">
        <v>5</v>
      </c>
      <c r="N14" s="103">
        <v>2</v>
      </c>
      <c r="O14" s="103">
        <v>2</v>
      </c>
      <c r="P14" s="103">
        <v>1</v>
      </c>
      <c r="Q14" s="103">
        <v>2</v>
      </c>
      <c r="R14" s="103">
        <v>3</v>
      </c>
      <c r="S14" s="104"/>
      <c r="T14" s="105">
        <f t="shared" si="1"/>
        <v>9</v>
      </c>
      <c r="U14" s="106">
        <f t="shared" si="2"/>
        <v>0</v>
      </c>
      <c r="V14" s="106">
        <f t="shared" si="3"/>
        <v>0.8</v>
      </c>
      <c r="W14" s="107">
        <f t="shared" si="4"/>
        <v>1</v>
      </c>
      <c r="X14" s="106">
        <f t="shared" si="0"/>
        <v>0.66666666666666663</v>
      </c>
      <c r="Y14" s="108">
        <f t="shared" si="5"/>
        <v>0.66666666666666663</v>
      </c>
      <c r="Z14" s="385"/>
      <c r="AA14" s="385"/>
      <c r="AB14" s="385">
        <f>N31/AA11</f>
        <v>0.3108108108108108</v>
      </c>
      <c r="AC14" s="385">
        <f>O31/AA12</f>
        <v>0.16216216216216217</v>
      </c>
      <c r="AD14" s="385">
        <f>Q31/AA11</f>
        <v>0.14864864864864866</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21</v>
      </c>
      <c r="F15" s="111">
        <v>2</v>
      </c>
      <c r="G15" s="112">
        <v>4</v>
      </c>
      <c r="H15" s="113">
        <v>3</v>
      </c>
      <c r="I15" s="112">
        <v>4</v>
      </c>
      <c r="J15" s="113">
        <v>2</v>
      </c>
      <c r="K15" s="112">
        <v>4</v>
      </c>
      <c r="L15" s="113">
        <v>1</v>
      </c>
      <c r="M15" s="113">
        <v>1</v>
      </c>
      <c r="N15" s="113">
        <v>1</v>
      </c>
      <c r="O15" s="113"/>
      <c r="P15" s="113"/>
      <c r="Q15" s="113">
        <v>2</v>
      </c>
      <c r="R15" s="113">
        <v>1</v>
      </c>
      <c r="S15" s="114"/>
      <c r="T15" s="115">
        <f t="shared" si="1"/>
        <v>14</v>
      </c>
      <c r="U15" s="95">
        <f t="shared" si="2"/>
        <v>0.5</v>
      </c>
      <c r="V15" s="95">
        <f t="shared" si="3"/>
        <v>0.75</v>
      </c>
      <c r="W15" s="96">
        <f t="shared" si="4"/>
        <v>0.5</v>
      </c>
      <c r="X15" s="95">
        <f t="shared" si="0"/>
        <v>0.625</v>
      </c>
      <c r="Y15" s="116">
        <f t="shared" si="5"/>
        <v>0.75</v>
      </c>
      <c r="Z15" s="392"/>
      <c r="AA15" s="393"/>
      <c r="AB15" s="393">
        <f>N32/AA12</f>
        <v>0.16216216216216217</v>
      </c>
      <c r="AC15" s="393">
        <f>O32/AA11</f>
        <v>8.1081081081081086E-2</v>
      </c>
      <c r="AD15" s="393">
        <f>Q32/AA12</f>
        <v>0.27027027027027029</v>
      </c>
      <c r="AE15" s="394"/>
      <c r="AF15" s="51"/>
      <c r="AG15" s="51"/>
      <c r="AH15" s="51"/>
      <c r="AI15" s="51"/>
    </row>
    <row r="16" spans="1:36" s="18" customFormat="1" ht="15.75" x14ac:dyDescent="0.25">
      <c r="A16" s="87">
        <f>IF(Roster!A16&lt;&gt;"",Roster!A16,"")</f>
        <v>31</v>
      </c>
      <c r="B16" s="19" t="str">
        <f>IF(OR(Roster!A16&lt;&gt;"",Roster!B16&lt;&gt;""),PROPER(Roster!B16),"")</f>
        <v>Kailer Duarte</v>
      </c>
      <c r="C16" s="99"/>
      <c r="D16" s="148">
        <v>1</v>
      </c>
      <c r="E16" s="100">
        <v>21</v>
      </c>
      <c r="F16" s="101">
        <v>1</v>
      </c>
      <c r="G16" s="102">
        <v>3</v>
      </c>
      <c r="H16" s="103">
        <v>6</v>
      </c>
      <c r="I16" s="102">
        <v>9</v>
      </c>
      <c r="J16" s="103">
        <v>2</v>
      </c>
      <c r="K16" s="102">
        <v>4</v>
      </c>
      <c r="L16" s="103">
        <v>2</v>
      </c>
      <c r="M16" s="103">
        <v>3</v>
      </c>
      <c r="N16" s="103">
        <v>4</v>
      </c>
      <c r="O16" s="103"/>
      <c r="P16" s="103"/>
      <c r="Q16" s="103">
        <v>1</v>
      </c>
      <c r="R16" s="103">
        <v>2</v>
      </c>
      <c r="S16" s="104"/>
      <c r="T16" s="105">
        <f t="shared" si="1"/>
        <v>17</v>
      </c>
      <c r="U16" s="106">
        <f t="shared" si="2"/>
        <v>0.33333333333333331</v>
      </c>
      <c r="V16" s="106">
        <f t="shared" si="3"/>
        <v>0.66666666666666663</v>
      </c>
      <c r="W16" s="107">
        <f t="shared" si="4"/>
        <v>0.5</v>
      </c>
      <c r="X16" s="106">
        <f t="shared" si="0"/>
        <v>0.58333333333333337</v>
      </c>
      <c r="Y16" s="108">
        <f t="shared" si="5"/>
        <v>0.625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1</v>
      </c>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t="s">
        <v>369</v>
      </c>
      <c r="D18" s="148">
        <v>1</v>
      </c>
      <c r="E18" s="100">
        <v>1</v>
      </c>
      <c r="F18" s="101">
        <v>1</v>
      </c>
      <c r="G18" s="102">
        <v>2</v>
      </c>
      <c r="H18" s="103"/>
      <c r="I18" s="102">
        <v>1</v>
      </c>
      <c r="J18" s="103"/>
      <c r="K18" s="102"/>
      <c r="L18" s="103">
        <v>1</v>
      </c>
      <c r="M18" s="103"/>
      <c r="N18" s="103"/>
      <c r="O18" s="103"/>
      <c r="P18" s="103"/>
      <c r="Q18" s="103"/>
      <c r="R18" s="103"/>
      <c r="S18" s="104"/>
      <c r="T18" s="105">
        <f t="shared" si="1"/>
        <v>3</v>
      </c>
      <c r="U18" s="106">
        <f t="shared" si="2"/>
        <v>0.5</v>
      </c>
      <c r="V18" s="106">
        <f t="shared" si="3"/>
        <v>0</v>
      </c>
      <c r="W18" s="107" t="str">
        <f t="shared" si="4"/>
        <v/>
      </c>
      <c r="X18" s="106">
        <f t="shared" si="0"/>
        <v>0.33333333333333331</v>
      </c>
      <c r="Y18" s="108">
        <f t="shared" si="5"/>
        <v>0.5</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16</v>
      </c>
      <c r="F19" s="111"/>
      <c r="G19" s="112">
        <v>1</v>
      </c>
      <c r="H19" s="113">
        <v>1</v>
      </c>
      <c r="I19" s="112">
        <v>1</v>
      </c>
      <c r="J19" s="113"/>
      <c r="K19" s="112"/>
      <c r="L19" s="113"/>
      <c r="M19" s="113">
        <v>3</v>
      </c>
      <c r="N19" s="113">
        <v>2</v>
      </c>
      <c r="O19" s="113">
        <v>2</v>
      </c>
      <c r="P19" s="113"/>
      <c r="Q19" s="113">
        <v>3</v>
      </c>
      <c r="R19" s="113">
        <v>4</v>
      </c>
      <c r="S19" s="114"/>
      <c r="T19" s="115">
        <f t="shared" si="1"/>
        <v>2</v>
      </c>
      <c r="U19" s="95">
        <f t="shared" si="2"/>
        <v>0</v>
      </c>
      <c r="V19" s="95">
        <f t="shared" si="3"/>
        <v>1</v>
      </c>
      <c r="W19" s="96" t="str">
        <f t="shared" si="4"/>
        <v/>
      </c>
      <c r="X19" s="95">
        <f t="shared" si="0"/>
        <v>0.5</v>
      </c>
      <c r="Y19" s="116">
        <f t="shared" si="5"/>
        <v>0.5</v>
      </c>
      <c r="Z19" s="388" t="s">
        <v>124</v>
      </c>
      <c r="AA19" s="385">
        <f>AB11*65</f>
        <v>74.662162162162161</v>
      </c>
      <c r="AB19" s="385">
        <f t="shared" ref="AB19:AD20" si="6">AC11*65</f>
        <v>5.2702702702702702</v>
      </c>
      <c r="AC19" s="385">
        <f t="shared" si="6"/>
        <v>20.202702702702702</v>
      </c>
      <c r="AD19" s="385">
        <f t="shared" si="6"/>
        <v>25.472972972972972</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42.162162162162161</v>
      </c>
      <c r="AB20" s="385">
        <f t="shared" si="6"/>
        <v>7.9054054054054061</v>
      </c>
      <c r="AC20" s="385">
        <f t="shared" si="6"/>
        <v>14.932432432432433</v>
      </c>
      <c r="AD20" s="385">
        <f t="shared" si="6"/>
        <v>22.837837837837839</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20.202702702702702</v>
      </c>
      <c r="AC22" s="385">
        <f t="shared" si="7"/>
        <v>10.54054054054054</v>
      </c>
      <c r="AD22" s="385">
        <f>AD14*65</f>
        <v>9.6621621621621632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10.54054054054054</v>
      </c>
      <c r="AC23" s="393">
        <f t="shared" si="7"/>
        <v>5.2702702702702702</v>
      </c>
      <c r="AD23" s="393">
        <f t="shared" si="7"/>
        <v>17.567567567567568</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74</v>
      </c>
      <c r="B31" s="126" t="s">
        <v>161</v>
      </c>
      <c r="C31" s="151"/>
      <c r="D31" s="152">
        <f>IF(COUNTA($D$7:$D$30)&gt;0,1,"")</f>
        <v>1</v>
      </c>
      <c r="E31" s="127">
        <f>IF(D31=1,32+J4*4,"")</f>
        <v>32</v>
      </c>
      <c r="F31" s="128">
        <f t="shared" ref="F31:S31" si="8">SUM(F7:F30)</f>
        <v>6</v>
      </c>
      <c r="G31" s="129">
        <f t="shared" si="8"/>
        <v>18</v>
      </c>
      <c r="H31" s="128">
        <f t="shared" si="8"/>
        <v>28</v>
      </c>
      <c r="I31" s="130">
        <f t="shared" si="8"/>
        <v>41</v>
      </c>
      <c r="J31" s="129">
        <f t="shared" si="8"/>
        <v>11</v>
      </c>
      <c r="K31" s="130">
        <f t="shared" si="8"/>
        <v>20</v>
      </c>
      <c r="L31" s="129">
        <f t="shared" si="8"/>
        <v>6</v>
      </c>
      <c r="M31" s="129">
        <f t="shared" si="8"/>
        <v>23</v>
      </c>
      <c r="N31" s="129">
        <f t="shared" si="8"/>
        <v>23</v>
      </c>
      <c r="O31" s="129">
        <f t="shared" si="8"/>
        <v>12</v>
      </c>
      <c r="P31" s="129">
        <f t="shared" si="8"/>
        <v>1</v>
      </c>
      <c r="Q31" s="129">
        <f t="shared" si="8"/>
        <v>11</v>
      </c>
      <c r="R31" s="129">
        <f t="shared" si="8"/>
        <v>12</v>
      </c>
      <c r="S31" s="131">
        <f t="shared" si="8"/>
        <v>0</v>
      </c>
      <c r="T31" s="132">
        <f>IF(J31+2*H31+3*F31&gt;0,J31+2*H31+3*F31,IF(H4&gt;0,H4,""))</f>
        <v>85</v>
      </c>
      <c r="U31" s="133">
        <f>IF(G31&gt;0,F31/G31,"")</f>
        <v>0.33333333333333331</v>
      </c>
      <c r="V31" s="133">
        <f>IF(I31&gt;0,H31/I31,"")</f>
        <v>0.68292682926829273</v>
      </c>
      <c r="W31" s="134">
        <f>IF(K31&gt;0,J31/K31,"")</f>
        <v>0.55000000000000004</v>
      </c>
      <c r="X31" s="133">
        <f t="shared" si="0"/>
        <v>0.57627118644067798</v>
      </c>
      <c r="Y31" s="135">
        <f t="shared" si="5"/>
        <v>0.6271186440677966</v>
      </c>
      <c r="AB31" s="51"/>
      <c r="AC31" s="51"/>
      <c r="AD31" s="51"/>
      <c r="AE31" s="51"/>
      <c r="AF31" s="136"/>
      <c r="AG31" s="136"/>
      <c r="AH31" s="136"/>
      <c r="AI31" s="51"/>
    </row>
    <row r="32" spans="1:35" s="18" customFormat="1" ht="17.25" thickTop="1" thickBot="1" x14ac:dyDescent="0.3">
      <c r="A32" s="51">
        <f>ROUND(G32+I32+0.475*K32-L32+Q32,0)</f>
        <v>74</v>
      </c>
      <c r="B32" s="137" t="s">
        <v>162</v>
      </c>
      <c r="C32" s="153"/>
      <c r="D32" s="138">
        <f>IF(SUM(F32:S32)&gt;0,1,"")</f>
        <v>1</v>
      </c>
      <c r="E32" s="138">
        <f>IF(D32=1,E31,0)</f>
        <v>32</v>
      </c>
      <c r="F32" s="139">
        <v>2</v>
      </c>
      <c r="G32" s="140">
        <v>14</v>
      </c>
      <c r="H32" s="139">
        <v>20</v>
      </c>
      <c r="I32" s="141">
        <v>45</v>
      </c>
      <c r="J32" s="139">
        <v>2</v>
      </c>
      <c r="K32" s="141">
        <v>8</v>
      </c>
      <c r="L32" s="140">
        <v>9</v>
      </c>
      <c r="M32" s="140">
        <v>17</v>
      </c>
      <c r="N32" s="140">
        <v>12</v>
      </c>
      <c r="O32" s="140">
        <v>6</v>
      </c>
      <c r="P32" s="140"/>
      <c r="Q32" s="140">
        <v>20</v>
      </c>
      <c r="R32" s="140">
        <v>17</v>
      </c>
      <c r="S32" s="142"/>
      <c r="T32" s="143">
        <f>IF(J32+2*H32+3*F32&gt;0,J32+2*H32+3*F32,IF(H3&gt;0,H3,""))</f>
        <v>48</v>
      </c>
      <c r="U32" s="144">
        <f>IF(G32&gt;0,F32/G32,"")</f>
        <v>0.14285714285714285</v>
      </c>
      <c r="V32" s="144">
        <f>IF(I32&gt;0,H32/I32,"")</f>
        <v>0.44444444444444442</v>
      </c>
      <c r="W32" s="145">
        <f>IF(K32&gt;0,J32/K32,"")</f>
        <v>0.25</v>
      </c>
      <c r="X32" s="144">
        <f t="shared" si="0"/>
        <v>0.3728813559322034</v>
      </c>
      <c r="Y32" s="146">
        <f t="shared" si="5"/>
        <v>0.38983050847457629</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783" priority="29">
      <formula>AND($H$4&gt;0,$H$4&lt;&gt;$T$31)</formula>
    </cfRule>
  </conditionalFormatting>
  <conditionalFormatting sqref="T32 H3">
    <cfRule type="expression" dxfId="782" priority="28">
      <formula>AND($H$3&gt;0,$H$3&lt;&gt;$T$32)</formula>
    </cfRule>
  </conditionalFormatting>
  <conditionalFormatting sqref="A2">
    <cfRule type="cellIs" dxfId="781" priority="27" operator="equal">
      <formula>"R"</formula>
    </cfRule>
  </conditionalFormatting>
  <conditionalFormatting sqref="F7:F30 H7:H30 J7:J30">
    <cfRule type="expression" dxfId="780" priority="26">
      <formula>F7&gt;G7</formula>
    </cfRule>
  </conditionalFormatting>
  <conditionalFormatting sqref="E7:E30">
    <cfRule type="expression" dxfId="779" priority="25">
      <formula>$E7&gt;$E$31</formula>
    </cfRule>
  </conditionalFormatting>
  <conditionalFormatting sqref="L6">
    <cfRule type="expression" dxfId="778" priority="24">
      <formula>OR($L$31&gt;($G$31+$I$31+$K$31-$F$31-$H$31-$J$31),L32&gt;(G31+I31+K31-F31-H31-J31))</formula>
    </cfRule>
  </conditionalFormatting>
  <conditionalFormatting sqref="M6">
    <cfRule type="expression" dxfId="777" priority="23">
      <formula>OR(M31&gt;(G32-F32+I32-H32+K32-J32),M32&gt;(G31-F31+I31-H31+K31-J31))</formula>
    </cfRule>
  </conditionalFormatting>
  <conditionalFormatting sqref="N6">
    <cfRule type="expression" dxfId="776" priority="22">
      <formula>OR($N$31&gt;($F$31+$H$31),$N$32&gt;($F$32+$H$32))</formula>
    </cfRule>
  </conditionalFormatting>
  <conditionalFormatting sqref="P6">
    <cfRule type="expression" dxfId="775" priority="21">
      <formula>OR($P$31&gt;(G32-F32+I32-H32),P32&gt;(G31-F31+I31-H31))</formula>
    </cfRule>
  </conditionalFormatting>
  <conditionalFormatting sqref="Q6">
    <cfRule type="expression" dxfId="774" priority="20">
      <formula>OR($Q$31&lt;$O$32,$Q$32&lt;$O$31)</formula>
    </cfRule>
  </conditionalFormatting>
  <conditionalFormatting sqref="L31:L32">
    <cfRule type="cellIs" dxfId="773" priority="19" operator="greaterThan">
      <formula>$G31+$I31+$K31-$F31-$H31-$J31</formula>
    </cfRule>
  </conditionalFormatting>
  <conditionalFormatting sqref="M32">
    <cfRule type="cellIs" dxfId="772" priority="18" operator="greaterThan">
      <formula>$G$31-$F$31+$I$31-$H$31+$K$31-$J$31</formula>
    </cfRule>
  </conditionalFormatting>
  <conditionalFormatting sqref="N31:N32">
    <cfRule type="cellIs" dxfId="771" priority="17" operator="greaterThan">
      <formula>$F31+$H31</formula>
    </cfRule>
  </conditionalFormatting>
  <conditionalFormatting sqref="O32">
    <cfRule type="cellIs" dxfId="770" priority="10" operator="greaterThan">
      <formula>$Q$31</formula>
    </cfRule>
  </conditionalFormatting>
  <conditionalFormatting sqref="P31">
    <cfRule type="cellIs" dxfId="769" priority="16" operator="greaterThan">
      <formula>$G$32-$F$32+$I$32-$H$32</formula>
    </cfRule>
  </conditionalFormatting>
  <conditionalFormatting sqref="Q32">
    <cfRule type="cellIs" dxfId="768" priority="15" operator="lessThan">
      <formula>$O$31</formula>
    </cfRule>
  </conditionalFormatting>
  <conditionalFormatting sqref="F7:F32">
    <cfRule type="cellIs" dxfId="767" priority="14" operator="greaterThan">
      <formula>G7</formula>
    </cfRule>
  </conditionalFormatting>
  <conditionalFormatting sqref="H7:H32">
    <cfRule type="cellIs" dxfId="766" priority="13" operator="greaterThan">
      <formula>I7</formula>
    </cfRule>
  </conditionalFormatting>
  <conditionalFormatting sqref="J7:J32">
    <cfRule type="cellIs" dxfId="765" priority="12" operator="greaterThan">
      <formula>K7</formula>
    </cfRule>
  </conditionalFormatting>
  <conditionalFormatting sqref="M4">
    <cfRule type="cellIs" dxfId="764" priority="11" operator="notBetween">
      <formula>$AH$2</formula>
      <formula>$AI$2</formula>
    </cfRule>
  </conditionalFormatting>
  <conditionalFormatting sqref="O31">
    <cfRule type="cellIs" dxfId="763" priority="9" operator="greaterThan">
      <formula>$Q$32</formula>
    </cfRule>
  </conditionalFormatting>
  <conditionalFormatting sqref="Q31">
    <cfRule type="cellIs" dxfId="762" priority="8" operator="lessThan">
      <formula>$O$32</formula>
    </cfRule>
  </conditionalFormatting>
  <conditionalFormatting sqref="M31">
    <cfRule type="cellIs" dxfId="761" priority="7" operator="greaterThan">
      <formula>G32-F32 +I32-H32+K32-J32</formula>
    </cfRule>
  </conditionalFormatting>
  <conditionalFormatting sqref="B3">
    <cfRule type="expression" dxfId="760" priority="6">
      <formula>$W$2 = TRUE</formula>
    </cfRule>
  </conditionalFormatting>
  <conditionalFormatting sqref="P4:Q4">
    <cfRule type="expression" dxfId="759" priority="5">
      <formula>OR(AND($P$4=1,$X$4=1),AND($Q$4=1,$W$4=1))</formula>
    </cfRule>
  </conditionalFormatting>
  <conditionalFormatting sqref="D7:D30">
    <cfRule type="expression" dxfId="758" priority="30">
      <formula>AND($D7=0,SUM($F7:$S7)&gt;0)</formula>
    </cfRule>
  </conditionalFormatting>
  <conditionalFormatting sqref="O6">
    <cfRule type="expression" dxfId="757" priority="4">
      <formula>OR($O$31&gt;$Q$32,$O$32&gt;$Q$31)</formula>
    </cfRule>
  </conditionalFormatting>
  <conditionalFormatting sqref="F6">
    <cfRule type="expression" dxfId="756" priority="3">
      <formula>OR(F$31&gt;G$31,F$32&gt;G$32)</formula>
    </cfRule>
  </conditionalFormatting>
  <conditionalFormatting sqref="H6">
    <cfRule type="expression" dxfId="755" priority="2">
      <formula>OR(H$31&gt;I$31,H$32&gt;I$32)</formula>
    </cfRule>
  </conditionalFormatting>
  <conditionalFormatting sqref="J6">
    <cfRule type="expression" dxfId="754"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L37" sqref="L37"/>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74</v>
      </c>
      <c r="C3" s="70">
        <v>6</v>
      </c>
      <c r="D3" s="71">
        <v>13</v>
      </c>
      <c r="E3" s="71">
        <v>4</v>
      </c>
      <c r="F3" s="71">
        <v>12</v>
      </c>
      <c r="G3" s="72"/>
      <c r="H3" s="73">
        <f>SUM(C3:G3)</f>
        <v>35</v>
      </c>
      <c r="J3" s="12" t="s">
        <v>165</v>
      </c>
      <c r="P3" s="74" t="s">
        <v>135</v>
      </c>
      <c r="Q3" s="74" t="s">
        <v>137</v>
      </c>
      <c r="S3" s="75" t="s">
        <v>138</v>
      </c>
      <c r="U3" s="76" t="s">
        <v>139</v>
      </c>
      <c r="W3" s="77" t="s">
        <v>134</v>
      </c>
      <c r="X3" s="77" t="s">
        <v>136</v>
      </c>
      <c r="AA3" s="48" t="str">
        <f>B4</f>
        <v>Upton</v>
      </c>
      <c r="AD3" s="48">
        <f>SUM($C3:C3)</f>
        <v>6</v>
      </c>
      <c r="AE3" s="48">
        <f>SUM($C3:D3)</f>
        <v>19</v>
      </c>
      <c r="AF3" s="48">
        <f>SUM($C3:E3)</f>
        <v>23</v>
      </c>
      <c r="AG3" s="48">
        <f>SUM($C3:F3)</f>
        <v>35</v>
      </c>
      <c r="AH3" s="48">
        <f>SUM($C3:G3)</f>
        <v>35</v>
      </c>
      <c r="AJ3" s="74"/>
    </row>
    <row r="4" spans="1:36" ht="16.5" customHeight="1" thickTop="1" thickBot="1" x14ac:dyDescent="0.3">
      <c r="B4" s="78" t="str">
        <f>Roster!$B$1</f>
        <v>Upton</v>
      </c>
      <c r="C4" s="79">
        <v>31</v>
      </c>
      <c r="D4" s="80">
        <v>29</v>
      </c>
      <c r="E4" s="80">
        <v>5</v>
      </c>
      <c r="F4" s="80">
        <v>9</v>
      </c>
      <c r="G4" s="81"/>
      <c r="H4" s="82">
        <f>SUM(C4:G4)</f>
        <v>74</v>
      </c>
      <c r="J4" s="83"/>
      <c r="L4" s="84" t="s">
        <v>133</v>
      </c>
      <c r="M4" s="404">
        <v>44961</v>
      </c>
      <c r="N4" s="405"/>
      <c r="P4" s="83">
        <v>1</v>
      </c>
      <c r="Q4" s="83"/>
      <c r="S4" s="83"/>
      <c r="U4" s="83"/>
      <c r="W4" s="85">
        <f>IF(OR($S$4=1,$H$4&gt;$H$3),1,"")</f>
        <v>1</v>
      </c>
      <c r="X4" s="85" t="str">
        <f>IF(OR($U$4=1,$H$4&lt;$H$3),1,"")</f>
        <v/>
      </c>
      <c r="AA4" s="48" t="str">
        <f>B3</f>
        <v>Midwest</v>
      </c>
      <c r="AD4" s="48">
        <f>SUM($C4:C4)</f>
        <v>31</v>
      </c>
      <c r="AE4" s="48">
        <f>SUM($C4:D4)</f>
        <v>60</v>
      </c>
      <c r="AF4" s="48">
        <f>SUM($C4:E4)</f>
        <v>65</v>
      </c>
      <c r="AG4" s="48">
        <f>SUM($C4:F4)</f>
        <v>74</v>
      </c>
      <c r="AH4" s="48">
        <f>SUM($C4:G4)</f>
        <v>74</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10</v>
      </c>
      <c r="F7" s="90"/>
      <c r="G7" s="91">
        <v>1</v>
      </c>
      <c r="H7" s="92">
        <v>1</v>
      </c>
      <c r="I7" s="91">
        <v>2</v>
      </c>
      <c r="J7" s="92"/>
      <c r="K7" s="91"/>
      <c r="L7" s="92"/>
      <c r="M7" s="92">
        <v>1</v>
      </c>
      <c r="N7" s="92"/>
      <c r="O7" s="92"/>
      <c r="P7" s="92"/>
      <c r="Q7" s="92">
        <v>3</v>
      </c>
      <c r="R7" s="92"/>
      <c r="S7" s="93"/>
      <c r="T7" s="94">
        <f>IF(J7+2*H7+3*F7&gt;0,J7+2*H7+3*F7,0)</f>
        <v>2</v>
      </c>
      <c r="U7" s="95">
        <f>IF(G7&gt;0,F7/G7,"")</f>
        <v>0</v>
      </c>
      <c r="V7" s="95">
        <f>IF(I7&gt;0,H7/I7,"")</f>
        <v>0.5</v>
      </c>
      <c r="W7" s="96" t="str">
        <f>IF(K7&gt;0,J7/K7,"")</f>
        <v/>
      </c>
      <c r="X7" s="97">
        <f t="shared" ref="X7:X32" si="0">IF(OR(G7&gt;0,I7 &gt;0),(F7+H7)/(G7+I7),"")</f>
        <v>0.33333333333333331</v>
      </c>
      <c r="Y7" s="98">
        <f>IF(OR(G7&gt;0,I7 &gt;0),(1.5*F7+H7)/(G7+I7),"")</f>
        <v>0.33333333333333331</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16</v>
      </c>
      <c r="F8" s="101">
        <v>1</v>
      </c>
      <c r="G8" s="102">
        <v>3</v>
      </c>
      <c r="H8" s="103">
        <v>4</v>
      </c>
      <c r="I8" s="102">
        <v>4</v>
      </c>
      <c r="J8" s="103"/>
      <c r="K8" s="102"/>
      <c r="L8" s="103">
        <v>1</v>
      </c>
      <c r="M8" s="103">
        <v>1</v>
      </c>
      <c r="N8" s="103">
        <v>1</v>
      </c>
      <c r="O8" s="103">
        <v>3</v>
      </c>
      <c r="P8" s="103"/>
      <c r="Q8" s="103">
        <v>1</v>
      </c>
      <c r="R8" s="103">
        <v>2</v>
      </c>
      <c r="S8" s="104"/>
      <c r="T8" s="105">
        <f t="shared" ref="T8:T30" si="1">IF(J8+2*H8+3*F8&gt;0,J8+2*H8+3*F8,0)</f>
        <v>11</v>
      </c>
      <c r="U8" s="106">
        <f t="shared" ref="U8:U30" si="2">IF(G8&gt;0,F8/G8,"")</f>
        <v>0.33333333333333331</v>
      </c>
      <c r="V8" s="106">
        <f t="shared" ref="V8:V30" si="3">IF(I8&gt;0,H8/I8,"")</f>
        <v>1</v>
      </c>
      <c r="W8" s="107" t="str">
        <f t="shared" ref="W8:W30" si="4">IF(K8&gt;0,J8/K8,"")</f>
        <v/>
      </c>
      <c r="X8" s="106">
        <f t="shared" si="0"/>
        <v>0.7142857142857143</v>
      </c>
      <c r="Y8" s="108">
        <f t="shared" ref="Y8:Y32" si="5">IF(OR(G8&gt;0,I8 &gt;0),(1.5*F8+H8)/(G8+I8),"")</f>
        <v>0.7857142857142857</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16</v>
      </c>
      <c r="F9" s="111">
        <v>2</v>
      </c>
      <c r="G9" s="112">
        <v>2</v>
      </c>
      <c r="H9" s="113">
        <v>6</v>
      </c>
      <c r="I9" s="112">
        <v>7</v>
      </c>
      <c r="J9" s="113"/>
      <c r="K9" s="112"/>
      <c r="L9" s="113">
        <v>1</v>
      </c>
      <c r="M9" s="113"/>
      <c r="N9" s="113">
        <v>2</v>
      </c>
      <c r="O9" s="113">
        <v>4</v>
      </c>
      <c r="P9" s="113"/>
      <c r="Q9" s="113"/>
      <c r="R9" s="113"/>
      <c r="S9" s="114"/>
      <c r="T9" s="115">
        <f t="shared" si="1"/>
        <v>18</v>
      </c>
      <c r="U9" s="95">
        <f t="shared" si="2"/>
        <v>1</v>
      </c>
      <c r="V9" s="95">
        <f t="shared" si="3"/>
        <v>0.8571428571428571</v>
      </c>
      <c r="W9" s="96" t="str">
        <f t="shared" si="4"/>
        <v/>
      </c>
      <c r="X9" s="95">
        <f t="shared" si="0"/>
        <v>0.88888888888888884</v>
      </c>
      <c r="Y9" s="116">
        <f t="shared" si="5"/>
        <v>1</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16</v>
      </c>
      <c r="F10" s="101"/>
      <c r="G10" s="102">
        <v>3</v>
      </c>
      <c r="H10" s="103">
        <v>4</v>
      </c>
      <c r="I10" s="102">
        <v>5</v>
      </c>
      <c r="J10" s="103"/>
      <c r="K10" s="102"/>
      <c r="L10" s="103"/>
      <c r="M10" s="103"/>
      <c r="N10" s="103">
        <v>3</v>
      </c>
      <c r="O10" s="103">
        <v>1</v>
      </c>
      <c r="P10" s="103"/>
      <c r="Q10" s="103">
        <v>1</v>
      </c>
      <c r="R10" s="103">
        <v>1</v>
      </c>
      <c r="S10" s="104"/>
      <c r="T10" s="105">
        <f t="shared" si="1"/>
        <v>8</v>
      </c>
      <c r="U10" s="106">
        <f t="shared" si="2"/>
        <v>0</v>
      </c>
      <c r="V10" s="106">
        <f t="shared" si="3"/>
        <v>0.8</v>
      </c>
      <c r="W10" s="107" t="str">
        <f t="shared" si="4"/>
        <v/>
      </c>
      <c r="X10" s="106">
        <f t="shared" si="0"/>
        <v>0.5</v>
      </c>
      <c r="Y10" s="108">
        <f t="shared" si="5"/>
        <v>0.5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v>1</v>
      </c>
      <c r="E11" s="110">
        <v>7</v>
      </c>
      <c r="F11" s="111"/>
      <c r="G11" s="112">
        <v>1</v>
      </c>
      <c r="H11" s="113"/>
      <c r="I11" s="112"/>
      <c r="J11" s="113"/>
      <c r="K11" s="112"/>
      <c r="L11" s="113"/>
      <c r="M11" s="113"/>
      <c r="N11" s="113"/>
      <c r="O11" s="113"/>
      <c r="P11" s="113"/>
      <c r="Q11" s="113">
        <v>1</v>
      </c>
      <c r="R11" s="113">
        <v>1</v>
      </c>
      <c r="S11" s="114"/>
      <c r="T11" s="115">
        <f t="shared" si="1"/>
        <v>0</v>
      </c>
      <c r="U11" s="95">
        <f t="shared" si="2"/>
        <v>0</v>
      </c>
      <c r="V11" s="95" t="str">
        <f t="shared" si="3"/>
        <v/>
      </c>
      <c r="W11" s="96" t="str">
        <f t="shared" si="4"/>
        <v/>
      </c>
      <c r="X11" s="95">
        <f t="shared" si="0"/>
        <v>0</v>
      </c>
      <c r="Y11" s="116">
        <f t="shared" si="5"/>
        <v>0</v>
      </c>
      <c r="Z11" s="388" t="s">
        <v>124</v>
      </c>
      <c r="AA11" s="385">
        <f>G31+I31+(K31/2)+Q31-L31</f>
        <v>56.5</v>
      </c>
      <c r="AB11" s="385">
        <f>T31/AA11</f>
        <v>1.3097345132743363</v>
      </c>
      <c r="AC11" s="385">
        <f>L31/AA11</f>
        <v>8.8495575221238937E-2</v>
      </c>
      <c r="AD11" s="385">
        <f>M31/AA12</f>
        <v>0.2413793103448276</v>
      </c>
      <c r="AE11" s="389">
        <f>(L31+M31)/AA11</f>
        <v>0.33628318584070799</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3</v>
      </c>
      <c r="F12" s="101"/>
      <c r="G12" s="102">
        <v>1</v>
      </c>
      <c r="H12" s="103"/>
      <c r="I12" s="102"/>
      <c r="J12" s="103"/>
      <c r="K12" s="102"/>
      <c r="L12" s="103"/>
      <c r="M12" s="103"/>
      <c r="N12" s="103"/>
      <c r="O12" s="103"/>
      <c r="P12" s="103"/>
      <c r="Q12" s="103"/>
      <c r="R12" s="103">
        <v>1</v>
      </c>
      <c r="S12" s="104"/>
      <c r="T12" s="105">
        <f t="shared" si="1"/>
        <v>0</v>
      </c>
      <c r="U12" s="106">
        <f t="shared" si="2"/>
        <v>0</v>
      </c>
      <c r="V12" s="106" t="str">
        <f t="shared" si="3"/>
        <v/>
      </c>
      <c r="W12" s="107" t="str">
        <f t="shared" si="4"/>
        <v/>
      </c>
      <c r="X12" s="106">
        <f t="shared" si="0"/>
        <v>0</v>
      </c>
      <c r="Y12" s="108">
        <f t="shared" si="5"/>
        <v>0</v>
      </c>
      <c r="Z12" s="388" t="s">
        <v>352</v>
      </c>
      <c r="AA12" s="385">
        <f>G32+I32+(K32/2)+Q32-L32</f>
        <v>58</v>
      </c>
      <c r="AB12" s="385">
        <f>T32/AA12</f>
        <v>0.60344827586206895</v>
      </c>
      <c r="AC12" s="385">
        <f>L32/AA12</f>
        <v>3.4482758620689655E-2</v>
      </c>
      <c r="AD12" s="385">
        <f>M32/AA11</f>
        <v>0.21238938053097345</v>
      </c>
      <c r="AE12" s="389">
        <f>(L32+M32)/AA12</f>
        <v>0.2413793103448276</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4</v>
      </c>
      <c r="F13" s="111"/>
      <c r="G13" s="112"/>
      <c r="H13" s="113"/>
      <c r="I13" s="112">
        <v>1</v>
      </c>
      <c r="J13" s="113"/>
      <c r="K13" s="112"/>
      <c r="L13" s="113"/>
      <c r="M13" s="113">
        <v>1</v>
      </c>
      <c r="N13" s="113">
        <v>1</v>
      </c>
      <c r="O13" s="113"/>
      <c r="P13" s="113"/>
      <c r="Q13" s="113"/>
      <c r="R13" s="113">
        <v>1</v>
      </c>
      <c r="S13" s="114"/>
      <c r="T13" s="115">
        <f t="shared" si="1"/>
        <v>0</v>
      </c>
      <c r="U13" s="95" t="str">
        <f t="shared" si="2"/>
        <v/>
      </c>
      <c r="V13" s="95">
        <f t="shared" si="3"/>
        <v>0</v>
      </c>
      <c r="W13" s="96" t="str">
        <f t="shared" si="4"/>
        <v/>
      </c>
      <c r="X13" s="95">
        <f t="shared" si="0"/>
        <v>0</v>
      </c>
      <c r="Y13" s="116">
        <f t="shared" si="5"/>
        <v>0</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17</v>
      </c>
      <c r="F14" s="101"/>
      <c r="G14" s="102"/>
      <c r="H14" s="103">
        <v>1</v>
      </c>
      <c r="I14" s="102">
        <v>1</v>
      </c>
      <c r="J14" s="103">
        <v>1</v>
      </c>
      <c r="K14" s="102">
        <v>2</v>
      </c>
      <c r="L14" s="103"/>
      <c r="M14" s="103">
        <v>3</v>
      </c>
      <c r="N14" s="103">
        <v>8</v>
      </c>
      <c r="O14" s="103"/>
      <c r="P14" s="103">
        <v>3</v>
      </c>
      <c r="Q14" s="103">
        <v>1</v>
      </c>
      <c r="R14" s="103">
        <v>2</v>
      </c>
      <c r="S14" s="104"/>
      <c r="T14" s="105">
        <f t="shared" si="1"/>
        <v>3</v>
      </c>
      <c r="U14" s="106" t="str">
        <f t="shared" si="2"/>
        <v/>
      </c>
      <c r="V14" s="106">
        <f t="shared" si="3"/>
        <v>1</v>
      </c>
      <c r="W14" s="107">
        <f t="shared" si="4"/>
        <v>0.5</v>
      </c>
      <c r="X14" s="106">
        <f t="shared" si="0"/>
        <v>1</v>
      </c>
      <c r="Y14" s="108">
        <f t="shared" si="5"/>
        <v>1</v>
      </c>
      <c r="Z14" s="385"/>
      <c r="AA14" s="385"/>
      <c r="AB14" s="385">
        <f>N31/AA11</f>
        <v>0.40707964601769914</v>
      </c>
      <c r="AC14" s="385">
        <f>O31/AA12</f>
        <v>0.31034482758620691</v>
      </c>
      <c r="AD14" s="385">
        <f>Q31/AA11</f>
        <v>0.1415929203539823</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10</v>
      </c>
      <c r="F15" s="111"/>
      <c r="G15" s="112"/>
      <c r="H15" s="113">
        <v>1</v>
      </c>
      <c r="I15" s="112">
        <v>2</v>
      </c>
      <c r="J15" s="113"/>
      <c r="K15" s="112"/>
      <c r="L15" s="113"/>
      <c r="M15" s="113">
        <v>2</v>
      </c>
      <c r="N15" s="113">
        <v>2</v>
      </c>
      <c r="O15" s="113">
        <v>1</v>
      </c>
      <c r="P15" s="113"/>
      <c r="Q15" s="113">
        <v>1</v>
      </c>
      <c r="R15" s="113"/>
      <c r="S15" s="114"/>
      <c r="T15" s="115">
        <f t="shared" si="1"/>
        <v>2</v>
      </c>
      <c r="U15" s="95" t="str">
        <f t="shared" si="2"/>
        <v/>
      </c>
      <c r="V15" s="95">
        <f t="shared" si="3"/>
        <v>0.5</v>
      </c>
      <c r="W15" s="96" t="str">
        <f t="shared" si="4"/>
        <v/>
      </c>
      <c r="X15" s="95">
        <f t="shared" si="0"/>
        <v>0.5</v>
      </c>
      <c r="Y15" s="116">
        <f t="shared" si="5"/>
        <v>0.5</v>
      </c>
      <c r="Z15" s="392"/>
      <c r="AA15" s="393"/>
      <c r="AB15" s="393">
        <f>N32/AA12</f>
        <v>0.15517241379310345</v>
      </c>
      <c r="AC15" s="393">
        <f>O32/AA11</f>
        <v>7.0796460176991149E-2</v>
      </c>
      <c r="AD15" s="393">
        <f>Q32/AA12</f>
        <v>0.43103448275862066</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13</v>
      </c>
      <c r="F16" s="101">
        <v>2</v>
      </c>
      <c r="G16" s="102">
        <v>4</v>
      </c>
      <c r="H16" s="103">
        <v>7</v>
      </c>
      <c r="I16" s="102">
        <v>7</v>
      </c>
      <c r="J16" s="103">
        <v>1</v>
      </c>
      <c r="K16" s="102">
        <v>1</v>
      </c>
      <c r="L16" s="103">
        <v>2</v>
      </c>
      <c r="M16" s="103">
        <v>6</v>
      </c>
      <c r="N16" s="103">
        <v>4</v>
      </c>
      <c r="O16" s="103">
        <v>5</v>
      </c>
      <c r="P16" s="103"/>
      <c r="Q16" s="103"/>
      <c r="R16" s="103">
        <v>2</v>
      </c>
      <c r="S16" s="104"/>
      <c r="T16" s="105">
        <f t="shared" si="1"/>
        <v>21</v>
      </c>
      <c r="U16" s="106">
        <f t="shared" si="2"/>
        <v>0.5</v>
      </c>
      <c r="V16" s="106">
        <f t="shared" si="3"/>
        <v>1</v>
      </c>
      <c r="W16" s="107">
        <f t="shared" si="4"/>
        <v>1</v>
      </c>
      <c r="X16" s="106">
        <f t="shared" si="0"/>
        <v>0.81818181818181823</v>
      </c>
      <c r="Y16" s="108">
        <f t="shared" si="5"/>
        <v>0.90909090909090906</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4</v>
      </c>
      <c r="F17" s="111"/>
      <c r="G17" s="112">
        <v>2</v>
      </c>
      <c r="H17" s="113">
        <v>1</v>
      </c>
      <c r="I17" s="112">
        <v>1</v>
      </c>
      <c r="J17" s="113"/>
      <c r="K17" s="112"/>
      <c r="L17" s="113"/>
      <c r="M17" s="113"/>
      <c r="N17" s="113"/>
      <c r="O17" s="113">
        <v>1</v>
      </c>
      <c r="P17" s="113"/>
      <c r="Q17" s="113"/>
      <c r="R17" s="113"/>
      <c r="S17" s="114"/>
      <c r="T17" s="115">
        <f t="shared" si="1"/>
        <v>2</v>
      </c>
      <c r="U17" s="95">
        <f t="shared" si="2"/>
        <v>0</v>
      </c>
      <c r="V17" s="95">
        <f t="shared" si="3"/>
        <v>1</v>
      </c>
      <c r="W17" s="96" t="str">
        <f t="shared" si="4"/>
        <v/>
      </c>
      <c r="X17" s="95">
        <f t="shared" si="0"/>
        <v>0.33333333333333331</v>
      </c>
      <c r="Y17" s="116">
        <f t="shared" si="5"/>
        <v>0.33333333333333331</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v>1</v>
      </c>
      <c r="G18" s="102">
        <v>3</v>
      </c>
      <c r="H18" s="103"/>
      <c r="I18" s="102"/>
      <c r="J18" s="103"/>
      <c r="K18" s="102"/>
      <c r="L18" s="103"/>
      <c r="M18" s="103"/>
      <c r="N18" s="103"/>
      <c r="O18" s="103">
        <v>2</v>
      </c>
      <c r="P18" s="103"/>
      <c r="Q18" s="103"/>
      <c r="R18" s="103"/>
      <c r="S18" s="104"/>
      <c r="T18" s="105">
        <f t="shared" si="1"/>
        <v>3</v>
      </c>
      <c r="U18" s="106">
        <f t="shared" si="2"/>
        <v>0.33333333333333331</v>
      </c>
      <c r="V18" s="106" t="str">
        <f t="shared" si="3"/>
        <v/>
      </c>
      <c r="W18" s="107" t="str">
        <f t="shared" si="4"/>
        <v/>
      </c>
      <c r="X18" s="106">
        <f t="shared" si="0"/>
        <v>0.33333333333333331</v>
      </c>
      <c r="Y18" s="108">
        <f t="shared" si="5"/>
        <v>0.5</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10</v>
      </c>
      <c r="F19" s="111"/>
      <c r="G19" s="112"/>
      <c r="H19" s="113">
        <v>1</v>
      </c>
      <c r="I19" s="112">
        <v>1</v>
      </c>
      <c r="J19" s="113">
        <v>2</v>
      </c>
      <c r="K19" s="112">
        <v>2</v>
      </c>
      <c r="L19" s="113">
        <v>1</v>
      </c>
      <c r="M19" s="113"/>
      <c r="N19" s="113">
        <v>2</v>
      </c>
      <c r="O19" s="113">
        <v>1</v>
      </c>
      <c r="P19" s="113"/>
      <c r="Q19" s="113"/>
      <c r="R19" s="113">
        <v>3</v>
      </c>
      <c r="S19" s="114">
        <v>1</v>
      </c>
      <c r="T19" s="115">
        <f t="shared" si="1"/>
        <v>4</v>
      </c>
      <c r="U19" s="95" t="str">
        <f t="shared" si="2"/>
        <v/>
      </c>
      <c r="V19" s="95">
        <f t="shared" si="3"/>
        <v>1</v>
      </c>
      <c r="W19" s="96">
        <f t="shared" si="4"/>
        <v>1</v>
      </c>
      <c r="X19" s="95">
        <f t="shared" si="0"/>
        <v>1</v>
      </c>
      <c r="Y19" s="116">
        <f t="shared" si="5"/>
        <v>1</v>
      </c>
      <c r="Z19" s="388" t="s">
        <v>124</v>
      </c>
      <c r="AA19" s="385">
        <f>AB11*65</f>
        <v>85.13274336283186</v>
      </c>
      <c r="AB19" s="385">
        <f t="shared" ref="AB19:AD20" si="6">AC11*65</f>
        <v>5.7522123893805306</v>
      </c>
      <c r="AC19" s="385">
        <f t="shared" si="6"/>
        <v>15.689655172413794</v>
      </c>
      <c r="AD19" s="385">
        <f t="shared" si="6"/>
        <v>21.858407079646017</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39.224137931034484</v>
      </c>
      <c r="AB20" s="385">
        <f t="shared" si="6"/>
        <v>2.2413793103448274</v>
      </c>
      <c r="AC20" s="385">
        <f t="shared" si="6"/>
        <v>13.805309734513274</v>
      </c>
      <c r="AD20" s="385">
        <f t="shared" si="6"/>
        <v>15.689655172413794</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26.460176991150444</v>
      </c>
      <c r="AC22" s="385">
        <f t="shared" si="7"/>
        <v>20.172413793103448</v>
      </c>
      <c r="AD22" s="385">
        <f>AD14*65</f>
        <v>9.2035398230088497</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10.086206896551724</v>
      </c>
      <c r="AC23" s="393">
        <f t="shared" si="7"/>
        <v>4.6017699115044248</v>
      </c>
      <c r="AD23" s="393">
        <f t="shared" si="7"/>
        <v>28.017241379310342</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56</v>
      </c>
      <c r="B31" s="126" t="s">
        <v>161</v>
      </c>
      <c r="C31" s="151"/>
      <c r="D31" s="152">
        <f>IF(COUNTA($D$7:$D$30)&gt;0,1,"")</f>
        <v>1</v>
      </c>
      <c r="E31" s="127">
        <f>IF(D31=1,32+J4*4,"")</f>
        <v>32</v>
      </c>
      <c r="F31" s="128">
        <f t="shared" ref="F31:S31" si="8">SUM(F7:F30)</f>
        <v>6</v>
      </c>
      <c r="G31" s="129">
        <f t="shared" si="8"/>
        <v>20</v>
      </c>
      <c r="H31" s="128">
        <f t="shared" si="8"/>
        <v>26</v>
      </c>
      <c r="I31" s="130">
        <f t="shared" si="8"/>
        <v>31</v>
      </c>
      <c r="J31" s="129">
        <f t="shared" si="8"/>
        <v>4</v>
      </c>
      <c r="K31" s="130">
        <f t="shared" si="8"/>
        <v>5</v>
      </c>
      <c r="L31" s="129">
        <f t="shared" si="8"/>
        <v>5</v>
      </c>
      <c r="M31" s="129">
        <f t="shared" si="8"/>
        <v>14</v>
      </c>
      <c r="N31" s="129">
        <f t="shared" si="8"/>
        <v>23</v>
      </c>
      <c r="O31" s="129">
        <f t="shared" si="8"/>
        <v>18</v>
      </c>
      <c r="P31" s="129">
        <f t="shared" si="8"/>
        <v>3</v>
      </c>
      <c r="Q31" s="129">
        <f t="shared" si="8"/>
        <v>8</v>
      </c>
      <c r="R31" s="129">
        <f t="shared" si="8"/>
        <v>13</v>
      </c>
      <c r="S31" s="131">
        <f t="shared" si="8"/>
        <v>1</v>
      </c>
      <c r="T31" s="132">
        <f>IF(J31+2*H31+3*F31&gt;0,J31+2*H31+3*F31,IF(H4&gt;0,H4,""))</f>
        <v>74</v>
      </c>
      <c r="U31" s="133">
        <f>IF(G31&gt;0,F31/G31,"")</f>
        <v>0.3</v>
      </c>
      <c r="V31" s="133">
        <f>IF(I31&gt;0,H31/I31,"")</f>
        <v>0.83870967741935487</v>
      </c>
      <c r="W31" s="134">
        <f>IF(K31&gt;0,J31/K31,"")</f>
        <v>0.8</v>
      </c>
      <c r="X31" s="133">
        <f t="shared" si="0"/>
        <v>0.62745098039215685</v>
      </c>
      <c r="Y31" s="135">
        <f t="shared" si="5"/>
        <v>0.68627450980392157</v>
      </c>
      <c r="AB31" s="51"/>
      <c r="AC31" s="51"/>
      <c r="AD31" s="51"/>
      <c r="AE31" s="51"/>
      <c r="AF31" s="136"/>
      <c r="AG31" s="136"/>
      <c r="AH31" s="136"/>
      <c r="AI31" s="51"/>
    </row>
    <row r="32" spans="1:35" s="18" customFormat="1" ht="17.25" thickTop="1" thickBot="1" x14ac:dyDescent="0.3">
      <c r="A32" s="51">
        <f>ROUND(G32+I32+0.475*K32-L32+Q32,0)</f>
        <v>58</v>
      </c>
      <c r="B32" s="137" t="s">
        <v>162</v>
      </c>
      <c r="C32" s="153"/>
      <c r="D32" s="138">
        <f>IF(SUM(F32:S32)&gt;0,1,"")</f>
        <v>1</v>
      </c>
      <c r="E32" s="138">
        <f>IF(D32=1,E31,0)</f>
        <v>32</v>
      </c>
      <c r="F32" s="139">
        <v>6</v>
      </c>
      <c r="G32" s="140">
        <v>11</v>
      </c>
      <c r="H32" s="139">
        <v>4</v>
      </c>
      <c r="I32" s="141">
        <v>17</v>
      </c>
      <c r="J32" s="139">
        <v>9</v>
      </c>
      <c r="K32" s="141">
        <v>14</v>
      </c>
      <c r="L32" s="140">
        <v>2</v>
      </c>
      <c r="M32" s="140">
        <v>12</v>
      </c>
      <c r="N32" s="140">
        <v>9</v>
      </c>
      <c r="O32" s="140">
        <v>4</v>
      </c>
      <c r="P32" s="140"/>
      <c r="Q32" s="140">
        <v>25</v>
      </c>
      <c r="R32" s="140">
        <v>6</v>
      </c>
      <c r="S32" s="142"/>
      <c r="T32" s="143">
        <f>IF(J32+2*H32+3*F32&gt;0,J32+2*H32+3*F32,IF(H3&gt;0,H3,""))</f>
        <v>35</v>
      </c>
      <c r="U32" s="144">
        <f>IF(G32&gt;0,F32/G32,"")</f>
        <v>0.54545454545454541</v>
      </c>
      <c r="V32" s="144">
        <f>IF(I32&gt;0,H32/I32,"")</f>
        <v>0.23529411764705882</v>
      </c>
      <c r="W32" s="145">
        <f>IF(K32&gt;0,J32/K32,"")</f>
        <v>0.6428571428571429</v>
      </c>
      <c r="X32" s="144">
        <f t="shared" si="0"/>
        <v>0.35714285714285715</v>
      </c>
      <c r="Y32" s="146">
        <f t="shared" si="5"/>
        <v>0.4642857142857143</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753" priority="29">
      <formula>AND($H$4&gt;0,$H$4&lt;&gt;$T$31)</formula>
    </cfRule>
  </conditionalFormatting>
  <conditionalFormatting sqref="T32 H3">
    <cfRule type="expression" dxfId="752" priority="28">
      <formula>AND($H$3&gt;0,$H$3&lt;&gt;$T$32)</formula>
    </cfRule>
  </conditionalFormatting>
  <conditionalFormatting sqref="A2">
    <cfRule type="cellIs" dxfId="751" priority="27" operator="equal">
      <formula>"R"</formula>
    </cfRule>
  </conditionalFormatting>
  <conditionalFormatting sqref="F7:F30 H7:H30 J7:J30">
    <cfRule type="expression" dxfId="750" priority="26">
      <formula>F7&gt;G7</formula>
    </cfRule>
  </conditionalFormatting>
  <conditionalFormatting sqref="E7:E30">
    <cfRule type="expression" dxfId="749" priority="25">
      <formula>$E7&gt;$E$31</formula>
    </cfRule>
  </conditionalFormatting>
  <conditionalFormatting sqref="L6">
    <cfRule type="expression" dxfId="748" priority="24">
      <formula>OR($L$31&gt;($G$31+$I$31+$K$31-$F$31-$H$31-$J$31),L32&gt;(G31+I31+K31-F31-H31-J31))</formula>
    </cfRule>
  </conditionalFormatting>
  <conditionalFormatting sqref="M6">
    <cfRule type="expression" dxfId="747" priority="23">
      <formula>OR(M31&gt;(G32-F32+I32-H32+K32-J32),M32&gt;(G31-F31+I31-H31+K31-J31))</formula>
    </cfRule>
  </conditionalFormatting>
  <conditionalFormatting sqref="N6">
    <cfRule type="expression" dxfId="746" priority="22">
      <formula>OR($N$31&gt;($F$31+$H$31),$N$32&gt;($F$32+$H$32))</formula>
    </cfRule>
  </conditionalFormatting>
  <conditionalFormatting sqref="P6">
    <cfRule type="expression" dxfId="745" priority="21">
      <formula>OR($P$31&gt;(G32-F32+I32-H32),P32&gt;(G31-F31+I31-H31))</formula>
    </cfRule>
  </conditionalFormatting>
  <conditionalFormatting sqref="Q6">
    <cfRule type="expression" dxfId="744" priority="20">
      <formula>OR($Q$31&lt;$O$32,$Q$32&lt;$O$31)</formula>
    </cfRule>
  </conditionalFormatting>
  <conditionalFormatting sqref="L31:L32">
    <cfRule type="cellIs" dxfId="743" priority="19" operator="greaterThan">
      <formula>$G31+$I31+$K31-$F31-$H31-$J31</formula>
    </cfRule>
  </conditionalFormatting>
  <conditionalFormatting sqref="M32">
    <cfRule type="cellIs" dxfId="742" priority="18" operator="greaterThan">
      <formula>$G$31-$F$31+$I$31-$H$31+$K$31-$J$31</formula>
    </cfRule>
  </conditionalFormatting>
  <conditionalFormatting sqref="N31:N32">
    <cfRule type="cellIs" dxfId="741" priority="17" operator="greaterThan">
      <formula>$F31+$H31</formula>
    </cfRule>
  </conditionalFormatting>
  <conditionalFormatting sqref="O32">
    <cfRule type="cellIs" dxfId="740" priority="10" operator="greaterThan">
      <formula>$Q$31</formula>
    </cfRule>
  </conditionalFormatting>
  <conditionalFormatting sqref="P31">
    <cfRule type="cellIs" dxfId="739" priority="16" operator="greaterThan">
      <formula>$G$32-$F$32+$I$32-$H$32</formula>
    </cfRule>
  </conditionalFormatting>
  <conditionalFormatting sqref="Q32">
    <cfRule type="cellIs" dxfId="738" priority="15" operator="lessThan">
      <formula>$O$31</formula>
    </cfRule>
  </conditionalFormatting>
  <conditionalFormatting sqref="F7:F32">
    <cfRule type="cellIs" dxfId="737" priority="14" operator="greaterThan">
      <formula>G7</formula>
    </cfRule>
  </conditionalFormatting>
  <conditionalFormatting sqref="H7:H32">
    <cfRule type="cellIs" dxfId="736" priority="13" operator="greaterThan">
      <formula>I7</formula>
    </cfRule>
  </conditionalFormatting>
  <conditionalFormatting sqref="J7:J32">
    <cfRule type="cellIs" dxfId="735" priority="12" operator="greaterThan">
      <formula>K7</formula>
    </cfRule>
  </conditionalFormatting>
  <conditionalFormatting sqref="M4">
    <cfRule type="cellIs" dxfId="734" priority="11" operator="notBetween">
      <formula>$AH$2</formula>
      <formula>$AI$2</formula>
    </cfRule>
  </conditionalFormatting>
  <conditionalFormatting sqref="O31">
    <cfRule type="cellIs" dxfId="733" priority="9" operator="greaterThan">
      <formula>$Q$32</formula>
    </cfRule>
  </conditionalFormatting>
  <conditionalFormatting sqref="Q31">
    <cfRule type="cellIs" dxfId="732" priority="8" operator="lessThan">
      <formula>$O$32</formula>
    </cfRule>
  </conditionalFormatting>
  <conditionalFormatting sqref="M31">
    <cfRule type="cellIs" dxfId="731" priority="7" operator="greaterThan">
      <formula>G32-F32 +I32-H32+K32-J32</formula>
    </cfRule>
  </conditionalFormatting>
  <conditionalFormatting sqref="B3">
    <cfRule type="expression" dxfId="730" priority="6">
      <formula>$W$2 = TRUE</formula>
    </cfRule>
  </conditionalFormatting>
  <conditionalFormatting sqref="P4:Q4">
    <cfRule type="expression" dxfId="729" priority="5">
      <formula>OR(AND($P$4=1,$X$4=1),AND($Q$4=1,$W$4=1))</formula>
    </cfRule>
  </conditionalFormatting>
  <conditionalFormatting sqref="D7:D30">
    <cfRule type="expression" dxfId="728" priority="30">
      <formula>AND($D7=0,SUM($F7:$S7)&gt;0)</formula>
    </cfRule>
  </conditionalFormatting>
  <conditionalFormatting sqref="O6">
    <cfRule type="expression" dxfId="727" priority="4">
      <formula>OR($O$31&gt;$Q$32,$O$32&gt;$Q$31)</formula>
    </cfRule>
  </conditionalFormatting>
  <conditionalFormatting sqref="F6">
    <cfRule type="expression" dxfId="726" priority="3">
      <formula>OR(F$31&gt;G$31,F$32&gt;G$32)</formula>
    </cfRule>
  </conditionalFormatting>
  <conditionalFormatting sqref="H6">
    <cfRule type="expression" dxfId="725" priority="2">
      <formula>OR(H$31&gt;I$31,H$32&gt;I$32)</formula>
    </cfRule>
  </conditionalFormatting>
  <conditionalFormatting sqref="J6">
    <cfRule type="expression" dxfId="724"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Q44" sqref="Q44"/>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114</v>
      </c>
      <c r="C3" s="70">
        <v>9</v>
      </c>
      <c r="D3" s="71">
        <v>8</v>
      </c>
      <c r="E3" s="71">
        <v>9</v>
      </c>
      <c r="F3" s="71">
        <v>20</v>
      </c>
      <c r="G3" s="72"/>
      <c r="H3" s="73">
        <f>SUM(C3:G3)</f>
        <v>46</v>
      </c>
      <c r="J3" s="12" t="s">
        <v>165</v>
      </c>
      <c r="P3" s="74" t="s">
        <v>135</v>
      </c>
      <c r="Q3" s="74" t="s">
        <v>137</v>
      </c>
      <c r="S3" s="75" t="s">
        <v>138</v>
      </c>
      <c r="U3" s="76" t="s">
        <v>139</v>
      </c>
      <c r="W3" s="77" t="s">
        <v>134</v>
      </c>
      <c r="X3" s="77" t="s">
        <v>136</v>
      </c>
      <c r="AA3" s="48" t="str">
        <f>B4</f>
        <v>Upton</v>
      </c>
      <c r="AD3" s="48">
        <f>SUM($C3:C3)</f>
        <v>9</v>
      </c>
      <c r="AE3" s="48">
        <f>SUM($C3:D3)</f>
        <v>17</v>
      </c>
      <c r="AF3" s="48">
        <f>SUM($C3:E3)</f>
        <v>26</v>
      </c>
      <c r="AG3" s="48">
        <f>SUM($C3:F3)</f>
        <v>46</v>
      </c>
      <c r="AH3" s="48">
        <f>SUM($C3:G3)</f>
        <v>46</v>
      </c>
      <c r="AJ3" s="74"/>
    </row>
    <row r="4" spans="1:36" ht="16.5" customHeight="1" thickTop="1" thickBot="1" x14ac:dyDescent="0.3">
      <c r="B4" s="78" t="str">
        <f>Roster!$B$1</f>
        <v>Upton</v>
      </c>
      <c r="C4" s="79">
        <v>14</v>
      </c>
      <c r="D4" s="80">
        <v>12</v>
      </c>
      <c r="E4" s="80">
        <v>14</v>
      </c>
      <c r="F4" s="80">
        <v>19</v>
      </c>
      <c r="G4" s="81"/>
      <c r="H4" s="82">
        <f>SUM(C4:G4)</f>
        <v>59</v>
      </c>
      <c r="J4" s="83"/>
      <c r="L4" s="84" t="s">
        <v>133</v>
      </c>
      <c r="M4" s="404">
        <v>44964</v>
      </c>
      <c r="N4" s="405"/>
      <c r="P4" s="83"/>
      <c r="Q4" s="83"/>
      <c r="S4" s="83"/>
      <c r="U4" s="83"/>
      <c r="W4" s="85">
        <f>IF(OR($S$4=1,$H$4&gt;$H$3),1,"")</f>
        <v>1</v>
      </c>
      <c r="X4" s="85" t="str">
        <f>IF(OR($U$4=1,$H$4&lt;$H$3),1,"")</f>
        <v/>
      </c>
      <c r="AA4" s="48" t="str">
        <f>B3</f>
        <v>Sundance</v>
      </c>
      <c r="AD4" s="48">
        <f>SUM($C4:C4)</f>
        <v>14</v>
      </c>
      <c r="AE4" s="48">
        <f>SUM($C4:D4)</f>
        <v>26</v>
      </c>
      <c r="AF4" s="48">
        <f>SUM($C4:E4)</f>
        <v>40</v>
      </c>
      <c r="AG4" s="48">
        <f>SUM($C4:F4)</f>
        <v>59</v>
      </c>
      <c r="AH4" s="48">
        <f>SUM($C4:G4)</f>
        <v>59</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26</v>
      </c>
      <c r="F8" s="101">
        <v>2</v>
      </c>
      <c r="G8" s="102">
        <v>7</v>
      </c>
      <c r="H8" s="103">
        <v>4</v>
      </c>
      <c r="I8" s="102">
        <v>6</v>
      </c>
      <c r="J8" s="103">
        <v>3</v>
      </c>
      <c r="K8" s="102">
        <v>5</v>
      </c>
      <c r="L8" s="103">
        <v>4</v>
      </c>
      <c r="M8" s="103">
        <v>6</v>
      </c>
      <c r="N8" s="103">
        <v>4</v>
      </c>
      <c r="O8" s="103">
        <v>3</v>
      </c>
      <c r="P8" s="103"/>
      <c r="Q8" s="103">
        <v>2</v>
      </c>
      <c r="R8" s="103">
        <v>2</v>
      </c>
      <c r="S8" s="104"/>
      <c r="T8" s="105">
        <f t="shared" ref="T8:T30" si="1">IF(J8+2*H8+3*F8&gt;0,J8+2*H8+3*F8,0)</f>
        <v>17</v>
      </c>
      <c r="U8" s="106">
        <f t="shared" ref="U8:U30" si="2">IF(G8&gt;0,F8/G8,"")</f>
        <v>0.2857142857142857</v>
      </c>
      <c r="V8" s="106">
        <f t="shared" ref="V8:V30" si="3">IF(I8&gt;0,H8/I8,"")</f>
        <v>0.66666666666666663</v>
      </c>
      <c r="W8" s="107">
        <f t="shared" ref="W8:W30" si="4">IF(K8&gt;0,J8/K8,"")</f>
        <v>0.6</v>
      </c>
      <c r="X8" s="106">
        <f t="shared" si="0"/>
        <v>0.46153846153846156</v>
      </c>
      <c r="Y8" s="108">
        <f t="shared" ref="Y8:Y32" si="5">IF(OR(G8&gt;0,I8 &gt;0),(1.5*F8+H8)/(G8+I8),"")</f>
        <v>0.53846153846153844</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29</v>
      </c>
      <c r="F9" s="111">
        <v>4</v>
      </c>
      <c r="G9" s="112">
        <v>7</v>
      </c>
      <c r="H9" s="113">
        <v>4</v>
      </c>
      <c r="I9" s="112">
        <v>7</v>
      </c>
      <c r="J9" s="113">
        <v>1</v>
      </c>
      <c r="K9" s="112">
        <v>2</v>
      </c>
      <c r="L9" s="113">
        <v>3</v>
      </c>
      <c r="M9" s="113">
        <v>5</v>
      </c>
      <c r="N9" s="113">
        <v>5</v>
      </c>
      <c r="O9" s="113">
        <v>2</v>
      </c>
      <c r="P9" s="113"/>
      <c r="Q9" s="113">
        <v>1</v>
      </c>
      <c r="R9" s="113">
        <v>1</v>
      </c>
      <c r="S9" s="114">
        <v>2</v>
      </c>
      <c r="T9" s="115">
        <f t="shared" si="1"/>
        <v>21</v>
      </c>
      <c r="U9" s="95">
        <f t="shared" si="2"/>
        <v>0.5714285714285714</v>
      </c>
      <c r="V9" s="95">
        <f t="shared" si="3"/>
        <v>0.5714285714285714</v>
      </c>
      <c r="W9" s="96">
        <f t="shared" si="4"/>
        <v>0.5</v>
      </c>
      <c r="X9" s="95">
        <f t="shared" si="0"/>
        <v>0.5714285714285714</v>
      </c>
      <c r="Y9" s="116">
        <f t="shared" si="5"/>
        <v>0.7142857142857143</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25</v>
      </c>
      <c r="F10" s="101">
        <v>1</v>
      </c>
      <c r="G10" s="102">
        <v>7</v>
      </c>
      <c r="H10" s="103">
        <v>3</v>
      </c>
      <c r="I10" s="102">
        <v>5</v>
      </c>
      <c r="J10" s="103">
        <v>1</v>
      </c>
      <c r="K10" s="102">
        <v>1</v>
      </c>
      <c r="L10" s="103"/>
      <c r="M10" s="103">
        <v>1</v>
      </c>
      <c r="N10" s="103">
        <v>2</v>
      </c>
      <c r="O10" s="103">
        <v>2</v>
      </c>
      <c r="P10" s="103"/>
      <c r="Q10" s="103">
        <v>2</v>
      </c>
      <c r="R10" s="103">
        <v>1</v>
      </c>
      <c r="S10" s="104"/>
      <c r="T10" s="105">
        <f t="shared" si="1"/>
        <v>10</v>
      </c>
      <c r="U10" s="106">
        <f t="shared" si="2"/>
        <v>0.14285714285714285</v>
      </c>
      <c r="V10" s="106">
        <f t="shared" si="3"/>
        <v>0.6</v>
      </c>
      <c r="W10" s="107">
        <f t="shared" si="4"/>
        <v>1</v>
      </c>
      <c r="X10" s="106">
        <f t="shared" si="0"/>
        <v>0.33333333333333331</v>
      </c>
      <c r="Y10" s="108">
        <f t="shared" si="5"/>
        <v>0.375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65.5</v>
      </c>
      <c r="AB11" s="385">
        <f>T31/AA11</f>
        <v>0.9007633587786259</v>
      </c>
      <c r="AC11" s="385">
        <f>L31/AA11</f>
        <v>0.19847328244274809</v>
      </c>
      <c r="AD11" s="385">
        <f>M31/AA12</f>
        <v>0.31007751937984496</v>
      </c>
      <c r="AE11" s="389">
        <f>(L31+M31)/AA11</f>
        <v>0.50381679389312972</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64.5</v>
      </c>
      <c r="AB12" s="385">
        <f>T32/AA12</f>
        <v>0.71317829457364346</v>
      </c>
      <c r="AC12" s="385">
        <f>L32/AA12</f>
        <v>0.15503875968992248</v>
      </c>
      <c r="AD12" s="385">
        <f>M32/AA11</f>
        <v>0.30534351145038169</v>
      </c>
      <c r="AE12" s="389">
        <f>(L32+M32)/AA12</f>
        <v>0.46511627906976744</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25</v>
      </c>
      <c r="F14" s="101"/>
      <c r="G14" s="102">
        <v>4</v>
      </c>
      <c r="H14" s="103">
        <v>3</v>
      </c>
      <c r="I14" s="102">
        <v>4</v>
      </c>
      <c r="J14" s="103">
        <v>2</v>
      </c>
      <c r="K14" s="102">
        <v>3</v>
      </c>
      <c r="L14" s="103">
        <v>2</v>
      </c>
      <c r="M14" s="103">
        <v>6</v>
      </c>
      <c r="N14" s="103">
        <v>2</v>
      </c>
      <c r="O14" s="103">
        <v>2</v>
      </c>
      <c r="P14" s="103">
        <v>2</v>
      </c>
      <c r="Q14" s="103">
        <v>4</v>
      </c>
      <c r="R14" s="103">
        <v>3</v>
      </c>
      <c r="S14" s="104"/>
      <c r="T14" s="105">
        <f t="shared" si="1"/>
        <v>8</v>
      </c>
      <c r="U14" s="106">
        <f t="shared" si="2"/>
        <v>0</v>
      </c>
      <c r="V14" s="106">
        <f t="shared" si="3"/>
        <v>0.75</v>
      </c>
      <c r="W14" s="107">
        <f t="shared" si="4"/>
        <v>0.66666666666666663</v>
      </c>
      <c r="X14" s="106">
        <f t="shared" si="0"/>
        <v>0.375</v>
      </c>
      <c r="Y14" s="108">
        <f t="shared" si="5"/>
        <v>0.375</v>
      </c>
      <c r="Z14" s="385"/>
      <c r="AA14" s="385"/>
      <c r="AB14" s="385">
        <f>N31/AA11</f>
        <v>0.29007633587786258</v>
      </c>
      <c r="AC14" s="385">
        <f>O31/AA12</f>
        <v>0.17054263565891473</v>
      </c>
      <c r="AD14" s="385">
        <f>Q31/AA11</f>
        <v>0.22900763358778625</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12</v>
      </c>
      <c r="F15" s="111"/>
      <c r="G15" s="112">
        <v>1</v>
      </c>
      <c r="H15" s="113"/>
      <c r="I15" s="112"/>
      <c r="J15" s="113"/>
      <c r="K15" s="112"/>
      <c r="L15" s="113">
        <v>1</v>
      </c>
      <c r="M15" s="113">
        <v>1</v>
      </c>
      <c r="N15" s="113">
        <v>3</v>
      </c>
      <c r="O15" s="113">
        <v>1</v>
      </c>
      <c r="P15" s="113"/>
      <c r="Q15" s="113">
        <v>2</v>
      </c>
      <c r="R15" s="113">
        <v>2</v>
      </c>
      <c r="S15" s="114"/>
      <c r="T15" s="115">
        <f t="shared" si="1"/>
        <v>0</v>
      </c>
      <c r="U15" s="95">
        <f t="shared" si="2"/>
        <v>0</v>
      </c>
      <c r="V15" s="95" t="str">
        <f t="shared" si="3"/>
        <v/>
      </c>
      <c r="W15" s="96" t="str">
        <f t="shared" si="4"/>
        <v/>
      </c>
      <c r="X15" s="95">
        <f t="shared" si="0"/>
        <v>0</v>
      </c>
      <c r="Y15" s="116">
        <f t="shared" si="5"/>
        <v>0</v>
      </c>
      <c r="Z15" s="392"/>
      <c r="AA15" s="393"/>
      <c r="AB15" s="393">
        <f>N32/AA12</f>
        <v>0.23255813953488372</v>
      </c>
      <c r="AC15" s="393">
        <f>O32/AA11</f>
        <v>0.10687022900763359</v>
      </c>
      <c r="AD15" s="393">
        <f>Q32/AA12</f>
        <v>0.29457364341085274</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25</v>
      </c>
      <c r="F16" s="101"/>
      <c r="G16" s="102">
        <v>4</v>
      </c>
      <c r="H16" s="103">
        <v>1</v>
      </c>
      <c r="I16" s="102">
        <v>5</v>
      </c>
      <c r="J16" s="103">
        <v>1</v>
      </c>
      <c r="K16" s="102">
        <v>2</v>
      </c>
      <c r="L16" s="103">
        <v>3</v>
      </c>
      <c r="M16" s="103">
        <v>1</v>
      </c>
      <c r="N16" s="103">
        <v>2</v>
      </c>
      <c r="O16" s="103">
        <v>1</v>
      </c>
      <c r="P16" s="103"/>
      <c r="Q16" s="103">
        <v>3</v>
      </c>
      <c r="R16" s="103">
        <v>3</v>
      </c>
      <c r="S16" s="104"/>
      <c r="T16" s="105">
        <f t="shared" si="1"/>
        <v>3</v>
      </c>
      <c r="U16" s="106">
        <f t="shared" si="2"/>
        <v>0</v>
      </c>
      <c r="V16" s="106">
        <f t="shared" si="3"/>
        <v>0.2</v>
      </c>
      <c r="W16" s="107">
        <f t="shared" si="4"/>
        <v>0.5</v>
      </c>
      <c r="X16" s="106">
        <f t="shared" si="0"/>
        <v>0.1111111111111111</v>
      </c>
      <c r="Y16" s="108">
        <f t="shared" si="5"/>
        <v>0.1111111111111111</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8</v>
      </c>
      <c r="F19" s="111"/>
      <c r="G19" s="112"/>
      <c r="H19" s="113"/>
      <c r="I19" s="112"/>
      <c r="J19" s="113"/>
      <c r="K19" s="112"/>
      <c r="L19" s="113"/>
      <c r="M19" s="113"/>
      <c r="N19" s="113">
        <v>1</v>
      </c>
      <c r="O19" s="113"/>
      <c r="P19" s="113"/>
      <c r="Q19" s="113">
        <v>1</v>
      </c>
      <c r="R19" s="113"/>
      <c r="S19" s="114"/>
      <c r="T19" s="115">
        <f t="shared" si="1"/>
        <v>0</v>
      </c>
      <c r="U19" s="95" t="str">
        <f t="shared" si="2"/>
        <v/>
      </c>
      <c r="V19" s="95" t="str">
        <f t="shared" si="3"/>
        <v/>
      </c>
      <c r="W19" s="96" t="str">
        <f t="shared" si="4"/>
        <v/>
      </c>
      <c r="X19" s="95" t="str">
        <f t="shared" si="0"/>
        <v/>
      </c>
      <c r="Y19" s="116" t="str">
        <f t="shared" si="5"/>
        <v/>
      </c>
      <c r="Z19" s="388" t="s">
        <v>124</v>
      </c>
      <c r="AA19" s="385">
        <f>AB11*65</f>
        <v>58.549618320610683</v>
      </c>
      <c r="AB19" s="385">
        <f t="shared" ref="AB19:AD20" si="6">AC11*65</f>
        <v>12.900763358778626</v>
      </c>
      <c r="AC19" s="385">
        <f t="shared" si="6"/>
        <v>20.155038759689923</v>
      </c>
      <c r="AD19" s="385">
        <f t="shared" si="6"/>
        <v>32.748091603053432</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46.356589147286826</v>
      </c>
      <c r="AB20" s="385">
        <f t="shared" si="6"/>
        <v>10.077519379844961</v>
      </c>
      <c r="AC20" s="385">
        <f t="shared" si="6"/>
        <v>19.847328244274809</v>
      </c>
      <c r="AD20" s="385">
        <f t="shared" si="6"/>
        <v>30.232558139534884</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18.854961832061068</v>
      </c>
      <c r="AC22" s="385">
        <f t="shared" si="7"/>
        <v>11.085271317829458</v>
      </c>
      <c r="AD22" s="385">
        <f>AD14*65</f>
        <v>14.885496183206106</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15.116279069767442</v>
      </c>
      <c r="AC23" s="393">
        <f t="shared" si="7"/>
        <v>6.9465648854961835</v>
      </c>
      <c r="AD23" s="393">
        <f t="shared" si="7"/>
        <v>19.147286821705428</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65</v>
      </c>
      <c r="B31" s="126" t="s">
        <v>161</v>
      </c>
      <c r="C31" s="151"/>
      <c r="D31" s="152">
        <f>IF(COUNTA($D$7:$D$30)&gt;0,1,"")</f>
        <v>1</v>
      </c>
      <c r="E31" s="127">
        <f>IF(D31=1,32+J4*4,"")</f>
        <v>32</v>
      </c>
      <c r="F31" s="128">
        <f t="shared" ref="F31:S31" si="8">SUM(F7:F30)</f>
        <v>7</v>
      </c>
      <c r="G31" s="129">
        <f t="shared" si="8"/>
        <v>30</v>
      </c>
      <c r="H31" s="128">
        <f t="shared" si="8"/>
        <v>15</v>
      </c>
      <c r="I31" s="130">
        <f t="shared" si="8"/>
        <v>27</v>
      </c>
      <c r="J31" s="129">
        <f t="shared" si="8"/>
        <v>8</v>
      </c>
      <c r="K31" s="130">
        <f t="shared" si="8"/>
        <v>13</v>
      </c>
      <c r="L31" s="129">
        <f t="shared" si="8"/>
        <v>13</v>
      </c>
      <c r="M31" s="129">
        <f t="shared" si="8"/>
        <v>20</v>
      </c>
      <c r="N31" s="129">
        <f t="shared" si="8"/>
        <v>19</v>
      </c>
      <c r="O31" s="129">
        <f t="shared" si="8"/>
        <v>11</v>
      </c>
      <c r="P31" s="129">
        <f t="shared" si="8"/>
        <v>2</v>
      </c>
      <c r="Q31" s="129">
        <f t="shared" si="8"/>
        <v>15</v>
      </c>
      <c r="R31" s="129">
        <f t="shared" si="8"/>
        <v>12</v>
      </c>
      <c r="S31" s="131">
        <f t="shared" si="8"/>
        <v>2</v>
      </c>
      <c r="T31" s="132">
        <f>IF(J31+2*H31+3*F31&gt;0,J31+2*H31+3*F31,IF(H4&gt;0,H4,""))</f>
        <v>59</v>
      </c>
      <c r="U31" s="133">
        <f>IF(G31&gt;0,F31/G31,"")</f>
        <v>0.23333333333333334</v>
      </c>
      <c r="V31" s="133">
        <f>IF(I31&gt;0,H31/I31,"")</f>
        <v>0.55555555555555558</v>
      </c>
      <c r="W31" s="134">
        <f>IF(K31&gt;0,J31/K31,"")</f>
        <v>0.61538461538461542</v>
      </c>
      <c r="X31" s="133">
        <f t="shared" si="0"/>
        <v>0.38596491228070173</v>
      </c>
      <c r="Y31" s="135">
        <f t="shared" si="5"/>
        <v>0.44736842105263158</v>
      </c>
      <c r="AB31" s="51"/>
      <c r="AC31" s="51"/>
      <c r="AD31" s="51"/>
      <c r="AE31" s="51"/>
      <c r="AF31" s="136"/>
      <c r="AG31" s="136"/>
      <c r="AH31" s="136"/>
      <c r="AI31" s="51"/>
    </row>
    <row r="32" spans="1:35" s="18" customFormat="1" ht="17.25" thickTop="1" thickBot="1" x14ac:dyDescent="0.3">
      <c r="A32" s="51">
        <f>ROUND(G32+I32+0.475*K32-L32+Q32,0)</f>
        <v>64</v>
      </c>
      <c r="B32" s="137" t="s">
        <v>162</v>
      </c>
      <c r="C32" s="153"/>
      <c r="D32" s="138">
        <f>IF(SUM(F32:S32)&gt;0,1,"")</f>
        <v>1</v>
      </c>
      <c r="E32" s="138">
        <f>IF(D32=1,E31,0)</f>
        <v>32</v>
      </c>
      <c r="F32" s="139">
        <v>7</v>
      </c>
      <c r="G32" s="140">
        <v>20</v>
      </c>
      <c r="H32" s="139">
        <v>12</v>
      </c>
      <c r="I32" s="141">
        <v>33</v>
      </c>
      <c r="J32" s="139">
        <v>1</v>
      </c>
      <c r="K32" s="141">
        <v>5</v>
      </c>
      <c r="L32" s="140">
        <v>10</v>
      </c>
      <c r="M32" s="140">
        <v>20</v>
      </c>
      <c r="N32" s="140">
        <v>15</v>
      </c>
      <c r="O32" s="140">
        <v>7</v>
      </c>
      <c r="P32" s="140">
        <v>2</v>
      </c>
      <c r="Q32" s="140">
        <v>19</v>
      </c>
      <c r="R32" s="140">
        <v>13</v>
      </c>
      <c r="S32" s="142"/>
      <c r="T32" s="143">
        <f>IF(J32+2*H32+3*F32&gt;0,J32+2*H32+3*F32,IF(H3&gt;0,H3,""))</f>
        <v>46</v>
      </c>
      <c r="U32" s="144">
        <f>IF(G32&gt;0,F32/G32,"")</f>
        <v>0.35</v>
      </c>
      <c r="V32" s="144">
        <f>IF(I32&gt;0,H32/I32,"")</f>
        <v>0.36363636363636365</v>
      </c>
      <c r="W32" s="145">
        <f>IF(K32&gt;0,J32/K32,"")</f>
        <v>0.2</v>
      </c>
      <c r="X32" s="144">
        <f t="shared" si="0"/>
        <v>0.35849056603773582</v>
      </c>
      <c r="Y32" s="146">
        <f t="shared" si="5"/>
        <v>0.42452830188679247</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723" priority="29">
      <formula>AND($H$4&gt;0,$H$4&lt;&gt;$T$31)</formula>
    </cfRule>
  </conditionalFormatting>
  <conditionalFormatting sqref="T32 H3">
    <cfRule type="expression" dxfId="722" priority="28">
      <formula>AND($H$3&gt;0,$H$3&lt;&gt;$T$32)</formula>
    </cfRule>
  </conditionalFormatting>
  <conditionalFormatting sqref="A2">
    <cfRule type="cellIs" dxfId="721" priority="27" operator="equal">
      <formula>"R"</formula>
    </cfRule>
  </conditionalFormatting>
  <conditionalFormatting sqref="F7:F30 H7:H30 J7:J30">
    <cfRule type="expression" dxfId="720" priority="26">
      <formula>F7&gt;G7</formula>
    </cfRule>
  </conditionalFormatting>
  <conditionalFormatting sqref="E7:E30">
    <cfRule type="expression" dxfId="719" priority="25">
      <formula>$E7&gt;$E$31</formula>
    </cfRule>
  </conditionalFormatting>
  <conditionalFormatting sqref="L6">
    <cfRule type="expression" dxfId="718" priority="24">
      <formula>OR($L$31&gt;($G$31+$I$31+$K$31-$F$31-$H$31-$J$31),L32&gt;(G31+I31+K31-F31-H31-J31))</formula>
    </cfRule>
  </conditionalFormatting>
  <conditionalFormatting sqref="M6">
    <cfRule type="expression" dxfId="717" priority="23">
      <formula>OR(M31&gt;(G32-F32+I32-H32+K32-J32),M32&gt;(G31-F31+I31-H31+K31-J31))</formula>
    </cfRule>
  </conditionalFormatting>
  <conditionalFormatting sqref="N6">
    <cfRule type="expression" dxfId="716" priority="22">
      <formula>OR($N$31&gt;($F$31+$H$31),$N$32&gt;($F$32+$H$32))</formula>
    </cfRule>
  </conditionalFormatting>
  <conditionalFormatting sqref="P6">
    <cfRule type="expression" dxfId="715" priority="21">
      <formula>OR($P$31&gt;(G32-F32+I32-H32),P32&gt;(G31-F31+I31-H31))</formula>
    </cfRule>
  </conditionalFormatting>
  <conditionalFormatting sqref="Q6">
    <cfRule type="expression" dxfId="714" priority="20">
      <formula>OR($Q$31&lt;$O$32,$Q$32&lt;$O$31)</formula>
    </cfRule>
  </conditionalFormatting>
  <conditionalFormatting sqref="L31:L32">
    <cfRule type="cellIs" dxfId="713" priority="19" operator="greaterThan">
      <formula>$G31+$I31+$K31-$F31-$H31-$J31</formula>
    </cfRule>
  </conditionalFormatting>
  <conditionalFormatting sqref="M32">
    <cfRule type="cellIs" dxfId="712" priority="18" operator="greaterThan">
      <formula>$G$31-$F$31+$I$31-$H$31+$K$31-$J$31</formula>
    </cfRule>
  </conditionalFormatting>
  <conditionalFormatting sqref="N31:N32">
    <cfRule type="cellIs" dxfId="711" priority="17" operator="greaterThan">
      <formula>$F31+$H31</formula>
    </cfRule>
  </conditionalFormatting>
  <conditionalFormatting sqref="O32">
    <cfRule type="cellIs" dxfId="710" priority="10" operator="greaterThan">
      <formula>$Q$31</formula>
    </cfRule>
  </conditionalFormatting>
  <conditionalFormatting sqref="P31">
    <cfRule type="cellIs" dxfId="709" priority="16" operator="greaterThan">
      <formula>$G$32-$F$32+$I$32-$H$32</formula>
    </cfRule>
  </conditionalFormatting>
  <conditionalFormatting sqref="Q32">
    <cfRule type="cellIs" dxfId="708" priority="15" operator="lessThan">
      <formula>$O$31</formula>
    </cfRule>
  </conditionalFormatting>
  <conditionalFormatting sqref="F7:F32">
    <cfRule type="cellIs" dxfId="707" priority="14" operator="greaterThan">
      <formula>G7</formula>
    </cfRule>
  </conditionalFormatting>
  <conditionalFormatting sqref="H7:H32">
    <cfRule type="cellIs" dxfId="706" priority="13" operator="greaterThan">
      <formula>I7</formula>
    </cfRule>
  </conditionalFormatting>
  <conditionalFormatting sqref="J7:J32">
    <cfRule type="cellIs" dxfId="705" priority="12" operator="greaterThan">
      <formula>K7</formula>
    </cfRule>
  </conditionalFormatting>
  <conditionalFormatting sqref="M4">
    <cfRule type="cellIs" dxfId="704" priority="11" operator="notBetween">
      <formula>$AH$2</formula>
      <formula>$AI$2</formula>
    </cfRule>
  </conditionalFormatting>
  <conditionalFormatting sqref="O31">
    <cfRule type="cellIs" dxfId="703" priority="9" operator="greaterThan">
      <formula>$Q$32</formula>
    </cfRule>
  </conditionalFormatting>
  <conditionalFormatting sqref="Q31">
    <cfRule type="cellIs" dxfId="702" priority="8" operator="lessThan">
      <formula>$O$32</formula>
    </cfRule>
  </conditionalFormatting>
  <conditionalFormatting sqref="M31">
    <cfRule type="cellIs" dxfId="701" priority="7" operator="greaterThan">
      <formula>G32-F32 +I32-H32+K32-J32</formula>
    </cfRule>
  </conditionalFormatting>
  <conditionalFormatting sqref="B3">
    <cfRule type="expression" dxfId="700" priority="6">
      <formula>$W$2 = TRUE</formula>
    </cfRule>
  </conditionalFormatting>
  <conditionalFormatting sqref="P4:Q4">
    <cfRule type="expression" dxfId="699" priority="5">
      <formula>OR(AND($P$4=1,$X$4=1),AND($Q$4=1,$W$4=1))</formula>
    </cfRule>
  </conditionalFormatting>
  <conditionalFormatting sqref="D7:D30">
    <cfRule type="expression" dxfId="698" priority="30">
      <formula>AND($D7=0,SUM($F7:$S7)&gt;0)</formula>
    </cfRule>
  </conditionalFormatting>
  <conditionalFormatting sqref="O6">
    <cfRule type="expression" dxfId="697" priority="4">
      <formula>OR($O$31&gt;$Q$32,$O$32&gt;$Q$31)</formula>
    </cfRule>
  </conditionalFormatting>
  <conditionalFormatting sqref="F6">
    <cfRule type="expression" dxfId="696" priority="3">
      <formula>OR(F$31&gt;G$31,F$32&gt;G$32)</formula>
    </cfRule>
  </conditionalFormatting>
  <conditionalFormatting sqref="H6">
    <cfRule type="expression" dxfId="695" priority="2">
      <formula>OR(H$31&gt;I$31,H$32&gt;I$32)</formula>
    </cfRule>
  </conditionalFormatting>
  <conditionalFormatting sqref="J6">
    <cfRule type="expression" dxfId="694"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U45" sqref="U45"/>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7</v>
      </c>
      <c r="C3" s="70">
        <v>5</v>
      </c>
      <c r="D3" s="71">
        <v>2</v>
      </c>
      <c r="E3" s="71">
        <v>3</v>
      </c>
      <c r="F3" s="71">
        <v>6</v>
      </c>
      <c r="G3" s="72"/>
      <c r="H3" s="73">
        <f>SUM(C3:G3)</f>
        <v>16</v>
      </c>
      <c r="J3" s="12" t="s">
        <v>165</v>
      </c>
      <c r="P3" s="74" t="s">
        <v>135</v>
      </c>
      <c r="Q3" s="74" t="s">
        <v>137</v>
      </c>
      <c r="S3" s="75" t="s">
        <v>138</v>
      </c>
      <c r="U3" s="76" t="s">
        <v>139</v>
      </c>
      <c r="W3" s="77" t="s">
        <v>134</v>
      </c>
      <c r="X3" s="77" t="s">
        <v>136</v>
      </c>
      <c r="AA3" s="48" t="str">
        <f>B4</f>
        <v>Upton</v>
      </c>
      <c r="AD3" s="48">
        <f>SUM($C3:C3)</f>
        <v>5</v>
      </c>
      <c r="AE3" s="48">
        <f>SUM($C3:D3)</f>
        <v>7</v>
      </c>
      <c r="AF3" s="48">
        <f>SUM($C3:E3)</f>
        <v>10</v>
      </c>
      <c r="AG3" s="48">
        <f>SUM($C3:F3)</f>
        <v>16</v>
      </c>
      <c r="AH3" s="48">
        <f>SUM($C3:G3)</f>
        <v>16</v>
      </c>
      <c r="AJ3" s="74"/>
    </row>
    <row r="4" spans="1:36" ht="16.5" customHeight="1" thickTop="1" thickBot="1" x14ac:dyDescent="0.3">
      <c r="B4" s="78" t="str">
        <f>Roster!$B$1</f>
        <v>Upton</v>
      </c>
      <c r="C4" s="79">
        <v>26</v>
      </c>
      <c r="D4" s="80">
        <v>18</v>
      </c>
      <c r="E4" s="80">
        <v>10</v>
      </c>
      <c r="F4" s="80">
        <v>8</v>
      </c>
      <c r="G4" s="81"/>
      <c r="H4" s="82">
        <f>SUM(C4:G4)</f>
        <v>62</v>
      </c>
      <c r="J4" s="83"/>
      <c r="L4" s="84" t="s">
        <v>133</v>
      </c>
      <c r="M4" s="404">
        <v>44968</v>
      </c>
      <c r="N4" s="405"/>
      <c r="P4" s="83">
        <v>1</v>
      </c>
      <c r="Q4" s="83"/>
      <c r="S4" s="83"/>
      <c r="U4" s="83"/>
      <c r="W4" s="85">
        <f>IF(OR($S$4=1,$H$4&gt;$H$3),1,"")</f>
        <v>1</v>
      </c>
      <c r="X4" s="85" t="str">
        <f>IF(OR($U$4=1,$H$4&lt;$H$3),1,"")</f>
        <v/>
      </c>
      <c r="AA4" s="48" t="str">
        <f>B3</f>
        <v>Arvada Clearmont</v>
      </c>
      <c r="AD4" s="48">
        <f>SUM($C4:C4)</f>
        <v>26</v>
      </c>
      <c r="AE4" s="48">
        <f>SUM($C4:D4)</f>
        <v>44</v>
      </c>
      <c r="AF4" s="48">
        <f>SUM($C4:E4)</f>
        <v>54</v>
      </c>
      <c r="AG4" s="48">
        <f>SUM($C4:F4)</f>
        <v>62</v>
      </c>
      <c r="AH4" s="48">
        <f>SUM($C4:G4)</f>
        <v>62</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10</v>
      </c>
      <c r="F7" s="90"/>
      <c r="G7" s="91">
        <v>1</v>
      </c>
      <c r="H7" s="92"/>
      <c r="I7" s="91"/>
      <c r="J7" s="92"/>
      <c r="K7" s="91"/>
      <c r="L7" s="92"/>
      <c r="M7" s="92"/>
      <c r="N7" s="92">
        <v>1</v>
      </c>
      <c r="O7" s="92">
        <v>1</v>
      </c>
      <c r="P7" s="92"/>
      <c r="Q7" s="92">
        <v>2</v>
      </c>
      <c r="R7" s="92">
        <v>1</v>
      </c>
      <c r="S7" s="93"/>
      <c r="T7" s="94">
        <f>IF(J7+2*H7+3*F7&gt;0,J7+2*H7+3*F7,0)</f>
        <v>0</v>
      </c>
      <c r="U7" s="95">
        <f>IF(G7&gt;0,F7/G7,"")</f>
        <v>0</v>
      </c>
      <c r="V7" s="95" t="str">
        <f>IF(I7&gt;0,H7/I7,"")</f>
        <v/>
      </c>
      <c r="W7" s="96" t="str">
        <f>IF(K7&gt;0,J7/K7,"")</f>
        <v/>
      </c>
      <c r="X7" s="97">
        <f t="shared" ref="X7:X32" si="0">IF(OR(G7&gt;0,I7 &gt;0),(F7+H7)/(G7+I7),"")</f>
        <v>0</v>
      </c>
      <c r="Y7" s="98">
        <f>IF(OR(G7&gt;0,I7 &gt;0),(1.5*F7+H7)/(G7+I7),"")</f>
        <v>0</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16</v>
      </c>
      <c r="F8" s="101">
        <v>2</v>
      </c>
      <c r="G8" s="102">
        <v>5</v>
      </c>
      <c r="H8" s="103">
        <v>1</v>
      </c>
      <c r="I8" s="102">
        <v>2</v>
      </c>
      <c r="J8" s="103"/>
      <c r="K8" s="102">
        <v>2</v>
      </c>
      <c r="L8" s="103">
        <v>1</v>
      </c>
      <c r="M8" s="103">
        <v>1</v>
      </c>
      <c r="N8" s="103"/>
      <c r="O8" s="103">
        <v>2</v>
      </c>
      <c r="P8" s="103"/>
      <c r="Q8" s="103"/>
      <c r="R8" s="103">
        <v>1</v>
      </c>
      <c r="S8" s="104"/>
      <c r="T8" s="105">
        <f t="shared" ref="T8:T30" si="1">IF(J8+2*H8+3*F8&gt;0,J8+2*H8+3*F8,0)</f>
        <v>8</v>
      </c>
      <c r="U8" s="106">
        <f t="shared" ref="U8:U30" si="2">IF(G8&gt;0,F8/G8,"")</f>
        <v>0.4</v>
      </c>
      <c r="V8" s="106">
        <f t="shared" ref="V8:V30" si="3">IF(I8&gt;0,H8/I8,"")</f>
        <v>0.5</v>
      </c>
      <c r="W8" s="107">
        <f t="shared" ref="W8:W30" si="4">IF(K8&gt;0,J8/K8,"")</f>
        <v>0</v>
      </c>
      <c r="X8" s="106">
        <f t="shared" si="0"/>
        <v>0.42857142857142855</v>
      </c>
      <c r="Y8" s="108">
        <f t="shared" ref="Y8:Y32" si="5">IF(OR(G8&gt;0,I8 &gt;0),(1.5*F8+H8)/(G8+I8),"")</f>
        <v>0.5714285714285714</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13</v>
      </c>
      <c r="F9" s="111">
        <v>1</v>
      </c>
      <c r="G9" s="112">
        <v>4</v>
      </c>
      <c r="H9" s="113">
        <v>7</v>
      </c>
      <c r="I9" s="112">
        <v>9</v>
      </c>
      <c r="J9" s="113"/>
      <c r="K9" s="112"/>
      <c r="L9" s="113">
        <v>6</v>
      </c>
      <c r="M9" s="113"/>
      <c r="N9" s="113"/>
      <c r="O9" s="113">
        <v>2</v>
      </c>
      <c r="P9" s="113"/>
      <c r="Q9" s="113">
        <v>1</v>
      </c>
      <c r="R9" s="113"/>
      <c r="S9" s="114"/>
      <c r="T9" s="115">
        <f t="shared" si="1"/>
        <v>17</v>
      </c>
      <c r="U9" s="95">
        <f t="shared" si="2"/>
        <v>0.25</v>
      </c>
      <c r="V9" s="95">
        <f t="shared" si="3"/>
        <v>0.77777777777777779</v>
      </c>
      <c r="W9" s="96" t="str">
        <f t="shared" si="4"/>
        <v/>
      </c>
      <c r="X9" s="95">
        <f t="shared" si="0"/>
        <v>0.61538461538461542</v>
      </c>
      <c r="Y9" s="116">
        <f t="shared" si="5"/>
        <v>0.65384615384615385</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14</v>
      </c>
      <c r="F10" s="101">
        <v>1</v>
      </c>
      <c r="G10" s="102">
        <v>3</v>
      </c>
      <c r="H10" s="103">
        <v>3</v>
      </c>
      <c r="I10" s="102">
        <v>6</v>
      </c>
      <c r="J10" s="103"/>
      <c r="K10" s="102"/>
      <c r="L10" s="103">
        <v>3</v>
      </c>
      <c r="M10" s="103">
        <v>1</v>
      </c>
      <c r="N10" s="103">
        <v>1</v>
      </c>
      <c r="O10" s="103">
        <v>3</v>
      </c>
      <c r="P10" s="103"/>
      <c r="Q10" s="103"/>
      <c r="R10" s="103">
        <v>1</v>
      </c>
      <c r="S10" s="104"/>
      <c r="T10" s="105">
        <f t="shared" si="1"/>
        <v>9</v>
      </c>
      <c r="U10" s="106">
        <f t="shared" si="2"/>
        <v>0.33333333333333331</v>
      </c>
      <c r="V10" s="106">
        <f t="shared" si="3"/>
        <v>0.5</v>
      </c>
      <c r="W10" s="107" t="str">
        <f t="shared" si="4"/>
        <v/>
      </c>
      <c r="X10" s="106">
        <f t="shared" si="0"/>
        <v>0.44444444444444442</v>
      </c>
      <c r="Y10" s="108">
        <f t="shared" si="5"/>
        <v>0.5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v>1</v>
      </c>
      <c r="E11" s="110">
        <v>7</v>
      </c>
      <c r="F11" s="111"/>
      <c r="G11" s="112">
        <v>1</v>
      </c>
      <c r="H11" s="113"/>
      <c r="I11" s="112"/>
      <c r="J11" s="113"/>
      <c r="K11" s="112"/>
      <c r="L11" s="113"/>
      <c r="M11" s="113">
        <v>3</v>
      </c>
      <c r="N11" s="113"/>
      <c r="O11" s="113"/>
      <c r="P11" s="113"/>
      <c r="Q11" s="113">
        <v>3</v>
      </c>
      <c r="R11" s="113"/>
      <c r="S11" s="114"/>
      <c r="T11" s="115">
        <f t="shared" si="1"/>
        <v>0</v>
      </c>
      <c r="U11" s="95">
        <f t="shared" si="2"/>
        <v>0</v>
      </c>
      <c r="V11" s="95" t="str">
        <f t="shared" si="3"/>
        <v/>
      </c>
      <c r="W11" s="96" t="str">
        <f t="shared" si="4"/>
        <v/>
      </c>
      <c r="X11" s="95">
        <f t="shared" si="0"/>
        <v>0</v>
      </c>
      <c r="Y11" s="116">
        <f t="shared" si="5"/>
        <v>0</v>
      </c>
      <c r="Z11" s="388" t="s">
        <v>124</v>
      </c>
      <c r="AA11" s="385">
        <f>G31+I31+(K31/2)+Q31-L31</f>
        <v>49</v>
      </c>
      <c r="AB11" s="385">
        <f>T31/AA11</f>
        <v>1.2653061224489797</v>
      </c>
      <c r="AC11" s="385">
        <f>L31/AA11</f>
        <v>0.36734693877551022</v>
      </c>
      <c r="AD11" s="385">
        <f>M31/AA12</f>
        <v>0.24489795918367346</v>
      </c>
      <c r="AE11" s="389">
        <f>(L31+M31)/AA11</f>
        <v>0.61224489795918369</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4</v>
      </c>
      <c r="F12" s="101">
        <v>1</v>
      </c>
      <c r="G12" s="102">
        <v>1</v>
      </c>
      <c r="H12" s="103"/>
      <c r="I12" s="102"/>
      <c r="J12" s="103"/>
      <c r="K12" s="102"/>
      <c r="L12" s="103"/>
      <c r="M12" s="103"/>
      <c r="N12" s="103">
        <v>1</v>
      </c>
      <c r="O12" s="103"/>
      <c r="P12" s="103"/>
      <c r="Q12" s="103">
        <v>1</v>
      </c>
      <c r="R12" s="103">
        <v>1</v>
      </c>
      <c r="S12" s="104"/>
      <c r="T12" s="105">
        <f t="shared" si="1"/>
        <v>3</v>
      </c>
      <c r="U12" s="106">
        <f t="shared" si="2"/>
        <v>1</v>
      </c>
      <c r="V12" s="106" t="str">
        <f t="shared" si="3"/>
        <v/>
      </c>
      <c r="W12" s="107" t="str">
        <f t="shared" si="4"/>
        <v/>
      </c>
      <c r="X12" s="106">
        <f t="shared" si="0"/>
        <v>1</v>
      </c>
      <c r="Y12" s="108">
        <f t="shared" si="5"/>
        <v>1.5</v>
      </c>
      <c r="Z12" s="388" t="s">
        <v>352</v>
      </c>
      <c r="AA12" s="385">
        <f>G32+I32+(K32/2)+Q32-L32</f>
        <v>49</v>
      </c>
      <c r="AB12" s="385">
        <f>T32/AA12</f>
        <v>0.32653061224489793</v>
      </c>
      <c r="AC12" s="385">
        <f>L32/AA12</f>
        <v>2.0408163265306121E-2</v>
      </c>
      <c r="AD12" s="385">
        <f>M32/AA11</f>
        <v>0.20408163265306123</v>
      </c>
      <c r="AE12" s="389">
        <f>(L32+M32)/AA12</f>
        <v>0.22448979591836735</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4</v>
      </c>
      <c r="F13" s="111"/>
      <c r="G13" s="112"/>
      <c r="H13" s="113"/>
      <c r="I13" s="112"/>
      <c r="J13" s="113"/>
      <c r="K13" s="112"/>
      <c r="L13" s="113"/>
      <c r="M13" s="113"/>
      <c r="N13" s="113"/>
      <c r="O13" s="113"/>
      <c r="P13" s="113"/>
      <c r="Q13" s="113"/>
      <c r="R13" s="113">
        <v>1</v>
      </c>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12</v>
      </c>
      <c r="F14" s="101"/>
      <c r="G14" s="102"/>
      <c r="H14" s="103">
        <v>2</v>
      </c>
      <c r="I14" s="102">
        <v>4</v>
      </c>
      <c r="J14" s="103"/>
      <c r="K14" s="102"/>
      <c r="L14" s="103">
        <v>2</v>
      </c>
      <c r="M14" s="103">
        <v>1</v>
      </c>
      <c r="N14" s="103">
        <v>5</v>
      </c>
      <c r="O14" s="103">
        <v>5</v>
      </c>
      <c r="P14" s="103"/>
      <c r="Q14" s="103">
        <v>1</v>
      </c>
      <c r="R14" s="103">
        <v>1</v>
      </c>
      <c r="S14" s="104"/>
      <c r="T14" s="105">
        <f t="shared" si="1"/>
        <v>4</v>
      </c>
      <c r="U14" s="106" t="str">
        <f t="shared" si="2"/>
        <v/>
      </c>
      <c r="V14" s="106">
        <f t="shared" si="3"/>
        <v>0.5</v>
      </c>
      <c r="W14" s="107" t="str">
        <f t="shared" si="4"/>
        <v/>
      </c>
      <c r="X14" s="106">
        <f t="shared" si="0"/>
        <v>0.5</v>
      </c>
      <c r="Y14" s="108">
        <f t="shared" si="5"/>
        <v>0.5</v>
      </c>
      <c r="Z14" s="385"/>
      <c r="AA14" s="385"/>
      <c r="AB14" s="385">
        <f>N31/AA11</f>
        <v>0.30612244897959184</v>
      </c>
      <c r="AC14" s="385">
        <f>O31/AA12</f>
        <v>0.38775510204081631</v>
      </c>
      <c r="AD14" s="385">
        <f>Q31/AA11</f>
        <v>0.18367346938775511</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12</v>
      </c>
      <c r="F15" s="111"/>
      <c r="G15" s="112">
        <v>1</v>
      </c>
      <c r="H15" s="113"/>
      <c r="I15" s="112">
        <v>1</v>
      </c>
      <c r="J15" s="113">
        <v>1</v>
      </c>
      <c r="K15" s="112">
        <v>2</v>
      </c>
      <c r="L15" s="113"/>
      <c r="M15" s="113">
        <v>2</v>
      </c>
      <c r="N15" s="113">
        <v>4</v>
      </c>
      <c r="O15" s="113">
        <v>1</v>
      </c>
      <c r="P15" s="113"/>
      <c r="Q15" s="113"/>
      <c r="R15" s="113"/>
      <c r="S15" s="114"/>
      <c r="T15" s="115">
        <f t="shared" si="1"/>
        <v>1</v>
      </c>
      <c r="U15" s="95">
        <f t="shared" si="2"/>
        <v>0</v>
      </c>
      <c r="V15" s="95">
        <f t="shared" si="3"/>
        <v>0</v>
      </c>
      <c r="W15" s="96">
        <f t="shared" si="4"/>
        <v>0.5</v>
      </c>
      <c r="X15" s="95">
        <f t="shared" si="0"/>
        <v>0</v>
      </c>
      <c r="Y15" s="116">
        <f t="shared" si="5"/>
        <v>0</v>
      </c>
      <c r="Z15" s="392"/>
      <c r="AA15" s="393"/>
      <c r="AB15" s="393">
        <f>N32/AA12</f>
        <v>8.1632653061224483E-2</v>
      </c>
      <c r="AC15" s="393">
        <f>O32/AA11</f>
        <v>0.12244897959183673</v>
      </c>
      <c r="AD15" s="393">
        <f>Q32/AA12</f>
        <v>0.61224489795918369</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12</v>
      </c>
      <c r="F16" s="101">
        <v>1</v>
      </c>
      <c r="G16" s="102">
        <v>3</v>
      </c>
      <c r="H16" s="103">
        <v>4</v>
      </c>
      <c r="I16" s="102">
        <v>7</v>
      </c>
      <c r="J16" s="103"/>
      <c r="K16" s="102"/>
      <c r="L16" s="103">
        <v>5</v>
      </c>
      <c r="M16" s="103"/>
      <c r="N16" s="103"/>
      <c r="O16" s="103">
        <v>2</v>
      </c>
      <c r="P16" s="103"/>
      <c r="Q16" s="103">
        <v>1</v>
      </c>
      <c r="R16" s="103"/>
      <c r="S16" s="104"/>
      <c r="T16" s="105">
        <f t="shared" si="1"/>
        <v>11</v>
      </c>
      <c r="U16" s="106">
        <f t="shared" si="2"/>
        <v>0.33333333333333331</v>
      </c>
      <c r="V16" s="106">
        <f t="shared" si="3"/>
        <v>0.5714285714285714</v>
      </c>
      <c r="W16" s="107" t="str">
        <f t="shared" si="4"/>
        <v/>
      </c>
      <c r="X16" s="106">
        <f t="shared" si="0"/>
        <v>0.5</v>
      </c>
      <c r="Y16" s="108">
        <f t="shared" si="5"/>
        <v>0.55000000000000004</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3</v>
      </c>
      <c r="F17" s="111"/>
      <c r="G17" s="112"/>
      <c r="H17" s="113">
        <v>1</v>
      </c>
      <c r="I17" s="112">
        <v>1</v>
      </c>
      <c r="J17" s="113"/>
      <c r="K17" s="112"/>
      <c r="L17" s="113"/>
      <c r="M17" s="113"/>
      <c r="N17" s="113"/>
      <c r="O17" s="113"/>
      <c r="P17" s="113"/>
      <c r="Q17" s="113"/>
      <c r="R17" s="113"/>
      <c r="S17" s="114"/>
      <c r="T17" s="115">
        <f t="shared" si="1"/>
        <v>2</v>
      </c>
      <c r="U17" s="95" t="str">
        <f t="shared" si="2"/>
        <v/>
      </c>
      <c r="V17" s="95">
        <f t="shared" si="3"/>
        <v>1</v>
      </c>
      <c r="W17" s="96" t="str">
        <f t="shared" si="4"/>
        <v/>
      </c>
      <c r="X17" s="95">
        <f t="shared" si="0"/>
        <v>1</v>
      </c>
      <c r="Y17" s="116">
        <f t="shared" si="5"/>
        <v>1</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2</v>
      </c>
      <c r="F18" s="101">
        <v>1</v>
      </c>
      <c r="G18" s="102">
        <v>4</v>
      </c>
      <c r="H18" s="103"/>
      <c r="I18" s="102"/>
      <c r="J18" s="103"/>
      <c r="K18" s="102"/>
      <c r="L18" s="103"/>
      <c r="M18" s="103"/>
      <c r="N18" s="103"/>
      <c r="O18" s="103"/>
      <c r="P18" s="103"/>
      <c r="Q18" s="103"/>
      <c r="R18" s="103"/>
      <c r="S18" s="104"/>
      <c r="T18" s="105">
        <f t="shared" si="1"/>
        <v>3</v>
      </c>
      <c r="U18" s="106">
        <f t="shared" si="2"/>
        <v>0.25</v>
      </c>
      <c r="V18" s="106" t="str">
        <f t="shared" si="3"/>
        <v/>
      </c>
      <c r="W18" s="107" t="str">
        <f t="shared" si="4"/>
        <v/>
      </c>
      <c r="X18" s="106">
        <f t="shared" si="0"/>
        <v>0.25</v>
      </c>
      <c r="Y18" s="108">
        <f t="shared" si="5"/>
        <v>0.375</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17</v>
      </c>
      <c r="F19" s="111"/>
      <c r="G19" s="112">
        <v>1</v>
      </c>
      <c r="H19" s="113">
        <v>1</v>
      </c>
      <c r="I19" s="112">
        <v>1</v>
      </c>
      <c r="J19" s="113">
        <v>2</v>
      </c>
      <c r="K19" s="112">
        <v>2</v>
      </c>
      <c r="L19" s="113">
        <v>1</v>
      </c>
      <c r="M19" s="113">
        <v>4</v>
      </c>
      <c r="N19" s="113">
        <v>3</v>
      </c>
      <c r="O19" s="113">
        <v>3</v>
      </c>
      <c r="P19" s="113"/>
      <c r="Q19" s="113"/>
      <c r="R19" s="113">
        <v>2</v>
      </c>
      <c r="S19" s="114"/>
      <c r="T19" s="115">
        <f t="shared" si="1"/>
        <v>4</v>
      </c>
      <c r="U19" s="95">
        <f t="shared" si="2"/>
        <v>0</v>
      </c>
      <c r="V19" s="95">
        <f t="shared" si="3"/>
        <v>1</v>
      </c>
      <c r="W19" s="96">
        <f t="shared" si="4"/>
        <v>1</v>
      </c>
      <c r="X19" s="95">
        <f t="shared" si="0"/>
        <v>0.5</v>
      </c>
      <c r="Y19" s="116">
        <f t="shared" si="5"/>
        <v>0.5</v>
      </c>
      <c r="Z19" s="388" t="s">
        <v>124</v>
      </c>
      <c r="AA19" s="385">
        <f>AB11*65</f>
        <v>82.244897959183675</v>
      </c>
      <c r="AB19" s="385">
        <f t="shared" ref="AB19:AD20" si="6">AC11*65</f>
        <v>23.877551020408166</v>
      </c>
      <c r="AC19" s="385">
        <f t="shared" si="6"/>
        <v>15.918367346938775</v>
      </c>
      <c r="AD19" s="385">
        <f t="shared" si="6"/>
        <v>39.795918367346943</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21.224489795918366</v>
      </c>
      <c r="AB20" s="385">
        <f t="shared" si="6"/>
        <v>1.3265306122448979</v>
      </c>
      <c r="AC20" s="385">
        <f t="shared" si="6"/>
        <v>13.26530612244898</v>
      </c>
      <c r="AD20" s="385">
        <f t="shared" si="6"/>
        <v>14.591836734693878</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19.897959183673471</v>
      </c>
      <c r="AC22" s="385">
        <f t="shared" si="7"/>
        <v>25.204081632653061</v>
      </c>
      <c r="AD22" s="385">
        <f>AD14*65</f>
        <v>11.938775510204083</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5.3061224489795915</v>
      </c>
      <c r="AC23" s="393">
        <f t="shared" si="7"/>
        <v>7.9591836734693873</v>
      </c>
      <c r="AD23" s="393">
        <f t="shared" si="7"/>
        <v>39.795918367346943</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49</v>
      </c>
      <c r="B31" s="126" t="s">
        <v>161</v>
      </c>
      <c r="C31" s="151"/>
      <c r="D31" s="152">
        <f>IF(COUNTA($D$7:$D$30)&gt;0,1,"")</f>
        <v>1</v>
      </c>
      <c r="E31" s="127">
        <f>IF(D31=1,32+J4*4,"")</f>
        <v>32</v>
      </c>
      <c r="F31" s="128">
        <f t="shared" ref="F31:S31" si="8">SUM(F7:F30)</f>
        <v>7</v>
      </c>
      <c r="G31" s="129">
        <f t="shared" si="8"/>
        <v>24</v>
      </c>
      <c r="H31" s="128">
        <f t="shared" si="8"/>
        <v>19</v>
      </c>
      <c r="I31" s="130">
        <f t="shared" si="8"/>
        <v>31</v>
      </c>
      <c r="J31" s="129">
        <f t="shared" si="8"/>
        <v>3</v>
      </c>
      <c r="K31" s="130">
        <f t="shared" si="8"/>
        <v>6</v>
      </c>
      <c r="L31" s="129">
        <f t="shared" si="8"/>
        <v>18</v>
      </c>
      <c r="M31" s="129">
        <f t="shared" si="8"/>
        <v>12</v>
      </c>
      <c r="N31" s="129">
        <f t="shared" si="8"/>
        <v>15</v>
      </c>
      <c r="O31" s="129">
        <f t="shared" si="8"/>
        <v>19</v>
      </c>
      <c r="P31" s="129">
        <f t="shared" si="8"/>
        <v>0</v>
      </c>
      <c r="Q31" s="129">
        <f t="shared" si="8"/>
        <v>9</v>
      </c>
      <c r="R31" s="129">
        <f t="shared" si="8"/>
        <v>8</v>
      </c>
      <c r="S31" s="131">
        <f t="shared" si="8"/>
        <v>0</v>
      </c>
      <c r="T31" s="132">
        <f>IF(J31+2*H31+3*F31&gt;0,J31+2*H31+3*F31,IF(H4&gt;0,H4,""))</f>
        <v>62</v>
      </c>
      <c r="U31" s="133">
        <f>IF(G31&gt;0,F31/G31,"")</f>
        <v>0.29166666666666669</v>
      </c>
      <c r="V31" s="133">
        <f>IF(I31&gt;0,H31/I31,"")</f>
        <v>0.61290322580645162</v>
      </c>
      <c r="W31" s="134">
        <f>IF(K31&gt;0,J31/K31,"")</f>
        <v>0.5</v>
      </c>
      <c r="X31" s="133">
        <f t="shared" si="0"/>
        <v>0.47272727272727272</v>
      </c>
      <c r="Y31" s="135">
        <f t="shared" si="5"/>
        <v>0.53636363636363638</v>
      </c>
      <c r="AB31" s="51"/>
      <c r="AC31" s="51"/>
      <c r="AD31" s="51"/>
      <c r="AE31" s="51"/>
      <c r="AF31" s="136"/>
      <c r="AG31" s="136"/>
      <c r="AH31" s="136"/>
      <c r="AI31" s="51"/>
    </row>
    <row r="32" spans="1:35" s="18" customFormat="1" ht="17.25" thickTop="1" thickBot="1" x14ac:dyDescent="0.3">
      <c r="A32" s="51">
        <f>ROUND(G32+I32+0.475*K32-L32+Q32,0)</f>
        <v>49</v>
      </c>
      <c r="B32" s="137" t="s">
        <v>162</v>
      </c>
      <c r="C32" s="153"/>
      <c r="D32" s="138">
        <f>IF(SUM(F32:S32)&gt;0,1,"")</f>
        <v>1</v>
      </c>
      <c r="E32" s="138">
        <f>IF(D32=1,E31,0)</f>
        <v>32</v>
      </c>
      <c r="F32" s="139">
        <v>3</v>
      </c>
      <c r="G32" s="140">
        <v>8</v>
      </c>
      <c r="H32" s="139">
        <v>2</v>
      </c>
      <c r="I32" s="141">
        <v>9</v>
      </c>
      <c r="J32" s="139">
        <v>3</v>
      </c>
      <c r="K32" s="141">
        <v>6</v>
      </c>
      <c r="L32" s="140">
        <v>1</v>
      </c>
      <c r="M32" s="140">
        <v>10</v>
      </c>
      <c r="N32" s="140">
        <v>4</v>
      </c>
      <c r="O32" s="140">
        <v>6</v>
      </c>
      <c r="P32" s="140"/>
      <c r="Q32" s="140">
        <v>30</v>
      </c>
      <c r="R32" s="140">
        <v>3</v>
      </c>
      <c r="S32" s="142"/>
      <c r="T32" s="143">
        <f>IF(J32+2*H32+3*F32&gt;0,J32+2*H32+3*F32,IF(H3&gt;0,H3,""))</f>
        <v>16</v>
      </c>
      <c r="U32" s="144">
        <f>IF(G32&gt;0,F32/G32,"")</f>
        <v>0.375</v>
      </c>
      <c r="V32" s="144">
        <f>IF(I32&gt;0,H32/I32,"")</f>
        <v>0.22222222222222221</v>
      </c>
      <c r="W32" s="145">
        <f>IF(K32&gt;0,J32/K32,"")</f>
        <v>0.5</v>
      </c>
      <c r="X32" s="144">
        <f t="shared" si="0"/>
        <v>0.29411764705882354</v>
      </c>
      <c r="Y32" s="146">
        <f t="shared" si="5"/>
        <v>0.38235294117647056</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693" priority="29">
      <formula>AND($H$4&gt;0,$H$4&lt;&gt;$T$31)</formula>
    </cfRule>
  </conditionalFormatting>
  <conditionalFormatting sqref="T32 H3">
    <cfRule type="expression" dxfId="692" priority="28">
      <formula>AND($H$3&gt;0,$H$3&lt;&gt;$T$32)</formula>
    </cfRule>
  </conditionalFormatting>
  <conditionalFormatting sqref="A2">
    <cfRule type="cellIs" dxfId="691" priority="27" operator="equal">
      <formula>"R"</formula>
    </cfRule>
  </conditionalFormatting>
  <conditionalFormatting sqref="F7:F30 H7:H30 J7:J30">
    <cfRule type="expression" dxfId="690" priority="26">
      <formula>F7&gt;G7</formula>
    </cfRule>
  </conditionalFormatting>
  <conditionalFormatting sqref="E7:E30">
    <cfRule type="expression" dxfId="689" priority="25">
      <formula>$E7&gt;$E$31</formula>
    </cfRule>
  </conditionalFormatting>
  <conditionalFormatting sqref="L6">
    <cfRule type="expression" dxfId="688" priority="24">
      <formula>OR($L$31&gt;($G$31+$I$31+$K$31-$F$31-$H$31-$J$31),L32&gt;(G31+I31+K31-F31-H31-J31))</formula>
    </cfRule>
  </conditionalFormatting>
  <conditionalFormatting sqref="M6">
    <cfRule type="expression" dxfId="687" priority="23">
      <formula>OR(M31&gt;(G32-F32+I32-H32+K32-J32),M32&gt;(G31-F31+I31-H31+K31-J31))</formula>
    </cfRule>
  </conditionalFormatting>
  <conditionalFormatting sqref="N6">
    <cfRule type="expression" dxfId="686" priority="22">
      <formula>OR($N$31&gt;($F$31+$H$31),$N$32&gt;($F$32+$H$32))</formula>
    </cfRule>
  </conditionalFormatting>
  <conditionalFormatting sqref="P6">
    <cfRule type="expression" dxfId="685" priority="21">
      <formula>OR($P$31&gt;(G32-F32+I32-H32),P32&gt;(G31-F31+I31-H31))</formula>
    </cfRule>
  </conditionalFormatting>
  <conditionalFormatting sqref="Q6">
    <cfRule type="expression" dxfId="684" priority="20">
      <formula>OR($Q$31&lt;$O$32,$Q$32&lt;$O$31)</formula>
    </cfRule>
  </conditionalFormatting>
  <conditionalFormatting sqref="L31:L32">
    <cfRule type="cellIs" dxfId="683" priority="19" operator="greaterThan">
      <formula>$G31+$I31+$K31-$F31-$H31-$J31</formula>
    </cfRule>
  </conditionalFormatting>
  <conditionalFormatting sqref="M32">
    <cfRule type="cellIs" dxfId="682" priority="18" operator="greaterThan">
      <formula>$G$31-$F$31+$I$31-$H$31+$K$31-$J$31</formula>
    </cfRule>
  </conditionalFormatting>
  <conditionalFormatting sqref="N31:N32">
    <cfRule type="cellIs" dxfId="681" priority="17" operator="greaterThan">
      <formula>$F31+$H31</formula>
    </cfRule>
  </conditionalFormatting>
  <conditionalFormatting sqref="O32">
    <cfRule type="cellIs" dxfId="680" priority="10" operator="greaterThan">
      <formula>$Q$31</formula>
    </cfRule>
  </conditionalFormatting>
  <conditionalFormatting sqref="P31">
    <cfRule type="cellIs" dxfId="679" priority="16" operator="greaterThan">
      <formula>$G$32-$F$32+$I$32-$H$32</formula>
    </cfRule>
  </conditionalFormatting>
  <conditionalFormatting sqref="Q32">
    <cfRule type="cellIs" dxfId="678" priority="15" operator="lessThan">
      <formula>$O$31</formula>
    </cfRule>
  </conditionalFormatting>
  <conditionalFormatting sqref="F7:F32">
    <cfRule type="cellIs" dxfId="677" priority="14" operator="greaterThan">
      <formula>G7</formula>
    </cfRule>
  </conditionalFormatting>
  <conditionalFormatting sqref="H7:H32">
    <cfRule type="cellIs" dxfId="676" priority="13" operator="greaterThan">
      <formula>I7</formula>
    </cfRule>
  </conditionalFormatting>
  <conditionalFormatting sqref="J7:J32">
    <cfRule type="cellIs" dxfId="675" priority="12" operator="greaterThan">
      <formula>K7</formula>
    </cfRule>
  </conditionalFormatting>
  <conditionalFormatting sqref="M4">
    <cfRule type="cellIs" dxfId="674" priority="11" operator="notBetween">
      <formula>$AH$2</formula>
      <formula>$AI$2</formula>
    </cfRule>
  </conditionalFormatting>
  <conditionalFormatting sqref="O31">
    <cfRule type="cellIs" dxfId="673" priority="9" operator="greaterThan">
      <formula>$Q$32</formula>
    </cfRule>
  </conditionalFormatting>
  <conditionalFormatting sqref="Q31">
    <cfRule type="cellIs" dxfId="672" priority="8" operator="lessThan">
      <formula>$O$32</formula>
    </cfRule>
  </conditionalFormatting>
  <conditionalFormatting sqref="M31">
    <cfRule type="cellIs" dxfId="671" priority="7" operator="greaterThan">
      <formula>G32-F32 +I32-H32+K32-J32</formula>
    </cfRule>
  </conditionalFormatting>
  <conditionalFormatting sqref="B3">
    <cfRule type="expression" dxfId="670" priority="6">
      <formula>$W$2 = TRUE</formula>
    </cfRule>
  </conditionalFormatting>
  <conditionalFormatting sqref="P4:Q4">
    <cfRule type="expression" dxfId="669" priority="5">
      <formula>OR(AND($P$4=1,$X$4=1),AND($Q$4=1,$W$4=1))</formula>
    </cfRule>
  </conditionalFormatting>
  <conditionalFormatting sqref="D7:D30">
    <cfRule type="expression" dxfId="668" priority="30">
      <formula>AND($D7=0,SUM($F7:$S7)&gt;0)</formula>
    </cfRule>
  </conditionalFormatting>
  <conditionalFormatting sqref="O6">
    <cfRule type="expression" dxfId="667" priority="4">
      <formula>OR($O$31&gt;$Q$32,$O$32&gt;$Q$31)</formula>
    </cfRule>
  </conditionalFormatting>
  <conditionalFormatting sqref="F6">
    <cfRule type="expression" dxfId="666" priority="3">
      <formula>OR(F$31&gt;G$31,F$32&gt;G$32)</formula>
    </cfRule>
  </conditionalFormatting>
  <conditionalFormatting sqref="H6">
    <cfRule type="expression" dxfId="665" priority="2">
      <formula>OR(H$31&gt;I$31,H$32&gt;I$32)</formula>
    </cfRule>
  </conditionalFormatting>
  <conditionalFormatting sqref="J6">
    <cfRule type="expression" dxfId="664"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AB38" sqref="AB38"/>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321</v>
      </c>
      <c r="C3" s="70">
        <v>10</v>
      </c>
      <c r="D3" s="71">
        <v>15</v>
      </c>
      <c r="E3" s="71">
        <v>10</v>
      </c>
      <c r="F3" s="71">
        <v>4</v>
      </c>
      <c r="G3" s="72"/>
      <c r="H3" s="73">
        <f>SUM(C3:G3)</f>
        <v>39</v>
      </c>
      <c r="J3" s="12" t="s">
        <v>165</v>
      </c>
      <c r="P3" s="74" t="s">
        <v>135</v>
      </c>
      <c r="Q3" s="74" t="s">
        <v>137</v>
      </c>
      <c r="S3" s="75" t="s">
        <v>138</v>
      </c>
      <c r="U3" s="76" t="s">
        <v>139</v>
      </c>
      <c r="W3" s="77" t="s">
        <v>134</v>
      </c>
      <c r="X3" s="77" t="s">
        <v>136</v>
      </c>
      <c r="AA3" s="48" t="str">
        <f>B4</f>
        <v>Upton</v>
      </c>
      <c r="AD3" s="48">
        <f>SUM($C3:C3)</f>
        <v>10</v>
      </c>
      <c r="AE3" s="48">
        <f>SUM($C3:D3)</f>
        <v>25</v>
      </c>
      <c r="AF3" s="48">
        <f>SUM($C3:E3)</f>
        <v>35</v>
      </c>
      <c r="AG3" s="48">
        <f>SUM($C3:F3)</f>
        <v>39</v>
      </c>
      <c r="AH3" s="48">
        <f>SUM($C3:G3)</f>
        <v>39</v>
      </c>
      <c r="AJ3" s="74"/>
    </row>
    <row r="4" spans="1:36" ht="16.5" customHeight="1" thickTop="1" thickBot="1" x14ac:dyDescent="0.3">
      <c r="B4" s="78" t="str">
        <f>Roster!$B$1</f>
        <v>Upton</v>
      </c>
      <c r="C4" s="79">
        <v>32</v>
      </c>
      <c r="D4" s="80">
        <v>16</v>
      </c>
      <c r="E4" s="80">
        <v>21</v>
      </c>
      <c r="F4" s="80">
        <v>8</v>
      </c>
      <c r="G4" s="81"/>
      <c r="H4" s="82">
        <f>SUM(C4:G4)</f>
        <v>77</v>
      </c>
      <c r="J4" s="83"/>
      <c r="L4" s="84" t="s">
        <v>133</v>
      </c>
      <c r="M4" s="404">
        <v>44974</v>
      </c>
      <c r="N4" s="405"/>
      <c r="P4" s="83">
        <v>1</v>
      </c>
      <c r="Q4" s="83"/>
      <c r="S4" s="83"/>
      <c r="U4" s="83"/>
      <c r="W4" s="85">
        <f>IF(OR($S$4=1,$H$4&gt;$H$3),1,"")</f>
        <v>1</v>
      </c>
      <c r="X4" s="85" t="str">
        <f>IF(OR($U$4=1,$H$4&lt;$H$3),1,"")</f>
        <v/>
      </c>
      <c r="AA4" s="48" t="str">
        <f>B3</f>
        <v>Hulett</v>
      </c>
      <c r="AD4" s="48">
        <f>SUM($C4:C4)</f>
        <v>32</v>
      </c>
      <c r="AE4" s="48">
        <f>SUM($C4:D4)</f>
        <v>48</v>
      </c>
      <c r="AF4" s="48">
        <f>SUM($C4:E4)</f>
        <v>69</v>
      </c>
      <c r="AG4" s="48">
        <f>SUM($C4:F4)</f>
        <v>77</v>
      </c>
      <c r="AH4" s="48">
        <f>SUM($C4:G4)</f>
        <v>77</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7</v>
      </c>
      <c r="F7" s="90"/>
      <c r="G7" s="91"/>
      <c r="H7" s="92"/>
      <c r="I7" s="91"/>
      <c r="J7" s="92">
        <v>1</v>
      </c>
      <c r="K7" s="91">
        <v>2</v>
      </c>
      <c r="L7" s="92"/>
      <c r="M7" s="92"/>
      <c r="N7" s="92"/>
      <c r="O7" s="92"/>
      <c r="P7" s="92"/>
      <c r="Q7" s="92"/>
      <c r="R7" s="92">
        <v>1</v>
      </c>
      <c r="S7" s="93"/>
      <c r="T7" s="94">
        <f>IF(J7+2*H7+3*F7&gt;0,J7+2*H7+3*F7,0)</f>
        <v>1</v>
      </c>
      <c r="U7" s="95" t="str">
        <f>IF(G7&gt;0,F7/G7,"")</f>
        <v/>
      </c>
      <c r="V7" s="95" t="str">
        <f>IF(I7&gt;0,H7/I7,"")</f>
        <v/>
      </c>
      <c r="W7" s="96">
        <f>IF(K7&gt;0,J7/K7,"")</f>
        <v>0.5</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22</v>
      </c>
      <c r="F8" s="101"/>
      <c r="G8" s="102">
        <v>1</v>
      </c>
      <c r="H8" s="103">
        <v>6</v>
      </c>
      <c r="I8" s="102">
        <v>8</v>
      </c>
      <c r="J8" s="103"/>
      <c r="K8" s="102"/>
      <c r="L8" s="103">
        <v>1</v>
      </c>
      <c r="M8" s="103">
        <v>3</v>
      </c>
      <c r="N8" s="103">
        <v>4</v>
      </c>
      <c r="O8" s="103">
        <v>5</v>
      </c>
      <c r="P8" s="103"/>
      <c r="Q8" s="103">
        <v>5</v>
      </c>
      <c r="R8" s="103">
        <v>2</v>
      </c>
      <c r="S8" s="104"/>
      <c r="T8" s="105">
        <f t="shared" ref="T8:T30" si="1">IF(J8+2*H8+3*F8&gt;0,J8+2*H8+3*F8,0)</f>
        <v>12</v>
      </c>
      <c r="U8" s="106">
        <f t="shared" ref="U8:U30" si="2">IF(G8&gt;0,F8/G8,"")</f>
        <v>0</v>
      </c>
      <c r="V8" s="106">
        <f t="shared" ref="V8:V30" si="3">IF(I8&gt;0,H8/I8,"")</f>
        <v>0.75</v>
      </c>
      <c r="W8" s="107" t="str">
        <f t="shared" ref="W8:W30" si="4">IF(K8&gt;0,J8/K8,"")</f>
        <v/>
      </c>
      <c r="X8" s="106">
        <f t="shared" si="0"/>
        <v>0.66666666666666663</v>
      </c>
      <c r="Y8" s="108">
        <f t="shared" ref="Y8:Y32" si="5">IF(OR(G8&gt;0,I8 &gt;0),(1.5*F8+H8)/(G8+I8),"")</f>
        <v>0.66666666666666663</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23</v>
      </c>
      <c r="F9" s="111">
        <v>1</v>
      </c>
      <c r="G9" s="112">
        <v>3</v>
      </c>
      <c r="H9" s="113">
        <v>5</v>
      </c>
      <c r="I9" s="112">
        <v>8</v>
      </c>
      <c r="J9" s="113"/>
      <c r="K9" s="112"/>
      <c r="L9" s="113">
        <v>2</v>
      </c>
      <c r="M9" s="113">
        <v>1</v>
      </c>
      <c r="N9" s="113">
        <v>5</v>
      </c>
      <c r="O9" s="113"/>
      <c r="P9" s="113"/>
      <c r="Q9" s="113">
        <v>1</v>
      </c>
      <c r="R9" s="113"/>
      <c r="S9" s="114"/>
      <c r="T9" s="115">
        <f t="shared" si="1"/>
        <v>13</v>
      </c>
      <c r="U9" s="95">
        <f t="shared" si="2"/>
        <v>0.33333333333333331</v>
      </c>
      <c r="V9" s="95">
        <f t="shared" si="3"/>
        <v>0.625</v>
      </c>
      <c r="W9" s="96" t="str">
        <f t="shared" si="4"/>
        <v/>
      </c>
      <c r="X9" s="95">
        <f t="shared" si="0"/>
        <v>0.54545454545454541</v>
      </c>
      <c r="Y9" s="116">
        <f t="shared" si="5"/>
        <v>0.59090909090909094</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24</v>
      </c>
      <c r="F10" s="101">
        <v>3</v>
      </c>
      <c r="G10" s="102">
        <v>4</v>
      </c>
      <c r="H10" s="103">
        <v>4</v>
      </c>
      <c r="I10" s="102">
        <v>6</v>
      </c>
      <c r="J10" s="103"/>
      <c r="K10" s="102"/>
      <c r="L10" s="103">
        <v>1</v>
      </c>
      <c r="M10" s="103">
        <v>2</v>
      </c>
      <c r="N10" s="103">
        <v>2</v>
      </c>
      <c r="O10" s="103">
        <v>1</v>
      </c>
      <c r="P10" s="103"/>
      <c r="Q10" s="103">
        <v>1</v>
      </c>
      <c r="R10" s="103"/>
      <c r="S10" s="104"/>
      <c r="T10" s="105">
        <f t="shared" si="1"/>
        <v>17</v>
      </c>
      <c r="U10" s="106">
        <f t="shared" si="2"/>
        <v>0.75</v>
      </c>
      <c r="V10" s="106">
        <f t="shared" si="3"/>
        <v>0.66666666666666663</v>
      </c>
      <c r="W10" s="107" t="str">
        <f t="shared" si="4"/>
        <v/>
      </c>
      <c r="X10" s="106">
        <f t="shared" si="0"/>
        <v>0.7</v>
      </c>
      <c r="Y10" s="108">
        <f t="shared" si="5"/>
        <v>0.85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62</v>
      </c>
      <c r="AB11" s="385">
        <f>T31/AA11</f>
        <v>1.2419354838709677</v>
      </c>
      <c r="AC11" s="385">
        <f>L31/AA11</f>
        <v>0.12903225806451613</v>
      </c>
      <c r="AD11" s="385">
        <f>M31/AA12</f>
        <v>0.21487603305785125</v>
      </c>
      <c r="AE11" s="389">
        <f>(L31+M31)/AA11</f>
        <v>0.33870967741935482</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3</v>
      </c>
      <c r="F12" s="101"/>
      <c r="G12" s="102"/>
      <c r="H12" s="103"/>
      <c r="I12" s="102"/>
      <c r="J12" s="103"/>
      <c r="K12" s="102"/>
      <c r="L12" s="103"/>
      <c r="M12" s="103"/>
      <c r="N12" s="103"/>
      <c r="O12" s="103"/>
      <c r="P12" s="103"/>
      <c r="Q12" s="103">
        <v>1</v>
      </c>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60.5</v>
      </c>
      <c r="AB12" s="385">
        <f>T32/AA12</f>
        <v>0.64462809917355368</v>
      </c>
      <c r="AC12" s="385">
        <f>L32/AA12</f>
        <v>6.6115702479338845E-2</v>
      </c>
      <c r="AD12" s="385">
        <f>M32/AA11</f>
        <v>0.19354838709677419</v>
      </c>
      <c r="AE12" s="389">
        <f>(L32+M32)/AA12</f>
        <v>0.26446280991735538</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4</v>
      </c>
      <c r="F13" s="111"/>
      <c r="G13" s="112"/>
      <c r="H13" s="113"/>
      <c r="I13" s="112">
        <v>1</v>
      </c>
      <c r="J13" s="113"/>
      <c r="K13" s="112"/>
      <c r="L13" s="113"/>
      <c r="M13" s="113">
        <v>2</v>
      </c>
      <c r="N13" s="113">
        <v>1</v>
      </c>
      <c r="O13" s="113"/>
      <c r="P13" s="113"/>
      <c r="Q13" s="113"/>
      <c r="R13" s="113"/>
      <c r="S13" s="114"/>
      <c r="T13" s="115">
        <f t="shared" si="1"/>
        <v>0</v>
      </c>
      <c r="U13" s="95" t="str">
        <f t="shared" si="2"/>
        <v/>
      </c>
      <c r="V13" s="95">
        <f t="shared" si="3"/>
        <v>0</v>
      </c>
      <c r="W13" s="96" t="str">
        <f t="shared" si="4"/>
        <v/>
      </c>
      <c r="X13" s="95">
        <f t="shared" si="0"/>
        <v>0</v>
      </c>
      <c r="Y13" s="116">
        <f t="shared" si="5"/>
        <v>0</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19</v>
      </c>
      <c r="F14" s="101">
        <v>2</v>
      </c>
      <c r="G14" s="102">
        <v>3</v>
      </c>
      <c r="H14" s="103">
        <v>7</v>
      </c>
      <c r="I14" s="102">
        <v>8</v>
      </c>
      <c r="J14" s="103">
        <v>1</v>
      </c>
      <c r="K14" s="102">
        <v>2</v>
      </c>
      <c r="L14" s="103">
        <v>2</v>
      </c>
      <c r="M14" s="103"/>
      <c r="N14" s="103">
        <v>8</v>
      </c>
      <c r="O14" s="103">
        <v>4</v>
      </c>
      <c r="P14" s="103"/>
      <c r="Q14" s="103">
        <v>1</v>
      </c>
      <c r="R14" s="103">
        <v>2</v>
      </c>
      <c r="S14" s="104">
        <v>1</v>
      </c>
      <c r="T14" s="105">
        <f t="shared" si="1"/>
        <v>21</v>
      </c>
      <c r="U14" s="106">
        <f t="shared" si="2"/>
        <v>0.66666666666666663</v>
      </c>
      <c r="V14" s="106">
        <f t="shared" si="3"/>
        <v>0.875</v>
      </c>
      <c r="W14" s="107">
        <f t="shared" si="4"/>
        <v>0.5</v>
      </c>
      <c r="X14" s="106">
        <f t="shared" si="0"/>
        <v>0.81818181818181823</v>
      </c>
      <c r="Y14" s="108">
        <f t="shared" si="5"/>
        <v>0.90909090909090906</v>
      </c>
      <c r="Z14" s="385"/>
      <c r="AA14" s="385"/>
      <c r="AB14" s="385">
        <f>N31/AA11</f>
        <v>0.38709677419354838</v>
      </c>
      <c r="AC14" s="385">
        <f>O31/AA12</f>
        <v>0.23140495867768596</v>
      </c>
      <c r="AD14" s="385">
        <f>Q31/AA11</f>
        <v>0.17741935483870969</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18</v>
      </c>
      <c r="F15" s="111"/>
      <c r="G15" s="112">
        <v>2</v>
      </c>
      <c r="H15" s="113">
        <v>1</v>
      </c>
      <c r="I15" s="112">
        <v>2</v>
      </c>
      <c r="J15" s="113"/>
      <c r="K15" s="112"/>
      <c r="L15" s="113">
        <v>2</v>
      </c>
      <c r="M15" s="113">
        <v>1</v>
      </c>
      <c r="N15" s="113">
        <v>1</v>
      </c>
      <c r="O15" s="113"/>
      <c r="P15" s="113"/>
      <c r="Q15" s="113"/>
      <c r="R15" s="113">
        <v>3</v>
      </c>
      <c r="S15" s="114"/>
      <c r="T15" s="115">
        <f t="shared" si="1"/>
        <v>2</v>
      </c>
      <c r="U15" s="95">
        <f t="shared" si="2"/>
        <v>0</v>
      </c>
      <c r="V15" s="95">
        <f t="shared" si="3"/>
        <v>0.5</v>
      </c>
      <c r="W15" s="96" t="str">
        <f t="shared" si="4"/>
        <v/>
      </c>
      <c r="X15" s="95">
        <f t="shared" si="0"/>
        <v>0.25</v>
      </c>
      <c r="Y15" s="116">
        <f t="shared" si="5"/>
        <v>0.25</v>
      </c>
      <c r="Z15" s="392"/>
      <c r="AA15" s="393"/>
      <c r="AB15" s="393">
        <f>N32/AA12</f>
        <v>0.1487603305785124</v>
      </c>
      <c r="AC15" s="393">
        <f>O32/AA11</f>
        <v>8.0645161290322578E-2</v>
      </c>
      <c r="AD15" s="393">
        <f>Q32/AA12</f>
        <v>0.41322314049586778</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20</v>
      </c>
      <c r="F16" s="101">
        <v>1</v>
      </c>
      <c r="G16" s="102">
        <v>3</v>
      </c>
      <c r="H16" s="103">
        <v>4</v>
      </c>
      <c r="I16" s="102">
        <v>7</v>
      </c>
      <c r="J16" s="103"/>
      <c r="K16" s="102"/>
      <c r="L16" s="103"/>
      <c r="M16" s="103">
        <v>3</v>
      </c>
      <c r="N16" s="103">
        <v>3</v>
      </c>
      <c r="O16" s="103">
        <v>4</v>
      </c>
      <c r="P16" s="103"/>
      <c r="Q16" s="103">
        <v>1</v>
      </c>
      <c r="R16" s="103"/>
      <c r="S16" s="104"/>
      <c r="T16" s="105">
        <f t="shared" si="1"/>
        <v>11</v>
      </c>
      <c r="U16" s="106">
        <f t="shared" si="2"/>
        <v>0.33333333333333331</v>
      </c>
      <c r="V16" s="106">
        <f t="shared" si="3"/>
        <v>0.5714285714285714</v>
      </c>
      <c r="W16" s="107" t="str">
        <f t="shared" si="4"/>
        <v/>
      </c>
      <c r="X16" s="106">
        <f t="shared" si="0"/>
        <v>0.5</v>
      </c>
      <c r="Y16" s="108">
        <f t="shared" si="5"/>
        <v>0.55000000000000004</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3</v>
      </c>
      <c r="F17" s="111"/>
      <c r="G17" s="112"/>
      <c r="H17" s="113"/>
      <c r="I17" s="112"/>
      <c r="J17" s="113"/>
      <c r="K17" s="112"/>
      <c r="L17" s="113"/>
      <c r="M17" s="113">
        <v>1</v>
      </c>
      <c r="N17" s="113"/>
      <c r="O17" s="113"/>
      <c r="P17" s="113"/>
      <c r="Q17" s="113">
        <v>1</v>
      </c>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2</v>
      </c>
      <c r="F18" s="101"/>
      <c r="G18" s="102">
        <v>1</v>
      </c>
      <c r="H18" s="103"/>
      <c r="I18" s="102"/>
      <c r="J18" s="103"/>
      <c r="K18" s="102"/>
      <c r="L18" s="103"/>
      <c r="M18" s="103"/>
      <c r="N18" s="103"/>
      <c r="O18" s="103"/>
      <c r="P18" s="103"/>
      <c r="Q18" s="103"/>
      <c r="R18" s="103"/>
      <c r="S18" s="104"/>
      <c r="T18" s="105">
        <f t="shared" si="1"/>
        <v>0</v>
      </c>
      <c r="U18" s="106">
        <f t="shared" si="2"/>
        <v>0</v>
      </c>
      <c r="V18" s="106" t="str">
        <f t="shared" si="3"/>
        <v/>
      </c>
      <c r="W18" s="107" t="str">
        <f t="shared" si="4"/>
        <v/>
      </c>
      <c r="X18" s="106">
        <f t="shared" si="0"/>
        <v>0</v>
      </c>
      <c r="Y18" s="108">
        <f t="shared" si="5"/>
        <v>0</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Z19" s="388" t="s">
        <v>124</v>
      </c>
      <c r="AA19" s="385">
        <f>AB11*65</f>
        <v>80.725806451612897</v>
      </c>
      <c r="AB19" s="385">
        <f t="shared" ref="AB19:AD20" si="6">AC11*65</f>
        <v>8.387096774193548</v>
      </c>
      <c r="AC19" s="385">
        <f t="shared" si="6"/>
        <v>13.966942148760332</v>
      </c>
      <c r="AD19" s="385">
        <f t="shared" si="6"/>
        <v>22.016129032258064</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41.900826446280988</v>
      </c>
      <c r="AB20" s="385">
        <f t="shared" si="6"/>
        <v>4.2975206611570247</v>
      </c>
      <c r="AC20" s="385">
        <f t="shared" si="6"/>
        <v>12.580645161290322</v>
      </c>
      <c r="AD20" s="385">
        <f t="shared" si="6"/>
        <v>17.190082644628099</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25.161290322580644</v>
      </c>
      <c r="AC22" s="385">
        <f t="shared" si="7"/>
        <v>15.041322314049587</v>
      </c>
      <c r="AD22" s="385">
        <f>AD14*65</f>
        <v>11.53225806451613</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9.6694214876033069</v>
      </c>
      <c r="AC23" s="393">
        <f t="shared" si="7"/>
        <v>5.241935483870968</v>
      </c>
      <c r="AD23" s="393">
        <f t="shared" si="7"/>
        <v>26.859504132231407</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62</v>
      </c>
      <c r="B31" s="126" t="s">
        <v>161</v>
      </c>
      <c r="C31" s="151"/>
      <c r="D31" s="152">
        <f>IF(COUNTA($D$7:$D$30)&gt;0,1,"")</f>
        <v>1</v>
      </c>
      <c r="E31" s="127">
        <f>IF(D31=1,32+J4*4,"")</f>
        <v>32</v>
      </c>
      <c r="F31" s="128">
        <f t="shared" ref="F31:S31" si="8">SUM(F7:F30)</f>
        <v>7</v>
      </c>
      <c r="G31" s="129">
        <f t="shared" si="8"/>
        <v>17</v>
      </c>
      <c r="H31" s="128">
        <f t="shared" si="8"/>
        <v>27</v>
      </c>
      <c r="I31" s="130">
        <f t="shared" si="8"/>
        <v>40</v>
      </c>
      <c r="J31" s="129">
        <f t="shared" si="8"/>
        <v>2</v>
      </c>
      <c r="K31" s="130">
        <f t="shared" si="8"/>
        <v>4</v>
      </c>
      <c r="L31" s="129">
        <f t="shared" si="8"/>
        <v>8</v>
      </c>
      <c r="M31" s="129">
        <f t="shared" si="8"/>
        <v>13</v>
      </c>
      <c r="N31" s="129">
        <f t="shared" si="8"/>
        <v>24</v>
      </c>
      <c r="O31" s="129">
        <f t="shared" si="8"/>
        <v>14</v>
      </c>
      <c r="P31" s="129">
        <f t="shared" si="8"/>
        <v>0</v>
      </c>
      <c r="Q31" s="129">
        <f t="shared" si="8"/>
        <v>11</v>
      </c>
      <c r="R31" s="129">
        <f t="shared" si="8"/>
        <v>8</v>
      </c>
      <c r="S31" s="131">
        <f t="shared" si="8"/>
        <v>1</v>
      </c>
      <c r="T31" s="132">
        <f>IF(J31+2*H31+3*F31&gt;0,J31+2*H31+3*F31,IF(H4&gt;0,H4,""))</f>
        <v>77</v>
      </c>
      <c r="U31" s="133">
        <f>IF(G31&gt;0,F31/G31,"")</f>
        <v>0.41176470588235292</v>
      </c>
      <c r="V31" s="133">
        <f>IF(I31&gt;0,H31/I31,"")</f>
        <v>0.67500000000000004</v>
      </c>
      <c r="W31" s="134">
        <f>IF(K31&gt;0,J31/K31,"")</f>
        <v>0.5</v>
      </c>
      <c r="X31" s="133">
        <f t="shared" si="0"/>
        <v>0.59649122807017541</v>
      </c>
      <c r="Y31" s="135">
        <f t="shared" si="5"/>
        <v>0.65789473684210531</v>
      </c>
      <c r="AB31" s="51"/>
      <c r="AC31" s="51"/>
      <c r="AD31" s="51"/>
      <c r="AE31" s="51"/>
      <c r="AF31" s="136"/>
      <c r="AG31" s="136"/>
      <c r="AH31" s="136"/>
      <c r="AI31" s="51"/>
    </row>
    <row r="32" spans="1:35" s="18" customFormat="1" ht="17.25" thickTop="1" thickBot="1" x14ac:dyDescent="0.3">
      <c r="A32" s="51">
        <f>ROUND(G32+I32+0.475*K32-L32+Q32,0)</f>
        <v>60</v>
      </c>
      <c r="B32" s="137" t="s">
        <v>162</v>
      </c>
      <c r="C32" s="153"/>
      <c r="D32" s="138">
        <f>IF(SUM(F32:S32)&gt;0,1,"")</f>
        <v>1</v>
      </c>
      <c r="E32" s="138">
        <f>IF(D32=1,E31,0)</f>
        <v>32</v>
      </c>
      <c r="F32" s="139">
        <v>4</v>
      </c>
      <c r="G32" s="140">
        <v>15</v>
      </c>
      <c r="H32" s="139">
        <v>13</v>
      </c>
      <c r="I32" s="141">
        <v>24</v>
      </c>
      <c r="J32" s="139">
        <v>1</v>
      </c>
      <c r="K32" s="141">
        <v>1</v>
      </c>
      <c r="L32" s="140">
        <v>4</v>
      </c>
      <c r="M32" s="140">
        <v>12</v>
      </c>
      <c r="N32" s="140">
        <v>9</v>
      </c>
      <c r="O32" s="140">
        <v>5</v>
      </c>
      <c r="P32" s="140"/>
      <c r="Q32" s="140">
        <v>25</v>
      </c>
      <c r="R32" s="140">
        <v>6</v>
      </c>
      <c r="S32" s="142">
        <v>1</v>
      </c>
      <c r="T32" s="143">
        <f>IF(J32+2*H32+3*F32&gt;0,J32+2*H32+3*F32,IF(H3&gt;0,H3,""))</f>
        <v>39</v>
      </c>
      <c r="U32" s="144">
        <f>IF(G32&gt;0,F32/G32,"")</f>
        <v>0.26666666666666666</v>
      </c>
      <c r="V32" s="144">
        <f>IF(I32&gt;0,H32/I32,"")</f>
        <v>0.54166666666666663</v>
      </c>
      <c r="W32" s="145">
        <f>IF(K32&gt;0,J32/K32,"")</f>
        <v>1</v>
      </c>
      <c r="X32" s="144">
        <f t="shared" si="0"/>
        <v>0.4358974358974359</v>
      </c>
      <c r="Y32" s="146">
        <f t="shared" si="5"/>
        <v>0.48717948717948717</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663" priority="30">
      <formula>AND($H$4&gt;0,$H$4&lt;&gt;$T$31)</formula>
    </cfRule>
  </conditionalFormatting>
  <conditionalFormatting sqref="T32 H3">
    <cfRule type="expression" dxfId="662" priority="29">
      <formula>AND($H$3&gt;0,$H$3&lt;&gt;$T$32)</formula>
    </cfRule>
  </conditionalFormatting>
  <conditionalFormatting sqref="A2">
    <cfRule type="cellIs" dxfId="661" priority="28" operator="equal">
      <formula>"R"</formula>
    </cfRule>
  </conditionalFormatting>
  <conditionalFormatting sqref="F7:F30 H7:H30 J7:J30">
    <cfRule type="expression" dxfId="660" priority="27">
      <formula>F7&gt;G7</formula>
    </cfRule>
  </conditionalFormatting>
  <conditionalFormatting sqref="E7:E30">
    <cfRule type="expression" dxfId="659" priority="26">
      <formula>$E7&gt;$E$31</formula>
    </cfRule>
  </conditionalFormatting>
  <conditionalFormatting sqref="L6">
    <cfRule type="expression" dxfId="658" priority="25">
      <formula>OR($L$31&gt;($G$31+$I$31+$K$31-$F$31-$H$31-$J$31),L32&gt;(G31+I31+K31-F31-H31-J31))</formula>
    </cfRule>
  </conditionalFormatting>
  <conditionalFormatting sqref="M6">
    <cfRule type="expression" dxfId="657" priority="24">
      <formula>OR(M31&gt;(G32-F32+I32-H32+K32-J32),M32&gt;(G31-F31+I31-H31+K31-J31))</formula>
    </cfRule>
  </conditionalFormatting>
  <conditionalFormatting sqref="N6">
    <cfRule type="expression" dxfId="656" priority="23">
      <formula>OR($N$31&gt;($F$31+$H$31),$N$32&gt;($F$32+$H$32))</formula>
    </cfRule>
  </conditionalFormatting>
  <conditionalFormatting sqref="P6">
    <cfRule type="expression" dxfId="655" priority="22">
      <formula>OR($P$31&gt;(G32-F32+I32-H32),P32&gt;(G31-F31+I31-H31))</formula>
    </cfRule>
  </conditionalFormatting>
  <conditionalFormatting sqref="Q6">
    <cfRule type="expression" dxfId="654" priority="21">
      <formula>OR($Q$31&lt;$O$32,$Q$32&lt;$O$31)</formula>
    </cfRule>
  </conditionalFormatting>
  <conditionalFormatting sqref="L31:L32">
    <cfRule type="cellIs" dxfId="653" priority="20" operator="greaterThan">
      <formula>$G31+$I31+$K31-$F31-$H31-$J31</formula>
    </cfRule>
  </conditionalFormatting>
  <conditionalFormatting sqref="M32">
    <cfRule type="cellIs" dxfId="652" priority="19" operator="greaterThan">
      <formula>$G$31-$F$31+$I$31-$H$31+$K$31-$J$31</formula>
    </cfRule>
  </conditionalFormatting>
  <conditionalFormatting sqref="N31:N32">
    <cfRule type="cellIs" dxfId="651" priority="18" operator="greaterThan">
      <formula>$F31+$H31</formula>
    </cfRule>
  </conditionalFormatting>
  <conditionalFormatting sqref="O32">
    <cfRule type="cellIs" dxfId="650" priority="11" operator="greaterThan">
      <formula>$Q$31</formula>
    </cfRule>
  </conditionalFormatting>
  <conditionalFormatting sqref="P31">
    <cfRule type="cellIs" dxfId="649" priority="17" operator="greaterThan">
      <formula>$G$32-$F$32+$I$32-$H$32</formula>
    </cfRule>
  </conditionalFormatting>
  <conditionalFormatting sqref="Q32">
    <cfRule type="cellIs" dxfId="648" priority="16" operator="lessThan">
      <formula>$O$31</formula>
    </cfRule>
  </conditionalFormatting>
  <conditionalFormatting sqref="F7:F32">
    <cfRule type="cellIs" dxfId="647" priority="15" operator="greaterThan">
      <formula>G7</formula>
    </cfRule>
  </conditionalFormatting>
  <conditionalFormatting sqref="H7:H32">
    <cfRule type="cellIs" dxfId="646" priority="14" operator="greaterThan">
      <formula>I7</formula>
    </cfRule>
  </conditionalFormatting>
  <conditionalFormatting sqref="J7:J32">
    <cfRule type="cellIs" dxfId="645" priority="13" operator="greaterThan">
      <formula>K7</formula>
    </cfRule>
  </conditionalFormatting>
  <conditionalFormatting sqref="M4">
    <cfRule type="cellIs" dxfId="644" priority="12" operator="notBetween">
      <formula>$AH$2</formula>
      <formula>$AI$2</formula>
    </cfRule>
  </conditionalFormatting>
  <conditionalFormatting sqref="O31">
    <cfRule type="cellIs" dxfId="643" priority="10" operator="greaterThan">
      <formula>$Q$32</formula>
    </cfRule>
  </conditionalFormatting>
  <conditionalFormatting sqref="Q31">
    <cfRule type="cellIs" dxfId="642" priority="9" operator="lessThan">
      <formula>$O$32</formula>
    </cfRule>
  </conditionalFormatting>
  <conditionalFormatting sqref="M31">
    <cfRule type="cellIs" dxfId="641" priority="8" operator="greaterThan">
      <formula>G32-F32 +I32-H32+K32-J32</formula>
    </cfRule>
  </conditionalFormatting>
  <conditionalFormatting sqref="B3">
    <cfRule type="expression" dxfId="640" priority="7">
      <formula>$W$2 = TRUE</formula>
    </cfRule>
  </conditionalFormatting>
  <conditionalFormatting sqref="P4:Q4">
    <cfRule type="expression" dxfId="639" priority="6">
      <formula>OR(AND($P$4=1,$X$4=1),AND($Q$4=1,$W$4=1))</formula>
    </cfRule>
  </conditionalFormatting>
  <conditionalFormatting sqref="D20:D30">
    <cfRule type="expression" dxfId="638" priority="31">
      <formula>AND($D20=0,SUM($F20:$S20)&gt;0)</formula>
    </cfRule>
  </conditionalFormatting>
  <conditionalFormatting sqref="O6">
    <cfRule type="expression" dxfId="637" priority="5">
      <formula>OR($O$31&gt;$Q$32,$O$32&gt;$Q$31)</formula>
    </cfRule>
  </conditionalFormatting>
  <conditionalFormatting sqref="F6">
    <cfRule type="expression" dxfId="636" priority="4">
      <formula>OR(F$31&gt;G$31,F$32&gt;G$32)</formula>
    </cfRule>
  </conditionalFormatting>
  <conditionalFormatting sqref="H6">
    <cfRule type="expression" dxfId="635" priority="3">
      <formula>OR(H$31&gt;I$31,H$32&gt;I$32)</formula>
    </cfRule>
  </conditionalFormatting>
  <conditionalFormatting sqref="J6">
    <cfRule type="expression" dxfId="634" priority="2">
      <formula>OR(J$31&gt;K$31,J$32&gt;K$32)</formula>
    </cfRule>
  </conditionalFormatting>
  <conditionalFormatting sqref="D7:D19">
    <cfRule type="expression" dxfId="633" priority="1">
      <formula>AND($D7=0,SUM($F7:$S7)&gt;0)</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V43" sqref="V4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130</v>
      </c>
      <c r="C3" s="70">
        <v>18</v>
      </c>
      <c r="D3" s="71">
        <v>15</v>
      </c>
      <c r="E3" s="71">
        <v>13</v>
      </c>
      <c r="F3" s="71">
        <v>22</v>
      </c>
      <c r="G3" s="72">
        <v>11</v>
      </c>
      <c r="H3" s="73">
        <f>SUM(C3:G3)</f>
        <v>79</v>
      </c>
      <c r="J3" s="12" t="s">
        <v>165</v>
      </c>
      <c r="P3" s="74" t="s">
        <v>135</v>
      </c>
      <c r="Q3" s="74" t="s">
        <v>137</v>
      </c>
      <c r="S3" s="75" t="s">
        <v>138</v>
      </c>
      <c r="U3" s="76" t="s">
        <v>139</v>
      </c>
      <c r="W3" s="77" t="s">
        <v>134</v>
      </c>
      <c r="X3" s="77" t="s">
        <v>136</v>
      </c>
      <c r="AA3" s="48" t="str">
        <f>B4</f>
        <v>Upton</v>
      </c>
      <c r="AD3" s="48">
        <f>SUM($C3:C3)</f>
        <v>18</v>
      </c>
      <c r="AE3" s="48">
        <f>SUM($C3:D3)</f>
        <v>33</v>
      </c>
      <c r="AF3" s="48">
        <f>SUM($C3:E3)</f>
        <v>46</v>
      </c>
      <c r="AG3" s="48">
        <f>SUM($C3:F3)</f>
        <v>68</v>
      </c>
      <c r="AH3" s="48">
        <f>SUM($C3:G3)</f>
        <v>79</v>
      </c>
      <c r="AJ3" s="74"/>
    </row>
    <row r="4" spans="1:36" ht="16.5" customHeight="1" thickTop="1" thickBot="1" x14ac:dyDescent="0.3">
      <c r="B4" s="78" t="str">
        <f>Roster!$B$1</f>
        <v>Upton</v>
      </c>
      <c r="C4" s="79">
        <v>13</v>
      </c>
      <c r="D4" s="80">
        <v>11</v>
      </c>
      <c r="E4" s="80">
        <v>24</v>
      </c>
      <c r="F4" s="80">
        <v>20</v>
      </c>
      <c r="G4" s="81">
        <v>9</v>
      </c>
      <c r="H4" s="82">
        <f>SUM(C4:G4)</f>
        <v>77</v>
      </c>
      <c r="J4" s="83"/>
      <c r="L4" s="84" t="s">
        <v>133</v>
      </c>
      <c r="M4" s="404">
        <v>44975</v>
      </c>
      <c r="N4" s="405"/>
      <c r="P4" s="83"/>
      <c r="Q4" s="83"/>
      <c r="S4" s="83"/>
      <c r="U4" s="83"/>
      <c r="W4" s="85" t="str">
        <f>IF(OR($S$4=1,$H$4&gt;$H$3),1,"")</f>
        <v/>
      </c>
      <c r="X4" s="85">
        <f>IF(OR($U$4=1,$H$4&lt;$H$3),1,"")</f>
        <v>1</v>
      </c>
      <c r="AA4" s="48" t="str">
        <f>B3</f>
        <v>Wright</v>
      </c>
      <c r="AD4" s="48">
        <f>SUM($C4:C4)</f>
        <v>13</v>
      </c>
      <c r="AE4" s="48">
        <f>SUM($C4:D4)</f>
        <v>24</v>
      </c>
      <c r="AF4" s="48">
        <f>SUM($C4:E4)</f>
        <v>48</v>
      </c>
      <c r="AG4" s="48">
        <f>SUM($C4:F4)</f>
        <v>68</v>
      </c>
      <c r="AH4" s="48">
        <f>SUM($C4:G4)</f>
        <v>77</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34</v>
      </c>
      <c r="F8" s="101"/>
      <c r="G8" s="102">
        <v>1</v>
      </c>
      <c r="H8" s="103">
        <v>7</v>
      </c>
      <c r="I8" s="102">
        <v>12</v>
      </c>
      <c r="J8" s="103">
        <v>4</v>
      </c>
      <c r="K8" s="102">
        <v>6</v>
      </c>
      <c r="L8" s="103">
        <v>3</v>
      </c>
      <c r="M8" s="103">
        <v>4</v>
      </c>
      <c r="N8" s="103">
        <v>2</v>
      </c>
      <c r="O8" s="103">
        <v>4</v>
      </c>
      <c r="P8" s="103"/>
      <c r="Q8" s="103"/>
      <c r="R8" s="103">
        <v>2</v>
      </c>
      <c r="S8" s="104"/>
      <c r="T8" s="105">
        <f t="shared" ref="T8:T30" si="1">IF(J8+2*H8+3*F8&gt;0,J8+2*H8+3*F8,0)</f>
        <v>18</v>
      </c>
      <c r="U8" s="106">
        <f t="shared" ref="U8:U30" si="2">IF(G8&gt;0,F8/G8,"")</f>
        <v>0</v>
      </c>
      <c r="V8" s="106">
        <f t="shared" ref="V8:V30" si="3">IF(I8&gt;0,H8/I8,"")</f>
        <v>0.58333333333333337</v>
      </c>
      <c r="W8" s="107">
        <f t="shared" ref="W8:W30" si="4">IF(K8&gt;0,J8/K8,"")</f>
        <v>0.66666666666666663</v>
      </c>
      <c r="X8" s="106">
        <f t="shared" si="0"/>
        <v>0.53846153846153844</v>
      </c>
      <c r="Y8" s="108">
        <f t="shared" ref="Y8:Y32" si="5">IF(OR(G8&gt;0,I8 &gt;0),(1.5*F8+H8)/(G8+I8),"")</f>
        <v>0.53846153846153844</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36</v>
      </c>
      <c r="F9" s="111"/>
      <c r="G9" s="112">
        <v>2</v>
      </c>
      <c r="H9" s="113">
        <v>4</v>
      </c>
      <c r="I9" s="112">
        <v>14</v>
      </c>
      <c r="J9" s="113">
        <v>4</v>
      </c>
      <c r="K9" s="112">
        <v>4</v>
      </c>
      <c r="L9" s="113">
        <v>6</v>
      </c>
      <c r="M9" s="113">
        <v>3</v>
      </c>
      <c r="N9" s="113">
        <v>4</v>
      </c>
      <c r="O9" s="113">
        <v>1</v>
      </c>
      <c r="P9" s="113"/>
      <c r="Q9" s="113">
        <v>2</v>
      </c>
      <c r="R9" s="113"/>
      <c r="S9" s="114"/>
      <c r="T9" s="115">
        <f t="shared" si="1"/>
        <v>12</v>
      </c>
      <c r="U9" s="95">
        <f t="shared" si="2"/>
        <v>0</v>
      </c>
      <c r="V9" s="95">
        <f t="shared" si="3"/>
        <v>0.2857142857142857</v>
      </c>
      <c r="W9" s="96">
        <f t="shared" si="4"/>
        <v>1</v>
      </c>
      <c r="X9" s="95">
        <f t="shared" si="0"/>
        <v>0.25</v>
      </c>
      <c r="Y9" s="116">
        <f t="shared" si="5"/>
        <v>0.25</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29</v>
      </c>
      <c r="F10" s="101"/>
      <c r="G10" s="102">
        <v>4</v>
      </c>
      <c r="H10" s="103">
        <v>4</v>
      </c>
      <c r="I10" s="102">
        <v>8</v>
      </c>
      <c r="J10" s="103">
        <v>1</v>
      </c>
      <c r="K10" s="102">
        <v>3</v>
      </c>
      <c r="L10" s="103">
        <v>2</v>
      </c>
      <c r="M10" s="103">
        <v>3</v>
      </c>
      <c r="N10" s="103">
        <v>5</v>
      </c>
      <c r="O10" s="103">
        <v>2</v>
      </c>
      <c r="P10" s="103">
        <v>1</v>
      </c>
      <c r="Q10" s="103"/>
      <c r="R10" s="103">
        <v>2</v>
      </c>
      <c r="S10" s="104"/>
      <c r="T10" s="105">
        <f t="shared" si="1"/>
        <v>9</v>
      </c>
      <c r="U10" s="106">
        <f t="shared" si="2"/>
        <v>0</v>
      </c>
      <c r="V10" s="106">
        <f t="shared" si="3"/>
        <v>0.5</v>
      </c>
      <c r="W10" s="107">
        <f t="shared" si="4"/>
        <v>0.33333333333333331</v>
      </c>
      <c r="X10" s="106">
        <f t="shared" si="0"/>
        <v>0.33333333333333331</v>
      </c>
      <c r="Y10" s="108">
        <f t="shared" si="5"/>
        <v>0.33333333333333331</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69.5</v>
      </c>
      <c r="AB11" s="385">
        <f>T31/AA11</f>
        <v>1.1079136690647482</v>
      </c>
      <c r="AC11" s="385">
        <f>L31/AA11</f>
        <v>0.28776978417266186</v>
      </c>
      <c r="AD11" s="385">
        <f>M31/AA12</f>
        <v>0.29166666666666669</v>
      </c>
      <c r="AE11" s="389">
        <f>(L31+M31)/AA11</f>
        <v>0.58992805755395683</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72</v>
      </c>
      <c r="AB12" s="385">
        <f>T32/AA12</f>
        <v>1.0972222222222223</v>
      </c>
      <c r="AC12" s="385">
        <f>L32/AA12</f>
        <v>0.125</v>
      </c>
      <c r="AD12" s="385">
        <f>M32/AA11</f>
        <v>0.33093525179856115</v>
      </c>
      <c r="AE12" s="389">
        <f>(L32+M32)/AA12</f>
        <v>0.44444444444444442</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26</v>
      </c>
      <c r="F14" s="101">
        <v>4</v>
      </c>
      <c r="G14" s="102">
        <v>5</v>
      </c>
      <c r="H14" s="103">
        <v>6</v>
      </c>
      <c r="I14" s="102">
        <v>13</v>
      </c>
      <c r="J14" s="103">
        <v>3</v>
      </c>
      <c r="K14" s="102">
        <v>4</v>
      </c>
      <c r="L14" s="103">
        <v>6</v>
      </c>
      <c r="M14" s="103">
        <v>4</v>
      </c>
      <c r="N14" s="103">
        <v>2</v>
      </c>
      <c r="O14" s="103"/>
      <c r="P14" s="103"/>
      <c r="Q14" s="103">
        <v>3</v>
      </c>
      <c r="R14" s="103">
        <v>3</v>
      </c>
      <c r="S14" s="104"/>
      <c r="T14" s="105">
        <f t="shared" si="1"/>
        <v>27</v>
      </c>
      <c r="U14" s="106">
        <f t="shared" si="2"/>
        <v>0.8</v>
      </c>
      <c r="V14" s="106">
        <f t="shared" si="3"/>
        <v>0.46153846153846156</v>
      </c>
      <c r="W14" s="107">
        <f t="shared" si="4"/>
        <v>0.75</v>
      </c>
      <c r="X14" s="106">
        <f t="shared" si="0"/>
        <v>0.55555555555555558</v>
      </c>
      <c r="Y14" s="108">
        <f t="shared" si="5"/>
        <v>0.66666666666666663</v>
      </c>
      <c r="Z14" s="385"/>
      <c r="AA14" s="385"/>
      <c r="AB14" s="385">
        <f>N31/AA11</f>
        <v>0.23021582733812951</v>
      </c>
      <c r="AC14" s="385">
        <f>O31/AA12</f>
        <v>9.7222222222222224E-2</v>
      </c>
      <c r="AD14" s="385">
        <f>Q31/AA11</f>
        <v>8.6330935251798566E-2</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18</v>
      </c>
      <c r="F15" s="111">
        <v>1</v>
      </c>
      <c r="G15" s="112">
        <v>3</v>
      </c>
      <c r="H15" s="113"/>
      <c r="I15" s="112"/>
      <c r="J15" s="113"/>
      <c r="K15" s="112">
        <v>2</v>
      </c>
      <c r="L15" s="113"/>
      <c r="M15" s="113">
        <v>3</v>
      </c>
      <c r="N15" s="113"/>
      <c r="O15" s="113"/>
      <c r="P15" s="113"/>
      <c r="Q15" s="113"/>
      <c r="R15" s="113">
        <v>3</v>
      </c>
      <c r="S15" s="114"/>
      <c r="T15" s="115">
        <f t="shared" si="1"/>
        <v>3</v>
      </c>
      <c r="U15" s="95">
        <f t="shared" si="2"/>
        <v>0.33333333333333331</v>
      </c>
      <c r="V15" s="95" t="str">
        <f t="shared" si="3"/>
        <v/>
      </c>
      <c r="W15" s="96">
        <f t="shared" si="4"/>
        <v>0</v>
      </c>
      <c r="X15" s="95">
        <f t="shared" si="0"/>
        <v>0.33333333333333331</v>
      </c>
      <c r="Y15" s="116">
        <f t="shared" si="5"/>
        <v>0.5</v>
      </c>
      <c r="Z15" s="392"/>
      <c r="AA15" s="393"/>
      <c r="AB15" s="393">
        <f>N32/AA12</f>
        <v>0.2638888888888889</v>
      </c>
      <c r="AC15" s="393">
        <f>O32/AA11</f>
        <v>4.3165467625899283E-2</v>
      </c>
      <c r="AD15" s="393">
        <f>Q32/AA12</f>
        <v>0.1111111111111111</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30</v>
      </c>
      <c r="F16" s="101">
        <v>1</v>
      </c>
      <c r="G16" s="102">
        <v>4</v>
      </c>
      <c r="H16" s="103">
        <v>2</v>
      </c>
      <c r="I16" s="102">
        <v>7</v>
      </c>
      <c r="J16" s="103">
        <v>1</v>
      </c>
      <c r="K16" s="102">
        <v>2</v>
      </c>
      <c r="L16" s="103">
        <v>3</v>
      </c>
      <c r="M16" s="103">
        <v>4</v>
      </c>
      <c r="N16" s="103">
        <v>3</v>
      </c>
      <c r="O16" s="103"/>
      <c r="P16" s="103"/>
      <c r="Q16" s="103">
        <v>1</v>
      </c>
      <c r="R16" s="103">
        <v>3</v>
      </c>
      <c r="S16" s="104"/>
      <c r="T16" s="105">
        <f t="shared" si="1"/>
        <v>8</v>
      </c>
      <c r="U16" s="106">
        <f t="shared" si="2"/>
        <v>0.25</v>
      </c>
      <c r="V16" s="106">
        <f t="shared" si="3"/>
        <v>0.2857142857142857</v>
      </c>
      <c r="W16" s="107">
        <f t="shared" si="4"/>
        <v>0.5</v>
      </c>
      <c r="X16" s="106">
        <f t="shared" si="0"/>
        <v>0.27272727272727271</v>
      </c>
      <c r="Y16" s="108">
        <f t="shared" si="5"/>
        <v>0.31818181818181818</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Z19" s="388" t="s">
        <v>124</v>
      </c>
      <c r="AA19" s="385">
        <f>AB11*65</f>
        <v>72.014388489208628</v>
      </c>
      <c r="AB19" s="385">
        <f t="shared" ref="AB19:AD20" si="6">AC11*65</f>
        <v>18.705035971223019</v>
      </c>
      <c r="AC19" s="385">
        <f t="shared" si="6"/>
        <v>18.958333333333336</v>
      </c>
      <c r="AD19" s="385">
        <f t="shared" si="6"/>
        <v>38.345323741007192</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71.319444444444457</v>
      </c>
      <c r="AB20" s="385">
        <f t="shared" si="6"/>
        <v>8.125</v>
      </c>
      <c r="AC20" s="385">
        <f t="shared" si="6"/>
        <v>21.510791366906474</v>
      </c>
      <c r="AD20" s="385">
        <f t="shared" si="6"/>
        <v>28.888888888888886</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14.964028776978418</v>
      </c>
      <c r="AC22" s="385">
        <f t="shared" si="7"/>
        <v>6.3194444444444446</v>
      </c>
      <c r="AD22" s="385">
        <f>AD14*65</f>
        <v>5.6115107913669071</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17.152777777777779</v>
      </c>
      <c r="AC23" s="393">
        <f t="shared" si="7"/>
        <v>2.8057553956834536</v>
      </c>
      <c r="AD23" s="393">
        <f t="shared" si="7"/>
        <v>7.2222222222222214</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69</v>
      </c>
      <c r="B31" s="126" t="s">
        <v>161</v>
      </c>
      <c r="C31" s="151"/>
      <c r="D31" s="152">
        <f>IF(COUNTA($D$7:$D$30)&gt;0,1,"")</f>
        <v>1</v>
      </c>
      <c r="E31" s="127">
        <f>IF(D31=1,32+J4*4,"")</f>
        <v>32</v>
      </c>
      <c r="F31" s="128">
        <f t="shared" ref="F31:S31" si="8">SUM(F7:F30)</f>
        <v>6</v>
      </c>
      <c r="G31" s="129">
        <f t="shared" si="8"/>
        <v>19</v>
      </c>
      <c r="H31" s="128">
        <f t="shared" si="8"/>
        <v>23</v>
      </c>
      <c r="I31" s="130">
        <f t="shared" si="8"/>
        <v>54</v>
      </c>
      <c r="J31" s="129">
        <f t="shared" si="8"/>
        <v>13</v>
      </c>
      <c r="K31" s="130">
        <f t="shared" si="8"/>
        <v>21</v>
      </c>
      <c r="L31" s="129">
        <f t="shared" si="8"/>
        <v>20</v>
      </c>
      <c r="M31" s="129">
        <f t="shared" si="8"/>
        <v>21</v>
      </c>
      <c r="N31" s="129">
        <f t="shared" si="8"/>
        <v>16</v>
      </c>
      <c r="O31" s="129">
        <f t="shared" si="8"/>
        <v>7</v>
      </c>
      <c r="P31" s="129">
        <f t="shared" si="8"/>
        <v>1</v>
      </c>
      <c r="Q31" s="129">
        <f t="shared" si="8"/>
        <v>6</v>
      </c>
      <c r="R31" s="129">
        <f t="shared" si="8"/>
        <v>13</v>
      </c>
      <c r="S31" s="131">
        <f t="shared" si="8"/>
        <v>0</v>
      </c>
      <c r="T31" s="132">
        <f>IF(J31+2*H31+3*F31&gt;0,J31+2*H31+3*F31,IF(H4&gt;0,H4,""))</f>
        <v>77</v>
      </c>
      <c r="U31" s="133">
        <f>IF(G31&gt;0,F31/G31,"")</f>
        <v>0.31578947368421051</v>
      </c>
      <c r="V31" s="133">
        <f>IF(I31&gt;0,H31/I31,"")</f>
        <v>0.42592592592592593</v>
      </c>
      <c r="W31" s="134">
        <f>IF(K31&gt;0,J31/K31,"")</f>
        <v>0.61904761904761907</v>
      </c>
      <c r="X31" s="133">
        <f t="shared" si="0"/>
        <v>0.39726027397260272</v>
      </c>
      <c r="Y31" s="135">
        <f t="shared" si="5"/>
        <v>0.43835616438356162</v>
      </c>
      <c r="AB31" s="51"/>
      <c r="AC31" s="51"/>
      <c r="AD31" s="51"/>
      <c r="AE31" s="51"/>
      <c r="AF31" s="136"/>
      <c r="AG31" s="136"/>
      <c r="AH31" s="136"/>
      <c r="AI31" s="51"/>
    </row>
    <row r="32" spans="1:35" s="18" customFormat="1" ht="17.25" thickTop="1" thickBot="1" x14ac:dyDescent="0.3">
      <c r="A32" s="51">
        <f>ROUND(G32+I32+0.475*K32-L32+Q32,0)</f>
        <v>72</v>
      </c>
      <c r="B32" s="137" t="s">
        <v>162</v>
      </c>
      <c r="C32" s="153"/>
      <c r="D32" s="138">
        <f>IF(SUM(F32:S32)&gt;0,1,"")</f>
        <v>1</v>
      </c>
      <c r="E32" s="138">
        <f>IF(D32=1,E31,0)</f>
        <v>32</v>
      </c>
      <c r="F32" s="139">
        <v>4</v>
      </c>
      <c r="G32" s="140">
        <v>15</v>
      </c>
      <c r="H32" s="139">
        <v>29</v>
      </c>
      <c r="I32" s="141">
        <v>51</v>
      </c>
      <c r="J32" s="139">
        <v>9</v>
      </c>
      <c r="K32" s="141">
        <v>14</v>
      </c>
      <c r="L32" s="140">
        <v>9</v>
      </c>
      <c r="M32" s="140">
        <v>23</v>
      </c>
      <c r="N32" s="140">
        <v>19</v>
      </c>
      <c r="O32" s="140">
        <v>3</v>
      </c>
      <c r="P32" s="140">
        <v>1</v>
      </c>
      <c r="Q32" s="140">
        <v>8</v>
      </c>
      <c r="R32" s="140">
        <v>15</v>
      </c>
      <c r="S32" s="142">
        <v>1</v>
      </c>
      <c r="T32" s="143">
        <f>IF(J32+2*H32+3*F32&gt;0,J32+2*H32+3*F32,IF(H3&gt;0,H3,""))</f>
        <v>79</v>
      </c>
      <c r="U32" s="144">
        <f>IF(G32&gt;0,F32/G32,"")</f>
        <v>0.26666666666666666</v>
      </c>
      <c r="V32" s="144">
        <f>IF(I32&gt;0,H32/I32,"")</f>
        <v>0.56862745098039214</v>
      </c>
      <c r="W32" s="145">
        <f>IF(K32&gt;0,J32/K32,"")</f>
        <v>0.6428571428571429</v>
      </c>
      <c r="X32" s="144">
        <f t="shared" si="0"/>
        <v>0.5</v>
      </c>
      <c r="Y32" s="146">
        <f t="shared" si="5"/>
        <v>0.53030303030303028</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632" priority="29">
      <formula>AND($H$4&gt;0,$H$4&lt;&gt;$T$31)</formula>
    </cfRule>
  </conditionalFormatting>
  <conditionalFormatting sqref="T32 H3">
    <cfRule type="expression" dxfId="631" priority="28">
      <formula>AND($H$3&gt;0,$H$3&lt;&gt;$T$32)</formula>
    </cfRule>
  </conditionalFormatting>
  <conditionalFormatting sqref="A2">
    <cfRule type="cellIs" dxfId="630" priority="27" operator="equal">
      <formula>"R"</formula>
    </cfRule>
  </conditionalFormatting>
  <conditionalFormatting sqref="F7:F30 H7:H30 J7:J30">
    <cfRule type="expression" dxfId="629" priority="26">
      <formula>F7&gt;G7</formula>
    </cfRule>
  </conditionalFormatting>
  <conditionalFormatting sqref="E7:E30">
    <cfRule type="expression" dxfId="628" priority="25">
      <formula>$E7&gt;$E$31</formula>
    </cfRule>
  </conditionalFormatting>
  <conditionalFormatting sqref="L6">
    <cfRule type="expression" dxfId="627" priority="24">
      <formula>OR($L$31&gt;($G$31+$I$31+$K$31-$F$31-$H$31-$J$31),L32&gt;(G31+I31+K31-F31-H31-J31))</formula>
    </cfRule>
  </conditionalFormatting>
  <conditionalFormatting sqref="M6">
    <cfRule type="expression" dxfId="626" priority="23">
      <formula>OR(M31&gt;(G32-F32+I32-H32+K32-J32),M32&gt;(G31-F31+I31-H31+K31-J31))</formula>
    </cfRule>
  </conditionalFormatting>
  <conditionalFormatting sqref="N6">
    <cfRule type="expression" dxfId="625" priority="22">
      <formula>OR($N$31&gt;($F$31+$H$31),$N$32&gt;($F$32+$H$32))</formula>
    </cfRule>
  </conditionalFormatting>
  <conditionalFormatting sqref="P6">
    <cfRule type="expression" dxfId="624" priority="21">
      <formula>OR($P$31&gt;(G32-F32+I32-H32),P32&gt;(G31-F31+I31-H31))</formula>
    </cfRule>
  </conditionalFormatting>
  <conditionalFormatting sqref="Q6">
    <cfRule type="expression" dxfId="623" priority="20">
      <formula>OR($Q$31&lt;$O$32,$Q$32&lt;$O$31)</formula>
    </cfRule>
  </conditionalFormatting>
  <conditionalFormatting sqref="L31:L32">
    <cfRule type="cellIs" dxfId="622" priority="19" operator="greaterThan">
      <formula>$G31+$I31+$K31-$F31-$H31-$J31</formula>
    </cfRule>
  </conditionalFormatting>
  <conditionalFormatting sqref="M32">
    <cfRule type="cellIs" dxfId="621" priority="18" operator="greaterThan">
      <formula>$G$31-$F$31+$I$31-$H$31+$K$31-$J$31</formula>
    </cfRule>
  </conditionalFormatting>
  <conditionalFormatting sqref="N31:N32">
    <cfRule type="cellIs" dxfId="620" priority="17" operator="greaterThan">
      <formula>$F31+$H31</formula>
    </cfRule>
  </conditionalFormatting>
  <conditionalFormatting sqref="O32">
    <cfRule type="cellIs" dxfId="619" priority="10" operator="greaterThan">
      <formula>$Q$31</formula>
    </cfRule>
  </conditionalFormatting>
  <conditionalFormatting sqref="P31">
    <cfRule type="cellIs" dxfId="618" priority="16" operator="greaterThan">
      <formula>$G$32-$F$32+$I$32-$H$32</formula>
    </cfRule>
  </conditionalFormatting>
  <conditionalFormatting sqref="Q32">
    <cfRule type="cellIs" dxfId="617" priority="15" operator="lessThan">
      <formula>$O$31</formula>
    </cfRule>
  </conditionalFormatting>
  <conditionalFormatting sqref="F7:F32">
    <cfRule type="cellIs" dxfId="616" priority="14" operator="greaterThan">
      <formula>G7</formula>
    </cfRule>
  </conditionalFormatting>
  <conditionalFormatting sqref="H7:H32">
    <cfRule type="cellIs" dxfId="615" priority="13" operator="greaterThan">
      <formula>I7</formula>
    </cfRule>
  </conditionalFormatting>
  <conditionalFormatting sqref="J7:J32">
    <cfRule type="cellIs" dxfId="614" priority="12" operator="greaterThan">
      <formula>K7</formula>
    </cfRule>
  </conditionalFormatting>
  <conditionalFormatting sqref="M4">
    <cfRule type="cellIs" dxfId="613" priority="11" operator="notBetween">
      <formula>$AH$2</formula>
      <formula>$AI$2</formula>
    </cfRule>
  </conditionalFormatting>
  <conditionalFormatting sqref="O31">
    <cfRule type="cellIs" dxfId="612" priority="9" operator="greaterThan">
      <formula>$Q$32</formula>
    </cfRule>
  </conditionalFormatting>
  <conditionalFormatting sqref="Q31">
    <cfRule type="cellIs" dxfId="611" priority="8" operator="lessThan">
      <formula>$O$32</formula>
    </cfRule>
  </conditionalFormatting>
  <conditionalFormatting sqref="M31">
    <cfRule type="cellIs" dxfId="610" priority="7" operator="greaterThan">
      <formula>G32-F32 +I32-H32+K32-J32</formula>
    </cfRule>
  </conditionalFormatting>
  <conditionalFormatting sqref="B3">
    <cfRule type="expression" dxfId="609" priority="6">
      <formula>$W$2 = TRUE</formula>
    </cfRule>
  </conditionalFormatting>
  <conditionalFormatting sqref="P4:Q4">
    <cfRule type="expression" dxfId="608" priority="5">
      <formula>OR(AND($P$4=1,$X$4=1),AND($Q$4=1,$W$4=1))</formula>
    </cfRule>
  </conditionalFormatting>
  <conditionalFormatting sqref="D7:D30">
    <cfRule type="expression" dxfId="607" priority="30">
      <formula>AND($D7=0,SUM($F7:$S7)&gt;0)</formula>
    </cfRule>
  </conditionalFormatting>
  <conditionalFormatting sqref="O6">
    <cfRule type="expression" dxfId="606" priority="4">
      <formula>OR($O$31&gt;$Q$32,$O$32&gt;$Q$31)</formula>
    </cfRule>
  </conditionalFormatting>
  <conditionalFormatting sqref="F6">
    <cfRule type="expression" dxfId="605" priority="3">
      <formula>OR(F$31&gt;G$31,F$32&gt;G$32)</formula>
    </cfRule>
  </conditionalFormatting>
  <conditionalFormatting sqref="H6">
    <cfRule type="expression" dxfId="604" priority="2">
      <formula>OR(H$31&gt;I$31,H$32&gt;I$32)</formula>
    </cfRule>
  </conditionalFormatting>
  <conditionalFormatting sqref="J6">
    <cfRule type="expression" dxfId="603"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AA38" sqref="AA38"/>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101</v>
      </c>
      <c r="C3" s="70">
        <v>3</v>
      </c>
      <c r="D3" s="71">
        <v>2</v>
      </c>
      <c r="E3" s="71">
        <v>4</v>
      </c>
      <c r="F3" s="71">
        <v>12</v>
      </c>
      <c r="G3" s="72"/>
      <c r="H3" s="73">
        <f>SUM(C3:G3)</f>
        <v>21</v>
      </c>
      <c r="J3" s="12" t="s">
        <v>165</v>
      </c>
      <c r="P3" s="74" t="s">
        <v>135</v>
      </c>
      <c r="Q3" s="74" t="s">
        <v>137</v>
      </c>
      <c r="S3" s="75" t="s">
        <v>138</v>
      </c>
      <c r="U3" s="76" t="s">
        <v>139</v>
      </c>
      <c r="W3" s="77" t="s">
        <v>134</v>
      </c>
      <c r="X3" s="77" t="s">
        <v>136</v>
      </c>
      <c r="AA3" s="48" t="str">
        <f>B4</f>
        <v>Upton</v>
      </c>
      <c r="AD3" s="48">
        <f>SUM($C3:C3)</f>
        <v>3</v>
      </c>
      <c r="AE3" s="48">
        <f>SUM($C3:D3)</f>
        <v>5</v>
      </c>
      <c r="AF3" s="48">
        <f>SUM($C3:E3)</f>
        <v>9</v>
      </c>
      <c r="AG3" s="48">
        <f>SUM($C3:F3)</f>
        <v>21</v>
      </c>
      <c r="AH3" s="48">
        <f>SUM($C3:G3)</f>
        <v>21</v>
      </c>
      <c r="AJ3" s="74"/>
    </row>
    <row r="4" spans="1:36" ht="16.5" customHeight="1" thickTop="1" thickBot="1" x14ac:dyDescent="0.3">
      <c r="B4" s="78" t="str">
        <f>Roster!$B$1</f>
        <v>Upton</v>
      </c>
      <c r="C4" s="79">
        <v>21</v>
      </c>
      <c r="D4" s="80">
        <v>13</v>
      </c>
      <c r="E4" s="80">
        <v>21</v>
      </c>
      <c r="F4" s="80">
        <v>13</v>
      </c>
      <c r="G4" s="81"/>
      <c r="H4" s="82">
        <f>SUM(C4:G4)</f>
        <v>68</v>
      </c>
      <c r="J4" s="83"/>
      <c r="L4" s="84" t="s">
        <v>133</v>
      </c>
      <c r="M4" s="404">
        <v>44980</v>
      </c>
      <c r="N4" s="405"/>
      <c r="P4" s="83"/>
      <c r="Q4" s="83"/>
      <c r="S4" s="83"/>
      <c r="U4" s="83"/>
      <c r="W4" s="85">
        <f>IF(OR($S$4=1,$H$4&gt;$H$3),1,"")</f>
        <v>1</v>
      </c>
      <c r="X4" s="85" t="str">
        <f>IF(OR($U$4=1,$H$4&lt;$H$3),1,"")</f>
        <v/>
      </c>
      <c r="AA4" s="48" t="str">
        <f>B3</f>
        <v>Rock River</v>
      </c>
      <c r="AD4" s="48">
        <f>SUM($C4:C4)</f>
        <v>21</v>
      </c>
      <c r="AE4" s="48">
        <f>SUM($C4:D4)</f>
        <v>34</v>
      </c>
      <c r="AF4" s="48">
        <f>SUM($C4:E4)</f>
        <v>55</v>
      </c>
      <c r="AG4" s="48">
        <f>SUM($C4:F4)</f>
        <v>68</v>
      </c>
      <c r="AH4" s="48">
        <f>SUM($C4:G4)</f>
        <v>68</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3</v>
      </c>
      <c r="F7" s="90"/>
      <c r="G7" s="91"/>
      <c r="H7" s="92"/>
      <c r="I7" s="91"/>
      <c r="J7" s="92"/>
      <c r="K7" s="91"/>
      <c r="L7" s="92"/>
      <c r="M7" s="92"/>
      <c r="N7" s="92"/>
      <c r="O7" s="92">
        <v>1</v>
      </c>
      <c r="P7" s="92"/>
      <c r="Q7" s="92">
        <v>1</v>
      </c>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23</v>
      </c>
      <c r="F8" s="101">
        <v>1</v>
      </c>
      <c r="G8" s="102">
        <v>5</v>
      </c>
      <c r="H8" s="103">
        <v>2</v>
      </c>
      <c r="I8" s="102">
        <v>3</v>
      </c>
      <c r="J8" s="103"/>
      <c r="K8" s="102">
        <v>2</v>
      </c>
      <c r="L8" s="103">
        <v>1</v>
      </c>
      <c r="M8" s="103"/>
      <c r="N8" s="103">
        <v>2</v>
      </c>
      <c r="O8" s="103">
        <v>4</v>
      </c>
      <c r="P8" s="103"/>
      <c r="Q8" s="103">
        <v>2</v>
      </c>
      <c r="R8" s="103">
        <v>1</v>
      </c>
      <c r="S8" s="104"/>
      <c r="T8" s="105">
        <f t="shared" ref="T8:T30" si="1">IF(J8+2*H8+3*F8&gt;0,J8+2*H8+3*F8,0)</f>
        <v>7</v>
      </c>
      <c r="U8" s="106">
        <f t="shared" ref="U8:U30" si="2">IF(G8&gt;0,F8/G8,"")</f>
        <v>0.2</v>
      </c>
      <c r="V8" s="106">
        <f t="shared" ref="V8:V30" si="3">IF(I8&gt;0,H8/I8,"")</f>
        <v>0.66666666666666663</v>
      </c>
      <c r="W8" s="107">
        <f t="shared" ref="W8:W30" si="4">IF(K8&gt;0,J8/K8,"")</f>
        <v>0</v>
      </c>
      <c r="X8" s="106">
        <f t="shared" si="0"/>
        <v>0.375</v>
      </c>
      <c r="Y8" s="108">
        <f t="shared" ref="Y8:Y32" si="5">IF(OR(G8&gt;0,I8 &gt;0),(1.5*F8+H8)/(G8+I8),"")</f>
        <v>0.4375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21</v>
      </c>
      <c r="F9" s="111"/>
      <c r="G9" s="112">
        <v>2</v>
      </c>
      <c r="H9" s="113">
        <v>7</v>
      </c>
      <c r="I9" s="112">
        <v>13</v>
      </c>
      <c r="J9" s="113">
        <v>3</v>
      </c>
      <c r="K9" s="112">
        <v>4</v>
      </c>
      <c r="L9" s="113">
        <v>4</v>
      </c>
      <c r="M9" s="113"/>
      <c r="N9" s="113">
        <v>5</v>
      </c>
      <c r="O9" s="113">
        <v>3</v>
      </c>
      <c r="P9" s="113"/>
      <c r="Q9" s="113"/>
      <c r="R9" s="113"/>
      <c r="S9" s="114"/>
      <c r="T9" s="115">
        <f t="shared" si="1"/>
        <v>17</v>
      </c>
      <c r="U9" s="95">
        <f t="shared" si="2"/>
        <v>0</v>
      </c>
      <c r="V9" s="95">
        <f t="shared" si="3"/>
        <v>0.53846153846153844</v>
      </c>
      <c r="W9" s="96">
        <f t="shared" si="4"/>
        <v>0.75</v>
      </c>
      <c r="X9" s="95">
        <f t="shared" si="0"/>
        <v>0.46666666666666667</v>
      </c>
      <c r="Y9" s="116">
        <f t="shared" si="5"/>
        <v>0.46666666666666667</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19</v>
      </c>
      <c r="F10" s="101">
        <v>2</v>
      </c>
      <c r="G10" s="102">
        <v>5</v>
      </c>
      <c r="H10" s="103">
        <v>2</v>
      </c>
      <c r="I10" s="102">
        <v>3</v>
      </c>
      <c r="J10" s="103"/>
      <c r="K10" s="102"/>
      <c r="L10" s="103">
        <v>2</v>
      </c>
      <c r="M10" s="103">
        <v>1</v>
      </c>
      <c r="N10" s="103">
        <v>4</v>
      </c>
      <c r="O10" s="103">
        <v>2</v>
      </c>
      <c r="P10" s="103"/>
      <c r="Q10" s="103"/>
      <c r="R10" s="103"/>
      <c r="S10" s="104"/>
      <c r="T10" s="105">
        <f t="shared" si="1"/>
        <v>10</v>
      </c>
      <c r="U10" s="106">
        <f t="shared" si="2"/>
        <v>0.4</v>
      </c>
      <c r="V10" s="106">
        <f t="shared" si="3"/>
        <v>0.66666666666666663</v>
      </c>
      <c r="W10" s="107" t="str">
        <f t="shared" si="4"/>
        <v/>
      </c>
      <c r="X10" s="106">
        <f t="shared" si="0"/>
        <v>0.5</v>
      </c>
      <c r="Y10" s="108">
        <f t="shared" si="5"/>
        <v>0.625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59.5</v>
      </c>
      <c r="AB11" s="385">
        <f>T31/AA11</f>
        <v>1.1428571428571428</v>
      </c>
      <c r="AC11" s="385">
        <f>L31/AA11</f>
        <v>0.25210084033613445</v>
      </c>
      <c r="AD11" s="385">
        <f>M31/AA12</f>
        <v>0.23008849557522124</v>
      </c>
      <c r="AE11" s="389">
        <f>(L31+M31)/AA11</f>
        <v>0.47058823529411764</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3</v>
      </c>
      <c r="F12" s="101"/>
      <c r="G12" s="102">
        <v>1</v>
      </c>
      <c r="H12" s="103"/>
      <c r="I12" s="102"/>
      <c r="J12" s="103"/>
      <c r="K12" s="102"/>
      <c r="L12" s="103"/>
      <c r="M12" s="103"/>
      <c r="N12" s="103"/>
      <c r="O12" s="103"/>
      <c r="P12" s="103"/>
      <c r="Q12" s="103"/>
      <c r="R12" s="103"/>
      <c r="S12" s="104"/>
      <c r="T12" s="105">
        <f t="shared" si="1"/>
        <v>0</v>
      </c>
      <c r="U12" s="106">
        <f t="shared" si="2"/>
        <v>0</v>
      </c>
      <c r="V12" s="106" t="str">
        <f t="shared" si="3"/>
        <v/>
      </c>
      <c r="W12" s="107" t="str">
        <f t="shared" si="4"/>
        <v/>
      </c>
      <c r="X12" s="106">
        <f t="shared" si="0"/>
        <v>0</v>
      </c>
      <c r="Y12" s="108">
        <f t="shared" si="5"/>
        <v>0</v>
      </c>
      <c r="Z12" s="388" t="s">
        <v>352</v>
      </c>
      <c r="AA12" s="385">
        <f>G32+I32+(K32/2)+Q32-L32</f>
        <v>56.5</v>
      </c>
      <c r="AB12" s="385">
        <f>T32/AA12</f>
        <v>0.37168141592920356</v>
      </c>
      <c r="AC12" s="385">
        <f>L32/AA12</f>
        <v>8.8495575221238937E-2</v>
      </c>
      <c r="AD12" s="385">
        <f>M32/AA11</f>
        <v>0.25210084033613445</v>
      </c>
      <c r="AE12" s="389">
        <f>(L32+M32)/AA12</f>
        <v>0.35398230088495575</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5</v>
      </c>
      <c r="F13" s="111"/>
      <c r="G13" s="112"/>
      <c r="H13" s="113">
        <v>1</v>
      </c>
      <c r="I13" s="112">
        <v>2</v>
      </c>
      <c r="J13" s="113"/>
      <c r="K13" s="112"/>
      <c r="L13" s="113">
        <v>1</v>
      </c>
      <c r="M13" s="113"/>
      <c r="N13" s="113"/>
      <c r="O13" s="113"/>
      <c r="P13" s="113"/>
      <c r="Q13" s="113">
        <v>1</v>
      </c>
      <c r="R13" s="113">
        <v>1</v>
      </c>
      <c r="S13" s="114"/>
      <c r="T13" s="115">
        <f t="shared" si="1"/>
        <v>2</v>
      </c>
      <c r="U13" s="95" t="str">
        <f t="shared" si="2"/>
        <v/>
      </c>
      <c r="V13" s="95">
        <f t="shared" si="3"/>
        <v>0.5</v>
      </c>
      <c r="W13" s="96" t="str">
        <f t="shared" si="4"/>
        <v/>
      </c>
      <c r="X13" s="95">
        <f t="shared" si="0"/>
        <v>0.5</v>
      </c>
      <c r="Y13" s="116">
        <f t="shared" si="5"/>
        <v>0.5</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21</v>
      </c>
      <c r="F14" s="101"/>
      <c r="G14" s="102">
        <v>1</v>
      </c>
      <c r="H14" s="103">
        <v>2</v>
      </c>
      <c r="I14" s="102">
        <v>4</v>
      </c>
      <c r="J14" s="103">
        <v>6</v>
      </c>
      <c r="K14" s="102">
        <v>8</v>
      </c>
      <c r="L14" s="103">
        <v>3</v>
      </c>
      <c r="M14" s="103">
        <v>6</v>
      </c>
      <c r="N14" s="103">
        <v>1</v>
      </c>
      <c r="O14" s="103">
        <v>3</v>
      </c>
      <c r="P14" s="103">
        <v>1</v>
      </c>
      <c r="Q14" s="103">
        <v>3</v>
      </c>
      <c r="R14" s="103">
        <v>1</v>
      </c>
      <c r="S14" s="104"/>
      <c r="T14" s="105">
        <f t="shared" si="1"/>
        <v>10</v>
      </c>
      <c r="U14" s="106">
        <f t="shared" si="2"/>
        <v>0</v>
      </c>
      <c r="V14" s="106">
        <f t="shared" si="3"/>
        <v>0.5</v>
      </c>
      <c r="W14" s="107">
        <f t="shared" si="4"/>
        <v>0.75</v>
      </c>
      <c r="X14" s="106">
        <f t="shared" si="0"/>
        <v>0.4</v>
      </c>
      <c r="Y14" s="108">
        <f t="shared" si="5"/>
        <v>0.4</v>
      </c>
      <c r="Z14" s="385"/>
      <c r="AA14" s="385"/>
      <c r="AB14" s="385">
        <f>N31/AA11</f>
        <v>0.2857142857142857</v>
      </c>
      <c r="AC14" s="385">
        <f>O31/AA12</f>
        <v>0.26548672566371684</v>
      </c>
      <c r="AD14" s="385">
        <f>Q31/AA11</f>
        <v>0.11764705882352941</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3</v>
      </c>
      <c r="F15" s="111"/>
      <c r="G15" s="112"/>
      <c r="H15" s="113"/>
      <c r="I15" s="112">
        <v>1</v>
      </c>
      <c r="J15" s="113"/>
      <c r="K15" s="112"/>
      <c r="L15" s="113"/>
      <c r="M15" s="113">
        <v>1</v>
      </c>
      <c r="N15" s="113"/>
      <c r="O15" s="113"/>
      <c r="P15" s="113"/>
      <c r="Q15" s="113"/>
      <c r="R15" s="113">
        <v>1</v>
      </c>
      <c r="S15" s="114"/>
      <c r="T15" s="115">
        <f t="shared" si="1"/>
        <v>0</v>
      </c>
      <c r="U15" s="95" t="str">
        <f t="shared" si="2"/>
        <v/>
      </c>
      <c r="V15" s="95">
        <f t="shared" si="3"/>
        <v>0</v>
      </c>
      <c r="W15" s="96" t="str">
        <f t="shared" si="4"/>
        <v/>
      </c>
      <c r="X15" s="95">
        <f t="shared" si="0"/>
        <v>0</v>
      </c>
      <c r="Y15" s="116">
        <f t="shared" si="5"/>
        <v>0</v>
      </c>
      <c r="Z15" s="392"/>
      <c r="AA15" s="393"/>
      <c r="AB15" s="393">
        <f>N32/AA12</f>
        <v>0.12389380530973451</v>
      </c>
      <c r="AC15" s="393">
        <f>O32/AA11</f>
        <v>3.3613445378151259E-2</v>
      </c>
      <c r="AD15" s="393">
        <f>Q32/AA12</f>
        <v>0.54867256637168138</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21</v>
      </c>
      <c r="F16" s="101">
        <v>1</v>
      </c>
      <c r="G16" s="102">
        <v>5</v>
      </c>
      <c r="H16" s="103">
        <v>5</v>
      </c>
      <c r="I16" s="102">
        <v>5</v>
      </c>
      <c r="J16" s="103"/>
      <c r="K16" s="102">
        <v>3</v>
      </c>
      <c r="L16" s="103">
        <v>2</v>
      </c>
      <c r="M16" s="103">
        <v>3</v>
      </c>
      <c r="N16" s="103">
        <v>3</v>
      </c>
      <c r="O16" s="103">
        <v>2</v>
      </c>
      <c r="P16" s="103"/>
      <c r="Q16" s="103"/>
      <c r="R16" s="103">
        <v>3</v>
      </c>
      <c r="S16" s="104"/>
      <c r="T16" s="105">
        <f t="shared" si="1"/>
        <v>13</v>
      </c>
      <c r="U16" s="106">
        <f t="shared" si="2"/>
        <v>0.2</v>
      </c>
      <c r="V16" s="106">
        <f t="shared" si="3"/>
        <v>1</v>
      </c>
      <c r="W16" s="107">
        <f t="shared" si="4"/>
        <v>0</v>
      </c>
      <c r="X16" s="106">
        <f t="shared" si="0"/>
        <v>0.6</v>
      </c>
      <c r="Y16" s="108">
        <f t="shared" si="5"/>
        <v>0.65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4</v>
      </c>
      <c r="F17" s="111"/>
      <c r="G17" s="112">
        <v>1</v>
      </c>
      <c r="H17" s="113">
        <v>1</v>
      </c>
      <c r="I17" s="112">
        <v>1</v>
      </c>
      <c r="J17" s="113"/>
      <c r="K17" s="112"/>
      <c r="L17" s="113"/>
      <c r="M17" s="113">
        <v>1</v>
      </c>
      <c r="N17" s="113"/>
      <c r="O17" s="113"/>
      <c r="P17" s="113"/>
      <c r="Q17" s="113"/>
      <c r="R17" s="113">
        <v>1</v>
      </c>
      <c r="S17" s="114"/>
      <c r="T17" s="115">
        <f t="shared" si="1"/>
        <v>2</v>
      </c>
      <c r="U17" s="95">
        <f t="shared" si="2"/>
        <v>0</v>
      </c>
      <c r="V17" s="95">
        <f t="shared" si="3"/>
        <v>1</v>
      </c>
      <c r="W17" s="96" t="str">
        <f t="shared" si="4"/>
        <v/>
      </c>
      <c r="X17" s="95">
        <f t="shared" si="0"/>
        <v>0.5</v>
      </c>
      <c r="Y17" s="116">
        <f t="shared" si="5"/>
        <v>0.5</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v>1</v>
      </c>
      <c r="G18" s="102">
        <v>3</v>
      </c>
      <c r="H18" s="103"/>
      <c r="I18" s="102"/>
      <c r="J18" s="103"/>
      <c r="K18" s="102"/>
      <c r="L18" s="103"/>
      <c r="M18" s="103"/>
      <c r="N18" s="103"/>
      <c r="O18" s="103"/>
      <c r="P18" s="103"/>
      <c r="Q18" s="103"/>
      <c r="R18" s="103"/>
      <c r="S18" s="104"/>
      <c r="T18" s="105">
        <f t="shared" si="1"/>
        <v>3</v>
      </c>
      <c r="U18" s="106">
        <f t="shared" si="2"/>
        <v>0.33333333333333331</v>
      </c>
      <c r="V18" s="106" t="str">
        <f t="shared" si="3"/>
        <v/>
      </c>
      <c r="W18" s="107" t="str">
        <f t="shared" si="4"/>
        <v/>
      </c>
      <c r="X18" s="106">
        <f t="shared" si="0"/>
        <v>0.33333333333333331</v>
      </c>
      <c r="Y18" s="108">
        <f t="shared" si="5"/>
        <v>0.5</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15</v>
      </c>
      <c r="F19" s="111"/>
      <c r="G19" s="112">
        <v>1</v>
      </c>
      <c r="H19" s="113">
        <v>2</v>
      </c>
      <c r="I19" s="112">
        <v>3</v>
      </c>
      <c r="J19" s="113"/>
      <c r="K19" s="112"/>
      <c r="L19" s="113">
        <v>2</v>
      </c>
      <c r="M19" s="113">
        <v>1</v>
      </c>
      <c r="N19" s="113">
        <v>2</v>
      </c>
      <c r="O19" s="113"/>
      <c r="P19" s="113"/>
      <c r="Q19" s="113"/>
      <c r="R19" s="113">
        <v>2</v>
      </c>
      <c r="S19" s="114">
        <v>1</v>
      </c>
      <c r="T19" s="115">
        <f t="shared" si="1"/>
        <v>4</v>
      </c>
      <c r="U19" s="95">
        <f t="shared" si="2"/>
        <v>0</v>
      </c>
      <c r="V19" s="95">
        <f t="shared" si="3"/>
        <v>0.66666666666666663</v>
      </c>
      <c r="W19" s="96" t="str">
        <f t="shared" si="4"/>
        <v/>
      </c>
      <c r="X19" s="95">
        <f t="shared" si="0"/>
        <v>0.5</v>
      </c>
      <c r="Y19" s="116">
        <f t="shared" si="5"/>
        <v>0.5</v>
      </c>
      <c r="Z19" s="388" t="s">
        <v>124</v>
      </c>
      <c r="AA19" s="385">
        <f>AB11*65</f>
        <v>74.285714285714278</v>
      </c>
      <c r="AB19" s="385">
        <f t="shared" ref="AB19:AD20" si="6">AC11*65</f>
        <v>16.386554621848738</v>
      </c>
      <c r="AC19" s="385">
        <f t="shared" si="6"/>
        <v>14.955752212389381</v>
      </c>
      <c r="AD19" s="385">
        <f t="shared" si="6"/>
        <v>30.588235294117645</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24.159292035398231</v>
      </c>
      <c r="AB20" s="385">
        <f t="shared" si="6"/>
        <v>5.7522123893805306</v>
      </c>
      <c r="AC20" s="385">
        <f t="shared" si="6"/>
        <v>16.386554621848738</v>
      </c>
      <c r="AD20" s="385">
        <f t="shared" si="6"/>
        <v>23.008849557522122</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18.571428571428569</v>
      </c>
      <c r="AC22" s="385">
        <f t="shared" si="7"/>
        <v>17.256637168141594</v>
      </c>
      <c r="AD22" s="385">
        <f>AD14*65</f>
        <v>7.6470588235294112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8.053097345132743</v>
      </c>
      <c r="AC23" s="393">
        <f t="shared" si="7"/>
        <v>2.1848739495798317</v>
      </c>
      <c r="AD23" s="393">
        <f t="shared" si="7"/>
        <v>35.663716814159287</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59</v>
      </c>
      <c r="B31" s="126" t="s">
        <v>161</v>
      </c>
      <c r="C31" s="151"/>
      <c r="D31" s="152">
        <f>IF(COUNTA($D$7:$D$30)&gt;0,1,"")</f>
        <v>1</v>
      </c>
      <c r="E31" s="127">
        <f>IF(D31=1,32+J4*4,"")</f>
        <v>32</v>
      </c>
      <c r="F31" s="128">
        <f t="shared" ref="F31:S31" si="8">SUM(F7:F30)</f>
        <v>5</v>
      </c>
      <c r="G31" s="129">
        <f t="shared" si="8"/>
        <v>24</v>
      </c>
      <c r="H31" s="128">
        <f t="shared" si="8"/>
        <v>22</v>
      </c>
      <c r="I31" s="130">
        <f t="shared" si="8"/>
        <v>35</v>
      </c>
      <c r="J31" s="129">
        <f t="shared" si="8"/>
        <v>9</v>
      </c>
      <c r="K31" s="130">
        <f t="shared" si="8"/>
        <v>17</v>
      </c>
      <c r="L31" s="129">
        <f t="shared" si="8"/>
        <v>15</v>
      </c>
      <c r="M31" s="129">
        <f t="shared" si="8"/>
        <v>13</v>
      </c>
      <c r="N31" s="129">
        <f t="shared" si="8"/>
        <v>17</v>
      </c>
      <c r="O31" s="129">
        <f t="shared" si="8"/>
        <v>15</v>
      </c>
      <c r="P31" s="129">
        <f t="shared" si="8"/>
        <v>1</v>
      </c>
      <c r="Q31" s="129">
        <f t="shared" si="8"/>
        <v>7</v>
      </c>
      <c r="R31" s="129">
        <f t="shared" si="8"/>
        <v>10</v>
      </c>
      <c r="S31" s="131">
        <f t="shared" si="8"/>
        <v>1</v>
      </c>
      <c r="T31" s="132">
        <f>IF(J31+2*H31+3*F31&gt;0,J31+2*H31+3*F31,IF(H4&gt;0,H4,""))</f>
        <v>68</v>
      </c>
      <c r="U31" s="133">
        <f>IF(G31&gt;0,F31/G31,"")</f>
        <v>0.20833333333333334</v>
      </c>
      <c r="V31" s="133">
        <f>IF(I31&gt;0,H31/I31,"")</f>
        <v>0.62857142857142856</v>
      </c>
      <c r="W31" s="134">
        <f>IF(K31&gt;0,J31/K31,"")</f>
        <v>0.52941176470588236</v>
      </c>
      <c r="X31" s="133">
        <f t="shared" si="0"/>
        <v>0.4576271186440678</v>
      </c>
      <c r="Y31" s="135">
        <f t="shared" si="5"/>
        <v>0.5</v>
      </c>
      <c r="AB31" s="51"/>
      <c r="AC31" s="51"/>
      <c r="AD31" s="51"/>
      <c r="AE31" s="51"/>
      <c r="AF31" s="136"/>
      <c r="AG31" s="136"/>
      <c r="AH31" s="136"/>
      <c r="AI31" s="51"/>
    </row>
    <row r="32" spans="1:35" s="18" customFormat="1" ht="17.25" thickTop="1" thickBot="1" x14ac:dyDescent="0.3">
      <c r="A32" s="51">
        <f>ROUND(G32+I32+0.475*K32-L32+Q32,0)</f>
        <v>56</v>
      </c>
      <c r="B32" s="137" t="s">
        <v>162</v>
      </c>
      <c r="C32" s="153"/>
      <c r="D32" s="138">
        <f>IF(SUM(F32:S32)&gt;0,1,"")</f>
        <v>1</v>
      </c>
      <c r="E32" s="138">
        <f>IF(D32=1,E31,0)</f>
        <v>32</v>
      </c>
      <c r="F32" s="139">
        <v>1</v>
      </c>
      <c r="G32" s="140">
        <v>6</v>
      </c>
      <c r="H32" s="139">
        <v>6</v>
      </c>
      <c r="I32" s="141">
        <v>19</v>
      </c>
      <c r="J32" s="139">
        <v>6</v>
      </c>
      <c r="K32" s="141">
        <v>11</v>
      </c>
      <c r="L32" s="140">
        <v>5</v>
      </c>
      <c r="M32" s="140">
        <v>15</v>
      </c>
      <c r="N32" s="140">
        <v>7</v>
      </c>
      <c r="O32" s="140">
        <v>2</v>
      </c>
      <c r="P32" s="140">
        <v>1</v>
      </c>
      <c r="Q32" s="140">
        <v>31</v>
      </c>
      <c r="R32" s="140">
        <v>11</v>
      </c>
      <c r="S32" s="142"/>
      <c r="T32" s="143">
        <f>IF(J32+2*H32+3*F32&gt;0,J32+2*H32+3*F32,IF(H3&gt;0,H3,""))</f>
        <v>21</v>
      </c>
      <c r="U32" s="144">
        <f>IF(G32&gt;0,F32/G32,"")</f>
        <v>0.16666666666666666</v>
      </c>
      <c r="V32" s="144">
        <f>IF(I32&gt;0,H32/I32,"")</f>
        <v>0.31578947368421051</v>
      </c>
      <c r="W32" s="145">
        <f>IF(K32&gt;0,J32/K32,"")</f>
        <v>0.54545454545454541</v>
      </c>
      <c r="X32" s="144">
        <f t="shared" si="0"/>
        <v>0.28000000000000003</v>
      </c>
      <c r="Y32" s="146">
        <f t="shared" si="5"/>
        <v>0.3</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602" priority="29">
      <formula>AND($H$4&gt;0,$H$4&lt;&gt;$T$31)</formula>
    </cfRule>
  </conditionalFormatting>
  <conditionalFormatting sqref="T32 H3">
    <cfRule type="expression" dxfId="601" priority="28">
      <formula>AND($H$3&gt;0,$H$3&lt;&gt;$T$32)</formula>
    </cfRule>
  </conditionalFormatting>
  <conditionalFormatting sqref="A2">
    <cfRule type="cellIs" dxfId="600" priority="27" operator="equal">
      <formula>"R"</formula>
    </cfRule>
  </conditionalFormatting>
  <conditionalFormatting sqref="F7:F30 H7:H30 J7:J30">
    <cfRule type="expression" dxfId="599" priority="26">
      <formula>F7&gt;G7</formula>
    </cfRule>
  </conditionalFormatting>
  <conditionalFormatting sqref="E7:E30">
    <cfRule type="expression" dxfId="598" priority="25">
      <formula>$E7&gt;$E$31</formula>
    </cfRule>
  </conditionalFormatting>
  <conditionalFormatting sqref="L6">
    <cfRule type="expression" dxfId="597" priority="24">
      <formula>OR($L$31&gt;($G$31+$I$31+$K$31-$F$31-$H$31-$J$31),L32&gt;(G31+I31+K31-F31-H31-J31))</formula>
    </cfRule>
  </conditionalFormatting>
  <conditionalFormatting sqref="M6">
    <cfRule type="expression" dxfId="596" priority="23">
      <formula>OR(M31&gt;(G32-F32+I32-H32+K32-J32),M32&gt;(G31-F31+I31-H31+K31-J31))</formula>
    </cfRule>
  </conditionalFormatting>
  <conditionalFormatting sqref="N6">
    <cfRule type="expression" dxfId="595" priority="22">
      <formula>OR($N$31&gt;($F$31+$H$31),$N$32&gt;($F$32+$H$32))</formula>
    </cfRule>
  </conditionalFormatting>
  <conditionalFormatting sqref="P6">
    <cfRule type="expression" dxfId="594" priority="21">
      <formula>OR($P$31&gt;(G32-F32+I32-H32),P32&gt;(G31-F31+I31-H31))</formula>
    </cfRule>
  </conditionalFormatting>
  <conditionalFormatting sqref="Q6">
    <cfRule type="expression" dxfId="593" priority="20">
      <formula>OR($Q$31&lt;$O$32,$Q$32&lt;$O$31)</formula>
    </cfRule>
  </conditionalFormatting>
  <conditionalFormatting sqref="L31:L32">
    <cfRule type="cellIs" dxfId="592" priority="19" operator="greaterThan">
      <formula>$G31+$I31+$K31-$F31-$H31-$J31</formula>
    </cfRule>
  </conditionalFormatting>
  <conditionalFormatting sqref="M32">
    <cfRule type="cellIs" dxfId="591" priority="18" operator="greaterThan">
      <formula>$G$31-$F$31+$I$31-$H$31+$K$31-$J$31</formula>
    </cfRule>
  </conditionalFormatting>
  <conditionalFormatting sqref="N31:N32">
    <cfRule type="cellIs" dxfId="590" priority="17" operator="greaterThan">
      <formula>$F31+$H31</formula>
    </cfRule>
  </conditionalFormatting>
  <conditionalFormatting sqref="O32">
    <cfRule type="cellIs" dxfId="589" priority="10" operator="greaterThan">
      <formula>$Q$31</formula>
    </cfRule>
  </conditionalFormatting>
  <conditionalFormatting sqref="P31">
    <cfRule type="cellIs" dxfId="588" priority="16" operator="greaterThan">
      <formula>$G$32-$F$32+$I$32-$H$32</formula>
    </cfRule>
  </conditionalFormatting>
  <conditionalFormatting sqref="Q32">
    <cfRule type="cellIs" dxfId="587" priority="15" operator="lessThan">
      <formula>$O$31</formula>
    </cfRule>
  </conditionalFormatting>
  <conditionalFormatting sqref="F7:F32">
    <cfRule type="cellIs" dxfId="586" priority="14" operator="greaterThan">
      <formula>G7</formula>
    </cfRule>
  </conditionalFormatting>
  <conditionalFormatting sqref="H7:H32">
    <cfRule type="cellIs" dxfId="585" priority="13" operator="greaterThan">
      <formula>I7</formula>
    </cfRule>
  </conditionalFormatting>
  <conditionalFormatting sqref="J7:J32">
    <cfRule type="cellIs" dxfId="584" priority="12" operator="greaterThan">
      <formula>K7</formula>
    </cfRule>
  </conditionalFormatting>
  <conditionalFormatting sqref="M4">
    <cfRule type="cellIs" dxfId="583" priority="11" operator="notBetween">
      <formula>$AH$2</formula>
      <formula>$AI$2</formula>
    </cfRule>
  </conditionalFormatting>
  <conditionalFormatting sqref="O31">
    <cfRule type="cellIs" dxfId="582" priority="9" operator="greaterThan">
      <formula>$Q$32</formula>
    </cfRule>
  </conditionalFormatting>
  <conditionalFormatting sqref="Q31">
    <cfRule type="cellIs" dxfId="581" priority="8" operator="lessThan">
      <formula>$O$32</formula>
    </cfRule>
  </conditionalFormatting>
  <conditionalFormatting sqref="M31">
    <cfRule type="cellIs" dxfId="580" priority="7" operator="greaterThan">
      <formula>G32-F32 +I32-H32+K32-J32</formula>
    </cfRule>
  </conditionalFormatting>
  <conditionalFormatting sqref="B3">
    <cfRule type="expression" dxfId="579" priority="6">
      <formula>$W$2 = TRUE</formula>
    </cfRule>
  </conditionalFormatting>
  <conditionalFormatting sqref="P4:Q4">
    <cfRule type="expression" dxfId="578" priority="5">
      <formula>OR(AND($P$4=1,$X$4=1),AND($Q$4=1,$W$4=1))</formula>
    </cfRule>
  </conditionalFormatting>
  <conditionalFormatting sqref="D7:D30">
    <cfRule type="expression" dxfId="577" priority="30">
      <formula>AND($D7=0,SUM($F7:$S7)&gt;0)</formula>
    </cfRule>
  </conditionalFormatting>
  <conditionalFormatting sqref="O6">
    <cfRule type="expression" dxfId="576" priority="4">
      <formula>OR($O$31&gt;$Q$32,$O$32&gt;$Q$31)</formula>
    </cfRule>
  </conditionalFormatting>
  <conditionalFormatting sqref="F6">
    <cfRule type="expression" dxfId="575" priority="3">
      <formula>OR(F$31&gt;G$31,F$32&gt;G$32)</formula>
    </cfRule>
  </conditionalFormatting>
  <conditionalFormatting sqref="H6">
    <cfRule type="expression" dxfId="574" priority="2">
      <formula>OR(H$31&gt;I$31,H$32&gt;I$32)</formula>
    </cfRule>
  </conditionalFormatting>
  <conditionalFormatting sqref="J6">
    <cfRule type="expression" dxfId="573"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AA37" sqref="AA37"/>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323</v>
      </c>
      <c r="C3" s="70">
        <v>9</v>
      </c>
      <c r="D3" s="71">
        <v>6</v>
      </c>
      <c r="E3" s="71">
        <v>10</v>
      </c>
      <c r="F3" s="71">
        <v>7</v>
      </c>
      <c r="G3" s="72"/>
      <c r="H3" s="73">
        <f>SUM(C3:G3)</f>
        <v>32</v>
      </c>
      <c r="J3" s="12" t="s">
        <v>165</v>
      </c>
      <c r="P3" s="74" t="s">
        <v>135</v>
      </c>
      <c r="Q3" s="74" t="s">
        <v>137</v>
      </c>
      <c r="S3" s="75" t="s">
        <v>138</v>
      </c>
      <c r="U3" s="76" t="s">
        <v>139</v>
      </c>
      <c r="W3" s="77" t="s">
        <v>134</v>
      </c>
      <c r="X3" s="77" t="s">
        <v>136</v>
      </c>
      <c r="AA3" s="48" t="str">
        <f>B4</f>
        <v>Upton</v>
      </c>
      <c r="AD3" s="48">
        <f>SUM($C3:C3)</f>
        <v>9</v>
      </c>
      <c r="AE3" s="48">
        <f>SUM($C3:D3)</f>
        <v>15</v>
      </c>
      <c r="AF3" s="48">
        <f>SUM($C3:E3)</f>
        <v>25</v>
      </c>
      <c r="AG3" s="48">
        <f>SUM($C3:F3)</f>
        <v>32</v>
      </c>
      <c r="AH3" s="48">
        <f>SUM($C3:G3)</f>
        <v>32</v>
      </c>
      <c r="AJ3" s="74"/>
    </row>
    <row r="4" spans="1:36" ht="16.5" customHeight="1" thickTop="1" thickBot="1" x14ac:dyDescent="0.3">
      <c r="B4" s="78" t="str">
        <f>Roster!$B$1</f>
        <v>Upton</v>
      </c>
      <c r="C4" s="79">
        <v>23</v>
      </c>
      <c r="D4" s="80">
        <v>21</v>
      </c>
      <c r="E4" s="80">
        <v>21</v>
      </c>
      <c r="F4" s="80">
        <v>9</v>
      </c>
      <c r="G4" s="81"/>
      <c r="H4" s="82">
        <f>SUM(C4:G4)</f>
        <v>74</v>
      </c>
      <c r="J4" s="83"/>
      <c r="L4" s="84" t="s">
        <v>133</v>
      </c>
      <c r="M4" s="404">
        <v>44981</v>
      </c>
      <c r="N4" s="405"/>
      <c r="P4" s="83"/>
      <c r="Q4" s="83"/>
      <c r="S4" s="83"/>
      <c r="U4" s="83"/>
      <c r="W4" s="85">
        <f>IF(OR($S$4=1,$H$4&gt;$H$3),1,"")</f>
        <v>1</v>
      </c>
      <c r="X4" s="85" t="str">
        <f>IF(OR($U$4=1,$H$4&lt;$H$3),1,"")</f>
        <v/>
      </c>
      <c r="AA4" s="48" t="str">
        <f>B3</f>
        <v>Kaycee</v>
      </c>
      <c r="AD4" s="48">
        <f>SUM($C4:C4)</f>
        <v>23</v>
      </c>
      <c r="AE4" s="48">
        <f>SUM($C4:D4)</f>
        <v>44</v>
      </c>
      <c r="AF4" s="48">
        <f>SUM($C4:E4)</f>
        <v>65</v>
      </c>
      <c r="AG4" s="48">
        <f>SUM($C4:F4)</f>
        <v>74</v>
      </c>
      <c r="AH4" s="48">
        <f>SUM($C4:G4)</f>
        <v>74</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3</v>
      </c>
      <c r="F7" s="90"/>
      <c r="G7" s="91"/>
      <c r="H7" s="92"/>
      <c r="I7" s="91"/>
      <c r="J7" s="92"/>
      <c r="K7" s="91"/>
      <c r="L7" s="92"/>
      <c r="M7" s="92"/>
      <c r="N7" s="92">
        <v>1</v>
      </c>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20</v>
      </c>
      <c r="F8" s="101"/>
      <c r="G8" s="102"/>
      <c r="H8" s="103">
        <v>3</v>
      </c>
      <c r="I8" s="102">
        <v>6</v>
      </c>
      <c r="J8" s="103">
        <v>1</v>
      </c>
      <c r="K8" s="102">
        <v>2</v>
      </c>
      <c r="L8" s="103"/>
      <c r="M8" s="103">
        <v>2</v>
      </c>
      <c r="N8" s="103">
        <v>2</v>
      </c>
      <c r="O8" s="103"/>
      <c r="P8" s="103"/>
      <c r="Q8" s="103">
        <v>3</v>
      </c>
      <c r="R8" s="103">
        <v>1</v>
      </c>
      <c r="S8" s="104"/>
      <c r="T8" s="105">
        <f t="shared" ref="T8:T30" si="1">IF(J8+2*H8+3*F8&gt;0,J8+2*H8+3*F8,0)</f>
        <v>7</v>
      </c>
      <c r="U8" s="106" t="str">
        <f t="shared" ref="U8:U30" si="2">IF(G8&gt;0,F8/G8,"")</f>
        <v/>
      </c>
      <c r="V8" s="106">
        <f t="shared" ref="V8:V30" si="3">IF(I8&gt;0,H8/I8,"")</f>
        <v>0.5</v>
      </c>
      <c r="W8" s="107">
        <f t="shared" ref="W8:W30" si="4">IF(K8&gt;0,J8/K8,"")</f>
        <v>0.5</v>
      </c>
      <c r="X8" s="106">
        <f t="shared" si="0"/>
        <v>0.5</v>
      </c>
      <c r="Y8" s="108">
        <f t="shared" ref="Y8:Y32" si="5">IF(OR(G8&gt;0,I8 &gt;0),(1.5*F8+H8)/(G8+I8),"")</f>
        <v>0.5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20</v>
      </c>
      <c r="F9" s="111">
        <v>1</v>
      </c>
      <c r="G9" s="112">
        <v>6</v>
      </c>
      <c r="H9" s="113">
        <v>6</v>
      </c>
      <c r="I9" s="112">
        <v>7</v>
      </c>
      <c r="J9" s="113"/>
      <c r="K9" s="112"/>
      <c r="L9" s="113"/>
      <c r="M9" s="113">
        <v>4</v>
      </c>
      <c r="N9" s="113">
        <v>6</v>
      </c>
      <c r="O9" s="113">
        <v>1</v>
      </c>
      <c r="P9" s="113"/>
      <c r="Q9" s="113">
        <v>1</v>
      </c>
      <c r="R9" s="113"/>
      <c r="S9" s="114">
        <v>1</v>
      </c>
      <c r="T9" s="115">
        <f t="shared" si="1"/>
        <v>15</v>
      </c>
      <c r="U9" s="95">
        <f t="shared" si="2"/>
        <v>0.16666666666666666</v>
      </c>
      <c r="V9" s="95">
        <f t="shared" si="3"/>
        <v>0.8571428571428571</v>
      </c>
      <c r="W9" s="96" t="str">
        <f t="shared" si="4"/>
        <v/>
      </c>
      <c r="X9" s="95">
        <f t="shared" si="0"/>
        <v>0.53846153846153844</v>
      </c>
      <c r="Y9" s="116">
        <f t="shared" si="5"/>
        <v>0.57692307692307687</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21</v>
      </c>
      <c r="F10" s="101">
        <v>2</v>
      </c>
      <c r="G10" s="102">
        <v>4</v>
      </c>
      <c r="H10" s="103">
        <v>5</v>
      </c>
      <c r="I10" s="102">
        <v>5</v>
      </c>
      <c r="J10" s="103">
        <v>3</v>
      </c>
      <c r="K10" s="102">
        <v>3</v>
      </c>
      <c r="L10" s="103">
        <v>3</v>
      </c>
      <c r="M10" s="103">
        <v>3</v>
      </c>
      <c r="N10" s="103">
        <v>5</v>
      </c>
      <c r="O10" s="103">
        <v>3</v>
      </c>
      <c r="P10" s="103"/>
      <c r="Q10" s="103">
        <v>2</v>
      </c>
      <c r="R10" s="103">
        <v>3</v>
      </c>
      <c r="S10" s="104">
        <v>1</v>
      </c>
      <c r="T10" s="105">
        <f t="shared" si="1"/>
        <v>19</v>
      </c>
      <c r="U10" s="106">
        <f t="shared" si="2"/>
        <v>0.5</v>
      </c>
      <c r="V10" s="106">
        <f t="shared" si="3"/>
        <v>1</v>
      </c>
      <c r="W10" s="107">
        <f t="shared" si="4"/>
        <v>1</v>
      </c>
      <c r="X10" s="106">
        <f t="shared" si="0"/>
        <v>0.77777777777777779</v>
      </c>
      <c r="Y10" s="108">
        <f t="shared" si="5"/>
        <v>0.88888888888888884</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60</v>
      </c>
      <c r="AB11" s="385">
        <f>T31/AA11</f>
        <v>1.2333333333333334</v>
      </c>
      <c r="AC11" s="385">
        <f>L31/AA11</f>
        <v>0.11666666666666667</v>
      </c>
      <c r="AD11" s="385">
        <f>M31/AA12</f>
        <v>0.31496062992125984</v>
      </c>
      <c r="AE11" s="389">
        <f>(L31+M31)/AA11</f>
        <v>0.45</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1</v>
      </c>
      <c r="F12" s="101"/>
      <c r="G12" s="102"/>
      <c r="H12" s="103"/>
      <c r="I12" s="102"/>
      <c r="J12" s="103"/>
      <c r="K12" s="102"/>
      <c r="L12" s="103"/>
      <c r="M12" s="103"/>
      <c r="N12" s="103"/>
      <c r="O12" s="103"/>
      <c r="P12" s="103"/>
      <c r="Q12" s="103">
        <v>1</v>
      </c>
      <c r="R12" s="103">
        <v>1</v>
      </c>
      <c r="S12" s="104"/>
      <c r="T12" s="105">
        <f t="shared" si="1"/>
        <v>0</v>
      </c>
      <c r="U12" s="106" t="str">
        <f t="shared" si="2"/>
        <v/>
      </c>
      <c r="V12" s="106" t="str">
        <f t="shared" si="3"/>
        <v/>
      </c>
      <c r="W12" s="107" t="str">
        <f t="shared" si="4"/>
        <v/>
      </c>
      <c r="X12" s="106" t="str">
        <f t="shared" si="0"/>
        <v/>
      </c>
      <c r="Y12" s="108" t="str">
        <f t="shared" si="5"/>
        <v/>
      </c>
      <c r="Z12" s="388" t="s">
        <v>352</v>
      </c>
      <c r="AA12" s="385">
        <f>G32+I32+(K32/2)+Q32-L32</f>
        <v>63.5</v>
      </c>
      <c r="AB12" s="385">
        <f>T32/AA12</f>
        <v>0.50393700787401574</v>
      </c>
      <c r="AC12" s="385">
        <f>L32/AA12</f>
        <v>0.22047244094488189</v>
      </c>
      <c r="AD12" s="385">
        <f>M32/AA11</f>
        <v>0.15</v>
      </c>
      <c r="AE12" s="389">
        <f>(L32+M32)/AA12</f>
        <v>0.36220472440944884</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2</v>
      </c>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15</v>
      </c>
      <c r="F14" s="101">
        <v>1</v>
      </c>
      <c r="G14" s="102">
        <v>2</v>
      </c>
      <c r="H14" s="103">
        <v>2</v>
      </c>
      <c r="I14" s="102">
        <v>5</v>
      </c>
      <c r="J14" s="103">
        <v>1</v>
      </c>
      <c r="K14" s="102">
        <v>2</v>
      </c>
      <c r="L14" s="103">
        <v>1</v>
      </c>
      <c r="M14" s="103">
        <v>4</v>
      </c>
      <c r="N14" s="103">
        <v>2</v>
      </c>
      <c r="O14" s="103">
        <v>4</v>
      </c>
      <c r="P14" s="103">
        <v>1</v>
      </c>
      <c r="Q14" s="103">
        <v>5</v>
      </c>
      <c r="R14" s="103">
        <v>1</v>
      </c>
      <c r="S14" s="104"/>
      <c r="T14" s="105">
        <f t="shared" si="1"/>
        <v>8</v>
      </c>
      <c r="U14" s="106">
        <f t="shared" si="2"/>
        <v>0.5</v>
      </c>
      <c r="V14" s="106">
        <f t="shared" si="3"/>
        <v>0.4</v>
      </c>
      <c r="W14" s="107">
        <f t="shared" si="4"/>
        <v>0.5</v>
      </c>
      <c r="X14" s="106">
        <f t="shared" si="0"/>
        <v>0.42857142857142855</v>
      </c>
      <c r="Y14" s="108">
        <f t="shared" si="5"/>
        <v>0.5</v>
      </c>
      <c r="Z14" s="385"/>
      <c r="AA14" s="385"/>
      <c r="AB14" s="385">
        <f>N31/AA11</f>
        <v>0.36666666666666664</v>
      </c>
      <c r="AC14" s="385">
        <f>O31/AA12</f>
        <v>0.15748031496062992</v>
      </c>
      <c r="AD14" s="385">
        <f>Q31/AA11</f>
        <v>0.26666666666666666</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11</v>
      </c>
      <c r="F15" s="111">
        <v>2</v>
      </c>
      <c r="G15" s="112">
        <v>3</v>
      </c>
      <c r="H15" s="113"/>
      <c r="I15" s="112"/>
      <c r="J15" s="113"/>
      <c r="K15" s="112"/>
      <c r="L15" s="113">
        <v>1</v>
      </c>
      <c r="M15" s="113">
        <v>3</v>
      </c>
      <c r="N15" s="113">
        <v>1</v>
      </c>
      <c r="O15" s="113">
        <v>1</v>
      </c>
      <c r="P15" s="113"/>
      <c r="Q15" s="113">
        <v>1</v>
      </c>
      <c r="R15" s="113">
        <v>2</v>
      </c>
      <c r="S15" s="114">
        <v>1</v>
      </c>
      <c r="T15" s="115">
        <f t="shared" si="1"/>
        <v>6</v>
      </c>
      <c r="U15" s="95">
        <f t="shared" si="2"/>
        <v>0.66666666666666663</v>
      </c>
      <c r="V15" s="95" t="str">
        <f t="shared" si="3"/>
        <v/>
      </c>
      <c r="W15" s="96" t="str">
        <f t="shared" si="4"/>
        <v/>
      </c>
      <c r="X15" s="95">
        <f t="shared" si="0"/>
        <v>0.66666666666666663</v>
      </c>
      <c r="Y15" s="116">
        <f t="shared" si="5"/>
        <v>1</v>
      </c>
      <c r="Z15" s="392"/>
      <c r="AA15" s="393"/>
      <c r="AB15" s="393">
        <f>N32/AA12</f>
        <v>0.12598425196850394</v>
      </c>
      <c r="AC15" s="393">
        <f>O32/AA11</f>
        <v>0.13333333333333333</v>
      </c>
      <c r="AD15" s="393">
        <f>Q32/AA12</f>
        <v>0.34645669291338582</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16</v>
      </c>
      <c r="F16" s="101">
        <v>2</v>
      </c>
      <c r="G16" s="102">
        <v>2</v>
      </c>
      <c r="H16" s="103">
        <v>5</v>
      </c>
      <c r="I16" s="102">
        <v>5</v>
      </c>
      <c r="J16" s="103">
        <v>1</v>
      </c>
      <c r="K16" s="102">
        <v>3</v>
      </c>
      <c r="L16" s="103">
        <v>1</v>
      </c>
      <c r="M16" s="103">
        <v>3</v>
      </c>
      <c r="N16" s="103">
        <v>3</v>
      </c>
      <c r="O16" s="103"/>
      <c r="P16" s="103"/>
      <c r="Q16" s="103">
        <v>1</v>
      </c>
      <c r="R16" s="103">
        <v>2</v>
      </c>
      <c r="S16" s="104">
        <v>1</v>
      </c>
      <c r="T16" s="105">
        <f t="shared" si="1"/>
        <v>17</v>
      </c>
      <c r="U16" s="106">
        <f t="shared" si="2"/>
        <v>1</v>
      </c>
      <c r="V16" s="106">
        <f t="shared" si="3"/>
        <v>1</v>
      </c>
      <c r="W16" s="107">
        <f t="shared" si="4"/>
        <v>0.33333333333333331</v>
      </c>
      <c r="X16" s="106">
        <f t="shared" si="0"/>
        <v>1</v>
      </c>
      <c r="Y16" s="108">
        <f t="shared" si="5"/>
        <v>1.1428571428571428</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1</v>
      </c>
      <c r="F17" s="111"/>
      <c r="G17" s="112"/>
      <c r="H17" s="113"/>
      <c r="I17" s="112"/>
      <c r="J17" s="113"/>
      <c r="K17" s="112"/>
      <c r="L17" s="113"/>
      <c r="M17" s="113"/>
      <c r="N17" s="113"/>
      <c r="O17" s="113"/>
      <c r="P17" s="113"/>
      <c r="Q17" s="113">
        <v>1</v>
      </c>
      <c r="R17" s="113">
        <v>2</v>
      </c>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11</v>
      </c>
      <c r="F19" s="111"/>
      <c r="G19" s="112"/>
      <c r="H19" s="113"/>
      <c r="I19" s="112"/>
      <c r="J19" s="113">
        <v>2</v>
      </c>
      <c r="K19" s="112">
        <v>2</v>
      </c>
      <c r="L19" s="113">
        <v>1</v>
      </c>
      <c r="M19" s="113">
        <v>1</v>
      </c>
      <c r="N19" s="113">
        <v>2</v>
      </c>
      <c r="O19" s="113">
        <v>1</v>
      </c>
      <c r="P19" s="113"/>
      <c r="Q19" s="113">
        <v>1</v>
      </c>
      <c r="R19" s="113"/>
      <c r="S19" s="114"/>
      <c r="T19" s="115">
        <f t="shared" si="1"/>
        <v>2</v>
      </c>
      <c r="U19" s="95" t="str">
        <f t="shared" si="2"/>
        <v/>
      </c>
      <c r="V19" s="95" t="str">
        <f t="shared" si="3"/>
        <v/>
      </c>
      <c r="W19" s="96">
        <f t="shared" si="4"/>
        <v>1</v>
      </c>
      <c r="X19" s="95" t="str">
        <f t="shared" si="0"/>
        <v/>
      </c>
      <c r="Y19" s="116" t="str">
        <f t="shared" si="5"/>
        <v/>
      </c>
      <c r="Z19" s="388" t="s">
        <v>124</v>
      </c>
      <c r="AA19" s="385">
        <f>AB11*65</f>
        <v>80.166666666666671</v>
      </c>
      <c r="AB19" s="385">
        <f t="shared" ref="AB19:AD20" si="6">AC11*65</f>
        <v>7.583333333333333</v>
      </c>
      <c r="AC19" s="385">
        <f t="shared" si="6"/>
        <v>20.472440944881889</v>
      </c>
      <c r="AD19" s="385">
        <f t="shared" si="6"/>
        <v>29.25</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32.755905511811022</v>
      </c>
      <c r="AB20" s="385">
        <f t="shared" si="6"/>
        <v>14.330708661417322</v>
      </c>
      <c r="AC20" s="385">
        <f t="shared" si="6"/>
        <v>9.75</v>
      </c>
      <c r="AD20" s="385">
        <f t="shared" si="6"/>
        <v>23.543307086614174</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23.833333333333332</v>
      </c>
      <c r="AC22" s="385">
        <f t="shared" si="7"/>
        <v>10.236220472440944</v>
      </c>
      <c r="AD22" s="385">
        <f>AD14*65</f>
        <v>17.333333333333332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8.1889763779527556</v>
      </c>
      <c r="AC23" s="393">
        <f t="shared" si="7"/>
        <v>8.6666666666666661</v>
      </c>
      <c r="AD23" s="393">
        <f t="shared" si="7"/>
        <v>22.519685039370078</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60</v>
      </c>
      <c r="B31" s="126" t="s">
        <v>161</v>
      </c>
      <c r="C31" s="151"/>
      <c r="D31" s="152">
        <f>IF(COUNTA($D$7:$D$30)&gt;0,1,"")</f>
        <v>1</v>
      </c>
      <c r="E31" s="127">
        <f>IF(D31=1,32+J4*4,"")</f>
        <v>32</v>
      </c>
      <c r="F31" s="128">
        <f t="shared" ref="F31:S31" si="8">SUM(F7:F30)</f>
        <v>8</v>
      </c>
      <c r="G31" s="129">
        <f t="shared" si="8"/>
        <v>17</v>
      </c>
      <c r="H31" s="128">
        <f t="shared" si="8"/>
        <v>21</v>
      </c>
      <c r="I31" s="130">
        <f t="shared" si="8"/>
        <v>28</v>
      </c>
      <c r="J31" s="129">
        <f t="shared" si="8"/>
        <v>8</v>
      </c>
      <c r="K31" s="130">
        <f t="shared" si="8"/>
        <v>12</v>
      </c>
      <c r="L31" s="129">
        <f t="shared" si="8"/>
        <v>7</v>
      </c>
      <c r="M31" s="129">
        <f t="shared" si="8"/>
        <v>20</v>
      </c>
      <c r="N31" s="129">
        <f t="shared" si="8"/>
        <v>22</v>
      </c>
      <c r="O31" s="129">
        <f t="shared" si="8"/>
        <v>10</v>
      </c>
      <c r="P31" s="129">
        <f t="shared" si="8"/>
        <v>1</v>
      </c>
      <c r="Q31" s="129">
        <f t="shared" si="8"/>
        <v>16</v>
      </c>
      <c r="R31" s="129">
        <f t="shared" si="8"/>
        <v>12</v>
      </c>
      <c r="S31" s="131">
        <f t="shared" si="8"/>
        <v>4</v>
      </c>
      <c r="T31" s="132">
        <f>IF(J31+2*H31+3*F31&gt;0,J31+2*H31+3*F31,IF(H4&gt;0,H4,""))</f>
        <v>74</v>
      </c>
      <c r="U31" s="133">
        <f>IF(G31&gt;0,F31/G31,"")</f>
        <v>0.47058823529411764</v>
      </c>
      <c r="V31" s="133">
        <f>IF(I31&gt;0,H31/I31,"")</f>
        <v>0.75</v>
      </c>
      <c r="W31" s="134">
        <f>IF(K31&gt;0,J31/K31,"")</f>
        <v>0.66666666666666663</v>
      </c>
      <c r="X31" s="133">
        <f t="shared" si="0"/>
        <v>0.64444444444444449</v>
      </c>
      <c r="Y31" s="135">
        <f t="shared" si="5"/>
        <v>0.73333333333333328</v>
      </c>
      <c r="AB31" s="51"/>
      <c r="AC31" s="51"/>
      <c r="AD31" s="51"/>
      <c r="AE31" s="51"/>
      <c r="AF31" s="136"/>
      <c r="AG31" s="136"/>
      <c r="AH31" s="136"/>
      <c r="AI31" s="51"/>
    </row>
    <row r="32" spans="1:35" s="18" customFormat="1" ht="17.25" thickTop="1" thickBot="1" x14ac:dyDescent="0.3">
      <c r="A32" s="51">
        <f>ROUND(G32+I32+0.475*K32-L32+Q32,0)</f>
        <v>63</v>
      </c>
      <c r="B32" s="137" t="s">
        <v>162</v>
      </c>
      <c r="C32" s="153"/>
      <c r="D32" s="138">
        <f>IF(SUM(F32:S32)&gt;0,1,"")</f>
        <v>1</v>
      </c>
      <c r="E32" s="138">
        <f>IF(D32=1,E31,0)</f>
        <v>32</v>
      </c>
      <c r="F32" s="139">
        <v>1</v>
      </c>
      <c r="G32" s="140">
        <v>8</v>
      </c>
      <c r="H32" s="139">
        <v>12</v>
      </c>
      <c r="I32" s="141">
        <v>43</v>
      </c>
      <c r="J32" s="139">
        <v>5</v>
      </c>
      <c r="K32" s="141">
        <v>9</v>
      </c>
      <c r="L32" s="140">
        <v>14</v>
      </c>
      <c r="M32" s="140">
        <v>9</v>
      </c>
      <c r="N32" s="140">
        <v>8</v>
      </c>
      <c r="O32" s="140">
        <v>8</v>
      </c>
      <c r="P32" s="140">
        <v>1</v>
      </c>
      <c r="Q32" s="140">
        <v>22</v>
      </c>
      <c r="R32" s="140">
        <v>11</v>
      </c>
      <c r="S32" s="142"/>
      <c r="T32" s="143">
        <f>IF(J32+2*H32+3*F32&gt;0,J32+2*H32+3*F32,IF(H3&gt;0,H3,""))</f>
        <v>32</v>
      </c>
      <c r="U32" s="144">
        <f>IF(G32&gt;0,F32/G32,"")</f>
        <v>0.125</v>
      </c>
      <c r="V32" s="144">
        <f>IF(I32&gt;0,H32/I32,"")</f>
        <v>0.27906976744186046</v>
      </c>
      <c r="W32" s="145">
        <f>IF(K32&gt;0,J32/K32,"")</f>
        <v>0.55555555555555558</v>
      </c>
      <c r="X32" s="144">
        <f t="shared" si="0"/>
        <v>0.25490196078431371</v>
      </c>
      <c r="Y32" s="146">
        <f t="shared" si="5"/>
        <v>0.26470588235294118</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572" priority="29">
      <formula>AND($H$4&gt;0,$H$4&lt;&gt;$T$31)</formula>
    </cfRule>
  </conditionalFormatting>
  <conditionalFormatting sqref="T32 H3">
    <cfRule type="expression" dxfId="571" priority="28">
      <formula>AND($H$3&gt;0,$H$3&lt;&gt;$T$32)</formula>
    </cfRule>
  </conditionalFormatting>
  <conditionalFormatting sqref="A2">
    <cfRule type="cellIs" dxfId="570" priority="27" operator="equal">
      <formula>"R"</formula>
    </cfRule>
  </conditionalFormatting>
  <conditionalFormatting sqref="F7:F30 H7:H30 J7:J30">
    <cfRule type="expression" dxfId="569" priority="26">
      <formula>F7&gt;G7</formula>
    </cfRule>
  </conditionalFormatting>
  <conditionalFormatting sqref="E7:E30">
    <cfRule type="expression" dxfId="568" priority="25">
      <formula>$E7&gt;$E$31</formula>
    </cfRule>
  </conditionalFormatting>
  <conditionalFormatting sqref="L6">
    <cfRule type="expression" dxfId="567" priority="24">
      <formula>OR($L$31&gt;($G$31+$I$31+$K$31-$F$31-$H$31-$J$31),L32&gt;(G31+I31+K31-F31-H31-J31))</formula>
    </cfRule>
  </conditionalFormatting>
  <conditionalFormatting sqref="M6">
    <cfRule type="expression" dxfId="566" priority="23">
      <formula>OR(M31&gt;(G32-F32+I32-H32+K32-J32),M32&gt;(G31-F31+I31-H31+K31-J31))</formula>
    </cfRule>
  </conditionalFormatting>
  <conditionalFormatting sqref="N6">
    <cfRule type="expression" dxfId="565" priority="22">
      <formula>OR($N$31&gt;($F$31+$H$31),$N$32&gt;($F$32+$H$32))</formula>
    </cfRule>
  </conditionalFormatting>
  <conditionalFormatting sqref="P6">
    <cfRule type="expression" dxfId="564" priority="21">
      <formula>OR($P$31&gt;(G32-F32+I32-H32),P32&gt;(G31-F31+I31-H31))</formula>
    </cfRule>
  </conditionalFormatting>
  <conditionalFormatting sqref="Q6">
    <cfRule type="expression" dxfId="563" priority="20">
      <formula>OR($Q$31&lt;$O$32,$Q$32&lt;$O$31)</formula>
    </cfRule>
  </conditionalFormatting>
  <conditionalFormatting sqref="L31:L32">
    <cfRule type="cellIs" dxfId="562" priority="19" operator="greaterThan">
      <formula>$G31+$I31+$K31-$F31-$H31-$J31</formula>
    </cfRule>
  </conditionalFormatting>
  <conditionalFormatting sqref="M32">
    <cfRule type="cellIs" dxfId="561" priority="18" operator="greaterThan">
      <formula>$G$31-$F$31+$I$31-$H$31+$K$31-$J$31</formula>
    </cfRule>
  </conditionalFormatting>
  <conditionalFormatting sqref="N31:N32">
    <cfRule type="cellIs" dxfId="560" priority="17" operator="greaterThan">
      <formula>$F31+$H31</formula>
    </cfRule>
  </conditionalFormatting>
  <conditionalFormatting sqref="O32">
    <cfRule type="cellIs" dxfId="559" priority="10" operator="greaterThan">
      <formula>$Q$31</formula>
    </cfRule>
  </conditionalFormatting>
  <conditionalFormatting sqref="P31">
    <cfRule type="cellIs" dxfId="558" priority="16" operator="greaterThan">
      <formula>$G$32-$F$32+$I$32-$H$32</formula>
    </cfRule>
  </conditionalFormatting>
  <conditionalFormatting sqref="Q32">
    <cfRule type="cellIs" dxfId="557" priority="15" operator="lessThan">
      <formula>$O$31</formula>
    </cfRule>
  </conditionalFormatting>
  <conditionalFormatting sqref="F7:F32">
    <cfRule type="cellIs" dxfId="556" priority="14" operator="greaterThan">
      <formula>G7</formula>
    </cfRule>
  </conditionalFormatting>
  <conditionalFormatting sqref="H7:H32">
    <cfRule type="cellIs" dxfId="555" priority="13" operator="greaterThan">
      <formula>I7</formula>
    </cfRule>
  </conditionalFormatting>
  <conditionalFormatting sqref="J7:J32">
    <cfRule type="cellIs" dxfId="554" priority="12" operator="greaterThan">
      <formula>K7</formula>
    </cfRule>
  </conditionalFormatting>
  <conditionalFormatting sqref="M4">
    <cfRule type="cellIs" dxfId="553" priority="11" operator="notBetween">
      <formula>$AH$2</formula>
      <formula>$AI$2</formula>
    </cfRule>
  </conditionalFormatting>
  <conditionalFormatting sqref="O31">
    <cfRule type="cellIs" dxfId="552" priority="9" operator="greaterThan">
      <formula>$Q$32</formula>
    </cfRule>
  </conditionalFormatting>
  <conditionalFormatting sqref="Q31">
    <cfRule type="cellIs" dxfId="551" priority="8" operator="lessThan">
      <formula>$O$32</formula>
    </cfRule>
  </conditionalFormatting>
  <conditionalFormatting sqref="M31">
    <cfRule type="cellIs" dxfId="550" priority="7" operator="greaterThan">
      <formula>G32-F32 +I32-H32+K32-J32</formula>
    </cfRule>
  </conditionalFormatting>
  <conditionalFormatting sqref="B3">
    <cfRule type="expression" dxfId="549" priority="6">
      <formula>$W$2 = TRUE</formula>
    </cfRule>
  </conditionalFormatting>
  <conditionalFormatting sqref="P4:Q4">
    <cfRule type="expression" dxfId="548" priority="5">
      <formula>OR(AND($P$4=1,$X$4=1),AND($Q$4=1,$W$4=1))</formula>
    </cfRule>
  </conditionalFormatting>
  <conditionalFormatting sqref="D7:D30">
    <cfRule type="expression" dxfId="547" priority="30">
      <formula>AND($D7=0,SUM($F7:$S7)&gt;0)</formula>
    </cfRule>
  </conditionalFormatting>
  <conditionalFormatting sqref="O6">
    <cfRule type="expression" dxfId="546" priority="4">
      <formula>OR($O$31&gt;$Q$32,$O$32&gt;$Q$31)</formula>
    </cfRule>
  </conditionalFormatting>
  <conditionalFormatting sqref="F6">
    <cfRule type="expression" dxfId="545" priority="3">
      <formula>OR(F$31&gt;G$31,F$32&gt;G$32)</formula>
    </cfRule>
  </conditionalFormatting>
  <conditionalFormatting sqref="H6">
    <cfRule type="expression" dxfId="544" priority="2">
      <formula>OR(H$31&gt;I$31,H$32&gt;I$32)</formula>
    </cfRule>
  </conditionalFormatting>
  <conditionalFormatting sqref="J6">
    <cfRule type="expression" dxfId="543"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S40" sqref="S40"/>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R</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29</v>
      </c>
      <c r="C3" s="70">
        <v>20</v>
      </c>
      <c r="D3" s="71">
        <v>8</v>
      </c>
      <c r="E3" s="71">
        <v>8</v>
      </c>
      <c r="F3" s="71">
        <v>10</v>
      </c>
      <c r="G3" s="72"/>
      <c r="H3" s="73">
        <f>SUM(C3:G3)</f>
        <v>46</v>
      </c>
      <c r="J3" s="12" t="s">
        <v>165</v>
      </c>
      <c r="P3" s="74" t="s">
        <v>135</v>
      </c>
      <c r="Q3" s="74" t="s">
        <v>137</v>
      </c>
      <c r="S3" s="75" t="s">
        <v>138</v>
      </c>
      <c r="U3" s="76" t="s">
        <v>139</v>
      </c>
      <c r="W3" s="77" t="s">
        <v>134</v>
      </c>
      <c r="X3" s="77" t="s">
        <v>136</v>
      </c>
      <c r="AA3" s="48" t="str">
        <f>B4</f>
        <v>Upton</v>
      </c>
      <c r="AD3" s="48">
        <f>SUM($C3:C3)</f>
        <v>20</v>
      </c>
      <c r="AE3" s="48">
        <f>SUM($C3:D3)</f>
        <v>28</v>
      </c>
      <c r="AF3" s="48">
        <f>SUM($C3:E3)</f>
        <v>36</v>
      </c>
      <c r="AG3" s="48">
        <f>SUM($C3:F3)</f>
        <v>46</v>
      </c>
      <c r="AH3" s="48">
        <f>SUM($C3:G3)</f>
        <v>46</v>
      </c>
      <c r="AJ3" s="74"/>
    </row>
    <row r="4" spans="1:36" ht="16.5" customHeight="1" thickTop="1" thickBot="1" x14ac:dyDescent="0.3">
      <c r="B4" s="78" t="str">
        <f>Roster!$B$1</f>
        <v>Upton</v>
      </c>
      <c r="C4" s="79">
        <v>9</v>
      </c>
      <c r="D4" s="80">
        <v>8</v>
      </c>
      <c r="E4" s="80">
        <v>16</v>
      </c>
      <c r="F4" s="80">
        <v>20</v>
      </c>
      <c r="G4" s="81"/>
      <c r="H4" s="82">
        <f>SUM(C4:G4)</f>
        <v>53</v>
      </c>
      <c r="J4" s="83"/>
      <c r="L4" s="84" t="s">
        <v>133</v>
      </c>
      <c r="M4" s="404">
        <v>44982</v>
      </c>
      <c r="N4" s="405"/>
      <c r="P4" s="83"/>
      <c r="Q4" s="83"/>
      <c r="S4" s="83"/>
      <c r="U4" s="83"/>
      <c r="W4" s="85">
        <f>IF(OR($S$4=1,$H$4&gt;$H$3),1,"")</f>
        <v>1</v>
      </c>
      <c r="X4" s="85" t="str">
        <f>IF(OR($U$4=1,$H$4&lt;$H$3),1,"")</f>
        <v/>
      </c>
      <c r="AA4" s="48" t="str">
        <f>B3</f>
        <v>Southeast</v>
      </c>
      <c r="AD4" s="48">
        <f>SUM($C4:C4)</f>
        <v>9</v>
      </c>
      <c r="AE4" s="48">
        <f>SUM($C4:D4)</f>
        <v>17</v>
      </c>
      <c r="AF4" s="48">
        <f>SUM($C4:E4)</f>
        <v>33</v>
      </c>
      <c r="AG4" s="48">
        <f>SUM($C4:F4)</f>
        <v>53</v>
      </c>
      <c r="AH4" s="48">
        <f>SUM($C4:G4)</f>
        <v>53</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29</v>
      </c>
      <c r="F8" s="101">
        <v>1</v>
      </c>
      <c r="G8" s="102">
        <v>3</v>
      </c>
      <c r="H8" s="103">
        <v>3</v>
      </c>
      <c r="I8" s="102">
        <v>7</v>
      </c>
      <c r="J8" s="103">
        <v>2</v>
      </c>
      <c r="K8" s="102">
        <v>2</v>
      </c>
      <c r="L8" s="103">
        <v>2</v>
      </c>
      <c r="M8" s="103">
        <v>5</v>
      </c>
      <c r="N8" s="103">
        <v>1</v>
      </c>
      <c r="O8" s="103">
        <v>2</v>
      </c>
      <c r="P8" s="103">
        <v>1</v>
      </c>
      <c r="Q8" s="103">
        <v>4</v>
      </c>
      <c r="R8" s="103">
        <v>4</v>
      </c>
      <c r="S8" s="104"/>
      <c r="T8" s="105">
        <f t="shared" ref="T8:T30" si="1">IF(J8+2*H8+3*F8&gt;0,J8+2*H8+3*F8,0)</f>
        <v>11</v>
      </c>
      <c r="U8" s="106">
        <f t="shared" ref="U8:U30" si="2">IF(G8&gt;0,F8/G8,"")</f>
        <v>0.33333333333333331</v>
      </c>
      <c r="V8" s="106">
        <f t="shared" ref="V8:V30" si="3">IF(I8&gt;0,H8/I8,"")</f>
        <v>0.42857142857142855</v>
      </c>
      <c r="W8" s="107">
        <f t="shared" ref="W8:W30" si="4">IF(K8&gt;0,J8/K8,"")</f>
        <v>1</v>
      </c>
      <c r="X8" s="106">
        <f t="shared" si="0"/>
        <v>0.4</v>
      </c>
      <c r="Y8" s="108">
        <f t="shared" ref="Y8:Y32" si="5">IF(OR(G8&gt;0,I8 &gt;0),(1.5*F8+H8)/(G8+I8),"")</f>
        <v>0.45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6</v>
      </c>
      <c r="F9" s="111"/>
      <c r="G9" s="112">
        <v>1</v>
      </c>
      <c r="H9" s="113">
        <v>1</v>
      </c>
      <c r="I9" s="112">
        <v>1</v>
      </c>
      <c r="J9" s="113"/>
      <c r="K9" s="112"/>
      <c r="L9" s="113"/>
      <c r="M9" s="113"/>
      <c r="N9" s="113"/>
      <c r="O9" s="113">
        <v>1</v>
      </c>
      <c r="P9" s="113"/>
      <c r="Q9" s="113"/>
      <c r="R9" s="113"/>
      <c r="S9" s="114"/>
      <c r="T9" s="115">
        <f t="shared" si="1"/>
        <v>2</v>
      </c>
      <c r="U9" s="95">
        <f t="shared" si="2"/>
        <v>0</v>
      </c>
      <c r="V9" s="95">
        <f t="shared" si="3"/>
        <v>1</v>
      </c>
      <c r="W9" s="96" t="str">
        <f t="shared" si="4"/>
        <v/>
      </c>
      <c r="X9" s="95">
        <f t="shared" si="0"/>
        <v>0.5</v>
      </c>
      <c r="Y9" s="116">
        <f t="shared" si="5"/>
        <v>0.5</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29</v>
      </c>
      <c r="F10" s="101">
        <v>2</v>
      </c>
      <c r="G10" s="102">
        <v>3</v>
      </c>
      <c r="H10" s="103">
        <v>1</v>
      </c>
      <c r="I10" s="102">
        <v>6</v>
      </c>
      <c r="J10" s="103">
        <v>1</v>
      </c>
      <c r="K10" s="102">
        <v>2</v>
      </c>
      <c r="L10" s="103">
        <v>3</v>
      </c>
      <c r="M10" s="103">
        <v>6</v>
      </c>
      <c r="N10" s="103">
        <v>2</v>
      </c>
      <c r="O10" s="103">
        <v>2</v>
      </c>
      <c r="P10" s="103"/>
      <c r="Q10" s="103">
        <v>4</v>
      </c>
      <c r="R10" s="103">
        <v>1</v>
      </c>
      <c r="S10" s="104"/>
      <c r="T10" s="105">
        <f t="shared" si="1"/>
        <v>9</v>
      </c>
      <c r="U10" s="106">
        <f t="shared" si="2"/>
        <v>0.66666666666666663</v>
      </c>
      <c r="V10" s="106">
        <f t="shared" si="3"/>
        <v>0.16666666666666666</v>
      </c>
      <c r="W10" s="107">
        <f t="shared" si="4"/>
        <v>0.5</v>
      </c>
      <c r="X10" s="106">
        <f t="shared" si="0"/>
        <v>0.33333333333333331</v>
      </c>
      <c r="Y10" s="108">
        <f t="shared" si="5"/>
        <v>0.44444444444444442</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65</v>
      </c>
      <c r="AB11" s="385">
        <f>T31/AA11</f>
        <v>0.81538461538461537</v>
      </c>
      <c r="AC11" s="385">
        <f>L31/AA11</f>
        <v>0.2</v>
      </c>
      <c r="AD11" s="385">
        <f>M31/AA12</f>
        <v>0.421875</v>
      </c>
      <c r="AE11" s="389">
        <f>(L31+M31)/AA11</f>
        <v>0.61538461538461542</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64</v>
      </c>
      <c r="AB12" s="385">
        <f>T32/AA12</f>
        <v>0.71875</v>
      </c>
      <c r="AC12" s="385">
        <f>L32/AA12</f>
        <v>0.140625</v>
      </c>
      <c r="AD12" s="385">
        <f>M32/AA11</f>
        <v>0.24615384615384617</v>
      </c>
      <c r="AE12" s="389">
        <f>(L32+M32)/AA12</f>
        <v>0.390625</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25</v>
      </c>
      <c r="F14" s="101"/>
      <c r="G14" s="102">
        <v>1</v>
      </c>
      <c r="H14" s="103">
        <v>4</v>
      </c>
      <c r="I14" s="102">
        <v>7</v>
      </c>
      <c r="J14" s="103">
        <v>4</v>
      </c>
      <c r="K14" s="102">
        <v>6</v>
      </c>
      <c r="L14" s="103">
        <v>6</v>
      </c>
      <c r="M14" s="103">
        <v>4</v>
      </c>
      <c r="N14" s="103">
        <v>6</v>
      </c>
      <c r="O14" s="103">
        <v>1</v>
      </c>
      <c r="P14" s="103">
        <v>2</v>
      </c>
      <c r="Q14" s="103">
        <v>2</v>
      </c>
      <c r="R14" s="103">
        <v>4</v>
      </c>
      <c r="S14" s="104">
        <v>1</v>
      </c>
      <c r="T14" s="105">
        <f t="shared" si="1"/>
        <v>12</v>
      </c>
      <c r="U14" s="106">
        <f t="shared" si="2"/>
        <v>0</v>
      </c>
      <c r="V14" s="106">
        <f t="shared" si="3"/>
        <v>0.5714285714285714</v>
      </c>
      <c r="W14" s="107">
        <f t="shared" si="4"/>
        <v>0.66666666666666663</v>
      </c>
      <c r="X14" s="106">
        <f t="shared" si="0"/>
        <v>0.5</v>
      </c>
      <c r="Y14" s="108">
        <f t="shared" si="5"/>
        <v>0.5</v>
      </c>
      <c r="Z14" s="385"/>
      <c r="AA14" s="385"/>
      <c r="AB14" s="385">
        <f>N31/AA11</f>
        <v>0.18461538461538463</v>
      </c>
      <c r="AC14" s="385">
        <f>O31/AA12</f>
        <v>0.15625</v>
      </c>
      <c r="AD14" s="385">
        <f>Q31/AA11</f>
        <v>0.29230769230769232</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15</v>
      </c>
      <c r="F15" s="111"/>
      <c r="G15" s="112">
        <v>3</v>
      </c>
      <c r="H15" s="113"/>
      <c r="I15" s="112"/>
      <c r="J15" s="113"/>
      <c r="K15" s="112">
        <v>2</v>
      </c>
      <c r="L15" s="113"/>
      <c r="M15" s="113">
        <v>4</v>
      </c>
      <c r="N15" s="113"/>
      <c r="O15" s="113">
        <v>1</v>
      </c>
      <c r="P15" s="113"/>
      <c r="Q15" s="113">
        <v>3</v>
      </c>
      <c r="R15" s="113">
        <v>1</v>
      </c>
      <c r="S15" s="114"/>
      <c r="T15" s="115">
        <f t="shared" si="1"/>
        <v>0</v>
      </c>
      <c r="U15" s="95">
        <f t="shared" si="2"/>
        <v>0</v>
      </c>
      <c r="V15" s="95" t="str">
        <f t="shared" si="3"/>
        <v/>
      </c>
      <c r="W15" s="96">
        <f t="shared" si="4"/>
        <v>0</v>
      </c>
      <c r="X15" s="95">
        <f t="shared" si="0"/>
        <v>0</v>
      </c>
      <c r="Y15" s="116">
        <f t="shared" si="5"/>
        <v>0</v>
      </c>
      <c r="Z15" s="392"/>
      <c r="AA15" s="393"/>
      <c r="AB15" s="393">
        <f>N32/AA12</f>
        <v>0.171875</v>
      </c>
      <c r="AC15" s="393">
        <f>O32/AA11</f>
        <v>0.13846153846153847</v>
      </c>
      <c r="AD15" s="393">
        <f>Q32/AA12</f>
        <v>0.25</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30</v>
      </c>
      <c r="F16" s="101">
        <v>1</v>
      </c>
      <c r="G16" s="102">
        <v>3</v>
      </c>
      <c r="H16" s="103">
        <v>6</v>
      </c>
      <c r="I16" s="102">
        <v>9</v>
      </c>
      <c r="J16" s="103">
        <v>3</v>
      </c>
      <c r="K16" s="102">
        <v>3</v>
      </c>
      <c r="L16" s="103">
        <v>2</v>
      </c>
      <c r="M16" s="103">
        <v>7</v>
      </c>
      <c r="N16" s="103">
        <v>3</v>
      </c>
      <c r="O16" s="103"/>
      <c r="P16" s="103"/>
      <c r="Q16" s="103">
        <v>4</v>
      </c>
      <c r="R16" s="103">
        <v>2</v>
      </c>
      <c r="S16" s="104"/>
      <c r="T16" s="105">
        <f t="shared" si="1"/>
        <v>18</v>
      </c>
      <c r="U16" s="106">
        <f t="shared" si="2"/>
        <v>0.33333333333333331</v>
      </c>
      <c r="V16" s="106">
        <f t="shared" si="3"/>
        <v>0.66666666666666663</v>
      </c>
      <c r="W16" s="107">
        <f t="shared" si="4"/>
        <v>1</v>
      </c>
      <c r="X16" s="106">
        <f t="shared" si="0"/>
        <v>0.58333333333333337</v>
      </c>
      <c r="Y16" s="108">
        <f t="shared" si="5"/>
        <v>0.625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22</v>
      </c>
      <c r="F19" s="111"/>
      <c r="G19" s="112">
        <v>1</v>
      </c>
      <c r="H19" s="113"/>
      <c r="I19" s="112">
        <v>5</v>
      </c>
      <c r="J19" s="113">
        <v>1</v>
      </c>
      <c r="K19" s="112">
        <v>3</v>
      </c>
      <c r="L19" s="113"/>
      <c r="M19" s="113">
        <v>1</v>
      </c>
      <c r="N19" s="113"/>
      <c r="O19" s="113">
        <v>3</v>
      </c>
      <c r="P19" s="113"/>
      <c r="Q19" s="113">
        <v>2</v>
      </c>
      <c r="R19" s="113">
        <v>1</v>
      </c>
      <c r="S19" s="114">
        <v>2</v>
      </c>
      <c r="T19" s="115">
        <f t="shared" si="1"/>
        <v>1</v>
      </c>
      <c r="U19" s="95">
        <f t="shared" si="2"/>
        <v>0</v>
      </c>
      <c r="V19" s="95">
        <f t="shared" si="3"/>
        <v>0</v>
      </c>
      <c r="W19" s="96">
        <f t="shared" si="4"/>
        <v>0.33333333333333331</v>
      </c>
      <c r="X19" s="95">
        <f t="shared" si="0"/>
        <v>0</v>
      </c>
      <c r="Y19" s="116">
        <f t="shared" si="5"/>
        <v>0</v>
      </c>
      <c r="Z19" s="388" t="s">
        <v>124</v>
      </c>
      <c r="AA19" s="385">
        <f>AB11*65</f>
        <v>53</v>
      </c>
      <c r="AB19" s="385">
        <f t="shared" ref="AB19:AD20" si="6">AC11*65</f>
        <v>13</v>
      </c>
      <c r="AC19" s="385">
        <f t="shared" si="6"/>
        <v>27.421875</v>
      </c>
      <c r="AD19" s="385">
        <f t="shared" si="6"/>
        <v>40</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46.71875</v>
      </c>
      <c r="AB20" s="385">
        <f t="shared" si="6"/>
        <v>9.140625</v>
      </c>
      <c r="AC20" s="385">
        <f t="shared" si="6"/>
        <v>16</v>
      </c>
      <c r="AD20" s="385">
        <f t="shared" si="6"/>
        <v>25.390625</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12</v>
      </c>
      <c r="AC22" s="385">
        <f t="shared" si="7"/>
        <v>10.15625</v>
      </c>
      <c r="AD22" s="385">
        <f>AD14*65</f>
        <v>19</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11.171875</v>
      </c>
      <c r="AC23" s="393">
        <f t="shared" si="7"/>
        <v>9</v>
      </c>
      <c r="AD23" s="393">
        <f t="shared" si="7"/>
        <v>16.25</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65</v>
      </c>
      <c r="B31" s="126" t="s">
        <v>161</v>
      </c>
      <c r="C31" s="151"/>
      <c r="D31" s="152">
        <f>IF(COUNTA($D$7:$D$30)&gt;0,1,"")</f>
        <v>1</v>
      </c>
      <c r="E31" s="127">
        <f>IF(D31=1,32+J4*4,"")</f>
        <v>32</v>
      </c>
      <c r="F31" s="128">
        <f t="shared" ref="F31:S31" si="8">SUM(F7:F30)</f>
        <v>4</v>
      </c>
      <c r="G31" s="129">
        <f t="shared" si="8"/>
        <v>15</v>
      </c>
      <c r="H31" s="128">
        <f t="shared" si="8"/>
        <v>15</v>
      </c>
      <c r="I31" s="130">
        <f t="shared" si="8"/>
        <v>35</v>
      </c>
      <c r="J31" s="129">
        <f t="shared" si="8"/>
        <v>11</v>
      </c>
      <c r="K31" s="130">
        <f t="shared" si="8"/>
        <v>18</v>
      </c>
      <c r="L31" s="129">
        <f t="shared" si="8"/>
        <v>13</v>
      </c>
      <c r="M31" s="129">
        <f t="shared" si="8"/>
        <v>27</v>
      </c>
      <c r="N31" s="129">
        <f t="shared" si="8"/>
        <v>12</v>
      </c>
      <c r="O31" s="129">
        <f t="shared" si="8"/>
        <v>10</v>
      </c>
      <c r="P31" s="129">
        <f t="shared" si="8"/>
        <v>3</v>
      </c>
      <c r="Q31" s="129">
        <f t="shared" si="8"/>
        <v>19</v>
      </c>
      <c r="R31" s="129">
        <f t="shared" si="8"/>
        <v>13</v>
      </c>
      <c r="S31" s="131">
        <f t="shared" si="8"/>
        <v>3</v>
      </c>
      <c r="T31" s="132">
        <f>IF(J31+2*H31+3*F31&gt;0,J31+2*H31+3*F31,IF(H4&gt;0,H4,""))</f>
        <v>53</v>
      </c>
      <c r="U31" s="133">
        <f>IF(G31&gt;0,F31/G31,"")</f>
        <v>0.26666666666666666</v>
      </c>
      <c r="V31" s="133">
        <f>IF(I31&gt;0,H31/I31,"")</f>
        <v>0.42857142857142855</v>
      </c>
      <c r="W31" s="134">
        <f>IF(K31&gt;0,J31/K31,"")</f>
        <v>0.61111111111111116</v>
      </c>
      <c r="X31" s="133">
        <f t="shared" si="0"/>
        <v>0.38</v>
      </c>
      <c r="Y31" s="135">
        <f t="shared" si="5"/>
        <v>0.42</v>
      </c>
      <c r="AB31" s="51"/>
      <c r="AC31" s="51"/>
      <c r="AD31" s="51"/>
      <c r="AE31" s="51"/>
      <c r="AF31" s="136"/>
      <c r="AG31" s="136"/>
      <c r="AH31" s="136"/>
      <c r="AI31" s="51"/>
    </row>
    <row r="32" spans="1:35" s="18" customFormat="1" ht="17.25" thickTop="1" thickBot="1" x14ac:dyDescent="0.3">
      <c r="A32" s="51">
        <f>ROUND(G32+I32+0.475*K32-L32+Q32,0)</f>
        <v>64</v>
      </c>
      <c r="B32" s="137" t="s">
        <v>162</v>
      </c>
      <c r="C32" s="153"/>
      <c r="D32" s="138">
        <f>IF(SUM(F32:S32)&gt;0,1,"")</f>
        <v>1</v>
      </c>
      <c r="E32" s="138">
        <f>IF(D32=1,E31,0)</f>
        <v>32</v>
      </c>
      <c r="F32" s="139">
        <v>7</v>
      </c>
      <c r="G32" s="140">
        <v>19</v>
      </c>
      <c r="H32" s="139">
        <v>10</v>
      </c>
      <c r="I32" s="141">
        <v>33</v>
      </c>
      <c r="J32" s="139">
        <v>5</v>
      </c>
      <c r="K32" s="141">
        <v>10</v>
      </c>
      <c r="L32" s="140">
        <v>9</v>
      </c>
      <c r="M32" s="140">
        <v>16</v>
      </c>
      <c r="N32" s="140">
        <v>11</v>
      </c>
      <c r="O32" s="140">
        <v>9</v>
      </c>
      <c r="P32" s="140">
        <v>6</v>
      </c>
      <c r="Q32" s="140">
        <v>16</v>
      </c>
      <c r="R32" s="140">
        <v>13</v>
      </c>
      <c r="S32" s="142"/>
      <c r="T32" s="143">
        <f>IF(J32+2*H32+3*F32&gt;0,J32+2*H32+3*F32,IF(H3&gt;0,H3,""))</f>
        <v>46</v>
      </c>
      <c r="U32" s="144">
        <f>IF(G32&gt;0,F32/G32,"")</f>
        <v>0.36842105263157893</v>
      </c>
      <c r="V32" s="144">
        <f>IF(I32&gt;0,H32/I32,"")</f>
        <v>0.30303030303030304</v>
      </c>
      <c r="W32" s="145">
        <f>IF(K32&gt;0,J32/K32,"")</f>
        <v>0.5</v>
      </c>
      <c r="X32" s="144">
        <f t="shared" si="0"/>
        <v>0.32692307692307693</v>
      </c>
      <c r="Y32" s="146">
        <f t="shared" si="5"/>
        <v>0.39423076923076922</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542" priority="29">
      <formula>AND($H$4&gt;0,$H$4&lt;&gt;$T$31)</formula>
    </cfRule>
  </conditionalFormatting>
  <conditionalFormatting sqref="T32 H3">
    <cfRule type="expression" dxfId="541" priority="28">
      <formula>AND($H$3&gt;0,$H$3&lt;&gt;$T$32)</formula>
    </cfRule>
  </conditionalFormatting>
  <conditionalFormatting sqref="A2">
    <cfRule type="cellIs" dxfId="540" priority="27" operator="equal">
      <formula>"R"</formula>
    </cfRule>
  </conditionalFormatting>
  <conditionalFormatting sqref="F7:F30 H7:H30 J7:J30">
    <cfRule type="expression" dxfId="539" priority="26">
      <formula>F7&gt;G7</formula>
    </cfRule>
  </conditionalFormatting>
  <conditionalFormatting sqref="E7:E30">
    <cfRule type="expression" dxfId="538" priority="25">
      <formula>$E7&gt;$E$31</formula>
    </cfRule>
  </conditionalFormatting>
  <conditionalFormatting sqref="L6">
    <cfRule type="expression" dxfId="537" priority="24">
      <formula>OR($L$31&gt;($G$31+$I$31+$K$31-$F$31-$H$31-$J$31),L32&gt;(G31+I31+K31-F31-H31-J31))</formula>
    </cfRule>
  </conditionalFormatting>
  <conditionalFormatting sqref="M6">
    <cfRule type="expression" dxfId="536" priority="23">
      <formula>OR(M31&gt;(G32-F32+I32-H32+K32-J32),M32&gt;(G31-F31+I31-H31+K31-J31))</formula>
    </cfRule>
  </conditionalFormatting>
  <conditionalFormatting sqref="N6">
    <cfRule type="expression" dxfId="535" priority="22">
      <formula>OR($N$31&gt;($F$31+$H$31),$N$32&gt;($F$32+$H$32))</formula>
    </cfRule>
  </conditionalFormatting>
  <conditionalFormatting sqref="P6">
    <cfRule type="expression" dxfId="534" priority="21">
      <formula>OR($P$31&gt;(G32-F32+I32-H32),P32&gt;(G31-F31+I31-H31))</formula>
    </cfRule>
  </conditionalFormatting>
  <conditionalFormatting sqref="Q6">
    <cfRule type="expression" dxfId="533" priority="20">
      <formula>OR($Q$31&lt;$O$32,$Q$32&lt;$O$31)</formula>
    </cfRule>
  </conditionalFormatting>
  <conditionalFormatting sqref="L31:L32">
    <cfRule type="cellIs" dxfId="532" priority="19" operator="greaterThan">
      <formula>$G31+$I31+$K31-$F31-$H31-$J31</formula>
    </cfRule>
  </conditionalFormatting>
  <conditionalFormatting sqref="M32">
    <cfRule type="cellIs" dxfId="531" priority="18" operator="greaterThan">
      <formula>$G$31-$F$31+$I$31-$H$31+$K$31-$J$31</formula>
    </cfRule>
  </conditionalFormatting>
  <conditionalFormatting sqref="N31:N32">
    <cfRule type="cellIs" dxfId="530" priority="17" operator="greaterThan">
      <formula>$F31+$H31</formula>
    </cfRule>
  </conditionalFormatting>
  <conditionalFormatting sqref="O32">
    <cfRule type="cellIs" dxfId="529" priority="10" operator="greaterThan">
      <formula>$Q$31</formula>
    </cfRule>
  </conditionalFormatting>
  <conditionalFormatting sqref="P31">
    <cfRule type="cellIs" dxfId="528" priority="16" operator="greaterThan">
      <formula>$G$32-$F$32+$I$32-$H$32</formula>
    </cfRule>
  </conditionalFormatting>
  <conditionalFormatting sqref="Q32">
    <cfRule type="cellIs" dxfId="527" priority="15" operator="lessThan">
      <formula>$O$31</formula>
    </cfRule>
  </conditionalFormatting>
  <conditionalFormatting sqref="F7:F32">
    <cfRule type="cellIs" dxfId="526" priority="14" operator="greaterThan">
      <formula>G7</formula>
    </cfRule>
  </conditionalFormatting>
  <conditionalFormatting sqref="H7:H32">
    <cfRule type="cellIs" dxfId="525" priority="13" operator="greaterThan">
      <formula>I7</formula>
    </cfRule>
  </conditionalFormatting>
  <conditionalFormatting sqref="J7:J32">
    <cfRule type="cellIs" dxfId="524" priority="12" operator="greaterThan">
      <formula>K7</formula>
    </cfRule>
  </conditionalFormatting>
  <conditionalFormatting sqref="M4">
    <cfRule type="cellIs" dxfId="523" priority="11" operator="notBetween">
      <formula>$AH$2</formula>
      <formula>$AI$2</formula>
    </cfRule>
  </conditionalFormatting>
  <conditionalFormatting sqref="O31">
    <cfRule type="cellIs" dxfId="522" priority="9" operator="greaterThan">
      <formula>$Q$32</formula>
    </cfRule>
  </conditionalFormatting>
  <conditionalFormatting sqref="Q31">
    <cfRule type="cellIs" dxfId="521" priority="8" operator="lessThan">
      <formula>$O$32</formula>
    </cfRule>
  </conditionalFormatting>
  <conditionalFormatting sqref="M31">
    <cfRule type="cellIs" dxfId="520" priority="7" operator="greaterThan">
      <formula>G32-F32 +I32-H32+K32-J32</formula>
    </cfRule>
  </conditionalFormatting>
  <conditionalFormatting sqref="B3">
    <cfRule type="expression" dxfId="519" priority="6">
      <formula>$W$2 = TRUE</formula>
    </cfRule>
  </conditionalFormatting>
  <conditionalFormatting sqref="P4:Q4">
    <cfRule type="expression" dxfId="518" priority="5">
      <formula>OR(AND($P$4=1,$X$4=1),AND($Q$4=1,$W$4=1))</formula>
    </cfRule>
  </conditionalFormatting>
  <conditionalFormatting sqref="D7:D30">
    <cfRule type="expression" dxfId="517" priority="30">
      <formula>AND($D7=0,SUM($F7:$S7)&gt;0)</formula>
    </cfRule>
  </conditionalFormatting>
  <conditionalFormatting sqref="O6">
    <cfRule type="expression" dxfId="516" priority="4">
      <formula>OR($O$31&gt;$Q$32,$O$32&gt;$Q$31)</formula>
    </cfRule>
  </conditionalFormatting>
  <conditionalFormatting sqref="F6">
    <cfRule type="expression" dxfId="515" priority="3">
      <formula>OR(F$31&gt;G$31,F$32&gt;G$32)</formula>
    </cfRule>
  </conditionalFormatting>
  <conditionalFormatting sqref="H6">
    <cfRule type="expression" dxfId="514" priority="2">
      <formula>OR(H$31&gt;I$31,H$32&gt;I$32)</formula>
    </cfRule>
  </conditionalFormatting>
  <conditionalFormatting sqref="J6">
    <cfRule type="expression" dxfId="513"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AC41" sqref="AC41"/>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311</v>
      </c>
      <c r="C3" s="70">
        <v>2</v>
      </c>
      <c r="D3" s="71">
        <v>8</v>
      </c>
      <c r="E3" s="71">
        <v>14</v>
      </c>
      <c r="F3" s="71">
        <v>15</v>
      </c>
      <c r="G3" s="72"/>
      <c r="H3" s="73">
        <f>SUM(C3:G3)</f>
        <v>39</v>
      </c>
      <c r="J3" s="12" t="s">
        <v>165</v>
      </c>
      <c r="P3" s="74" t="s">
        <v>135</v>
      </c>
      <c r="Q3" s="74" t="s">
        <v>137</v>
      </c>
      <c r="S3" s="75" t="s">
        <v>138</v>
      </c>
      <c r="U3" s="76" t="s">
        <v>139</v>
      </c>
      <c r="W3" s="77" t="s">
        <v>134</v>
      </c>
      <c r="X3" s="77" t="s">
        <v>136</v>
      </c>
      <c r="AA3" s="48" t="str">
        <f>B4</f>
        <v>Upton</v>
      </c>
      <c r="AD3" s="48">
        <f>SUM($C3:C3)</f>
        <v>2</v>
      </c>
      <c r="AE3" s="48">
        <f>SUM($C3:D3)</f>
        <v>10</v>
      </c>
      <c r="AF3" s="48">
        <f>SUM($C3:E3)</f>
        <v>24</v>
      </c>
      <c r="AG3" s="48">
        <f>SUM($C3:F3)</f>
        <v>39</v>
      </c>
      <c r="AH3" s="48">
        <f>SUM($C3:G3)</f>
        <v>39</v>
      </c>
      <c r="AJ3" s="74"/>
    </row>
    <row r="4" spans="1:36" ht="16.5" customHeight="1" thickTop="1" thickBot="1" x14ac:dyDescent="0.3">
      <c r="B4" s="78" t="str">
        <f>Roster!$B$1</f>
        <v>Upton</v>
      </c>
      <c r="C4" s="79">
        <v>11</v>
      </c>
      <c r="D4" s="80">
        <v>12</v>
      </c>
      <c r="E4" s="80">
        <v>15</v>
      </c>
      <c r="F4" s="80">
        <v>21</v>
      </c>
      <c r="G4" s="81"/>
      <c r="H4" s="82">
        <f>SUM(C4:G4)</f>
        <v>59</v>
      </c>
      <c r="J4" s="83"/>
      <c r="L4" s="84" t="s">
        <v>133</v>
      </c>
      <c r="M4" s="404">
        <v>44987</v>
      </c>
      <c r="N4" s="405"/>
      <c r="P4" s="83"/>
      <c r="Q4" s="83"/>
      <c r="S4" s="83"/>
      <c r="U4" s="83"/>
      <c r="W4" s="85">
        <f>IF(OR($S$4=1,$H$4&gt;$H$3),1,"")</f>
        <v>1</v>
      </c>
      <c r="X4" s="85" t="str">
        <f>IF(OR($U$4=1,$H$4&lt;$H$3),1,"")</f>
        <v/>
      </c>
      <c r="AA4" s="48" t="str">
        <f>B3</f>
        <v>Farson Eden</v>
      </c>
      <c r="AD4" s="48">
        <f>SUM($C4:C4)</f>
        <v>11</v>
      </c>
      <c r="AE4" s="48">
        <f>SUM($C4:D4)</f>
        <v>23</v>
      </c>
      <c r="AF4" s="48">
        <f>SUM($C4:E4)</f>
        <v>38</v>
      </c>
      <c r="AG4" s="48">
        <f>SUM($C4:F4)</f>
        <v>59</v>
      </c>
      <c r="AH4" s="48">
        <f>SUM($C4:G4)</f>
        <v>59</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1</v>
      </c>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25</v>
      </c>
      <c r="F8" s="101">
        <v>1</v>
      </c>
      <c r="G8" s="102">
        <v>1</v>
      </c>
      <c r="H8" s="103">
        <v>2</v>
      </c>
      <c r="I8" s="102">
        <v>3</v>
      </c>
      <c r="J8" s="103"/>
      <c r="K8" s="102"/>
      <c r="L8" s="103">
        <v>1</v>
      </c>
      <c r="M8" s="103">
        <v>4</v>
      </c>
      <c r="N8" s="103">
        <v>6</v>
      </c>
      <c r="O8" s="103">
        <v>2</v>
      </c>
      <c r="P8" s="103"/>
      <c r="Q8" s="103"/>
      <c r="R8" s="103">
        <v>2</v>
      </c>
      <c r="S8" s="104"/>
      <c r="T8" s="105">
        <f t="shared" ref="T8:T30" si="1">IF(J8+2*H8+3*F8&gt;0,J8+2*H8+3*F8,0)</f>
        <v>7</v>
      </c>
      <c r="U8" s="106">
        <f t="shared" ref="U8:U30" si="2">IF(G8&gt;0,F8/G8,"")</f>
        <v>1</v>
      </c>
      <c r="V8" s="106">
        <f t="shared" ref="V8:V30" si="3">IF(I8&gt;0,H8/I8,"")</f>
        <v>0.66666666666666663</v>
      </c>
      <c r="W8" s="107" t="str">
        <f t="shared" ref="W8:W30" si="4">IF(K8&gt;0,J8/K8,"")</f>
        <v/>
      </c>
      <c r="X8" s="106">
        <f t="shared" si="0"/>
        <v>0.75</v>
      </c>
      <c r="Y8" s="108">
        <f t="shared" ref="Y8:Y32" si="5">IF(OR(G8&gt;0,I8 &gt;0),(1.5*F8+H8)/(G8+I8),"")</f>
        <v>0.875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26</v>
      </c>
      <c r="F9" s="111">
        <v>3</v>
      </c>
      <c r="G9" s="112">
        <v>3</v>
      </c>
      <c r="H9" s="113">
        <v>3</v>
      </c>
      <c r="I9" s="112">
        <v>6</v>
      </c>
      <c r="J9" s="113"/>
      <c r="K9" s="112"/>
      <c r="L9" s="113">
        <v>1</v>
      </c>
      <c r="M9" s="113">
        <v>3</v>
      </c>
      <c r="N9" s="113">
        <v>1</v>
      </c>
      <c r="O9" s="113">
        <v>1</v>
      </c>
      <c r="P9" s="113">
        <v>1</v>
      </c>
      <c r="Q9" s="113">
        <v>6</v>
      </c>
      <c r="R9" s="113">
        <v>1</v>
      </c>
      <c r="S9" s="114"/>
      <c r="T9" s="115">
        <f t="shared" si="1"/>
        <v>15</v>
      </c>
      <c r="U9" s="95">
        <f t="shared" si="2"/>
        <v>1</v>
      </c>
      <c r="V9" s="95">
        <f t="shared" si="3"/>
        <v>0.5</v>
      </c>
      <c r="W9" s="96" t="str">
        <f t="shared" si="4"/>
        <v/>
      </c>
      <c r="X9" s="95">
        <f t="shared" si="0"/>
        <v>0.66666666666666663</v>
      </c>
      <c r="Y9" s="116">
        <f t="shared" si="5"/>
        <v>0.83333333333333337</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20</v>
      </c>
      <c r="F10" s="101">
        <v>1</v>
      </c>
      <c r="G10" s="102">
        <v>2</v>
      </c>
      <c r="H10" s="103"/>
      <c r="I10" s="102">
        <v>2</v>
      </c>
      <c r="J10" s="103">
        <v>2</v>
      </c>
      <c r="K10" s="102">
        <v>4</v>
      </c>
      <c r="L10" s="103"/>
      <c r="M10" s="103">
        <v>3</v>
      </c>
      <c r="N10" s="103">
        <v>1</v>
      </c>
      <c r="O10" s="103">
        <v>1</v>
      </c>
      <c r="P10" s="103"/>
      <c r="Q10" s="103">
        <v>2</v>
      </c>
      <c r="R10" s="103">
        <v>2</v>
      </c>
      <c r="S10" s="104"/>
      <c r="T10" s="105">
        <f t="shared" si="1"/>
        <v>5</v>
      </c>
      <c r="U10" s="106">
        <f t="shared" si="2"/>
        <v>0.5</v>
      </c>
      <c r="V10" s="106">
        <f t="shared" si="3"/>
        <v>0</v>
      </c>
      <c r="W10" s="107">
        <f t="shared" si="4"/>
        <v>0.5</v>
      </c>
      <c r="X10" s="106">
        <f t="shared" si="0"/>
        <v>0.25</v>
      </c>
      <c r="Y10" s="108">
        <f t="shared" si="5"/>
        <v>0.375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v>1</v>
      </c>
      <c r="E11" s="110">
        <v>1</v>
      </c>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54.5</v>
      </c>
      <c r="AB11" s="385">
        <f>T31/AA11</f>
        <v>1.0825688073394495</v>
      </c>
      <c r="AC11" s="385">
        <f>L31/AA11</f>
        <v>9.1743119266055051E-2</v>
      </c>
      <c r="AD11" s="385">
        <f>M31/AA12</f>
        <v>0.32142857142857145</v>
      </c>
      <c r="AE11" s="389">
        <f>(L31+M31)/AA11</f>
        <v>0.42201834862385323</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56</v>
      </c>
      <c r="AB12" s="385">
        <f>T32/AA12</f>
        <v>0.6964285714285714</v>
      </c>
      <c r="AC12" s="385">
        <f>L32/AA12</f>
        <v>0.14285714285714285</v>
      </c>
      <c r="AD12" s="385">
        <f>M32/AA11</f>
        <v>0.20183486238532111</v>
      </c>
      <c r="AE12" s="389">
        <f>(L32+M32)/AA12</f>
        <v>0.3392857142857143</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1</v>
      </c>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24</v>
      </c>
      <c r="F14" s="101">
        <v>1</v>
      </c>
      <c r="G14" s="102">
        <v>1</v>
      </c>
      <c r="H14" s="103">
        <v>3</v>
      </c>
      <c r="I14" s="102">
        <v>6</v>
      </c>
      <c r="J14" s="103">
        <v>6</v>
      </c>
      <c r="K14" s="102">
        <v>6</v>
      </c>
      <c r="L14" s="103">
        <v>2</v>
      </c>
      <c r="M14" s="103">
        <v>1</v>
      </c>
      <c r="N14" s="103">
        <v>1</v>
      </c>
      <c r="O14" s="103">
        <v>3</v>
      </c>
      <c r="P14" s="103"/>
      <c r="Q14" s="103">
        <v>3</v>
      </c>
      <c r="R14" s="103">
        <v>1</v>
      </c>
      <c r="S14" s="104"/>
      <c r="T14" s="105">
        <f t="shared" si="1"/>
        <v>15</v>
      </c>
      <c r="U14" s="106">
        <f t="shared" si="2"/>
        <v>1</v>
      </c>
      <c r="V14" s="106">
        <f t="shared" si="3"/>
        <v>0.5</v>
      </c>
      <c r="W14" s="107">
        <f t="shared" si="4"/>
        <v>1</v>
      </c>
      <c r="X14" s="106">
        <f t="shared" si="0"/>
        <v>0.5714285714285714</v>
      </c>
      <c r="Y14" s="108">
        <f t="shared" si="5"/>
        <v>0.6428571428571429</v>
      </c>
      <c r="Z14" s="385"/>
      <c r="AA14" s="385"/>
      <c r="AB14" s="385">
        <f>N31/AA11</f>
        <v>0.27522935779816515</v>
      </c>
      <c r="AC14" s="385">
        <f>O31/AA12</f>
        <v>0.17857142857142858</v>
      </c>
      <c r="AD14" s="385">
        <f>Q31/AA11</f>
        <v>0.25688073394495414</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16</v>
      </c>
      <c r="F15" s="111"/>
      <c r="G15" s="112">
        <v>1</v>
      </c>
      <c r="H15" s="113"/>
      <c r="I15" s="112">
        <v>1</v>
      </c>
      <c r="J15" s="113">
        <v>1</v>
      </c>
      <c r="K15" s="112">
        <v>2</v>
      </c>
      <c r="L15" s="113">
        <v>1</v>
      </c>
      <c r="M15" s="113">
        <v>2</v>
      </c>
      <c r="N15" s="113">
        <v>2</v>
      </c>
      <c r="O15" s="113"/>
      <c r="P15" s="113"/>
      <c r="Q15" s="113">
        <v>1</v>
      </c>
      <c r="R15" s="113">
        <v>2</v>
      </c>
      <c r="S15" s="114"/>
      <c r="T15" s="115">
        <f t="shared" si="1"/>
        <v>1</v>
      </c>
      <c r="U15" s="95">
        <f t="shared" si="2"/>
        <v>0</v>
      </c>
      <c r="V15" s="95">
        <f t="shared" si="3"/>
        <v>0</v>
      </c>
      <c r="W15" s="96">
        <f t="shared" si="4"/>
        <v>0.5</v>
      </c>
      <c r="X15" s="95">
        <f t="shared" si="0"/>
        <v>0</v>
      </c>
      <c r="Y15" s="116">
        <f t="shared" si="5"/>
        <v>0</v>
      </c>
      <c r="Z15" s="392"/>
      <c r="AA15" s="393"/>
      <c r="AB15" s="393">
        <f>N32/AA12</f>
        <v>0.17857142857142858</v>
      </c>
      <c r="AC15" s="393">
        <f>O32/AA11</f>
        <v>0.11009174311926606</v>
      </c>
      <c r="AD15" s="393">
        <f>Q32/AA12</f>
        <v>0.23214285714285715</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24</v>
      </c>
      <c r="F16" s="101">
        <v>2</v>
      </c>
      <c r="G16" s="102">
        <v>4</v>
      </c>
      <c r="H16" s="103">
        <v>1</v>
      </c>
      <c r="I16" s="102">
        <v>2</v>
      </c>
      <c r="J16" s="103">
        <v>6</v>
      </c>
      <c r="K16" s="102">
        <v>9</v>
      </c>
      <c r="L16" s="103"/>
      <c r="M16" s="103">
        <v>4</v>
      </c>
      <c r="N16" s="103">
        <v>2</v>
      </c>
      <c r="O16" s="103">
        <v>1</v>
      </c>
      <c r="P16" s="103"/>
      <c r="Q16" s="103">
        <v>2</v>
      </c>
      <c r="R16" s="103">
        <v>2</v>
      </c>
      <c r="S16" s="104"/>
      <c r="T16" s="105">
        <f t="shared" si="1"/>
        <v>14</v>
      </c>
      <c r="U16" s="106">
        <f t="shared" si="2"/>
        <v>0.5</v>
      </c>
      <c r="V16" s="106">
        <f t="shared" si="3"/>
        <v>0.5</v>
      </c>
      <c r="W16" s="107">
        <f t="shared" si="4"/>
        <v>0.66666666666666663</v>
      </c>
      <c r="X16" s="106">
        <f t="shared" si="0"/>
        <v>0.5</v>
      </c>
      <c r="Y16" s="108">
        <f t="shared" si="5"/>
        <v>0.66666666666666663</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1</v>
      </c>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15</v>
      </c>
      <c r="F19" s="111"/>
      <c r="G19" s="112">
        <v>1</v>
      </c>
      <c r="H19" s="113"/>
      <c r="I19" s="112">
        <v>1</v>
      </c>
      <c r="J19" s="113">
        <v>2</v>
      </c>
      <c r="K19" s="112">
        <v>2</v>
      </c>
      <c r="L19" s="113"/>
      <c r="M19" s="113">
        <v>1</v>
      </c>
      <c r="N19" s="113">
        <v>2</v>
      </c>
      <c r="O19" s="113">
        <v>2</v>
      </c>
      <c r="P19" s="113"/>
      <c r="Q19" s="113"/>
      <c r="R19" s="113">
        <v>2</v>
      </c>
      <c r="S19" s="114"/>
      <c r="T19" s="115">
        <f t="shared" si="1"/>
        <v>2</v>
      </c>
      <c r="U19" s="95">
        <f t="shared" si="2"/>
        <v>0</v>
      </c>
      <c r="V19" s="95">
        <f t="shared" si="3"/>
        <v>0</v>
      </c>
      <c r="W19" s="96">
        <f t="shared" si="4"/>
        <v>1</v>
      </c>
      <c r="X19" s="95">
        <f t="shared" si="0"/>
        <v>0</v>
      </c>
      <c r="Y19" s="116">
        <f t="shared" si="5"/>
        <v>0</v>
      </c>
      <c r="Z19" s="388" t="s">
        <v>124</v>
      </c>
      <c r="AA19" s="385">
        <f>AB11*65</f>
        <v>70.366972477064223</v>
      </c>
      <c r="AB19" s="385">
        <f t="shared" ref="AB19:AD20" si="6">AC11*65</f>
        <v>5.9633027522935782</v>
      </c>
      <c r="AC19" s="385">
        <f t="shared" si="6"/>
        <v>20.892857142857146</v>
      </c>
      <c r="AD19" s="385">
        <f t="shared" si="6"/>
        <v>27.431192660550462</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45.267857142857139</v>
      </c>
      <c r="AB20" s="385">
        <f t="shared" si="6"/>
        <v>9.2857142857142847</v>
      </c>
      <c r="AC20" s="385">
        <f t="shared" si="6"/>
        <v>13.119266055045872</v>
      </c>
      <c r="AD20" s="385">
        <f t="shared" si="6"/>
        <v>22.053571428571431</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17.889908256880734</v>
      </c>
      <c r="AC22" s="385">
        <f t="shared" si="7"/>
        <v>11.607142857142858</v>
      </c>
      <c r="AD22" s="385">
        <f>AD14*65</f>
        <v>16.697247706422019</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11.607142857142858</v>
      </c>
      <c r="AC23" s="393">
        <f t="shared" si="7"/>
        <v>7.1559633027522942</v>
      </c>
      <c r="AD23" s="393">
        <f t="shared" si="7"/>
        <v>15.089285714285715</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54</v>
      </c>
      <c r="B31" s="126" t="s">
        <v>161</v>
      </c>
      <c r="C31" s="151"/>
      <c r="D31" s="152">
        <f>IF(COUNTA($D$7:$D$30)&gt;0,1,"")</f>
        <v>1</v>
      </c>
      <c r="E31" s="127">
        <f>IF(D31=1,32+J4*4,"")</f>
        <v>32</v>
      </c>
      <c r="F31" s="128">
        <f t="shared" ref="F31:S31" si="8">SUM(F7:F30)</f>
        <v>8</v>
      </c>
      <c r="G31" s="129">
        <f t="shared" si="8"/>
        <v>13</v>
      </c>
      <c r="H31" s="128">
        <f t="shared" si="8"/>
        <v>9</v>
      </c>
      <c r="I31" s="130">
        <f t="shared" si="8"/>
        <v>21</v>
      </c>
      <c r="J31" s="129">
        <f t="shared" si="8"/>
        <v>17</v>
      </c>
      <c r="K31" s="130">
        <f t="shared" si="8"/>
        <v>23</v>
      </c>
      <c r="L31" s="129">
        <f t="shared" si="8"/>
        <v>5</v>
      </c>
      <c r="M31" s="129">
        <f t="shared" si="8"/>
        <v>18</v>
      </c>
      <c r="N31" s="129">
        <f t="shared" si="8"/>
        <v>15</v>
      </c>
      <c r="O31" s="129">
        <f t="shared" si="8"/>
        <v>10</v>
      </c>
      <c r="P31" s="129">
        <f t="shared" si="8"/>
        <v>1</v>
      </c>
      <c r="Q31" s="129">
        <f t="shared" si="8"/>
        <v>14</v>
      </c>
      <c r="R31" s="129">
        <f t="shared" si="8"/>
        <v>12</v>
      </c>
      <c r="S31" s="131">
        <f t="shared" si="8"/>
        <v>0</v>
      </c>
      <c r="T31" s="132">
        <f>IF(J31+2*H31+3*F31&gt;0,J31+2*H31+3*F31,IF(H4&gt;0,H4,""))</f>
        <v>59</v>
      </c>
      <c r="U31" s="133">
        <f>IF(G31&gt;0,F31/G31,"")</f>
        <v>0.61538461538461542</v>
      </c>
      <c r="V31" s="133">
        <f>IF(I31&gt;0,H31/I31,"")</f>
        <v>0.42857142857142855</v>
      </c>
      <c r="W31" s="134">
        <f>IF(K31&gt;0,J31/K31,"")</f>
        <v>0.73913043478260865</v>
      </c>
      <c r="X31" s="133">
        <f t="shared" si="0"/>
        <v>0.5</v>
      </c>
      <c r="Y31" s="135">
        <f t="shared" si="5"/>
        <v>0.61764705882352944</v>
      </c>
      <c r="AB31" s="51"/>
      <c r="AC31" s="51"/>
      <c r="AD31" s="51"/>
      <c r="AE31" s="51"/>
      <c r="AF31" s="136"/>
      <c r="AG31" s="136"/>
      <c r="AH31" s="136"/>
      <c r="AI31" s="51"/>
    </row>
    <row r="32" spans="1:35" s="18" customFormat="1" ht="17.25" thickTop="1" thickBot="1" x14ac:dyDescent="0.3">
      <c r="A32" s="51">
        <f>ROUND(G32+I32+0.475*K32-L32+Q32,0)</f>
        <v>56</v>
      </c>
      <c r="B32" s="137" t="s">
        <v>162</v>
      </c>
      <c r="C32" s="153"/>
      <c r="D32" s="138">
        <f>IF(SUM(F32:S32)&gt;0,1,"")</f>
        <v>1</v>
      </c>
      <c r="E32" s="138">
        <f>IF(D32=1,E31,0)</f>
        <v>32</v>
      </c>
      <c r="F32" s="139">
        <v>4</v>
      </c>
      <c r="G32" s="140">
        <v>13</v>
      </c>
      <c r="H32" s="139">
        <v>10</v>
      </c>
      <c r="I32" s="141">
        <v>31</v>
      </c>
      <c r="J32" s="139">
        <v>7</v>
      </c>
      <c r="K32" s="141">
        <v>14</v>
      </c>
      <c r="L32" s="140">
        <v>8</v>
      </c>
      <c r="M32" s="140">
        <v>11</v>
      </c>
      <c r="N32" s="140">
        <v>10</v>
      </c>
      <c r="O32" s="140">
        <v>6</v>
      </c>
      <c r="P32" s="140">
        <v>2</v>
      </c>
      <c r="Q32" s="140">
        <v>13</v>
      </c>
      <c r="R32" s="140">
        <v>17</v>
      </c>
      <c r="S32" s="142"/>
      <c r="T32" s="143">
        <f>IF(J32+2*H32+3*F32&gt;0,J32+2*H32+3*F32,IF(H3&gt;0,H3,""))</f>
        <v>39</v>
      </c>
      <c r="U32" s="144">
        <f>IF(G32&gt;0,F32/G32,"")</f>
        <v>0.30769230769230771</v>
      </c>
      <c r="V32" s="144">
        <f>IF(I32&gt;0,H32/I32,"")</f>
        <v>0.32258064516129031</v>
      </c>
      <c r="W32" s="145">
        <f>IF(K32&gt;0,J32/K32,"")</f>
        <v>0.5</v>
      </c>
      <c r="X32" s="144">
        <f t="shared" si="0"/>
        <v>0.31818181818181818</v>
      </c>
      <c r="Y32" s="146">
        <f t="shared" si="5"/>
        <v>0.36363636363636365</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512" priority="30">
      <formula>AND($H$4&gt;0,$H$4&lt;&gt;$T$31)</formula>
    </cfRule>
  </conditionalFormatting>
  <conditionalFormatting sqref="T32 H3">
    <cfRule type="expression" dxfId="511" priority="29">
      <formula>AND($H$3&gt;0,$H$3&lt;&gt;$T$32)</formula>
    </cfRule>
  </conditionalFormatting>
  <conditionalFormatting sqref="A2">
    <cfRule type="cellIs" dxfId="510" priority="28" operator="equal">
      <formula>"R"</formula>
    </cfRule>
  </conditionalFormatting>
  <conditionalFormatting sqref="F7:F30 H7:H30 J7:J30">
    <cfRule type="expression" dxfId="509" priority="27">
      <formula>F7&gt;G7</formula>
    </cfRule>
  </conditionalFormatting>
  <conditionalFormatting sqref="E7:E30">
    <cfRule type="expression" dxfId="508" priority="26">
      <formula>$E7&gt;$E$31</formula>
    </cfRule>
  </conditionalFormatting>
  <conditionalFormatting sqref="L6">
    <cfRule type="expression" dxfId="507" priority="25">
      <formula>OR($L$31&gt;($G$31+$I$31+$K$31-$F$31-$H$31-$J$31),L32&gt;(G31+I31+K31-F31-H31-J31))</formula>
    </cfRule>
  </conditionalFormatting>
  <conditionalFormatting sqref="M6">
    <cfRule type="expression" dxfId="506" priority="24">
      <formula>OR(M31&gt;(G32-F32+I32-H32+K32-J32),M32&gt;(G31-F31+I31-H31+K31-J31))</formula>
    </cfRule>
  </conditionalFormatting>
  <conditionalFormatting sqref="N6">
    <cfRule type="expression" dxfId="505" priority="23">
      <formula>OR($N$31&gt;($F$31+$H$31),$N$32&gt;($F$32+$H$32))</formula>
    </cfRule>
  </conditionalFormatting>
  <conditionalFormatting sqref="P6">
    <cfRule type="expression" dxfId="504" priority="22">
      <formula>OR($P$31&gt;(G32-F32+I32-H32),P32&gt;(G31-F31+I31-H31))</formula>
    </cfRule>
  </conditionalFormatting>
  <conditionalFormatting sqref="Q6">
    <cfRule type="expression" dxfId="503" priority="21">
      <formula>OR($Q$31&lt;$O$32,$Q$32&lt;$O$31)</formula>
    </cfRule>
  </conditionalFormatting>
  <conditionalFormatting sqref="L31:L32">
    <cfRule type="cellIs" dxfId="502" priority="20" operator="greaterThan">
      <formula>$G31+$I31+$K31-$F31-$H31-$J31</formula>
    </cfRule>
  </conditionalFormatting>
  <conditionalFormatting sqref="M32">
    <cfRule type="cellIs" dxfId="501" priority="19" operator="greaterThan">
      <formula>$G$31-$F$31+$I$31-$H$31+$K$31-$J$31</formula>
    </cfRule>
  </conditionalFormatting>
  <conditionalFormatting sqref="N31:N32">
    <cfRule type="cellIs" dxfId="500" priority="18" operator="greaterThan">
      <formula>$F31+$H31</formula>
    </cfRule>
  </conditionalFormatting>
  <conditionalFormatting sqref="O32">
    <cfRule type="cellIs" dxfId="499" priority="11" operator="greaterThan">
      <formula>$Q$31</formula>
    </cfRule>
  </conditionalFormatting>
  <conditionalFormatting sqref="P31">
    <cfRule type="cellIs" dxfId="498" priority="17" operator="greaterThan">
      <formula>$G$32-$F$32+$I$32-$H$32</formula>
    </cfRule>
  </conditionalFormatting>
  <conditionalFormatting sqref="Q32">
    <cfRule type="cellIs" dxfId="497" priority="16" operator="lessThan">
      <formula>$O$31</formula>
    </cfRule>
  </conditionalFormatting>
  <conditionalFormatting sqref="F7:F32">
    <cfRule type="cellIs" dxfId="496" priority="15" operator="greaterThan">
      <formula>G7</formula>
    </cfRule>
  </conditionalFormatting>
  <conditionalFormatting sqref="H7:H32">
    <cfRule type="cellIs" dxfId="495" priority="14" operator="greaterThan">
      <formula>I7</formula>
    </cfRule>
  </conditionalFormatting>
  <conditionalFormatting sqref="J7:J32">
    <cfRule type="cellIs" dxfId="494" priority="13" operator="greaterThan">
      <formula>K7</formula>
    </cfRule>
  </conditionalFormatting>
  <conditionalFormatting sqref="M4">
    <cfRule type="cellIs" dxfId="493" priority="12" operator="notBetween">
      <formula>$AH$2</formula>
      <formula>$AI$2</formula>
    </cfRule>
  </conditionalFormatting>
  <conditionalFormatting sqref="O31">
    <cfRule type="cellIs" dxfId="492" priority="10" operator="greaterThan">
      <formula>$Q$32</formula>
    </cfRule>
  </conditionalFormatting>
  <conditionalFormatting sqref="Q31">
    <cfRule type="cellIs" dxfId="491" priority="9" operator="lessThan">
      <formula>$O$32</formula>
    </cfRule>
  </conditionalFormatting>
  <conditionalFormatting sqref="M31">
    <cfRule type="cellIs" dxfId="490" priority="8" operator="greaterThan">
      <formula>G32-F32 +I32-H32+K32-J32</formula>
    </cfRule>
  </conditionalFormatting>
  <conditionalFormatting sqref="B3">
    <cfRule type="expression" dxfId="489" priority="7">
      <formula>$W$2 = TRUE</formula>
    </cfRule>
  </conditionalFormatting>
  <conditionalFormatting sqref="P4:Q4">
    <cfRule type="expression" dxfId="488" priority="6">
      <formula>OR(AND($P$4=1,$X$4=1),AND($Q$4=1,$W$4=1))</formula>
    </cfRule>
  </conditionalFormatting>
  <conditionalFormatting sqref="D7 D20:D30">
    <cfRule type="expression" dxfId="487" priority="31">
      <formula>AND($D7=0,SUM($F7:$S7)&gt;0)</formula>
    </cfRule>
  </conditionalFormatting>
  <conditionalFormatting sqref="O6">
    <cfRule type="expression" dxfId="486" priority="5">
      <formula>OR($O$31&gt;$Q$32,$O$32&gt;$Q$31)</formula>
    </cfRule>
  </conditionalFormatting>
  <conditionalFormatting sqref="F6">
    <cfRule type="expression" dxfId="485" priority="4">
      <formula>OR(F$31&gt;G$31,F$32&gt;G$32)</formula>
    </cfRule>
  </conditionalFormatting>
  <conditionalFormatting sqref="H6">
    <cfRule type="expression" dxfId="484" priority="3">
      <formula>OR(H$31&gt;I$31,H$32&gt;I$32)</formula>
    </cfRule>
  </conditionalFormatting>
  <conditionalFormatting sqref="J6">
    <cfRule type="expression" dxfId="483" priority="2">
      <formula>OR(J$31&gt;K$31,J$32&gt;K$32)</formula>
    </cfRule>
  </conditionalFormatting>
  <conditionalFormatting sqref="D8:D19">
    <cfRule type="expression" dxfId="2" priority="1">
      <formula>AND($D8=0,SUM($F8:$S8)&gt;0)</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002060"/>
    <pageSetUpPr fitToPage="1"/>
  </sheetPr>
  <dimension ref="A1:AH230"/>
  <sheetViews>
    <sheetView showZeros="0" zoomScale="80" zoomScaleNormal="80" workbookViewId="0">
      <pane ySplit="2" topLeftCell="A3" activePane="bottomLeft" state="frozen"/>
      <selection pane="bottomLeft" activeCell="G191" sqref="G191"/>
    </sheetView>
  </sheetViews>
  <sheetFormatPr defaultColWidth="10.5703125" defaultRowHeight="13.5" x14ac:dyDescent="0.25"/>
  <cols>
    <col min="1" max="1" width="25.85546875" style="12" customWidth="1"/>
    <col min="2" max="21" width="5.42578125" style="12" customWidth="1"/>
    <col min="22" max="22" width="5.42578125" style="14" customWidth="1"/>
    <col min="23" max="24" width="5.42578125" style="12" customWidth="1"/>
    <col min="25" max="34" width="6.42578125" style="12" customWidth="1"/>
    <col min="35" max="16384" width="10.5703125" style="12"/>
  </cols>
  <sheetData>
    <row r="1" spans="1:34" ht="16.5" customHeight="1" x14ac:dyDescent="0.35">
      <c r="A1" s="356" t="s">
        <v>338</v>
      </c>
      <c r="B1" s="244"/>
      <c r="C1" s="244" t="s">
        <v>281</v>
      </c>
      <c r="D1" s="245"/>
      <c r="E1" s="245"/>
      <c r="F1" s="245"/>
      <c r="G1" s="245"/>
      <c r="H1" s="244" t="str">
        <f>CONCATENATE(Roster!B1," ",Roster!B2)</f>
        <v>Upton Bobcats</v>
      </c>
      <c r="V1" s="12"/>
      <c r="Y1" s="246" t="s">
        <v>337</v>
      </c>
    </row>
    <row r="2" spans="1:34" s="16" customFormat="1" ht="21.6" thickBot="1" x14ac:dyDescent="0.4">
      <c r="A2" s="247" t="s">
        <v>282</v>
      </c>
      <c r="B2" s="154" t="s">
        <v>277</v>
      </c>
      <c r="C2" s="154" t="s">
        <v>141</v>
      </c>
      <c r="D2" s="154" t="s">
        <v>233</v>
      </c>
      <c r="E2" s="154" t="s">
        <v>142</v>
      </c>
      <c r="F2" s="154" t="s">
        <v>143</v>
      </c>
      <c r="G2" s="154" t="s">
        <v>144</v>
      </c>
      <c r="H2" s="154" t="s">
        <v>145</v>
      </c>
      <c r="I2" s="154" t="s">
        <v>146</v>
      </c>
      <c r="J2" s="154" t="s">
        <v>147</v>
      </c>
      <c r="K2" s="154" t="s">
        <v>148</v>
      </c>
      <c r="L2" s="154" t="s">
        <v>149</v>
      </c>
      <c r="M2" s="154" t="s">
        <v>220</v>
      </c>
      <c r="N2" s="154" t="s">
        <v>150</v>
      </c>
      <c r="O2" s="154" t="s">
        <v>151</v>
      </c>
      <c r="P2" s="154" t="s">
        <v>152</v>
      </c>
      <c r="Q2" s="154" t="s">
        <v>153</v>
      </c>
      <c r="R2" s="154" t="s">
        <v>154</v>
      </c>
      <c r="S2" s="154" t="s">
        <v>276</v>
      </c>
      <c r="T2" s="154" t="s">
        <v>155</v>
      </c>
      <c r="U2" s="154" t="s">
        <v>156</v>
      </c>
      <c r="V2" s="154" t="s">
        <v>157</v>
      </c>
      <c r="W2" s="154" t="s">
        <v>158</v>
      </c>
      <c r="X2" s="154" t="s">
        <v>159</v>
      </c>
      <c r="Y2" s="154" t="s">
        <v>166</v>
      </c>
      <c r="Z2" s="154"/>
      <c r="AA2" s="154"/>
      <c r="AB2" s="154"/>
      <c r="AC2" s="154"/>
      <c r="AD2" s="154"/>
      <c r="AE2" s="154"/>
      <c r="AF2" s="154"/>
      <c r="AG2" s="154"/>
      <c r="AH2" s="154"/>
    </row>
    <row r="3" spans="1:34" s="18" customFormat="1" ht="15.6" x14ac:dyDescent="0.35">
      <c r="A3" s="358" t="str">
        <f ca="1">A191</f>
        <v>Ten Sleep 12/9/2022</v>
      </c>
      <c r="B3" s="248" cm="1">
        <f t="array" aca="1" ref="B3" ca="1">SUMPRODUCT((PlayerGameData[Pvisible]=1)*(PlayerGameData[PLAYER, '#]=$A$1)*(PlayerGameData[Opponent]=$F191)*(PlayerGameData[Date]=$G191)*(PlayerGameData[START]))</f>
        <v>0</v>
      </c>
      <c r="C3" s="248" cm="1">
        <f t="array" aca="1" ref="C3" ca="1">SUMPRODUCT((PlayerGameData[Pvisible]=1)*(PlayerGameData[PLAYER, '#]=$A$1)*(PlayerGameData[Opponent]=$F191)*(PlayerGameData[Date]=$G191)*(PlayerGameData[GP]))</f>
        <v>0</v>
      </c>
      <c r="D3" s="248" cm="1">
        <f t="array" aca="1" ref="D3" ca="1">SUMPRODUCT((PlayerGameData[Pvisible]=1)*(PlayerGameData[PLAYER, '#]=$A$1)*(PlayerGameData[Opponent]=$F191)*(PlayerGameData[Date]=$G191)*(PlayerGameData[MINUTES]))</f>
        <v>0</v>
      </c>
      <c r="E3" s="249" cm="1">
        <f t="array" aca="1" ref="E3" ca="1">SUMPRODUCT((PlayerGameData[Pvisible]=1)*(PlayerGameData[PLAYER, '#]=$A$1)*(PlayerGameData[Opponent]=$F191)*(PlayerGameData[Date]=$G191)*(PlayerGameData[3FGM]))</f>
        <v>0</v>
      </c>
      <c r="F3" s="250" cm="1">
        <f t="array" aca="1" ref="F3" ca="1">SUMPRODUCT((PlayerGameData[Pvisible]=1)*(PlayerGameData[PLAYER, '#]=$A$1)*(PlayerGameData[Opponent]=$F191)*(PlayerGameData[Date]=$G191)*(PlayerGameData[3FGA]))</f>
        <v>0</v>
      </c>
      <c r="G3" s="249" cm="1">
        <f t="array" aca="1" ref="G3" ca="1">SUMPRODUCT((PlayerGameData[Pvisible]=1)*(PlayerGameData[PLAYER, '#]=$A$1)*(PlayerGameData[Opponent]=$F191)*(PlayerGameData[Date]=$G191)*(PlayerGameData[2FGM]))</f>
        <v>0</v>
      </c>
      <c r="H3" s="250" cm="1">
        <f t="array" aca="1" ref="H3" ca="1">SUMPRODUCT((PlayerGameData[Pvisible]=1)*(PlayerGameData[PLAYER, '#]=$A$1)*(PlayerGameData[Opponent]=$F191)*(PlayerGameData[Date]=$G191)*(PlayerGameData[2FGA]))</f>
        <v>0</v>
      </c>
      <c r="I3" s="249" cm="1">
        <f t="array" aca="1" ref="I3" ca="1">SUMPRODUCT((PlayerGameData[Pvisible]=1)*(PlayerGameData[PLAYER, '#]=$A$1)*(PlayerGameData[Opponent]=$F191)*(PlayerGameData[Date]=$G191)*(PlayerGameData[FTM]))</f>
        <v>0</v>
      </c>
      <c r="J3" s="250" cm="1">
        <f t="array" aca="1" ref="J3" ca="1">SUMPRODUCT((PlayerGameData[Pvisible]=1)*(PlayerGameData[PLAYER, '#]=$A$1)*(PlayerGameData[Opponent]=$F191)*(PlayerGameData[Date]=$G191)*(PlayerGameData[FTA]))</f>
        <v>0</v>
      </c>
      <c r="K3" s="249" cm="1">
        <f t="array" aca="1" ref="K3" ca="1">SUMPRODUCT((PlayerGameData[Pvisible]=1)*(PlayerGameData[PLAYER, '#]=$A$1)*(PlayerGameData[Opponent]=$F191)*(PlayerGameData[Date]=$G191)*(PlayerGameData[OFF REB]))</f>
        <v>0</v>
      </c>
      <c r="L3" s="250" cm="1">
        <f t="array" aca="1" ref="L3" ca="1">SUMPRODUCT((PlayerGameData[Pvisible]=1)*(PlayerGameData[PLAYER, '#]=$A$1)*(PlayerGameData[Opponent]=$F191)*(PlayerGameData[Date]=$G191)*(PlayerGameData[DEF REB]))</f>
        <v>0</v>
      </c>
      <c r="M3" s="250">
        <f t="shared" ref="M3" ca="1" si="0">K3+L3</f>
        <v>0</v>
      </c>
      <c r="N3" s="249" cm="1">
        <f t="array" aca="1" ref="N3" ca="1">SUMPRODUCT((PlayerGameData[Pvisible]=1)*(PlayerGameData[PLAYER, '#]=$A$1)*(PlayerGameData[Opponent]=$F191)*(PlayerGameData[Date]=$G191)*(PlayerGameData[AST]))</f>
        <v>0</v>
      </c>
      <c r="O3" s="250" cm="1">
        <f t="array" aca="1" ref="O3" ca="1">SUMPRODUCT((PlayerGameData[Pvisible]=1)*(PlayerGameData[PLAYER, '#]=$A$1)*(PlayerGameData[Opponent]=$F191)*(PlayerGameData[Date]=$G191)*(PlayerGameData[STL]))</f>
        <v>0</v>
      </c>
      <c r="P3" s="250" cm="1">
        <f t="array" aca="1" ref="P3" ca="1">SUMPRODUCT((PlayerGameData[Pvisible]=1)*(PlayerGameData[PLAYER, '#]=$A$1)*(PlayerGameData[Opponent]=$F191)*(PlayerGameData[Date]=$G191)*(PlayerGameData[BLK]))</f>
        <v>0</v>
      </c>
      <c r="Q3" s="250" cm="1">
        <f t="array" aca="1" ref="Q3" ca="1">SUMPRODUCT((PlayerGameData[Pvisible]=1)*(PlayerGameData[PLAYER, '#]=$A$1)*(PlayerGameData[Opponent]=$F191)*(PlayerGameData[Date]=$G191)*(PlayerGameData[TO]))</f>
        <v>0</v>
      </c>
      <c r="R3" s="250" cm="1">
        <f t="array" aca="1" ref="R3" ca="1">SUMPRODUCT((PlayerGameData[Pvisible]=1)*(PlayerGameData[PLAYER, '#]=$A$1)*(PlayerGameData[Opponent]=$F191)*(PlayerGameData[Date]=$G191)*(PlayerGameData[FOUL]))</f>
        <v>0</v>
      </c>
      <c r="S3" s="250" cm="1">
        <f t="array" aca="1" ref="S3" ca="1">SUMPRODUCT((PlayerGameData[Pvisible]=1)*(PlayerGameData[PLAYER, '#]=$A$1)*(PlayerGameData[Opponent]=$F191)*(PlayerGameData[Date]=$G191)*(PlayerGameData[CHRG TKN]))</f>
        <v>0</v>
      </c>
      <c r="T3" s="251">
        <f ca="1">IF(I3+2*G3+3*E3&gt;0,I3+2*G3+3*E3,0)</f>
        <v>0</v>
      </c>
      <c r="U3" s="195" t="str">
        <f ca="1">IF(F3&gt;0,E3/F3,"")</f>
        <v/>
      </c>
      <c r="V3" s="195" t="str">
        <f ca="1">IF(H3&gt;0,G3/H3,"")</f>
        <v/>
      </c>
      <c r="W3" s="195" t="str">
        <f ca="1">IF(J3&gt;0,I3/J3,"")</f>
        <v/>
      </c>
      <c r="X3" s="195" t="str">
        <f ca="1">IF(OR(F3&gt;0,H3 &gt;0),(E3+G3)/(F3+H3),"")</f>
        <v/>
      </c>
      <c r="Y3" s="196" t="str">
        <f ca="1">IF(OR(F3&gt;0,H3 &gt;0),(1.5*E3+G3)/(F3+H3),"")</f>
        <v/>
      </c>
      <c r="Z3" s="184"/>
      <c r="AA3" s="184"/>
      <c r="AB3" s="184"/>
      <c r="AC3" s="184"/>
      <c r="AD3" s="184"/>
      <c r="AE3" s="184"/>
      <c r="AF3" s="184"/>
      <c r="AG3" s="184"/>
      <c r="AH3" s="184"/>
    </row>
    <row r="4" spans="1:34" s="18" customFormat="1" ht="15.6" x14ac:dyDescent="0.35">
      <c r="A4" s="359" t="str">
        <f t="shared" ref="A4:A32" ca="1" si="1">A192</f>
        <v>Riverside 12/9/2022</v>
      </c>
      <c r="B4" s="252" cm="1">
        <f t="array" aca="1" ref="B4" ca="1">SUMPRODUCT((PlayerGameData[Pvisible]=1)*(PlayerGameData[PLAYER, '#]=$A$1)*(PlayerGameData[Opponent]=$F192)*(PlayerGameData[Date]=$G192)*(PlayerGameData[START]))</f>
        <v>0</v>
      </c>
      <c r="C4" s="252" cm="1">
        <f t="array" aca="1" ref="C4" ca="1">SUMPRODUCT((PlayerGameData[Pvisible]=1)*(PlayerGameData[PLAYER, '#]=$A$1)*(PlayerGameData[Opponent]=$F192)*(PlayerGameData[Date]=$G192)*(PlayerGameData[GP]))</f>
        <v>0</v>
      </c>
      <c r="D4" s="252" cm="1">
        <f t="array" aca="1" ref="D4" ca="1">SUMPRODUCT((PlayerGameData[Pvisible]=1)*(PlayerGameData[PLAYER, '#]=$A$1)*(PlayerGameData[Opponent]=$F192)*(PlayerGameData[Date]=$G192)*(PlayerGameData[MINUTES]))</f>
        <v>0</v>
      </c>
      <c r="E4" s="253" cm="1">
        <f t="array" aca="1" ref="E4" ca="1">SUMPRODUCT((PlayerGameData[Pvisible]=1)*(PlayerGameData[PLAYER, '#]=$A$1)*(PlayerGameData[Opponent]=$F192)*(PlayerGameData[Date]=$G192)*(PlayerGameData[3FGM]))</f>
        <v>0</v>
      </c>
      <c r="F4" s="254" cm="1">
        <f t="array" aca="1" ref="F4" ca="1">SUMPRODUCT((PlayerGameData[Pvisible]=1)*(PlayerGameData[PLAYER, '#]=$A$1)*(PlayerGameData[Opponent]=$F192)*(PlayerGameData[Date]=$G192)*(PlayerGameData[3FGA]))</f>
        <v>0</v>
      </c>
      <c r="G4" s="253" cm="1">
        <f t="array" aca="1" ref="G4" ca="1">SUMPRODUCT((PlayerGameData[Pvisible]=1)*(PlayerGameData[PLAYER, '#]=$A$1)*(PlayerGameData[Opponent]=$F192)*(PlayerGameData[Date]=$G192)*(PlayerGameData[2FGM]))</f>
        <v>0</v>
      </c>
      <c r="H4" s="254" cm="1">
        <f t="array" aca="1" ref="H4" ca="1">SUMPRODUCT((PlayerGameData[Pvisible]=1)*(PlayerGameData[PLAYER, '#]=$A$1)*(PlayerGameData[Opponent]=$F192)*(PlayerGameData[Date]=$G192)*(PlayerGameData[2FGA]))</f>
        <v>0</v>
      </c>
      <c r="I4" s="253" cm="1">
        <f t="array" aca="1" ref="I4" ca="1">SUMPRODUCT((PlayerGameData[Pvisible]=1)*(PlayerGameData[PLAYER, '#]=$A$1)*(PlayerGameData[Opponent]=$F192)*(PlayerGameData[Date]=$G192)*(PlayerGameData[FTM]))</f>
        <v>0</v>
      </c>
      <c r="J4" s="254" cm="1">
        <f t="array" aca="1" ref="J4" ca="1">SUMPRODUCT((PlayerGameData[Pvisible]=1)*(PlayerGameData[PLAYER, '#]=$A$1)*(PlayerGameData[Opponent]=$F192)*(PlayerGameData[Date]=$G192)*(PlayerGameData[FTA]))</f>
        <v>0</v>
      </c>
      <c r="K4" s="253" cm="1">
        <f t="array" aca="1" ref="K4" ca="1">SUMPRODUCT((PlayerGameData[Pvisible]=1)*(PlayerGameData[PLAYER, '#]=$A$1)*(PlayerGameData[Opponent]=$F192)*(PlayerGameData[Date]=$G192)*(PlayerGameData[OFF REB]))</f>
        <v>0</v>
      </c>
      <c r="L4" s="254" cm="1">
        <f t="array" aca="1" ref="L4" ca="1">SUMPRODUCT((PlayerGameData[Pvisible]=1)*(PlayerGameData[PLAYER, '#]=$A$1)*(PlayerGameData[Opponent]=$F192)*(PlayerGameData[Date]=$G192)*(PlayerGameData[DEF REB]))</f>
        <v>0</v>
      </c>
      <c r="M4" s="254">
        <f t="shared" ref="M4:M32" ca="1" si="2">K4+L4</f>
        <v>0</v>
      </c>
      <c r="N4" s="253" cm="1">
        <f t="array" aca="1" ref="N4" ca="1">SUMPRODUCT((PlayerGameData[Pvisible]=1)*(PlayerGameData[PLAYER, '#]=$A$1)*(PlayerGameData[Opponent]=$F192)*(PlayerGameData[Date]=$G192)*(PlayerGameData[AST]))</f>
        <v>0</v>
      </c>
      <c r="O4" s="254" cm="1">
        <f t="array" aca="1" ref="O4" ca="1">SUMPRODUCT((PlayerGameData[Pvisible]=1)*(PlayerGameData[PLAYER, '#]=$A$1)*(PlayerGameData[Opponent]=$F192)*(PlayerGameData[Date]=$G192)*(PlayerGameData[STL]))</f>
        <v>0</v>
      </c>
      <c r="P4" s="254" cm="1">
        <f t="array" aca="1" ref="P4" ca="1">SUMPRODUCT((PlayerGameData[Pvisible]=1)*(PlayerGameData[PLAYER, '#]=$A$1)*(PlayerGameData[Opponent]=$F192)*(PlayerGameData[Date]=$G192)*(PlayerGameData[BLK]))</f>
        <v>0</v>
      </c>
      <c r="Q4" s="254" cm="1">
        <f t="array" aca="1" ref="Q4" ca="1">SUMPRODUCT((PlayerGameData[Pvisible]=1)*(PlayerGameData[PLAYER, '#]=$A$1)*(PlayerGameData[Opponent]=$F192)*(PlayerGameData[Date]=$G192)*(PlayerGameData[TO]))</f>
        <v>0</v>
      </c>
      <c r="R4" s="254" cm="1">
        <f t="array" aca="1" ref="R4" ca="1">SUMPRODUCT((PlayerGameData[Pvisible]=1)*(PlayerGameData[PLAYER, '#]=$A$1)*(PlayerGameData[Opponent]=$F192)*(PlayerGameData[Date]=$G192)*(PlayerGameData[FOUL]))</f>
        <v>0</v>
      </c>
      <c r="S4" s="254" cm="1">
        <f t="array" aca="1" ref="S4" ca="1">SUMPRODUCT((PlayerGameData[Pvisible]=1)*(PlayerGameData[PLAYER, '#]=$A$1)*(PlayerGameData[Opponent]=$F192)*(PlayerGameData[Date]=$G192)*(PlayerGameData[CHRG TKN]))</f>
        <v>0</v>
      </c>
      <c r="T4" s="255">
        <f t="shared" ref="T4:T32" ca="1" si="3">IF(I4+2*G4+3*E4&gt;0,I4+2*G4+3*E4,0)</f>
        <v>0</v>
      </c>
      <c r="U4" s="206" t="str">
        <f t="shared" ref="U4:U32" ca="1" si="4">IF(F4&gt;0,E4/F4,"")</f>
        <v/>
      </c>
      <c r="V4" s="206" t="str">
        <f t="shared" ref="V4:V32" ca="1" si="5">IF(H4&gt;0,G4/H4,"")</f>
        <v/>
      </c>
      <c r="W4" s="206" t="str">
        <f t="shared" ref="W4:W32" ca="1" si="6">IF(J4&gt;0,I4/J4,"")</f>
        <v/>
      </c>
      <c r="X4" s="206" t="str">
        <f t="shared" ref="X4:X32" ca="1" si="7">IF(OR(F4&gt;0,H4 &gt;0),(E4+G4)/(F4+H4),"")</f>
        <v/>
      </c>
      <c r="Y4" s="213" t="str">
        <f t="shared" ref="Y4:Y32" ca="1" si="8">IF(OR(F4&gt;0,H4 &gt;0),(1.5*E4+G4)/(F4+H4),"")</f>
        <v/>
      </c>
      <c r="Z4" s="185"/>
      <c r="AA4" s="185"/>
      <c r="AB4" s="185"/>
      <c r="AC4" s="185"/>
      <c r="AD4" s="185"/>
      <c r="AE4" s="185"/>
      <c r="AF4" s="185"/>
      <c r="AG4" s="185"/>
      <c r="AH4" s="185"/>
    </row>
    <row r="5" spans="1:34" s="18" customFormat="1" ht="15.6" x14ac:dyDescent="0.35">
      <c r="A5" s="360" t="str">
        <f t="shared" ca="1" si="1"/>
        <v>Sundance 1/0/1900</v>
      </c>
      <c r="B5" s="256" cm="1">
        <f t="array" aca="1" ref="B5" ca="1">SUMPRODUCT((PlayerGameData[Pvisible]=1)*(PlayerGameData[PLAYER, '#]=$A$1)*(PlayerGameData[Opponent]=$F193)*(PlayerGameData[Date]=$G193)*(PlayerGameData[START]))</f>
        <v>0</v>
      </c>
      <c r="C5" s="256" cm="1">
        <f t="array" aca="1" ref="C5" ca="1">SUMPRODUCT((PlayerGameData[Pvisible]=1)*(PlayerGameData[PLAYER, '#]=$A$1)*(PlayerGameData[Opponent]=$F193)*(PlayerGameData[Date]=$G193)*(PlayerGameData[GP]))</f>
        <v>0</v>
      </c>
      <c r="D5" s="256" cm="1">
        <f t="array" aca="1" ref="D5" ca="1">SUMPRODUCT((PlayerGameData[Pvisible]=1)*(PlayerGameData[PLAYER, '#]=$A$1)*(PlayerGameData[Opponent]=$F193)*(PlayerGameData[Date]=$G193)*(PlayerGameData[MINUTES]))</f>
        <v>0</v>
      </c>
      <c r="E5" s="257" cm="1">
        <f t="array" aca="1" ref="E5" ca="1">SUMPRODUCT((PlayerGameData[Pvisible]=1)*(PlayerGameData[PLAYER, '#]=$A$1)*(PlayerGameData[Opponent]=$F193)*(PlayerGameData[Date]=$G193)*(PlayerGameData[3FGM]))</f>
        <v>0</v>
      </c>
      <c r="F5" s="258" cm="1">
        <f t="array" aca="1" ref="F5" ca="1">SUMPRODUCT((PlayerGameData[Pvisible]=1)*(PlayerGameData[PLAYER, '#]=$A$1)*(PlayerGameData[Opponent]=$F193)*(PlayerGameData[Date]=$G193)*(PlayerGameData[3FGA]))</f>
        <v>0</v>
      </c>
      <c r="G5" s="257" cm="1">
        <f t="array" aca="1" ref="G5" ca="1">SUMPRODUCT((PlayerGameData[Pvisible]=1)*(PlayerGameData[PLAYER, '#]=$A$1)*(PlayerGameData[Opponent]=$F193)*(PlayerGameData[Date]=$G193)*(PlayerGameData[2FGM]))</f>
        <v>0</v>
      </c>
      <c r="H5" s="258" cm="1">
        <f t="array" aca="1" ref="H5" ca="1">SUMPRODUCT((PlayerGameData[Pvisible]=1)*(PlayerGameData[PLAYER, '#]=$A$1)*(PlayerGameData[Opponent]=$F193)*(PlayerGameData[Date]=$G193)*(PlayerGameData[2FGA]))</f>
        <v>0</v>
      </c>
      <c r="I5" s="257" cm="1">
        <f t="array" aca="1" ref="I5" ca="1">SUMPRODUCT((PlayerGameData[Pvisible]=1)*(PlayerGameData[PLAYER, '#]=$A$1)*(PlayerGameData[Opponent]=$F193)*(PlayerGameData[Date]=$G193)*(PlayerGameData[FTM]))</f>
        <v>0</v>
      </c>
      <c r="J5" s="258" cm="1">
        <f t="array" aca="1" ref="J5" ca="1">SUMPRODUCT((PlayerGameData[Pvisible]=1)*(PlayerGameData[PLAYER, '#]=$A$1)*(PlayerGameData[Opponent]=$F193)*(PlayerGameData[Date]=$G193)*(PlayerGameData[FTA]))</f>
        <v>0</v>
      </c>
      <c r="K5" s="257" cm="1">
        <f t="array" aca="1" ref="K5" ca="1">SUMPRODUCT((PlayerGameData[Pvisible]=1)*(PlayerGameData[PLAYER, '#]=$A$1)*(PlayerGameData[Opponent]=$F193)*(PlayerGameData[Date]=$G193)*(PlayerGameData[OFF REB]))</f>
        <v>0</v>
      </c>
      <c r="L5" s="258" cm="1">
        <f t="array" aca="1" ref="L5" ca="1">SUMPRODUCT((PlayerGameData[Pvisible]=1)*(PlayerGameData[PLAYER, '#]=$A$1)*(PlayerGameData[Opponent]=$F193)*(PlayerGameData[Date]=$G193)*(PlayerGameData[DEF REB]))</f>
        <v>0</v>
      </c>
      <c r="M5" s="258">
        <f t="shared" ca="1" si="2"/>
        <v>0</v>
      </c>
      <c r="N5" s="257" cm="1">
        <f t="array" aca="1" ref="N5" ca="1">SUMPRODUCT((PlayerGameData[Pvisible]=1)*(PlayerGameData[PLAYER, '#]=$A$1)*(PlayerGameData[Opponent]=$F193)*(PlayerGameData[Date]=$G193)*(PlayerGameData[AST]))</f>
        <v>0</v>
      </c>
      <c r="O5" s="258" cm="1">
        <f t="array" aca="1" ref="O5" ca="1">SUMPRODUCT((PlayerGameData[Pvisible]=1)*(PlayerGameData[PLAYER, '#]=$A$1)*(PlayerGameData[Opponent]=$F193)*(PlayerGameData[Date]=$G193)*(PlayerGameData[STL]))</f>
        <v>0</v>
      </c>
      <c r="P5" s="258" cm="1">
        <f t="array" aca="1" ref="P5" ca="1">SUMPRODUCT((PlayerGameData[Pvisible]=1)*(PlayerGameData[PLAYER, '#]=$A$1)*(PlayerGameData[Opponent]=$F193)*(PlayerGameData[Date]=$G193)*(PlayerGameData[BLK]))</f>
        <v>0</v>
      </c>
      <c r="Q5" s="258" cm="1">
        <f t="array" aca="1" ref="Q5" ca="1">SUMPRODUCT((PlayerGameData[Pvisible]=1)*(PlayerGameData[PLAYER, '#]=$A$1)*(PlayerGameData[Opponent]=$F193)*(PlayerGameData[Date]=$G193)*(PlayerGameData[TO]))</f>
        <v>0</v>
      </c>
      <c r="R5" s="258" cm="1">
        <f t="array" aca="1" ref="R5" ca="1">SUMPRODUCT((PlayerGameData[Pvisible]=1)*(PlayerGameData[PLAYER, '#]=$A$1)*(PlayerGameData[Opponent]=$F193)*(PlayerGameData[Date]=$G193)*(PlayerGameData[FOUL]))</f>
        <v>0</v>
      </c>
      <c r="S5" s="258" cm="1">
        <f t="array" aca="1" ref="S5" ca="1">SUMPRODUCT((PlayerGameData[Pvisible]=1)*(PlayerGameData[PLAYER, '#]=$A$1)*(PlayerGameData[Opponent]=$F193)*(PlayerGameData[Date]=$G193)*(PlayerGameData[CHRG TKN]))</f>
        <v>0</v>
      </c>
      <c r="T5" s="259">
        <f t="shared" ca="1" si="3"/>
        <v>0</v>
      </c>
      <c r="U5" s="193" t="str">
        <f t="shared" ca="1" si="4"/>
        <v/>
      </c>
      <c r="V5" s="193" t="str">
        <f t="shared" ca="1" si="5"/>
        <v/>
      </c>
      <c r="W5" s="193" t="str">
        <f t="shared" ca="1" si="6"/>
        <v/>
      </c>
      <c r="X5" s="193" t="str">
        <f t="shared" ca="1" si="7"/>
        <v/>
      </c>
      <c r="Y5" s="194" t="str">
        <f t="shared" ca="1" si="8"/>
        <v/>
      </c>
      <c r="Z5" s="184"/>
      <c r="AA5" s="184"/>
      <c r="AB5" s="184"/>
      <c r="AC5" s="184"/>
      <c r="AD5" s="184"/>
      <c r="AE5" s="184"/>
      <c r="AF5" s="184"/>
      <c r="AG5" s="184"/>
      <c r="AH5" s="184"/>
    </row>
    <row r="6" spans="1:34" s="18" customFormat="1" ht="15.6" x14ac:dyDescent="0.35">
      <c r="A6" s="359" t="str">
        <f t="shared" ca="1" si="1"/>
        <v>Cokeville 12/19/2022</v>
      </c>
      <c r="B6" s="252" cm="1">
        <f t="array" aca="1" ref="B6" ca="1">SUMPRODUCT((PlayerGameData[Pvisible]=1)*(PlayerGameData[PLAYER, '#]=$A$1)*(PlayerGameData[Opponent]=$F194)*(PlayerGameData[Date]=$G194)*(PlayerGameData[START]))</f>
        <v>0</v>
      </c>
      <c r="C6" s="252" cm="1">
        <f t="array" aca="1" ref="C6" ca="1">SUMPRODUCT((PlayerGameData[Pvisible]=1)*(PlayerGameData[PLAYER, '#]=$A$1)*(PlayerGameData[Opponent]=$F194)*(PlayerGameData[Date]=$G194)*(PlayerGameData[GP]))</f>
        <v>0</v>
      </c>
      <c r="D6" s="252" cm="1">
        <f t="array" aca="1" ref="D6" ca="1">SUMPRODUCT((PlayerGameData[Pvisible]=1)*(PlayerGameData[PLAYER, '#]=$A$1)*(PlayerGameData[Opponent]=$F194)*(PlayerGameData[Date]=$G194)*(PlayerGameData[MINUTES]))</f>
        <v>0</v>
      </c>
      <c r="E6" s="253" cm="1">
        <f t="array" aca="1" ref="E6" ca="1">SUMPRODUCT((PlayerGameData[Pvisible]=1)*(PlayerGameData[PLAYER, '#]=$A$1)*(PlayerGameData[Opponent]=$F194)*(PlayerGameData[Date]=$G194)*(PlayerGameData[3FGM]))</f>
        <v>0</v>
      </c>
      <c r="F6" s="254" cm="1">
        <f t="array" aca="1" ref="F6" ca="1">SUMPRODUCT((PlayerGameData[Pvisible]=1)*(PlayerGameData[PLAYER, '#]=$A$1)*(PlayerGameData[Opponent]=$F194)*(PlayerGameData[Date]=$G194)*(PlayerGameData[3FGA]))</f>
        <v>0</v>
      </c>
      <c r="G6" s="253" cm="1">
        <f t="array" aca="1" ref="G6" ca="1">SUMPRODUCT((PlayerGameData[Pvisible]=1)*(PlayerGameData[PLAYER, '#]=$A$1)*(PlayerGameData[Opponent]=$F194)*(PlayerGameData[Date]=$G194)*(PlayerGameData[2FGM]))</f>
        <v>0</v>
      </c>
      <c r="H6" s="254" cm="1">
        <f t="array" aca="1" ref="H6" ca="1">SUMPRODUCT((PlayerGameData[Pvisible]=1)*(PlayerGameData[PLAYER, '#]=$A$1)*(PlayerGameData[Opponent]=$F194)*(PlayerGameData[Date]=$G194)*(PlayerGameData[2FGA]))</f>
        <v>0</v>
      </c>
      <c r="I6" s="253" cm="1">
        <f t="array" aca="1" ref="I6" ca="1">SUMPRODUCT((PlayerGameData[Pvisible]=1)*(PlayerGameData[PLAYER, '#]=$A$1)*(PlayerGameData[Opponent]=$F194)*(PlayerGameData[Date]=$G194)*(PlayerGameData[FTM]))</f>
        <v>0</v>
      </c>
      <c r="J6" s="254" cm="1">
        <f t="array" aca="1" ref="J6" ca="1">SUMPRODUCT((PlayerGameData[Pvisible]=1)*(PlayerGameData[PLAYER, '#]=$A$1)*(PlayerGameData[Opponent]=$F194)*(PlayerGameData[Date]=$G194)*(PlayerGameData[FTA]))</f>
        <v>0</v>
      </c>
      <c r="K6" s="253" cm="1">
        <f t="array" aca="1" ref="K6" ca="1">SUMPRODUCT((PlayerGameData[Pvisible]=1)*(PlayerGameData[PLAYER, '#]=$A$1)*(PlayerGameData[Opponent]=$F194)*(PlayerGameData[Date]=$G194)*(PlayerGameData[OFF REB]))</f>
        <v>0</v>
      </c>
      <c r="L6" s="254" cm="1">
        <f t="array" aca="1" ref="L6" ca="1">SUMPRODUCT((PlayerGameData[Pvisible]=1)*(PlayerGameData[PLAYER, '#]=$A$1)*(PlayerGameData[Opponent]=$F194)*(PlayerGameData[Date]=$G194)*(PlayerGameData[DEF REB]))</f>
        <v>0</v>
      </c>
      <c r="M6" s="254">
        <f t="shared" ca="1" si="2"/>
        <v>0</v>
      </c>
      <c r="N6" s="253" cm="1">
        <f t="array" aca="1" ref="N6" ca="1">SUMPRODUCT((PlayerGameData[Pvisible]=1)*(PlayerGameData[PLAYER, '#]=$A$1)*(PlayerGameData[Opponent]=$F194)*(PlayerGameData[Date]=$G194)*(PlayerGameData[AST]))</f>
        <v>0</v>
      </c>
      <c r="O6" s="254" cm="1">
        <f t="array" aca="1" ref="O6" ca="1">SUMPRODUCT((PlayerGameData[Pvisible]=1)*(PlayerGameData[PLAYER, '#]=$A$1)*(PlayerGameData[Opponent]=$F194)*(PlayerGameData[Date]=$G194)*(PlayerGameData[STL]))</f>
        <v>0</v>
      </c>
      <c r="P6" s="254" cm="1">
        <f t="array" aca="1" ref="P6" ca="1">SUMPRODUCT((PlayerGameData[Pvisible]=1)*(PlayerGameData[PLAYER, '#]=$A$1)*(PlayerGameData[Opponent]=$F194)*(PlayerGameData[Date]=$G194)*(PlayerGameData[BLK]))</f>
        <v>0</v>
      </c>
      <c r="Q6" s="254" cm="1">
        <f t="array" aca="1" ref="Q6" ca="1">SUMPRODUCT((PlayerGameData[Pvisible]=1)*(PlayerGameData[PLAYER, '#]=$A$1)*(PlayerGameData[Opponent]=$F194)*(PlayerGameData[Date]=$G194)*(PlayerGameData[TO]))</f>
        <v>0</v>
      </c>
      <c r="R6" s="254" cm="1">
        <f t="array" aca="1" ref="R6" ca="1">SUMPRODUCT((PlayerGameData[Pvisible]=1)*(PlayerGameData[PLAYER, '#]=$A$1)*(PlayerGameData[Opponent]=$F194)*(PlayerGameData[Date]=$G194)*(PlayerGameData[FOUL]))</f>
        <v>0</v>
      </c>
      <c r="S6" s="254" cm="1">
        <f t="array" aca="1" ref="S6" ca="1">SUMPRODUCT((PlayerGameData[Pvisible]=1)*(PlayerGameData[PLAYER, '#]=$A$1)*(PlayerGameData[Opponent]=$F194)*(PlayerGameData[Date]=$G194)*(PlayerGameData[CHRG TKN]))</f>
        <v>0</v>
      </c>
      <c r="T6" s="255">
        <f t="shared" ca="1" si="3"/>
        <v>0</v>
      </c>
      <c r="U6" s="206" t="str">
        <f t="shared" ca="1" si="4"/>
        <v/>
      </c>
      <c r="V6" s="206" t="str">
        <f t="shared" ca="1" si="5"/>
        <v/>
      </c>
      <c r="W6" s="206" t="str">
        <f t="shared" ca="1" si="6"/>
        <v/>
      </c>
      <c r="X6" s="206" t="str">
        <f t="shared" ca="1" si="7"/>
        <v/>
      </c>
      <c r="Y6" s="213" t="str">
        <f t="shared" ca="1" si="8"/>
        <v/>
      </c>
      <c r="Z6" s="184"/>
      <c r="AA6" s="184"/>
      <c r="AB6" s="184"/>
      <c r="AC6" s="184"/>
      <c r="AD6" s="184"/>
      <c r="AE6" s="184"/>
      <c r="AF6" s="184"/>
      <c r="AG6" s="184"/>
      <c r="AH6" s="184"/>
    </row>
    <row r="7" spans="1:34" s="18" customFormat="1" ht="15.6" x14ac:dyDescent="0.35">
      <c r="A7" s="360" t="str">
        <f t="shared" ca="1" si="1"/>
        <v>Little Snake River 12/17/2022</v>
      </c>
      <c r="B7" s="256" cm="1">
        <f t="array" aca="1" ref="B7" ca="1">SUMPRODUCT((PlayerGameData[Pvisible]=1)*(PlayerGameData[PLAYER, '#]=$A$1)*(PlayerGameData[Opponent]=$F195)*(PlayerGameData[Date]=$G195)*(PlayerGameData[START]))</f>
        <v>0</v>
      </c>
      <c r="C7" s="256" cm="1">
        <f t="array" aca="1" ref="C7" ca="1">SUMPRODUCT((PlayerGameData[Pvisible]=1)*(PlayerGameData[PLAYER, '#]=$A$1)*(PlayerGameData[Opponent]=$F195)*(PlayerGameData[Date]=$G195)*(PlayerGameData[GP]))</f>
        <v>0</v>
      </c>
      <c r="D7" s="256" cm="1">
        <f t="array" aca="1" ref="D7" ca="1">SUMPRODUCT((PlayerGameData[Pvisible]=1)*(PlayerGameData[PLAYER, '#]=$A$1)*(PlayerGameData[Opponent]=$F195)*(PlayerGameData[Date]=$G195)*(PlayerGameData[MINUTES]))</f>
        <v>0</v>
      </c>
      <c r="E7" s="257" cm="1">
        <f t="array" aca="1" ref="E7" ca="1">SUMPRODUCT((PlayerGameData[Pvisible]=1)*(PlayerGameData[PLAYER, '#]=$A$1)*(PlayerGameData[Opponent]=$F195)*(PlayerGameData[Date]=$G195)*(PlayerGameData[3FGM]))</f>
        <v>0</v>
      </c>
      <c r="F7" s="258" cm="1">
        <f t="array" aca="1" ref="F7" ca="1">SUMPRODUCT((PlayerGameData[Pvisible]=1)*(PlayerGameData[PLAYER, '#]=$A$1)*(PlayerGameData[Opponent]=$F195)*(PlayerGameData[Date]=$G195)*(PlayerGameData[3FGA]))</f>
        <v>0</v>
      </c>
      <c r="G7" s="257" cm="1">
        <f t="array" aca="1" ref="G7" ca="1">SUMPRODUCT((PlayerGameData[Pvisible]=1)*(PlayerGameData[PLAYER, '#]=$A$1)*(PlayerGameData[Opponent]=$F195)*(PlayerGameData[Date]=$G195)*(PlayerGameData[2FGM]))</f>
        <v>0</v>
      </c>
      <c r="H7" s="258" cm="1">
        <f t="array" aca="1" ref="H7" ca="1">SUMPRODUCT((PlayerGameData[Pvisible]=1)*(PlayerGameData[PLAYER, '#]=$A$1)*(PlayerGameData[Opponent]=$F195)*(PlayerGameData[Date]=$G195)*(PlayerGameData[2FGA]))</f>
        <v>0</v>
      </c>
      <c r="I7" s="257" cm="1">
        <f t="array" aca="1" ref="I7" ca="1">SUMPRODUCT((PlayerGameData[Pvisible]=1)*(PlayerGameData[PLAYER, '#]=$A$1)*(PlayerGameData[Opponent]=$F195)*(PlayerGameData[Date]=$G195)*(PlayerGameData[FTM]))</f>
        <v>0</v>
      </c>
      <c r="J7" s="258" cm="1">
        <f t="array" aca="1" ref="J7" ca="1">SUMPRODUCT((PlayerGameData[Pvisible]=1)*(PlayerGameData[PLAYER, '#]=$A$1)*(PlayerGameData[Opponent]=$F195)*(PlayerGameData[Date]=$G195)*(PlayerGameData[FTA]))</f>
        <v>0</v>
      </c>
      <c r="K7" s="257" cm="1">
        <f t="array" aca="1" ref="K7" ca="1">SUMPRODUCT((PlayerGameData[Pvisible]=1)*(PlayerGameData[PLAYER, '#]=$A$1)*(PlayerGameData[Opponent]=$F195)*(PlayerGameData[Date]=$G195)*(PlayerGameData[OFF REB]))</f>
        <v>0</v>
      </c>
      <c r="L7" s="258" cm="1">
        <f t="array" aca="1" ref="L7" ca="1">SUMPRODUCT((PlayerGameData[Pvisible]=1)*(PlayerGameData[PLAYER, '#]=$A$1)*(PlayerGameData[Opponent]=$F195)*(PlayerGameData[Date]=$G195)*(PlayerGameData[DEF REB]))</f>
        <v>0</v>
      </c>
      <c r="M7" s="258">
        <f t="shared" ca="1" si="2"/>
        <v>0</v>
      </c>
      <c r="N7" s="257" cm="1">
        <f t="array" aca="1" ref="N7" ca="1">SUMPRODUCT((PlayerGameData[Pvisible]=1)*(PlayerGameData[PLAYER, '#]=$A$1)*(PlayerGameData[Opponent]=$F195)*(PlayerGameData[Date]=$G195)*(PlayerGameData[AST]))</f>
        <v>0</v>
      </c>
      <c r="O7" s="258" cm="1">
        <f t="array" aca="1" ref="O7" ca="1">SUMPRODUCT((PlayerGameData[Pvisible]=1)*(PlayerGameData[PLAYER, '#]=$A$1)*(PlayerGameData[Opponent]=$F195)*(PlayerGameData[Date]=$G195)*(PlayerGameData[STL]))</f>
        <v>0</v>
      </c>
      <c r="P7" s="258" cm="1">
        <f t="array" aca="1" ref="P7" ca="1">SUMPRODUCT((PlayerGameData[Pvisible]=1)*(PlayerGameData[PLAYER, '#]=$A$1)*(PlayerGameData[Opponent]=$F195)*(PlayerGameData[Date]=$G195)*(PlayerGameData[BLK]))</f>
        <v>0</v>
      </c>
      <c r="Q7" s="258" cm="1">
        <f t="array" aca="1" ref="Q7" ca="1">SUMPRODUCT((PlayerGameData[Pvisible]=1)*(PlayerGameData[PLAYER, '#]=$A$1)*(PlayerGameData[Opponent]=$F195)*(PlayerGameData[Date]=$G195)*(PlayerGameData[TO]))</f>
        <v>0</v>
      </c>
      <c r="R7" s="258" cm="1">
        <f t="array" aca="1" ref="R7" ca="1">SUMPRODUCT((PlayerGameData[Pvisible]=1)*(PlayerGameData[PLAYER, '#]=$A$1)*(PlayerGameData[Opponent]=$F195)*(PlayerGameData[Date]=$G195)*(PlayerGameData[FOUL]))</f>
        <v>0</v>
      </c>
      <c r="S7" s="258" cm="1">
        <f t="array" aca="1" ref="S7" ca="1">SUMPRODUCT((PlayerGameData[Pvisible]=1)*(PlayerGameData[PLAYER, '#]=$A$1)*(PlayerGameData[Opponent]=$F195)*(PlayerGameData[Date]=$G195)*(PlayerGameData[CHRG TKN]))</f>
        <v>0</v>
      </c>
      <c r="T7" s="259">
        <f t="shared" ca="1" si="3"/>
        <v>0</v>
      </c>
      <c r="U7" s="193" t="str">
        <f t="shared" ca="1" si="4"/>
        <v/>
      </c>
      <c r="V7" s="193" t="str">
        <f t="shared" ca="1" si="5"/>
        <v/>
      </c>
      <c r="W7" s="193" t="str">
        <f t="shared" ca="1" si="6"/>
        <v/>
      </c>
      <c r="X7" s="193" t="str">
        <f t="shared" ca="1" si="7"/>
        <v/>
      </c>
      <c r="Y7" s="194" t="str">
        <f t="shared" ca="1" si="8"/>
        <v/>
      </c>
      <c r="Z7" s="184"/>
      <c r="AA7" s="184"/>
      <c r="AB7" s="184"/>
      <c r="AC7" s="184"/>
      <c r="AD7" s="184"/>
      <c r="AE7" s="184"/>
      <c r="AF7" s="184"/>
      <c r="AG7" s="184"/>
      <c r="AH7" s="184"/>
    </row>
    <row r="8" spans="1:34" s="18" customFormat="1" ht="15.6" x14ac:dyDescent="0.35">
      <c r="A8" s="359" t="str">
        <f t="shared" ca="1" si="1"/>
        <v>Meeteetse 12/17/2022</v>
      </c>
      <c r="B8" s="252" cm="1">
        <f t="array" aca="1" ref="B8" ca="1">SUMPRODUCT((PlayerGameData[Pvisible]=1)*(PlayerGameData[PLAYER, '#]=$A$1)*(PlayerGameData[Opponent]=$F196)*(PlayerGameData[Date]=$G196)*(PlayerGameData[START]))</f>
        <v>0</v>
      </c>
      <c r="C8" s="252" cm="1">
        <f t="array" aca="1" ref="C8" ca="1">SUMPRODUCT((PlayerGameData[Pvisible]=1)*(PlayerGameData[PLAYER, '#]=$A$1)*(PlayerGameData[Opponent]=$F196)*(PlayerGameData[Date]=$G196)*(PlayerGameData[GP]))</f>
        <v>0</v>
      </c>
      <c r="D8" s="252" cm="1">
        <f t="array" aca="1" ref="D8" ca="1">SUMPRODUCT((PlayerGameData[Pvisible]=1)*(PlayerGameData[PLAYER, '#]=$A$1)*(PlayerGameData[Opponent]=$F196)*(PlayerGameData[Date]=$G196)*(PlayerGameData[MINUTES]))</f>
        <v>0</v>
      </c>
      <c r="E8" s="253" cm="1">
        <f t="array" aca="1" ref="E8" ca="1">SUMPRODUCT((PlayerGameData[Pvisible]=1)*(PlayerGameData[PLAYER, '#]=$A$1)*(PlayerGameData[Opponent]=$F196)*(PlayerGameData[Date]=$G196)*(PlayerGameData[3FGM]))</f>
        <v>0</v>
      </c>
      <c r="F8" s="254" cm="1">
        <f t="array" aca="1" ref="F8" ca="1">SUMPRODUCT((PlayerGameData[Pvisible]=1)*(PlayerGameData[PLAYER, '#]=$A$1)*(PlayerGameData[Opponent]=$F196)*(PlayerGameData[Date]=$G196)*(PlayerGameData[3FGA]))</f>
        <v>0</v>
      </c>
      <c r="G8" s="253" cm="1">
        <f t="array" aca="1" ref="G8" ca="1">SUMPRODUCT((PlayerGameData[Pvisible]=1)*(PlayerGameData[PLAYER, '#]=$A$1)*(PlayerGameData[Opponent]=$F196)*(PlayerGameData[Date]=$G196)*(PlayerGameData[2FGM]))</f>
        <v>0</v>
      </c>
      <c r="H8" s="254" cm="1">
        <f t="array" aca="1" ref="H8" ca="1">SUMPRODUCT((PlayerGameData[Pvisible]=1)*(PlayerGameData[PLAYER, '#]=$A$1)*(PlayerGameData[Opponent]=$F196)*(PlayerGameData[Date]=$G196)*(PlayerGameData[2FGA]))</f>
        <v>0</v>
      </c>
      <c r="I8" s="253" cm="1">
        <f t="array" aca="1" ref="I8" ca="1">SUMPRODUCT((PlayerGameData[Pvisible]=1)*(PlayerGameData[PLAYER, '#]=$A$1)*(PlayerGameData[Opponent]=$F196)*(PlayerGameData[Date]=$G196)*(PlayerGameData[FTM]))</f>
        <v>0</v>
      </c>
      <c r="J8" s="254" cm="1">
        <f t="array" aca="1" ref="J8" ca="1">SUMPRODUCT((PlayerGameData[Pvisible]=1)*(PlayerGameData[PLAYER, '#]=$A$1)*(PlayerGameData[Opponent]=$F196)*(PlayerGameData[Date]=$G196)*(PlayerGameData[FTA]))</f>
        <v>0</v>
      </c>
      <c r="K8" s="253" cm="1">
        <f t="array" aca="1" ref="K8" ca="1">SUMPRODUCT((PlayerGameData[Pvisible]=1)*(PlayerGameData[PLAYER, '#]=$A$1)*(PlayerGameData[Opponent]=$F196)*(PlayerGameData[Date]=$G196)*(PlayerGameData[OFF REB]))</f>
        <v>0</v>
      </c>
      <c r="L8" s="254" cm="1">
        <f t="array" aca="1" ref="L8" ca="1">SUMPRODUCT((PlayerGameData[Pvisible]=1)*(PlayerGameData[PLAYER, '#]=$A$1)*(PlayerGameData[Opponent]=$F196)*(PlayerGameData[Date]=$G196)*(PlayerGameData[DEF REB]))</f>
        <v>0</v>
      </c>
      <c r="M8" s="254">
        <f t="shared" ca="1" si="2"/>
        <v>0</v>
      </c>
      <c r="N8" s="253" cm="1">
        <f t="array" aca="1" ref="N8" ca="1">SUMPRODUCT((PlayerGameData[Pvisible]=1)*(PlayerGameData[PLAYER, '#]=$A$1)*(PlayerGameData[Opponent]=$F196)*(PlayerGameData[Date]=$G196)*(PlayerGameData[AST]))</f>
        <v>0</v>
      </c>
      <c r="O8" s="254" cm="1">
        <f t="array" aca="1" ref="O8" ca="1">SUMPRODUCT((PlayerGameData[Pvisible]=1)*(PlayerGameData[PLAYER, '#]=$A$1)*(PlayerGameData[Opponent]=$F196)*(PlayerGameData[Date]=$G196)*(PlayerGameData[STL]))</f>
        <v>0</v>
      </c>
      <c r="P8" s="254" cm="1">
        <f t="array" aca="1" ref="P8" ca="1">SUMPRODUCT((PlayerGameData[Pvisible]=1)*(PlayerGameData[PLAYER, '#]=$A$1)*(PlayerGameData[Opponent]=$F196)*(PlayerGameData[Date]=$G196)*(PlayerGameData[BLK]))</f>
        <v>0</v>
      </c>
      <c r="Q8" s="254" cm="1">
        <f t="array" aca="1" ref="Q8" ca="1">SUMPRODUCT((PlayerGameData[Pvisible]=1)*(PlayerGameData[PLAYER, '#]=$A$1)*(PlayerGameData[Opponent]=$F196)*(PlayerGameData[Date]=$G196)*(PlayerGameData[TO]))</f>
        <v>0</v>
      </c>
      <c r="R8" s="254" cm="1">
        <f t="array" aca="1" ref="R8" ca="1">SUMPRODUCT((PlayerGameData[Pvisible]=1)*(PlayerGameData[PLAYER, '#]=$A$1)*(PlayerGameData[Opponent]=$F196)*(PlayerGameData[Date]=$G196)*(PlayerGameData[FOUL]))</f>
        <v>0</v>
      </c>
      <c r="S8" s="254" cm="1">
        <f t="array" aca="1" ref="S8" ca="1">SUMPRODUCT((PlayerGameData[Pvisible]=1)*(PlayerGameData[PLAYER, '#]=$A$1)*(PlayerGameData[Opponent]=$F196)*(PlayerGameData[Date]=$G196)*(PlayerGameData[CHRG TKN]))</f>
        <v>0</v>
      </c>
      <c r="T8" s="255">
        <f t="shared" ca="1" si="3"/>
        <v>0</v>
      </c>
      <c r="U8" s="206" t="str">
        <f t="shared" ca="1" si="4"/>
        <v/>
      </c>
      <c r="V8" s="206" t="str">
        <f t="shared" ca="1" si="5"/>
        <v/>
      </c>
      <c r="W8" s="206" t="str">
        <f t="shared" ca="1" si="6"/>
        <v/>
      </c>
      <c r="X8" s="206" t="str">
        <f t="shared" ca="1" si="7"/>
        <v/>
      </c>
      <c r="Y8" s="213" t="str">
        <f t="shared" ca="1" si="8"/>
        <v/>
      </c>
      <c r="Z8" s="184"/>
      <c r="AA8" s="184"/>
      <c r="AB8" s="184"/>
      <c r="AC8" s="184"/>
      <c r="AD8" s="184"/>
      <c r="AE8" s="184"/>
      <c r="AF8" s="184"/>
      <c r="AG8" s="184"/>
      <c r="AH8" s="184"/>
    </row>
    <row r="9" spans="1:34" s="18" customFormat="1" ht="15.6" x14ac:dyDescent="0.35">
      <c r="A9" s="360" t="str">
        <f t="shared" ca="1" si="1"/>
        <v>Moorcroft 1/9/2023</v>
      </c>
      <c r="B9" s="256" cm="1">
        <f t="array" aca="1" ref="B9" ca="1">SUMPRODUCT((PlayerGameData[Pvisible]=1)*(PlayerGameData[PLAYER, '#]=$A$1)*(PlayerGameData[Opponent]=$F197)*(PlayerGameData[Date]=$G197)*(PlayerGameData[START]))</f>
        <v>0</v>
      </c>
      <c r="C9" s="256" cm="1">
        <f t="array" aca="1" ref="C9" ca="1">SUMPRODUCT((PlayerGameData[Pvisible]=1)*(PlayerGameData[PLAYER, '#]=$A$1)*(PlayerGameData[Opponent]=$F197)*(PlayerGameData[Date]=$G197)*(PlayerGameData[GP]))</f>
        <v>0</v>
      </c>
      <c r="D9" s="256" cm="1">
        <f t="array" aca="1" ref="D9" ca="1">SUMPRODUCT((PlayerGameData[Pvisible]=1)*(PlayerGameData[PLAYER, '#]=$A$1)*(PlayerGameData[Opponent]=$F197)*(PlayerGameData[Date]=$G197)*(PlayerGameData[MINUTES]))</f>
        <v>0</v>
      </c>
      <c r="E9" s="257" cm="1">
        <f t="array" aca="1" ref="E9" ca="1">SUMPRODUCT((PlayerGameData[Pvisible]=1)*(PlayerGameData[PLAYER, '#]=$A$1)*(PlayerGameData[Opponent]=$F197)*(PlayerGameData[Date]=$G197)*(PlayerGameData[3FGM]))</f>
        <v>0</v>
      </c>
      <c r="F9" s="258" cm="1">
        <f t="array" aca="1" ref="F9" ca="1">SUMPRODUCT((PlayerGameData[Pvisible]=1)*(PlayerGameData[PLAYER, '#]=$A$1)*(PlayerGameData[Opponent]=$F197)*(PlayerGameData[Date]=$G197)*(PlayerGameData[3FGA]))</f>
        <v>0</v>
      </c>
      <c r="G9" s="257" cm="1">
        <f t="array" aca="1" ref="G9" ca="1">SUMPRODUCT((PlayerGameData[Pvisible]=1)*(PlayerGameData[PLAYER, '#]=$A$1)*(PlayerGameData[Opponent]=$F197)*(PlayerGameData[Date]=$G197)*(PlayerGameData[2FGM]))</f>
        <v>0</v>
      </c>
      <c r="H9" s="258" cm="1">
        <f t="array" aca="1" ref="H9" ca="1">SUMPRODUCT((PlayerGameData[Pvisible]=1)*(PlayerGameData[PLAYER, '#]=$A$1)*(PlayerGameData[Opponent]=$F197)*(PlayerGameData[Date]=$G197)*(PlayerGameData[2FGA]))</f>
        <v>0</v>
      </c>
      <c r="I9" s="257" cm="1">
        <f t="array" aca="1" ref="I9" ca="1">SUMPRODUCT((PlayerGameData[Pvisible]=1)*(PlayerGameData[PLAYER, '#]=$A$1)*(PlayerGameData[Opponent]=$F197)*(PlayerGameData[Date]=$G197)*(PlayerGameData[FTM]))</f>
        <v>0</v>
      </c>
      <c r="J9" s="258" cm="1">
        <f t="array" aca="1" ref="J9" ca="1">SUMPRODUCT((PlayerGameData[Pvisible]=1)*(PlayerGameData[PLAYER, '#]=$A$1)*(PlayerGameData[Opponent]=$F197)*(PlayerGameData[Date]=$G197)*(PlayerGameData[FTA]))</f>
        <v>0</v>
      </c>
      <c r="K9" s="257" cm="1">
        <f t="array" aca="1" ref="K9" ca="1">SUMPRODUCT((PlayerGameData[Pvisible]=1)*(PlayerGameData[PLAYER, '#]=$A$1)*(PlayerGameData[Opponent]=$F197)*(PlayerGameData[Date]=$G197)*(PlayerGameData[OFF REB]))</f>
        <v>0</v>
      </c>
      <c r="L9" s="258" cm="1">
        <f t="array" aca="1" ref="L9" ca="1">SUMPRODUCT((PlayerGameData[Pvisible]=1)*(PlayerGameData[PLAYER, '#]=$A$1)*(PlayerGameData[Opponent]=$F197)*(PlayerGameData[Date]=$G197)*(PlayerGameData[DEF REB]))</f>
        <v>0</v>
      </c>
      <c r="M9" s="258">
        <f t="shared" ca="1" si="2"/>
        <v>0</v>
      </c>
      <c r="N9" s="257" cm="1">
        <f t="array" aca="1" ref="N9" ca="1">SUMPRODUCT((PlayerGameData[Pvisible]=1)*(PlayerGameData[PLAYER, '#]=$A$1)*(PlayerGameData[Opponent]=$F197)*(PlayerGameData[Date]=$G197)*(PlayerGameData[AST]))</f>
        <v>0</v>
      </c>
      <c r="O9" s="258" cm="1">
        <f t="array" aca="1" ref="O9" ca="1">SUMPRODUCT((PlayerGameData[Pvisible]=1)*(PlayerGameData[PLAYER, '#]=$A$1)*(PlayerGameData[Opponent]=$F197)*(PlayerGameData[Date]=$G197)*(PlayerGameData[STL]))</f>
        <v>0</v>
      </c>
      <c r="P9" s="258" cm="1">
        <f t="array" aca="1" ref="P9" ca="1">SUMPRODUCT((PlayerGameData[Pvisible]=1)*(PlayerGameData[PLAYER, '#]=$A$1)*(PlayerGameData[Opponent]=$F197)*(PlayerGameData[Date]=$G197)*(PlayerGameData[BLK]))</f>
        <v>0</v>
      </c>
      <c r="Q9" s="258" cm="1">
        <f t="array" aca="1" ref="Q9" ca="1">SUMPRODUCT((PlayerGameData[Pvisible]=1)*(PlayerGameData[PLAYER, '#]=$A$1)*(PlayerGameData[Opponent]=$F197)*(PlayerGameData[Date]=$G197)*(PlayerGameData[TO]))</f>
        <v>0</v>
      </c>
      <c r="R9" s="258" cm="1">
        <f t="array" aca="1" ref="R9" ca="1">SUMPRODUCT((PlayerGameData[Pvisible]=1)*(PlayerGameData[PLAYER, '#]=$A$1)*(PlayerGameData[Opponent]=$F197)*(PlayerGameData[Date]=$G197)*(PlayerGameData[FOUL]))</f>
        <v>0</v>
      </c>
      <c r="S9" s="258" cm="1">
        <f t="array" aca="1" ref="S9" ca="1">SUMPRODUCT((PlayerGameData[Pvisible]=1)*(PlayerGameData[PLAYER, '#]=$A$1)*(PlayerGameData[Opponent]=$F197)*(PlayerGameData[Date]=$G197)*(PlayerGameData[CHRG TKN]))</f>
        <v>0</v>
      </c>
      <c r="T9" s="259">
        <f t="shared" ca="1" si="3"/>
        <v>0</v>
      </c>
      <c r="U9" s="193" t="str">
        <f t="shared" ca="1" si="4"/>
        <v/>
      </c>
      <c r="V9" s="193" t="str">
        <f t="shared" ca="1" si="5"/>
        <v/>
      </c>
      <c r="W9" s="193" t="str">
        <f t="shared" ca="1" si="6"/>
        <v/>
      </c>
      <c r="X9" s="193" t="str">
        <f t="shared" ca="1" si="7"/>
        <v/>
      </c>
      <c r="Y9" s="194" t="str">
        <f t="shared" ca="1" si="8"/>
        <v/>
      </c>
      <c r="Z9" s="184"/>
      <c r="AA9" s="184"/>
      <c r="AB9" s="184"/>
      <c r="AC9" s="184"/>
      <c r="AD9" s="184"/>
      <c r="AE9" s="184"/>
      <c r="AF9" s="184"/>
      <c r="AG9" s="184"/>
      <c r="AH9" s="184"/>
    </row>
    <row r="10" spans="1:34" s="18" customFormat="1" ht="15.6" x14ac:dyDescent="0.35">
      <c r="A10" s="359" t="str">
        <f t="shared" ca="1" si="1"/>
        <v>New Underwood, SD 1/12/2023</v>
      </c>
      <c r="B10" s="252" cm="1">
        <f t="array" aca="1" ref="B10" ca="1">SUMPRODUCT((PlayerGameData[Pvisible]=1)*(PlayerGameData[PLAYER, '#]=$A$1)*(PlayerGameData[Opponent]=$F198)*(PlayerGameData[Date]=$G198)*(PlayerGameData[START]))</f>
        <v>0</v>
      </c>
      <c r="C10" s="252" cm="1">
        <f t="array" aca="1" ref="C10" ca="1">SUMPRODUCT((PlayerGameData[Pvisible]=1)*(PlayerGameData[PLAYER, '#]=$A$1)*(PlayerGameData[Opponent]=$F198)*(PlayerGameData[Date]=$G198)*(PlayerGameData[GP]))</f>
        <v>0</v>
      </c>
      <c r="D10" s="252" cm="1">
        <f t="array" aca="1" ref="D10" ca="1">SUMPRODUCT((PlayerGameData[Pvisible]=1)*(PlayerGameData[PLAYER, '#]=$A$1)*(PlayerGameData[Opponent]=$F198)*(PlayerGameData[Date]=$G198)*(PlayerGameData[MINUTES]))</f>
        <v>0</v>
      </c>
      <c r="E10" s="253" cm="1">
        <f t="array" aca="1" ref="E10" ca="1">SUMPRODUCT((PlayerGameData[Pvisible]=1)*(PlayerGameData[PLAYER, '#]=$A$1)*(PlayerGameData[Opponent]=$F198)*(PlayerGameData[Date]=$G198)*(PlayerGameData[3FGM]))</f>
        <v>0</v>
      </c>
      <c r="F10" s="254" cm="1">
        <f t="array" aca="1" ref="F10" ca="1">SUMPRODUCT((PlayerGameData[Pvisible]=1)*(PlayerGameData[PLAYER, '#]=$A$1)*(PlayerGameData[Opponent]=$F198)*(PlayerGameData[Date]=$G198)*(PlayerGameData[3FGA]))</f>
        <v>0</v>
      </c>
      <c r="G10" s="253" cm="1">
        <f t="array" aca="1" ref="G10" ca="1">SUMPRODUCT((PlayerGameData[Pvisible]=1)*(PlayerGameData[PLAYER, '#]=$A$1)*(PlayerGameData[Opponent]=$F198)*(PlayerGameData[Date]=$G198)*(PlayerGameData[2FGM]))</f>
        <v>0</v>
      </c>
      <c r="H10" s="254" cm="1">
        <f t="array" aca="1" ref="H10" ca="1">SUMPRODUCT((PlayerGameData[Pvisible]=1)*(PlayerGameData[PLAYER, '#]=$A$1)*(PlayerGameData[Opponent]=$F198)*(PlayerGameData[Date]=$G198)*(PlayerGameData[2FGA]))</f>
        <v>0</v>
      </c>
      <c r="I10" s="253" cm="1">
        <f t="array" aca="1" ref="I10" ca="1">SUMPRODUCT((PlayerGameData[Pvisible]=1)*(PlayerGameData[PLAYER, '#]=$A$1)*(PlayerGameData[Opponent]=$F198)*(PlayerGameData[Date]=$G198)*(PlayerGameData[FTM]))</f>
        <v>0</v>
      </c>
      <c r="J10" s="254" cm="1">
        <f t="array" aca="1" ref="J10" ca="1">SUMPRODUCT((PlayerGameData[Pvisible]=1)*(PlayerGameData[PLAYER, '#]=$A$1)*(PlayerGameData[Opponent]=$F198)*(PlayerGameData[Date]=$G198)*(PlayerGameData[FTA]))</f>
        <v>0</v>
      </c>
      <c r="K10" s="253" cm="1">
        <f t="array" aca="1" ref="K10" ca="1">SUMPRODUCT((PlayerGameData[Pvisible]=1)*(PlayerGameData[PLAYER, '#]=$A$1)*(PlayerGameData[Opponent]=$F198)*(PlayerGameData[Date]=$G198)*(PlayerGameData[OFF REB]))</f>
        <v>0</v>
      </c>
      <c r="L10" s="254" cm="1">
        <f t="array" aca="1" ref="L10" ca="1">SUMPRODUCT((PlayerGameData[Pvisible]=1)*(PlayerGameData[PLAYER, '#]=$A$1)*(PlayerGameData[Opponent]=$F198)*(PlayerGameData[Date]=$G198)*(PlayerGameData[DEF REB]))</f>
        <v>0</v>
      </c>
      <c r="M10" s="254">
        <f t="shared" ca="1" si="2"/>
        <v>0</v>
      </c>
      <c r="N10" s="253" cm="1">
        <f t="array" aca="1" ref="N10" ca="1">SUMPRODUCT((PlayerGameData[Pvisible]=1)*(PlayerGameData[PLAYER, '#]=$A$1)*(PlayerGameData[Opponent]=$F198)*(PlayerGameData[Date]=$G198)*(PlayerGameData[AST]))</f>
        <v>0</v>
      </c>
      <c r="O10" s="254" cm="1">
        <f t="array" aca="1" ref="O10" ca="1">SUMPRODUCT((PlayerGameData[Pvisible]=1)*(PlayerGameData[PLAYER, '#]=$A$1)*(PlayerGameData[Opponent]=$F198)*(PlayerGameData[Date]=$G198)*(PlayerGameData[STL]))</f>
        <v>0</v>
      </c>
      <c r="P10" s="254" cm="1">
        <f t="array" aca="1" ref="P10" ca="1">SUMPRODUCT((PlayerGameData[Pvisible]=1)*(PlayerGameData[PLAYER, '#]=$A$1)*(PlayerGameData[Opponent]=$F198)*(PlayerGameData[Date]=$G198)*(PlayerGameData[BLK]))</f>
        <v>0</v>
      </c>
      <c r="Q10" s="254" cm="1">
        <f t="array" aca="1" ref="Q10" ca="1">SUMPRODUCT((PlayerGameData[Pvisible]=1)*(PlayerGameData[PLAYER, '#]=$A$1)*(PlayerGameData[Opponent]=$F198)*(PlayerGameData[Date]=$G198)*(PlayerGameData[TO]))</f>
        <v>0</v>
      </c>
      <c r="R10" s="254" cm="1">
        <f t="array" aca="1" ref="R10" ca="1">SUMPRODUCT((PlayerGameData[Pvisible]=1)*(PlayerGameData[PLAYER, '#]=$A$1)*(PlayerGameData[Opponent]=$F198)*(PlayerGameData[Date]=$G198)*(PlayerGameData[FOUL]))</f>
        <v>0</v>
      </c>
      <c r="S10" s="254" cm="1">
        <f t="array" aca="1" ref="S10" ca="1">SUMPRODUCT((PlayerGameData[Pvisible]=1)*(PlayerGameData[PLAYER, '#]=$A$1)*(PlayerGameData[Opponent]=$F198)*(PlayerGameData[Date]=$G198)*(PlayerGameData[CHRG TKN]))</f>
        <v>0</v>
      </c>
      <c r="T10" s="255">
        <f t="shared" ca="1" si="3"/>
        <v>0</v>
      </c>
      <c r="U10" s="206" t="str">
        <f t="shared" ca="1" si="4"/>
        <v/>
      </c>
      <c r="V10" s="206" t="str">
        <f t="shared" ca="1" si="5"/>
        <v/>
      </c>
      <c r="W10" s="206" t="str">
        <f t="shared" ca="1" si="6"/>
        <v/>
      </c>
      <c r="X10" s="206" t="str">
        <f t="shared" ca="1" si="7"/>
        <v/>
      </c>
      <c r="Y10" s="213" t="str">
        <f t="shared" ca="1" si="8"/>
        <v/>
      </c>
      <c r="Z10" s="184"/>
      <c r="AA10" s="184"/>
      <c r="AB10" s="184"/>
      <c r="AC10" s="184"/>
      <c r="AD10" s="184"/>
      <c r="AE10" s="184"/>
      <c r="AF10" s="184"/>
      <c r="AG10" s="184"/>
      <c r="AH10" s="184"/>
    </row>
    <row r="11" spans="1:34" s="18" customFormat="1" ht="15.6" x14ac:dyDescent="0.35">
      <c r="A11" s="360" t="str">
        <f t="shared" ca="1" si="1"/>
        <v>Faith, SD 1/13/2023</v>
      </c>
      <c r="B11" s="256" cm="1">
        <f t="array" aca="1" ref="B11" ca="1">SUMPRODUCT((PlayerGameData[Pvisible]=1)*(PlayerGameData[PLAYER, '#]=$A$1)*(PlayerGameData[Opponent]=$F199)*(PlayerGameData[Date]=$G199)*(PlayerGameData[START]))</f>
        <v>0</v>
      </c>
      <c r="C11" s="256" cm="1">
        <f t="array" aca="1" ref="C11" ca="1">SUMPRODUCT((PlayerGameData[Pvisible]=1)*(PlayerGameData[PLAYER, '#]=$A$1)*(PlayerGameData[Opponent]=$F199)*(PlayerGameData[Date]=$G199)*(PlayerGameData[GP]))</f>
        <v>0</v>
      </c>
      <c r="D11" s="256" cm="1">
        <f t="array" aca="1" ref="D11" ca="1">SUMPRODUCT((PlayerGameData[Pvisible]=1)*(PlayerGameData[PLAYER, '#]=$A$1)*(PlayerGameData[Opponent]=$F199)*(PlayerGameData[Date]=$G199)*(PlayerGameData[MINUTES]))</f>
        <v>0</v>
      </c>
      <c r="E11" s="257" cm="1">
        <f t="array" aca="1" ref="E11" ca="1">SUMPRODUCT((PlayerGameData[Pvisible]=1)*(PlayerGameData[PLAYER, '#]=$A$1)*(PlayerGameData[Opponent]=$F199)*(PlayerGameData[Date]=$G199)*(PlayerGameData[3FGM]))</f>
        <v>0</v>
      </c>
      <c r="F11" s="258" cm="1">
        <f t="array" aca="1" ref="F11" ca="1">SUMPRODUCT((PlayerGameData[Pvisible]=1)*(PlayerGameData[PLAYER, '#]=$A$1)*(PlayerGameData[Opponent]=$F199)*(PlayerGameData[Date]=$G199)*(PlayerGameData[3FGA]))</f>
        <v>0</v>
      </c>
      <c r="G11" s="257" cm="1">
        <f t="array" aca="1" ref="G11" ca="1">SUMPRODUCT((PlayerGameData[Pvisible]=1)*(PlayerGameData[PLAYER, '#]=$A$1)*(PlayerGameData[Opponent]=$F199)*(PlayerGameData[Date]=$G199)*(PlayerGameData[2FGM]))</f>
        <v>0</v>
      </c>
      <c r="H11" s="258" cm="1">
        <f t="array" aca="1" ref="H11" ca="1">SUMPRODUCT((PlayerGameData[Pvisible]=1)*(PlayerGameData[PLAYER, '#]=$A$1)*(PlayerGameData[Opponent]=$F199)*(PlayerGameData[Date]=$G199)*(PlayerGameData[2FGA]))</f>
        <v>0</v>
      </c>
      <c r="I11" s="257" cm="1">
        <f t="array" aca="1" ref="I11" ca="1">SUMPRODUCT((PlayerGameData[Pvisible]=1)*(PlayerGameData[PLAYER, '#]=$A$1)*(PlayerGameData[Opponent]=$F199)*(PlayerGameData[Date]=$G199)*(PlayerGameData[FTM]))</f>
        <v>0</v>
      </c>
      <c r="J11" s="258" cm="1">
        <f t="array" aca="1" ref="J11" ca="1">SUMPRODUCT((PlayerGameData[Pvisible]=1)*(PlayerGameData[PLAYER, '#]=$A$1)*(PlayerGameData[Opponent]=$F199)*(PlayerGameData[Date]=$G199)*(PlayerGameData[FTA]))</f>
        <v>0</v>
      </c>
      <c r="K11" s="257" cm="1">
        <f t="array" aca="1" ref="K11" ca="1">SUMPRODUCT((PlayerGameData[Pvisible]=1)*(PlayerGameData[PLAYER, '#]=$A$1)*(PlayerGameData[Opponent]=$F199)*(PlayerGameData[Date]=$G199)*(PlayerGameData[OFF REB]))</f>
        <v>0</v>
      </c>
      <c r="L11" s="258" cm="1">
        <f t="array" aca="1" ref="L11" ca="1">SUMPRODUCT((PlayerGameData[Pvisible]=1)*(PlayerGameData[PLAYER, '#]=$A$1)*(PlayerGameData[Opponent]=$F199)*(PlayerGameData[Date]=$G199)*(PlayerGameData[DEF REB]))</f>
        <v>0</v>
      </c>
      <c r="M11" s="258">
        <f t="shared" ca="1" si="2"/>
        <v>0</v>
      </c>
      <c r="N11" s="257" cm="1">
        <f t="array" aca="1" ref="N11" ca="1">SUMPRODUCT((PlayerGameData[Pvisible]=1)*(PlayerGameData[PLAYER, '#]=$A$1)*(PlayerGameData[Opponent]=$F199)*(PlayerGameData[Date]=$G199)*(PlayerGameData[AST]))</f>
        <v>0</v>
      </c>
      <c r="O11" s="258" cm="1">
        <f t="array" aca="1" ref="O11" ca="1">SUMPRODUCT((PlayerGameData[Pvisible]=1)*(PlayerGameData[PLAYER, '#]=$A$1)*(PlayerGameData[Opponent]=$F199)*(PlayerGameData[Date]=$G199)*(PlayerGameData[STL]))</f>
        <v>0</v>
      </c>
      <c r="P11" s="258" cm="1">
        <f t="array" aca="1" ref="P11" ca="1">SUMPRODUCT((PlayerGameData[Pvisible]=1)*(PlayerGameData[PLAYER, '#]=$A$1)*(PlayerGameData[Opponent]=$F199)*(PlayerGameData[Date]=$G199)*(PlayerGameData[BLK]))</f>
        <v>0</v>
      </c>
      <c r="Q11" s="258" cm="1">
        <f t="array" aca="1" ref="Q11" ca="1">SUMPRODUCT((PlayerGameData[Pvisible]=1)*(PlayerGameData[PLAYER, '#]=$A$1)*(PlayerGameData[Opponent]=$F199)*(PlayerGameData[Date]=$G199)*(PlayerGameData[TO]))</f>
        <v>0</v>
      </c>
      <c r="R11" s="258" cm="1">
        <f t="array" aca="1" ref="R11" ca="1">SUMPRODUCT((PlayerGameData[Pvisible]=1)*(PlayerGameData[PLAYER, '#]=$A$1)*(PlayerGameData[Opponent]=$F199)*(PlayerGameData[Date]=$G199)*(PlayerGameData[FOUL]))</f>
        <v>0</v>
      </c>
      <c r="S11" s="258" cm="1">
        <f t="array" aca="1" ref="S11" ca="1">SUMPRODUCT((PlayerGameData[Pvisible]=1)*(PlayerGameData[PLAYER, '#]=$A$1)*(PlayerGameData[Opponent]=$F199)*(PlayerGameData[Date]=$G199)*(PlayerGameData[CHRG TKN]))</f>
        <v>0</v>
      </c>
      <c r="T11" s="259">
        <f t="shared" ca="1" si="3"/>
        <v>0</v>
      </c>
      <c r="U11" s="193" t="str">
        <f t="shared" ca="1" si="4"/>
        <v/>
      </c>
      <c r="V11" s="193" t="str">
        <f t="shared" ca="1" si="5"/>
        <v/>
      </c>
      <c r="W11" s="193" t="str">
        <f t="shared" ca="1" si="6"/>
        <v/>
      </c>
      <c r="X11" s="193" t="str">
        <f t="shared" ca="1" si="7"/>
        <v/>
      </c>
      <c r="Y11" s="194" t="str">
        <f t="shared" ca="1" si="8"/>
        <v/>
      </c>
      <c r="Z11" s="184"/>
      <c r="AA11" s="184"/>
      <c r="AB11" s="184"/>
      <c r="AC11" s="184"/>
      <c r="AD11" s="184"/>
      <c r="AE11" s="184"/>
      <c r="AF11" s="184"/>
      <c r="AG11" s="184"/>
      <c r="AH11" s="184"/>
    </row>
    <row r="12" spans="1:34" s="18" customFormat="1" ht="15.6" x14ac:dyDescent="0.35">
      <c r="A12" s="359" t="str">
        <f t="shared" ca="1" si="1"/>
        <v>Moorcroft 1/14/2023</v>
      </c>
      <c r="B12" s="252" cm="1">
        <f t="array" aca="1" ref="B12" ca="1">SUMPRODUCT((PlayerGameData[Pvisible]=1)*(PlayerGameData[PLAYER, '#]=$A$1)*(PlayerGameData[Opponent]=$F200)*(PlayerGameData[Date]=$G200)*(PlayerGameData[START]))</f>
        <v>0</v>
      </c>
      <c r="C12" s="252" cm="1">
        <f t="array" aca="1" ref="C12" ca="1">SUMPRODUCT((PlayerGameData[Pvisible]=1)*(PlayerGameData[PLAYER, '#]=$A$1)*(PlayerGameData[Opponent]=$F200)*(PlayerGameData[Date]=$G200)*(PlayerGameData[GP]))</f>
        <v>0</v>
      </c>
      <c r="D12" s="252" cm="1">
        <f t="array" aca="1" ref="D12" ca="1">SUMPRODUCT((PlayerGameData[Pvisible]=1)*(PlayerGameData[PLAYER, '#]=$A$1)*(PlayerGameData[Opponent]=$F200)*(PlayerGameData[Date]=$G200)*(PlayerGameData[MINUTES]))</f>
        <v>0</v>
      </c>
      <c r="E12" s="253" cm="1">
        <f t="array" aca="1" ref="E12" ca="1">SUMPRODUCT((PlayerGameData[Pvisible]=1)*(PlayerGameData[PLAYER, '#]=$A$1)*(PlayerGameData[Opponent]=$F200)*(PlayerGameData[Date]=$G200)*(PlayerGameData[3FGM]))</f>
        <v>0</v>
      </c>
      <c r="F12" s="254" cm="1">
        <f t="array" aca="1" ref="F12" ca="1">SUMPRODUCT((PlayerGameData[Pvisible]=1)*(PlayerGameData[PLAYER, '#]=$A$1)*(PlayerGameData[Opponent]=$F200)*(PlayerGameData[Date]=$G200)*(PlayerGameData[3FGA]))</f>
        <v>0</v>
      </c>
      <c r="G12" s="253" cm="1">
        <f t="array" aca="1" ref="G12" ca="1">SUMPRODUCT((PlayerGameData[Pvisible]=1)*(PlayerGameData[PLAYER, '#]=$A$1)*(PlayerGameData[Opponent]=$F200)*(PlayerGameData[Date]=$G200)*(PlayerGameData[2FGM]))</f>
        <v>0</v>
      </c>
      <c r="H12" s="254" cm="1">
        <f t="array" aca="1" ref="H12" ca="1">SUMPRODUCT((PlayerGameData[Pvisible]=1)*(PlayerGameData[PLAYER, '#]=$A$1)*(PlayerGameData[Opponent]=$F200)*(PlayerGameData[Date]=$G200)*(PlayerGameData[2FGA]))</f>
        <v>0</v>
      </c>
      <c r="I12" s="253" cm="1">
        <f t="array" aca="1" ref="I12" ca="1">SUMPRODUCT((PlayerGameData[Pvisible]=1)*(PlayerGameData[PLAYER, '#]=$A$1)*(PlayerGameData[Opponent]=$F200)*(PlayerGameData[Date]=$G200)*(PlayerGameData[FTM]))</f>
        <v>0</v>
      </c>
      <c r="J12" s="254" cm="1">
        <f t="array" aca="1" ref="J12" ca="1">SUMPRODUCT((PlayerGameData[Pvisible]=1)*(PlayerGameData[PLAYER, '#]=$A$1)*(PlayerGameData[Opponent]=$F200)*(PlayerGameData[Date]=$G200)*(PlayerGameData[FTA]))</f>
        <v>0</v>
      </c>
      <c r="K12" s="253" cm="1">
        <f t="array" aca="1" ref="K12" ca="1">SUMPRODUCT((PlayerGameData[Pvisible]=1)*(PlayerGameData[PLAYER, '#]=$A$1)*(PlayerGameData[Opponent]=$F200)*(PlayerGameData[Date]=$G200)*(PlayerGameData[OFF REB]))</f>
        <v>0</v>
      </c>
      <c r="L12" s="254" cm="1">
        <f t="array" aca="1" ref="L12" ca="1">SUMPRODUCT((PlayerGameData[Pvisible]=1)*(PlayerGameData[PLAYER, '#]=$A$1)*(PlayerGameData[Opponent]=$F200)*(PlayerGameData[Date]=$G200)*(PlayerGameData[DEF REB]))</f>
        <v>0</v>
      </c>
      <c r="M12" s="254">
        <f t="shared" ca="1" si="2"/>
        <v>0</v>
      </c>
      <c r="N12" s="253" cm="1">
        <f t="array" aca="1" ref="N12" ca="1">SUMPRODUCT((PlayerGameData[Pvisible]=1)*(PlayerGameData[PLAYER, '#]=$A$1)*(PlayerGameData[Opponent]=$F200)*(PlayerGameData[Date]=$G200)*(PlayerGameData[AST]))</f>
        <v>0</v>
      </c>
      <c r="O12" s="254" cm="1">
        <f t="array" aca="1" ref="O12" ca="1">SUMPRODUCT((PlayerGameData[Pvisible]=1)*(PlayerGameData[PLAYER, '#]=$A$1)*(PlayerGameData[Opponent]=$F200)*(PlayerGameData[Date]=$G200)*(PlayerGameData[STL]))</f>
        <v>0</v>
      </c>
      <c r="P12" s="254" cm="1">
        <f t="array" aca="1" ref="P12" ca="1">SUMPRODUCT((PlayerGameData[Pvisible]=1)*(PlayerGameData[PLAYER, '#]=$A$1)*(PlayerGameData[Opponent]=$F200)*(PlayerGameData[Date]=$G200)*(PlayerGameData[BLK]))</f>
        <v>0</v>
      </c>
      <c r="Q12" s="254" cm="1">
        <f t="array" aca="1" ref="Q12" ca="1">SUMPRODUCT((PlayerGameData[Pvisible]=1)*(PlayerGameData[PLAYER, '#]=$A$1)*(PlayerGameData[Opponent]=$F200)*(PlayerGameData[Date]=$G200)*(PlayerGameData[TO]))</f>
        <v>0</v>
      </c>
      <c r="R12" s="254" cm="1">
        <f t="array" aca="1" ref="R12" ca="1">SUMPRODUCT((PlayerGameData[Pvisible]=1)*(PlayerGameData[PLAYER, '#]=$A$1)*(PlayerGameData[Opponent]=$F200)*(PlayerGameData[Date]=$G200)*(PlayerGameData[FOUL]))</f>
        <v>0</v>
      </c>
      <c r="S12" s="254" cm="1">
        <f t="array" aca="1" ref="S12" ca="1">SUMPRODUCT((PlayerGameData[Pvisible]=1)*(PlayerGameData[PLAYER, '#]=$A$1)*(PlayerGameData[Opponent]=$F200)*(PlayerGameData[Date]=$G200)*(PlayerGameData[CHRG TKN]))</f>
        <v>0</v>
      </c>
      <c r="T12" s="255">
        <f t="shared" ca="1" si="3"/>
        <v>0</v>
      </c>
      <c r="U12" s="206" t="str">
        <f t="shared" ca="1" si="4"/>
        <v/>
      </c>
      <c r="V12" s="206" t="str">
        <f t="shared" ca="1" si="5"/>
        <v/>
      </c>
      <c r="W12" s="206" t="str">
        <f t="shared" ca="1" si="6"/>
        <v/>
      </c>
      <c r="X12" s="206" t="str">
        <f t="shared" ca="1" si="7"/>
        <v/>
      </c>
      <c r="Y12" s="213" t="str">
        <f t="shared" ca="1" si="8"/>
        <v/>
      </c>
      <c r="Z12" s="184"/>
      <c r="AA12" s="184"/>
      <c r="AB12" s="184"/>
      <c r="AC12" s="184"/>
      <c r="AD12" s="184"/>
      <c r="AE12" s="184"/>
      <c r="AF12" s="184"/>
      <c r="AG12" s="184"/>
      <c r="AH12" s="184"/>
    </row>
    <row r="13" spans="1:34" s="18" customFormat="1" ht="15.6" x14ac:dyDescent="0.35">
      <c r="A13" s="360" t="str">
        <f t="shared" ca="1" si="1"/>
        <v>Arvada Clearmont 1/20/2023</v>
      </c>
      <c r="B13" s="256" cm="1">
        <f t="array" aca="1" ref="B13" ca="1">SUMPRODUCT((PlayerGameData[Pvisible]=1)*(PlayerGameData[PLAYER, '#]=$A$1)*(PlayerGameData[Opponent]=$F201)*(PlayerGameData[Date]=$G201)*(PlayerGameData[START]))</f>
        <v>0</v>
      </c>
      <c r="C13" s="256" cm="1">
        <f t="array" aca="1" ref="C13" ca="1">SUMPRODUCT((PlayerGameData[Pvisible]=1)*(PlayerGameData[PLAYER, '#]=$A$1)*(PlayerGameData[Opponent]=$F201)*(PlayerGameData[Date]=$G201)*(PlayerGameData[GP]))</f>
        <v>0</v>
      </c>
      <c r="D13" s="256" cm="1">
        <f t="array" aca="1" ref="D13" ca="1">SUMPRODUCT((PlayerGameData[Pvisible]=1)*(PlayerGameData[PLAYER, '#]=$A$1)*(PlayerGameData[Opponent]=$F201)*(PlayerGameData[Date]=$G201)*(PlayerGameData[MINUTES]))</f>
        <v>0</v>
      </c>
      <c r="E13" s="257" cm="1">
        <f t="array" aca="1" ref="E13" ca="1">SUMPRODUCT((PlayerGameData[Pvisible]=1)*(PlayerGameData[PLAYER, '#]=$A$1)*(PlayerGameData[Opponent]=$F201)*(PlayerGameData[Date]=$G201)*(PlayerGameData[3FGM]))</f>
        <v>0</v>
      </c>
      <c r="F13" s="258" cm="1">
        <f t="array" aca="1" ref="F13" ca="1">SUMPRODUCT((PlayerGameData[Pvisible]=1)*(PlayerGameData[PLAYER, '#]=$A$1)*(PlayerGameData[Opponent]=$F201)*(PlayerGameData[Date]=$G201)*(PlayerGameData[3FGA]))</f>
        <v>0</v>
      </c>
      <c r="G13" s="257" cm="1">
        <f t="array" aca="1" ref="G13" ca="1">SUMPRODUCT((PlayerGameData[Pvisible]=1)*(PlayerGameData[PLAYER, '#]=$A$1)*(PlayerGameData[Opponent]=$F201)*(PlayerGameData[Date]=$G201)*(PlayerGameData[2FGM]))</f>
        <v>0</v>
      </c>
      <c r="H13" s="258" cm="1">
        <f t="array" aca="1" ref="H13" ca="1">SUMPRODUCT((PlayerGameData[Pvisible]=1)*(PlayerGameData[PLAYER, '#]=$A$1)*(PlayerGameData[Opponent]=$F201)*(PlayerGameData[Date]=$G201)*(PlayerGameData[2FGA]))</f>
        <v>0</v>
      </c>
      <c r="I13" s="257" cm="1">
        <f t="array" aca="1" ref="I13" ca="1">SUMPRODUCT((PlayerGameData[Pvisible]=1)*(PlayerGameData[PLAYER, '#]=$A$1)*(PlayerGameData[Opponent]=$F201)*(PlayerGameData[Date]=$G201)*(PlayerGameData[FTM]))</f>
        <v>0</v>
      </c>
      <c r="J13" s="258" cm="1">
        <f t="array" aca="1" ref="J13" ca="1">SUMPRODUCT((PlayerGameData[Pvisible]=1)*(PlayerGameData[PLAYER, '#]=$A$1)*(PlayerGameData[Opponent]=$F201)*(PlayerGameData[Date]=$G201)*(PlayerGameData[FTA]))</f>
        <v>0</v>
      </c>
      <c r="K13" s="257" cm="1">
        <f t="array" aca="1" ref="K13" ca="1">SUMPRODUCT((PlayerGameData[Pvisible]=1)*(PlayerGameData[PLAYER, '#]=$A$1)*(PlayerGameData[Opponent]=$F201)*(PlayerGameData[Date]=$G201)*(PlayerGameData[OFF REB]))</f>
        <v>0</v>
      </c>
      <c r="L13" s="258" cm="1">
        <f t="array" aca="1" ref="L13" ca="1">SUMPRODUCT((PlayerGameData[Pvisible]=1)*(PlayerGameData[PLAYER, '#]=$A$1)*(PlayerGameData[Opponent]=$F201)*(PlayerGameData[Date]=$G201)*(PlayerGameData[DEF REB]))</f>
        <v>0</v>
      </c>
      <c r="M13" s="258">
        <f t="shared" ca="1" si="2"/>
        <v>0</v>
      </c>
      <c r="N13" s="257" cm="1">
        <f t="array" aca="1" ref="N13" ca="1">SUMPRODUCT((PlayerGameData[Pvisible]=1)*(PlayerGameData[PLAYER, '#]=$A$1)*(PlayerGameData[Opponent]=$F201)*(PlayerGameData[Date]=$G201)*(PlayerGameData[AST]))</f>
        <v>0</v>
      </c>
      <c r="O13" s="258" cm="1">
        <f t="array" aca="1" ref="O13" ca="1">SUMPRODUCT((PlayerGameData[Pvisible]=1)*(PlayerGameData[PLAYER, '#]=$A$1)*(PlayerGameData[Opponent]=$F201)*(PlayerGameData[Date]=$G201)*(PlayerGameData[STL]))</f>
        <v>0</v>
      </c>
      <c r="P13" s="258" cm="1">
        <f t="array" aca="1" ref="P13" ca="1">SUMPRODUCT((PlayerGameData[Pvisible]=1)*(PlayerGameData[PLAYER, '#]=$A$1)*(PlayerGameData[Opponent]=$F201)*(PlayerGameData[Date]=$G201)*(PlayerGameData[BLK]))</f>
        <v>0</v>
      </c>
      <c r="Q13" s="258" cm="1">
        <f t="array" aca="1" ref="Q13" ca="1">SUMPRODUCT((PlayerGameData[Pvisible]=1)*(PlayerGameData[PLAYER, '#]=$A$1)*(PlayerGameData[Opponent]=$F201)*(PlayerGameData[Date]=$G201)*(PlayerGameData[TO]))</f>
        <v>0</v>
      </c>
      <c r="R13" s="258" cm="1">
        <f t="array" aca="1" ref="R13" ca="1">SUMPRODUCT((PlayerGameData[Pvisible]=1)*(PlayerGameData[PLAYER, '#]=$A$1)*(PlayerGameData[Opponent]=$F201)*(PlayerGameData[Date]=$G201)*(PlayerGameData[FOUL]))</f>
        <v>0</v>
      </c>
      <c r="S13" s="258" cm="1">
        <f t="array" aca="1" ref="S13" ca="1">SUMPRODUCT((PlayerGameData[Pvisible]=1)*(PlayerGameData[PLAYER, '#]=$A$1)*(PlayerGameData[Opponent]=$F201)*(PlayerGameData[Date]=$G201)*(PlayerGameData[CHRG TKN]))</f>
        <v>0</v>
      </c>
      <c r="T13" s="259">
        <f t="shared" ca="1" si="3"/>
        <v>0</v>
      </c>
      <c r="U13" s="193" t="str">
        <f t="shared" ca="1" si="4"/>
        <v/>
      </c>
      <c r="V13" s="193" t="str">
        <f t="shared" ca="1" si="5"/>
        <v/>
      </c>
      <c r="W13" s="193" t="str">
        <f t="shared" ca="1" si="6"/>
        <v/>
      </c>
      <c r="X13" s="193" t="str">
        <f t="shared" ca="1" si="7"/>
        <v/>
      </c>
      <c r="Y13" s="194" t="str">
        <f t="shared" ca="1" si="8"/>
        <v/>
      </c>
      <c r="Z13" s="184"/>
      <c r="AA13" s="184"/>
      <c r="AB13" s="184"/>
      <c r="AC13" s="184"/>
      <c r="AD13" s="184"/>
      <c r="AE13" s="184"/>
      <c r="AF13" s="184"/>
      <c r="AG13" s="184"/>
      <c r="AH13" s="184"/>
    </row>
    <row r="14" spans="1:34" s="18" customFormat="1" ht="15.6" x14ac:dyDescent="0.35">
      <c r="A14" s="359" t="str">
        <f t="shared" ca="1" si="1"/>
        <v>Kaycee 1/21/2023</v>
      </c>
      <c r="B14" s="252" cm="1">
        <f t="array" aca="1" ref="B14" ca="1">SUMPRODUCT((PlayerGameData[Pvisible]=1)*(PlayerGameData[PLAYER, '#]=$A$1)*(PlayerGameData[Opponent]=$F202)*(PlayerGameData[Date]=$G202)*(PlayerGameData[START]))</f>
        <v>0</v>
      </c>
      <c r="C14" s="252" cm="1">
        <f t="array" aca="1" ref="C14" ca="1">SUMPRODUCT((PlayerGameData[Pvisible]=1)*(PlayerGameData[PLAYER, '#]=$A$1)*(PlayerGameData[Opponent]=$F202)*(PlayerGameData[Date]=$G202)*(PlayerGameData[GP]))</f>
        <v>0</v>
      </c>
      <c r="D14" s="252" cm="1">
        <f t="array" aca="1" ref="D14" ca="1">SUMPRODUCT((PlayerGameData[Pvisible]=1)*(PlayerGameData[PLAYER, '#]=$A$1)*(PlayerGameData[Opponent]=$F202)*(PlayerGameData[Date]=$G202)*(PlayerGameData[MINUTES]))</f>
        <v>0</v>
      </c>
      <c r="E14" s="253" cm="1">
        <f t="array" aca="1" ref="E14" ca="1">SUMPRODUCT((PlayerGameData[Pvisible]=1)*(PlayerGameData[PLAYER, '#]=$A$1)*(PlayerGameData[Opponent]=$F202)*(PlayerGameData[Date]=$G202)*(PlayerGameData[3FGM]))</f>
        <v>0</v>
      </c>
      <c r="F14" s="254" cm="1">
        <f t="array" aca="1" ref="F14" ca="1">SUMPRODUCT((PlayerGameData[Pvisible]=1)*(PlayerGameData[PLAYER, '#]=$A$1)*(PlayerGameData[Opponent]=$F202)*(PlayerGameData[Date]=$G202)*(PlayerGameData[3FGA]))</f>
        <v>0</v>
      </c>
      <c r="G14" s="253" cm="1">
        <f t="array" aca="1" ref="G14" ca="1">SUMPRODUCT((PlayerGameData[Pvisible]=1)*(PlayerGameData[PLAYER, '#]=$A$1)*(PlayerGameData[Opponent]=$F202)*(PlayerGameData[Date]=$G202)*(PlayerGameData[2FGM]))</f>
        <v>0</v>
      </c>
      <c r="H14" s="254" cm="1">
        <f t="array" aca="1" ref="H14" ca="1">SUMPRODUCT((PlayerGameData[Pvisible]=1)*(PlayerGameData[PLAYER, '#]=$A$1)*(PlayerGameData[Opponent]=$F202)*(PlayerGameData[Date]=$G202)*(PlayerGameData[2FGA]))</f>
        <v>0</v>
      </c>
      <c r="I14" s="253" cm="1">
        <f t="array" aca="1" ref="I14" ca="1">SUMPRODUCT((PlayerGameData[Pvisible]=1)*(PlayerGameData[PLAYER, '#]=$A$1)*(PlayerGameData[Opponent]=$F202)*(PlayerGameData[Date]=$G202)*(PlayerGameData[FTM]))</f>
        <v>0</v>
      </c>
      <c r="J14" s="254" cm="1">
        <f t="array" aca="1" ref="J14" ca="1">SUMPRODUCT((PlayerGameData[Pvisible]=1)*(PlayerGameData[PLAYER, '#]=$A$1)*(PlayerGameData[Opponent]=$F202)*(PlayerGameData[Date]=$G202)*(PlayerGameData[FTA]))</f>
        <v>0</v>
      </c>
      <c r="K14" s="253" cm="1">
        <f t="array" aca="1" ref="K14" ca="1">SUMPRODUCT((PlayerGameData[Pvisible]=1)*(PlayerGameData[PLAYER, '#]=$A$1)*(PlayerGameData[Opponent]=$F202)*(PlayerGameData[Date]=$G202)*(PlayerGameData[OFF REB]))</f>
        <v>0</v>
      </c>
      <c r="L14" s="254" cm="1">
        <f t="array" aca="1" ref="L14" ca="1">SUMPRODUCT((PlayerGameData[Pvisible]=1)*(PlayerGameData[PLAYER, '#]=$A$1)*(PlayerGameData[Opponent]=$F202)*(PlayerGameData[Date]=$G202)*(PlayerGameData[DEF REB]))</f>
        <v>0</v>
      </c>
      <c r="M14" s="254">
        <f t="shared" ca="1" si="2"/>
        <v>0</v>
      </c>
      <c r="N14" s="253" cm="1">
        <f t="array" aca="1" ref="N14" ca="1">SUMPRODUCT((PlayerGameData[Pvisible]=1)*(PlayerGameData[PLAYER, '#]=$A$1)*(PlayerGameData[Opponent]=$F202)*(PlayerGameData[Date]=$G202)*(PlayerGameData[AST]))</f>
        <v>0</v>
      </c>
      <c r="O14" s="254" cm="1">
        <f t="array" aca="1" ref="O14" ca="1">SUMPRODUCT((PlayerGameData[Pvisible]=1)*(PlayerGameData[PLAYER, '#]=$A$1)*(PlayerGameData[Opponent]=$F202)*(PlayerGameData[Date]=$G202)*(PlayerGameData[STL]))</f>
        <v>0</v>
      </c>
      <c r="P14" s="254" cm="1">
        <f t="array" aca="1" ref="P14" ca="1">SUMPRODUCT((PlayerGameData[Pvisible]=1)*(PlayerGameData[PLAYER, '#]=$A$1)*(PlayerGameData[Opponent]=$F202)*(PlayerGameData[Date]=$G202)*(PlayerGameData[BLK]))</f>
        <v>0</v>
      </c>
      <c r="Q14" s="254" cm="1">
        <f t="array" aca="1" ref="Q14" ca="1">SUMPRODUCT((PlayerGameData[Pvisible]=1)*(PlayerGameData[PLAYER, '#]=$A$1)*(PlayerGameData[Opponent]=$F202)*(PlayerGameData[Date]=$G202)*(PlayerGameData[TO]))</f>
        <v>0</v>
      </c>
      <c r="R14" s="254" cm="1">
        <f t="array" aca="1" ref="R14" ca="1">SUMPRODUCT((PlayerGameData[Pvisible]=1)*(PlayerGameData[PLAYER, '#]=$A$1)*(PlayerGameData[Opponent]=$F202)*(PlayerGameData[Date]=$G202)*(PlayerGameData[FOUL]))</f>
        <v>0</v>
      </c>
      <c r="S14" s="254" cm="1">
        <f t="array" aca="1" ref="S14" ca="1">SUMPRODUCT((PlayerGameData[Pvisible]=1)*(PlayerGameData[PLAYER, '#]=$A$1)*(PlayerGameData[Opponent]=$F202)*(PlayerGameData[Date]=$G202)*(PlayerGameData[CHRG TKN]))</f>
        <v>0</v>
      </c>
      <c r="T14" s="255">
        <f t="shared" ca="1" si="3"/>
        <v>0</v>
      </c>
      <c r="U14" s="206" t="str">
        <f t="shared" ca="1" si="4"/>
        <v/>
      </c>
      <c r="V14" s="206" t="str">
        <f t="shared" ca="1" si="5"/>
        <v/>
      </c>
      <c r="W14" s="206" t="str">
        <f t="shared" ca="1" si="6"/>
        <v/>
      </c>
      <c r="X14" s="206" t="str">
        <f t="shared" ca="1" si="7"/>
        <v/>
      </c>
      <c r="Y14" s="213" t="str">
        <f t="shared" ca="1" si="8"/>
        <v/>
      </c>
      <c r="Z14" s="184"/>
      <c r="AA14" s="184"/>
      <c r="AB14" s="184"/>
      <c r="AC14" s="184"/>
      <c r="AD14" s="184"/>
      <c r="AE14" s="184"/>
      <c r="AF14" s="184"/>
      <c r="AG14" s="184"/>
      <c r="AH14" s="184"/>
    </row>
    <row r="15" spans="1:34" s="18" customFormat="1" ht="15.6" x14ac:dyDescent="0.35">
      <c r="A15" s="360" t="str">
        <f t="shared" ca="1" si="1"/>
        <v>Hulett 1/27/2023</v>
      </c>
      <c r="B15" s="256" cm="1">
        <f t="array" aca="1" ref="B15" ca="1">SUMPRODUCT((PlayerGameData[Pvisible]=1)*(PlayerGameData[PLAYER, '#]=$A$1)*(PlayerGameData[Opponent]=$F203)*(PlayerGameData[Date]=$G203)*(PlayerGameData[START]))</f>
        <v>0</v>
      </c>
      <c r="C15" s="256" cm="1">
        <f t="array" aca="1" ref="C15" ca="1">SUMPRODUCT((PlayerGameData[Pvisible]=1)*(PlayerGameData[PLAYER, '#]=$A$1)*(PlayerGameData[Opponent]=$F203)*(PlayerGameData[Date]=$G203)*(PlayerGameData[GP]))</f>
        <v>0</v>
      </c>
      <c r="D15" s="256" cm="1">
        <f t="array" aca="1" ref="D15" ca="1">SUMPRODUCT((PlayerGameData[Pvisible]=1)*(PlayerGameData[PLAYER, '#]=$A$1)*(PlayerGameData[Opponent]=$F203)*(PlayerGameData[Date]=$G203)*(PlayerGameData[MINUTES]))</f>
        <v>0</v>
      </c>
      <c r="E15" s="257" cm="1">
        <f t="array" aca="1" ref="E15" ca="1">SUMPRODUCT((PlayerGameData[Pvisible]=1)*(PlayerGameData[PLAYER, '#]=$A$1)*(PlayerGameData[Opponent]=$F203)*(PlayerGameData[Date]=$G203)*(PlayerGameData[3FGM]))</f>
        <v>0</v>
      </c>
      <c r="F15" s="258" cm="1">
        <f t="array" aca="1" ref="F15" ca="1">SUMPRODUCT((PlayerGameData[Pvisible]=1)*(PlayerGameData[PLAYER, '#]=$A$1)*(PlayerGameData[Opponent]=$F203)*(PlayerGameData[Date]=$G203)*(PlayerGameData[3FGA]))</f>
        <v>0</v>
      </c>
      <c r="G15" s="257" cm="1">
        <f t="array" aca="1" ref="G15" ca="1">SUMPRODUCT((PlayerGameData[Pvisible]=1)*(PlayerGameData[PLAYER, '#]=$A$1)*(PlayerGameData[Opponent]=$F203)*(PlayerGameData[Date]=$G203)*(PlayerGameData[2FGM]))</f>
        <v>0</v>
      </c>
      <c r="H15" s="258" cm="1">
        <f t="array" aca="1" ref="H15" ca="1">SUMPRODUCT((PlayerGameData[Pvisible]=1)*(PlayerGameData[PLAYER, '#]=$A$1)*(PlayerGameData[Opponent]=$F203)*(PlayerGameData[Date]=$G203)*(PlayerGameData[2FGA]))</f>
        <v>0</v>
      </c>
      <c r="I15" s="257" cm="1">
        <f t="array" aca="1" ref="I15" ca="1">SUMPRODUCT((PlayerGameData[Pvisible]=1)*(PlayerGameData[PLAYER, '#]=$A$1)*(PlayerGameData[Opponent]=$F203)*(PlayerGameData[Date]=$G203)*(PlayerGameData[FTM]))</f>
        <v>0</v>
      </c>
      <c r="J15" s="258" cm="1">
        <f t="array" aca="1" ref="J15" ca="1">SUMPRODUCT((PlayerGameData[Pvisible]=1)*(PlayerGameData[PLAYER, '#]=$A$1)*(PlayerGameData[Opponent]=$F203)*(PlayerGameData[Date]=$G203)*(PlayerGameData[FTA]))</f>
        <v>0</v>
      </c>
      <c r="K15" s="257" cm="1">
        <f t="array" aca="1" ref="K15" ca="1">SUMPRODUCT((PlayerGameData[Pvisible]=1)*(PlayerGameData[PLAYER, '#]=$A$1)*(PlayerGameData[Opponent]=$F203)*(PlayerGameData[Date]=$G203)*(PlayerGameData[OFF REB]))</f>
        <v>0</v>
      </c>
      <c r="L15" s="258" cm="1">
        <f t="array" aca="1" ref="L15" ca="1">SUMPRODUCT((PlayerGameData[Pvisible]=1)*(PlayerGameData[PLAYER, '#]=$A$1)*(PlayerGameData[Opponent]=$F203)*(PlayerGameData[Date]=$G203)*(PlayerGameData[DEF REB]))</f>
        <v>0</v>
      </c>
      <c r="M15" s="258">
        <f t="shared" ca="1" si="2"/>
        <v>0</v>
      </c>
      <c r="N15" s="257" cm="1">
        <f t="array" aca="1" ref="N15" ca="1">SUMPRODUCT((PlayerGameData[Pvisible]=1)*(PlayerGameData[PLAYER, '#]=$A$1)*(PlayerGameData[Opponent]=$F203)*(PlayerGameData[Date]=$G203)*(PlayerGameData[AST]))</f>
        <v>0</v>
      </c>
      <c r="O15" s="258" cm="1">
        <f t="array" aca="1" ref="O15" ca="1">SUMPRODUCT((PlayerGameData[Pvisible]=1)*(PlayerGameData[PLAYER, '#]=$A$1)*(PlayerGameData[Opponent]=$F203)*(PlayerGameData[Date]=$G203)*(PlayerGameData[STL]))</f>
        <v>0</v>
      </c>
      <c r="P15" s="258" cm="1">
        <f t="array" aca="1" ref="P15" ca="1">SUMPRODUCT((PlayerGameData[Pvisible]=1)*(PlayerGameData[PLAYER, '#]=$A$1)*(PlayerGameData[Opponent]=$F203)*(PlayerGameData[Date]=$G203)*(PlayerGameData[BLK]))</f>
        <v>0</v>
      </c>
      <c r="Q15" s="258" cm="1">
        <f t="array" aca="1" ref="Q15" ca="1">SUMPRODUCT((PlayerGameData[Pvisible]=1)*(PlayerGameData[PLAYER, '#]=$A$1)*(PlayerGameData[Opponent]=$F203)*(PlayerGameData[Date]=$G203)*(PlayerGameData[TO]))</f>
        <v>0</v>
      </c>
      <c r="R15" s="258" cm="1">
        <f t="array" aca="1" ref="R15" ca="1">SUMPRODUCT((PlayerGameData[Pvisible]=1)*(PlayerGameData[PLAYER, '#]=$A$1)*(PlayerGameData[Opponent]=$F203)*(PlayerGameData[Date]=$G203)*(PlayerGameData[FOUL]))</f>
        <v>0</v>
      </c>
      <c r="S15" s="258" cm="1">
        <f t="array" aca="1" ref="S15" ca="1">SUMPRODUCT((PlayerGameData[Pvisible]=1)*(PlayerGameData[PLAYER, '#]=$A$1)*(PlayerGameData[Opponent]=$F203)*(PlayerGameData[Date]=$G203)*(PlayerGameData[CHRG TKN]))</f>
        <v>0</v>
      </c>
      <c r="T15" s="259">
        <f t="shared" ca="1" si="3"/>
        <v>0</v>
      </c>
      <c r="U15" s="193" t="str">
        <f t="shared" ca="1" si="4"/>
        <v/>
      </c>
      <c r="V15" s="193" t="str">
        <f t="shared" ca="1" si="5"/>
        <v/>
      </c>
      <c r="W15" s="193" t="str">
        <f t="shared" ca="1" si="6"/>
        <v/>
      </c>
      <c r="X15" s="193" t="str">
        <f t="shared" ca="1" si="7"/>
        <v/>
      </c>
      <c r="Y15" s="194" t="str">
        <f t="shared" ca="1" si="8"/>
        <v/>
      </c>
      <c r="Z15" s="184"/>
      <c r="AA15" s="184"/>
      <c r="AB15" s="184"/>
      <c r="AC15" s="184"/>
      <c r="AD15" s="184"/>
      <c r="AE15" s="184"/>
      <c r="AF15" s="184"/>
      <c r="AG15" s="184"/>
      <c r="AH15" s="184"/>
    </row>
    <row r="16" spans="1:34" s="18" customFormat="1" ht="15.6" x14ac:dyDescent="0.35">
      <c r="A16" s="359" t="str">
        <f t="shared" ca="1" si="1"/>
        <v>Thunder Basin JV 1/31/2023</v>
      </c>
      <c r="B16" s="252" cm="1">
        <f t="array" aca="1" ref="B16" ca="1">SUMPRODUCT((PlayerGameData[Pvisible]=1)*(PlayerGameData[PLAYER, '#]=$A$1)*(PlayerGameData[Opponent]=$F204)*(PlayerGameData[Date]=$G204)*(PlayerGameData[START]))</f>
        <v>0</v>
      </c>
      <c r="C16" s="252" cm="1">
        <f t="array" aca="1" ref="C16" ca="1">SUMPRODUCT((PlayerGameData[Pvisible]=1)*(PlayerGameData[PLAYER, '#]=$A$1)*(PlayerGameData[Opponent]=$F204)*(PlayerGameData[Date]=$G204)*(PlayerGameData[GP]))</f>
        <v>0</v>
      </c>
      <c r="D16" s="252" cm="1">
        <f t="array" aca="1" ref="D16" ca="1">SUMPRODUCT((PlayerGameData[Pvisible]=1)*(PlayerGameData[PLAYER, '#]=$A$1)*(PlayerGameData[Opponent]=$F204)*(PlayerGameData[Date]=$G204)*(PlayerGameData[MINUTES]))</f>
        <v>0</v>
      </c>
      <c r="E16" s="253" cm="1">
        <f t="array" aca="1" ref="E16" ca="1">SUMPRODUCT((PlayerGameData[Pvisible]=1)*(PlayerGameData[PLAYER, '#]=$A$1)*(PlayerGameData[Opponent]=$F204)*(PlayerGameData[Date]=$G204)*(PlayerGameData[3FGM]))</f>
        <v>0</v>
      </c>
      <c r="F16" s="254" cm="1">
        <f t="array" aca="1" ref="F16" ca="1">SUMPRODUCT((PlayerGameData[Pvisible]=1)*(PlayerGameData[PLAYER, '#]=$A$1)*(PlayerGameData[Opponent]=$F204)*(PlayerGameData[Date]=$G204)*(PlayerGameData[3FGA]))</f>
        <v>0</v>
      </c>
      <c r="G16" s="253" cm="1">
        <f t="array" aca="1" ref="G16" ca="1">SUMPRODUCT((PlayerGameData[Pvisible]=1)*(PlayerGameData[PLAYER, '#]=$A$1)*(PlayerGameData[Opponent]=$F204)*(PlayerGameData[Date]=$G204)*(PlayerGameData[2FGM]))</f>
        <v>0</v>
      </c>
      <c r="H16" s="254" cm="1">
        <f t="array" aca="1" ref="H16" ca="1">SUMPRODUCT((PlayerGameData[Pvisible]=1)*(PlayerGameData[PLAYER, '#]=$A$1)*(PlayerGameData[Opponent]=$F204)*(PlayerGameData[Date]=$G204)*(PlayerGameData[2FGA]))</f>
        <v>0</v>
      </c>
      <c r="I16" s="253" cm="1">
        <f t="array" aca="1" ref="I16" ca="1">SUMPRODUCT((PlayerGameData[Pvisible]=1)*(PlayerGameData[PLAYER, '#]=$A$1)*(PlayerGameData[Opponent]=$F204)*(PlayerGameData[Date]=$G204)*(PlayerGameData[FTM]))</f>
        <v>0</v>
      </c>
      <c r="J16" s="254" cm="1">
        <f t="array" aca="1" ref="J16" ca="1">SUMPRODUCT((PlayerGameData[Pvisible]=1)*(PlayerGameData[PLAYER, '#]=$A$1)*(PlayerGameData[Opponent]=$F204)*(PlayerGameData[Date]=$G204)*(PlayerGameData[FTA]))</f>
        <v>0</v>
      </c>
      <c r="K16" s="253" cm="1">
        <f t="array" aca="1" ref="K16" ca="1">SUMPRODUCT((PlayerGameData[Pvisible]=1)*(PlayerGameData[PLAYER, '#]=$A$1)*(PlayerGameData[Opponent]=$F204)*(PlayerGameData[Date]=$G204)*(PlayerGameData[OFF REB]))</f>
        <v>0</v>
      </c>
      <c r="L16" s="254" cm="1">
        <f t="array" aca="1" ref="L16" ca="1">SUMPRODUCT((PlayerGameData[Pvisible]=1)*(PlayerGameData[PLAYER, '#]=$A$1)*(PlayerGameData[Opponent]=$F204)*(PlayerGameData[Date]=$G204)*(PlayerGameData[DEF REB]))</f>
        <v>0</v>
      </c>
      <c r="M16" s="254">
        <f t="shared" ca="1" si="2"/>
        <v>0</v>
      </c>
      <c r="N16" s="253" cm="1">
        <f t="array" aca="1" ref="N16" ca="1">SUMPRODUCT((PlayerGameData[Pvisible]=1)*(PlayerGameData[PLAYER, '#]=$A$1)*(PlayerGameData[Opponent]=$F204)*(PlayerGameData[Date]=$G204)*(PlayerGameData[AST]))</f>
        <v>0</v>
      </c>
      <c r="O16" s="254" cm="1">
        <f t="array" aca="1" ref="O16" ca="1">SUMPRODUCT((PlayerGameData[Pvisible]=1)*(PlayerGameData[PLAYER, '#]=$A$1)*(PlayerGameData[Opponent]=$F204)*(PlayerGameData[Date]=$G204)*(PlayerGameData[STL]))</f>
        <v>0</v>
      </c>
      <c r="P16" s="254" cm="1">
        <f t="array" aca="1" ref="P16" ca="1">SUMPRODUCT((PlayerGameData[Pvisible]=1)*(PlayerGameData[PLAYER, '#]=$A$1)*(PlayerGameData[Opponent]=$F204)*(PlayerGameData[Date]=$G204)*(PlayerGameData[BLK]))</f>
        <v>0</v>
      </c>
      <c r="Q16" s="254" cm="1">
        <f t="array" aca="1" ref="Q16" ca="1">SUMPRODUCT((PlayerGameData[Pvisible]=1)*(PlayerGameData[PLAYER, '#]=$A$1)*(PlayerGameData[Opponent]=$F204)*(PlayerGameData[Date]=$G204)*(PlayerGameData[TO]))</f>
        <v>0</v>
      </c>
      <c r="R16" s="254" cm="1">
        <f t="array" aca="1" ref="R16" ca="1">SUMPRODUCT((PlayerGameData[Pvisible]=1)*(PlayerGameData[PLAYER, '#]=$A$1)*(PlayerGameData[Opponent]=$F204)*(PlayerGameData[Date]=$G204)*(PlayerGameData[FOUL]))</f>
        <v>0</v>
      </c>
      <c r="S16" s="254" cm="1">
        <f t="array" aca="1" ref="S16" ca="1">SUMPRODUCT((PlayerGameData[Pvisible]=1)*(PlayerGameData[PLAYER, '#]=$A$1)*(PlayerGameData[Opponent]=$F204)*(PlayerGameData[Date]=$G204)*(PlayerGameData[CHRG TKN]))</f>
        <v>0</v>
      </c>
      <c r="T16" s="255">
        <f t="shared" ca="1" si="3"/>
        <v>0</v>
      </c>
      <c r="U16" s="206" t="str">
        <f t="shared" ca="1" si="4"/>
        <v/>
      </c>
      <c r="V16" s="206" t="str">
        <f t="shared" ca="1" si="5"/>
        <v/>
      </c>
      <c r="W16" s="206" t="str">
        <f t="shared" ca="1" si="6"/>
        <v/>
      </c>
      <c r="X16" s="206" t="str">
        <f t="shared" ca="1" si="7"/>
        <v/>
      </c>
      <c r="Y16" s="213" t="str">
        <f t="shared" ca="1" si="8"/>
        <v/>
      </c>
      <c r="Z16" s="184"/>
      <c r="AA16" s="184"/>
      <c r="AB16" s="184"/>
      <c r="AC16" s="184"/>
      <c r="AD16" s="184"/>
      <c r="AE16" s="184"/>
      <c r="AF16" s="184"/>
      <c r="AG16" s="184"/>
      <c r="AH16" s="184"/>
    </row>
    <row r="17" spans="1:34" s="18" customFormat="1" ht="15.6" x14ac:dyDescent="0.35">
      <c r="A17" s="360" t="str">
        <f t="shared" ca="1" si="1"/>
        <v>Kaycee 2/3/2023</v>
      </c>
      <c r="B17" s="256" cm="1">
        <f t="array" aca="1" ref="B17" ca="1">SUMPRODUCT((PlayerGameData[Pvisible]=1)*(PlayerGameData[PLAYER, '#]=$A$1)*(PlayerGameData[Opponent]=$F205)*(PlayerGameData[Date]=$G205)*(PlayerGameData[START]))</f>
        <v>0</v>
      </c>
      <c r="C17" s="256" cm="1">
        <f t="array" aca="1" ref="C17" ca="1">SUMPRODUCT((PlayerGameData[Pvisible]=1)*(PlayerGameData[PLAYER, '#]=$A$1)*(PlayerGameData[Opponent]=$F205)*(PlayerGameData[Date]=$G205)*(PlayerGameData[GP]))</f>
        <v>0</v>
      </c>
      <c r="D17" s="256" cm="1">
        <f t="array" aca="1" ref="D17" ca="1">SUMPRODUCT((PlayerGameData[Pvisible]=1)*(PlayerGameData[PLAYER, '#]=$A$1)*(PlayerGameData[Opponent]=$F205)*(PlayerGameData[Date]=$G205)*(PlayerGameData[MINUTES]))</f>
        <v>0</v>
      </c>
      <c r="E17" s="257" cm="1">
        <f t="array" aca="1" ref="E17" ca="1">SUMPRODUCT((PlayerGameData[Pvisible]=1)*(PlayerGameData[PLAYER, '#]=$A$1)*(PlayerGameData[Opponent]=$F205)*(PlayerGameData[Date]=$G205)*(PlayerGameData[3FGM]))</f>
        <v>0</v>
      </c>
      <c r="F17" s="258" cm="1">
        <f t="array" aca="1" ref="F17" ca="1">SUMPRODUCT((PlayerGameData[Pvisible]=1)*(PlayerGameData[PLAYER, '#]=$A$1)*(PlayerGameData[Opponent]=$F205)*(PlayerGameData[Date]=$G205)*(PlayerGameData[3FGA]))</f>
        <v>0</v>
      </c>
      <c r="G17" s="257" cm="1">
        <f t="array" aca="1" ref="G17" ca="1">SUMPRODUCT((PlayerGameData[Pvisible]=1)*(PlayerGameData[PLAYER, '#]=$A$1)*(PlayerGameData[Opponent]=$F205)*(PlayerGameData[Date]=$G205)*(PlayerGameData[2FGM]))</f>
        <v>0</v>
      </c>
      <c r="H17" s="258" cm="1">
        <f t="array" aca="1" ref="H17" ca="1">SUMPRODUCT((PlayerGameData[Pvisible]=1)*(PlayerGameData[PLAYER, '#]=$A$1)*(PlayerGameData[Opponent]=$F205)*(PlayerGameData[Date]=$G205)*(PlayerGameData[2FGA]))</f>
        <v>0</v>
      </c>
      <c r="I17" s="257" cm="1">
        <f t="array" aca="1" ref="I17" ca="1">SUMPRODUCT((PlayerGameData[Pvisible]=1)*(PlayerGameData[PLAYER, '#]=$A$1)*(PlayerGameData[Opponent]=$F205)*(PlayerGameData[Date]=$G205)*(PlayerGameData[FTM]))</f>
        <v>0</v>
      </c>
      <c r="J17" s="258" cm="1">
        <f t="array" aca="1" ref="J17" ca="1">SUMPRODUCT((PlayerGameData[Pvisible]=1)*(PlayerGameData[PLAYER, '#]=$A$1)*(PlayerGameData[Opponent]=$F205)*(PlayerGameData[Date]=$G205)*(PlayerGameData[FTA]))</f>
        <v>0</v>
      </c>
      <c r="K17" s="257" cm="1">
        <f t="array" aca="1" ref="K17" ca="1">SUMPRODUCT((PlayerGameData[Pvisible]=1)*(PlayerGameData[PLAYER, '#]=$A$1)*(PlayerGameData[Opponent]=$F205)*(PlayerGameData[Date]=$G205)*(PlayerGameData[OFF REB]))</f>
        <v>0</v>
      </c>
      <c r="L17" s="258" cm="1">
        <f t="array" aca="1" ref="L17" ca="1">SUMPRODUCT((PlayerGameData[Pvisible]=1)*(PlayerGameData[PLAYER, '#]=$A$1)*(PlayerGameData[Opponent]=$F205)*(PlayerGameData[Date]=$G205)*(PlayerGameData[DEF REB]))</f>
        <v>0</v>
      </c>
      <c r="M17" s="258">
        <f t="shared" ca="1" si="2"/>
        <v>0</v>
      </c>
      <c r="N17" s="257" cm="1">
        <f t="array" aca="1" ref="N17" ca="1">SUMPRODUCT((PlayerGameData[Pvisible]=1)*(PlayerGameData[PLAYER, '#]=$A$1)*(PlayerGameData[Opponent]=$F205)*(PlayerGameData[Date]=$G205)*(PlayerGameData[AST]))</f>
        <v>0</v>
      </c>
      <c r="O17" s="258" cm="1">
        <f t="array" aca="1" ref="O17" ca="1">SUMPRODUCT((PlayerGameData[Pvisible]=1)*(PlayerGameData[PLAYER, '#]=$A$1)*(PlayerGameData[Opponent]=$F205)*(PlayerGameData[Date]=$G205)*(PlayerGameData[STL]))</f>
        <v>0</v>
      </c>
      <c r="P17" s="258" cm="1">
        <f t="array" aca="1" ref="P17" ca="1">SUMPRODUCT((PlayerGameData[Pvisible]=1)*(PlayerGameData[PLAYER, '#]=$A$1)*(PlayerGameData[Opponent]=$F205)*(PlayerGameData[Date]=$G205)*(PlayerGameData[BLK]))</f>
        <v>0</v>
      </c>
      <c r="Q17" s="258" cm="1">
        <f t="array" aca="1" ref="Q17" ca="1">SUMPRODUCT((PlayerGameData[Pvisible]=1)*(PlayerGameData[PLAYER, '#]=$A$1)*(PlayerGameData[Opponent]=$F205)*(PlayerGameData[Date]=$G205)*(PlayerGameData[TO]))</f>
        <v>0</v>
      </c>
      <c r="R17" s="258" cm="1">
        <f t="array" aca="1" ref="R17" ca="1">SUMPRODUCT((PlayerGameData[Pvisible]=1)*(PlayerGameData[PLAYER, '#]=$A$1)*(PlayerGameData[Opponent]=$F205)*(PlayerGameData[Date]=$G205)*(PlayerGameData[FOUL]))</f>
        <v>0</v>
      </c>
      <c r="S17" s="258" cm="1">
        <f t="array" aca="1" ref="S17" ca="1">SUMPRODUCT((PlayerGameData[Pvisible]=1)*(PlayerGameData[PLAYER, '#]=$A$1)*(PlayerGameData[Opponent]=$F205)*(PlayerGameData[Date]=$G205)*(PlayerGameData[CHRG TKN]))</f>
        <v>0</v>
      </c>
      <c r="T17" s="259">
        <f t="shared" ca="1" si="3"/>
        <v>0</v>
      </c>
      <c r="U17" s="193" t="str">
        <f t="shared" ca="1" si="4"/>
        <v/>
      </c>
      <c r="V17" s="193" t="str">
        <f t="shared" ca="1" si="5"/>
        <v/>
      </c>
      <c r="W17" s="193" t="str">
        <f t="shared" ca="1" si="6"/>
        <v/>
      </c>
      <c r="X17" s="193" t="str">
        <f t="shared" ca="1" si="7"/>
        <v/>
      </c>
      <c r="Y17" s="194" t="str">
        <f t="shared" ca="1" si="8"/>
        <v/>
      </c>
      <c r="Z17" s="184"/>
      <c r="AA17" s="184"/>
      <c r="AB17" s="184"/>
      <c r="AC17" s="184"/>
      <c r="AD17" s="184"/>
      <c r="AE17" s="184"/>
      <c r="AF17" s="184"/>
      <c r="AG17" s="184"/>
      <c r="AH17" s="184"/>
    </row>
    <row r="18" spans="1:34" s="18" customFormat="1" ht="15.6" x14ac:dyDescent="0.35">
      <c r="A18" s="359" t="str">
        <f t="shared" ca="1" si="1"/>
        <v>Midwest 2/4/2023</v>
      </c>
      <c r="B18" s="252" cm="1">
        <f t="array" aca="1" ref="B18" ca="1">SUMPRODUCT((PlayerGameData[Pvisible]=1)*(PlayerGameData[PLAYER, '#]=$A$1)*(PlayerGameData[Opponent]=$F206)*(PlayerGameData[Date]=$G206)*(PlayerGameData[START]))</f>
        <v>0</v>
      </c>
      <c r="C18" s="252" cm="1">
        <f t="array" aca="1" ref="C18" ca="1">SUMPRODUCT((PlayerGameData[Pvisible]=1)*(PlayerGameData[PLAYER, '#]=$A$1)*(PlayerGameData[Opponent]=$F206)*(PlayerGameData[Date]=$G206)*(PlayerGameData[GP]))</f>
        <v>0</v>
      </c>
      <c r="D18" s="252" cm="1">
        <f t="array" aca="1" ref="D18" ca="1">SUMPRODUCT((PlayerGameData[Pvisible]=1)*(PlayerGameData[PLAYER, '#]=$A$1)*(PlayerGameData[Opponent]=$F206)*(PlayerGameData[Date]=$G206)*(PlayerGameData[MINUTES]))</f>
        <v>0</v>
      </c>
      <c r="E18" s="253" cm="1">
        <f t="array" aca="1" ref="E18" ca="1">SUMPRODUCT((PlayerGameData[Pvisible]=1)*(PlayerGameData[PLAYER, '#]=$A$1)*(PlayerGameData[Opponent]=$F206)*(PlayerGameData[Date]=$G206)*(PlayerGameData[3FGM]))</f>
        <v>0</v>
      </c>
      <c r="F18" s="254" cm="1">
        <f t="array" aca="1" ref="F18" ca="1">SUMPRODUCT((PlayerGameData[Pvisible]=1)*(PlayerGameData[PLAYER, '#]=$A$1)*(PlayerGameData[Opponent]=$F206)*(PlayerGameData[Date]=$G206)*(PlayerGameData[3FGA]))</f>
        <v>0</v>
      </c>
      <c r="G18" s="253" cm="1">
        <f t="array" aca="1" ref="G18" ca="1">SUMPRODUCT((PlayerGameData[Pvisible]=1)*(PlayerGameData[PLAYER, '#]=$A$1)*(PlayerGameData[Opponent]=$F206)*(PlayerGameData[Date]=$G206)*(PlayerGameData[2FGM]))</f>
        <v>0</v>
      </c>
      <c r="H18" s="254" cm="1">
        <f t="array" aca="1" ref="H18" ca="1">SUMPRODUCT((PlayerGameData[Pvisible]=1)*(PlayerGameData[PLAYER, '#]=$A$1)*(PlayerGameData[Opponent]=$F206)*(PlayerGameData[Date]=$G206)*(PlayerGameData[2FGA]))</f>
        <v>0</v>
      </c>
      <c r="I18" s="253" cm="1">
        <f t="array" aca="1" ref="I18" ca="1">SUMPRODUCT((PlayerGameData[Pvisible]=1)*(PlayerGameData[PLAYER, '#]=$A$1)*(PlayerGameData[Opponent]=$F206)*(PlayerGameData[Date]=$G206)*(PlayerGameData[FTM]))</f>
        <v>0</v>
      </c>
      <c r="J18" s="254" cm="1">
        <f t="array" aca="1" ref="J18" ca="1">SUMPRODUCT((PlayerGameData[Pvisible]=1)*(PlayerGameData[PLAYER, '#]=$A$1)*(PlayerGameData[Opponent]=$F206)*(PlayerGameData[Date]=$G206)*(PlayerGameData[FTA]))</f>
        <v>0</v>
      </c>
      <c r="K18" s="253" cm="1">
        <f t="array" aca="1" ref="K18" ca="1">SUMPRODUCT((PlayerGameData[Pvisible]=1)*(PlayerGameData[PLAYER, '#]=$A$1)*(PlayerGameData[Opponent]=$F206)*(PlayerGameData[Date]=$G206)*(PlayerGameData[OFF REB]))</f>
        <v>0</v>
      </c>
      <c r="L18" s="254" cm="1">
        <f t="array" aca="1" ref="L18" ca="1">SUMPRODUCT((PlayerGameData[Pvisible]=1)*(PlayerGameData[PLAYER, '#]=$A$1)*(PlayerGameData[Opponent]=$F206)*(PlayerGameData[Date]=$G206)*(PlayerGameData[DEF REB]))</f>
        <v>0</v>
      </c>
      <c r="M18" s="254">
        <f t="shared" ca="1" si="2"/>
        <v>0</v>
      </c>
      <c r="N18" s="253" cm="1">
        <f t="array" aca="1" ref="N18" ca="1">SUMPRODUCT((PlayerGameData[Pvisible]=1)*(PlayerGameData[PLAYER, '#]=$A$1)*(PlayerGameData[Opponent]=$F206)*(PlayerGameData[Date]=$G206)*(PlayerGameData[AST]))</f>
        <v>0</v>
      </c>
      <c r="O18" s="254" cm="1">
        <f t="array" aca="1" ref="O18" ca="1">SUMPRODUCT((PlayerGameData[Pvisible]=1)*(PlayerGameData[PLAYER, '#]=$A$1)*(PlayerGameData[Opponent]=$F206)*(PlayerGameData[Date]=$G206)*(PlayerGameData[STL]))</f>
        <v>0</v>
      </c>
      <c r="P18" s="254" cm="1">
        <f t="array" aca="1" ref="P18" ca="1">SUMPRODUCT((PlayerGameData[Pvisible]=1)*(PlayerGameData[PLAYER, '#]=$A$1)*(PlayerGameData[Opponent]=$F206)*(PlayerGameData[Date]=$G206)*(PlayerGameData[BLK]))</f>
        <v>0</v>
      </c>
      <c r="Q18" s="254" cm="1">
        <f t="array" aca="1" ref="Q18" ca="1">SUMPRODUCT((PlayerGameData[Pvisible]=1)*(PlayerGameData[PLAYER, '#]=$A$1)*(PlayerGameData[Opponent]=$F206)*(PlayerGameData[Date]=$G206)*(PlayerGameData[TO]))</f>
        <v>0</v>
      </c>
      <c r="R18" s="254" cm="1">
        <f t="array" aca="1" ref="R18" ca="1">SUMPRODUCT((PlayerGameData[Pvisible]=1)*(PlayerGameData[PLAYER, '#]=$A$1)*(PlayerGameData[Opponent]=$F206)*(PlayerGameData[Date]=$G206)*(PlayerGameData[FOUL]))</f>
        <v>0</v>
      </c>
      <c r="S18" s="254" cm="1">
        <f t="array" aca="1" ref="S18" ca="1">SUMPRODUCT((PlayerGameData[Pvisible]=1)*(PlayerGameData[PLAYER, '#]=$A$1)*(PlayerGameData[Opponent]=$F206)*(PlayerGameData[Date]=$G206)*(PlayerGameData[CHRG TKN]))</f>
        <v>0</v>
      </c>
      <c r="T18" s="255">
        <f t="shared" ca="1" si="3"/>
        <v>0</v>
      </c>
      <c r="U18" s="206" t="str">
        <f t="shared" ca="1" si="4"/>
        <v/>
      </c>
      <c r="V18" s="206" t="str">
        <f t="shared" ca="1" si="5"/>
        <v/>
      </c>
      <c r="W18" s="206" t="str">
        <f t="shared" ca="1" si="6"/>
        <v/>
      </c>
      <c r="X18" s="206" t="str">
        <f t="shared" ca="1" si="7"/>
        <v/>
      </c>
      <c r="Y18" s="213" t="str">
        <f t="shared" ca="1" si="8"/>
        <v/>
      </c>
      <c r="Z18" s="184"/>
      <c r="AA18" s="184"/>
      <c r="AB18" s="184"/>
      <c r="AC18" s="184"/>
      <c r="AD18" s="184"/>
      <c r="AE18" s="184"/>
      <c r="AF18" s="184"/>
      <c r="AG18" s="184"/>
      <c r="AH18" s="184"/>
    </row>
    <row r="19" spans="1:34" s="18" customFormat="1" ht="15.6" x14ac:dyDescent="0.35">
      <c r="A19" s="360" t="str">
        <f t="shared" ca="1" si="1"/>
        <v>Sundance 2/7/2023</v>
      </c>
      <c r="B19" s="256" cm="1">
        <f t="array" aca="1" ref="B19" ca="1">SUMPRODUCT((PlayerGameData[Pvisible]=1)*(PlayerGameData[PLAYER, '#]=$A$1)*(PlayerGameData[Opponent]=$F207)*(PlayerGameData[Date]=$G207)*(PlayerGameData[START]))</f>
        <v>0</v>
      </c>
      <c r="C19" s="256" cm="1">
        <f t="array" aca="1" ref="C19" ca="1">SUMPRODUCT((PlayerGameData[Pvisible]=1)*(PlayerGameData[PLAYER, '#]=$A$1)*(PlayerGameData[Opponent]=$F207)*(PlayerGameData[Date]=$G207)*(PlayerGameData[GP]))</f>
        <v>0</v>
      </c>
      <c r="D19" s="256" cm="1">
        <f t="array" aca="1" ref="D19" ca="1">SUMPRODUCT((PlayerGameData[Pvisible]=1)*(PlayerGameData[PLAYER, '#]=$A$1)*(PlayerGameData[Opponent]=$F207)*(PlayerGameData[Date]=$G207)*(PlayerGameData[MINUTES]))</f>
        <v>0</v>
      </c>
      <c r="E19" s="257" cm="1">
        <f t="array" aca="1" ref="E19" ca="1">SUMPRODUCT((PlayerGameData[Pvisible]=1)*(PlayerGameData[PLAYER, '#]=$A$1)*(PlayerGameData[Opponent]=$F207)*(PlayerGameData[Date]=$G207)*(PlayerGameData[3FGM]))</f>
        <v>0</v>
      </c>
      <c r="F19" s="258" cm="1">
        <f t="array" aca="1" ref="F19" ca="1">SUMPRODUCT((PlayerGameData[Pvisible]=1)*(PlayerGameData[PLAYER, '#]=$A$1)*(PlayerGameData[Opponent]=$F207)*(PlayerGameData[Date]=$G207)*(PlayerGameData[3FGA]))</f>
        <v>0</v>
      </c>
      <c r="G19" s="257" cm="1">
        <f t="array" aca="1" ref="G19" ca="1">SUMPRODUCT((PlayerGameData[Pvisible]=1)*(PlayerGameData[PLAYER, '#]=$A$1)*(PlayerGameData[Opponent]=$F207)*(PlayerGameData[Date]=$G207)*(PlayerGameData[2FGM]))</f>
        <v>0</v>
      </c>
      <c r="H19" s="258" cm="1">
        <f t="array" aca="1" ref="H19" ca="1">SUMPRODUCT((PlayerGameData[Pvisible]=1)*(PlayerGameData[PLAYER, '#]=$A$1)*(PlayerGameData[Opponent]=$F207)*(PlayerGameData[Date]=$G207)*(PlayerGameData[2FGA]))</f>
        <v>0</v>
      </c>
      <c r="I19" s="257" cm="1">
        <f t="array" aca="1" ref="I19" ca="1">SUMPRODUCT((PlayerGameData[Pvisible]=1)*(PlayerGameData[PLAYER, '#]=$A$1)*(PlayerGameData[Opponent]=$F207)*(PlayerGameData[Date]=$G207)*(PlayerGameData[FTM]))</f>
        <v>0</v>
      </c>
      <c r="J19" s="258" cm="1">
        <f t="array" aca="1" ref="J19" ca="1">SUMPRODUCT((PlayerGameData[Pvisible]=1)*(PlayerGameData[PLAYER, '#]=$A$1)*(PlayerGameData[Opponent]=$F207)*(PlayerGameData[Date]=$G207)*(PlayerGameData[FTA]))</f>
        <v>0</v>
      </c>
      <c r="K19" s="257" cm="1">
        <f t="array" aca="1" ref="K19" ca="1">SUMPRODUCT((PlayerGameData[Pvisible]=1)*(PlayerGameData[PLAYER, '#]=$A$1)*(PlayerGameData[Opponent]=$F207)*(PlayerGameData[Date]=$G207)*(PlayerGameData[OFF REB]))</f>
        <v>0</v>
      </c>
      <c r="L19" s="258" cm="1">
        <f t="array" aca="1" ref="L19" ca="1">SUMPRODUCT((PlayerGameData[Pvisible]=1)*(PlayerGameData[PLAYER, '#]=$A$1)*(PlayerGameData[Opponent]=$F207)*(PlayerGameData[Date]=$G207)*(PlayerGameData[DEF REB]))</f>
        <v>0</v>
      </c>
      <c r="M19" s="258">
        <f t="shared" ca="1" si="2"/>
        <v>0</v>
      </c>
      <c r="N19" s="257" cm="1">
        <f t="array" aca="1" ref="N19" ca="1">SUMPRODUCT((PlayerGameData[Pvisible]=1)*(PlayerGameData[PLAYER, '#]=$A$1)*(PlayerGameData[Opponent]=$F207)*(PlayerGameData[Date]=$G207)*(PlayerGameData[AST]))</f>
        <v>0</v>
      </c>
      <c r="O19" s="258" cm="1">
        <f t="array" aca="1" ref="O19" ca="1">SUMPRODUCT((PlayerGameData[Pvisible]=1)*(PlayerGameData[PLAYER, '#]=$A$1)*(PlayerGameData[Opponent]=$F207)*(PlayerGameData[Date]=$G207)*(PlayerGameData[STL]))</f>
        <v>0</v>
      </c>
      <c r="P19" s="258" cm="1">
        <f t="array" aca="1" ref="P19" ca="1">SUMPRODUCT((PlayerGameData[Pvisible]=1)*(PlayerGameData[PLAYER, '#]=$A$1)*(PlayerGameData[Opponent]=$F207)*(PlayerGameData[Date]=$G207)*(PlayerGameData[BLK]))</f>
        <v>0</v>
      </c>
      <c r="Q19" s="258" cm="1">
        <f t="array" aca="1" ref="Q19" ca="1">SUMPRODUCT((PlayerGameData[Pvisible]=1)*(PlayerGameData[PLAYER, '#]=$A$1)*(PlayerGameData[Opponent]=$F207)*(PlayerGameData[Date]=$G207)*(PlayerGameData[TO]))</f>
        <v>0</v>
      </c>
      <c r="R19" s="258" cm="1">
        <f t="array" aca="1" ref="R19" ca="1">SUMPRODUCT((PlayerGameData[Pvisible]=1)*(PlayerGameData[PLAYER, '#]=$A$1)*(PlayerGameData[Opponent]=$F207)*(PlayerGameData[Date]=$G207)*(PlayerGameData[FOUL]))</f>
        <v>0</v>
      </c>
      <c r="S19" s="258" cm="1">
        <f t="array" aca="1" ref="S19" ca="1">SUMPRODUCT((PlayerGameData[Pvisible]=1)*(PlayerGameData[PLAYER, '#]=$A$1)*(PlayerGameData[Opponent]=$F207)*(PlayerGameData[Date]=$G207)*(PlayerGameData[CHRG TKN]))</f>
        <v>0</v>
      </c>
      <c r="T19" s="259">
        <f t="shared" ca="1" si="3"/>
        <v>0</v>
      </c>
      <c r="U19" s="193" t="str">
        <f t="shared" ca="1" si="4"/>
        <v/>
      </c>
      <c r="V19" s="193" t="str">
        <f t="shared" ca="1" si="5"/>
        <v/>
      </c>
      <c r="W19" s="193" t="str">
        <f t="shared" ca="1" si="6"/>
        <v/>
      </c>
      <c r="X19" s="193" t="str">
        <f t="shared" ca="1" si="7"/>
        <v/>
      </c>
      <c r="Y19" s="194" t="str">
        <f t="shared" ca="1" si="8"/>
        <v/>
      </c>
      <c r="Z19" s="184"/>
      <c r="AA19" s="184"/>
      <c r="AB19" s="184"/>
      <c r="AC19" s="184"/>
      <c r="AD19" s="184"/>
      <c r="AE19" s="184"/>
      <c r="AF19" s="184"/>
      <c r="AG19" s="184"/>
      <c r="AH19" s="184"/>
    </row>
    <row r="20" spans="1:34" s="18" customFormat="1" ht="15.6" x14ac:dyDescent="0.35">
      <c r="A20" s="359" t="str">
        <f t="shared" ca="1" si="1"/>
        <v>Arvada Clearmont 2/11/2023</v>
      </c>
      <c r="B20" s="252" cm="1">
        <f t="array" aca="1" ref="B20" ca="1">SUMPRODUCT((PlayerGameData[Pvisible]=1)*(PlayerGameData[PLAYER, '#]=$A$1)*(PlayerGameData[Opponent]=$F208)*(PlayerGameData[Date]=$G208)*(PlayerGameData[START]))</f>
        <v>0</v>
      </c>
      <c r="C20" s="252" cm="1">
        <f t="array" aca="1" ref="C20" ca="1">SUMPRODUCT((PlayerGameData[Pvisible]=1)*(PlayerGameData[PLAYER, '#]=$A$1)*(PlayerGameData[Opponent]=$F208)*(PlayerGameData[Date]=$G208)*(PlayerGameData[GP]))</f>
        <v>0</v>
      </c>
      <c r="D20" s="252" cm="1">
        <f t="array" aca="1" ref="D20" ca="1">SUMPRODUCT((PlayerGameData[Pvisible]=1)*(PlayerGameData[PLAYER, '#]=$A$1)*(PlayerGameData[Opponent]=$F208)*(PlayerGameData[Date]=$G208)*(PlayerGameData[MINUTES]))</f>
        <v>0</v>
      </c>
      <c r="E20" s="253" cm="1">
        <f t="array" aca="1" ref="E20" ca="1">SUMPRODUCT((PlayerGameData[Pvisible]=1)*(PlayerGameData[PLAYER, '#]=$A$1)*(PlayerGameData[Opponent]=$F208)*(PlayerGameData[Date]=$G208)*(PlayerGameData[3FGM]))</f>
        <v>0</v>
      </c>
      <c r="F20" s="254" cm="1">
        <f t="array" aca="1" ref="F20" ca="1">SUMPRODUCT((PlayerGameData[Pvisible]=1)*(PlayerGameData[PLAYER, '#]=$A$1)*(PlayerGameData[Opponent]=$F208)*(PlayerGameData[Date]=$G208)*(PlayerGameData[3FGA]))</f>
        <v>0</v>
      </c>
      <c r="G20" s="253" cm="1">
        <f t="array" aca="1" ref="G20" ca="1">SUMPRODUCT((PlayerGameData[Pvisible]=1)*(PlayerGameData[PLAYER, '#]=$A$1)*(PlayerGameData[Opponent]=$F208)*(PlayerGameData[Date]=$G208)*(PlayerGameData[2FGM]))</f>
        <v>0</v>
      </c>
      <c r="H20" s="254" cm="1">
        <f t="array" aca="1" ref="H20" ca="1">SUMPRODUCT((PlayerGameData[Pvisible]=1)*(PlayerGameData[PLAYER, '#]=$A$1)*(PlayerGameData[Opponent]=$F208)*(PlayerGameData[Date]=$G208)*(PlayerGameData[2FGA]))</f>
        <v>0</v>
      </c>
      <c r="I20" s="253" cm="1">
        <f t="array" aca="1" ref="I20" ca="1">SUMPRODUCT((PlayerGameData[Pvisible]=1)*(PlayerGameData[PLAYER, '#]=$A$1)*(PlayerGameData[Opponent]=$F208)*(PlayerGameData[Date]=$G208)*(PlayerGameData[FTM]))</f>
        <v>0</v>
      </c>
      <c r="J20" s="254" cm="1">
        <f t="array" aca="1" ref="J20" ca="1">SUMPRODUCT((PlayerGameData[Pvisible]=1)*(PlayerGameData[PLAYER, '#]=$A$1)*(PlayerGameData[Opponent]=$F208)*(PlayerGameData[Date]=$G208)*(PlayerGameData[FTA]))</f>
        <v>0</v>
      </c>
      <c r="K20" s="253" cm="1">
        <f t="array" aca="1" ref="K20" ca="1">SUMPRODUCT((PlayerGameData[Pvisible]=1)*(PlayerGameData[PLAYER, '#]=$A$1)*(PlayerGameData[Opponent]=$F208)*(PlayerGameData[Date]=$G208)*(PlayerGameData[OFF REB]))</f>
        <v>0</v>
      </c>
      <c r="L20" s="254" cm="1">
        <f t="array" aca="1" ref="L20" ca="1">SUMPRODUCT((PlayerGameData[Pvisible]=1)*(PlayerGameData[PLAYER, '#]=$A$1)*(PlayerGameData[Opponent]=$F208)*(PlayerGameData[Date]=$G208)*(PlayerGameData[DEF REB]))</f>
        <v>0</v>
      </c>
      <c r="M20" s="254">
        <f t="shared" ca="1" si="2"/>
        <v>0</v>
      </c>
      <c r="N20" s="253" cm="1">
        <f t="array" aca="1" ref="N20" ca="1">SUMPRODUCT((PlayerGameData[Pvisible]=1)*(PlayerGameData[PLAYER, '#]=$A$1)*(PlayerGameData[Opponent]=$F208)*(PlayerGameData[Date]=$G208)*(PlayerGameData[AST]))</f>
        <v>0</v>
      </c>
      <c r="O20" s="254" cm="1">
        <f t="array" aca="1" ref="O20" ca="1">SUMPRODUCT((PlayerGameData[Pvisible]=1)*(PlayerGameData[PLAYER, '#]=$A$1)*(PlayerGameData[Opponent]=$F208)*(PlayerGameData[Date]=$G208)*(PlayerGameData[STL]))</f>
        <v>0</v>
      </c>
      <c r="P20" s="254" cm="1">
        <f t="array" aca="1" ref="P20" ca="1">SUMPRODUCT((PlayerGameData[Pvisible]=1)*(PlayerGameData[PLAYER, '#]=$A$1)*(PlayerGameData[Opponent]=$F208)*(PlayerGameData[Date]=$G208)*(PlayerGameData[BLK]))</f>
        <v>0</v>
      </c>
      <c r="Q20" s="254" cm="1">
        <f t="array" aca="1" ref="Q20" ca="1">SUMPRODUCT((PlayerGameData[Pvisible]=1)*(PlayerGameData[PLAYER, '#]=$A$1)*(PlayerGameData[Opponent]=$F208)*(PlayerGameData[Date]=$G208)*(PlayerGameData[TO]))</f>
        <v>0</v>
      </c>
      <c r="R20" s="254" cm="1">
        <f t="array" aca="1" ref="R20" ca="1">SUMPRODUCT((PlayerGameData[Pvisible]=1)*(PlayerGameData[PLAYER, '#]=$A$1)*(PlayerGameData[Opponent]=$F208)*(PlayerGameData[Date]=$G208)*(PlayerGameData[FOUL]))</f>
        <v>0</v>
      </c>
      <c r="S20" s="254" cm="1">
        <f t="array" aca="1" ref="S20" ca="1">SUMPRODUCT((PlayerGameData[Pvisible]=1)*(PlayerGameData[PLAYER, '#]=$A$1)*(PlayerGameData[Opponent]=$F208)*(PlayerGameData[Date]=$G208)*(PlayerGameData[CHRG TKN]))</f>
        <v>0</v>
      </c>
      <c r="T20" s="255">
        <f t="shared" ca="1" si="3"/>
        <v>0</v>
      </c>
      <c r="U20" s="206" t="str">
        <f t="shared" ca="1" si="4"/>
        <v/>
      </c>
      <c r="V20" s="206" t="str">
        <f t="shared" ca="1" si="5"/>
        <v/>
      </c>
      <c r="W20" s="206" t="str">
        <f t="shared" ca="1" si="6"/>
        <v/>
      </c>
      <c r="X20" s="206" t="str">
        <f t="shared" ca="1" si="7"/>
        <v/>
      </c>
      <c r="Y20" s="213" t="str">
        <f t="shared" ca="1" si="8"/>
        <v/>
      </c>
      <c r="Z20" s="184"/>
      <c r="AA20" s="184"/>
      <c r="AB20" s="184"/>
      <c r="AC20" s="184"/>
      <c r="AD20" s="184"/>
      <c r="AE20" s="184"/>
      <c r="AF20" s="184"/>
      <c r="AG20" s="184"/>
      <c r="AH20" s="184"/>
    </row>
    <row r="21" spans="1:34" s="18" customFormat="1" ht="15.6" x14ac:dyDescent="0.35">
      <c r="A21" s="360" t="str">
        <f t="shared" ca="1" si="1"/>
        <v>Hulett 2/17/2023</v>
      </c>
      <c r="B21" s="256" cm="1">
        <f t="array" aca="1" ref="B21" ca="1">SUMPRODUCT((PlayerGameData[Pvisible]=1)*(PlayerGameData[PLAYER, '#]=$A$1)*(PlayerGameData[Opponent]=$F209)*(PlayerGameData[Date]=$G209)*(PlayerGameData[START]))</f>
        <v>0</v>
      </c>
      <c r="C21" s="256" cm="1">
        <f t="array" aca="1" ref="C21" ca="1">SUMPRODUCT((PlayerGameData[Pvisible]=1)*(PlayerGameData[PLAYER, '#]=$A$1)*(PlayerGameData[Opponent]=$F209)*(PlayerGameData[Date]=$G209)*(PlayerGameData[GP]))</f>
        <v>0</v>
      </c>
      <c r="D21" s="256" cm="1">
        <f t="array" aca="1" ref="D21" ca="1">SUMPRODUCT((PlayerGameData[Pvisible]=1)*(PlayerGameData[PLAYER, '#]=$A$1)*(PlayerGameData[Opponent]=$F209)*(PlayerGameData[Date]=$G209)*(PlayerGameData[MINUTES]))</f>
        <v>0</v>
      </c>
      <c r="E21" s="257" cm="1">
        <f t="array" aca="1" ref="E21" ca="1">SUMPRODUCT((PlayerGameData[Pvisible]=1)*(PlayerGameData[PLAYER, '#]=$A$1)*(PlayerGameData[Opponent]=$F209)*(PlayerGameData[Date]=$G209)*(PlayerGameData[3FGM]))</f>
        <v>0</v>
      </c>
      <c r="F21" s="258" cm="1">
        <f t="array" aca="1" ref="F21" ca="1">SUMPRODUCT((PlayerGameData[Pvisible]=1)*(PlayerGameData[PLAYER, '#]=$A$1)*(PlayerGameData[Opponent]=$F209)*(PlayerGameData[Date]=$G209)*(PlayerGameData[3FGA]))</f>
        <v>0</v>
      </c>
      <c r="G21" s="257" cm="1">
        <f t="array" aca="1" ref="G21" ca="1">SUMPRODUCT((PlayerGameData[Pvisible]=1)*(PlayerGameData[PLAYER, '#]=$A$1)*(PlayerGameData[Opponent]=$F209)*(PlayerGameData[Date]=$G209)*(PlayerGameData[2FGM]))</f>
        <v>0</v>
      </c>
      <c r="H21" s="258" cm="1">
        <f t="array" aca="1" ref="H21" ca="1">SUMPRODUCT((PlayerGameData[Pvisible]=1)*(PlayerGameData[PLAYER, '#]=$A$1)*(PlayerGameData[Opponent]=$F209)*(PlayerGameData[Date]=$G209)*(PlayerGameData[2FGA]))</f>
        <v>0</v>
      </c>
      <c r="I21" s="257" cm="1">
        <f t="array" aca="1" ref="I21" ca="1">SUMPRODUCT((PlayerGameData[Pvisible]=1)*(PlayerGameData[PLAYER, '#]=$A$1)*(PlayerGameData[Opponent]=$F209)*(PlayerGameData[Date]=$G209)*(PlayerGameData[FTM]))</f>
        <v>0</v>
      </c>
      <c r="J21" s="258" cm="1">
        <f t="array" aca="1" ref="J21" ca="1">SUMPRODUCT((PlayerGameData[Pvisible]=1)*(PlayerGameData[PLAYER, '#]=$A$1)*(PlayerGameData[Opponent]=$F209)*(PlayerGameData[Date]=$G209)*(PlayerGameData[FTA]))</f>
        <v>0</v>
      </c>
      <c r="K21" s="257" cm="1">
        <f t="array" aca="1" ref="K21" ca="1">SUMPRODUCT((PlayerGameData[Pvisible]=1)*(PlayerGameData[PLAYER, '#]=$A$1)*(PlayerGameData[Opponent]=$F209)*(PlayerGameData[Date]=$G209)*(PlayerGameData[OFF REB]))</f>
        <v>0</v>
      </c>
      <c r="L21" s="258" cm="1">
        <f t="array" aca="1" ref="L21" ca="1">SUMPRODUCT((PlayerGameData[Pvisible]=1)*(PlayerGameData[PLAYER, '#]=$A$1)*(PlayerGameData[Opponent]=$F209)*(PlayerGameData[Date]=$G209)*(PlayerGameData[DEF REB]))</f>
        <v>0</v>
      </c>
      <c r="M21" s="258">
        <f t="shared" ca="1" si="2"/>
        <v>0</v>
      </c>
      <c r="N21" s="257" cm="1">
        <f t="array" aca="1" ref="N21" ca="1">SUMPRODUCT((PlayerGameData[Pvisible]=1)*(PlayerGameData[PLAYER, '#]=$A$1)*(PlayerGameData[Opponent]=$F209)*(PlayerGameData[Date]=$G209)*(PlayerGameData[AST]))</f>
        <v>0</v>
      </c>
      <c r="O21" s="258" cm="1">
        <f t="array" aca="1" ref="O21" ca="1">SUMPRODUCT((PlayerGameData[Pvisible]=1)*(PlayerGameData[PLAYER, '#]=$A$1)*(PlayerGameData[Opponent]=$F209)*(PlayerGameData[Date]=$G209)*(PlayerGameData[STL]))</f>
        <v>0</v>
      </c>
      <c r="P21" s="258" cm="1">
        <f t="array" aca="1" ref="P21" ca="1">SUMPRODUCT((PlayerGameData[Pvisible]=1)*(PlayerGameData[PLAYER, '#]=$A$1)*(PlayerGameData[Opponent]=$F209)*(PlayerGameData[Date]=$G209)*(PlayerGameData[BLK]))</f>
        <v>0</v>
      </c>
      <c r="Q21" s="258" cm="1">
        <f t="array" aca="1" ref="Q21" ca="1">SUMPRODUCT((PlayerGameData[Pvisible]=1)*(PlayerGameData[PLAYER, '#]=$A$1)*(PlayerGameData[Opponent]=$F209)*(PlayerGameData[Date]=$G209)*(PlayerGameData[TO]))</f>
        <v>0</v>
      </c>
      <c r="R21" s="258" cm="1">
        <f t="array" aca="1" ref="R21" ca="1">SUMPRODUCT((PlayerGameData[Pvisible]=1)*(PlayerGameData[PLAYER, '#]=$A$1)*(PlayerGameData[Opponent]=$F209)*(PlayerGameData[Date]=$G209)*(PlayerGameData[FOUL]))</f>
        <v>0</v>
      </c>
      <c r="S21" s="258" cm="1">
        <f t="array" aca="1" ref="S21" ca="1">SUMPRODUCT((PlayerGameData[Pvisible]=1)*(PlayerGameData[PLAYER, '#]=$A$1)*(PlayerGameData[Opponent]=$F209)*(PlayerGameData[Date]=$G209)*(PlayerGameData[CHRG TKN]))</f>
        <v>0</v>
      </c>
      <c r="T21" s="259">
        <f t="shared" ca="1" si="3"/>
        <v>0</v>
      </c>
      <c r="U21" s="193" t="str">
        <f t="shared" ca="1" si="4"/>
        <v/>
      </c>
      <c r="V21" s="193" t="str">
        <f t="shared" ca="1" si="5"/>
        <v/>
      </c>
      <c r="W21" s="193" t="str">
        <f t="shared" ca="1" si="6"/>
        <v/>
      </c>
      <c r="X21" s="193" t="str">
        <f t="shared" ca="1" si="7"/>
        <v/>
      </c>
      <c r="Y21" s="194" t="str">
        <f t="shared" ca="1" si="8"/>
        <v/>
      </c>
      <c r="Z21" s="184"/>
      <c r="AA21" s="184"/>
      <c r="AB21" s="184"/>
      <c r="AC21" s="184"/>
      <c r="AD21" s="184"/>
      <c r="AE21" s="184"/>
      <c r="AF21" s="184"/>
      <c r="AG21" s="184"/>
      <c r="AH21" s="184"/>
    </row>
    <row r="22" spans="1:34" s="18" customFormat="1" ht="15.6" x14ac:dyDescent="0.35">
      <c r="A22" s="359" t="str">
        <f t="shared" ca="1" si="1"/>
        <v>Wright 2/18/2023</v>
      </c>
      <c r="B22" s="252" cm="1">
        <f t="array" aca="1" ref="B22" ca="1">SUMPRODUCT((PlayerGameData[Pvisible]=1)*(PlayerGameData[PLAYER, '#]=$A$1)*(PlayerGameData[Opponent]=$F210)*(PlayerGameData[Date]=$G210)*(PlayerGameData[START]))</f>
        <v>0</v>
      </c>
      <c r="C22" s="252" cm="1">
        <f t="array" aca="1" ref="C22" ca="1">SUMPRODUCT((PlayerGameData[Pvisible]=1)*(PlayerGameData[PLAYER, '#]=$A$1)*(PlayerGameData[Opponent]=$F210)*(PlayerGameData[Date]=$G210)*(PlayerGameData[GP]))</f>
        <v>0</v>
      </c>
      <c r="D22" s="252" cm="1">
        <f t="array" aca="1" ref="D22" ca="1">SUMPRODUCT((PlayerGameData[Pvisible]=1)*(PlayerGameData[PLAYER, '#]=$A$1)*(PlayerGameData[Opponent]=$F210)*(PlayerGameData[Date]=$G210)*(PlayerGameData[MINUTES]))</f>
        <v>0</v>
      </c>
      <c r="E22" s="253" cm="1">
        <f t="array" aca="1" ref="E22" ca="1">SUMPRODUCT((PlayerGameData[Pvisible]=1)*(PlayerGameData[PLAYER, '#]=$A$1)*(PlayerGameData[Opponent]=$F210)*(PlayerGameData[Date]=$G210)*(PlayerGameData[3FGM]))</f>
        <v>0</v>
      </c>
      <c r="F22" s="254" cm="1">
        <f t="array" aca="1" ref="F22" ca="1">SUMPRODUCT((PlayerGameData[Pvisible]=1)*(PlayerGameData[PLAYER, '#]=$A$1)*(PlayerGameData[Opponent]=$F210)*(PlayerGameData[Date]=$G210)*(PlayerGameData[3FGA]))</f>
        <v>0</v>
      </c>
      <c r="G22" s="253" cm="1">
        <f t="array" aca="1" ref="G22" ca="1">SUMPRODUCT((PlayerGameData[Pvisible]=1)*(PlayerGameData[PLAYER, '#]=$A$1)*(PlayerGameData[Opponent]=$F210)*(PlayerGameData[Date]=$G210)*(PlayerGameData[2FGM]))</f>
        <v>0</v>
      </c>
      <c r="H22" s="254" cm="1">
        <f t="array" aca="1" ref="H22" ca="1">SUMPRODUCT((PlayerGameData[Pvisible]=1)*(PlayerGameData[PLAYER, '#]=$A$1)*(PlayerGameData[Opponent]=$F210)*(PlayerGameData[Date]=$G210)*(PlayerGameData[2FGA]))</f>
        <v>0</v>
      </c>
      <c r="I22" s="253" cm="1">
        <f t="array" aca="1" ref="I22" ca="1">SUMPRODUCT((PlayerGameData[Pvisible]=1)*(PlayerGameData[PLAYER, '#]=$A$1)*(PlayerGameData[Opponent]=$F210)*(PlayerGameData[Date]=$G210)*(PlayerGameData[FTM]))</f>
        <v>0</v>
      </c>
      <c r="J22" s="254" cm="1">
        <f t="array" aca="1" ref="J22" ca="1">SUMPRODUCT((PlayerGameData[Pvisible]=1)*(PlayerGameData[PLAYER, '#]=$A$1)*(PlayerGameData[Opponent]=$F210)*(PlayerGameData[Date]=$G210)*(PlayerGameData[FTA]))</f>
        <v>0</v>
      </c>
      <c r="K22" s="253" cm="1">
        <f t="array" aca="1" ref="K22" ca="1">SUMPRODUCT((PlayerGameData[Pvisible]=1)*(PlayerGameData[PLAYER, '#]=$A$1)*(PlayerGameData[Opponent]=$F210)*(PlayerGameData[Date]=$G210)*(PlayerGameData[OFF REB]))</f>
        <v>0</v>
      </c>
      <c r="L22" s="254" cm="1">
        <f t="array" aca="1" ref="L22" ca="1">SUMPRODUCT((PlayerGameData[Pvisible]=1)*(PlayerGameData[PLAYER, '#]=$A$1)*(PlayerGameData[Opponent]=$F210)*(PlayerGameData[Date]=$G210)*(PlayerGameData[DEF REB]))</f>
        <v>0</v>
      </c>
      <c r="M22" s="254">
        <f t="shared" ca="1" si="2"/>
        <v>0</v>
      </c>
      <c r="N22" s="253" cm="1">
        <f t="array" aca="1" ref="N22" ca="1">SUMPRODUCT((PlayerGameData[Pvisible]=1)*(PlayerGameData[PLAYER, '#]=$A$1)*(PlayerGameData[Opponent]=$F210)*(PlayerGameData[Date]=$G210)*(PlayerGameData[AST]))</f>
        <v>0</v>
      </c>
      <c r="O22" s="254" cm="1">
        <f t="array" aca="1" ref="O22" ca="1">SUMPRODUCT((PlayerGameData[Pvisible]=1)*(PlayerGameData[PLAYER, '#]=$A$1)*(PlayerGameData[Opponent]=$F210)*(PlayerGameData[Date]=$G210)*(PlayerGameData[STL]))</f>
        <v>0</v>
      </c>
      <c r="P22" s="254" cm="1">
        <f t="array" aca="1" ref="P22" ca="1">SUMPRODUCT((PlayerGameData[Pvisible]=1)*(PlayerGameData[PLAYER, '#]=$A$1)*(PlayerGameData[Opponent]=$F210)*(PlayerGameData[Date]=$G210)*(PlayerGameData[BLK]))</f>
        <v>0</v>
      </c>
      <c r="Q22" s="254" cm="1">
        <f t="array" aca="1" ref="Q22" ca="1">SUMPRODUCT((PlayerGameData[Pvisible]=1)*(PlayerGameData[PLAYER, '#]=$A$1)*(PlayerGameData[Opponent]=$F210)*(PlayerGameData[Date]=$G210)*(PlayerGameData[TO]))</f>
        <v>0</v>
      </c>
      <c r="R22" s="254" cm="1">
        <f t="array" aca="1" ref="R22" ca="1">SUMPRODUCT((PlayerGameData[Pvisible]=1)*(PlayerGameData[PLAYER, '#]=$A$1)*(PlayerGameData[Opponent]=$F210)*(PlayerGameData[Date]=$G210)*(PlayerGameData[FOUL]))</f>
        <v>0</v>
      </c>
      <c r="S22" s="254" cm="1">
        <f t="array" aca="1" ref="S22" ca="1">SUMPRODUCT((PlayerGameData[Pvisible]=1)*(PlayerGameData[PLAYER, '#]=$A$1)*(PlayerGameData[Opponent]=$F210)*(PlayerGameData[Date]=$G210)*(PlayerGameData[CHRG TKN]))</f>
        <v>0</v>
      </c>
      <c r="T22" s="255">
        <f t="shared" ca="1" si="3"/>
        <v>0</v>
      </c>
      <c r="U22" s="206" t="str">
        <f t="shared" ca="1" si="4"/>
        <v/>
      </c>
      <c r="V22" s="206" t="str">
        <f t="shared" ca="1" si="5"/>
        <v/>
      </c>
      <c r="W22" s="206" t="str">
        <f t="shared" ca="1" si="6"/>
        <v/>
      </c>
      <c r="X22" s="206" t="str">
        <f t="shared" ca="1" si="7"/>
        <v/>
      </c>
      <c r="Y22" s="213" t="str">
        <f t="shared" ca="1" si="8"/>
        <v/>
      </c>
      <c r="Z22" s="184"/>
      <c r="AA22" s="184"/>
      <c r="AB22" s="184"/>
      <c r="AC22" s="184"/>
      <c r="AD22" s="184"/>
      <c r="AE22" s="184"/>
      <c r="AF22" s="184"/>
      <c r="AG22" s="184"/>
      <c r="AH22" s="184"/>
    </row>
    <row r="23" spans="1:34" s="18" customFormat="1" ht="16.5" x14ac:dyDescent="0.3">
      <c r="A23" s="360" t="str">
        <f t="shared" ca="1" si="1"/>
        <v>Rock River 2/23/2023</v>
      </c>
      <c r="B23" s="256" cm="1">
        <f t="array" aca="1" ref="B23" ca="1">SUMPRODUCT((PlayerGameData[Pvisible]=1)*(PlayerGameData[PLAYER, '#]=$A$1)*(PlayerGameData[Opponent]=$F211)*(PlayerGameData[Date]=$G211)*(PlayerGameData[START]))</f>
        <v>0</v>
      </c>
      <c r="C23" s="256" cm="1">
        <f t="array" aca="1" ref="C23" ca="1">SUMPRODUCT((PlayerGameData[Pvisible]=1)*(PlayerGameData[PLAYER, '#]=$A$1)*(PlayerGameData[Opponent]=$F211)*(PlayerGameData[Date]=$G211)*(PlayerGameData[GP]))</f>
        <v>0</v>
      </c>
      <c r="D23" s="256" cm="1">
        <f t="array" aca="1" ref="D23" ca="1">SUMPRODUCT((PlayerGameData[Pvisible]=1)*(PlayerGameData[PLAYER, '#]=$A$1)*(PlayerGameData[Opponent]=$F211)*(PlayerGameData[Date]=$G211)*(PlayerGameData[MINUTES]))</f>
        <v>0</v>
      </c>
      <c r="E23" s="257" cm="1">
        <f t="array" aca="1" ref="E23" ca="1">SUMPRODUCT((PlayerGameData[Pvisible]=1)*(PlayerGameData[PLAYER, '#]=$A$1)*(PlayerGameData[Opponent]=$F211)*(PlayerGameData[Date]=$G211)*(PlayerGameData[3FGM]))</f>
        <v>0</v>
      </c>
      <c r="F23" s="258" cm="1">
        <f t="array" aca="1" ref="F23" ca="1">SUMPRODUCT((PlayerGameData[Pvisible]=1)*(PlayerGameData[PLAYER, '#]=$A$1)*(PlayerGameData[Opponent]=$F211)*(PlayerGameData[Date]=$G211)*(PlayerGameData[3FGA]))</f>
        <v>0</v>
      </c>
      <c r="G23" s="257" cm="1">
        <f t="array" aca="1" ref="G23" ca="1">SUMPRODUCT((PlayerGameData[Pvisible]=1)*(PlayerGameData[PLAYER, '#]=$A$1)*(PlayerGameData[Opponent]=$F211)*(PlayerGameData[Date]=$G211)*(PlayerGameData[2FGM]))</f>
        <v>0</v>
      </c>
      <c r="H23" s="258" cm="1">
        <f t="array" aca="1" ref="H23" ca="1">SUMPRODUCT((PlayerGameData[Pvisible]=1)*(PlayerGameData[PLAYER, '#]=$A$1)*(PlayerGameData[Opponent]=$F211)*(PlayerGameData[Date]=$G211)*(PlayerGameData[2FGA]))</f>
        <v>0</v>
      </c>
      <c r="I23" s="257" cm="1">
        <f t="array" aca="1" ref="I23" ca="1">SUMPRODUCT((PlayerGameData[Pvisible]=1)*(PlayerGameData[PLAYER, '#]=$A$1)*(PlayerGameData[Opponent]=$F211)*(PlayerGameData[Date]=$G211)*(PlayerGameData[FTM]))</f>
        <v>0</v>
      </c>
      <c r="J23" s="258" cm="1">
        <f t="array" aca="1" ref="J23" ca="1">SUMPRODUCT((PlayerGameData[Pvisible]=1)*(PlayerGameData[PLAYER, '#]=$A$1)*(PlayerGameData[Opponent]=$F211)*(PlayerGameData[Date]=$G211)*(PlayerGameData[FTA]))</f>
        <v>0</v>
      </c>
      <c r="K23" s="257" cm="1">
        <f t="array" aca="1" ref="K23" ca="1">SUMPRODUCT((PlayerGameData[Pvisible]=1)*(PlayerGameData[PLAYER, '#]=$A$1)*(PlayerGameData[Opponent]=$F211)*(PlayerGameData[Date]=$G211)*(PlayerGameData[OFF REB]))</f>
        <v>0</v>
      </c>
      <c r="L23" s="258" cm="1">
        <f t="array" aca="1" ref="L23" ca="1">SUMPRODUCT((PlayerGameData[Pvisible]=1)*(PlayerGameData[PLAYER, '#]=$A$1)*(PlayerGameData[Opponent]=$F211)*(PlayerGameData[Date]=$G211)*(PlayerGameData[DEF REB]))</f>
        <v>0</v>
      </c>
      <c r="M23" s="258">
        <f t="shared" ca="1" si="2"/>
        <v>0</v>
      </c>
      <c r="N23" s="257" cm="1">
        <f t="array" aca="1" ref="N23" ca="1">SUMPRODUCT((PlayerGameData[Pvisible]=1)*(PlayerGameData[PLAYER, '#]=$A$1)*(PlayerGameData[Opponent]=$F211)*(PlayerGameData[Date]=$G211)*(PlayerGameData[AST]))</f>
        <v>0</v>
      </c>
      <c r="O23" s="258" cm="1">
        <f t="array" aca="1" ref="O23" ca="1">SUMPRODUCT((PlayerGameData[Pvisible]=1)*(PlayerGameData[PLAYER, '#]=$A$1)*(PlayerGameData[Opponent]=$F211)*(PlayerGameData[Date]=$G211)*(PlayerGameData[STL]))</f>
        <v>0</v>
      </c>
      <c r="P23" s="258" cm="1">
        <f t="array" aca="1" ref="P23" ca="1">SUMPRODUCT((PlayerGameData[Pvisible]=1)*(PlayerGameData[PLAYER, '#]=$A$1)*(PlayerGameData[Opponent]=$F211)*(PlayerGameData[Date]=$G211)*(PlayerGameData[BLK]))</f>
        <v>0</v>
      </c>
      <c r="Q23" s="258" cm="1">
        <f t="array" aca="1" ref="Q23" ca="1">SUMPRODUCT((PlayerGameData[Pvisible]=1)*(PlayerGameData[PLAYER, '#]=$A$1)*(PlayerGameData[Opponent]=$F211)*(PlayerGameData[Date]=$G211)*(PlayerGameData[TO]))</f>
        <v>0</v>
      </c>
      <c r="R23" s="258" cm="1">
        <f t="array" aca="1" ref="R23" ca="1">SUMPRODUCT((PlayerGameData[Pvisible]=1)*(PlayerGameData[PLAYER, '#]=$A$1)*(PlayerGameData[Opponent]=$F211)*(PlayerGameData[Date]=$G211)*(PlayerGameData[FOUL]))</f>
        <v>0</v>
      </c>
      <c r="S23" s="258" cm="1">
        <f t="array" aca="1" ref="S23" ca="1">SUMPRODUCT((PlayerGameData[Pvisible]=1)*(PlayerGameData[PLAYER, '#]=$A$1)*(PlayerGameData[Opponent]=$F211)*(PlayerGameData[Date]=$G211)*(PlayerGameData[CHRG TKN]))</f>
        <v>0</v>
      </c>
      <c r="T23" s="259">
        <f t="shared" ca="1" si="3"/>
        <v>0</v>
      </c>
      <c r="U23" s="193" t="str">
        <f t="shared" ca="1" si="4"/>
        <v/>
      </c>
      <c r="V23" s="193" t="str">
        <f t="shared" ca="1" si="5"/>
        <v/>
      </c>
      <c r="W23" s="193" t="str">
        <f t="shared" ca="1" si="6"/>
        <v/>
      </c>
      <c r="X23" s="193" t="str">
        <f t="shared" ca="1" si="7"/>
        <v/>
      </c>
      <c r="Y23" s="194" t="str">
        <f t="shared" ca="1" si="8"/>
        <v/>
      </c>
      <c r="Z23" s="184"/>
      <c r="AA23" s="184"/>
      <c r="AB23" s="184"/>
      <c r="AC23" s="184"/>
      <c r="AD23" s="184"/>
      <c r="AE23" s="184"/>
      <c r="AF23" s="184"/>
      <c r="AG23" s="184"/>
      <c r="AH23" s="184"/>
    </row>
    <row r="24" spans="1:34" s="18" customFormat="1" ht="16.5" x14ac:dyDescent="0.3">
      <c r="A24" s="359" t="str">
        <f t="shared" ca="1" si="1"/>
        <v>Kaycee 2/24/2023</v>
      </c>
      <c r="B24" s="252" cm="1">
        <f t="array" aca="1" ref="B24" ca="1">SUMPRODUCT((PlayerGameData[Pvisible]=1)*(PlayerGameData[PLAYER, '#]=$A$1)*(PlayerGameData[Opponent]=$F212)*(PlayerGameData[Date]=$G212)*(PlayerGameData[START]))</f>
        <v>0</v>
      </c>
      <c r="C24" s="252" cm="1">
        <f t="array" aca="1" ref="C24" ca="1">SUMPRODUCT((PlayerGameData[Pvisible]=1)*(PlayerGameData[PLAYER, '#]=$A$1)*(PlayerGameData[Opponent]=$F212)*(PlayerGameData[Date]=$G212)*(PlayerGameData[GP]))</f>
        <v>0</v>
      </c>
      <c r="D24" s="252" cm="1">
        <f t="array" aca="1" ref="D24" ca="1">SUMPRODUCT((PlayerGameData[Pvisible]=1)*(PlayerGameData[PLAYER, '#]=$A$1)*(PlayerGameData[Opponent]=$F212)*(PlayerGameData[Date]=$G212)*(PlayerGameData[MINUTES]))</f>
        <v>0</v>
      </c>
      <c r="E24" s="253" cm="1">
        <f t="array" aca="1" ref="E24" ca="1">SUMPRODUCT((PlayerGameData[Pvisible]=1)*(PlayerGameData[PLAYER, '#]=$A$1)*(PlayerGameData[Opponent]=$F212)*(PlayerGameData[Date]=$G212)*(PlayerGameData[3FGM]))</f>
        <v>0</v>
      </c>
      <c r="F24" s="254" cm="1">
        <f t="array" aca="1" ref="F24" ca="1">SUMPRODUCT((PlayerGameData[Pvisible]=1)*(PlayerGameData[PLAYER, '#]=$A$1)*(PlayerGameData[Opponent]=$F212)*(PlayerGameData[Date]=$G212)*(PlayerGameData[3FGA]))</f>
        <v>0</v>
      </c>
      <c r="G24" s="253" cm="1">
        <f t="array" aca="1" ref="G24" ca="1">SUMPRODUCT((PlayerGameData[Pvisible]=1)*(PlayerGameData[PLAYER, '#]=$A$1)*(PlayerGameData[Opponent]=$F212)*(PlayerGameData[Date]=$G212)*(PlayerGameData[2FGM]))</f>
        <v>0</v>
      </c>
      <c r="H24" s="254" cm="1">
        <f t="array" aca="1" ref="H24" ca="1">SUMPRODUCT((PlayerGameData[Pvisible]=1)*(PlayerGameData[PLAYER, '#]=$A$1)*(PlayerGameData[Opponent]=$F212)*(PlayerGameData[Date]=$G212)*(PlayerGameData[2FGA]))</f>
        <v>0</v>
      </c>
      <c r="I24" s="253" cm="1">
        <f t="array" aca="1" ref="I24" ca="1">SUMPRODUCT((PlayerGameData[Pvisible]=1)*(PlayerGameData[PLAYER, '#]=$A$1)*(PlayerGameData[Opponent]=$F212)*(PlayerGameData[Date]=$G212)*(PlayerGameData[FTM]))</f>
        <v>0</v>
      </c>
      <c r="J24" s="254" cm="1">
        <f t="array" aca="1" ref="J24" ca="1">SUMPRODUCT((PlayerGameData[Pvisible]=1)*(PlayerGameData[PLAYER, '#]=$A$1)*(PlayerGameData[Opponent]=$F212)*(PlayerGameData[Date]=$G212)*(PlayerGameData[FTA]))</f>
        <v>0</v>
      </c>
      <c r="K24" s="253" cm="1">
        <f t="array" aca="1" ref="K24" ca="1">SUMPRODUCT((PlayerGameData[Pvisible]=1)*(PlayerGameData[PLAYER, '#]=$A$1)*(PlayerGameData[Opponent]=$F212)*(PlayerGameData[Date]=$G212)*(PlayerGameData[OFF REB]))</f>
        <v>0</v>
      </c>
      <c r="L24" s="254" cm="1">
        <f t="array" aca="1" ref="L24" ca="1">SUMPRODUCT((PlayerGameData[Pvisible]=1)*(PlayerGameData[PLAYER, '#]=$A$1)*(PlayerGameData[Opponent]=$F212)*(PlayerGameData[Date]=$G212)*(PlayerGameData[DEF REB]))</f>
        <v>0</v>
      </c>
      <c r="M24" s="254">
        <f t="shared" ca="1" si="2"/>
        <v>0</v>
      </c>
      <c r="N24" s="253" cm="1">
        <f t="array" aca="1" ref="N24" ca="1">SUMPRODUCT((PlayerGameData[Pvisible]=1)*(PlayerGameData[PLAYER, '#]=$A$1)*(PlayerGameData[Opponent]=$F212)*(PlayerGameData[Date]=$G212)*(PlayerGameData[AST]))</f>
        <v>0</v>
      </c>
      <c r="O24" s="254" cm="1">
        <f t="array" aca="1" ref="O24" ca="1">SUMPRODUCT((PlayerGameData[Pvisible]=1)*(PlayerGameData[PLAYER, '#]=$A$1)*(PlayerGameData[Opponent]=$F212)*(PlayerGameData[Date]=$G212)*(PlayerGameData[STL]))</f>
        <v>0</v>
      </c>
      <c r="P24" s="254" cm="1">
        <f t="array" aca="1" ref="P24" ca="1">SUMPRODUCT((PlayerGameData[Pvisible]=1)*(PlayerGameData[PLAYER, '#]=$A$1)*(PlayerGameData[Opponent]=$F212)*(PlayerGameData[Date]=$G212)*(PlayerGameData[BLK]))</f>
        <v>0</v>
      </c>
      <c r="Q24" s="254" cm="1">
        <f t="array" aca="1" ref="Q24" ca="1">SUMPRODUCT((PlayerGameData[Pvisible]=1)*(PlayerGameData[PLAYER, '#]=$A$1)*(PlayerGameData[Opponent]=$F212)*(PlayerGameData[Date]=$G212)*(PlayerGameData[TO]))</f>
        <v>0</v>
      </c>
      <c r="R24" s="254" cm="1">
        <f t="array" aca="1" ref="R24" ca="1">SUMPRODUCT((PlayerGameData[Pvisible]=1)*(PlayerGameData[PLAYER, '#]=$A$1)*(PlayerGameData[Opponent]=$F212)*(PlayerGameData[Date]=$G212)*(PlayerGameData[FOUL]))</f>
        <v>0</v>
      </c>
      <c r="S24" s="254" cm="1">
        <f t="array" aca="1" ref="S24" ca="1">SUMPRODUCT((PlayerGameData[Pvisible]=1)*(PlayerGameData[PLAYER, '#]=$A$1)*(PlayerGameData[Opponent]=$F212)*(PlayerGameData[Date]=$G212)*(PlayerGameData[CHRG TKN]))</f>
        <v>0</v>
      </c>
      <c r="T24" s="255">
        <f t="shared" ca="1" si="3"/>
        <v>0</v>
      </c>
      <c r="U24" s="206" t="str">
        <f t="shared" ca="1" si="4"/>
        <v/>
      </c>
      <c r="V24" s="206" t="str">
        <f t="shared" ca="1" si="5"/>
        <v/>
      </c>
      <c r="W24" s="206" t="str">
        <f t="shared" ca="1" si="6"/>
        <v/>
      </c>
      <c r="X24" s="206" t="str">
        <f t="shared" ca="1" si="7"/>
        <v/>
      </c>
      <c r="Y24" s="213" t="str">
        <f t="shared" ca="1" si="8"/>
        <v/>
      </c>
      <c r="Z24" s="184"/>
      <c r="AA24" s="184"/>
      <c r="AB24" s="184"/>
      <c r="AC24" s="184"/>
      <c r="AD24" s="184"/>
      <c r="AE24" s="184"/>
      <c r="AF24" s="184"/>
      <c r="AG24" s="184"/>
      <c r="AH24" s="184"/>
    </row>
    <row r="25" spans="1:34" s="18" customFormat="1" ht="16.5" x14ac:dyDescent="0.3">
      <c r="A25" s="360" t="str">
        <f t="shared" ca="1" si="1"/>
        <v>Southeast 2/25/2023</v>
      </c>
      <c r="B25" s="256" cm="1">
        <f t="array" aca="1" ref="B25" ca="1">SUMPRODUCT((PlayerGameData[Pvisible]=1)*(PlayerGameData[PLAYER, '#]=$A$1)*(PlayerGameData[Opponent]=$F213)*(PlayerGameData[Date]=$G213)*(PlayerGameData[START]))</f>
        <v>0</v>
      </c>
      <c r="C25" s="256" cm="1">
        <f t="array" aca="1" ref="C25" ca="1">SUMPRODUCT((PlayerGameData[Pvisible]=1)*(PlayerGameData[PLAYER, '#]=$A$1)*(PlayerGameData[Opponent]=$F213)*(PlayerGameData[Date]=$G213)*(PlayerGameData[GP]))</f>
        <v>0</v>
      </c>
      <c r="D25" s="256" cm="1">
        <f t="array" aca="1" ref="D25" ca="1">SUMPRODUCT((PlayerGameData[Pvisible]=1)*(PlayerGameData[PLAYER, '#]=$A$1)*(PlayerGameData[Opponent]=$F213)*(PlayerGameData[Date]=$G213)*(PlayerGameData[MINUTES]))</f>
        <v>0</v>
      </c>
      <c r="E25" s="257" cm="1">
        <f t="array" aca="1" ref="E25" ca="1">SUMPRODUCT((PlayerGameData[Pvisible]=1)*(PlayerGameData[PLAYER, '#]=$A$1)*(PlayerGameData[Opponent]=$F213)*(PlayerGameData[Date]=$G213)*(PlayerGameData[3FGM]))</f>
        <v>0</v>
      </c>
      <c r="F25" s="258" cm="1">
        <f t="array" aca="1" ref="F25" ca="1">SUMPRODUCT((PlayerGameData[Pvisible]=1)*(PlayerGameData[PLAYER, '#]=$A$1)*(PlayerGameData[Opponent]=$F213)*(PlayerGameData[Date]=$G213)*(PlayerGameData[3FGA]))</f>
        <v>0</v>
      </c>
      <c r="G25" s="257" cm="1">
        <f t="array" aca="1" ref="G25" ca="1">SUMPRODUCT((PlayerGameData[Pvisible]=1)*(PlayerGameData[PLAYER, '#]=$A$1)*(PlayerGameData[Opponent]=$F213)*(PlayerGameData[Date]=$G213)*(PlayerGameData[2FGM]))</f>
        <v>0</v>
      </c>
      <c r="H25" s="258" cm="1">
        <f t="array" aca="1" ref="H25" ca="1">SUMPRODUCT((PlayerGameData[Pvisible]=1)*(PlayerGameData[PLAYER, '#]=$A$1)*(PlayerGameData[Opponent]=$F213)*(PlayerGameData[Date]=$G213)*(PlayerGameData[2FGA]))</f>
        <v>0</v>
      </c>
      <c r="I25" s="257" cm="1">
        <f t="array" aca="1" ref="I25" ca="1">SUMPRODUCT((PlayerGameData[Pvisible]=1)*(PlayerGameData[PLAYER, '#]=$A$1)*(PlayerGameData[Opponent]=$F213)*(PlayerGameData[Date]=$G213)*(PlayerGameData[FTM]))</f>
        <v>0</v>
      </c>
      <c r="J25" s="258" cm="1">
        <f t="array" aca="1" ref="J25" ca="1">SUMPRODUCT((PlayerGameData[Pvisible]=1)*(PlayerGameData[PLAYER, '#]=$A$1)*(PlayerGameData[Opponent]=$F213)*(PlayerGameData[Date]=$G213)*(PlayerGameData[FTA]))</f>
        <v>0</v>
      </c>
      <c r="K25" s="257" cm="1">
        <f t="array" aca="1" ref="K25" ca="1">SUMPRODUCT((PlayerGameData[Pvisible]=1)*(PlayerGameData[PLAYER, '#]=$A$1)*(PlayerGameData[Opponent]=$F213)*(PlayerGameData[Date]=$G213)*(PlayerGameData[OFF REB]))</f>
        <v>0</v>
      </c>
      <c r="L25" s="258" cm="1">
        <f t="array" aca="1" ref="L25" ca="1">SUMPRODUCT((PlayerGameData[Pvisible]=1)*(PlayerGameData[PLAYER, '#]=$A$1)*(PlayerGameData[Opponent]=$F213)*(PlayerGameData[Date]=$G213)*(PlayerGameData[DEF REB]))</f>
        <v>0</v>
      </c>
      <c r="M25" s="258">
        <f t="shared" ca="1" si="2"/>
        <v>0</v>
      </c>
      <c r="N25" s="257" cm="1">
        <f t="array" aca="1" ref="N25" ca="1">SUMPRODUCT((PlayerGameData[Pvisible]=1)*(PlayerGameData[PLAYER, '#]=$A$1)*(PlayerGameData[Opponent]=$F213)*(PlayerGameData[Date]=$G213)*(PlayerGameData[AST]))</f>
        <v>0</v>
      </c>
      <c r="O25" s="258" cm="1">
        <f t="array" aca="1" ref="O25" ca="1">SUMPRODUCT((PlayerGameData[Pvisible]=1)*(PlayerGameData[PLAYER, '#]=$A$1)*(PlayerGameData[Opponent]=$F213)*(PlayerGameData[Date]=$G213)*(PlayerGameData[STL]))</f>
        <v>0</v>
      </c>
      <c r="P25" s="258" cm="1">
        <f t="array" aca="1" ref="P25" ca="1">SUMPRODUCT((PlayerGameData[Pvisible]=1)*(PlayerGameData[PLAYER, '#]=$A$1)*(PlayerGameData[Opponent]=$F213)*(PlayerGameData[Date]=$G213)*(PlayerGameData[BLK]))</f>
        <v>0</v>
      </c>
      <c r="Q25" s="258" cm="1">
        <f t="array" aca="1" ref="Q25" ca="1">SUMPRODUCT((PlayerGameData[Pvisible]=1)*(PlayerGameData[PLAYER, '#]=$A$1)*(PlayerGameData[Opponent]=$F213)*(PlayerGameData[Date]=$G213)*(PlayerGameData[TO]))</f>
        <v>0</v>
      </c>
      <c r="R25" s="258" cm="1">
        <f t="array" aca="1" ref="R25" ca="1">SUMPRODUCT((PlayerGameData[Pvisible]=1)*(PlayerGameData[PLAYER, '#]=$A$1)*(PlayerGameData[Opponent]=$F213)*(PlayerGameData[Date]=$G213)*(PlayerGameData[FOUL]))</f>
        <v>0</v>
      </c>
      <c r="S25" s="258" cm="1">
        <f t="array" aca="1" ref="S25" ca="1">SUMPRODUCT((PlayerGameData[Pvisible]=1)*(PlayerGameData[PLAYER, '#]=$A$1)*(PlayerGameData[Opponent]=$F213)*(PlayerGameData[Date]=$G213)*(PlayerGameData[CHRG TKN]))</f>
        <v>0</v>
      </c>
      <c r="T25" s="259">
        <f t="shared" ca="1" si="3"/>
        <v>0</v>
      </c>
      <c r="U25" s="193" t="str">
        <f t="shared" ca="1" si="4"/>
        <v/>
      </c>
      <c r="V25" s="193" t="str">
        <f t="shared" ca="1" si="5"/>
        <v/>
      </c>
      <c r="W25" s="193" t="str">
        <f t="shared" ca="1" si="6"/>
        <v/>
      </c>
      <c r="X25" s="193" t="str">
        <f t="shared" ca="1" si="7"/>
        <v/>
      </c>
      <c r="Y25" s="194" t="str">
        <f t="shared" ca="1" si="8"/>
        <v/>
      </c>
      <c r="Z25" s="184"/>
      <c r="AA25" s="184"/>
      <c r="AB25" s="184"/>
      <c r="AC25" s="184"/>
      <c r="AD25" s="184"/>
      <c r="AE25" s="184"/>
      <c r="AF25" s="184"/>
      <c r="AG25" s="184"/>
      <c r="AH25" s="184"/>
    </row>
    <row r="26" spans="1:34" s="18" customFormat="1" ht="16.5" x14ac:dyDescent="0.3">
      <c r="A26" s="359" t="str">
        <f t="shared" ca="1" si="1"/>
        <v>Farson Eden 3/2/2023</v>
      </c>
      <c r="B26" s="252" cm="1">
        <f t="array" aca="1" ref="B26" ca="1">SUMPRODUCT((PlayerGameData[Pvisible]=1)*(PlayerGameData[PLAYER, '#]=$A$1)*(PlayerGameData[Opponent]=$F214)*(PlayerGameData[Date]=$G214)*(PlayerGameData[START]))</f>
        <v>0</v>
      </c>
      <c r="C26" s="252" cm="1">
        <f t="array" aca="1" ref="C26" ca="1">SUMPRODUCT((PlayerGameData[Pvisible]=1)*(PlayerGameData[PLAYER, '#]=$A$1)*(PlayerGameData[Opponent]=$F214)*(PlayerGameData[Date]=$G214)*(PlayerGameData[GP]))</f>
        <v>0</v>
      </c>
      <c r="D26" s="252" cm="1">
        <f t="array" aca="1" ref="D26" ca="1">SUMPRODUCT((PlayerGameData[Pvisible]=1)*(PlayerGameData[PLAYER, '#]=$A$1)*(PlayerGameData[Opponent]=$F214)*(PlayerGameData[Date]=$G214)*(PlayerGameData[MINUTES]))</f>
        <v>0</v>
      </c>
      <c r="E26" s="253" cm="1">
        <f t="array" aca="1" ref="E26" ca="1">SUMPRODUCT((PlayerGameData[Pvisible]=1)*(PlayerGameData[PLAYER, '#]=$A$1)*(PlayerGameData[Opponent]=$F214)*(PlayerGameData[Date]=$G214)*(PlayerGameData[3FGM]))</f>
        <v>0</v>
      </c>
      <c r="F26" s="254" cm="1">
        <f t="array" aca="1" ref="F26" ca="1">SUMPRODUCT((PlayerGameData[Pvisible]=1)*(PlayerGameData[PLAYER, '#]=$A$1)*(PlayerGameData[Opponent]=$F214)*(PlayerGameData[Date]=$G214)*(PlayerGameData[3FGA]))</f>
        <v>0</v>
      </c>
      <c r="G26" s="253" cm="1">
        <f t="array" aca="1" ref="G26" ca="1">SUMPRODUCT((PlayerGameData[Pvisible]=1)*(PlayerGameData[PLAYER, '#]=$A$1)*(PlayerGameData[Opponent]=$F214)*(PlayerGameData[Date]=$G214)*(PlayerGameData[2FGM]))</f>
        <v>0</v>
      </c>
      <c r="H26" s="254" cm="1">
        <f t="array" aca="1" ref="H26" ca="1">SUMPRODUCT((PlayerGameData[Pvisible]=1)*(PlayerGameData[PLAYER, '#]=$A$1)*(PlayerGameData[Opponent]=$F214)*(PlayerGameData[Date]=$G214)*(PlayerGameData[2FGA]))</f>
        <v>0</v>
      </c>
      <c r="I26" s="253" cm="1">
        <f t="array" aca="1" ref="I26" ca="1">SUMPRODUCT((PlayerGameData[Pvisible]=1)*(PlayerGameData[PLAYER, '#]=$A$1)*(PlayerGameData[Opponent]=$F214)*(PlayerGameData[Date]=$G214)*(PlayerGameData[FTM]))</f>
        <v>0</v>
      </c>
      <c r="J26" s="254" cm="1">
        <f t="array" aca="1" ref="J26" ca="1">SUMPRODUCT((PlayerGameData[Pvisible]=1)*(PlayerGameData[PLAYER, '#]=$A$1)*(PlayerGameData[Opponent]=$F214)*(PlayerGameData[Date]=$G214)*(PlayerGameData[FTA]))</f>
        <v>0</v>
      </c>
      <c r="K26" s="253" cm="1">
        <f t="array" aca="1" ref="K26" ca="1">SUMPRODUCT((PlayerGameData[Pvisible]=1)*(PlayerGameData[PLAYER, '#]=$A$1)*(PlayerGameData[Opponent]=$F214)*(PlayerGameData[Date]=$G214)*(PlayerGameData[OFF REB]))</f>
        <v>0</v>
      </c>
      <c r="L26" s="254" cm="1">
        <f t="array" aca="1" ref="L26" ca="1">SUMPRODUCT((PlayerGameData[Pvisible]=1)*(PlayerGameData[PLAYER, '#]=$A$1)*(PlayerGameData[Opponent]=$F214)*(PlayerGameData[Date]=$G214)*(PlayerGameData[DEF REB]))</f>
        <v>0</v>
      </c>
      <c r="M26" s="254">
        <f t="shared" ca="1" si="2"/>
        <v>0</v>
      </c>
      <c r="N26" s="253" cm="1">
        <f t="array" aca="1" ref="N26" ca="1">SUMPRODUCT((PlayerGameData[Pvisible]=1)*(PlayerGameData[PLAYER, '#]=$A$1)*(PlayerGameData[Opponent]=$F214)*(PlayerGameData[Date]=$G214)*(PlayerGameData[AST]))</f>
        <v>0</v>
      </c>
      <c r="O26" s="254" cm="1">
        <f t="array" aca="1" ref="O26" ca="1">SUMPRODUCT((PlayerGameData[Pvisible]=1)*(PlayerGameData[PLAYER, '#]=$A$1)*(PlayerGameData[Opponent]=$F214)*(PlayerGameData[Date]=$G214)*(PlayerGameData[STL]))</f>
        <v>0</v>
      </c>
      <c r="P26" s="254" cm="1">
        <f t="array" aca="1" ref="P26" ca="1">SUMPRODUCT((PlayerGameData[Pvisible]=1)*(PlayerGameData[PLAYER, '#]=$A$1)*(PlayerGameData[Opponent]=$F214)*(PlayerGameData[Date]=$G214)*(PlayerGameData[BLK]))</f>
        <v>0</v>
      </c>
      <c r="Q26" s="254" cm="1">
        <f t="array" aca="1" ref="Q26" ca="1">SUMPRODUCT((PlayerGameData[Pvisible]=1)*(PlayerGameData[PLAYER, '#]=$A$1)*(PlayerGameData[Opponent]=$F214)*(PlayerGameData[Date]=$G214)*(PlayerGameData[TO]))</f>
        <v>0</v>
      </c>
      <c r="R26" s="254" cm="1">
        <f t="array" aca="1" ref="R26" ca="1">SUMPRODUCT((PlayerGameData[Pvisible]=1)*(PlayerGameData[PLAYER, '#]=$A$1)*(PlayerGameData[Opponent]=$F214)*(PlayerGameData[Date]=$G214)*(PlayerGameData[FOUL]))</f>
        <v>0</v>
      </c>
      <c r="S26" s="254" cm="1">
        <f t="array" aca="1" ref="S26" ca="1">SUMPRODUCT((PlayerGameData[Pvisible]=1)*(PlayerGameData[PLAYER, '#]=$A$1)*(PlayerGameData[Opponent]=$F214)*(PlayerGameData[Date]=$G214)*(PlayerGameData[CHRG TKN]))</f>
        <v>0</v>
      </c>
      <c r="T26" s="255">
        <f t="shared" ca="1" si="3"/>
        <v>0</v>
      </c>
      <c r="U26" s="206" t="str">
        <f t="shared" ca="1" si="4"/>
        <v/>
      </c>
      <c r="V26" s="206" t="str">
        <f t="shared" ca="1" si="5"/>
        <v/>
      </c>
      <c r="W26" s="206" t="str">
        <f t="shared" ca="1" si="6"/>
        <v/>
      </c>
      <c r="X26" s="206" t="str">
        <f t="shared" ca="1" si="7"/>
        <v/>
      </c>
      <c r="Y26" s="213" t="str">
        <f t="shared" ca="1" si="8"/>
        <v/>
      </c>
      <c r="Z26" s="184"/>
      <c r="AA26" s="184"/>
      <c r="AB26" s="184"/>
      <c r="AC26" s="184"/>
      <c r="AD26" s="184"/>
      <c r="AE26" s="184"/>
      <c r="AF26" s="184"/>
      <c r="AG26" s="184"/>
      <c r="AH26" s="184"/>
    </row>
    <row r="27" spans="1:34" s="18" customFormat="1" ht="16.5" x14ac:dyDescent="0.3">
      <c r="A27" s="360" t="str">
        <f t="shared" ca="1" si="1"/>
        <v>Cokeville 3/3/2023</v>
      </c>
      <c r="B27" s="256" cm="1">
        <f t="array" aca="1" ref="B27" ca="1">SUMPRODUCT((PlayerGameData[Pvisible]=1)*(PlayerGameData[PLAYER, '#]=$A$1)*(PlayerGameData[Opponent]=$F215)*(PlayerGameData[Date]=$G215)*(PlayerGameData[START]))</f>
        <v>0</v>
      </c>
      <c r="C27" s="256" cm="1">
        <f t="array" aca="1" ref="C27" ca="1">SUMPRODUCT((PlayerGameData[Pvisible]=1)*(PlayerGameData[PLAYER, '#]=$A$1)*(PlayerGameData[Opponent]=$F215)*(PlayerGameData[Date]=$G215)*(PlayerGameData[GP]))</f>
        <v>0</v>
      </c>
      <c r="D27" s="256" cm="1">
        <f t="array" aca="1" ref="D27" ca="1">SUMPRODUCT((PlayerGameData[Pvisible]=1)*(PlayerGameData[PLAYER, '#]=$A$1)*(PlayerGameData[Opponent]=$F215)*(PlayerGameData[Date]=$G215)*(PlayerGameData[MINUTES]))</f>
        <v>0</v>
      </c>
      <c r="E27" s="257" cm="1">
        <f t="array" aca="1" ref="E27" ca="1">SUMPRODUCT((PlayerGameData[Pvisible]=1)*(PlayerGameData[PLAYER, '#]=$A$1)*(PlayerGameData[Opponent]=$F215)*(PlayerGameData[Date]=$G215)*(PlayerGameData[3FGM]))</f>
        <v>0</v>
      </c>
      <c r="F27" s="258" cm="1">
        <f t="array" aca="1" ref="F27" ca="1">SUMPRODUCT((PlayerGameData[Pvisible]=1)*(PlayerGameData[PLAYER, '#]=$A$1)*(PlayerGameData[Opponent]=$F215)*(PlayerGameData[Date]=$G215)*(PlayerGameData[3FGA]))</f>
        <v>0</v>
      </c>
      <c r="G27" s="257" cm="1">
        <f t="array" aca="1" ref="G27" ca="1">SUMPRODUCT((PlayerGameData[Pvisible]=1)*(PlayerGameData[PLAYER, '#]=$A$1)*(PlayerGameData[Opponent]=$F215)*(PlayerGameData[Date]=$G215)*(PlayerGameData[2FGM]))</f>
        <v>0</v>
      </c>
      <c r="H27" s="258" cm="1">
        <f t="array" aca="1" ref="H27" ca="1">SUMPRODUCT((PlayerGameData[Pvisible]=1)*(PlayerGameData[PLAYER, '#]=$A$1)*(PlayerGameData[Opponent]=$F215)*(PlayerGameData[Date]=$G215)*(PlayerGameData[2FGA]))</f>
        <v>0</v>
      </c>
      <c r="I27" s="257" cm="1">
        <f t="array" aca="1" ref="I27" ca="1">SUMPRODUCT((PlayerGameData[Pvisible]=1)*(PlayerGameData[PLAYER, '#]=$A$1)*(PlayerGameData[Opponent]=$F215)*(PlayerGameData[Date]=$G215)*(PlayerGameData[FTM]))</f>
        <v>0</v>
      </c>
      <c r="J27" s="258" cm="1">
        <f t="array" aca="1" ref="J27" ca="1">SUMPRODUCT((PlayerGameData[Pvisible]=1)*(PlayerGameData[PLAYER, '#]=$A$1)*(PlayerGameData[Opponent]=$F215)*(PlayerGameData[Date]=$G215)*(PlayerGameData[FTA]))</f>
        <v>0</v>
      </c>
      <c r="K27" s="257" cm="1">
        <f t="array" aca="1" ref="K27" ca="1">SUMPRODUCT((PlayerGameData[Pvisible]=1)*(PlayerGameData[PLAYER, '#]=$A$1)*(PlayerGameData[Opponent]=$F215)*(PlayerGameData[Date]=$G215)*(PlayerGameData[OFF REB]))</f>
        <v>0</v>
      </c>
      <c r="L27" s="258" cm="1">
        <f t="array" aca="1" ref="L27" ca="1">SUMPRODUCT((PlayerGameData[Pvisible]=1)*(PlayerGameData[PLAYER, '#]=$A$1)*(PlayerGameData[Opponent]=$F215)*(PlayerGameData[Date]=$G215)*(PlayerGameData[DEF REB]))</f>
        <v>0</v>
      </c>
      <c r="M27" s="258">
        <f t="shared" ca="1" si="2"/>
        <v>0</v>
      </c>
      <c r="N27" s="257" cm="1">
        <f t="array" aca="1" ref="N27" ca="1">SUMPRODUCT((PlayerGameData[Pvisible]=1)*(PlayerGameData[PLAYER, '#]=$A$1)*(PlayerGameData[Opponent]=$F215)*(PlayerGameData[Date]=$G215)*(PlayerGameData[AST]))</f>
        <v>0</v>
      </c>
      <c r="O27" s="258" cm="1">
        <f t="array" aca="1" ref="O27" ca="1">SUMPRODUCT((PlayerGameData[Pvisible]=1)*(PlayerGameData[PLAYER, '#]=$A$1)*(PlayerGameData[Opponent]=$F215)*(PlayerGameData[Date]=$G215)*(PlayerGameData[STL]))</f>
        <v>0</v>
      </c>
      <c r="P27" s="258" cm="1">
        <f t="array" aca="1" ref="P27" ca="1">SUMPRODUCT((PlayerGameData[Pvisible]=1)*(PlayerGameData[PLAYER, '#]=$A$1)*(PlayerGameData[Opponent]=$F215)*(PlayerGameData[Date]=$G215)*(PlayerGameData[BLK]))</f>
        <v>0</v>
      </c>
      <c r="Q27" s="258" cm="1">
        <f t="array" aca="1" ref="Q27" ca="1">SUMPRODUCT((PlayerGameData[Pvisible]=1)*(PlayerGameData[PLAYER, '#]=$A$1)*(PlayerGameData[Opponent]=$F215)*(PlayerGameData[Date]=$G215)*(PlayerGameData[TO]))</f>
        <v>0</v>
      </c>
      <c r="R27" s="258" cm="1">
        <f t="array" aca="1" ref="R27" ca="1">SUMPRODUCT((PlayerGameData[Pvisible]=1)*(PlayerGameData[PLAYER, '#]=$A$1)*(PlayerGameData[Opponent]=$F215)*(PlayerGameData[Date]=$G215)*(PlayerGameData[FOUL]))</f>
        <v>0</v>
      </c>
      <c r="S27" s="258" cm="1">
        <f t="array" aca="1" ref="S27" ca="1">SUMPRODUCT((PlayerGameData[Pvisible]=1)*(PlayerGameData[PLAYER, '#]=$A$1)*(PlayerGameData[Opponent]=$F215)*(PlayerGameData[Date]=$G215)*(PlayerGameData[CHRG TKN]))</f>
        <v>0</v>
      </c>
      <c r="T27" s="259">
        <f t="shared" ca="1" si="3"/>
        <v>0</v>
      </c>
      <c r="U27" s="193" t="str">
        <f t="shared" ca="1" si="4"/>
        <v/>
      </c>
      <c r="V27" s="193" t="str">
        <f t="shared" ca="1" si="5"/>
        <v/>
      </c>
      <c r="W27" s="193" t="str">
        <f t="shared" ca="1" si="6"/>
        <v/>
      </c>
      <c r="X27" s="193" t="str">
        <f t="shared" ca="1" si="7"/>
        <v/>
      </c>
      <c r="Y27" s="194" t="str">
        <f t="shared" ca="1" si="8"/>
        <v/>
      </c>
      <c r="Z27" s="184"/>
      <c r="AA27" s="184"/>
      <c r="AB27" s="184"/>
      <c r="AC27" s="184"/>
      <c r="AD27" s="184"/>
      <c r="AE27" s="184"/>
      <c r="AF27" s="184"/>
      <c r="AG27" s="184"/>
      <c r="AH27" s="184"/>
    </row>
    <row r="28" spans="1:34" s="18" customFormat="1" ht="16.5" x14ac:dyDescent="0.3">
      <c r="A28" s="359" t="str">
        <f t="shared" ca="1" si="1"/>
        <v>Burlington 3/4/2023</v>
      </c>
      <c r="B28" s="252" cm="1">
        <f t="array" aca="1" ref="B28" ca="1">SUMPRODUCT((PlayerGameData[Pvisible]=1)*(PlayerGameData[PLAYER, '#]=$A$1)*(PlayerGameData[Opponent]=$F216)*(PlayerGameData[Date]=$G216)*(PlayerGameData[START]))</f>
        <v>0</v>
      </c>
      <c r="C28" s="252" cm="1">
        <f t="array" aca="1" ref="C28" ca="1">SUMPRODUCT((PlayerGameData[Pvisible]=1)*(PlayerGameData[PLAYER, '#]=$A$1)*(PlayerGameData[Opponent]=$F216)*(PlayerGameData[Date]=$G216)*(PlayerGameData[GP]))</f>
        <v>0</v>
      </c>
      <c r="D28" s="252" cm="1">
        <f t="array" aca="1" ref="D28" ca="1">SUMPRODUCT((PlayerGameData[Pvisible]=1)*(PlayerGameData[PLAYER, '#]=$A$1)*(PlayerGameData[Opponent]=$F216)*(PlayerGameData[Date]=$G216)*(PlayerGameData[MINUTES]))</f>
        <v>0</v>
      </c>
      <c r="E28" s="253" cm="1">
        <f t="array" aca="1" ref="E28" ca="1">SUMPRODUCT((PlayerGameData[Pvisible]=1)*(PlayerGameData[PLAYER, '#]=$A$1)*(PlayerGameData[Opponent]=$F216)*(PlayerGameData[Date]=$G216)*(PlayerGameData[3FGM]))</f>
        <v>0</v>
      </c>
      <c r="F28" s="254" cm="1">
        <f t="array" aca="1" ref="F28" ca="1">SUMPRODUCT((PlayerGameData[Pvisible]=1)*(PlayerGameData[PLAYER, '#]=$A$1)*(PlayerGameData[Opponent]=$F216)*(PlayerGameData[Date]=$G216)*(PlayerGameData[3FGA]))</f>
        <v>0</v>
      </c>
      <c r="G28" s="253" cm="1">
        <f t="array" aca="1" ref="G28" ca="1">SUMPRODUCT((PlayerGameData[Pvisible]=1)*(PlayerGameData[PLAYER, '#]=$A$1)*(PlayerGameData[Opponent]=$F216)*(PlayerGameData[Date]=$G216)*(PlayerGameData[2FGM]))</f>
        <v>0</v>
      </c>
      <c r="H28" s="254" cm="1">
        <f t="array" aca="1" ref="H28" ca="1">SUMPRODUCT((PlayerGameData[Pvisible]=1)*(PlayerGameData[PLAYER, '#]=$A$1)*(PlayerGameData[Opponent]=$F216)*(PlayerGameData[Date]=$G216)*(PlayerGameData[2FGA]))</f>
        <v>0</v>
      </c>
      <c r="I28" s="253" cm="1">
        <f t="array" aca="1" ref="I28" ca="1">SUMPRODUCT((PlayerGameData[Pvisible]=1)*(PlayerGameData[PLAYER, '#]=$A$1)*(PlayerGameData[Opponent]=$F216)*(PlayerGameData[Date]=$G216)*(PlayerGameData[FTM]))</f>
        <v>0</v>
      </c>
      <c r="J28" s="254" cm="1">
        <f t="array" aca="1" ref="J28" ca="1">SUMPRODUCT((PlayerGameData[Pvisible]=1)*(PlayerGameData[PLAYER, '#]=$A$1)*(PlayerGameData[Opponent]=$F216)*(PlayerGameData[Date]=$G216)*(PlayerGameData[FTA]))</f>
        <v>0</v>
      </c>
      <c r="K28" s="253" cm="1">
        <f t="array" aca="1" ref="K28" ca="1">SUMPRODUCT((PlayerGameData[Pvisible]=1)*(PlayerGameData[PLAYER, '#]=$A$1)*(PlayerGameData[Opponent]=$F216)*(PlayerGameData[Date]=$G216)*(PlayerGameData[OFF REB]))</f>
        <v>0</v>
      </c>
      <c r="L28" s="254" cm="1">
        <f t="array" aca="1" ref="L28" ca="1">SUMPRODUCT((PlayerGameData[Pvisible]=1)*(PlayerGameData[PLAYER, '#]=$A$1)*(PlayerGameData[Opponent]=$F216)*(PlayerGameData[Date]=$G216)*(PlayerGameData[DEF REB]))</f>
        <v>0</v>
      </c>
      <c r="M28" s="254">
        <f t="shared" ca="1" si="2"/>
        <v>0</v>
      </c>
      <c r="N28" s="253" cm="1">
        <f t="array" aca="1" ref="N28" ca="1">SUMPRODUCT((PlayerGameData[Pvisible]=1)*(PlayerGameData[PLAYER, '#]=$A$1)*(PlayerGameData[Opponent]=$F216)*(PlayerGameData[Date]=$G216)*(PlayerGameData[AST]))</f>
        <v>0</v>
      </c>
      <c r="O28" s="254" cm="1">
        <f t="array" aca="1" ref="O28" ca="1">SUMPRODUCT((PlayerGameData[Pvisible]=1)*(PlayerGameData[PLAYER, '#]=$A$1)*(PlayerGameData[Opponent]=$F216)*(PlayerGameData[Date]=$G216)*(PlayerGameData[STL]))</f>
        <v>0</v>
      </c>
      <c r="P28" s="254" cm="1">
        <f t="array" aca="1" ref="P28" ca="1">SUMPRODUCT((PlayerGameData[Pvisible]=1)*(PlayerGameData[PLAYER, '#]=$A$1)*(PlayerGameData[Opponent]=$F216)*(PlayerGameData[Date]=$G216)*(PlayerGameData[BLK]))</f>
        <v>0</v>
      </c>
      <c r="Q28" s="254" cm="1">
        <f t="array" aca="1" ref="Q28" ca="1">SUMPRODUCT((PlayerGameData[Pvisible]=1)*(PlayerGameData[PLAYER, '#]=$A$1)*(PlayerGameData[Opponent]=$F216)*(PlayerGameData[Date]=$G216)*(PlayerGameData[TO]))</f>
        <v>0</v>
      </c>
      <c r="R28" s="254" cm="1">
        <f t="array" aca="1" ref="R28" ca="1">SUMPRODUCT((PlayerGameData[Pvisible]=1)*(PlayerGameData[PLAYER, '#]=$A$1)*(PlayerGameData[Opponent]=$F216)*(PlayerGameData[Date]=$G216)*(PlayerGameData[FOUL]))</f>
        <v>0</v>
      </c>
      <c r="S28" s="254" cm="1">
        <f t="array" aca="1" ref="S28" ca="1">SUMPRODUCT((PlayerGameData[Pvisible]=1)*(PlayerGameData[PLAYER, '#]=$A$1)*(PlayerGameData[Opponent]=$F216)*(PlayerGameData[Date]=$G216)*(PlayerGameData[CHRG TKN]))</f>
        <v>0</v>
      </c>
      <c r="T28" s="255">
        <f t="shared" ca="1" si="3"/>
        <v>0</v>
      </c>
      <c r="U28" s="206" t="str">
        <f t="shared" ca="1" si="4"/>
        <v/>
      </c>
      <c r="V28" s="206" t="str">
        <f t="shared" ca="1" si="5"/>
        <v/>
      </c>
      <c r="W28" s="206" t="str">
        <f t="shared" ca="1" si="6"/>
        <v/>
      </c>
      <c r="X28" s="206" t="str">
        <f t="shared" ca="1" si="7"/>
        <v/>
      </c>
      <c r="Y28" s="213" t="str">
        <f t="shared" ca="1" si="8"/>
        <v/>
      </c>
      <c r="Z28" s="184"/>
      <c r="AA28" s="184"/>
      <c r="AB28" s="184"/>
      <c r="AC28" s="184"/>
      <c r="AD28" s="184"/>
      <c r="AE28" s="184"/>
      <c r="AF28" s="184"/>
      <c r="AG28" s="184"/>
      <c r="AH28" s="184"/>
    </row>
    <row r="29" spans="1:34" s="18" customFormat="1" ht="16.5" x14ac:dyDescent="0.3">
      <c r="A29" s="360" t="str">
        <f t="shared" ca="1" si="1"/>
        <v/>
      </c>
      <c r="B29" s="256" cm="1">
        <f t="array" aca="1" ref="B29" ca="1">SUMPRODUCT((PlayerGameData[Pvisible]=1)*(PlayerGameData[PLAYER, '#]=$A$1)*(PlayerGameData[Opponent]=$F217)*(PlayerGameData[Date]=$G217)*(PlayerGameData[START]))</f>
        <v>0</v>
      </c>
      <c r="C29" s="256" cm="1">
        <f t="array" aca="1" ref="C29" ca="1">SUMPRODUCT((PlayerGameData[Pvisible]=1)*(PlayerGameData[PLAYER, '#]=$A$1)*(PlayerGameData[Opponent]=$F217)*(PlayerGameData[Date]=$G217)*(PlayerGameData[GP]))</f>
        <v>0</v>
      </c>
      <c r="D29" s="256" cm="1">
        <f t="array" aca="1" ref="D29" ca="1">SUMPRODUCT((PlayerGameData[Pvisible]=1)*(PlayerGameData[PLAYER, '#]=$A$1)*(PlayerGameData[Opponent]=$F217)*(PlayerGameData[Date]=$G217)*(PlayerGameData[MINUTES]))</f>
        <v>0</v>
      </c>
      <c r="E29" s="257" cm="1">
        <f t="array" aca="1" ref="E29" ca="1">SUMPRODUCT((PlayerGameData[Pvisible]=1)*(PlayerGameData[PLAYER, '#]=$A$1)*(PlayerGameData[Opponent]=$F217)*(PlayerGameData[Date]=$G217)*(PlayerGameData[3FGM]))</f>
        <v>0</v>
      </c>
      <c r="F29" s="258" cm="1">
        <f t="array" aca="1" ref="F29" ca="1">SUMPRODUCT((PlayerGameData[Pvisible]=1)*(PlayerGameData[PLAYER, '#]=$A$1)*(PlayerGameData[Opponent]=$F217)*(PlayerGameData[Date]=$G217)*(PlayerGameData[3FGA]))</f>
        <v>0</v>
      </c>
      <c r="G29" s="257" cm="1">
        <f t="array" aca="1" ref="G29" ca="1">SUMPRODUCT((PlayerGameData[Pvisible]=1)*(PlayerGameData[PLAYER, '#]=$A$1)*(PlayerGameData[Opponent]=$F217)*(PlayerGameData[Date]=$G217)*(PlayerGameData[2FGM]))</f>
        <v>0</v>
      </c>
      <c r="H29" s="258" cm="1">
        <f t="array" aca="1" ref="H29" ca="1">SUMPRODUCT((PlayerGameData[Pvisible]=1)*(PlayerGameData[PLAYER, '#]=$A$1)*(PlayerGameData[Opponent]=$F217)*(PlayerGameData[Date]=$G217)*(PlayerGameData[2FGA]))</f>
        <v>0</v>
      </c>
      <c r="I29" s="257" cm="1">
        <f t="array" aca="1" ref="I29" ca="1">SUMPRODUCT((PlayerGameData[Pvisible]=1)*(PlayerGameData[PLAYER, '#]=$A$1)*(PlayerGameData[Opponent]=$F217)*(PlayerGameData[Date]=$G217)*(PlayerGameData[FTM]))</f>
        <v>0</v>
      </c>
      <c r="J29" s="258" cm="1">
        <f t="array" aca="1" ref="J29" ca="1">SUMPRODUCT((PlayerGameData[Pvisible]=1)*(PlayerGameData[PLAYER, '#]=$A$1)*(PlayerGameData[Opponent]=$F217)*(PlayerGameData[Date]=$G217)*(PlayerGameData[FTA]))</f>
        <v>0</v>
      </c>
      <c r="K29" s="257" cm="1">
        <f t="array" aca="1" ref="K29" ca="1">SUMPRODUCT((PlayerGameData[Pvisible]=1)*(PlayerGameData[PLAYER, '#]=$A$1)*(PlayerGameData[Opponent]=$F217)*(PlayerGameData[Date]=$G217)*(PlayerGameData[OFF REB]))</f>
        <v>0</v>
      </c>
      <c r="L29" s="258" cm="1">
        <f t="array" aca="1" ref="L29" ca="1">SUMPRODUCT((PlayerGameData[Pvisible]=1)*(PlayerGameData[PLAYER, '#]=$A$1)*(PlayerGameData[Opponent]=$F217)*(PlayerGameData[Date]=$G217)*(PlayerGameData[DEF REB]))</f>
        <v>0</v>
      </c>
      <c r="M29" s="258">
        <f t="shared" ca="1" si="2"/>
        <v>0</v>
      </c>
      <c r="N29" s="257" cm="1">
        <f t="array" aca="1" ref="N29" ca="1">SUMPRODUCT((PlayerGameData[Pvisible]=1)*(PlayerGameData[PLAYER, '#]=$A$1)*(PlayerGameData[Opponent]=$F217)*(PlayerGameData[Date]=$G217)*(PlayerGameData[AST]))</f>
        <v>0</v>
      </c>
      <c r="O29" s="258" cm="1">
        <f t="array" aca="1" ref="O29" ca="1">SUMPRODUCT((PlayerGameData[Pvisible]=1)*(PlayerGameData[PLAYER, '#]=$A$1)*(PlayerGameData[Opponent]=$F217)*(PlayerGameData[Date]=$G217)*(PlayerGameData[STL]))</f>
        <v>0</v>
      </c>
      <c r="P29" s="258" cm="1">
        <f t="array" aca="1" ref="P29" ca="1">SUMPRODUCT((PlayerGameData[Pvisible]=1)*(PlayerGameData[PLAYER, '#]=$A$1)*(PlayerGameData[Opponent]=$F217)*(PlayerGameData[Date]=$G217)*(PlayerGameData[BLK]))</f>
        <v>0</v>
      </c>
      <c r="Q29" s="258" cm="1">
        <f t="array" aca="1" ref="Q29" ca="1">SUMPRODUCT((PlayerGameData[Pvisible]=1)*(PlayerGameData[PLAYER, '#]=$A$1)*(PlayerGameData[Opponent]=$F217)*(PlayerGameData[Date]=$G217)*(PlayerGameData[TO]))</f>
        <v>0</v>
      </c>
      <c r="R29" s="258" cm="1">
        <f t="array" aca="1" ref="R29" ca="1">SUMPRODUCT((PlayerGameData[Pvisible]=1)*(PlayerGameData[PLAYER, '#]=$A$1)*(PlayerGameData[Opponent]=$F217)*(PlayerGameData[Date]=$G217)*(PlayerGameData[FOUL]))</f>
        <v>0</v>
      </c>
      <c r="S29" s="258" cm="1">
        <f t="array" aca="1" ref="S29" ca="1">SUMPRODUCT((PlayerGameData[Pvisible]=1)*(PlayerGameData[PLAYER, '#]=$A$1)*(PlayerGameData[Opponent]=$F217)*(PlayerGameData[Date]=$G217)*(PlayerGameData[CHRG TKN]))</f>
        <v>0</v>
      </c>
      <c r="T29" s="259">
        <f t="shared" ca="1" si="3"/>
        <v>0</v>
      </c>
      <c r="U29" s="193" t="str">
        <f t="shared" ca="1" si="4"/>
        <v/>
      </c>
      <c r="V29" s="193" t="str">
        <f t="shared" ca="1" si="5"/>
        <v/>
      </c>
      <c r="W29" s="193" t="str">
        <f t="shared" ca="1" si="6"/>
        <v/>
      </c>
      <c r="X29" s="193" t="str">
        <f t="shared" ca="1" si="7"/>
        <v/>
      </c>
      <c r="Y29" s="194" t="str">
        <f t="shared" ca="1" si="8"/>
        <v/>
      </c>
      <c r="Z29" s="184"/>
      <c r="AA29" s="184"/>
      <c r="AB29" s="184"/>
      <c r="AC29" s="184"/>
      <c r="AD29" s="184"/>
      <c r="AE29" s="184"/>
      <c r="AF29" s="184"/>
      <c r="AG29" s="184"/>
      <c r="AH29" s="184"/>
    </row>
    <row r="30" spans="1:34" s="18" customFormat="1" ht="16.5" x14ac:dyDescent="0.3">
      <c r="A30" s="359" t="str">
        <f t="shared" ca="1" si="1"/>
        <v/>
      </c>
      <c r="B30" s="252" cm="1">
        <f t="array" aca="1" ref="B30" ca="1">SUMPRODUCT((PlayerGameData[Pvisible]=1)*(PlayerGameData[PLAYER, '#]=$A$1)*(PlayerGameData[Opponent]=$F218)*(PlayerGameData[Date]=$G218)*(PlayerGameData[START]))</f>
        <v>0</v>
      </c>
      <c r="C30" s="252" cm="1">
        <f t="array" aca="1" ref="C30" ca="1">SUMPRODUCT((PlayerGameData[Pvisible]=1)*(PlayerGameData[PLAYER, '#]=$A$1)*(PlayerGameData[Opponent]=$F218)*(PlayerGameData[Date]=$G218)*(PlayerGameData[GP]))</f>
        <v>0</v>
      </c>
      <c r="D30" s="252" cm="1">
        <f t="array" aca="1" ref="D30" ca="1">SUMPRODUCT((PlayerGameData[Pvisible]=1)*(PlayerGameData[PLAYER, '#]=$A$1)*(PlayerGameData[Opponent]=$F218)*(PlayerGameData[Date]=$G218)*(PlayerGameData[MINUTES]))</f>
        <v>0</v>
      </c>
      <c r="E30" s="253" cm="1">
        <f t="array" aca="1" ref="E30" ca="1">SUMPRODUCT((PlayerGameData[Pvisible]=1)*(PlayerGameData[PLAYER, '#]=$A$1)*(PlayerGameData[Opponent]=$F218)*(PlayerGameData[Date]=$G218)*(PlayerGameData[3FGM]))</f>
        <v>0</v>
      </c>
      <c r="F30" s="254" cm="1">
        <f t="array" aca="1" ref="F30" ca="1">SUMPRODUCT((PlayerGameData[Pvisible]=1)*(PlayerGameData[PLAYER, '#]=$A$1)*(PlayerGameData[Opponent]=$F218)*(PlayerGameData[Date]=$G218)*(PlayerGameData[3FGA]))</f>
        <v>0</v>
      </c>
      <c r="G30" s="253" cm="1">
        <f t="array" aca="1" ref="G30" ca="1">SUMPRODUCT((PlayerGameData[Pvisible]=1)*(PlayerGameData[PLAYER, '#]=$A$1)*(PlayerGameData[Opponent]=$F218)*(PlayerGameData[Date]=$G218)*(PlayerGameData[2FGM]))</f>
        <v>0</v>
      </c>
      <c r="H30" s="254" cm="1">
        <f t="array" aca="1" ref="H30" ca="1">SUMPRODUCT((PlayerGameData[Pvisible]=1)*(PlayerGameData[PLAYER, '#]=$A$1)*(PlayerGameData[Opponent]=$F218)*(PlayerGameData[Date]=$G218)*(PlayerGameData[2FGA]))</f>
        <v>0</v>
      </c>
      <c r="I30" s="253" cm="1">
        <f t="array" aca="1" ref="I30" ca="1">SUMPRODUCT((PlayerGameData[Pvisible]=1)*(PlayerGameData[PLAYER, '#]=$A$1)*(PlayerGameData[Opponent]=$F218)*(PlayerGameData[Date]=$G218)*(PlayerGameData[FTM]))</f>
        <v>0</v>
      </c>
      <c r="J30" s="254" cm="1">
        <f t="array" aca="1" ref="J30" ca="1">SUMPRODUCT((PlayerGameData[Pvisible]=1)*(PlayerGameData[PLAYER, '#]=$A$1)*(PlayerGameData[Opponent]=$F218)*(PlayerGameData[Date]=$G218)*(PlayerGameData[FTA]))</f>
        <v>0</v>
      </c>
      <c r="K30" s="253" cm="1">
        <f t="array" aca="1" ref="K30" ca="1">SUMPRODUCT((PlayerGameData[Pvisible]=1)*(PlayerGameData[PLAYER, '#]=$A$1)*(PlayerGameData[Opponent]=$F218)*(PlayerGameData[Date]=$G218)*(PlayerGameData[OFF REB]))</f>
        <v>0</v>
      </c>
      <c r="L30" s="254" cm="1">
        <f t="array" aca="1" ref="L30" ca="1">SUMPRODUCT((PlayerGameData[Pvisible]=1)*(PlayerGameData[PLAYER, '#]=$A$1)*(PlayerGameData[Opponent]=$F218)*(PlayerGameData[Date]=$G218)*(PlayerGameData[DEF REB]))</f>
        <v>0</v>
      </c>
      <c r="M30" s="254">
        <f t="shared" ca="1" si="2"/>
        <v>0</v>
      </c>
      <c r="N30" s="253" cm="1">
        <f t="array" aca="1" ref="N30" ca="1">SUMPRODUCT((PlayerGameData[Pvisible]=1)*(PlayerGameData[PLAYER, '#]=$A$1)*(PlayerGameData[Opponent]=$F218)*(PlayerGameData[Date]=$G218)*(PlayerGameData[AST]))</f>
        <v>0</v>
      </c>
      <c r="O30" s="254" cm="1">
        <f t="array" aca="1" ref="O30" ca="1">SUMPRODUCT((PlayerGameData[Pvisible]=1)*(PlayerGameData[PLAYER, '#]=$A$1)*(PlayerGameData[Opponent]=$F218)*(PlayerGameData[Date]=$G218)*(PlayerGameData[STL]))</f>
        <v>0</v>
      </c>
      <c r="P30" s="254" cm="1">
        <f t="array" aca="1" ref="P30" ca="1">SUMPRODUCT((PlayerGameData[Pvisible]=1)*(PlayerGameData[PLAYER, '#]=$A$1)*(PlayerGameData[Opponent]=$F218)*(PlayerGameData[Date]=$G218)*(PlayerGameData[BLK]))</f>
        <v>0</v>
      </c>
      <c r="Q30" s="254" cm="1">
        <f t="array" aca="1" ref="Q30" ca="1">SUMPRODUCT((PlayerGameData[Pvisible]=1)*(PlayerGameData[PLAYER, '#]=$A$1)*(PlayerGameData[Opponent]=$F218)*(PlayerGameData[Date]=$G218)*(PlayerGameData[TO]))</f>
        <v>0</v>
      </c>
      <c r="R30" s="254" cm="1">
        <f t="array" aca="1" ref="R30" ca="1">SUMPRODUCT((PlayerGameData[Pvisible]=1)*(PlayerGameData[PLAYER, '#]=$A$1)*(PlayerGameData[Opponent]=$F218)*(PlayerGameData[Date]=$G218)*(PlayerGameData[FOUL]))</f>
        <v>0</v>
      </c>
      <c r="S30" s="254" cm="1">
        <f t="array" aca="1" ref="S30" ca="1">SUMPRODUCT((PlayerGameData[Pvisible]=1)*(PlayerGameData[PLAYER, '#]=$A$1)*(PlayerGameData[Opponent]=$F218)*(PlayerGameData[Date]=$G218)*(PlayerGameData[CHRG TKN]))</f>
        <v>0</v>
      </c>
      <c r="T30" s="255">
        <f t="shared" ca="1" si="3"/>
        <v>0</v>
      </c>
      <c r="U30" s="206" t="str">
        <f t="shared" ca="1" si="4"/>
        <v/>
      </c>
      <c r="V30" s="206" t="str">
        <f t="shared" ca="1" si="5"/>
        <v/>
      </c>
      <c r="W30" s="206" t="str">
        <f t="shared" ca="1" si="6"/>
        <v/>
      </c>
      <c r="X30" s="206" t="str">
        <f t="shared" ca="1" si="7"/>
        <v/>
      </c>
      <c r="Y30" s="213" t="str">
        <f t="shared" ca="1" si="8"/>
        <v/>
      </c>
      <c r="Z30" s="184"/>
      <c r="AA30" s="184"/>
      <c r="AB30" s="184"/>
      <c r="AC30" s="184"/>
      <c r="AD30" s="184"/>
      <c r="AE30" s="184"/>
      <c r="AF30" s="184"/>
      <c r="AG30" s="184"/>
      <c r="AH30" s="184"/>
    </row>
    <row r="31" spans="1:34" s="18" customFormat="1" ht="16.5" x14ac:dyDescent="0.3">
      <c r="A31" s="360" t="str">
        <f t="shared" ca="1" si="1"/>
        <v/>
      </c>
      <c r="B31" s="256" cm="1">
        <f t="array" aca="1" ref="B31" ca="1">SUMPRODUCT((PlayerGameData[Pvisible]=1)*(PlayerGameData[PLAYER, '#]=$A$1)*(PlayerGameData[Opponent]=$F219)*(PlayerGameData[Date]=$G219)*(PlayerGameData[START]))</f>
        <v>0</v>
      </c>
      <c r="C31" s="256" cm="1">
        <f t="array" aca="1" ref="C31" ca="1">SUMPRODUCT((PlayerGameData[Pvisible]=1)*(PlayerGameData[PLAYER, '#]=$A$1)*(PlayerGameData[Opponent]=$F219)*(PlayerGameData[Date]=$G219)*(PlayerGameData[GP]))</f>
        <v>0</v>
      </c>
      <c r="D31" s="256" cm="1">
        <f t="array" aca="1" ref="D31" ca="1">SUMPRODUCT((PlayerGameData[Pvisible]=1)*(PlayerGameData[PLAYER, '#]=$A$1)*(PlayerGameData[Opponent]=$F219)*(PlayerGameData[Date]=$G219)*(PlayerGameData[MINUTES]))</f>
        <v>0</v>
      </c>
      <c r="E31" s="257" cm="1">
        <f t="array" aca="1" ref="E31" ca="1">SUMPRODUCT((PlayerGameData[Pvisible]=1)*(PlayerGameData[PLAYER, '#]=$A$1)*(PlayerGameData[Opponent]=$F219)*(PlayerGameData[Date]=$G219)*(PlayerGameData[3FGM]))</f>
        <v>0</v>
      </c>
      <c r="F31" s="258" cm="1">
        <f t="array" aca="1" ref="F31" ca="1">SUMPRODUCT((PlayerGameData[Pvisible]=1)*(PlayerGameData[PLAYER, '#]=$A$1)*(PlayerGameData[Opponent]=$F219)*(PlayerGameData[Date]=$G219)*(PlayerGameData[3FGA]))</f>
        <v>0</v>
      </c>
      <c r="G31" s="257" cm="1">
        <f t="array" aca="1" ref="G31" ca="1">SUMPRODUCT((PlayerGameData[Pvisible]=1)*(PlayerGameData[PLAYER, '#]=$A$1)*(PlayerGameData[Opponent]=$F219)*(PlayerGameData[Date]=$G219)*(PlayerGameData[2FGM]))</f>
        <v>0</v>
      </c>
      <c r="H31" s="258" cm="1">
        <f t="array" aca="1" ref="H31" ca="1">SUMPRODUCT((PlayerGameData[Pvisible]=1)*(PlayerGameData[PLAYER, '#]=$A$1)*(PlayerGameData[Opponent]=$F219)*(PlayerGameData[Date]=$G219)*(PlayerGameData[2FGA]))</f>
        <v>0</v>
      </c>
      <c r="I31" s="257" cm="1">
        <f t="array" aca="1" ref="I31" ca="1">SUMPRODUCT((PlayerGameData[Pvisible]=1)*(PlayerGameData[PLAYER, '#]=$A$1)*(PlayerGameData[Opponent]=$F219)*(PlayerGameData[Date]=$G219)*(PlayerGameData[FTM]))</f>
        <v>0</v>
      </c>
      <c r="J31" s="258" cm="1">
        <f t="array" aca="1" ref="J31" ca="1">SUMPRODUCT((PlayerGameData[Pvisible]=1)*(PlayerGameData[PLAYER, '#]=$A$1)*(PlayerGameData[Opponent]=$F219)*(PlayerGameData[Date]=$G219)*(PlayerGameData[FTA]))</f>
        <v>0</v>
      </c>
      <c r="K31" s="257" cm="1">
        <f t="array" aca="1" ref="K31" ca="1">SUMPRODUCT((PlayerGameData[Pvisible]=1)*(PlayerGameData[PLAYER, '#]=$A$1)*(PlayerGameData[Opponent]=$F219)*(PlayerGameData[Date]=$G219)*(PlayerGameData[OFF REB]))</f>
        <v>0</v>
      </c>
      <c r="L31" s="258" cm="1">
        <f t="array" aca="1" ref="L31" ca="1">SUMPRODUCT((PlayerGameData[Pvisible]=1)*(PlayerGameData[PLAYER, '#]=$A$1)*(PlayerGameData[Opponent]=$F219)*(PlayerGameData[Date]=$G219)*(PlayerGameData[DEF REB]))</f>
        <v>0</v>
      </c>
      <c r="M31" s="258">
        <f t="shared" ca="1" si="2"/>
        <v>0</v>
      </c>
      <c r="N31" s="257" cm="1">
        <f t="array" aca="1" ref="N31" ca="1">SUMPRODUCT((PlayerGameData[Pvisible]=1)*(PlayerGameData[PLAYER, '#]=$A$1)*(PlayerGameData[Opponent]=$F219)*(PlayerGameData[Date]=$G219)*(PlayerGameData[AST]))</f>
        <v>0</v>
      </c>
      <c r="O31" s="258" cm="1">
        <f t="array" aca="1" ref="O31" ca="1">SUMPRODUCT((PlayerGameData[Pvisible]=1)*(PlayerGameData[PLAYER, '#]=$A$1)*(PlayerGameData[Opponent]=$F219)*(PlayerGameData[Date]=$G219)*(PlayerGameData[STL]))</f>
        <v>0</v>
      </c>
      <c r="P31" s="258" cm="1">
        <f t="array" aca="1" ref="P31" ca="1">SUMPRODUCT((PlayerGameData[Pvisible]=1)*(PlayerGameData[PLAYER, '#]=$A$1)*(PlayerGameData[Opponent]=$F219)*(PlayerGameData[Date]=$G219)*(PlayerGameData[BLK]))</f>
        <v>0</v>
      </c>
      <c r="Q31" s="258" cm="1">
        <f t="array" aca="1" ref="Q31" ca="1">SUMPRODUCT((PlayerGameData[Pvisible]=1)*(PlayerGameData[PLAYER, '#]=$A$1)*(PlayerGameData[Opponent]=$F219)*(PlayerGameData[Date]=$G219)*(PlayerGameData[TO]))</f>
        <v>0</v>
      </c>
      <c r="R31" s="258" cm="1">
        <f t="array" aca="1" ref="R31" ca="1">SUMPRODUCT((PlayerGameData[Pvisible]=1)*(PlayerGameData[PLAYER, '#]=$A$1)*(PlayerGameData[Opponent]=$F219)*(PlayerGameData[Date]=$G219)*(PlayerGameData[FOUL]))</f>
        <v>0</v>
      </c>
      <c r="S31" s="258" cm="1">
        <f t="array" aca="1" ref="S31" ca="1">SUMPRODUCT((PlayerGameData[Pvisible]=1)*(PlayerGameData[PLAYER, '#]=$A$1)*(PlayerGameData[Opponent]=$F219)*(PlayerGameData[Date]=$G219)*(PlayerGameData[CHRG TKN]))</f>
        <v>0</v>
      </c>
      <c r="T31" s="259">
        <f t="shared" ca="1" si="3"/>
        <v>0</v>
      </c>
      <c r="U31" s="193" t="str">
        <f t="shared" ca="1" si="4"/>
        <v/>
      </c>
      <c r="V31" s="193" t="str">
        <f t="shared" ca="1" si="5"/>
        <v/>
      </c>
      <c r="W31" s="193" t="str">
        <f t="shared" ca="1" si="6"/>
        <v/>
      </c>
      <c r="X31" s="193" t="str">
        <f t="shared" ca="1" si="7"/>
        <v/>
      </c>
      <c r="Y31" s="194" t="str">
        <f t="shared" ca="1" si="8"/>
        <v/>
      </c>
      <c r="Z31" s="184"/>
      <c r="AA31" s="184"/>
      <c r="AB31" s="184"/>
      <c r="AC31" s="184"/>
      <c r="AD31" s="184"/>
      <c r="AE31" s="184"/>
      <c r="AF31" s="184"/>
      <c r="AG31" s="184"/>
      <c r="AH31" s="184"/>
    </row>
    <row r="32" spans="1:34" s="18" customFormat="1" ht="16.5" x14ac:dyDescent="0.3">
      <c r="A32" s="359" t="str">
        <f t="shared" ca="1" si="1"/>
        <v/>
      </c>
      <c r="B32" s="252" cm="1">
        <f t="array" aca="1" ref="B32" ca="1">SUMPRODUCT((PlayerGameData[Pvisible]=1)*(PlayerGameData[PLAYER, '#]=$A$1)*(PlayerGameData[Opponent]=$F220)*(PlayerGameData[Date]=$G220)*(PlayerGameData[START]))</f>
        <v>0</v>
      </c>
      <c r="C32" s="252" cm="1">
        <f t="array" aca="1" ref="C32" ca="1">SUMPRODUCT((PlayerGameData[Pvisible]=1)*(PlayerGameData[PLAYER, '#]=$A$1)*(PlayerGameData[Opponent]=$F220)*(PlayerGameData[Date]=$G220)*(PlayerGameData[GP]))</f>
        <v>0</v>
      </c>
      <c r="D32" s="252" cm="1">
        <f t="array" aca="1" ref="D32" ca="1">SUMPRODUCT((PlayerGameData[Pvisible]=1)*(PlayerGameData[PLAYER, '#]=$A$1)*(PlayerGameData[Opponent]=$F220)*(PlayerGameData[Date]=$G220)*(PlayerGameData[MINUTES]))</f>
        <v>0</v>
      </c>
      <c r="E32" s="253" cm="1">
        <f t="array" aca="1" ref="E32" ca="1">SUMPRODUCT((PlayerGameData[Pvisible]=1)*(PlayerGameData[PLAYER, '#]=$A$1)*(PlayerGameData[Opponent]=$F220)*(PlayerGameData[Date]=$G220)*(PlayerGameData[3FGM]))</f>
        <v>0</v>
      </c>
      <c r="F32" s="254" cm="1">
        <f t="array" aca="1" ref="F32" ca="1">SUMPRODUCT((PlayerGameData[Pvisible]=1)*(PlayerGameData[PLAYER, '#]=$A$1)*(PlayerGameData[Opponent]=$F220)*(PlayerGameData[Date]=$G220)*(PlayerGameData[3FGA]))</f>
        <v>0</v>
      </c>
      <c r="G32" s="253" cm="1">
        <f t="array" aca="1" ref="G32" ca="1">SUMPRODUCT((PlayerGameData[Pvisible]=1)*(PlayerGameData[PLAYER, '#]=$A$1)*(PlayerGameData[Opponent]=$F220)*(PlayerGameData[Date]=$G220)*(PlayerGameData[2FGM]))</f>
        <v>0</v>
      </c>
      <c r="H32" s="254" cm="1">
        <f t="array" aca="1" ref="H32" ca="1">SUMPRODUCT((PlayerGameData[Pvisible]=1)*(PlayerGameData[PLAYER, '#]=$A$1)*(PlayerGameData[Opponent]=$F220)*(PlayerGameData[Date]=$G220)*(PlayerGameData[2FGA]))</f>
        <v>0</v>
      </c>
      <c r="I32" s="253" cm="1">
        <f t="array" aca="1" ref="I32" ca="1">SUMPRODUCT((PlayerGameData[Pvisible]=1)*(PlayerGameData[PLAYER, '#]=$A$1)*(PlayerGameData[Opponent]=$F220)*(PlayerGameData[Date]=$G220)*(PlayerGameData[FTM]))</f>
        <v>0</v>
      </c>
      <c r="J32" s="254" cm="1">
        <f t="array" aca="1" ref="J32" ca="1">SUMPRODUCT((PlayerGameData[Pvisible]=1)*(PlayerGameData[PLAYER, '#]=$A$1)*(PlayerGameData[Opponent]=$F220)*(PlayerGameData[Date]=$G220)*(PlayerGameData[FTA]))</f>
        <v>0</v>
      </c>
      <c r="K32" s="253" cm="1">
        <f t="array" aca="1" ref="K32" ca="1">SUMPRODUCT((PlayerGameData[Pvisible]=1)*(PlayerGameData[PLAYER, '#]=$A$1)*(PlayerGameData[Opponent]=$F220)*(PlayerGameData[Date]=$G220)*(PlayerGameData[OFF REB]))</f>
        <v>0</v>
      </c>
      <c r="L32" s="254" cm="1">
        <f t="array" aca="1" ref="L32" ca="1">SUMPRODUCT((PlayerGameData[Pvisible]=1)*(PlayerGameData[PLAYER, '#]=$A$1)*(PlayerGameData[Opponent]=$F220)*(PlayerGameData[Date]=$G220)*(PlayerGameData[DEF REB]))</f>
        <v>0</v>
      </c>
      <c r="M32" s="254">
        <f t="shared" ca="1" si="2"/>
        <v>0</v>
      </c>
      <c r="N32" s="253" cm="1">
        <f t="array" aca="1" ref="N32" ca="1">SUMPRODUCT((PlayerGameData[Pvisible]=1)*(PlayerGameData[PLAYER, '#]=$A$1)*(PlayerGameData[Opponent]=$F220)*(PlayerGameData[Date]=$G220)*(PlayerGameData[AST]))</f>
        <v>0</v>
      </c>
      <c r="O32" s="254" cm="1">
        <f t="array" aca="1" ref="O32" ca="1">SUMPRODUCT((PlayerGameData[Pvisible]=1)*(PlayerGameData[PLAYER, '#]=$A$1)*(PlayerGameData[Opponent]=$F220)*(PlayerGameData[Date]=$G220)*(PlayerGameData[STL]))</f>
        <v>0</v>
      </c>
      <c r="P32" s="254" cm="1">
        <f t="array" aca="1" ref="P32" ca="1">SUMPRODUCT((PlayerGameData[Pvisible]=1)*(PlayerGameData[PLAYER, '#]=$A$1)*(PlayerGameData[Opponent]=$F220)*(PlayerGameData[Date]=$G220)*(PlayerGameData[BLK]))</f>
        <v>0</v>
      </c>
      <c r="Q32" s="254" cm="1">
        <f t="array" aca="1" ref="Q32" ca="1">SUMPRODUCT((PlayerGameData[Pvisible]=1)*(PlayerGameData[PLAYER, '#]=$A$1)*(PlayerGameData[Opponent]=$F220)*(PlayerGameData[Date]=$G220)*(PlayerGameData[TO]))</f>
        <v>0</v>
      </c>
      <c r="R32" s="254" cm="1">
        <f t="array" aca="1" ref="R32" ca="1">SUMPRODUCT((PlayerGameData[Pvisible]=1)*(PlayerGameData[PLAYER, '#]=$A$1)*(PlayerGameData[Opponent]=$F220)*(PlayerGameData[Date]=$G220)*(PlayerGameData[FOUL]))</f>
        <v>0</v>
      </c>
      <c r="S32" s="254" cm="1">
        <f t="array" aca="1" ref="S32" ca="1">SUMPRODUCT((PlayerGameData[Pvisible]=1)*(PlayerGameData[PLAYER, '#]=$A$1)*(PlayerGameData[Opponent]=$F220)*(PlayerGameData[Date]=$G220)*(PlayerGameData[CHRG TKN]))</f>
        <v>0</v>
      </c>
      <c r="T32" s="255">
        <f t="shared" ca="1" si="3"/>
        <v>0</v>
      </c>
      <c r="U32" s="206" t="str">
        <f t="shared" ca="1" si="4"/>
        <v/>
      </c>
      <c r="V32" s="206" t="str">
        <f t="shared" ca="1" si="5"/>
        <v/>
      </c>
      <c r="W32" s="206" t="str">
        <f t="shared" ca="1" si="6"/>
        <v/>
      </c>
      <c r="X32" s="206" t="str">
        <f t="shared" ca="1" si="7"/>
        <v/>
      </c>
      <c r="Y32" s="213" t="str">
        <f t="shared" ca="1" si="8"/>
        <v/>
      </c>
      <c r="Z32" s="184"/>
      <c r="AA32" s="184"/>
      <c r="AB32" s="184"/>
      <c r="AC32" s="184"/>
      <c r="AD32" s="184"/>
      <c r="AE32" s="184"/>
      <c r="AF32" s="184"/>
      <c r="AG32" s="184"/>
      <c r="AH32" s="184"/>
    </row>
    <row r="33" spans="1:34" s="18" customFormat="1" ht="15.6" hidden="1" x14ac:dyDescent="0.35">
      <c r="A33" s="192" t="str">
        <f t="shared" ref="A33:A42" ca="1" si="9">A221</f>
        <v/>
      </c>
      <c r="B33" s="256" cm="1">
        <f t="array" aca="1" ref="B33" ca="1">SUMPRODUCT((PlayerGameData[Pvisible]=1)*(PlayerGameData[PLAYER, '#]=$A$1)*(PlayerGameData[Opponent]=$F221)*(PlayerGameData[Date]=$G221)*(PlayerGameData[START]))</f>
        <v>0</v>
      </c>
      <c r="C33" s="256" cm="1">
        <f t="array" aca="1" ref="C33" ca="1">SUMPRODUCT((PlayerGameData[Pvisible]=1)*(PlayerGameData[PLAYER, '#]=$A$1)*(PlayerGameData[Opponent]=$F221)*(PlayerGameData[Date]=$G221)*(PlayerGameData[GP]))</f>
        <v>0</v>
      </c>
      <c r="D33" s="256" cm="1">
        <f t="array" aca="1" ref="D33" ca="1">SUMPRODUCT((PlayerGameData[Pvisible]=1)*(PlayerGameData[PLAYER, '#]=$A$1)*(PlayerGameData[Opponent]=$F221)*(PlayerGameData[Date]=$G221)*(PlayerGameData[MINUTES]))</f>
        <v>0</v>
      </c>
      <c r="E33" s="257" cm="1">
        <f t="array" aca="1" ref="E33" ca="1">SUMPRODUCT((PlayerGameData[Pvisible]=1)*(PlayerGameData[PLAYER, '#]=$A$1)*(PlayerGameData[Opponent]=$F221)*(PlayerGameData[Date]=$G221)*(PlayerGameData[3FGM]))</f>
        <v>0</v>
      </c>
      <c r="F33" s="258" cm="1">
        <f t="array" aca="1" ref="F33" ca="1">SUMPRODUCT((PlayerGameData[Pvisible]=1)*(PlayerGameData[PLAYER, '#]=$A$1)*(PlayerGameData[Opponent]=$F221)*(PlayerGameData[Date]=$G221)*(PlayerGameData[3FGA]))</f>
        <v>0</v>
      </c>
      <c r="G33" s="257" cm="1">
        <f t="array" aca="1" ref="G33" ca="1">SUMPRODUCT((PlayerGameData[Pvisible]=1)*(PlayerGameData[PLAYER, '#]=$A$1)*(PlayerGameData[Opponent]=$F221)*(PlayerGameData[Date]=$G221)*(PlayerGameData[2FGM]))</f>
        <v>0</v>
      </c>
      <c r="H33" s="258" cm="1">
        <f t="array" aca="1" ref="H33" ca="1">SUMPRODUCT((PlayerGameData[Pvisible]=1)*(PlayerGameData[PLAYER, '#]=$A$1)*(PlayerGameData[Opponent]=$F221)*(PlayerGameData[Date]=$G221)*(PlayerGameData[2FGA]))</f>
        <v>0</v>
      </c>
      <c r="I33" s="257" cm="1">
        <f t="array" aca="1" ref="I33" ca="1">SUMPRODUCT((PlayerGameData[Pvisible]=1)*(PlayerGameData[PLAYER, '#]=$A$1)*(PlayerGameData[Opponent]=$F221)*(PlayerGameData[Date]=$G221)*(PlayerGameData[FTM]))</f>
        <v>0</v>
      </c>
      <c r="J33" s="258" cm="1">
        <f t="array" aca="1" ref="J33" ca="1">SUMPRODUCT((PlayerGameData[Pvisible]=1)*(PlayerGameData[PLAYER, '#]=$A$1)*(PlayerGameData[Opponent]=$F221)*(PlayerGameData[Date]=$G221)*(PlayerGameData[FTA]))</f>
        <v>0</v>
      </c>
      <c r="K33" s="257" cm="1">
        <f t="array" aca="1" ref="K33" ca="1">SUMPRODUCT((PlayerGameData[Pvisible]=1)*(PlayerGameData[PLAYER, '#]=$A$1)*(PlayerGameData[Opponent]=$F221)*(PlayerGameData[Date]=$G221)*(PlayerGameData[OFF REB]))</f>
        <v>0</v>
      </c>
      <c r="L33" s="258" cm="1">
        <f t="array" aca="1" ref="L33" ca="1">SUMPRODUCT((PlayerGameData[Pvisible]=1)*(PlayerGameData[PLAYER, '#]=$A$1)*(PlayerGameData[Opponent]=$F221)*(PlayerGameData[Date]=$G221)*(PlayerGameData[DEF REB]))</f>
        <v>0</v>
      </c>
      <c r="M33" s="258">
        <f t="shared" ref="M33:M42" ca="1" si="10">K33+L33</f>
        <v>0</v>
      </c>
      <c r="N33" s="257" cm="1">
        <f t="array" aca="1" ref="N33" ca="1">SUMPRODUCT((PlayerGameData[Pvisible]=1)*(PlayerGameData[PLAYER, '#]=$A$1)*(PlayerGameData[Opponent]=$F221)*(PlayerGameData[Date]=$G221)*(PlayerGameData[AST]))</f>
        <v>0</v>
      </c>
      <c r="O33" s="258" cm="1">
        <f t="array" aca="1" ref="O33" ca="1">SUMPRODUCT((PlayerGameData[Pvisible]=1)*(PlayerGameData[PLAYER, '#]=$A$1)*(PlayerGameData[Opponent]=$F221)*(PlayerGameData[Date]=$G221)*(PlayerGameData[STL]))</f>
        <v>0</v>
      </c>
      <c r="P33" s="258" cm="1">
        <f t="array" aca="1" ref="P33" ca="1">SUMPRODUCT((PlayerGameData[Pvisible]=1)*(PlayerGameData[PLAYER, '#]=$A$1)*(PlayerGameData[Opponent]=$F221)*(PlayerGameData[Date]=$G221)*(PlayerGameData[BLK]))</f>
        <v>0</v>
      </c>
      <c r="Q33" s="258" cm="1">
        <f t="array" aca="1" ref="Q33" ca="1">SUMPRODUCT((PlayerGameData[Pvisible]=1)*(PlayerGameData[PLAYER, '#]=$A$1)*(PlayerGameData[Opponent]=$F221)*(PlayerGameData[Date]=$G221)*(PlayerGameData[TO]))</f>
        <v>0</v>
      </c>
      <c r="R33" s="258" cm="1">
        <f t="array" aca="1" ref="R33" ca="1">SUMPRODUCT((PlayerGameData[Pvisible]=1)*(PlayerGameData[PLAYER, '#]=$A$1)*(PlayerGameData[Opponent]=$F221)*(PlayerGameData[Date]=$G221)*(PlayerGameData[FOUL]))</f>
        <v>0</v>
      </c>
      <c r="S33" s="258" cm="1">
        <f t="array" aca="1" ref="S33" ca="1">SUMPRODUCT((PlayerGameData[Pvisible]=1)*(PlayerGameData[PLAYER, '#]=$A$1)*(PlayerGameData[Opponent]=$F221)*(PlayerGameData[Date]=$G221)*(PlayerGameData[CHRG TKN]))</f>
        <v>0</v>
      </c>
      <c r="T33" s="259">
        <f t="shared" ref="T33:T42" ca="1" si="11">IF(I33+2*G33+3*E33&gt;0,I33+2*G33+3*E33,0)</f>
        <v>0</v>
      </c>
      <c r="U33" s="193" t="str">
        <f t="shared" ref="U33:U42" ca="1" si="12">IF(F33&gt;0,E33/F33,"")</f>
        <v/>
      </c>
      <c r="V33" s="193" t="str">
        <f t="shared" ref="V33:V42" ca="1" si="13">IF(H33&gt;0,G33/H33,"")</f>
        <v/>
      </c>
      <c r="W33" s="193" t="str">
        <f t="shared" ref="W33:W42" ca="1" si="14">IF(J33&gt;0,I33/J33,"")</f>
        <v/>
      </c>
      <c r="X33" s="193" t="str">
        <f t="shared" ref="X33:X42" ca="1" si="15">IF(OR(F33&gt;0,H33 &gt;0),(E33+G33)/(F33+H33),"")</f>
        <v/>
      </c>
      <c r="Y33" s="194" t="str">
        <f t="shared" ref="Y33:Y42" ca="1" si="16">IF(OR(F33&gt;0,H33 &gt;0),(1.5*E33+G33)/(F33+H33),"")</f>
        <v/>
      </c>
      <c r="Z33" s="184"/>
      <c r="AA33" s="184"/>
      <c r="AB33" s="184"/>
      <c r="AC33" s="184"/>
      <c r="AD33" s="184"/>
      <c r="AE33" s="184"/>
      <c r="AF33" s="184"/>
      <c r="AG33" s="184"/>
      <c r="AH33" s="184"/>
    </row>
    <row r="34" spans="1:34" s="18" customFormat="1" ht="15.6" hidden="1" x14ac:dyDescent="0.35">
      <c r="A34" s="212" t="str">
        <f t="shared" ca="1" si="9"/>
        <v/>
      </c>
      <c r="B34" s="252" cm="1">
        <f t="array" aca="1" ref="B34" ca="1">SUMPRODUCT((PlayerGameData[Pvisible]=1)*(PlayerGameData[PLAYER, '#]=$A$1)*(PlayerGameData[Opponent]=$F222)*(PlayerGameData[Date]=$G222)*(PlayerGameData[START]))</f>
        <v>0</v>
      </c>
      <c r="C34" s="252" cm="1">
        <f t="array" aca="1" ref="C34" ca="1">SUMPRODUCT((PlayerGameData[Pvisible]=1)*(PlayerGameData[PLAYER, '#]=$A$1)*(PlayerGameData[Opponent]=$F222)*(PlayerGameData[Date]=$G222)*(PlayerGameData[GP]))</f>
        <v>0</v>
      </c>
      <c r="D34" s="252" cm="1">
        <f t="array" aca="1" ref="D34" ca="1">SUMPRODUCT((PlayerGameData[Pvisible]=1)*(PlayerGameData[PLAYER, '#]=$A$1)*(PlayerGameData[Opponent]=$F222)*(PlayerGameData[Date]=$G222)*(PlayerGameData[MINUTES]))</f>
        <v>0</v>
      </c>
      <c r="E34" s="253" cm="1">
        <f t="array" aca="1" ref="E34" ca="1">SUMPRODUCT((PlayerGameData[Pvisible]=1)*(PlayerGameData[PLAYER, '#]=$A$1)*(PlayerGameData[Opponent]=$F222)*(PlayerGameData[Date]=$G222)*(PlayerGameData[3FGM]))</f>
        <v>0</v>
      </c>
      <c r="F34" s="254" cm="1">
        <f t="array" aca="1" ref="F34" ca="1">SUMPRODUCT((PlayerGameData[Pvisible]=1)*(PlayerGameData[PLAYER, '#]=$A$1)*(PlayerGameData[Opponent]=$F222)*(PlayerGameData[Date]=$G222)*(PlayerGameData[3FGA]))</f>
        <v>0</v>
      </c>
      <c r="G34" s="253" cm="1">
        <f t="array" aca="1" ref="G34" ca="1">SUMPRODUCT((PlayerGameData[Pvisible]=1)*(PlayerGameData[PLAYER, '#]=$A$1)*(PlayerGameData[Opponent]=$F222)*(PlayerGameData[Date]=$G222)*(PlayerGameData[2FGM]))</f>
        <v>0</v>
      </c>
      <c r="H34" s="254" cm="1">
        <f t="array" aca="1" ref="H34" ca="1">SUMPRODUCT((PlayerGameData[Pvisible]=1)*(PlayerGameData[PLAYER, '#]=$A$1)*(PlayerGameData[Opponent]=$F222)*(PlayerGameData[Date]=$G222)*(PlayerGameData[2FGA]))</f>
        <v>0</v>
      </c>
      <c r="I34" s="253" cm="1">
        <f t="array" aca="1" ref="I34" ca="1">SUMPRODUCT((PlayerGameData[Pvisible]=1)*(PlayerGameData[PLAYER, '#]=$A$1)*(PlayerGameData[Opponent]=$F222)*(PlayerGameData[Date]=$G222)*(PlayerGameData[FTM]))</f>
        <v>0</v>
      </c>
      <c r="J34" s="254" cm="1">
        <f t="array" aca="1" ref="J34" ca="1">SUMPRODUCT((PlayerGameData[Pvisible]=1)*(PlayerGameData[PLAYER, '#]=$A$1)*(PlayerGameData[Opponent]=$F222)*(PlayerGameData[Date]=$G222)*(PlayerGameData[FTA]))</f>
        <v>0</v>
      </c>
      <c r="K34" s="253" cm="1">
        <f t="array" aca="1" ref="K34" ca="1">SUMPRODUCT((PlayerGameData[Pvisible]=1)*(PlayerGameData[PLAYER, '#]=$A$1)*(PlayerGameData[Opponent]=$F222)*(PlayerGameData[Date]=$G222)*(PlayerGameData[OFF REB]))</f>
        <v>0</v>
      </c>
      <c r="L34" s="254" cm="1">
        <f t="array" aca="1" ref="L34" ca="1">SUMPRODUCT((PlayerGameData[Pvisible]=1)*(PlayerGameData[PLAYER, '#]=$A$1)*(PlayerGameData[Opponent]=$F222)*(PlayerGameData[Date]=$G222)*(PlayerGameData[DEF REB]))</f>
        <v>0</v>
      </c>
      <c r="M34" s="254">
        <f t="shared" ca="1" si="10"/>
        <v>0</v>
      </c>
      <c r="N34" s="253" cm="1">
        <f t="array" aca="1" ref="N34" ca="1">SUMPRODUCT((PlayerGameData[Pvisible]=1)*(PlayerGameData[PLAYER, '#]=$A$1)*(PlayerGameData[Opponent]=$F222)*(PlayerGameData[Date]=$G222)*(PlayerGameData[AST]))</f>
        <v>0</v>
      </c>
      <c r="O34" s="254" cm="1">
        <f t="array" aca="1" ref="O34" ca="1">SUMPRODUCT((PlayerGameData[Pvisible]=1)*(PlayerGameData[PLAYER, '#]=$A$1)*(PlayerGameData[Opponent]=$F222)*(PlayerGameData[Date]=$G222)*(PlayerGameData[STL]))</f>
        <v>0</v>
      </c>
      <c r="P34" s="254" cm="1">
        <f t="array" aca="1" ref="P34" ca="1">SUMPRODUCT((PlayerGameData[Pvisible]=1)*(PlayerGameData[PLAYER, '#]=$A$1)*(PlayerGameData[Opponent]=$F222)*(PlayerGameData[Date]=$G222)*(PlayerGameData[BLK]))</f>
        <v>0</v>
      </c>
      <c r="Q34" s="254" cm="1">
        <f t="array" aca="1" ref="Q34" ca="1">SUMPRODUCT((PlayerGameData[Pvisible]=1)*(PlayerGameData[PLAYER, '#]=$A$1)*(PlayerGameData[Opponent]=$F222)*(PlayerGameData[Date]=$G222)*(PlayerGameData[TO]))</f>
        <v>0</v>
      </c>
      <c r="R34" s="254" cm="1">
        <f t="array" aca="1" ref="R34" ca="1">SUMPRODUCT((PlayerGameData[Pvisible]=1)*(PlayerGameData[PLAYER, '#]=$A$1)*(PlayerGameData[Opponent]=$F222)*(PlayerGameData[Date]=$G222)*(PlayerGameData[FOUL]))</f>
        <v>0</v>
      </c>
      <c r="S34" s="254" cm="1">
        <f t="array" aca="1" ref="S34" ca="1">SUMPRODUCT((PlayerGameData[Pvisible]=1)*(PlayerGameData[PLAYER, '#]=$A$1)*(PlayerGameData[Opponent]=$F222)*(PlayerGameData[Date]=$G222)*(PlayerGameData[CHRG TKN]))</f>
        <v>0</v>
      </c>
      <c r="T34" s="255">
        <f t="shared" ca="1" si="11"/>
        <v>0</v>
      </c>
      <c r="U34" s="206" t="str">
        <f t="shared" ca="1" si="12"/>
        <v/>
      </c>
      <c r="V34" s="206" t="str">
        <f t="shared" ca="1" si="13"/>
        <v/>
      </c>
      <c r="W34" s="206" t="str">
        <f t="shared" ca="1" si="14"/>
        <v/>
      </c>
      <c r="X34" s="206" t="str">
        <f t="shared" ca="1" si="15"/>
        <v/>
      </c>
      <c r="Y34" s="213" t="str">
        <f t="shared" ca="1" si="16"/>
        <v/>
      </c>
      <c r="Z34" s="184"/>
      <c r="AA34" s="184"/>
      <c r="AB34" s="184"/>
      <c r="AC34" s="184"/>
      <c r="AD34" s="184"/>
      <c r="AE34" s="184"/>
      <c r="AF34" s="184"/>
      <c r="AG34" s="184"/>
      <c r="AH34" s="184"/>
    </row>
    <row r="35" spans="1:34" s="18" customFormat="1" ht="15.6" hidden="1" x14ac:dyDescent="0.35">
      <c r="A35" s="192" t="str">
        <f t="shared" ca="1" si="9"/>
        <v/>
      </c>
      <c r="B35" s="256" cm="1">
        <f t="array" aca="1" ref="B35" ca="1">SUMPRODUCT((PlayerGameData[Pvisible]=1)*(PlayerGameData[PLAYER, '#]=$A$1)*(PlayerGameData[Opponent]=$F223)*(PlayerGameData[Date]=$G223)*(PlayerGameData[START]))</f>
        <v>0</v>
      </c>
      <c r="C35" s="256" cm="1">
        <f t="array" aca="1" ref="C35" ca="1">SUMPRODUCT((PlayerGameData[Pvisible]=1)*(PlayerGameData[PLAYER, '#]=$A$1)*(PlayerGameData[Opponent]=$F223)*(PlayerGameData[Date]=$G223)*(PlayerGameData[GP]))</f>
        <v>0</v>
      </c>
      <c r="D35" s="256" cm="1">
        <f t="array" aca="1" ref="D35" ca="1">SUMPRODUCT((PlayerGameData[Pvisible]=1)*(PlayerGameData[PLAYER, '#]=$A$1)*(PlayerGameData[Opponent]=$F223)*(PlayerGameData[Date]=$G223)*(PlayerGameData[MINUTES]))</f>
        <v>0</v>
      </c>
      <c r="E35" s="257" cm="1">
        <f t="array" aca="1" ref="E35" ca="1">SUMPRODUCT((PlayerGameData[Pvisible]=1)*(PlayerGameData[PLAYER, '#]=$A$1)*(PlayerGameData[Opponent]=$F223)*(PlayerGameData[Date]=$G223)*(PlayerGameData[3FGM]))</f>
        <v>0</v>
      </c>
      <c r="F35" s="258" cm="1">
        <f t="array" aca="1" ref="F35" ca="1">SUMPRODUCT((PlayerGameData[Pvisible]=1)*(PlayerGameData[PLAYER, '#]=$A$1)*(PlayerGameData[Opponent]=$F223)*(PlayerGameData[Date]=$G223)*(PlayerGameData[3FGA]))</f>
        <v>0</v>
      </c>
      <c r="G35" s="257" cm="1">
        <f t="array" aca="1" ref="G35" ca="1">SUMPRODUCT((PlayerGameData[Pvisible]=1)*(PlayerGameData[PLAYER, '#]=$A$1)*(PlayerGameData[Opponent]=$F223)*(PlayerGameData[Date]=$G223)*(PlayerGameData[2FGM]))</f>
        <v>0</v>
      </c>
      <c r="H35" s="258" cm="1">
        <f t="array" aca="1" ref="H35" ca="1">SUMPRODUCT((PlayerGameData[Pvisible]=1)*(PlayerGameData[PLAYER, '#]=$A$1)*(PlayerGameData[Opponent]=$F223)*(PlayerGameData[Date]=$G223)*(PlayerGameData[2FGA]))</f>
        <v>0</v>
      </c>
      <c r="I35" s="257" cm="1">
        <f t="array" aca="1" ref="I35" ca="1">SUMPRODUCT((PlayerGameData[Pvisible]=1)*(PlayerGameData[PLAYER, '#]=$A$1)*(PlayerGameData[Opponent]=$F223)*(PlayerGameData[Date]=$G223)*(PlayerGameData[FTM]))</f>
        <v>0</v>
      </c>
      <c r="J35" s="258" cm="1">
        <f t="array" aca="1" ref="J35" ca="1">SUMPRODUCT((PlayerGameData[Pvisible]=1)*(PlayerGameData[PLAYER, '#]=$A$1)*(PlayerGameData[Opponent]=$F223)*(PlayerGameData[Date]=$G223)*(PlayerGameData[FTA]))</f>
        <v>0</v>
      </c>
      <c r="K35" s="257" cm="1">
        <f t="array" aca="1" ref="K35" ca="1">SUMPRODUCT((PlayerGameData[Pvisible]=1)*(PlayerGameData[PLAYER, '#]=$A$1)*(PlayerGameData[Opponent]=$F223)*(PlayerGameData[Date]=$G223)*(PlayerGameData[OFF REB]))</f>
        <v>0</v>
      </c>
      <c r="L35" s="258" cm="1">
        <f t="array" aca="1" ref="L35" ca="1">SUMPRODUCT((PlayerGameData[Pvisible]=1)*(PlayerGameData[PLAYER, '#]=$A$1)*(PlayerGameData[Opponent]=$F223)*(PlayerGameData[Date]=$G223)*(PlayerGameData[DEF REB]))</f>
        <v>0</v>
      </c>
      <c r="M35" s="258">
        <f t="shared" ca="1" si="10"/>
        <v>0</v>
      </c>
      <c r="N35" s="257" cm="1">
        <f t="array" aca="1" ref="N35" ca="1">SUMPRODUCT((PlayerGameData[Pvisible]=1)*(PlayerGameData[PLAYER, '#]=$A$1)*(PlayerGameData[Opponent]=$F223)*(PlayerGameData[Date]=$G223)*(PlayerGameData[AST]))</f>
        <v>0</v>
      </c>
      <c r="O35" s="258" cm="1">
        <f t="array" aca="1" ref="O35" ca="1">SUMPRODUCT((PlayerGameData[Pvisible]=1)*(PlayerGameData[PLAYER, '#]=$A$1)*(PlayerGameData[Opponent]=$F223)*(PlayerGameData[Date]=$G223)*(PlayerGameData[STL]))</f>
        <v>0</v>
      </c>
      <c r="P35" s="258" cm="1">
        <f t="array" aca="1" ref="P35" ca="1">SUMPRODUCT((PlayerGameData[Pvisible]=1)*(PlayerGameData[PLAYER, '#]=$A$1)*(PlayerGameData[Opponent]=$F223)*(PlayerGameData[Date]=$G223)*(PlayerGameData[BLK]))</f>
        <v>0</v>
      </c>
      <c r="Q35" s="258" cm="1">
        <f t="array" aca="1" ref="Q35" ca="1">SUMPRODUCT((PlayerGameData[Pvisible]=1)*(PlayerGameData[PLAYER, '#]=$A$1)*(PlayerGameData[Opponent]=$F223)*(PlayerGameData[Date]=$G223)*(PlayerGameData[TO]))</f>
        <v>0</v>
      </c>
      <c r="R35" s="258" cm="1">
        <f t="array" aca="1" ref="R35" ca="1">SUMPRODUCT((PlayerGameData[Pvisible]=1)*(PlayerGameData[PLAYER, '#]=$A$1)*(PlayerGameData[Opponent]=$F223)*(PlayerGameData[Date]=$G223)*(PlayerGameData[FOUL]))</f>
        <v>0</v>
      </c>
      <c r="S35" s="258" cm="1">
        <f t="array" aca="1" ref="S35" ca="1">SUMPRODUCT((PlayerGameData[Pvisible]=1)*(PlayerGameData[PLAYER, '#]=$A$1)*(PlayerGameData[Opponent]=$F223)*(PlayerGameData[Date]=$G223)*(PlayerGameData[CHRG TKN]))</f>
        <v>0</v>
      </c>
      <c r="T35" s="259">
        <f t="shared" ca="1" si="11"/>
        <v>0</v>
      </c>
      <c r="U35" s="193" t="str">
        <f t="shared" ca="1" si="12"/>
        <v/>
      </c>
      <c r="V35" s="193" t="str">
        <f t="shared" ca="1" si="13"/>
        <v/>
      </c>
      <c r="W35" s="193" t="str">
        <f t="shared" ca="1" si="14"/>
        <v/>
      </c>
      <c r="X35" s="193" t="str">
        <f t="shared" ca="1" si="15"/>
        <v/>
      </c>
      <c r="Y35" s="194" t="str">
        <f t="shared" ca="1" si="16"/>
        <v/>
      </c>
      <c r="Z35" s="184"/>
      <c r="AA35" s="184"/>
      <c r="AB35" s="184"/>
      <c r="AC35" s="184"/>
      <c r="AD35" s="184"/>
      <c r="AE35" s="184"/>
      <c r="AF35" s="184"/>
      <c r="AG35" s="184"/>
      <c r="AH35" s="184"/>
    </row>
    <row r="36" spans="1:34" s="18" customFormat="1" ht="15.6" hidden="1" x14ac:dyDescent="0.35">
      <c r="A36" s="212" t="str">
        <f t="shared" ca="1" si="9"/>
        <v/>
      </c>
      <c r="B36" s="252" cm="1">
        <f t="array" aca="1" ref="B36" ca="1">SUMPRODUCT((PlayerGameData[Pvisible]=1)*(PlayerGameData[PLAYER, '#]=$A$1)*(PlayerGameData[Opponent]=$F224)*(PlayerGameData[Date]=$G224)*(PlayerGameData[START]))</f>
        <v>0</v>
      </c>
      <c r="C36" s="252" cm="1">
        <f t="array" aca="1" ref="C36" ca="1">SUMPRODUCT((PlayerGameData[Pvisible]=1)*(PlayerGameData[PLAYER, '#]=$A$1)*(PlayerGameData[Opponent]=$F224)*(PlayerGameData[Date]=$G224)*(PlayerGameData[GP]))</f>
        <v>0</v>
      </c>
      <c r="D36" s="252" cm="1">
        <f t="array" aca="1" ref="D36" ca="1">SUMPRODUCT((PlayerGameData[Pvisible]=1)*(PlayerGameData[PLAYER, '#]=$A$1)*(PlayerGameData[Opponent]=$F224)*(PlayerGameData[Date]=$G224)*(PlayerGameData[MINUTES]))</f>
        <v>0</v>
      </c>
      <c r="E36" s="253" cm="1">
        <f t="array" aca="1" ref="E36" ca="1">SUMPRODUCT((PlayerGameData[Pvisible]=1)*(PlayerGameData[PLAYER, '#]=$A$1)*(PlayerGameData[Opponent]=$F224)*(PlayerGameData[Date]=$G224)*(PlayerGameData[3FGM]))</f>
        <v>0</v>
      </c>
      <c r="F36" s="254" cm="1">
        <f t="array" aca="1" ref="F36" ca="1">SUMPRODUCT((PlayerGameData[Pvisible]=1)*(PlayerGameData[PLAYER, '#]=$A$1)*(PlayerGameData[Opponent]=$F224)*(PlayerGameData[Date]=$G224)*(PlayerGameData[3FGA]))</f>
        <v>0</v>
      </c>
      <c r="G36" s="253" cm="1">
        <f t="array" aca="1" ref="G36" ca="1">SUMPRODUCT((PlayerGameData[Pvisible]=1)*(PlayerGameData[PLAYER, '#]=$A$1)*(PlayerGameData[Opponent]=$F224)*(PlayerGameData[Date]=$G224)*(PlayerGameData[2FGM]))</f>
        <v>0</v>
      </c>
      <c r="H36" s="254" cm="1">
        <f t="array" aca="1" ref="H36" ca="1">SUMPRODUCT((PlayerGameData[Pvisible]=1)*(PlayerGameData[PLAYER, '#]=$A$1)*(PlayerGameData[Opponent]=$F224)*(PlayerGameData[Date]=$G224)*(PlayerGameData[2FGA]))</f>
        <v>0</v>
      </c>
      <c r="I36" s="253" cm="1">
        <f t="array" aca="1" ref="I36" ca="1">SUMPRODUCT((PlayerGameData[Pvisible]=1)*(PlayerGameData[PLAYER, '#]=$A$1)*(PlayerGameData[Opponent]=$F224)*(PlayerGameData[Date]=$G224)*(PlayerGameData[FTM]))</f>
        <v>0</v>
      </c>
      <c r="J36" s="254" cm="1">
        <f t="array" aca="1" ref="J36" ca="1">SUMPRODUCT((PlayerGameData[Pvisible]=1)*(PlayerGameData[PLAYER, '#]=$A$1)*(PlayerGameData[Opponent]=$F224)*(PlayerGameData[Date]=$G224)*(PlayerGameData[FTA]))</f>
        <v>0</v>
      </c>
      <c r="K36" s="253" cm="1">
        <f t="array" aca="1" ref="K36" ca="1">SUMPRODUCT((PlayerGameData[Pvisible]=1)*(PlayerGameData[PLAYER, '#]=$A$1)*(PlayerGameData[Opponent]=$F224)*(PlayerGameData[Date]=$G224)*(PlayerGameData[OFF REB]))</f>
        <v>0</v>
      </c>
      <c r="L36" s="254" cm="1">
        <f t="array" aca="1" ref="L36" ca="1">SUMPRODUCT((PlayerGameData[Pvisible]=1)*(PlayerGameData[PLAYER, '#]=$A$1)*(PlayerGameData[Opponent]=$F224)*(PlayerGameData[Date]=$G224)*(PlayerGameData[DEF REB]))</f>
        <v>0</v>
      </c>
      <c r="M36" s="254">
        <f t="shared" ca="1" si="10"/>
        <v>0</v>
      </c>
      <c r="N36" s="253" cm="1">
        <f t="array" aca="1" ref="N36" ca="1">SUMPRODUCT((PlayerGameData[Pvisible]=1)*(PlayerGameData[PLAYER, '#]=$A$1)*(PlayerGameData[Opponent]=$F224)*(PlayerGameData[Date]=$G224)*(PlayerGameData[AST]))</f>
        <v>0</v>
      </c>
      <c r="O36" s="254" cm="1">
        <f t="array" aca="1" ref="O36" ca="1">SUMPRODUCT((PlayerGameData[Pvisible]=1)*(PlayerGameData[PLAYER, '#]=$A$1)*(PlayerGameData[Opponent]=$F224)*(PlayerGameData[Date]=$G224)*(PlayerGameData[STL]))</f>
        <v>0</v>
      </c>
      <c r="P36" s="254" cm="1">
        <f t="array" aca="1" ref="P36" ca="1">SUMPRODUCT((PlayerGameData[Pvisible]=1)*(PlayerGameData[PLAYER, '#]=$A$1)*(PlayerGameData[Opponent]=$F224)*(PlayerGameData[Date]=$G224)*(PlayerGameData[BLK]))</f>
        <v>0</v>
      </c>
      <c r="Q36" s="254" cm="1">
        <f t="array" aca="1" ref="Q36" ca="1">SUMPRODUCT((PlayerGameData[Pvisible]=1)*(PlayerGameData[PLAYER, '#]=$A$1)*(PlayerGameData[Opponent]=$F224)*(PlayerGameData[Date]=$G224)*(PlayerGameData[TO]))</f>
        <v>0</v>
      </c>
      <c r="R36" s="254" cm="1">
        <f t="array" aca="1" ref="R36" ca="1">SUMPRODUCT((PlayerGameData[Pvisible]=1)*(PlayerGameData[PLAYER, '#]=$A$1)*(PlayerGameData[Opponent]=$F224)*(PlayerGameData[Date]=$G224)*(PlayerGameData[FOUL]))</f>
        <v>0</v>
      </c>
      <c r="S36" s="254" cm="1">
        <f t="array" aca="1" ref="S36" ca="1">SUMPRODUCT((PlayerGameData[Pvisible]=1)*(PlayerGameData[PLAYER, '#]=$A$1)*(PlayerGameData[Opponent]=$F224)*(PlayerGameData[Date]=$G224)*(PlayerGameData[CHRG TKN]))</f>
        <v>0</v>
      </c>
      <c r="T36" s="255">
        <f t="shared" ca="1" si="11"/>
        <v>0</v>
      </c>
      <c r="U36" s="206" t="str">
        <f t="shared" ca="1" si="12"/>
        <v/>
      </c>
      <c r="V36" s="206" t="str">
        <f t="shared" ca="1" si="13"/>
        <v/>
      </c>
      <c r="W36" s="206" t="str">
        <f t="shared" ca="1" si="14"/>
        <v/>
      </c>
      <c r="X36" s="206" t="str">
        <f t="shared" ca="1" si="15"/>
        <v/>
      </c>
      <c r="Y36" s="213" t="str">
        <f t="shared" ca="1" si="16"/>
        <v/>
      </c>
      <c r="Z36" s="184"/>
      <c r="AA36" s="184"/>
      <c r="AB36" s="184"/>
      <c r="AC36" s="184"/>
      <c r="AD36" s="184"/>
      <c r="AE36" s="184"/>
      <c r="AF36" s="184"/>
      <c r="AG36" s="184"/>
      <c r="AH36" s="184"/>
    </row>
    <row r="37" spans="1:34" s="18" customFormat="1" ht="15.6" hidden="1" x14ac:dyDescent="0.35">
      <c r="A37" s="192" t="str">
        <f t="shared" ca="1" si="9"/>
        <v/>
      </c>
      <c r="B37" s="256" cm="1">
        <f t="array" aca="1" ref="B37" ca="1">SUMPRODUCT((PlayerGameData[Pvisible]=1)*(PlayerGameData[PLAYER, '#]=$A$1)*(PlayerGameData[Opponent]=$F225)*(PlayerGameData[Date]=$G225)*(PlayerGameData[START]))</f>
        <v>0</v>
      </c>
      <c r="C37" s="256" cm="1">
        <f t="array" aca="1" ref="C37" ca="1">SUMPRODUCT((PlayerGameData[Pvisible]=1)*(PlayerGameData[PLAYER, '#]=$A$1)*(PlayerGameData[Opponent]=$F225)*(PlayerGameData[Date]=$G225)*(PlayerGameData[GP]))</f>
        <v>0</v>
      </c>
      <c r="D37" s="256" cm="1">
        <f t="array" aca="1" ref="D37" ca="1">SUMPRODUCT((PlayerGameData[Pvisible]=1)*(PlayerGameData[PLAYER, '#]=$A$1)*(PlayerGameData[Opponent]=$F225)*(PlayerGameData[Date]=$G225)*(PlayerGameData[MINUTES]))</f>
        <v>0</v>
      </c>
      <c r="E37" s="257" cm="1">
        <f t="array" aca="1" ref="E37" ca="1">SUMPRODUCT((PlayerGameData[Pvisible]=1)*(PlayerGameData[PLAYER, '#]=$A$1)*(PlayerGameData[Opponent]=$F225)*(PlayerGameData[Date]=$G225)*(PlayerGameData[3FGM]))</f>
        <v>0</v>
      </c>
      <c r="F37" s="258" cm="1">
        <f t="array" aca="1" ref="F37" ca="1">SUMPRODUCT((PlayerGameData[Pvisible]=1)*(PlayerGameData[PLAYER, '#]=$A$1)*(PlayerGameData[Opponent]=$F225)*(PlayerGameData[Date]=$G225)*(PlayerGameData[3FGA]))</f>
        <v>0</v>
      </c>
      <c r="G37" s="257" cm="1">
        <f t="array" aca="1" ref="G37" ca="1">SUMPRODUCT((PlayerGameData[Pvisible]=1)*(PlayerGameData[PLAYER, '#]=$A$1)*(PlayerGameData[Opponent]=$F225)*(PlayerGameData[Date]=$G225)*(PlayerGameData[2FGM]))</f>
        <v>0</v>
      </c>
      <c r="H37" s="258" cm="1">
        <f t="array" aca="1" ref="H37" ca="1">SUMPRODUCT((PlayerGameData[Pvisible]=1)*(PlayerGameData[PLAYER, '#]=$A$1)*(PlayerGameData[Opponent]=$F225)*(PlayerGameData[Date]=$G225)*(PlayerGameData[2FGA]))</f>
        <v>0</v>
      </c>
      <c r="I37" s="257" cm="1">
        <f t="array" aca="1" ref="I37" ca="1">SUMPRODUCT((PlayerGameData[Pvisible]=1)*(PlayerGameData[PLAYER, '#]=$A$1)*(PlayerGameData[Opponent]=$F225)*(PlayerGameData[Date]=$G225)*(PlayerGameData[FTM]))</f>
        <v>0</v>
      </c>
      <c r="J37" s="258" cm="1">
        <f t="array" aca="1" ref="J37" ca="1">SUMPRODUCT((PlayerGameData[Pvisible]=1)*(PlayerGameData[PLAYER, '#]=$A$1)*(PlayerGameData[Opponent]=$F225)*(PlayerGameData[Date]=$G225)*(PlayerGameData[FTA]))</f>
        <v>0</v>
      </c>
      <c r="K37" s="257" cm="1">
        <f t="array" aca="1" ref="K37" ca="1">SUMPRODUCT((PlayerGameData[Pvisible]=1)*(PlayerGameData[PLAYER, '#]=$A$1)*(PlayerGameData[Opponent]=$F225)*(PlayerGameData[Date]=$G225)*(PlayerGameData[OFF REB]))</f>
        <v>0</v>
      </c>
      <c r="L37" s="258" cm="1">
        <f t="array" aca="1" ref="L37" ca="1">SUMPRODUCT((PlayerGameData[Pvisible]=1)*(PlayerGameData[PLAYER, '#]=$A$1)*(PlayerGameData[Opponent]=$F225)*(PlayerGameData[Date]=$G225)*(PlayerGameData[DEF REB]))</f>
        <v>0</v>
      </c>
      <c r="M37" s="258">
        <f t="shared" ca="1" si="10"/>
        <v>0</v>
      </c>
      <c r="N37" s="257" cm="1">
        <f t="array" aca="1" ref="N37" ca="1">SUMPRODUCT((PlayerGameData[Pvisible]=1)*(PlayerGameData[PLAYER, '#]=$A$1)*(PlayerGameData[Opponent]=$F225)*(PlayerGameData[Date]=$G225)*(PlayerGameData[AST]))</f>
        <v>0</v>
      </c>
      <c r="O37" s="258" cm="1">
        <f t="array" aca="1" ref="O37" ca="1">SUMPRODUCT((PlayerGameData[Pvisible]=1)*(PlayerGameData[PLAYER, '#]=$A$1)*(PlayerGameData[Opponent]=$F225)*(PlayerGameData[Date]=$G225)*(PlayerGameData[STL]))</f>
        <v>0</v>
      </c>
      <c r="P37" s="258" cm="1">
        <f t="array" aca="1" ref="P37" ca="1">SUMPRODUCT((PlayerGameData[Pvisible]=1)*(PlayerGameData[PLAYER, '#]=$A$1)*(PlayerGameData[Opponent]=$F225)*(PlayerGameData[Date]=$G225)*(PlayerGameData[BLK]))</f>
        <v>0</v>
      </c>
      <c r="Q37" s="258" cm="1">
        <f t="array" aca="1" ref="Q37" ca="1">SUMPRODUCT((PlayerGameData[Pvisible]=1)*(PlayerGameData[PLAYER, '#]=$A$1)*(PlayerGameData[Opponent]=$F225)*(PlayerGameData[Date]=$G225)*(PlayerGameData[TO]))</f>
        <v>0</v>
      </c>
      <c r="R37" s="258" cm="1">
        <f t="array" aca="1" ref="R37" ca="1">SUMPRODUCT((PlayerGameData[Pvisible]=1)*(PlayerGameData[PLAYER, '#]=$A$1)*(PlayerGameData[Opponent]=$F225)*(PlayerGameData[Date]=$G225)*(PlayerGameData[FOUL]))</f>
        <v>0</v>
      </c>
      <c r="S37" s="258" cm="1">
        <f t="array" aca="1" ref="S37" ca="1">SUMPRODUCT((PlayerGameData[Pvisible]=1)*(PlayerGameData[PLAYER, '#]=$A$1)*(PlayerGameData[Opponent]=$F225)*(PlayerGameData[Date]=$G225)*(PlayerGameData[CHRG TKN]))</f>
        <v>0</v>
      </c>
      <c r="T37" s="259">
        <f t="shared" ca="1" si="11"/>
        <v>0</v>
      </c>
      <c r="U37" s="193" t="str">
        <f t="shared" ca="1" si="12"/>
        <v/>
      </c>
      <c r="V37" s="193" t="str">
        <f t="shared" ca="1" si="13"/>
        <v/>
      </c>
      <c r="W37" s="193" t="str">
        <f t="shared" ca="1" si="14"/>
        <v/>
      </c>
      <c r="X37" s="193" t="str">
        <f t="shared" ca="1" si="15"/>
        <v/>
      </c>
      <c r="Y37" s="194" t="str">
        <f t="shared" ca="1" si="16"/>
        <v/>
      </c>
      <c r="Z37" s="184"/>
      <c r="AA37" s="184"/>
      <c r="AB37" s="184"/>
      <c r="AC37" s="184"/>
      <c r="AD37" s="184"/>
      <c r="AE37" s="184"/>
      <c r="AF37" s="184"/>
      <c r="AG37" s="184"/>
      <c r="AH37" s="184"/>
    </row>
    <row r="38" spans="1:34" s="18" customFormat="1" ht="15.6" hidden="1" x14ac:dyDescent="0.35">
      <c r="A38" s="212" t="str">
        <f t="shared" ca="1" si="9"/>
        <v/>
      </c>
      <c r="B38" s="252" cm="1">
        <f t="array" aca="1" ref="B38" ca="1">SUMPRODUCT((PlayerGameData[Pvisible]=1)*(PlayerGameData[PLAYER, '#]=$A$1)*(PlayerGameData[Opponent]=$F226)*(PlayerGameData[Date]=$G226)*(PlayerGameData[START]))</f>
        <v>0</v>
      </c>
      <c r="C38" s="252" cm="1">
        <f t="array" aca="1" ref="C38" ca="1">SUMPRODUCT((PlayerGameData[Pvisible]=1)*(PlayerGameData[PLAYER, '#]=$A$1)*(PlayerGameData[Opponent]=$F226)*(PlayerGameData[Date]=$G226)*(PlayerGameData[GP]))</f>
        <v>0</v>
      </c>
      <c r="D38" s="252" cm="1">
        <f t="array" aca="1" ref="D38" ca="1">SUMPRODUCT((PlayerGameData[Pvisible]=1)*(PlayerGameData[PLAYER, '#]=$A$1)*(PlayerGameData[Opponent]=$F226)*(PlayerGameData[Date]=$G226)*(PlayerGameData[MINUTES]))</f>
        <v>0</v>
      </c>
      <c r="E38" s="253" cm="1">
        <f t="array" aca="1" ref="E38" ca="1">SUMPRODUCT((PlayerGameData[Pvisible]=1)*(PlayerGameData[PLAYER, '#]=$A$1)*(PlayerGameData[Opponent]=$F226)*(PlayerGameData[Date]=$G226)*(PlayerGameData[3FGM]))</f>
        <v>0</v>
      </c>
      <c r="F38" s="254" cm="1">
        <f t="array" aca="1" ref="F38" ca="1">SUMPRODUCT((PlayerGameData[Pvisible]=1)*(PlayerGameData[PLAYER, '#]=$A$1)*(PlayerGameData[Opponent]=$F226)*(PlayerGameData[Date]=$G226)*(PlayerGameData[3FGA]))</f>
        <v>0</v>
      </c>
      <c r="G38" s="253" cm="1">
        <f t="array" aca="1" ref="G38" ca="1">SUMPRODUCT((PlayerGameData[Pvisible]=1)*(PlayerGameData[PLAYER, '#]=$A$1)*(PlayerGameData[Opponent]=$F226)*(PlayerGameData[Date]=$G226)*(PlayerGameData[2FGM]))</f>
        <v>0</v>
      </c>
      <c r="H38" s="254" cm="1">
        <f t="array" aca="1" ref="H38" ca="1">SUMPRODUCT((PlayerGameData[Pvisible]=1)*(PlayerGameData[PLAYER, '#]=$A$1)*(PlayerGameData[Opponent]=$F226)*(PlayerGameData[Date]=$G226)*(PlayerGameData[2FGA]))</f>
        <v>0</v>
      </c>
      <c r="I38" s="253" cm="1">
        <f t="array" aca="1" ref="I38" ca="1">SUMPRODUCT((PlayerGameData[Pvisible]=1)*(PlayerGameData[PLAYER, '#]=$A$1)*(PlayerGameData[Opponent]=$F226)*(PlayerGameData[Date]=$G226)*(PlayerGameData[FTM]))</f>
        <v>0</v>
      </c>
      <c r="J38" s="254" cm="1">
        <f t="array" aca="1" ref="J38" ca="1">SUMPRODUCT((PlayerGameData[Pvisible]=1)*(PlayerGameData[PLAYER, '#]=$A$1)*(PlayerGameData[Opponent]=$F226)*(PlayerGameData[Date]=$G226)*(PlayerGameData[FTA]))</f>
        <v>0</v>
      </c>
      <c r="K38" s="253" cm="1">
        <f t="array" aca="1" ref="K38" ca="1">SUMPRODUCT((PlayerGameData[Pvisible]=1)*(PlayerGameData[PLAYER, '#]=$A$1)*(PlayerGameData[Opponent]=$F226)*(PlayerGameData[Date]=$G226)*(PlayerGameData[OFF REB]))</f>
        <v>0</v>
      </c>
      <c r="L38" s="254" cm="1">
        <f t="array" aca="1" ref="L38" ca="1">SUMPRODUCT((PlayerGameData[Pvisible]=1)*(PlayerGameData[PLAYER, '#]=$A$1)*(PlayerGameData[Opponent]=$F226)*(PlayerGameData[Date]=$G226)*(PlayerGameData[DEF REB]))</f>
        <v>0</v>
      </c>
      <c r="M38" s="254">
        <f t="shared" ca="1" si="10"/>
        <v>0</v>
      </c>
      <c r="N38" s="253" cm="1">
        <f t="array" aca="1" ref="N38" ca="1">SUMPRODUCT((PlayerGameData[Pvisible]=1)*(PlayerGameData[PLAYER, '#]=$A$1)*(PlayerGameData[Opponent]=$F226)*(PlayerGameData[Date]=$G226)*(PlayerGameData[AST]))</f>
        <v>0</v>
      </c>
      <c r="O38" s="254" cm="1">
        <f t="array" aca="1" ref="O38" ca="1">SUMPRODUCT((PlayerGameData[Pvisible]=1)*(PlayerGameData[PLAYER, '#]=$A$1)*(PlayerGameData[Opponent]=$F226)*(PlayerGameData[Date]=$G226)*(PlayerGameData[STL]))</f>
        <v>0</v>
      </c>
      <c r="P38" s="254" cm="1">
        <f t="array" aca="1" ref="P38" ca="1">SUMPRODUCT((PlayerGameData[Pvisible]=1)*(PlayerGameData[PLAYER, '#]=$A$1)*(PlayerGameData[Opponent]=$F226)*(PlayerGameData[Date]=$G226)*(PlayerGameData[BLK]))</f>
        <v>0</v>
      </c>
      <c r="Q38" s="254" cm="1">
        <f t="array" aca="1" ref="Q38" ca="1">SUMPRODUCT((PlayerGameData[Pvisible]=1)*(PlayerGameData[PLAYER, '#]=$A$1)*(PlayerGameData[Opponent]=$F226)*(PlayerGameData[Date]=$G226)*(PlayerGameData[TO]))</f>
        <v>0</v>
      </c>
      <c r="R38" s="254" cm="1">
        <f t="array" aca="1" ref="R38" ca="1">SUMPRODUCT((PlayerGameData[Pvisible]=1)*(PlayerGameData[PLAYER, '#]=$A$1)*(PlayerGameData[Opponent]=$F226)*(PlayerGameData[Date]=$G226)*(PlayerGameData[FOUL]))</f>
        <v>0</v>
      </c>
      <c r="S38" s="254" cm="1">
        <f t="array" aca="1" ref="S38" ca="1">SUMPRODUCT((PlayerGameData[Pvisible]=1)*(PlayerGameData[PLAYER, '#]=$A$1)*(PlayerGameData[Opponent]=$F226)*(PlayerGameData[Date]=$G226)*(PlayerGameData[CHRG TKN]))</f>
        <v>0</v>
      </c>
      <c r="T38" s="255">
        <f t="shared" ca="1" si="11"/>
        <v>0</v>
      </c>
      <c r="U38" s="206" t="str">
        <f t="shared" ca="1" si="12"/>
        <v/>
      </c>
      <c r="V38" s="206" t="str">
        <f t="shared" ca="1" si="13"/>
        <v/>
      </c>
      <c r="W38" s="206" t="str">
        <f t="shared" ca="1" si="14"/>
        <v/>
      </c>
      <c r="X38" s="206" t="str">
        <f t="shared" ca="1" si="15"/>
        <v/>
      </c>
      <c r="Y38" s="213" t="str">
        <f t="shared" ca="1" si="16"/>
        <v/>
      </c>
      <c r="Z38" s="184"/>
      <c r="AA38" s="184"/>
      <c r="AB38" s="184"/>
      <c r="AC38" s="184"/>
      <c r="AD38" s="184"/>
      <c r="AE38" s="184"/>
      <c r="AF38" s="184"/>
      <c r="AG38" s="184"/>
      <c r="AH38" s="184"/>
    </row>
    <row r="39" spans="1:34" s="18" customFormat="1" ht="15.6" hidden="1" x14ac:dyDescent="0.35">
      <c r="A39" s="192" t="str">
        <f t="shared" ca="1" si="9"/>
        <v/>
      </c>
      <c r="B39" s="256" cm="1">
        <f t="array" aca="1" ref="B39" ca="1">SUMPRODUCT((PlayerGameData[Pvisible]=1)*(PlayerGameData[PLAYER, '#]=$A$1)*(PlayerGameData[Opponent]=$F227)*(PlayerGameData[Date]=$G227)*(PlayerGameData[START]))</f>
        <v>0</v>
      </c>
      <c r="C39" s="256" cm="1">
        <f t="array" aca="1" ref="C39" ca="1">SUMPRODUCT((PlayerGameData[Pvisible]=1)*(PlayerGameData[PLAYER, '#]=$A$1)*(PlayerGameData[Opponent]=$F227)*(PlayerGameData[Date]=$G227)*(PlayerGameData[GP]))</f>
        <v>0</v>
      </c>
      <c r="D39" s="256" cm="1">
        <f t="array" aca="1" ref="D39" ca="1">SUMPRODUCT((PlayerGameData[Pvisible]=1)*(PlayerGameData[PLAYER, '#]=$A$1)*(PlayerGameData[Opponent]=$F227)*(PlayerGameData[Date]=$G227)*(PlayerGameData[MINUTES]))</f>
        <v>0</v>
      </c>
      <c r="E39" s="257" cm="1">
        <f t="array" aca="1" ref="E39" ca="1">SUMPRODUCT((PlayerGameData[Pvisible]=1)*(PlayerGameData[PLAYER, '#]=$A$1)*(PlayerGameData[Opponent]=$F227)*(PlayerGameData[Date]=$G227)*(PlayerGameData[3FGM]))</f>
        <v>0</v>
      </c>
      <c r="F39" s="258" cm="1">
        <f t="array" aca="1" ref="F39" ca="1">SUMPRODUCT((PlayerGameData[Pvisible]=1)*(PlayerGameData[PLAYER, '#]=$A$1)*(PlayerGameData[Opponent]=$F227)*(PlayerGameData[Date]=$G227)*(PlayerGameData[3FGA]))</f>
        <v>0</v>
      </c>
      <c r="G39" s="257" cm="1">
        <f t="array" aca="1" ref="G39" ca="1">SUMPRODUCT((PlayerGameData[Pvisible]=1)*(PlayerGameData[PLAYER, '#]=$A$1)*(PlayerGameData[Opponent]=$F227)*(PlayerGameData[Date]=$G227)*(PlayerGameData[2FGM]))</f>
        <v>0</v>
      </c>
      <c r="H39" s="258" cm="1">
        <f t="array" aca="1" ref="H39" ca="1">SUMPRODUCT((PlayerGameData[Pvisible]=1)*(PlayerGameData[PLAYER, '#]=$A$1)*(PlayerGameData[Opponent]=$F227)*(PlayerGameData[Date]=$G227)*(PlayerGameData[2FGA]))</f>
        <v>0</v>
      </c>
      <c r="I39" s="257" cm="1">
        <f t="array" aca="1" ref="I39" ca="1">SUMPRODUCT((PlayerGameData[Pvisible]=1)*(PlayerGameData[PLAYER, '#]=$A$1)*(PlayerGameData[Opponent]=$F227)*(PlayerGameData[Date]=$G227)*(PlayerGameData[FTM]))</f>
        <v>0</v>
      </c>
      <c r="J39" s="258" cm="1">
        <f t="array" aca="1" ref="J39" ca="1">SUMPRODUCT((PlayerGameData[Pvisible]=1)*(PlayerGameData[PLAYER, '#]=$A$1)*(PlayerGameData[Opponent]=$F227)*(PlayerGameData[Date]=$G227)*(PlayerGameData[FTA]))</f>
        <v>0</v>
      </c>
      <c r="K39" s="257" cm="1">
        <f t="array" aca="1" ref="K39" ca="1">SUMPRODUCT((PlayerGameData[Pvisible]=1)*(PlayerGameData[PLAYER, '#]=$A$1)*(PlayerGameData[Opponent]=$F227)*(PlayerGameData[Date]=$G227)*(PlayerGameData[OFF REB]))</f>
        <v>0</v>
      </c>
      <c r="L39" s="258" cm="1">
        <f t="array" aca="1" ref="L39" ca="1">SUMPRODUCT((PlayerGameData[Pvisible]=1)*(PlayerGameData[PLAYER, '#]=$A$1)*(PlayerGameData[Opponent]=$F227)*(PlayerGameData[Date]=$G227)*(PlayerGameData[DEF REB]))</f>
        <v>0</v>
      </c>
      <c r="M39" s="258">
        <f t="shared" ca="1" si="10"/>
        <v>0</v>
      </c>
      <c r="N39" s="257" cm="1">
        <f t="array" aca="1" ref="N39" ca="1">SUMPRODUCT((PlayerGameData[Pvisible]=1)*(PlayerGameData[PLAYER, '#]=$A$1)*(PlayerGameData[Opponent]=$F227)*(PlayerGameData[Date]=$G227)*(PlayerGameData[AST]))</f>
        <v>0</v>
      </c>
      <c r="O39" s="258" cm="1">
        <f t="array" aca="1" ref="O39" ca="1">SUMPRODUCT((PlayerGameData[Pvisible]=1)*(PlayerGameData[PLAYER, '#]=$A$1)*(PlayerGameData[Opponent]=$F227)*(PlayerGameData[Date]=$G227)*(PlayerGameData[STL]))</f>
        <v>0</v>
      </c>
      <c r="P39" s="258" cm="1">
        <f t="array" aca="1" ref="P39" ca="1">SUMPRODUCT((PlayerGameData[Pvisible]=1)*(PlayerGameData[PLAYER, '#]=$A$1)*(PlayerGameData[Opponent]=$F227)*(PlayerGameData[Date]=$G227)*(PlayerGameData[BLK]))</f>
        <v>0</v>
      </c>
      <c r="Q39" s="258" cm="1">
        <f t="array" aca="1" ref="Q39" ca="1">SUMPRODUCT((PlayerGameData[Pvisible]=1)*(PlayerGameData[PLAYER, '#]=$A$1)*(PlayerGameData[Opponent]=$F227)*(PlayerGameData[Date]=$G227)*(PlayerGameData[TO]))</f>
        <v>0</v>
      </c>
      <c r="R39" s="258" cm="1">
        <f t="array" aca="1" ref="R39" ca="1">SUMPRODUCT((PlayerGameData[Pvisible]=1)*(PlayerGameData[PLAYER, '#]=$A$1)*(PlayerGameData[Opponent]=$F227)*(PlayerGameData[Date]=$G227)*(PlayerGameData[FOUL]))</f>
        <v>0</v>
      </c>
      <c r="S39" s="258" cm="1">
        <f t="array" aca="1" ref="S39" ca="1">SUMPRODUCT((PlayerGameData[Pvisible]=1)*(PlayerGameData[PLAYER, '#]=$A$1)*(PlayerGameData[Opponent]=$F227)*(PlayerGameData[Date]=$G227)*(PlayerGameData[CHRG TKN]))</f>
        <v>0</v>
      </c>
      <c r="T39" s="259">
        <f t="shared" ca="1" si="11"/>
        <v>0</v>
      </c>
      <c r="U39" s="193" t="str">
        <f t="shared" ca="1" si="12"/>
        <v/>
      </c>
      <c r="V39" s="193" t="str">
        <f t="shared" ca="1" si="13"/>
        <v/>
      </c>
      <c r="W39" s="193" t="str">
        <f t="shared" ca="1" si="14"/>
        <v/>
      </c>
      <c r="X39" s="193" t="str">
        <f t="shared" ca="1" si="15"/>
        <v/>
      </c>
      <c r="Y39" s="194" t="str">
        <f t="shared" ca="1" si="16"/>
        <v/>
      </c>
      <c r="Z39" s="184"/>
      <c r="AA39" s="184"/>
      <c r="AB39" s="184"/>
      <c r="AC39" s="184"/>
      <c r="AD39" s="184"/>
      <c r="AE39" s="184"/>
      <c r="AF39" s="184"/>
      <c r="AG39" s="184"/>
      <c r="AH39" s="184"/>
    </row>
    <row r="40" spans="1:34" s="18" customFormat="1" ht="15.6" hidden="1" x14ac:dyDescent="0.35">
      <c r="A40" s="212" t="str">
        <f t="shared" ca="1" si="9"/>
        <v/>
      </c>
      <c r="B40" s="252" cm="1">
        <f t="array" aca="1" ref="B40" ca="1">SUMPRODUCT((PlayerGameData[Pvisible]=1)*(PlayerGameData[PLAYER, '#]=$A$1)*(PlayerGameData[Opponent]=$F228)*(PlayerGameData[Date]=$G228)*(PlayerGameData[START]))</f>
        <v>0</v>
      </c>
      <c r="C40" s="252" cm="1">
        <f t="array" aca="1" ref="C40" ca="1">SUMPRODUCT((PlayerGameData[Pvisible]=1)*(PlayerGameData[PLAYER, '#]=$A$1)*(PlayerGameData[Opponent]=$F228)*(PlayerGameData[Date]=$G228)*(PlayerGameData[GP]))</f>
        <v>0</v>
      </c>
      <c r="D40" s="252" cm="1">
        <f t="array" aca="1" ref="D40" ca="1">SUMPRODUCT((PlayerGameData[Pvisible]=1)*(PlayerGameData[PLAYER, '#]=$A$1)*(PlayerGameData[Opponent]=$F228)*(PlayerGameData[Date]=$G228)*(PlayerGameData[MINUTES]))</f>
        <v>0</v>
      </c>
      <c r="E40" s="253" cm="1">
        <f t="array" aca="1" ref="E40" ca="1">SUMPRODUCT((PlayerGameData[Pvisible]=1)*(PlayerGameData[PLAYER, '#]=$A$1)*(PlayerGameData[Opponent]=$F228)*(PlayerGameData[Date]=$G228)*(PlayerGameData[3FGM]))</f>
        <v>0</v>
      </c>
      <c r="F40" s="254" cm="1">
        <f t="array" aca="1" ref="F40" ca="1">SUMPRODUCT((PlayerGameData[Pvisible]=1)*(PlayerGameData[PLAYER, '#]=$A$1)*(PlayerGameData[Opponent]=$F228)*(PlayerGameData[Date]=$G228)*(PlayerGameData[3FGA]))</f>
        <v>0</v>
      </c>
      <c r="G40" s="253" cm="1">
        <f t="array" aca="1" ref="G40" ca="1">SUMPRODUCT((PlayerGameData[Pvisible]=1)*(PlayerGameData[PLAYER, '#]=$A$1)*(PlayerGameData[Opponent]=$F228)*(PlayerGameData[Date]=$G228)*(PlayerGameData[2FGM]))</f>
        <v>0</v>
      </c>
      <c r="H40" s="254" cm="1">
        <f t="array" aca="1" ref="H40" ca="1">SUMPRODUCT((PlayerGameData[Pvisible]=1)*(PlayerGameData[PLAYER, '#]=$A$1)*(PlayerGameData[Opponent]=$F228)*(PlayerGameData[Date]=$G228)*(PlayerGameData[2FGA]))</f>
        <v>0</v>
      </c>
      <c r="I40" s="253" cm="1">
        <f t="array" aca="1" ref="I40" ca="1">SUMPRODUCT((PlayerGameData[Pvisible]=1)*(PlayerGameData[PLAYER, '#]=$A$1)*(PlayerGameData[Opponent]=$F228)*(PlayerGameData[Date]=$G228)*(PlayerGameData[FTM]))</f>
        <v>0</v>
      </c>
      <c r="J40" s="254" cm="1">
        <f t="array" aca="1" ref="J40" ca="1">SUMPRODUCT((PlayerGameData[Pvisible]=1)*(PlayerGameData[PLAYER, '#]=$A$1)*(PlayerGameData[Opponent]=$F228)*(PlayerGameData[Date]=$G228)*(PlayerGameData[FTA]))</f>
        <v>0</v>
      </c>
      <c r="K40" s="253" cm="1">
        <f t="array" aca="1" ref="K40" ca="1">SUMPRODUCT((PlayerGameData[Pvisible]=1)*(PlayerGameData[PLAYER, '#]=$A$1)*(PlayerGameData[Opponent]=$F228)*(PlayerGameData[Date]=$G228)*(PlayerGameData[OFF REB]))</f>
        <v>0</v>
      </c>
      <c r="L40" s="254" cm="1">
        <f t="array" aca="1" ref="L40" ca="1">SUMPRODUCT((PlayerGameData[Pvisible]=1)*(PlayerGameData[PLAYER, '#]=$A$1)*(PlayerGameData[Opponent]=$F228)*(PlayerGameData[Date]=$G228)*(PlayerGameData[DEF REB]))</f>
        <v>0</v>
      </c>
      <c r="M40" s="254">
        <f t="shared" ca="1" si="10"/>
        <v>0</v>
      </c>
      <c r="N40" s="253" cm="1">
        <f t="array" aca="1" ref="N40" ca="1">SUMPRODUCT((PlayerGameData[Pvisible]=1)*(PlayerGameData[PLAYER, '#]=$A$1)*(PlayerGameData[Opponent]=$F228)*(PlayerGameData[Date]=$G228)*(PlayerGameData[AST]))</f>
        <v>0</v>
      </c>
      <c r="O40" s="254" cm="1">
        <f t="array" aca="1" ref="O40" ca="1">SUMPRODUCT((PlayerGameData[Pvisible]=1)*(PlayerGameData[PLAYER, '#]=$A$1)*(PlayerGameData[Opponent]=$F228)*(PlayerGameData[Date]=$G228)*(PlayerGameData[STL]))</f>
        <v>0</v>
      </c>
      <c r="P40" s="254" cm="1">
        <f t="array" aca="1" ref="P40" ca="1">SUMPRODUCT((PlayerGameData[Pvisible]=1)*(PlayerGameData[PLAYER, '#]=$A$1)*(PlayerGameData[Opponent]=$F228)*(PlayerGameData[Date]=$G228)*(PlayerGameData[BLK]))</f>
        <v>0</v>
      </c>
      <c r="Q40" s="254" cm="1">
        <f t="array" aca="1" ref="Q40" ca="1">SUMPRODUCT((PlayerGameData[Pvisible]=1)*(PlayerGameData[PLAYER, '#]=$A$1)*(PlayerGameData[Opponent]=$F228)*(PlayerGameData[Date]=$G228)*(PlayerGameData[TO]))</f>
        <v>0</v>
      </c>
      <c r="R40" s="254" cm="1">
        <f t="array" aca="1" ref="R40" ca="1">SUMPRODUCT((PlayerGameData[Pvisible]=1)*(PlayerGameData[PLAYER, '#]=$A$1)*(PlayerGameData[Opponent]=$F228)*(PlayerGameData[Date]=$G228)*(PlayerGameData[FOUL]))</f>
        <v>0</v>
      </c>
      <c r="S40" s="254" cm="1">
        <f t="array" aca="1" ref="S40" ca="1">SUMPRODUCT((PlayerGameData[Pvisible]=1)*(PlayerGameData[PLAYER, '#]=$A$1)*(PlayerGameData[Opponent]=$F228)*(PlayerGameData[Date]=$G228)*(PlayerGameData[CHRG TKN]))</f>
        <v>0</v>
      </c>
      <c r="T40" s="255">
        <f t="shared" ca="1" si="11"/>
        <v>0</v>
      </c>
      <c r="U40" s="206" t="str">
        <f t="shared" ca="1" si="12"/>
        <v/>
      </c>
      <c r="V40" s="206" t="str">
        <f t="shared" ca="1" si="13"/>
        <v/>
      </c>
      <c r="W40" s="206" t="str">
        <f t="shared" ca="1" si="14"/>
        <v/>
      </c>
      <c r="X40" s="206" t="str">
        <f t="shared" ca="1" si="15"/>
        <v/>
      </c>
      <c r="Y40" s="213" t="str">
        <f t="shared" ca="1" si="16"/>
        <v/>
      </c>
      <c r="Z40" s="184"/>
      <c r="AA40" s="184"/>
      <c r="AB40" s="184"/>
      <c r="AC40" s="184"/>
      <c r="AD40" s="184"/>
      <c r="AE40" s="184"/>
      <c r="AF40" s="184"/>
      <c r="AG40" s="184"/>
      <c r="AH40" s="184"/>
    </row>
    <row r="41" spans="1:34" s="18" customFormat="1" ht="15.6" hidden="1" x14ac:dyDescent="0.35">
      <c r="A41" s="192" t="str">
        <f t="shared" ca="1" si="9"/>
        <v/>
      </c>
      <c r="B41" s="256" cm="1">
        <f t="array" aca="1" ref="B41" ca="1">SUMPRODUCT((PlayerGameData[Pvisible]=1)*(PlayerGameData[PLAYER, '#]=$A$1)*(PlayerGameData[Opponent]=$F229)*(PlayerGameData[Date]=$G229)*(PlayerGameData[START]))</f>
        <v>0</v>
      </c>
      <c r="C41" s="256" cm="1">
        <f t="array" aca="1" ref="C41" ca="1">SUMPRODUCT((PlayerGameData[Pvisible]=1)*(PlayerGameData[PLAYER, '#]=$A$1)*(PlayerGameData[Opponent]=$F229)*(PlayerGameData[Date]=$G229)*(PlayerGameData[GP]))</f>
        <v>0</v>
      </c>
      <c r="D41" s="256" cm="1">
        <f t="array" aca="1" ref="D41" ca="1">SUMPRODUCT((PlayerGameData[Pvisible]=1)*(PlayerGameData[PLAYER, '#]=$A$1)*(PlayerGameData[Opponent]=$F229)*(PlayerGameData[Date]=$G229)*(PlayerGameData[MINUTES]))</f>
        <v>0</v>
      </c>
      <c r="E41" s="257" cm="1">
        <f t="array" aca="1" ref="E41" ca="1">SUMPRODUCT((PlayerGameData[Pvisible]=1)*(PlayerGameData[PLAYER, '#]=$A$1)*(PlayerGameData[Opponent]=$F229)*(PlayerGameData[Date]=$G229)*(PlayerGameData[3FGM]))</f>
        <v>0</v>
      </c>
      <c r="F41" s="258" cm="1">
        <f t="array" aca="1" ref="F41" ca="1">SUMPRODUCT((PlayerGameData[Pvisible]=1)*(PlayerGameData[PLAYER, '#]=$A$1)*(PlayerGameData[Opponent]=$F229)*(PlayerGameData[Date]=$G229)*(PlayerGameData[3FGA]))</f>
        <v>0</v>
      </c>
      <c r="G41" s="257" cm="1">
        <f t="array" aca="1" ref="G41" ca="1">SUMPRODUCT((PlayerGameData[Pvisible]=1)*(PlayerGameData[PLAYER, '#]=$A$1)*(PlayerGameData[Opponent]=$F229)*(PlayerGameData[Date]=$G229)*(PlayerGameData[2FGM]))</f>
        <v>0</v>
      </c>
      <c r="H41" s="258" cm="1">
        <f t="array" aca="1" ref="H41" ca="1">SUMPRODUCT((PlayerGameData[Pvisible]=1)*(PlayerGameData[PLAYER, '#]=$A$1)*(PlayerGameData[Opponent]=$F229)*(PlayerGameData[Date]=$G229)*(PlayerGameData[2FGA]))</f>
        <v>0</v>
      </c>
      <c r="I41" s="257" cm="1">
        <f t="array" aca="1" ref="I41" ca="1">SUMPRODUCT((PlayerGameData[Pvisible]=1)*(PlayerGameData[PLAYER, '#]=$A$1)*(PlayerGameData[Opponent]=$F229)*(PlayerGameData[Date]=$G229)*(PlayerGameData[FTM]))</f>
        <v>0</v>
      </c>
      <c r="J41" s="258" cm="1">
        <f t="array" aca="1" ref="J41" ca="1">SUMPRODUCT((PlayerGameData[Pvisible]=1)*(PlayerGameData[PLAYER, '#]=$A$1)*(PlayerGameData[Opponent]=$F229)*(PlayerGameData[Date]=$G229)*(PlayerGameData[FTA]))</f>
        <v>0</v>
      </c>
      <c r="K41" s="257" cm="1">
        <f t="array" aca="1" ref="K41" ca="1">SUMPRODUCT((PlayerGameData[Pvisible]=1)*(PlayerGameData[PLAYER, '#]=$A$1)*(PlayerGameData[Opponent]=$F229)*(PlayerGameData[Date]=$G229)*(PlayerGameData[OFF REB]))</f>
        <v>0</v>
      </c>
      <c r="L41" s="258" cm="1">
        <f t="array" aca="1" ref="L41" ca="1">SUMPRODUCT((PlayerGameData[Pvisible]=1)*(PlayerGameData[PLAYER, '#]=$A$1)*(PlayerGameData[Opponent]=$F229)*(PlayerGameData[Date]=$G229)*(PlayerGameData[DEF REB]))</f>
        <v>0</v>
      </c>
      <c r="M41" s="258">
        <f t="shared" ca="1" si="10"/>
        <v>0</v>
      </c>
      <c r="N41" s="257" cm="1">
        <f t="array" aca="1" ref="N41" ca="1">SUMPRODUCT((PlayerGameData[Pvisible]=1)*(PlayerGameData[PLAYER, '#]=$A$1)*(PlayerGameData[Opponent]=$F229)*(PlayerGameData[Date]=$G229)*(PlayerGameData[AST]))</f>
        <v>0</v>
      </c>
      <c r="O41" s="258" cm="1">
        <f t="array" aca="1" ref="O41" ca="1">SUMPRODUCT((PlayerGameData[Pvisible]=1)*(PlayerGameData[PLAYER, '#]=$A$1)*(PlayerGameData[Opponent]=$F229)*(PlayerGameData[Date]=$G229)*(PlayerGameData[STL]))</f>
        <v>0</v>
      </c>
      <c r="P41" s="258" cm="1">
        <f t="array" aca="1" ref="P41" ca="1">SUMPRODUCT((PlayerGameData[Pvisible]=1)*(PlayerGameData[PLAYER, '#]=$A$1)*(PlayerGameData[Opponent]=$F229)*(PlayerGameData[Date]=$G229)*(PlayerGameData[BLK]))</f>
        <v>0</v>
      </c>
      <c r="Q41" s="258" cm="1">
        <f t="array" aca="1" ref="Q41" ca="1">SUMPRODUCT((PlayerGameData[Pvisible]=1)*(PlayerGameData[PLAYER, '#]=$A$1)*(PlayerGameData[Opponent]=$F229)*(PlayerGameData[Date]=$G229)*(PlayerGameData[TO]))</f>
        <v>0</v>
      </c>
      <c r="R41" s="258" cm="1">
        <f t="array" aca="1" ref="R41" ca="1">SUMPRODUCT((PlayerGameData[Pvisible]=1)*(PlayerGameData[PLAYER, '#]=$A$1)*(PlayerGameData[Opponent]=$F229)*(PlayerGameData[Date]=$G229)*(PlayerGameData[FOUL]))</f>
        <v>0</v>
      </c>
      <c r="S41" s="258" cm="1">
        <f t="array" aca="1" ref="S41" ca="1">SUMPRODUCT((PlayerGameData[Pvisible]=1)*(PlayerGameData[PLAYER, '#]=$A$1)*(PlayerGameData[Opponent]=$F229)*(PlayerGameData[Date]=$G229)*(PlayerGameData[CHRG TKN]))</f>
        <v>0</v>
      </c>
      <c r="T41" s="259">
        <f t="shared" ca="1" si="11"/>
        <v>0</v>
      </c>
      <c r="U41" s="193" t="str">
        <f t="shared" ca="1" si="12"/>
        <v/>
      </c>
      <c r="V41" s="193" t="str">
        <f t="shared" ca="1" si="13"/>
        <v/>
      </c>
      <c r="W41" s="193" t="str">
        <f t="shared" ca="1" si="14"/>
        <v/>
      </c>
      <c r="X41" s="193" t="str">
        <f t="shared" ca="1" si="15"/>
        <v/>
      </c>
      <c r="Y41" s="194" t="str">
        <f t="shared" ca="1" si="16"/>
        <v/>
      </c>
      <c r="Z41" s="184"/>
      <c r="AA41" s="184"/>
      <c r="AB41" s="184"/>
      <c r="AC41" s="184"/>
      <c r="AD41" s="184"/>
      <c r="AE41" s="184"/>
      <c r="AF41" s="184"/>
      <c r="AG41" s="184"/>
      <c r="AH41" s="184"/>
    </row>
    <row r="42" spans="1:34" s="18" customFormat="1" ht="15.6" hidden="1" x14ac:dyDescent="0.35">
      <c r="A42" s="212" t="str">
        <f t="shared" ca="1" si="9"/>
        <v/>
      </c>
      <c r="B42" s="252" cm="1">
        <f t="array" aca="1" ref="B42" ca="1">SUMPRODUCT((PlayerGameData[Pvisible]=1)*(PlayerGameData[PLAYER, '#]=$A$1)*(PlayerGameData[Opponent]=$F230)*(PlayerGameData[Date]=$G230)*(PlayerGameData[START]))</f>
        <v>0</v>
      </c>
      <c r="C42" s="252" cm="1">
        <f t="array" aca="1" ref="C42" ca="1">SUMPRODUCT((PlayerGameData[Pvisible]=1)*(PlayerGameData[PLAYER, '#]=$A$1)*(PlayerGameData[Opponent]=$F230)*(PlayerGameData[Date]=$G230)*(PlayerGameData[GP]))</f>
        <v>0</v>
      </c>
      <c r="D42" s="252" cm="1">
        <f t="array" aca="1" ref="D42" ca="1">SUMPRODUCT((PlayerGameData[Pvisible]=1)*(PlayerGameData[PLAYER, '#]=$A$1)*(PlayerGameData[Opponent]=$F230)*(PlayerGameData[Date]=$G230)*(PlayerGameData[MINUTES]))</f>
        <v>0</v>
      </c>
      <c r="E42" s="253" cm="1">
        <f t="array" aca="1" ref="E42" ca="1">SUMPRODUCT((PlayerGameData[Pvisible]=1)*(PlayerGameData[PLAYER, '#]=$A$1)*(PlayerGameData[Opponent]=$F230)*(PlayerGameData[Date]=$G230)*(PlayerGameData[3FGM]))</f>
        <v>0</v>
      </c>
      <c r="F42" s="254" cm="1">
        <f t="array" aca="1" ref="F42" ca="1">SUMPRODUCT((PlayerGameData[Pvisible]=1)*(PlayerGameData[PLAYER, '#]=$A$1)*(PlayerGameData[Opponent]=$F230)*(PlayerGameData[Date]=$G230)*(PlayerGameData[3FGA]))</f>
        <v>0</v>
      </c>
      <c r="G42" s="253" cm="1">
        <f t="array" aca="1" ref="G42" ca="1">SUMPRODUCT((PlayerGameData[Pvisible]=1)*(PlayerGameData[PLAYER, '#]=$A$1)*(PlayerGameData[Opponent]=$F230)*(PlayerGameData[Date]=$G230)*(PlayerGameData[2FGM]))</f>
        <v>0</v>
      </c>
      <c r="H42" s="254" cm="1">
        <f t="array" aca="1" ref="H42" ca="1">SUMPRODUCT((PlayerGameData[Pvisible]=1)*(PlayerGameData[PLAYER, '#]=$A$1)*(PlayerGameData[Opponent]=$F230)*(PlayerGameData[Date]=$G230)*(PlayerGameData[2FGA]))</f>
        <v>0</v>
      </c>
      <c r="I42" s="253" cm="1">
        <f t="array" aca="1" ref="I42" ca="1">SUMPRODUCT((PlayerGameData[Pvisible]=1)*(PlayerGameData[PLAYER, '#]=$A$1)*(PlayerGameData[Opponent]=$F230)*(PlayerGameData[Date]=$G230)*(PlayerGameData[FTM]))</f>
        <v>0</v>
      </c>
      <c r="J42" s="254" cm="1">
        <f t="array" aca="1" ref="J42" ca="1">SUMPRODUCT((PlayerGameData[Pvisible]=1)*(PlayerGameData[PLAYER, '#]=$A$1)*(PlayerGameData[Opponent]=$F230)*(PlayerGameData[Date]=$G230)*(PlayerGameData[FTA]))</f>
        <v>0</v>
      </c>
      <c r="K42" s="253" cm="1">
        <f t="array" aca="1" ref="K42" ca="1">SUMPRODUCT((PlayerGameData[Pvisible]=1)*(PlayerGameData[PLAYER, '#]=$A$1)*(PlayerGameData[Opponent]=$F230)*(PlayerGameData[Date]=$G230)*(PlayerGameData[OFF REB]))</f>
        <v>0</v>
      </c>
      <c r="L42" s="254" cm="1">
        <f t="array" aca="1" ref="L42" ca="1">SUMPRODUCT((PlayerGameData[Pvisible]=1)*(PlayerGameData[PLAYER, '#]=$A$1)*(PlayerGameData[Opponent]=$F230)*(PlayerGameData[Date]=$G230)*(PlayerGameData[DEF REB]))</f>
        <v>0</v>
      </c>
      <c r="M42" s="254">
        <f t="shared" ca="1" si="10"/>
        <v>0</v>
      </c>
      <c r="N42" s="253" cm="1">
        <f t="array" aca="1" ref="N42" ca="1">SUMPRODUCT((PlayerGameData[Pvisible]=1)*(PlayerGameData[PLAYER, '#]=$A$1)*(PlayerGameData[Opponent]=$F230)*(PlayerGameData[Date]=$G230)*(PlayerGameData[AST]))</f>
        <v>0</v>
      </c>
      <c r="O42" s="254" cm="1">
        <f t="array" aca="1" ref="O42" ca="1">SUMPRODUCT((PlayerGameData[Pvisible]=1)*(PlayerGameData[PLAYER, '#]=$A$1)*(PlayerGameData[Opponent]=$F230)*(PlayerGameData[Date]=$G230)*(PlayerGameData[STL]))</f>
        <v>0</v>
      </c>
      <c r="P42" s="254" cm="1">
        <f t="array" aca="1" ref="P42" ca="1">SUMPRODUCT((PlayerGameData[Pvisible]=1)*(PlayerGameData[PLAYER, '#]=$A$1)*(PlayerGameData[Opponent]=$F230)*(PlayerGameData[Date]=$G230)*(PlayerGameData[BLK]))</f>
        <v>0</v>
      </c>
      <c r="Q42" s="254" cm="1">
        <f t="array" aca="1" ref="Q42" ca="1">SUMPRODUCT((PlayerGameData[Pvisible]=1)*(PlayerGameData[PLAYER, '#]=$A$1)*(PlayerGameData[Opponent]=$F230)*(PlayerGameData[Date]=$G230)*(PlayerGameData[TO]))</f>
        <v>0</v>
      </c>
      <c r="R42" s="254" cm="1">
        <f t="array" aca="1" ref="R42" ca="1">SUMPRODUCT((PlayerGameData[Pvisible]=1)*(PlayerGameData[PLAYER, '#]=$A$1)*(PlayerGameData[Opponent]=$F230)*(PlayerGameData[Date]=$G230)*(PlayerGameData[FOUL]))</f>
        <v>0</v>
      </c>
      <c r="S42" s="254" cm="1">
        <f t="array" aca="1" ref="S42" ca="1">SUMPRODUCT((PlayerGameData[Pvisible]=1)*(PlayerGameData[PLAYER, '#]=$A$1)*(PlayerGameData[Opponent]=$F230)*(PlayerGameData[Date]=$G230)*(PlayerGameData[CHRG TKN]))</f>
        <v>0</v>
      </c>
      <c r="T42" s="255">
        <f t="shared" ca="1" si="11"/>
        <v>0</v>
      </c>
      <c r="U42" s="206" t="str">
        <f t="shared" ca="1" si="12"/>
        <v/>
      </c>
      <c r="V42" s="206" t="str">
        <f t="shared" ca="1" si="13"/>
        <v/>
      </c>
      <c r="W42" s="206" t="str">
        <f t="shared" ca="1" si="14"/>
        <v/>
      </c>
      <c r="X42" s="206" t="str">
        <f t="shared" ca="1" si="15"/>
        <v/>
      </c>
      <c r="Y42" s="213" t="str">
        <f t="shared" ca="1" si="16"/>
        <v/>
      </c>
      <c r="Z42" s="184"/>
      <c r="AA42" s="184"/>
      <c r="AB42" s="184"/>
      <c r="AC42" s="184"/>
      <c r="AD42" s="184"/>
      <c r="AE42" s="184"/>
      <c r="AF42" s="184"/>
      <c r="AG42" s="184"/>
      <c r="AH42" s="184"/>
    </row>
    <row r="43" spans="1:34" s="18" customFormat="1" ht="16.5" x14ac:dyDescent="0.3">
      <c r="A43" s="260" t="s">
        <v>286</v>
      </c>
      <c r="B43" s="261" cm="1">
        <f t="array" aca="1" ref="B43" ca="1">SUMPRODUCT((PlayerGameData[PLAYER, '#]=$A$1)*(PlayerGameData[START]))</f>
        <v>0</v>
      </c>
      <c r="C43" s="261" cm="1">
        <f t="array" aca="1" ref="C43" ca="1">SUMPRODUCT((PlayerGameData[PLAYER, '#]=$A$1)*(PlayerGameData[GP]))</f>
        <v>0</v>
      </c>
      <c r="D43" s="261" cm="1">
        <f t="array" aca="1" ref="D43" ca="1">SUMPRODUCT((PlayerGameData[PLAYER, '#]=$A$1)*(PlayerGameData[MINUTES]))</f>
        <v>0</v>
      </c>
      <c r="E43" s="225" cm="1">
        <f t="array" aca="1" ref="E43" ca="1">SUMPRODUCT((PlayerGameData[PLAYER, '#]=$A$1)*(INDIRECT("PlayerGameData["&amp;E$2&amp;"]")))</f>
        <v>0</v>
      </c>
      <c r="F43" s="199" cm="1">
        <f t="array" aca="1" ref="F43" ca="1">SUMPRODUCT((PlayerGameData[PLAYER, '#]=$A$1)*(INDIRECT("PlayerGameData["&amp;F$2&amp;"]")))</f>
        <v>0</v>
      </c>
      <c r="G43" s="225" cm="1">
        <f t="array" aca="1" ref="G43" ca="1">SUMPRODUCT((PlayerGameData[PLAYER, '#]=$A$1)*(INDIRECT("PlayerGameData["&amp;G$2&amp;"]")))</f>
        <v>0</v>
      </c>
      <c r="H43" s="199" cm="1">
        <f t="array" aca="1" ref="H43" ca="1">SUMPRODUCT((PlayerGameData[PLAYER, '#]=$A$1)*(INDIRECT("PlayerGameData["&amp;H$2&amp;"]")))</f>
        <v>0</v>
      </c>
      <c r="I43" s="225" cm="1">
        <f t="array" aca="1" ref="I43" ca="1">SUMPRODUCT((PlayerGameData[PLAYER, '#]=$A$1)*(INDIRECT("PlayerGameData["&amp;I$2&amp;"]")))</f>
        <v>0</v>
      </c>
      <c r="J43" s="199" cm="1">
        <f t="array" aca="1" ref="J43" ca="1">SUMPRODUCT((PlayerGameData[PLAYER, '#]=$A$1)*(INDIRECT("PlayerGameData["&amp;J$2&amp;"]")))</f>
        <v>0</v>
      </c>
      <c r="K43" s="225" cm="1">
        <f t="array" aca="1" ref="K43" ca="1">SUMPRODUCT((PlayerGameData[PLAYER, '#]=$A$1)*(INDIRECT("PlayerGameData["&amp;K$2&amp;"]")))</f>
        <v>0</v>
      </c>
      <c r="L43" s="199" cm="1">
        <f t="array" aca="1" ref="L43" ca="1">SUMPRODUCT((PlayerGameData[PLAYER, '#]=$A$1)*(INDIRECT("PlayerGameData["&amp;L$2&amp;"]")))</f>
        <v>0</v>
      </c>
      <c r="M43" s="199">
        <f ca="1">K43+L43</f>
        <v>0</v>
      </c>
      <c r="N43" s="225" cm="1">
        <f t="array" aca="1" ref="N43" ca="1">SUMPRODUCT((PlayerGameData[PLAYER, '#]=$A$1)*(INDIRECT("PlayerGameData["&amp;N$2&amp;"]")))</f>
        <v>0</v>
      </c>
      <c r="O43" s="199" cm="1">
        <f t="array" aca="1" ref="O43" ca="1">SUMPRODUCT((PlayerGameData[PLAYER, '#]=$A$1)*(INDIRECT("PlayerGameData["&amp;O$2&amp;"]")))</f>
        <v>0</v>
      </c>
      <c r="P43" s="199" cm="1">
        <f t="array" aca="1" ref="P43" ca="1">SUMPRODUCT((PlayerGameData[PLAYER, '#]=$A$1)*(INDIRECT("PlayerGameData["&amp;P$2&amp;"]")))</f>
        <v>0</v>
      </c>
      <c r="Q43" s="199" cm="1">
        <f t="array" aca="1" ref="Q43" ca="1">SUMPRODUCT((PlayerGameData[PLAYER, '#]=$A$1)*(INDIRECT("PlayerGameData["&amp;Q$2&amp;"]")))</f>
        <v>0</v>
      </c>
      <c r="R43" s="199" cm="1">
        <f t="array" aca="1" ref="R43" ca="1">SUMPRODUCT((PlayerGameData[PLAYER, '#]=$A$1)*(INDIRECT("PlayerGameData["&amp;R$2&amp;"]")))</f>
        <v>0</v>
      </c>
      <c r="S43" s="199" cm="1">
        <f t="array" aca="1" ref="S43" ca="1">SUMPRODUCT((PlayerGameData[PLAYER, '#]=$A$1)*(PlayerGameData[CHRG TKN]))</f>
        <v>0</v>
      </c>
      <c r="T43" s="231" t="str">
        <f ca="1">IF(I43+2*G43+3*E43&gt;0,I43+2*G43+3*E43,"")</f>
        <v/>
      </c>
      <c r="U43" s="186" t="str">
        <f ca="1">IF(F43&gt;0,E43/F43,"")</f>
        <v/>
      </c>
      <c r="V43" s="186" t="str">
        <f ca="1">IF(H43&gt;0,G43/H43,"")</f>
        <v/>
      </c>
      <c r="W43" s="186" t="str">
        <f ca="1">IF(J43&gt;0,I43/J43,"")</f>
        <v/>
      </c>
      <c r="X43" s="186" t="str">
        <f ca="1">IF(OR(F43&gt;0,H43 &gt;0),(E43+G43)/(F43+H43),"")</f>
        <v/>
      </c>
      <c r="Y43" s="200" t="str">
        <f ca="1">IF(OR(F43&gt;0,H43 &gt;0),(1.5*E43+G43)/(F43+H43),"")</f>
        <v/>
      </c>
      <c r="Z43" s="186"/>
      <c r="AA43" s="186"/>
      <c r="AB43" s="186"/>
      <c r="AC43" s="186"/>
      <c r="AD43" s="186"/>
      <c r="AE43" s="186"/>
      <c r="AF43" s="186"/>
      <c r="AG43" s="186"/>
      <c r="AH43" s="186"/>
    </row>
    <row r="44" spans="1:34" s="18" customFormat="1" ht="16.5" x14ac:dyDescent="0.3">
      <c r="A44" s="262" t="s">
        <v>290</v>
      </c>
      <c r="B44" s="263"/>
      <c r="C44" s="263"/>
      <c r="D44" s="263" t="str">
        <f ca="1">IFERROR(D43/$C43,"")</f>
        <v/>
      </c>
      <c r="E44" s="226" t="str">
        <f t="shared" ref="E44:T44" ca="1" si="17">IFERROR(E43/$C43,"")</f>
        <v/>
      </c>
      <c r="F44" s="207" t="str">
        <f t="shared" ca="1" si="17"/>
        <v/>
      </c>
      <c r="G44" s="226" t="str">
        <f t="shared" ca="1" si="17"/>
        <v/>
      </c>
      <c r="H44" s="207" t="str">
        <f t="shared" ca="1" si="17"/>
        <v/>
      </c>
      <c r="I44" s="226" t="str">
        <f t="shared" ca="1" si="17"/>
        <v/>
      </c>
      <c r="J44" s="207" t="str">
        <f t="shared" ca="1" si="17"/>
        <v/>
      </c>
      <c r="K44" s="226" t="str">
        <f t="shared" ca="1" si="17"/>
        <v/>
      </c>
      <c r="L44" s="207" t="str">
        <f t="shared" ca="1" si="17"/>
        <v/>
      </c>
      <c r="M44" s="207" t="str">
        <f t="shared" ca="1" si="17"/>
        <v/>
      </c>
      <c r="N44" s="226" t="str">
        <f t="shared" ca="1" si="17"/>
        <v/>
      </c>
      <c r="O44" s="207" t="str">
        <f t="shared" ca="1" si="17"/>
        <v/>
      </c>
      <c r="P44" s="207" t="str">
        <f t="shared" ca="1" si="17"/>
        <v/>
      </c>
      <c r="Q44" s="207" t="str">
        <f t="shared" ca="1" si="17"/>
        <v/>
      </c>
      <c r="R44" s="207" t="str">
        <f t="shared" ca="1" si="17"/>
        <v/>
      </c>
      <c r="S44" s="207" t="str">
        <f t="shared" ca="1" si="17"/>
        <v/>
      </c>
      <c r="T44" s="232" t="str">
        <f t="shared" ca="1" si="17"/>
        <v/>
      </c>
      <c r="U44" s="208"/>
      <c r="V44" s="208"/>
      <c r="W44" s="208"/>
      <c r="X44" s="208"/>
      <c r="Y44" s="214"/>
      <c r="Z44" s="186"/>
      <c r="AA44" s="186"/>
      <c r="AB44" s="186"/>
      <c r="AC44" s="186"/>
      <c r="AD44" s="186"/>
      <c r="AE44" s="186"/>
      <c r="AF44" s="186"/>
      <c r="AG44" s="186"/>
      <c r="AH44" s="186"/>
    </row>
    <row r="45" spans="1:34" s="18" customFormat="1" ht="16.5" x14ac:dyDescent="0.3">
      <c r="A45" s="264" t="s">
        <v>287</v>
      </c>
      <c r="B45" s="203" t="e" cm="1">
        <f t="array" aca="1" ref="B45" ca="1">SUMPRODUCT((PlayerGameData[Win]=1)*(PlayerGameData[PLAYER, '#]=$A$1)*PlayerGameData[START])</f>
        <v>#NAME?</v>
      </c>
      <c r="C45" s="203" t="e" cm="1">
        <f t="array" aca="1" ref="C45" ca="1">SUMPRODUCT((PlayerGameData[Win]=1)*(PlayerGameData[PLAYER, '#]=$A$1)*PlayerGameData[GP])</f>
        <v>#NAME?</v>
      </c>
      <c r="D45" s="203" t="e" cm="1">
        <f t="array" aca="1" ref="D45" ca="1">SUMPRODUCT((PlayerGameData[Win]=1)*(PlayerGameData[PLAYER, '#]=$A$1)*PlayerGameData[MINUTES])</f>
        <v>#NAME?</v>
      </c>
      <c r="E45" s="265" t="e" cm="1">
        <f t="array" aca="1" ref="E45" ca="1">SUMPRODUCT((PlayerGameData[Win]=1)*(PlayerGameData[PLAYER, '#]=$A$1)*(INDIRECT("PlayerGameData["&amp;E$2&amp;"]")))</f>
        <v>#NAME?</v>
      </c>
      <c r="F45" s="266" t="e" cm="1">
        <f t="array" aca="1" ref="F45" ca="1">SUMPRODUCT((PlayerGameData[Win]=1)*(PlayerGameData[PLAYER, '#]=$A$1)*(INDIRECT("PlayerGameData["&amp;F$2&amp;"]")))</f>
        <v>#NAME?</v>
      </c>
      <c r="G45" s="265" t="e" cm="1">
        <f t="array" aca="1" ref="G45" ca="1">SUMPRODUCT((PlayerGameData[Win]=1)*(PlayerGameData[PLAYER, '#]=$A$1)*(INDIRECT("PlayerGameData["&amp;G$2&amp;"]")))</f>
        <v>#NAME?</v>
      </c>
      <c r="H45" s="266" t="e" cm="1">
        <f t="array" aca="1" ref="H45" ca="1">SUMPRODUCT((PlayerGameData[Win]=1)*(PlayerGameData[PLAYER, '#]=$A$1)*(INDIRECT("PlayerGameData["&amp;H$2&amp;"]")))</f>
        <v>#NAME?</v>
      </c>
      <c r="I45" s="265" t="e" cm="1">
        <f t="array" aca="1" ref="I45" ca="1">SUMPRODUCT((PlayerGameData[Win]=1)*(PlayerGameData[PLAYER, '#]=$A$1)*(INDIRECT("PlayerGameData["&amp;I$2&amp;"]")))</f>
        <v>#NAME?</v>
      </c>
      <c r="J45" s="266" t="e" cm="1">
        <f t="array" aca="1" ref="J45" ca="1">SUMPRODUCT((PlayerGameData[Win]=1)*(PlayerGameData[PLAYER, '#]=$A$1)*(INDIRECT("PlayerGameData["&amp;J$2&amp;"]")))</f>
        <v>#NAME?</v>
      </c>
      <c r="K45" s="265" t="e" cm="1">
        <f t="array" aca="1" ref="K45" ca="1">SUMPRODUCT((PlayerGameData[Win]=1)*(PlayerGameData[PLAYER, '#]=$A$1)*(INDIRECT("PlayerGameData["&amp;K$2&amp;"]")))</f>
        <v>#NAME?</v>
      </c>
      <c r="L45" s="266" t="e" cm="1">
        <f t="array" aca="1" ref="L45" ca="1">SUMPRODUCT((PlayerGameData[Win]=1)*(PlayerGameData[PLAYER, '#]=$A$1)*(INDIRECT("PlayerGameData["&amp;L$2&amp;"]")))</f>
        <v>#NAME?</v>
      </c>
      <c r="M45" s="266" t="e">
        <f ca="1">K45+L45</f>
        <v>#NAME?</v>
      </c>
      <c r="N45" s="265" t="e" cm="1">
        <f t="array" aca="1" ref="N45" ca="1">SUMPRODUCT((PlayerGameData[Win]=1)*(PlayerGameData[PLAYER, '#]=$A$1)*(INDIRECT("PlayerGameData["&amp;N$2&amp;"]")))</f>
        <v>#NAME?</v>
      </c>
      <c r="O45" s="266" t="e" cm="1">
        <f t="array" aca="1" ref="O45" ca="1">SUMPRODUCT((PlayerGameData[Win]=1)*(PlayerGameData[PLAYER, '#]=$A$1)*(INDIRECT("PlayerGameData["&amp;O$2&amp;"]")))</f>
        <v>#NAME?</v>
      </c>
      <c r="P45" s="266" t="e" cm="1">
        <f t="array" aca="1" ref="P45" ca="1">SUMPRODUCT((PlayerGameData[Win]=1)*(PlayerGameData[PLAYER, '#]=$A$1)*(INDIRECT("PlayerGameData["&amp;P$2&amp;"]")))</f>
        <v>#NAME?</v>
      </c>
      <c r="Q45" s="266" t="e" cm="1">
        <f t="array" aca="1" ref="Q45" ca="1">SUMPRODUCT((PlayerGameData[Win]=1)*(PlayerGameData[PLAYER, '#]=$A$1)*(INDIRECT("PlayerGameData["&amp;Q$2&amp;"]")))</f>
        <v>#NAME?</v>
      </c>
      <c r="R45" s="266" t="e" cm="1">
        <f t="array" aca="1" ref="R45" ca="1">SUMPRODUCT((PlayerGameData[Win]=1)*(PlayerGameData[PLAYER, '#]=$A$1)*(INDIRECT("PlayerGameData["&amp;R$2&amp;"]")))</f>
        <v>#NAME?</v>
      </c>
      <c r="S45" s="266" t="e" cm="1">
        <f t="array" aca="1" ref="S45" ca="1">SUMPRODUCT((PlayerGameData[Win]=1)*(PlayerGameData[PLAYER, '#]=$A$1)*(PlayerGameData[CHRG TKN]))</f>
        <v>#NAME?</v>
      </c>
      <c r="T45" s="267" t="e">
        <f ca="1">IF(I45+2*G45+3*E45&gt;0,I45+2*G45+3*E45,"")</f>
        <v>#NAME?</v>
      </c>
      <c r="U45" s="204" t="e">
        <f ca="1">IF(F45&gt;0,E45/F45,"")</f>
        <v>#NAME?</v>
      </c>
      <c r="V45" s="204" t="e">
        <f ca="1">IF(H45&gt;0,G45/H45,"")</f>
        <v>#NAME?</v>
      </c>
      <c r="W45" s="204" t="e">
        <f ca="1">IF(J45&gt;0,I45/J45,"")</f>
        <v>#NAME?</v>
      </c>
      <c r="X45" s="204" t="e">
        <f ca="1">IF(OR(F45&gt;0,H45 &gt;0),(E45+G45)/(F45+H45),"")</f>
        <v>#NAME?</v>
      </c>
      <c r="Y45" s="215" t="e">
        <f ca="1">IF(OR(F45&gt;0,H45 &gt;0),(1.5*E45+G45)/(F45+H45),"")</f>
        <v>#NAME?</v>
      </c>
      <c r="Z45" s="187"/>
      <c r="AA45" s="187"/>
      <c r="AB45" s="187"/>
      <c r="AC45" s="187"/>
      <c r="AD45" s="187"/>
      <c r="AE45" s="187"/>
      <c r="AF45" s="187"/>
      <c r="AG45" s="187"/>
      <c r="AH45" s="187"/>
    </row>
    <row r="46" spans="1:34" s="18" customFormat="1" ht="16.5" x14ac:dyDescent="0.3">
      <c r="A46" s="268" t="s">
        <v>290</v>
      </c>
      <c r="B46" s="269"/>
      <c r="C46" s="269"/>
      <c r="D46" s="269" t="str">
        <f ca="1">IFERROR(D45/$C45,"")</f>
        <v/>
      </c>
      <c r="E46" s="227" t="str">
        <f t="shared" ref="E46" ca="1" si="18">IFERROR(E45/$C45,"")</f>
        <v/>
      </c>
      <c r="F46" s="209" t="str">
        <f t="shared" ref="F46" ca="1" si="19">IFERROR(F45/$C45,"")</f>
        <v/>
      </c>
      <c r="G46" s="227" t="str">
        <f t="shared" ref="G46" ca="1" si="20">IFERROR(G45/$C45,"")</f>
        <v/>
      </c>
      <c r="H46" s="209" t="str">
        <f t="shared" ref="H46" ca="1" si="21">IFERROR(H45/$C45,"")</f>
        <v/>
      </c>
      <c r="I46" s="227" t="str">
        <f t="shared" ref="I46" ca="1" si="22">IFERROR(I45/$C45,"")</f>
        <v/>
      </c>
      <c r="J46" s="209" t="str">
        <f t="shared" ref="J46" ca="1" si="23">IFERROR(J45/$C45,"")</f>
        <v/>
      </c>
      <c r="K46" s="227" t="str">
        <f t="shared" ref="K46" ca="1" si="24">IFERROR(K45/$C45,"")</f>
        <v/>
      </c>
      <c r="L46" s="209" t="str">
        <f t="shared" ref="L46" ca="1" si="25">IFERROR(L45/$C45,"")</f>
        <v/>
      </c>
      <c r="M46" s="209" t="str">
        <f t="shared" ref="M46" ca="1" si="26">IFERROR(M45/$C45,"")</f>
        <v/>
      </c>
      <c r="N46" s="227" t="str">
        <f t="shared" ref="N46" ca="1" si="27">IFERROR(N45/$C45,"")</f>
        <v/>
      </c>
      <c r="O46" s="209" t="str">
        <f t="shared" ref="O46" ca="1" si="28">IFERROR(O45/$C45,"")</f>
        <v/>
      </c>
      <c r="P46" s="209" t="str">
        <f t="shared" ref="P46" ca="1" si="29">IFERROR(P45/$C45,"")</f>
        <v/>
      </c>
      <c r="Q46" s="209" t="str">
        <f t="shared" ref="Q46" ca="1" si="30">IFERROR(Q45/$C45,"")</f>
        <v/>
      </c>
      <c r="R46" s="209" t="str">
        <f t="shared" ref="R46" ca="1" si="31">IFERROR(R45/$C45,"")</f>
        <v/>
      </c>
      <c r="S46" s="209" t="str">
        <f t="shared" ref="S46" ca="1" si="32">IFERROR(S45/$C45,"")</f>
        <v/>
      </c>
      <c r="T46" s="233" t="str">
        <f t="shared" ref="T46" ca="1" si="33">IFERROR(T45/$C45,"")</f>
        <v/>
      </c>
      <c r="U46" s="210"/>
      <c r="V46" s="210"/>
      <c r="W46" s="210"/>
      <c r="X46" s="211"/>
      <c r="Y46" s="216"/>
      <c r="Z46" s="187"/>
      <c r="AA46" s="187"/>
      <c r="AB46" s="187"/>
      <c r="AC46" s="187"/>
      <c r="AD46" s="187"/>
      <c r="AE46" s="187"/>
      <c r="AF46" s="187"/>
      <c r="AG46" s="187"/>
      <c r="AH46" s="187"/>
    </row>
    <row r="47" spans="1:34" s="18" customFormat="1" ht="16.5" x14ac:dyDescent="0.3">
      <c r="A47" s="270" t="s">
        <v>288</v>
      </c>
      <c r="B47" s="271" t="e" cm="1">
        <f t="array" aca="1" ref="B47" ca="1">SUMPRODUCT((PlayerGameData[Loss]=1)*(PlayerGameData[PLAYER, '#]=$A$1)*PlayerGameData[START])</f>
        <v>#NAME?</v>
      </c>
      <c r="C47" s="271" t="e" cm="1">
        <f t="array" aca="1" ref="C47" ca="1">SUMPRODUCT((PlayerGameData[Loss]=1)*(PlayerGameData[PLAYER, '#]=$A$1)*PlayerGameData[GP])</f>
        <v>#NAME?</v>
      </c>
      <c r="D47" s="271" t="e" cm="1">
        <f t="array" aca="1" ref="D47" ca="1">SUMPRODUCT((PlayerGameData[Loss]=1)*(PlayerGameData[PLAYER, '#]=$A$1)*PlayerGameData[MINUTES])</f>
        <v>#NAME?</v>
      </c>
      <c r="E47" s="228" t="e" cm="1">
        <f t="array" aca="1" ref="E47" ca="1">SUMPRODUCT((PlayerGameData[Loss]=1)*(PlayerGameData[PLAYER, '#]=$A$1)*(INDIRECT("PlayerGameData["&amp;E$2&amp;"]")))</f>
        <v>#NAME?</v>
      </c>
      <c r="F47" s="201" t="e" cm="1">
        <f t="array" aca="1" ref="F47" ca="1">SUMPRODUCT((PlayerGameData[Loss]=1)*(PlayerGameData[PLAYER, '#]=$A$1)*(INDIRECT("PlayerGameData["&amp;F$2&amp;"]")))</f>
        <v>#NAME?</v>
      </c>
      <c r="G47" s="228" t="e" cm="1">
        <f t="array" aca="1" ref="G47" ca="1">SUMPRODUCT((PlayerGameData[Loss]=1)*(PlayerGameData[PLAYER, '#]=$A$1)*(INDIRECT("PlayerGameData["&amp;G$2&amp;"]")))</f>
        <v>#NAME?</v>
      </c>
      <c r="H47" s="201" t="e" cm="1">
        <f t="array" aca="1" ref="H47" ca="1">SUMPRODUCT((PlayerGameData[Loss]=1)*(PlayerGameData[PLAYER, '#]=$A$1)*(INDIRECT("PlayerGameData["&amp;H$2&amp;"]")))</f>
        <v>#NAME?</v>
      </c>
      <c r="I47" s="228" t="e" cm="1">
        <f t="array" aca="1" ref="I47" ca="1">SUMPRODUCT((PlayerGameData[Loss]=1)*(PlayerGameData[PLAYER, '#]=$A$1)*(INDIRECT("PlayerGameData["&amp;I$2&amp;"]")))</f>
        <v>#NAME?</v>
      </c>
      <c r="J47" s="201" t="e" cm="1">
        <f t="array" aca="1" ref="J47" ca="1">SUMPRODUCT((PlayerGameData[Loss]=1)*(PlayerGameData[PLAYER, '#]=$A$1)*(INDIRECT("PlayerGameData["&amp;J$2&amp;"]")))</f>
        <v>#NAME?</v>
      </c>
      <c r="K47" s="228" t="e" cm="1">
        <f t="array" aca="1" ref="K47" ca="1">SUMPRODUCT((PlayerGameData[Loss]=1)*(PlayerGameData[PLAYER, '#]=$A$1)*(INDIRECT("PlayerGameData["&amp;K$2&amp;"]")))</f>
        <v>#NAME?</v>
      </c>
      <c r="L47" s="201" t="e" cm="1">
        <f t="array" aca="1" ref="L47" ca="1">SUMPRODUCT((PlayerGameData[Loss]=1)*(PlayerGameData[PLAYER, '#]=$A$1)*(INDIRECT("PlayerGameData["&amp;L$2&amp;"]")))</f>
        <v>#NAME?</v>
      </c>
      <c r="M47" s="201" t="e">
        <f ca="1">K47+L47</f>
        <v>#NAME?</v>
      </c>
      <c r="N47" s="228" t="e" cm="1">
        <f t="array" aca="1" ref="N47" ca="1">SUMPRODUCT((PlayerGameData[Loss]=1)*(PlayerGameData[PLAYER, '#]=$A$1)*(INDIRECT("PlayerGameData["&amp;N$2&amp;"]")))</f>
        <v>#NAME?</v>
      </c>
      <c r="O47" s="201" t="e" cm="1">
        <f t="array" aca="1" ref="O47" ca="1">SUMPRODUCT((PlayerGameData[Loss]=1)*(PlayerGameData[PLAYER, '#]=$A$1)*(INDIRECT("PlayerGameData["&amp;O$2&amp;"]")))</f>
        <v>#NAME?</v>
      </c>
      <c r="P47" s="201" t="e" cm="1">
        <f t="array" aca="1" ref="P47" ca="1">SUMPRODUCT((PlayerGameData[Loss]=1)*(PlayerGameData[PLAYER, '#]=$A$1)*(INDIRECT("PlayerGameData["&amp;P$2&amp;"]")))</f>
        <v>#NAME?</v>
      </c>
      <c r="Q47" s="201" t="e" cm="1">
        <f t="array" aca="1" ref="Q47" ca="1">SUMPRODUCT((PlayerGameData[Loss]=1)*(PlayerGameData[PLAYER, '#]=$A$1)*(INDIRECT("PlayerGameData["&amp;Q$2&amp;"]")))</f>
        <v>#NAME?</v>
      </c>
      <c r="R47" s="201" t="e" cm="1">
        <f t="array" aca="1" ref="R47" ca="1">SUMPRODUCT((PlayerGameData[Loss]=1)*(PlayerGameData[PLAYER, '#]=$A$1)*(INDIRECT("PlayerGameData["&amp;R$2&amp;"]")))</f>
        <v>#NAME?</v>
      </c>
      <c r="S47" s="201" t="e" cm="1">
        <f t="array" aca="1" ref="S47" ca="1">SUMPRODUCT((PlayerGameData[Loss]=1)*(PlayerGameData[PLAYER, '#]=$A$1)*(PlayerGameData[CHRG TKN]))</f>
        <v>#NAME?</v>
      </c>
      <c r="T47" s="234" t="e">
        <f ca="1">IF(I47+2*G47+3*E47&gt;0,I47+2*G47+3*E47,"")</f>
        <v>#NAME?</v>
      </c>
      <c r="U47" s="202" t="e">
        <f ca="1">IF(F47&gt;0,E47/F47,"")</f>
        <v>#NAME?</v>
      </c>
      <c r="V47" s="202" t="e">
        <f ca="1">IF(H47&gt;0,G47/H47,"")</f>
        <v>#NAME?</v>
      </c>
      <c r="W47" s="202" t="e">
        <f ca="1">IF(J47&gt;0,I47/J47,"")</f>
        <v>#NAME?</v>
      </c>
      <c r="X47" s="202" t="e">
        <f ca="1">IF(OR(F47&gt;0,H47 &gt;0),(E47+G47)/(F47+H47),"")</f>
        <v>#NAME?</v>
      </c>
      <c r="Y47" s="217" t="e">
        <f ca="1">IF(OR(F47&gt;0,H47 &gt;0),(1.5*E47+G47)/(F47+H47),"")</f>
        <v>#NAME?</v>
      </c>
      <c r="Z47" s="186"/>
      <c r="AA47" s="186"/>
      <c r="AB47" s="186"/>
      <c r="AC47" s="186"/>
      <c r="AD47" s="186"/>
      <c r="AE47" s="186"/>
      <c r="AF47" s="186"/>
      <c r="AG47" s="186"/>
      <c r="AH47" s="186"/>
    </row>
    <row r="48" spans="1:34" s="18" customFormat="1" ht="16.5" x14ac:dyDescent="0.3">
      <c r="A48" s="272" t="s">
        <v>290</v>
      </c>
      <c r="B48" s="273"/>
      <c r="C48" s="273"/>
      <c r="D48" s="273" t="str">
        <f ca="1">IFERROR(D47/$C47,"")</f>
        <v/>
      </c>
      <c r="E48" s="229" t="str">
        <f t="shared" ref="E48" ca="1" si="34">IFERROR(E47/$C47,"")</f>
        <v/>
      </c>
      <c r="F48" s="222" t="str">
        <f t="shared" ref="F48" ca="1" si="35">IFERROR(F47/$C47,"")</f>
        <v/>
      </c>
      <c r="G48" s="229" t="str">
        <f t="shared" ref="G48" ca="1" si="36">IFERROR(G47/$C47,"")</f>
        <v/>
      </c>
      <c r="H48" s="222" t="str">
        <f t="shared" ref="H48" ca="1" si="37">IFERROR(H47/$C47,"")</f>
        <v/>
      </c>
      <c r="I48" s="229" t="str">
        <f t="shared" ref="I48" ca="1" si="38">IFERROR(I47/$C47,"")</f>
        <v/>
      </c>
      <c r="J48" s="222" t="str">
        <f t="shared" ref="J48" ca="1" si="39">IFERROR(J47/$C47,"")</f>
        <v/>
      </c>
      <c r="K48" s="229" t="str">
        <f t="shared" ref="K48" ca="1" si="40">IFERROR(K47/$C47,"")</f>
        <v/>
      </c>
      <c r="L48" s="222" t="str">
        <f t="shared" ref="L48" ca="1" si="41">IFERROR(L47/$C47,"")</f>
        <v/>
      </c>
      <c r="M48" s="222" t="str">
        <f t="shared" ref="M48" ca="1" si="42">IFERROR(M47/$C47,"")</f>
        <v/>
      </c>
      <c r="N48" s="229" t="str">
        <f t="shared" ref="N48" ca="1" si="43">IFERROR(N47/$C47,"")</f>
        <v/>
      </c>
      <c r="O48" s="222" t="str">
        <f t="shared" ref="O48" ca="1" si="44">IFERROR(O47/$C47,"")</f>
        <v/>
      </c>
      <c r="P48" s="222" t="str">
        <f t="shared" ref="P48" ca="1" si="45">IFERROR(P47/$C47,"")</f>
        <v/>
      </c>
      <c r="Q48" s="222" t="str">
        <f t="shared" ref="Q48" ca="1" si="46">IFERROR(Q47/$C47,"")</f>
        <v/>
      </c>
      <c r="R48" s="222" t="str">
        <f t="shared" ref="R48" ca="1" si="47">IFERROR(R47/$C47,"")</f>
        <v/>
      </c>
      <c r="S48" s="222" t="str">
        <f t="shared" ref="S48" ca="1" si="48">IFERROR(S47/$C47,"")</f>
        <v/>
      </c>
      <c r="T48" s="235" t="str">
        <f t="shared" ref="T48" ca="1" si="49">IFERROR(T47/$C47,"")</f>
        <v/>
      </c>
      <c r="U48" s="223"/>
      <c r="V48" s="223"/>
      <c r="W48" s="223"/>
      <c r="X48" s="223"/>
      <c r="Y48" s="224"/>
      <c r="Z48" s="186"/>
      <c r="AA48" s="186"/>
      <c r="AB48" s="186"/>
      <c r="AC48" s="186"/>
      <c r="AD48" s="186"/>
      <c r="AE48" s="186"/>
      <c r="AF48" s="186"/>
      <c r="AG48" s="186"/>
      <c r="AH48" s="186"/>
    </row>
    <row r="49" spans="1:34" s="18" customFormat="1" ht="16.5" x14ac:dyDescent="0.3">
      <c r="A49" s="274" t="s">
        <v>289</v>
      </c>
      <c r="B49" s="205" cm="1">
        <f t="array" aca="1" ref="B49" ca="1">SUMPRODUCT((PlayerGameData[Pvisible]=1)*(PlayerGameData[PLAYER, '#]=$A$1)*PlayerGameData[START])</f>
        <v>0</v>
      </c>
      <c r="C49" s="205" cm="1">
        <f t="array" aca="1" ref="C49" ca="1">SUMPRODUCT((PlayerGameData[Pvisible]=1)*(PlayerGameData[PLAYER, '#]=$A$1)*PlayerGameData[GP])</f>
        <v>0</v>
      </c>
      <c r="D49" s="205" cm="1">
        <f t="array" aca="1" ref="D49" ca="1">SUMPRODUCT((PlayerGameData[Pvisible]=1)*(PlayerGameData[PLAYER, '#]=$A$1)*PlayerGameData[MINUTES])</f>
        <v>0</v>
      </c>
      <c r="E49" s="275" cm="1">
        <f t="array" aca="1" ref="E49" ca="1">SUMPRODUCT((PlayerGameData[Pvisible]=1)*(PlayerGameData[PLAYER, '#]=$A$1)*(INDIRECT("PlayerGameData["&amp;E$2&amp;"]")))</f>
        <v>0</v>
      </c>
      <c r="F49" s="276" cm="1">
        <f t="array" aca="1" ref="F49" ca="1">SUMPRODUCT((PlayerGameData[Pvisible]=1)*(PlayerGameData[PLAYER, '#]=$A$1)*(INDIRECT("PlayerGameData["&amp;F$2&amp;"]")))</f>
        <v>0</v>
      </c>
      <c r="G49" s="275" cm="1">
        <f t="array" aca="1" ref="G49" ca="1">SUMPRODUCT((PlayerGameData[Pvisible]=1)*(PlayerGameData[PLAYER, '#]=$A$1)*(INDIRECT("PlayerGameData["&amp;G$2&amp;"]")))</f>
        <v>0</v>
      </c>
      <c r="H49" s="276" cm="1">
        <f t="array" aca="1" ref="H49" ca="1">SUMPRODUCT((PlayerGameData[Pvisible]=1)*(PlayerGameData[PLAYER, '#]=$A$1)*(INDIRECT("PlayerGameData["&amp;H$2&amp;"]")))</f>
        <v>0</v>
      </c>
      <c r="I49" s="275" cm="1">
        <f t="array" aca="1" ref="I49" ca="1">SUMPRODUCT((PlayerGameData[Pvisible]=1)*(PlayerGameData[PLAYER, '#]=$A$1)*(INDIRECT("PlayerGameData["&amp;I$2&amp;"]")))</f>
        <v>0</v>
      </c>
      <c r="J49" s="276" cm="1">
        <f t="array" aca="1" ref="J49" ca="1">SUMPRODUCT((PlayerGameData[Pvisible]=1)*(PlayerGameData[PLAYER, '#]=$A$1)*(INDIRECT("PlayerGameData["&amp;J$2&amp;"]")))</f>
        <v>0</v>
      </c>
      <c r="K49" s="275" cm="1">
        <f t="array" aca="1" ref="K49" ca="1">SUMPRODUCT((PlayerGameData[Pvisible]=1)*(PlayerGameData[PLAYER, '#]=$A$1)*(INDIRECT("PlayerGameData["&amp;K$2&amp;"]")))</f>
        <v>0</v>
      </c>
      <c r="L49" s="276" cm="1">
        <f t="array" aca="1" ref="L49" ca="1">SUMPRODUCT((PlayerGameData[Pvisible]=1)*(PlayerGameData[PLAYER, '#]=$A$1)*(INDIRECT("PlayerGameData["&amp;L$2&amp;"]")))</f>
        <v>0</v>
      </c>
      <c r="M49" s="276">
        <f ca="1">K49+L49</f>
        <v>0</v>
      </c>
      <c r="N49" s="275" cm="1">
        <f t="array" aca="1" ref="N49" ca="1">SUMPRODUCT((PlayerGameData[Pvisible]=1)*(PlayerGameData[PLAYER, '#]=$A$1)*(INDIRECT("PlayerGameData["&amp;N$2&amp;"]")))</f>
        <v>0</v>
      </c>
      <c r="O49" s="276" cm="1">
        <f t="array" aca="1" ref="O49" ca="1">SUMPRODUCT((PlayerGameData[Pvisible]=1)*(PlayerGameData[PLAYER, '#]=$A$1)*(INDIRECT("PlayerGameData["&amp;O$2&amp;"]")))</f>
        <v>0</v>
      </c>
      <c r="P49" s="276" cm="1">
        <f t="array" aca="1" ref="P49" ca="1">SUMPRODUCT((PlayerGameData[Pvisible]=1)*(PlayerGameData[PLAYER, '#]=$A$1)*(INDIRECT("PlayerGameData["&amp;P$2&amp;"]")))</f>
        <v>0</v>
      </c>
      <c r="Q49" s="276" cm="1">
        <f t="array" aca="1" ref="Q49" ca="1">SUMPRODUCT((PlayerGameData[Pvisible]=1)*(PlayerGameData[PLAYER, '#]=$A$1)*(INDIRECT("PlayerGameData["&amp;Q$2&amp;"]")))</f>
        <v>0</v>
      </c>
      <c r="R49" s="276" cm="1">
        <f t="array" aca="1" ref="R49" ca="1">SUMPRODUCT((PlayerGameData[Pvisible]=1)*(PlayerGameData[PLAYER, '#]=$A$1)*(INDIRECT("PlayerGameData["&amp;R$2&amp;"]")))</f>
        <v>0</v>
      </c>
      <c r="S49" s="276" cm="1">
        <f t="array" aca="1" ref="S49" ca="1">SUMPRODUCT((PlayerGameData[Pvisible]=1)*(PlayerGameData[PLAYER, '#]=$A$1)*(PlayerGameData[CHRG TKN]))</f>
        <v>0</v>
      </c>
      <c r="T49" s="277" t="str">
        <f ca="1">IF(I49+2*G49+3*E49&gt;0,I49+2*G49+3*E49,"")</f>
        <v/>
      </c>
      <c r="U49" s="187" t="str">
        <f ca="1">IF(F49&gt;0,E49/F49,"")</f>
        <v/>
      </c>
      <c r="V49" s="187" t="str">
        <f ca="1">IF(H49&gt;0,G49/H49,"")</f>
        <v/>
      </c>
      <c r="W49" s="187" t="str">
        <f ca="1">IF(J49&gt;0,I49/J49,"")</f>
        <v/>
      </c>
      <c r="X49" s="187" t="str">
        <f ca="1">IF(OR(F49&gt;0,H49 &gt;0),(E49+G49)/(F49+H49),"")</f>
        <v/>
      </c>
      <c r="Y49" s="218" t="str">
        <f ca="1">IF(OR(F49&gt;0,H49 &gt;0),(1.5*E49+G49)/(F49+H49),"")</f>
        <v/>
      </c>
      <c r="Z49" s="187"/>
      <c r="AA49" s="187"/>
      <c r="AB49" s="187"/>
      <c r="AC49" s="187"/>
      <c r="AD49" s="187"/>
      <c r="AE49" s="187"/>
      <c r="AF49" s="187"/>
      <c r="AG49" s="187"/>
      <c r="AH49" s="187"/>
    </row>
    <row r="50" spans="1:34" s="18" customFormat="1" ht="17.25" thickBot="1" x14ac:dyDescent="0.35">
      <c r="A50" s="278" t="s">
        <v>290</v>
      </c>
      <c r="B50" s="279"/>
      <c r="C50" s="279"/>
      <c r="D50" s="279" t="str">
        <f ca="1">IFERROR(D49/$C49,"")</f>
        <v/>
      </c>
      <c r="E50" s="230" t="str">
        <f t="shared" ref="E50" ca="1" si="50">IFERROR(E49/$C49,"")</f>
        <v/>
      </c>
      <c r="F50" s="219" t="str">
        <f t="shared" ref="F50" ca="1" si="51">IFERROR(F49/$C49,"")</f>
        <v/>
      </c>
      <c r="G50" s="230" t="str">
        <f t="shared" ref="G50" ca="1" si="52">IFERROR(G49/$C49,"")</f>
        <v/>
      </c>
      <c r="H50" s="219" t="str">
        <f t="shared" ref="H50" ca="1" si="53">IFERROR(H49/$C49,"")</f>
        <v/>
      </c>
      <c r="I50" s="230" t="str">
        <f t="shared" ref="I50" ca="1" si="54">IFERROR(I49/$C49,"")</f>
        <v/>
      </c>
      <c r="J50" s="219" t="str">
        <f t="shared" ref="J50" ca="1" si="55">IFERROR(J49/$C49,"")</f>
        <v/>
      </c>
      <c r="K50" s="230" t="str">
        <f t="shared" ref="K50" ca="1" si="56">IFERROR(K49/$C49,"")</f>
        <v/>
      </c>
      <c r="L50" s="219" t="str">
        <f t="shared" ref="L50" ca="1" si="57">IFERROR(L49/$C49,"")</f>
        <v/>
      </c>
      <c r="M50" s="219" t="str">
        <f t="shared" ref="M50" ca="1" si="58">IFERROR(M49/$C49,"")</f>
        <v/>
      </c>
      <c r="N50" s="230" t="str">
        <f t="shared" ref="N50" ca="1" si="59">IFERROR(N49/$C49,"")</f>
        <v/>
      </c>
      <c r="O50" s="219" t="str">
        <f t="shared" ref="O50" ca="1" si="60">IFERROR(O49/$C49,"")</f>
        <v/>
      </c>
      <c r="P50" s="219" t="str">
        <f t="shared" ref="P50" ca="1" si="61">IFERROR(P49/$C49,"")</f>
        <v/>
      </c>
      <c r="Q50" s="219" t="str">
        <f t="shared" ref="Q50" ca="1" si="62">IFERROR(Q49/$C49,"")</f>
        <v/>
      </c>
      <c r="R50" s="219" t="str">
        <f t="shared" ref="R50" ca="1" si="63">IFERROR(R49/$C49,"")</f>
        <v/>
      </c>
      <c r="S50" s="219" t="str">
        <f t="shared" ref="S50" ca="1" si="64">IFERROR(S49/$C49,"")</f>
        <v/>
      </c>
      <c r="T50" s="236" t="str">
        <f t="shared" ref="T50" ca="1" si="65">IFERROR(T49/$C49,"")</f>
        <v/>
      </c>
      <c r="U50" s="220"/>
      <c r="V50" s="220"/>
      <c r="W50" s="220"/>
      <c r="X50" s="220"/>
      <c r="Y50" s="221"/>
      <c r="Z50" s="187"/>
      <c r="AA50" s="187"/>
      <c r="AB50" s="187"/>
      <c r="AC50" s="187"/>
      <c r="AD50" s="187"/>
      <c r="AE50" s="187"/>
      <c r="AF50" s="187"/>
      <c r="AG50" s="187"/>
      <c r="AH50" s="187"/>
    </row>
    <row r="190" spans="1:22" ht="16.5" x14ac:dyDescent="0.3">
      <c r="A190" s="237" t="s">
        <v>230</v>
      </c>
      <c r="B190" s="238" t="s">
        <v>231</v>
      </c>
      <c r="C190" s="237" t="s">
        <v>3</v>
      </c>
      <c r="D190" s="237" t="s">
        <v>225</v>
      </c>
      <c r="E190" s="237" t="s">
        <v>283</v>
      </c>
      <c r="F190" s="239" t="s">
        <v>187</v>
      </c>
      <c r="G190" s="239" t="s">
        <v>188</v>
      </c>
      <c r="U190" s="14"/>
      <c r="V190" s="12"/>
    </row>
    <row r="191" spans="1:22" x14ac:dyDescent="0.25">
      <c r="A191" s="240" t="str">
        <f ca="1">IF(TeamHistory!$BP7="Blank","",CONCATENATE(TeamHistory!$B7," ",MONTH(TeamHistory!$C7),"/",DAY(TeamHistory!$C7),"/",YEAR(TeamHistory!$C7)))</f>
        <v>Ten Sleep 12/9/2022</v>
      </c>
      <c r="B191" s="240">
        <f t="shared" ref="B191:B230" ca="1" si="66">IF(SUBTOTAL(103,A191)=1,1,0)</f>
        <v>1</v>
      </c>
      <c r="C191" s="240" t="str">
        <f ca="1">IF(Table35[[#This Row],[Games]]="","",TeamHistory!BQ7)</f>
        <v/>
      </c>
      <c r="D191" s="240" t="str">
        <f ca="1">IF(Table35[[#This Row],[Games]]="","",TeamHistory!BS7)</f>
        <v/>
      </c>
      <c r="E191" s="240" t="str">
        <f ca="1">IF(TeamHistory!$BP7="Blank","",IF(TeamHistory!$BK7=1,"W","L"))</f>
        <v>W</v>
      </c>
      <c r="F191" s="241" t="str">
        <f ca="1">IF(TeamHistory!$BP7="Blank","",TeamHistory!$B7)</f>
        <v>Ten Sleep</v>
      </c>
      <c r="G191" s="242">
        <f ca="1">IF(TeamHistory!$BP7="Blank","",TeamHistory!$C7)</f>
        <v>44904</v>
      </c>
      <c r="U191" s="14"/>
      <c r="V191" s="12"/>
    </row>
    <row r="192" spans="1:22" x14ac:dyDescent="0.25">
      <c r="A192" s="240" t="str">
        <f ca="1">IF(TeamHistory!$BP8="Blank","",CONCATENATE(TeamHistory!$B8," ",MONTH(TeamHistory!$C8),"/",DAY(TeamHistory!$C8),"/",YEAR(TeamHistory!$C8)))</f>
        <v>Riverside 12/9/2022</v>
      </c>
      <c r="B192" s="240">
        <f t="shared" ca="1" si="66"/>
        <v>1</v>
      </c>
      <c r="C192" s="243" t="str">
        <f ca="1">IF(Table35[[#This Row],[Games]]="","",TeamHistory!BQ8)</f>
        <v/>
      </c>
      <c r="D192" s="243" t="str">
        <f ca="1">IF(Table35[[#This Row],[Games]]="","",TeamHistory!BS8)</f>
        <v/>
      </c>
      <c r="E192" s="243" t="str">
        <f ca="1">IF(TeamHistory!$BP8="Blank","",IF(TeamHistory!$BK8=1,"W","L"))</f>
        <v>W</v>
      </c>
      <c r="F192" s="241" t="str">
        <f ca="1">IF(TeamHistory!$BP8="Blank","",TeamHistory!$B8)</f>
        <v>Riverside</v>
      </c>
      <c r="G192" s="242">
        <f ca="1">IF(TeamHistory!$BP8="Blank","",TeamHistory!$C8)</f>
        <v>44904</v>
      </c>
      <c r="U192" s="14"/>
      <c r="V192" s="12"/>
    </row>
    <row r="193" spans="1:22" x14ac:dyDescent="0.25">
      <c r="A193" s="240" t="str">
        <f ca="1">IF(TeamHistory!$BP9="Blank","",CONCATENATE(TeamHistory!$B9," ",MONTH(TeamHistory!$C9),"/",DAY(TeamHistory!$C9),"/",YEAR(TeamHistory!$C9)))</f>
        <v>Sundance 1/0/1900</v>
      </c>
      <c r="B193" s="240">
        <f t="shared" ca="1" si="66"/>
        <v>1</v>
      </c>
      <c r="C193" s="240" t="str">
        <f ca="1">IF(Table35[[#This Row],[Games]]="","",TeamHistory!BQ9)</f>
        <v/>
      </c>
      <c r="D193" s="240" t="str">
        <f ca="1">IF(Table35[[#This Row],[Games]]="","",TeamHistory!BS9)</f>
        <v/>
      </c>
      <c r="E193" s="240" t="str">
        <f ca="1">IF(TeamHistory!$BP9="Blank","",IF(TeamHistory!$BK9=1,"W","L"))</f>
        <v>W</v>
      </c>
      <c r="F193" s="241" t="str">
        <f ca="1">IF(TeamHistory!$BP9="Blank","",TeamHistory!$B9)</f>
        <v>Sundance</v>
      </c>
      <c r="G193" s="242">
        <f ca="1">IF(TeamHistory!$BP9="Blank","",TeamHistory!$C9)</f>
        <v>0</v>
      </c>
      <c r="U193" s="14"/>
      <c r="V193" s="12"/>
    </row>
    <row r="194" spans="1:22" x14ac:dyDescent="0.25">
      <c r="A194" s="240" t="str">
        <f ca="1">IF(TeamHistory!$BP10="Blank","",CONCATENATE(TeamHistory!$B10," ",MONTH(TeamHistory!$C10),"/",DAY(TeamHistory!$C10),"/",YEAR(TeamHistory!$C10)))</f>
        <v>Cokeville 12/19/2022</v>
      </c>
      <c r="B194" s="240">
        <f t="shared" ca="1" si="66"/>
        <v>1</v>
      </c>
      <c r="C194" s="243" t="str">
        <f ca="1">IF(Table35[[#This Row],[Games]]="","",TeamHistory!BQ10)</f>
        <v/>
      </c>
      <c r="D194" s="243" t="str">
        <f ca="1">IF(Table35[[#This Row],[Games]]="","",TeamHistory!BS10)</f>
        <v/>
      </c>
      <c r="E194" s="243" t="str">
        <f ca="1">IF(TeamHistory!$BP10="Blank","",IF(TeamHistory!$BK10=1,"W","L"))</f>
        <v>L</v>
      </c>
      <c r="F194" s="241" t="str">
        <f ca="1">IF(TeamHistory!$BP10="Blank","",TeamHistory!$B10)</f>
        <v>Cokeville</v>
      </c>
      <c r="G194" s="242">
        <f ca="1">IF(TeamHistory!$BP10="Blank","",TeamHistory!$C10)</f>
        <v>44914</v>
      </c>
      <c r="U194" s="14"/>
      <c r="V194" s="12"/>
    </row>
    <row r="195" spans="1:22" x14ac:dyDescent="0.25">
      <c r="A195" s="240" t="str">
        <f ca="1">IF(TeamHistory!$BP11="Blank","",CONCATENATE(TeamHistory!$B11," ",MONTH(TeamHistory!$C11),"/",DAY(TeamHistory!$C11),"/",YEAR(TeamHistory!$C11)))</f>
        <v>Little Snake River 12/17/2022</v>
      </c>
      <c r="B195" s="240">
        <f t="shared" ca="1" si="66"/>
        <v>1</v>
      </c>
      <c r="C195" s="240" t="str">
        <f ca="1">IF(Table35[[#This Row],[Games]]="","",TeamHistory!BQ11)</f>
        <v/>
      </c>
      <c r="D195" s="240" t="str">
        <f ca="1">IF(Table35[[#This Row],[Games]]="","",TeamHistory!BS11)</f>
        <v/>
      </c>
      <c r="E195" s="240" t="str">
        <f ca="1">IF(TeamHistory!$BP11="Blank","",IF(TeamHistory!$BK11=1,"W","L"))</f>
        <v>L</v>
      </c>
      <c r="F195" s="241" t="str">
        <f ca="1">IF(TeamHistory!$BP11="Blank","",TeamHistory!$B11)</f>
        <v>Little Snake River</v>
      </c>
      <c r="G195" s="242">
        <f ca="1">IF(TeamHistory!$BP11="Blank","",TeamHistory!$C11)</f>
        <v>44912</v>
      </c>
      <c r="U195" s="14"/>
      <c r="V195" s="12"/>
    </row>
    <row r="196" spans="1:22" x14ac:dyDescent="0.25">
      <c r="A196" s="240" t="str">
        <f ca="1">IF(TeamHistory!$BP12="Blank","",CONCATENATE(TeamHistory!$B12," ",MONTH(TeamHistory!$C12),"/",DAY(TeamHistory!$C12),"/",YEAR(TeamHistory!$C12)))</f>
        <v>Meeteetse 12/17/2022</v>
      </c>
      <c r="B196" s="240">
        <f t="shared" ca="1" si="66"/>
        <v>1</v>
      </c>
      <c r="C196" s="243" t="str">
        <f ca="1">IF(Table35[[#This Row],[Games]]="","",TeamHistory!BQ12)</f>
        <v/>
      </c>
      <c r="D196" s="243" t="str">
        <f ca="1">IF(Table35[[#This Row],[Games]]="","",TeamHistory!BS12)</f>
        <v/>
      </c>
      <c r="E196" s="243" t="str">
        <f ca="1">IF(TeamHistory!$BP12="Blank","",IF(TeamHistory!$BK12=1,"W","L"))</f>
        <v>W</v>
      </c>
      <c r="F196" s="241" t="str">
        <f ca="1">IF(TeamHistory!$BP12="Blank","",TeamHistory!$B12)</f>
        <v>Meeteetse</v>
      </c>
      <c r="G196" s="242">
        <f ca="1">IF(TeamHistory!$BP12="Blank","",TeamHistory!$C12)</f>
        <v>44912</v>
      </c>
      <c r="U196" s="14"/>
      <c r="V196" s="12"/>
    </row>
    <row r="197" spans="1:22" x14ac:dyDescent="0.25">
      <c r="A197" s="240" t="str">
        <f ca="1">IF(TeamHistory!$BP13="Blank","",CONCATENATE(TeamHistory!$B13," ",MONTH(TeamHistory!$C13),"/",DAY(TeamHistory!$C13),"/",YEAR(TeamHistory!$C13)))</f>
        <v>Moorcroft 1/9/2023</v>
      </c>
      <c r="B197" s="240">
        <f t="shared" ca="1" si="66"/>
        <v>1</v>
      </c>
      <c r="C197" s="240" t="str">
        <f ca="1">IF(Table35[[#This Row],[Games]]="","",TeamHistory!BQ13)</f>
        <v/>
      </c>
      <c r="D197" s="240" t="str">
        <f ca="1">IF(Table35[[#This Row],[Games]]="","",TeamHistory!BS13)</f>
        <v/>
      </c>
      <c r="E197" s="240" t="str">
        <f ca="1">IF(TeamHistory!$BP13="Blank","",IF(TeamHistory!$BK13=1,"W","L"))</f>
        <v>W</v>
      </c>
      <c r="F197" s="241" t="str">
        <f ca="1">IF(TeamHistory!$BP13="Blank","",TeamHistory!$B13)</f>
        <v>Moorcroft</v>
      </c>
      <c r="G197" s="242">
        <f ca="1">IF(TeamHistory!$BP13="Blank","",TeamHistory!$C13)</f>
        <v>44935</v>
      </c>
      <c r="U197" s="14"/>
      <c r="V197" s="12"/>
    </row>
    <row r="198" spans="1:22" x14ac:dyDescent="0.25">
      <c r="A198" s="240" t="str">
        <f ca="1">IF(TeamHistory!$BP14="Blank","",CONCATENATE(TeamHistory!$B14," ",MONTH(TeamHistory!$C14),"/",DAY(TeamHistory!$C14),"/",YEAR(TeamHistory!$C14)))</f>
        <v>New Underwood, SD 1/12/2023</v>
      </c>
      <c r="B198" s="240">
        <f t="shared" ca="1" si="66"/>
        <v>1</v>
      </c>
      <c r="C198" s="243" t="str">
        <f ca="1">IF(Table35[[#This Row],[Games]]="","",TeamHistory!BQ14)</f>
        <v/>
      </c>
      <c r="D198" s="243" t="str">
        <f ca="1">IF(Table35[[#This Row],[Games]]="","",TeamHistory!BS14)</f>
        <v/>
      </c>
      <c r="E198" s="243" t="str">
        <f ca="1">IF(TeamHistory!$BP14="Blank","",IF(TeamHistory!$BK14=1,"W","L"))</f>
        <v>W</v>
      </c>
      <c r="F198" s="241" t="str">
        <f ca="1">IF(TeamHistory!$BP14="Blank","",TeamHistory!$B14)</f>
        <v>New Underwood, SD</v>
      </c>
      <c r="G198" s="242">
        <f ca="1">IF(TeamHistory!$BP14="Blank","",TeamHistory!$C14)</f>
        <v>44938</v>
      </c>
      <c r="U198" s="14"/>
      <c r="V198" s="12"/>
    </row>
    <row r="199" spans="1:22" x14ac:dyDescent="0.25">
      <c r="A199" s="240" t="str">
        <f ca="1">IF(TeamHistory!$BP15="Blank","",CONCATENATE(TeamHistory!$B15," ",MONTH(TeamHistory!$C15),"/",DAY(TeamHistory!$C15),"/",YEAR(TeamHistory!$C15)))</f>
        <v>Faith, SD 1/13/2023</v>
      </c>
      <c r="B199" s="240">
        <f t="shared" ca="1" si="66"/>
        <v>1</v>
      </c>
      <c r="C199" s="240" t="str">
        <f ca="1">IF(Table35[[#This Row],[Games]]="","",TeamHistory!BQ15)</f>
        <v/>
      </c>
      <c r="D199" s="240" t="str">
        <f ca="1">IF(Table35[[#This Row],[Games]]="","",TeamHistory!BS15)</f>
        <v/>
      </c>
      <c r="E199" s="240" t="str">
        <f ca="1">IF(TeamHistory!$BP15="Blank","",IF(TeamHistory!$BK15=1,"W","L"))</f>
        <v>L</v>
      </c>
      <c r="F199" s="241" t="str">
        <f ca="1">IF(TeamHistory!$BP15="Blank","",TeamHistory!$B15)</f>
        <v>Faith, SD</v>
      </c>
      <c r="G199" s="242">
        <f ca="1">IF(TeamHistory!$BP15="Blank","",TeamHistory!$C15)</f>
        <v>44939</v>
      </c>
      <c r="U199" s="14"/>
      <c r="V199" s="12"/>
    </row>
    <row r="200" spans="1:22" x14ac:dyDescent="0.25">
      <c r="A200" s="240" t="str">
        <f ca="1">IF(TeamHistory!$BP16="Blank","",CONCATENATE(TeamHistory!$B16," ",MONTH(TeamHistory!$C16),"/",DAY(TeamHistory!$C16),"/",YEAR(TeamHistory!$C16)))</f>
        <v>Moorcroft 1/14/2023</v>
      </c>
      <c r="B200" s="240">
        <f t="shared" ca="1" si="66"/>
        <v>1</v>
      </c>
      <c r="C200" s="243" t="str">
        <f ca="1">IF(Table35[[#This Row],[Games]]="","",TeamHistory!BQ16)</f>
        <v/>
      </c>
      <c r="D200" s="243" t="str">
        <f ca="1">IF(Table35[[#This Row],[Games]]="","",TeamHistory!BS16)</f>
        <v/>
      </c>
      <c r="E200" s="243" t="str">
        <f ca="1">IF(TeamHistory!$BP16="Blank","",IF(TeamHistory!$BK16=1,"W","L"))</f>
        <v>W</v>
      </c>
      <c r="F200" s="241" t="str">
        <f ca="1">IF(TeamHistory!$BP16="Blank","",TeamHistory!$B16)</f>
        <v>Moorcroft</v>
      </c>
      <c r="G200" s="242">
        <f ca="1">IF(TeamHistory!$BP16="Blank","",TeamHistory!$C16)</f>
        <v>44940</v>
      </c>
      <c r="U200" s="14"/>
      <c r="V200" s="12"/>
    </row>
    <row r="201" spans="1:22" x14ac:dyDescent="0.25">
      <c r="A201" s="240" t="str">
        <f ca="1">IF(TeamHistory!$BP17="Blank","",CONCATENATE(TeamHistory!$B17," ",MONTH(TeamHistory!$C17),"/",DAY(TeamHistory!$C17),"/",YEAR(TeamHistory!$C17)))</f>
        <v>Arvada Clearmont 1/20/2023</v>
      </c>
      <c r="B201" s="240">
        <f t="shared" ca="1" si="66"/>
        <v>1</v>
      </c>
      <c r="C201" s="240" t="str">
        <f ca="1">IF(Table35[[#This Row],[Games]]="","",TeamHistory!BQ17)</f>
        <v>R</v>
      </c>
      <c r="D201" s="240" t="str">
        <f ca="1">IF(Table35[[#This Row],[Games]]="","",TeamHistory!BS17)</f>
        <v>SR</v>
      </c>
      <c r="E201" s="240" t="str">
        <f ca="1">IF(TeamHistory!$BP17="Blank","",IF(TeamHistory!$BK17=1,"W","L"))</f>
        <v>W</v>
      </c>
      <c r="F201" s="241" t="str">
        <f ca="1">IF(TeamHistory!$BP17="Blank","",TeamHistory!$B17)</f>
        <v>Arvada Clearmont</v>
      </c>
      <c r="G201" s="242">
        <f ca="1">IF(TeamHistory!$BP17="Blank","",TeamHistory!$C17)</f>
        <v>44946</v>
      </c>
      <c r="U201" s="14"/>
      <c r="V201" s="12"/>
    </row>
    <row r="202" spans="1:22" x14ac:dyDescent="0.25">
      <c r="A202" s="240" t="str">
        <f ca="1">IF(TeamHistory!$BP18="Blank","",CONCATENATE(TeamHistory!$B18," ",MONTH(TeamHistory!$C18),"/",DAY(TeamHistory!$C18),"/",YEAR(TeamHistory!$C18)))</f>
        <v>Kaycee 1/21/2023</v>
      </c>
      <c r="B202" s="240">
        <f t="shared" ca="1" si="66"/>
        <v>1</v>
      </c>
      <c r="C202" s="243" t="str">
        <f ca="1">IF(Table35[[#This Row],[Games]]="","",TeamHistory!BQ18)</f>
        <v>R</v>
      </c>
      <c r="D202" s="243" t="str">
        <f ca="1">IF(Table35[[#This Row],[Games]]="","",TeamHistory!BS18)</f>
        <v>SR</v>
      </c>
      <c r="E202" s="243" t="str">
        <f ca="1">IF(TeamHistory!$BP18="Blank","",IF(TeamHistory!$BK18=1,"W","L"))</f>
        <v>W</v>
      </c>
      <c r="F202" s="241" t="str">
        <f ca="1">IF(TeamHistory!$BP18="Blank","",TeamHistory!$B18)</f>
        <v>Kaycee</v>
      </c>
      <c r="G202" s="242">
        <f ca="1">IF(TeamHistory!$BP18="Blank","",TeamHistory!$C18)</f>
        <v>44947</v>
      </c>
      <c r="U202" s="14"/>
      <c r="V202" s="12"/>
    </row>
    <row r="203" spans="1:22" x14ac:dyDescent="0.25">
      <c r="A203" s="240" t="str">
        <f ca="1">IF(TeamHistory!$BP19="Blank","",CONCATENATE(TeamHistory!$B19," ",MONTH(TeamHistory!$C19),"/",DAY(TeamHistory!$C19),"/",YEAR(TeamHistory!$C19)))</f>
        <v>Hulett 1/27/2023</v>
      </c>
      <c r="B203" s="240">
        <f t="shared" ca="1" si="66"/>
        <v>1</v>
      </c>
      <c r="C203" s="240" t="str">
        <f ca="1">IF(Table35[[#This Row],[Games]]="","",TeamHistory!BQ19)</f>
        <v>R</v>
      </c>
      <c r="D203" s="240" t="str">
        <f ca="1">IF(Table35[[#This Row],[Games]]="","",TeamHistory!BS19)</f>
        <v>SR</v>
      </c>
      <c r="E203" s="240" t="str">
        <f ca="1">IF(TeamHistory!$BP19="Blank","",IF(TeamHistory!$BK19=1,"W","L"))</f>
        <v>W</v>
      </c>
      <c r="F203" s="241" t="str">
        <f ca="1">IF(TeamHistory!$BP19="Blank","",TeamHistory!$B19)</f>
        <v>Hulett</v>
      </c>
      <c r="G203" s="242">
        <f ca="1">IF(TeamHistory!$BP19="Blank","",TeamHistory!$C19)</f>
        <v>44953</v>
      </c>
      <c r="U203" s="14"/>
      <c r="V203" s="12"/>
    </row>
    <row r="204" spans="1:22" x14ac:dyDescent="0.25">
      <c r="A204" s="240" t="str">
        <f ca="1">IF(TeamHistory!$BP20="Blank","",CONCATENATE(TeamHistory!$B20," ",MONTH(TeamHistory!$C20),"/",DAY(TeamHistory!$C20),"/",YEAR(TeamHistory!$C20)))</f>
        <v>Thunder Basin JV 1/31/2023</v>
      </c>
      <c r="B204" s="240">
        <f t="shared" ca="1" si="66"/>
        <v>1</v>
      </c>
      <c r="C204" s="243" t="str">
        <f ca="1">IF(Table35[[#This Row],[Games]]="","",TeamHistory!BQ20)</f>
        <v/>
      </c>
      <c r="D204" s="243" t="str">
        <f ca="1">IF(Table35[[#This Row],[Games]]="","",TeamHistory!BS20)</f>
        <v/>
      </c>
      <c r="E204" s="243" t="str">
        <f ca="1">IF(TeamHistory!$BP20="Blank","",IF(TeamHistory!$BK20=1,"W","L"))</f>
        <v>W</v>
      </c>
      <c r="F204" s="241" t="str">
        <f ca="1">IF(TeamHistory!$BP20="Blank","",TeamHistory!$B20)</f>
        <v>Thunder Basin JV</v>
      </c>
      <c r="G204" s="242">
        <f ca="1">IF(TeamHistory!$BP20="Blank","",TeamHistory!$C20)</f>
        <v>44957</v>
      </c>
      <c r="U204" s="14"/>
      <c r="V204" s="12"/>
    </row>
    <row r="205" spans="1:22" x14ac:dyDescent="0.25">
      <c r="A205" s="240" t="str">
        <f ca="1">IF(TeamHistory!$BP21="Blank","",CONCATENATE(TeamHistory!$B21," ",MONTH(TeamHistory!$C21),"/",DAY(TeamHistory!$C21),"/",YEAR(TeamHistory!$C21)))</f>
        <v>Kaycee 2/3/2023</v>
      </c>
      <c r="B205" s="240">
        <f t="shared" ca="1" si="66"/>
        <v>1</v>
      </c>
      <c r="C205" s="240" t="str">
        <f ca="1">IF(Table35[[#This Row],[Games]]="","",TeamHistory!BQ21)</f>
        <v>R</v>
      </c>
      <c r="D205" s="240" t="str">
        <f ca="1">IF(Table35[[#This Row],[Games]]="","",TeamHistory!BS21)</f>
        <v>SR</v>
      </c>
      <c r="E205" s="240" t="str">
        <f ca="1">IF(TeamHistory!$BP21="Blank","",IF(TeamHistory!$BK21=1,"W","L"))</f>
        <v>W</v>
      </c>
      <c r="F205" s="241" t="str">
        <f ca="1">IF(TeamHistory!$BP21="Blank","",TeamHistory!$B21)</f>
        <v>Kaycee</v>
      </c>
      <c r="G205" s="242">
        <f ca="1">IF(TeamHistory!$BP21="Blank","",TeamHistory!$C21)</f>
        <v>44960</v>
      </c>
      <c r="U205" s="14"/>
      <c r="V205" s="12"/>
    </row>
    <row r="206" spans="1:22" x14ac:dyDescent="0.25">
      <c r="A206" s="240" t="str">
        <f ca="1">IF(TeamHistory!$BP22="Blank","",CONCATENATE(TeamHistory!$B22," ",MONTH(TeamHistory!$C22),"/",DAY(TeamHistory!$C22),"/",YEAR(TeamHistory!$C22)))</f>
        <v>Midwest 2/4/2023</v>
      </c>
      <c r="B206" s="240">
        <f t="shared" ca="1" si="66"/>
        <v>1</v>
      </c>
      <c r="C206" s="243" t="str">
        <f ca="1">IF(Table35[[#This Row],[Games]]="","",TeamHistory!BQ22)</f>
        <v>R</v>
      </c>
      <c r="D206" s="243" t="str">
        <f ca="1">IF(Table35[[#This Row],[Games]]="","",TeamHistory!BS22)</f>
        <v>SR</v>
      </c>
      <c r="E206" s="243" t="str">
        <f ca="1">IF(TeamHistory!$BP22="Blank","",IF(TeamHistory!$BK22=1,"W","L"))</f>
        <v>W</v>
      </c>
      <c r="F206" s="241" t="str">
        <f ca="1">IF(TeamHistory!$BP22="Blank","",TeamHistory!$B22)</f>
        <v>Midwest</v>
      </c>
      <c r="G206" s="242">
        <f ca="1">IF(TeamHistory!$BP22="Blank","",TeamHistory!$C22)</f>
        <v>44961</v>
      </c>
      <c r="U206" s="14"/>
      <c r="V206" s="12"/>
    </row>
    <row r="207" spans="1:22" x14ac:dyDescent="0.25">
      <c r="A207" s="240" t="str">
        <f ca="1">IF(TeamHistory!$BP23="Blank","",CONCATENATE(TeamHistory!$B23," ",MONTH(TeamHistory!$C23),"/",DAY(TeamHistory!$C23),"/",YEAR(TeamHistory!$C23)))</f>
        <v>Sundance 2/7/2023</v>
      </c>
      <c r="B207" s="240">
        <f t="shared" ca="1" si="66"/>
        <v>1</v>
      </c>
      <c r="C207" s="240" t="str">
        <f ca="1">IF(Table35[[#This Row],[Games]]="","",TeamHistory!BQ23)</f>
        <v/>
      </c>
      <c r="D207" s="240" t="str">
        <f ca="1">IF(Table35[[#This Row],[Games]]="","",TeamHistory!BS23)</f>
        <v/>
      </c>
      <c r="E207" s="240" t="str">
        <f ca="1">IF(TeamHistory!$BP23="Blank","",IF(TeamHistory!$BK23=1,"W","L"))</f>
        <v>W</v>
      </c>
      <c r="F207" s="241" t="str">
        <f ca="1">IF(TeamHistory!$BP23="Blank","",TeamHistory!$B23)</f>
        <v>Sundance</v>
      </c>
      <c r="G207" s="242">
        <f ca="1">IF(TeamHistory!$BP23="Blank","",TeamHistory!$C23)</f>
        <v>44964</v>
      </c>
      <c r="U207" s="14"/>
      <c r="V207" s="12"/>
    </row>
    <row r="208" spans="1:22" x14ac:dyDescent="0.25">
      <c r="A208" s="240" t="str">
        <f ca="1">IF(TeamHistory!$BP24="Blank","",CONCATENATE(TeamHistory!$B24," ",MONTH(TeamHistory!$C24),"/",DAY(TeamHistory!$C24),"/",YEAR(TeamHistory!$C24)))</f>
        <v>Arvada Clearmont 2/11/2023</v>
      </c>
      <c r="B208" s="240">
        <f t="shared" ca="1" si="66"/>
        <v>1</v>
      </c>
      <c r="C208" s="243" t="str">
        <f ca="1">IF(Table35[[#This Row],[Games]]="","",TeamHistory!BQ24)</f>
        <v>R</v>
      </c>
      <c r="D208" s="243" t="str">
        <f ca="1">IF(Table35[[#This Row],[Games]]="","",TeamHistory!BS24)</f>
        <v>SR</v>
      </c>
      <c r="E208" s="243" t="str">
        <f ca="1">IF(TeamHistory!$BP24="Blank","",IF(TeamHistory!$BK24=1,"W","L"))</f>
        <v>W</v>
      </c>
      <c r="F208" s="241" t="str">
        <f ca="1">IF(TeamHistory!$BP24="Blank","",TeamHistory!$B24)</f>
        <v>Arvada Clearmont</v>
      </c>
      <c r="G208" s="242">
        <f ca="1">IF(TeamHistory!$BP24="Blank","",TeamHistory!$C24)</f>
        <v>44968</v>
      </c>
      <c r="U208" s="14"/>
      <c r="V208" s="12"/>
    </row>
    <row r="209" spans="1:22" x14ac:dyDescent="0.25">
      <c r="A209" s="240" t="str">
        <f ca="1">IF(TeamHistory!$BP25="Blank","",CONCATENATE(TeamHistory!$B25," ",MONTH(TeamHistory!$C25),"/",DAY(TeamHistory!$C25),"/",YEAR(TeamHistory!$C25)))</f>
        <v>Hulett 2/17/2023</v>
      </c>
      <c r="B209" s="240">
        <f t="shared" ca="1" si="66"/>
        <v>1</v>
      </c>
      <c r="C209" s="240" t="str">
        <f ca="1">IF(Table35[[#This Row],[Games]]="","",TeamHistory!BQ25)</f>
        <v>R</v>
      </c>
      <c r="D209" s="240" t="str">
        <f ca="1">IF(Table35[[#This Row],[Games]]="","",TeamHistory!BS25)</f>
        <v>SR</v>
      </c>
      <c r="E209" s="240" t="str">
        <f ca="1">IF(TeamHistory!$BP25="Blank","",IF(TeamHistory!$BK25=1,"W","L"))</f>
        <v>W</v>
      </c>
      <c r="F209" s="241" t="str">
        <f ca="1">IF(TeamHistory!$BP25="Blank","",TeamHistory!$B25)</f>
        <v>Hulett</v>
      </c>
      <c r="G209" s="242">
        <f ca="1">IF(TeamHistory!$BP25="Blank","",TeamHistory!$C25)</f>
        <v>44974</v>
      </c>
      <c r="U209" s="14"/>
      <c r="V209" s="12"/>
    </row>
    <row r="210" spans="1:22" x14ac:dyDescent="0.25">
      <c r="A210" s="240" t="str">
        <f ca="1">IF(TeamHistory!$BP26="Blank","",CONCATENATE(TeamHistory!$B26," ",MONTH(TeamHistory!$C26),"/",DAY(TeamHistory!$C26),"/",YEAR(TeamHistory!$C26)))</f>
        <v>Wright 2/18/2023</v>
      </c>
      <c r="B210" s="240">
        <f t="shared" ca="1" si="66"/>
        <v>1</v>
      </c>
      <c r="C210" s="243" t="str">
        <f ca="1">IF(Table35[[#This Row],[Games]]="","",TeamHistory!BQ26)</f>
        <v/>
      </c>
      <c r="D210" s="243" t="str">
        <f ca="1">IF(Table35[[#This Row],[Games]]="","",TeamHistory!BS26)</f>
        <v/>
      </c>
      <c r="E210" s="243" t="str">
        <f ca="1">IF(TeamHistory!$BP26="Blank","",IF(TeamHistory!$BK26=1,"W","L"))</f>
        <v>L</v>
      </c>
      <c r="F210" s="241" t="str">
        <f ca="1">IF(TeamHistory!$BP26="Blank","",TeamHistory!$B26)</f>
        <v>Wright</v>
      </c>
      <c r="G210" s="242">
        <f ca="1">IF(TeamHistory!$BP26="Blank","",TeamHistory!$C26)</f>
        <v>44975</v>
      </c>
      <c r="U210" s="14"/>
      <c r="V210" s="12"/>
    </row>
    <row r="211" spans="1:22" x14ac:dyDescent="0.25">
      <c r="A211" s="240" t="str">
        <f ca="1">IF(TeamHistory!$BP27="Blank","",CONCATENATE(TeamHistory!$B27," ",MONTH(TeamHistory!$C27),"/",DAY(TeamHistory!$C27),"/",YEAR(TeamHistory!$C27)))</f>
        <v>Rock River 2/23/2023</v>
      </c>
      <c r="B211" s="240">
        <f t="shared" ca="1" si="66"/>
        <v>1</v>
      </c>
      <c r="C211" s="240" t="str">
        <f ca="1">IF(Table35[[#This Row],[Games]]="","",TeamHistory!BQ27)</f>
        <v>R</v>
      </c>
      <c r="D211" s="240" t="str">
        <f ca="1">IF(Table35[[#This Row],[Games]]="","",TeamHistory!BS27)</f>
        <v/>
      </c>
      <c r="E211" s="240" t="str">
        <f ca="1">IF(TeamHistory!$BP27="Blank","",IF(TeamHistory!$BK27=1,"W","L"))</f>
        <v>W</v>
      </c>
      <c r="F211" s="241" t="str">
        <f ca="1">IF(TeamHistory!$BP27="Blank","",TeamHistory!$B27)</f>
        <v>Rock River</v>
      </c>
      <c r="G211" s="242">
        <f ca="1">IF(TeamHistory!$BP27="Blank","",TeamHistory!$C27)</f>
        <v>44980</v>
      </c>
      <c r="U211" s="14"/>
      <c r="V211" s="12"/>
    </row>
    <row r="212" spans="1:22" x14ac:dyDescent="0.25">
      <c r="A212" s="240" t="str">
        <f ca="1">IF(TeamHistory!$BP28="Blank","",CONCATENATE(TeamHistory!$B28," ",MONTH(TeamHistory!$C28),"/",DAY(TeamHistory!$C28),"/",YEAR(TeamHistory!$C28)))</f>
        <v>Kaycee 2/24/2023</v>
      </c>
      <c r="B212" s="240">
        <f t="shared" ca="1" si="66"/>
        <v>1</v>
      </c>
      <c r="C212" s="243" t="str">
        <f ca="1">IF(Table35[[#This Row],[Games]]="","",TeamHistory!BQ28)</f>
        <v>R</v>
      </c>
      <c r="D212" s="243" t="str">
        <f ca="1">IF(Table35[[#This Row],[Games]]="","",TeamHistory!BS28)</f>
        <v>SR</v>
      </c>
      <c r="E212" s="243" t="str">
        <f ca="1">IF(TeamHistory!$BP28="Blank","",IF(TeamHistory!$BK28=1,"W","L"))</f>
        <v>W</v>
      </c>
      <c r="F212" s="241" t="str">
        <f ca="1">IF(TeamHistory!$BP28="Blank","",TeamHistory!$B28)</f>
        <v>Kaycee</v>
      </c>
      <c r="G212" s="242">
        <f ca="1">IF(TeamHistory!$BP28="Blank","",TeamHistory!$C28)</f>
        <v>44981</v>
      </c>
      <c r="U212" s="14"/>
      <c r="V212" s="12"/>
    </row>
    <row r="213" spans="1:22" x14ac:dyDescent="0.25">
      <c r="A213" s="240" t="str">
        <f ca="1">IF(TeamHistory!$BP29="Blank","",CONCATENATE(TeamHistory!$B29," ",MONTH(TeamHistory!$C29),"/",DAY(TeamHistory!$C29),"/",YEAR(TeamHistory!$C29)))</f>
        <v>Southeast 2/25/2023</v>
      </c>
      <c r="B213" s="240">
        <f t="shared" ca="1" si="66"/>
        <v>1</v>
      </c>
      <c r="C213" s="240" t="str">
        <f ca="1">IF(Table35[[#This Row],[Games]]="","",TeamHistory!BQ29)</f>
        <v>R</v>
      </c>
      <c r="D213" s="240" t="str">
        <f ca="1">IF(Table35[[#This Row],[Games]]="","",TeamHistory!BS29)</f>
        <v/>
      </c>
      <c r="E213" s="240" t="str">
        <f ca="1">IF(TeamHistory!$BP29="Blank","",IF(TeamHistory!$BK29=1,"W","L"))</f>
        <v>W</v>
      </c>
      <c r="F213" s="241" t="str">
        <f ca="1">IF(TeamHistory!$BP29="Blank","",TeamHistory!$B29)</f>
        <v>Southeast</v>
      </c>
      <c r="G213" s="242">
        <f ca="1">IF(TeamHistory!$BP29="Blank","",TeamHistory!$C29)</f>
        <v>44982</v>
      </c>
      <c r="U213" s="14"/>
      <c r="V213" s="12"/>
    </row>
    <row r="214" spans="1:22" x14ac:dyDescent="0.25">
      <c r="A214" s="240" t="str">
        <f ca="1">IF(TeamHistory!$BP30="Blank","",CONCATENATE(TeamHistory!$B30," ",MONTH(TeamHistory!$C30),"/",DAY(TeamHistory!$C30),"/",YEAR(TeamHistory!$C30)))</f>
        <v>Farson Eden 3/2/2023</v>
      </c>
      <c r="B214" s="240">
        <f t="shared" ca="1" si="66"/>
        <v>1</v>
      </c>
      <c r="C214" s="243" t="str">
        <f ca="1">IF(Table35[[#This Row],[Games]]="","",TeamHistory!BQ30)</f>
        <v/>
      </c>
      <c r="D214" s="243" t="str">
        <f ca="1">IF(Table35[[#This Row],[Games]]="","",TeamHistory!BS30)</f>
        <v/>
      </c>
      <c r="E214" s="243" t="str">
        <f ca="1">IF(TeamHistory!$BP30="Blank","",IF(TeamHistory!$BK30=1,"W","L"))</f>
        <v>W</v>
      </c>
      <c r="F214" s="241" t="str">
        <f ca="1">IF(TeamHistory!$BP30="Blank","",TeamHistory!$B30)</f>
        <v>Farson Eden</v>
      </c>
      <c r="G214" s="242">
        <f ca="1">IF(TeamHistory!$BP30="Blank","",TeamHistory!$C30)</f>
        <v>44987</v>
      </c>
      <c r="U214" s="14"/>
      <c r="V214" s="12"/>
    </row>
    <row r="215" spans="1:22" x14ac:dyDescent="0.25">
      <c r="A215" s="240" t="str">
        <f ca="1">IF(TeamHistory!$BP31="Blank","",CONCATENATE(TeamHistory!$B31," ",MONTH(TeamHistory!$C31),"/",DAY(TeamHistory!$C31),"/",YEAR(TeamHistory!$C31)))</f>
        <v>Cokeville 3/3/2023</v>
      </c>
      <c r="B215" s="240">
        <f t="shared" ca="1" si="66"/>
        <v>1</v>
      </c>
      <c r="C215" s="240" t="str">
        <f ca="1">IF(Table35[[#This Row],[Games]]="","",TeamHistory!BQ31)</f>
        <v/>
      </c>
      <c r="D215" s="240" t="str">
        <f ca="1">IF(Table35[[#This Row],[Games]]="","",TeamHistory!BS31)</f>
        <v/>
      </c>
      <c r="E215" s="240" t="str">
        <f ca="1">IF(TeamHistory!$BP31="Blank","",IF(TeamHistory!$BK31=1,"W","L"))</f>
        <v>W</v>
      </c>
      <c r="F215" s="241" t="str">
        <f ca="1">IF(TeamHistory!$BP31="Blank","",TeamHistory!$B31)</f>
        <v>Cokeville</v>
      </c>
      <c r="G215" s="242">
        <f ca="1">IF(TeamHistory!$BP31="Blank","",TeamHistory!$C31)</f>
        <v>44988</v>
      </c>
      <c r="U215" s="14"/>
      <c r="V215" s="12"/>
    </row>
    <row r="216" spans="1:22" x14ac:dyDescent="0.25">
      <c r="A216" s="240" t="str">
        <f ca="1">IF(TeamHistory!$BP32="Blank","",CONCATENATE(TeamHistory!$B32," ",MONTH(TeamHistory!$C32),"/",DAY(TeamHistory!$C32),"/",YEAR(TeamHistory!$C32)))</f>
        <v>Burlington 3/4/2023</v>
      </c>
      <c r="B216" s="240">
        <f t="shared" ca="1" si="66"/>
        <v>1</v>
      </c>
      <c r="C216" s="243" t="str">
        <f ca="1">IF(Table35[[#This Row],[Games]]="","",TeamHistory!BQ32)</f>
        <v/>
      </c>
      <c r="D216" s="243" t="str">
        <f ca="1">IF(Table35[[#This Row],[Games]]="","",TeamHistory!BS32)</f>
        <v/>
      </c>
      <c r="E216" s="243" t="str">
        <f ca="1">IF(TeamHistory!$BP32="Blank","",IF(TeamHistory!$BK32=1,"W","L"))</f>
        <v>L</v>
      </c>
      <c r="F216" s="241" t="str">
        <f ca="1">IF(TeamHistory!$BP32="Blank","",TeamHistory!$B32)</f>
        <v>Burlington</v>
      </c>
      <c r="G216" s="242">
        <f ca="1">IF(TeamHistory!$BP32="Blank","",TeamHistory!$C32)</f>
        <v>44989</v>
      </c>
      <c r="U216" s="14"/>
      <c r="V216" s="12"/>
    </row>
    <row r="217" spans="1:22" x14ac:dyDescent="0.25">
      <c r="A217" s="240" t="str">
        <f ca="1">IF(TeamHistory!$BP33="Blank","",CONCATENATE(TeamHistory!$B33," ",MONTH(TeamHistory!$C33),"/",DAY(TeamHistory!$C33),"/",YEAR(TeamHistory!$C33)))</f>
        <v/>
      </c>
      <c r="B217" s="240">
        <f t="shared" ca="1" si="66"/>
        <v>1</v>
      </c>
      <c r="C217" s="240" t="str">
        <f ca="1">IF(Table35[[#This Row],[Games]]="","",TeamHistory!BQ33)</f>
        <v/>
      </c>
      <c r="D217" s="240" t="str">
        <f ca="1">IF(Table35[[#This Row],[Games]]="","",TeamHistory!BS33)</f>
        <v/>
      </c>
      <c r="E217" s="240" t="str">
        <f ca="1">IF(TeamHistory!$BP33="Blank","",IF(TeamHistory!$BK33=1,"W","L"))</f>
        <v/>
      </c>
      <c r="F217" s="241" t="str">
        <f ca="1">IF(TeamHistory!$BP33="Blank","",TeamHistory!$B33)</f>
        <v/>
      </c>
      <c r="G217" s="242" t="str">
        <f ca="1">IF(TeamHistory!$BP33="Blank","",TeamHistory!$C33)</f>
        <v/>
      </c>
      <c r="U217" s="14"/>
      <c r="V217" s="12"/>
    </row>
    <row r="218" spans="1:22" x14ac:dyDescent="0.25">
      <c r="A218" s="240" t="str">
        <f ca="1">IF(TeamHistory!$BP34="Blank","",CONCATENATE(TeamHistory!$B34," ",MONTH(TeamHistory!$C34),"/",DAY(TeamHistory!$C34),"/",YEAR(TeamHistory!$C34)))</f>
        <v/>
      </c>
      <c r="B218" s="240">
        <f t="shared" ca="1" si="66"/>
        <v>1</v>
      </c>
      <c r="C218" s="243" t="str">
        <f ca="1">IF(Table35[[#This Row],[Games]]="","",TeamHistory!BQ34)</f>
        <v/>
      </c>
      <c r="D218" s="243" t="str">
        <f ca="1">IF(Table35[[#This Row],[Games]]="","",TeamHistory!BS34)</f>
        <v/>
      </c>
      <c r="E218" s="243" t="str">
        <f ca="1">IF(TeamHistory!$BP34="Blank","",IF(TeamHistory!$BK34=1,"W","L"))</f>
        <v/>
      </c>
      <c r="F218" s="241" t="str">
        <f ca="1">IF(TeamHistory!$BP34="Blank","",TeamHistory!$B34)</f>
        <v/>
      </c>
      <c r="G218" s="242" t="str">
        <f ca="1">IF(TeamHistory!$BP34="Blank","",TeamHistory!$C34)</f>
        <v/>
      </c>
      <c r="U218" s="14"/>
      <c r="V218" s="12"/>
    </row>
    <row r="219" spans="1:22" x14ac:dyDescent="0.25">
      <c r="A219" s="240" t="str">
        <f ca="1">IF(TeamHistory!$BP35="Blank","",CONCATENATE(TeamHistory!$B35," ",MONTH(TeamHistory!$C35),"/",DAY(TeamHistory!$C35),"/",YEAR(TeamHistory!$C35)))</f>
        <v/>
      </c>
      <c r="B219" s="240">
        <f t="shared" ca="1" si="66"/>
        <v>1</v>
      </c>
      <c r="C219" s="240" t="str">
        <f ca="1">IF(Table35[[#This Row],[Games]]="","",TeamHistory!BQ35)</f>
        <v/>
      </c>
      <c r="D219" s="240" t="str">
        <f ca="1">IF(Table35[[#This Row],[Games]]="","",TeamHistory!BS35)</f>
        <v/>
      </c>
      <c r="E219" s="240" t="str">
        <f ca="1">IF(TeamHistory!$BP35="Blank","",IF(TeamHistory!$BK35=1,"W","L"))</f>
        <v/>
      </c>
      <c r="F219" s="241" t="str">
        <f ca="1">IF(TeamHistory!$BP35="Blank","",TeamHistory!$B35)</f>
        <v/>
      </c>
      <c r="G219" s="242" t="str">
        <f ca="1">IF(TeamHistory!$BP35="Blank","",TeamHistory!$C35)</f>
        <v/>
      </c>
      <c r="U219" s="14"/>
      <c r="V219" s="12"/>
    </row>
    <row r="220" spans="1:22" x14ac:dyDescent="0.25">
      <c r="A220" s="240" t="str">
        <f ca="1">IF(TeamHistory!$BP36="Blank","",CONCATENATE(TeamHistory!$B36," ",MONTH(TeamHistory!$C36),"/",DAY(TeamHistory!$C36),"/",YEAR(TeamHistory!$C36)))</f>
        <v/>
      </c>
      <c r="B220" s="240">
        <f t="shared" ca="1" si="66"/>
        <v>1</v>
      </c>
      <c r="C220" s="243" t="str">
        <f ca="1">IF(Table35[[#This Row],[Games]]="","",TeamHistory!BQ36)</f>
        <v/>
      </c>
      <c r="D220" s="243" t="str">
        <f ca="1">IF(Table35[[#This Row],[Games]]="","",TeamHistory!BS36)</f>
        <v/>
      </c>
      <c r="E220" s="243" t="str">
        <f ca="1">IF(TeamHistory!$BP36="Blank","",IF(TeamHistory!$BK36=1,"W","L"))</f>
        <v/>
      </c>
      <c r="F220" s="241" t="str">
        <f ca="1">IF(TeamHistory!$BP36="Blank","",TeamHistory!$B36)</f>
        <v/>
      </c>
      <c r="G220" s="242" t="str">
        <f ca="1">IF(TeamHistory!$BP36="Blank","",TeamHistory!$C36)</f>
        <v/>
      </c>
      <c r="U220" s="14"/>
      <c r="V220" s="12"/>
    </row>
    <row r="221" spans="1:22" x14ac:dyDescent="0.25">
      <c r="A221" s="240" t="str">
        <f ca="1">IF(TeamHistory!$BP37="Blank","",CONCATENATE(TeamHistory!$B37," ",MONTH(TeamHistory!$C37),"/",DAY(TeamHistory!$C37),"/",YEAR(TeamHistory!$C37)))</f>
        <v/>
      </c>
      <c r="B221" s="240">
        <f t="shared" ca="1" si="66"/>
        <v>1</v>
      </c>
      <c r="C221" s="240" t="str">
        <f ca="1">IF(Table35[[#This Row],[Games]]="","",TeamHistory!BQ37)</f>
        <v/>
      </c>
      <c r="D221" s="240" t="str">
        <f ca="1">IF(Table35[[#This Row],[Games]]="","",TeamHistory!BS37)</f>
        <v/>
      </c>
      <c r="E221" s="240" t="str">
        <f ca="1">IF(TeamHistory!$BP37="Blank","",IF(TeamHistory!$BK37=1,"W","L"))</f>
        <v/>
      </c>
      <c r="F221" s="241" t="str">
        <f ca="1">IF(TeamHistory!$BP37="Blank","",TeamHistory!$B37)</f>
        <v/>
      </c>
      <c r="G221" s="242" t="str">
        <f ca="1">IF(TeamHistory!$BP37="Blank","",TeamHistory!$C37)</f>
        <v/>
      </c>
      <c r="U221" s="14"/>
      <c r="V221" s="12"/>
    </row>
    <row r="222" spans="1:22" x14ac:dyDescent="0.25">
      <c r="A222" s="240" t="str">
        <f ca="1">IF(TeamHistory!$BP38="Blank","",CONCATENATE(TeamHistory!$B38," ",MONTH(TeamHistory!$C38),"/",DAY(TeamHistory!$C38),"/",YEAR(TeamHistory!$C38)))</f>
        <v/>
      </c>
      <c r="B222" s="240">
        <f t="shared" ca="1" si="66"/>
        <v>1</v>
      </c>
      <c r="C222" s="243" t="str">
        <f ca="1">IF(Table35[[#This Row],[Games]]="","",TeamHistory!BQ38)</f>
        <v/>
      </c>
      <c r="D222" s="243" t="str">
        <f ca="1">IF(Table35[[#This Row],[Games]]="","",TeamHistory!BS38)</f>
        <v/>
      </c>
      <c r="E222" s="243" t="str">
        <f ca="1">IF(TeamHistory!$BP38="Blank","",IF(TeamHistory!$BK38=1,"W","L"))</f>
        <v/>
      </c>
      <c r="F222" s="241" t="str">
        <f ca="1">IF(TeamHistory!$BP38="Blank","",TeamHistory!$B38)</f>
        <v/>
      </c>
      <c r="G222" s="242" t="str">
        <f ca="1">IF(TeamHistory!$BP38="Blank","",TeamHistory!$C38)</f>
        <v/>
      </c>
      <c r="U222" s="14"/>
      <c r="V222" s="12"/>
    </row>
    <row r="223" spans="1:22" x14ac:dyDescent="0.25">
      <c r="A223" s="240" t="str">
        <f ca="1">IF(TeamHistory!$BP39="Blank","",CONCATENATE(TeamHistory!$B39," ",MONTH(TeamHistory!$C39),"/",DAY(TeamHistory!$C39),"/",YEAR(TeamHistory!$C39)))</f>
        <v/>
      </c>
      <c r="B223" s="240">
        <f t="shared" ca="1" si="66"/>
        <v>1</v>
      </c>
      <c r="C223" s="240" t="str">
        <f ca="1">IF(Table35[[#This Row],[Games]]="","",TeamHistory!BQ39)</f>
        <v/>
      </c>
      <c r="D223" s="240" t="str">
        <f ca="1">IF(Table35[[#This Row],[Games]]="","",TeamHistory!BS39)</f>
        <v/>
      </c>
      <c r="E223" s="240" t="str">
        <f ca="1">IF(TeamHistory!$BP39="Blank","",IF(TeamHistory!$BK39=1,"W","L"))</f>
        <v/>
      </c>
      <c r="F223" s="241" t="str">
        <f ca="1">IF(TeamHistory!$BP39="Blank","",TeamHistory!$B39)</f>
        <v/>
      </c>
      <c r="G223" s="242" t="str">
        <f ca="1">IF(TeamHistory!$BP39="Blank","",TeamHistory!$C39)</f>
        <v/>
      </c>
      <c r="U223" s="14"/>
      <c r="V223" s="12"/>
    </row>
    <row r="224" spans="1:22" x14ac:dyDescent="0.25">
      <c r="A224" s="240" t="str">
        <f ca="1">IF(TeamHistory!$BP40="Blank","",CONCATENATE(TeamHistory!$B40," ",MONTH(TeamHistory!$C40),"/",DAY(TeamHistory!$C40),"/",YEAR(TeamHistory!$C40)))</f>
        <v/>
      </c>
      <c r="B224" s="240">
        <f t="shared" ca="1" si="66"/>
        <v>1</v>
      </c>
      <c r="C224" s="243" t="str">
        <f ca="1">IF(Table35[[#This Row],[Games]]="","",TeamHistory!BQ40)</f>
        <v/>
      </c>
      <c r="D224" s="243" t="str">
        <f ca="1">IF(Table35[[#This Row],[Games]]="","",TeamHistory!BS40)</f>
        <v/>
      </c>
      <c r="E224" s="243" t="str">
        <f ca="1">IF(TeamHistory!$BP40="Blank","",IF(TeamHistory!$BK40=1,"W","L"))</f>
        <v/>
      </c>
      <c r="F224" s="241" t="str">
        <f ca="1">IF(TeamHistory!$BP40="Blank","",TeamHistory!$B40)</f>
        <v/>
      </c>
      <c r="G224" s="242" t="str">
        <f ca="1">IF(TeamHistory!$BP40="Blank","",TeamHistory!$C40)</f>
        <v/>
      </c>
      <c r="U224" s="14"/>
      <c r="V224" s="12"/>
    </row>
    <row r="225" spans="1:22" x14ac:dyDescent="0.25">
      <c r="A225" s="240" t="str">
        <f ca="1">IF(TeamHistory!$BP41="Blank","",CONCATENATE(TeamHistory!$B41," ",MONTH(TeamHistory!$C41),"/",DAY(TeamHistory!$C41),"/",YEAR(TeamHistory!$C41)))</f>
        <v/>
      </c>
      <c r="B225" s="240">
        <f t="shared" ca="1" si="66"/>
        <v>1</v>
      </c>
      <c r="C225" s="240" t="str">
        <f ca="1">IF(Table35[[#This Row],[Games]]="","",TeamHistory!BQ41)</f>
        <v/>
      </c>
      <c r="D225" s="240" t="str">
        <f ca="1">IF(Table35[[#This Row],[Games]]="","",TeamHistory!BS41)</f>
        <v/>
      </c>
      <c r="E225" s="240" t="str">
        <f ca="1">IF(TeamHistory!$BP41="Blank","",IF(TeamHistory!$BK41=1,"W","L"))</f>
        <v/>
      </c>
      <c r="F225" s="241" t="str">
        <f ca="1">IF(TeamHistory!$BP41="Blank","",TeamHistory!$B41)</f>
        <v/>
      </c>
      <c r="G225" s="242" t="str">
        <f ca="1">IF(TeamHistory!$BP41="Blank","",TeamHistory!$C41)</f>
        <v/>
      </c>
      <c r="U225" s="14"/>
      <c r="V225" s="12"/>
    </row>
    <row r="226" spans="1:22" x14ac:dyDescent="0.25">
      <c r="A226" s="240" t="str">
        <f ca="1">IF(TeamHistory!$BP42="Blank","",CONCATENATE(TeamHistory!$B42," ",MONTH(TeamHistory!$C42),"/",DAY(TeamHistory!$C42),"/",YEAR(TeamHistory!$C42)))</f>
        <v/>
      </c>
      <c r="B226" s="240">
        <f t="shared" ca="1" si="66"/>
        <v>1</v>
      </c>
      <c r="C226" s="243" t="str">
        <f ca="1">IF(Table35[[#This Row],[Games]]="","",TeamHistory!BQ42)</f>
        <v/>
      </c>
      <c r="D226" s="243" t="str">
        <f ca="1">IF(Table35[[#This Row],[Games]]="","",TeamHistory!BS42)</f>
        <v/>
      </c>
      <c r="E226" s="243" t="str">
        <f ca="1">IF(TeamHistory!$BP42="Blank","",IF(TeamHistory!$BK42=1,"W","L"))</f>
        <v/>
      </c>
      <c r="F226" s="241" t="str">
        <f ca="1">IF(TeamHistory!$BP42="Blank","",TeamHistory!$B42)</f>
        <v/>
      </c>
      <c r="G226" s="242" t="str">
        <f ca="1">IF(TeamHistory!$BP42="Blank","",TeamHistory!$C42)</f>
        <v/>
      </c>
      <c r="U226" s="14"/>
      <c r="V226" s="12"/>
    </row>
    <row r="227" spans="1:22" x14ac:dyDescent="0.25">
      <c r="A227" s="240" t="str">
        <f ca="1">IF(TeamHistory!$BP43="Blank","",CONCATENATE(TeamHistory!$B43," ",MONTH(TeamHistory!$C43),"/",DAY(TeamHistory!$C43),"/",YEAR(TeamHistory!$C43)))</f>
        <v/>
      </c>
      <c r="B227" s="240">
        <f t="shared" ca="1" si="66"/>
        <v>1</v>
      </c>
      <c r="C227" s="240" t="str">
        <f ca="1">IF(Table35[[#This Row],[Games]]="","",TeamHistory!BQ43)</f>
        <v/>
      </c>
      <c r="D227" s="240" t="str">
        <f ca="1">IF(Table35[[#This Row],[Games]]="","",TeamHistory!BS43)</f>
        <v/>
      </c>
      <c r="E227" s="240" t="str">
        <f ca="1">IF(TeamHistory!$BP43="Blank","",IF(TeamHistory!$BK43=1,"W","L"))</f>
        <v/>
      </c>
      <c r="F227" s="241" t="str">
        <f ca="1">IF(TeamHistory!$BP43="Blank","",TeamHistory!$B43)</f>
        <v/>
      </c>
      <c r="G227" s="242" t="str">
        <f ca="1">IF(TeamHistory!$BP43="Blank","",TeamHistory!$C43)</f>
        <v/>
      </c>
      <c r="U227" s="14"/>
      <c r="V227" s="12"/>
    </row>
    <row r="228" spans="1:22" x14ac:dyDescent="0.25">
      <c r="A228" s="240" t="str">
        <f ca="1">IF(TeamHistory!$BP44="Blank","",CONCATENATE(TeamHistory!$B44," ",MONTH(TeamHistory!$C44),"/",DAY(TeamHistory!$C44),"/",YEAR(TeamHistory!$C44)))</f>
        <v/>
      </c>
      <c r="B228" s="240">
        <f t="shared" ca="1" si="66"/>
        <v>1</v>
      </c>
      <c r="C228" s="243" t="str">
        <f ca="1">IF(Table35[[#This Row],[Games]]="","",TeamHistory!BQ44)</f>
        <v/>
      </c>
      <c r="D228" s="243" t="str">
        <f ca="1">IF(Table35[[#This Row],[Games]]="","",TeamHistory!BS44)</f>
        <v/>
      </c>
      <c r="E228" s="243" t="str">
        <f ca="1">IF(TeamHistory!$BP44="Blank","",IF(TeamHistory!$BK44=1,"W","L"))</f>
        <v/>
      </c>
      <c r="F228" s="241" t="str">
        <f ca="1">IF(TeamHistory!$BP44="Blank","",TeamHistory!$B44)</f>
        <v/>
      </c>
      <c r="G228" s="242" t="str">
        <f ca="1">IF(TeamHistory!$BP44="Blank","",TeamHistory!$C44)</f>
        <v/>
      </c>
      <c r="U228" s="14"/>
      <c r="V228" s="12"/>
    </row>
    <row r="229" spans="1:22" x14ac:dyDescent="0.25">
      <c r="A229" s="240" t="str">
        <f ca="1">IF(TeamHistory!$BP45="Blank","",CONCATENATE(TeamHistory!$B45," ",MONTH(TeamHistory!$C45),"/",DAY(TeamHistory!$C45),"/",YEAR(TeamHistory!$C45)))</f>
        <v/>
      </c>
      <c r="B229" s="240">
        <f t="shared" ca="1" si="66"/>
        <v>1</v>
      </c>
      <c r="C229" s="240" t="str">
        <f ca="1">IF(Table35[[#This Row],[Games]]="","",TeamHistory!BQ45)</f>
        <v/>
      </c>
      <c r="D229" s="240" t="str">
        <f ca="1">IF(Table35[[#This Row],[Games]]="","",TeamHistory!BS45)</f>
        <v/>
      </c>
      <c r="E229" s="240" t="str">
        <f ca="1">IF(TeamHistory!$BP45="Blank","",IF(TeamHistory!$BK45=1,"W","L"))</f>
        <v/>
      </c>
      <c r="F229" s="241" t="str">
        <f ca="1">IF(TeamHistory!$BP45="Blank","",TeamHistory!$B45)</f>
        <v/>
      </c>
      <c r="G229" s="242" t="str">
        <f ca="1">IF(TeamHistory!$BP45="Blank","",TeamHistory!$C45)</f>
        <v/>
      </c>
      <c r="U229" s="14"/>
      <c r="V229" s="12"/>
    </row>
    <row r="230" spans="1:22" x14ac:dyDescent="0.25">
      <c r="A230" s="240" t="str">
        <f ca="1">IF(TeamHistory!$BP46="Blank","",CONCATENATE(TeamHistory!$B46," ",MONTH(TeamHistory!$C46),"/",DAY(TeamHistory!$C46),"/",YEAR(TeamHistory!$C46)))</f>
        <v/>
      </c>
      <c r="B230" s="240">
        <f t="shared" ca="1" si="66"/>
        <v>1</v>
      </c>
      <c r="C230" s="243" t="str">
        <f ca="1">IF(Table35[[#This Row],[Games]]="","",TeamHistory!BQ46)</f>
        <v/>
      </c>
      <c r="D230" s="243" t="str">
        <f ca="1">IF(Table35[[#This Row],[Games]]="","",TeamHistory!BS46)</f>
        <v/>
      </c>
      <c r="E230" s="243" t="str">
        <f ca="1">IF(TeamHistory!$BP46="Blank","",IF(TeamHistory!$BK46=1,"W","L"))</f>
        <v/>
      </c>
      <c r="F230" s="241" t="str">
        <f ca="1">IF(TeamHistory!$BP46="Blank","",TeamHistory!$B46)</f>
        <v/>
      </c>
      <c r="G230" s="242" t="str">
        <f ca="1">IF(TeamHistory!$BP46="Blank","",TeamHistory!$C46)</f>
        <v/>
      </c>
      <c r="U230" s="14"/>
      <c r="V230" s="12"/>
    </row>
  </sheetData>
  <sheetProtection sheet="1" autoFilter="0" pivotTables="0"/>
  <pageMargins left="0.45" right="0.45" top="0.5" bottom="0.5" header="0.3" footer="0.3"/>
  <pageSetup scale="81" orientation="landscape" r:id="rId1"/>
  <rowBreaks count="1" manualBreakCount="1">
    <brk id="38" max="24" man="1"/>
  </rowBreaks>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PlayerHistory!$A$7:$A$30</xm:f>
          </x14:formula1>
          <xm:sqref>A1</xm:sqref>
        </x14:dataValidation>
      </x14:dataValidations>
    </ext>
    <ext xmlns:x15="http://schemas.microsoft.com/office/spreadsheetml/2010/11/main" uri="{3A4CF648-6AED-40f4-86FF-DC5316D8AED3}">
      <x14:slicerList xmlns:x14="http://schemas.microsoft.com/office/spreadsheetml/2009/9/main">
        <x14:slicer r:id="rId5"/>
      </x14:slicerList>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fitToPage="1"/>
  </sheetPr>
  <dimension ref="A1:AJ37"/>
  <sheetViews>
    <sheetView showZeros="0" zoomScale="80" zoomScaleNormal="80" workbookViewId="0">
      <pane xSplit="2" ySplit="6" topLeftCell="C7" activePane="bottomRight" state="frozen"/>
      <selection activeCell="B3" sqref="B3"/>
      <selection pane="topRight" activeCell="B3" sqref="B3"/>
      <selection pane="bottomLeft" activeCell="B3" sqref="B3"/>
      <selection pane="bottomRight" activeCell="M41" sqref="M41"/>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303</v>
      </c>
      <c r="C3" s="70">
        <v>9</v>
      </c>
      <c r="D3" s="71">
        <v>7</v>
      </c>
      <c r="E3" s="71">
        <v>10</v>
      </c>
      <c r="F3" s="71">
        <v>13</v>
      </c>
      <c r="G3" s="72"/>
      <c r="H3" s="73">
        <f>SUM(C3:G3)</f>
        <v>39</v>
      </c>
      <c r="J3" s="12" t="s">
        <v>165</v>
      </c>
      <c r="P3" s="74" t="s">
        <v>135</v>
      </c>
      <c r="Q3" s="74" t="s">
        <v>137</v>
      </c>
      <c r="S3" s="75" t="s">
        <v>138</v>
      </c>
      <c r="U3" s="76" t="s">
        <v>139</v>
      </c>
      <c r="W3" s="77" t="s">
        <v>134</v>
      </c>
      <c r="X3" s="77" t="s">
        <v>136</v>
      </c>
      <c r="AA3" s="48" t="str">
        <f>B4</f>
        <v>Upton</v>
      </c>
      <c r="AD3" s="48">
        <f>SUM($C3:C3)</f>
        <v>9</v>
      </c>
      <c r="AE3" s="48">
        <f>SUM($C3:D3)</f>
        <v>16</v>
      </c>
      <c r="AF3" s="48">
        <f>SUM($C3:E3)</f>
        <v>26</v>
      </c>
      <c r="AG3" s="48">
        <f>SUM($C3:F3)</f>
        <v>39</v>
      </c>
      <c r="AH3" s="48">
        <f>SUM($C3:G3)</f>
        <v>39</v>
      </c>
      <c r="AJ3" s="74"/>
    </row>
    <row r="4" spans="1:36" ht="16.5" customHeight="1" thickTop="1" thickBot="1" x14ac:dyDescent="0.3">
      <c r="B4" s="78" t="str">
        <f>Roster!$B$1</f>
        <v>Upton</v>
      </c>
      <c r="C4" s="79">
        <v>9</v>
      </c>
      <c r="D4" s="80">
        <v>13</v>
      </c>
      <c r="E4" s="80">
        <v>9</v>
      </c>
      <c r="F4" s="80">
        <v>11</v>
      </c>
      <c r="G4" s="81"/>
      <c r="H4" s="82">
        <f>SUM(C4:G4)</f>
        <v>42</v>
      </c>
      <c r="J4" s="83"/>
      <c r="L4" s="84" t="s">
        <v>133</v>
      </c>
      <c r="M4" s="404">
        <v>44988</v>
      </c>
      <c r="N4" s="405"/>
      <c r="P4" s="83"/>
      <c r="Q4" s="83"/>
      <c r="S4" s="83"/>
      <c r="U4" s="83"/>
      <c r="W4" s="85">
        <f>IF(OR($S$4=1,$H$4&gt;$H$3),1,"")</f>
        <v>1</v>
      </c>
      <c r="X4" s="85" t="str">
        <f>IF(OR($U$4=1,$H$4&lt;$H$3),1,"")</f>
        <v/>
      </c>
      <c r="AA4" s="48" t="str">
        <f>B3</f>
        <v>Cokeville</v>
      </c>
      <c r="AD4" s="48">
        <f>SUM($C4:C4)</f>
        <v>9</v>
      </c>
      <c r="AE4" s="48">
        <f>SUM($C4:D4)</f>
        <v>22</v>
      </c>
      <c r="AF4" s="48">
        <f>SUM($C4:E4)</f>
        <v>31</v>
      </c>
      <c r="AG4" s="48">
        <f>SUM($C4:F4)</f>
        <v>42</v>
      </c>
      <c r="AH4" s="48">
        <f>SUM($C4:G4)</f>
        <v>42</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24</v>
      </c>
      <c r="F8" s="101"/>
      <c r="G8" s="102"/>
      <c r="H8" s="103">
        <v>1</v>
      </c>
      <c r="I8" s="102">
        <v>1</v>
      </c>
      <c r="J8" s="103">
        <v>1</v>
      </c>
      <c r="K8" s="102">
        <v>2</v>
      </c>
      <c r="L8" s="103">
        <v>1</v>
      </c>
      <c r="M8" s="103">
        <v>1</v>
      </c>
      <c r="N8" s="103">
        <v>1</v>
      </c>
      <c r="O8" s="103">
        <v>1</v>
      </c>
      <c r="P8" s="103"/>
      <c r="Q8" s="103">
        <v>1</v>
      </c>
      <c r="R8" s="103">
        <v>4</v>
      </c>
      <c r="S8" s="104"/>
      <c r="T8" s="105">
        <f t="shared" ref="T8:T30" si="1">IF(J8+2*H8+3*F8&gt;0,J8+2*H8+3*F8,0)</f>
        <v>3</v>
      </c>
      <c r="U8" s="106" t="str">
        <f t="shared" ref="U8:U30" si="2">IF(G8&gt;0,F8/G8,"")</f>
        <v/>
      </c>
      <c r="V8" s="106">
        <f t="shared" ref="V8:V30" si="3">IF(I8&gt;0,H8/I8,"")</f>
        <v>1</v>
      </c>
      <c r="W8" s="107">
        <f t="shared" ref="W8:W30" si="4">IF(K8&gt;0,J8/K8,"")</f>
        <v>0.5</v>
      </c>
      <c r="X8" s="106">
        <f t="shared" si="0"/>
        <v>1</v>
      </c>
      <c r="Y8" s="108">
        <f t="shared" ref="Y8:Y32" si="5">IF(OR(G8&gt;0,I8 &gt;0),(1.5*F8+H8)/(G8+I8),"")</f>
        <v>1</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32</v>
      </c>
      <c r="F9" s="111">
        <v>2</v>
      </c>
      <c r="G9" s="112">
        <v>3</v>
      </c>
      <c r="H9" s="113">
        <v>5</v>
      </c>
      <c r="I9" s="112">
        <v>6</v>
      </c>
      <c r="J9" s="113"/>
      <c r="K9" s="112"/>
      <c r="L9" s="113">
        <v>1</v>
      </c>
      <c r="M9" s="113">
        <v>3</v>
      </c>
      <c r="N9" s="113">
        <v>2</v>
      </c>
      <c r="O9" s="113">
        <v>4</v>
      </c>
      <c r="P9" s="113">
        <v>1</v>
      </c>
      <c r="Q9" s="113">
        <v>3</v>
      </c>
      <c r="R9" s="113">
        <v>2</v>
      </c>
      <c r="S9" s="114"/>
      <c r="T9" s="115">
        <f t="shared" si="1"/>
        <v>16</v>
      </c>
      <c r="U9" s="95">
        <f t="shared" si="2"/>
        <v>0.66666666666666663</v>
      </c>
      <c r="V9" s="95">
        <f t="shared" si="3"/>
        <v>0.83333333333333337</v>
      </c>
      <c r="W9" s="96" t="str">
        <f t="shared" si="4"/>
        <v/>
      </c>
      <c r="X9" s="95">
        <f t="shared" si="0"/>
        <v>0.77777777777777779</v>
      </c>
      <c r="Y9" s="116">
        <f t="shared" si="5"/>
        <v>0.88888888888888884</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29</v>
      </c>
      <c r="F10" s="101"/>
      <c r="G10" s="102">
        <v>1</v>
      </c>
      <c r="H10" s="103">
        <v>2</v>
      </c>
      <c r="I10" s="102">
        <v>4</v>
      </c>
      <c r="J10" s="103">
        <v>2</v>
      </c>
      <c r="K10" s="102">
        <v>2</v>
      </c>
      <c r="L10" s="103">
        <v>1</v>
      </c>
      <c r="M10" s="103">
        <v>1</v>
      </c>
      <c r="N10" s="103">
        <v>4</v>
      </c>
      <c r="O10" s="103"/>
      <c r="P10" s="103"/>
      <c r="Q10" s="103">
        <v>1</v>
      </c>
      <c r="R10" s="103">
        <v>1</v>
      </c>
      <c r="S10" s="104"/>
      <c r="T10" s="105">
        <f t="shared" si="1"/>
        <v>6</v>
      </c>
      <c r="U10" s="106">
        <f t="shared" si="2"/>
        <v>0</v>
      </c>
      <c r="V10" s="106">
        <f t="shared" si="3"/>
        <v>0.5</v>
      </c>
      <c r="W10" s="107">
        <f t="shared" si="4"/>
        <v>1</v>
      </c>
      <c r="X10" s="106">
        <f t="shared" si="0"/>
        <v>0.4</v>
      </c>
      <c r="Y10" s="108">
        <f t="shared" si="5"/>
        <v>0.4</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48.5</v>
      </c>
      <c r="AB11" s="385">
        <f>T31/AA11</f>
        <v>0.865979381443299</v>
      </c>
      <c r="AC11" s="385">
        <f>L31/AA11</f>
        <v>0.20618556701030927</v>
      </c>
      <c r="AD11" s="385">
        <f>M31/AA12</f>
        <v>0.40404040404040403</v>
      </c>
      <c r="AE11" s="389">
        <f>(L31+M31)/AA11</f>
        <v>0.61855670103092786</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49.5</v>
      </c>
      <c r="AB12" s="385">
        <f>T32/AA12</f>
        <v>0.78787878787878785</v>
      </c>
      <c r="AC12" s="385">
        <f>L32/AA12</f>
        <v>0.10101010101010101</v>
      </c>
      <c r="AD12" s="385">
        <f>M32/AA11</f>
        <v>0.35051546391752575</v>
      </c>
      <c r="AE12" s="389">
        <f>(L32+M32)/AA12</f>
        <v>0.44444444444444442</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27</v>
      </c>
      <c r="F14" s="101"/>
      <c r="G14" s="102"/>
      <c r="H14" s="103">
        <v>5</v>
      </c>
      <c r="I14" s="102">
        <v>7</v>
      </c>
      <c r="J14" s="103">
        <v>1</v>
      </c>
      <c r="K14" s="102">
        <v>4</v>
      </c>
      <c r="L14" s="103">
        <v>3</v>
      </c>
      <c r="M14" s="103">
        <v>6</v>
      </c>
      <c r="N14" s="103">
        <v>3</v>
      </c>
      <c r="O14" s="103">
        <v>1</v>
      </c>
      <c r="P14" s="103"/>
      <c r="Q14" s="103">
        <v>7</v>
      </c>
      <c r="R14" s="103">
        <v>2</v>
      </c>
      <c r="S14" s="104"/>
      <c r="T14" s="105">
        <f t="shared" si="1"/>
        <v>11</v>
      </c>
      <c r="U14" s="106" t="str">
        <f t="shared" si="2"/>
        <v/>
      </c>
      <c r="V14" s="106">
        <f t="shared" si="3"/>
        <v>0.7142857142857143</v>
      </c>
      <c r="W14" s="107">
        <f t="shared" si="4"/>
        <v>0.25</v>
      </c>
      <c r="X14" s="106">
        <f t="shared" si="0"/>
        <v>0.7142857142857143</v>
      </c>
      <c r="Y14" s="108">
        <f t="shared" si="5"/>
        <v>0.7142857142857143</v>
      </c>
      <c r="Z14" s="385"/>
      <c r="AA14" s="385"/>
      <c r="AB14" s="385">
        <f>N31/AA11</f>
        <v>0.26804123711340205</v>
      </c>
      <c r="AC14" s="385">
        <f>O31/AA12</f>
        <v>0.12121212121212122</v>
      </c>
      <c r="AD14" s="385">
        <f>Q31/AA11</f>
        <v>0.28865979381443296</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10</v>
      </c>
      <c r="F15" s="111"/>
      <c r="G15" s="112"/>
      <c r="H15" s="113">
        <v>1</v>
      </c>
      <c r="I15" s="112">
        <v>2</v>
      </c>
      <c r="J15" s="113"/>
      <c r="K15" s="112"/>
      <c r="L15" s="113">
        <v>1</v>
      </c>
      <c r="M15" s="113">
        <v>1</v>
      </c>
      <c r="N15" s="113"/>
      <c r="O15" s="113"/>
      <c r="P15" s="113"/>
      <c r="Q15" s="113"/>
      <c r="R15" s="113">
        <v>2</v>
      </c>
      <c r="S15" s="114"/>
      <c r="T15" s="115">
        <f t="shared" si="1"/>
        <v>2</v>
      </c>
      <c r="U15" s="95" t="str">
        <f t="shared" si="2"/>
        <v/>
      </c>
      <c r="V15" s="95">
        <f t="shared" si="3"/>
        <v>0.5</v>
      </c>
      <c r="W15" s="96" t="str">
        <f t="shared" si="4"/>
        <v/>
      </c>
      <c r="X15" s="95">
        <f t="shared" si="0"/>
        <v>0.5</v>
      </c>
      <c r="Y15" s="116">
        <f t="shared" si="5"/>
        <v>0.5</v>
      </c>
      <c r="Z15" s="392"/>
      <c r="AA15" s="393"/>
      <c r="AB15" s="393">
        <f>N32/AA12</f>
        <v>0.18181818181818182</v>
      </c>
      <c r="AC15" s="393">
        <f>O32/AA11</f>
        <v>0.18556701030927836</v>
      </c>
      <c r="AD15" s="393">
        <f>Q32/AA12</f>
        <v>0.20202020202020202</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31</v>
      </c>
      <c r="F16" s="101"/>
      <c r="G16" s="102">
        <v>1</v>
      </c>
      <c r="H16" s="103">
        <v>1</v>
      </c>
      <c r="I16" s="102">
        <v>7</v>
      </c>
      <c r="J16" s="103">
        <v>2</v>
      </c>
      <c r="K16" s="102">
        <v>7</v>
      </c>
      <c r="L16" s="103"/>
      <c r="M16" s="103">
        <v>4</v>
      </c>
      <c r="N16" s="103">
        <v>3</v>
      </c>
      <c r="O16" s="103"/>
      <c r="P16" s="103"/>
      <c r="Q16" s="103">
        <v>2</v>
      </c>
      <c r="R16" s="103">
        <v>2</v>
      </c>
      <c r="S16" s="104"/>
      <c r="T16" s="105">
        <f t="shared" si="1"/>
        <v>4</v>
      </c>
      <c r="U16" s="106">
        <f t="shared" si="2"/>
        <v>0</v>
      </c>
      <c r="V16" s="106">
        <f t="shared" si="3"/>
        <v>0.14285714285714285</v>
      </c>
      <c r="W16" s="107">
        <f t="shared" si="4"/>
        <v>0.2857142857142857</v>
      </c>
      <c r="X16" s="106">
        <f t="shared" si="0"/>
        <v>0.125</v>
      </c>
      <c r="Y16" s="108">
        <f t="shared" si="5"/>
        <v>0.125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c r="F19" s="111"/>
      <c r="G19" s="112">
        <v>1</v>
      </c>
      <c r="H19" s="113"/>
      <c r="I19" s="112">
        <v>3</v>
      </c>
      <c r="J19" s="113"/>
      <c r="K19" s="112">
        <v>2</v>
      </c>
      <c r="L19" s="113">
        <v>1</v>
      </c>
      <c r="M19" s="113">
        <v>1</v>
      </c>
      <c r="N19" s="113"/>
      <c r="O19" s="113"/>
      <c r="P19" s="113"/>
      <c r="Q19" s="113"/>
      <c r="R19" s="113"/>
      <c r="S19" s="114"/>
      <c r="T19" s="115">
        <f t="shared" si="1"/>
        <v>0</v>
      </c>
      <c r="U19" s="95">
        <f t="shared" si="2"/>
        <v>0</v>
      </c>
      <c r="V19" s="95">
        <f t="shared" si="3"/>
        <v>0</v>
      </c>
      <c r="W19" s="96">
        <f t="shared" si="4"/>
        <v>0</v>
      </c>
      <c r="X19" s="95">
        <f t="shared" si="0"/>
        <v>0</v>
      </c>
      <c r="Y19" s="116">
        <f t="shared" si="5"/>
        <v>0</v>
      </c>
      <c r="Z19" s="388" t="s">
        <v>124</v>
      </c>
      <c r="AA19" s="385">
        <f>AB11*65</f>
        <v>56.288659793814432</v>
      </c>
      <c r="AB19" s="385">
        <f t="shared" ref="AB19:AD20" si="6">AC11*65</f>
        <v>13.402061855670102</v>
      </c>
      <c r="AC19" s="385">
        <f t="shared" si="6"/>
        <v>26.262626262626263</v>
      </c>
      <c r="AD19" s="385">
        <f t="shared" si="6"/>
        <v>40.206185567010309</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51.212121212121211</v>
      </c>
      <c r="AB20" s="385">
        <f t="shared" si="6"/>
        <v>6.5656565656565657</v>
      </c>
      <c r="AC20" s="385">
        <f t="shared" si="6"/>
        <v>22.783505154639172</v>
      </c>
      <c r="AD20" s="385">
        <f t="shared" si="6"/>
        <v>28.888888888888886</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17.422680412371133</v>
      </c>
      <c r="AC22" s="385">
        <f t="shared" si="7"/>
        <v>7.8787878787878789</v>
      </c>
      <c r="AD22" s="385">
        <f>AD14*65</f>
        <v>18.762886597938142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11.818181818181818</v>
      </c>
      <c r="AC23" s="393">
        <f t="shared" si="7"/>
        <v>12.061855670103093</v>
      </c>
      <c r="AD23" s="393">
        <f t="shared" si="7"/>
        <v>13.131313131313131</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v>2</v>
      </c>
      <c r="M30" s="121">
        <v>3</v>
      </c>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48</v>
      </c>
      <c r="B31" s="126" t="s">
        <v>161</v>
      </c>
      <c r="C31" s="151"/>
      <c r="D31" s="152">
        <f>IF(COUNTA($D$7:$D$30)&gt;0,1,"")</f>
        <v>1</v>
      </c>
      <c r="E31" s="127">
        <f>IF(D31=1,32+J4*4,"")</f>
        <v>32</v>
      </c>
      <c r="F31" s="128">
        <f t="shared" ref="F31:S31" si="8">SUM(F7:F30)</f>
        <v>2</v>
      </c>
      <c r="G31" s="129">
        <f t="shared" si="8"/>
        <v>6</v>
      </c>
      <c r="H31" s="128">
        <f t="shared" si="8"/>
        <v>15</v>
      </c>
      <c r="I31" s="130">
        <f t="shared" si="8"/>
        <v>30</v>
      </c>
      <c r="J31" s="129">
        <f t="shared" si="8"/>
        <v>6</v>
      </c>
      <c r="K31" s="130">
        <f t="shared" si="8"/>
        <v>17</v>
      </c>
      <c r="L31" s="129">
        <f t="shared" si="8"/>
        <v>10</v>
      </c>
      <c r="M31" s="129">
        <f t="shared" si="8"/>
        <v>20</v>
      </c>
      <c r="N31" s="129">
        <f t="shared" si="8"/>
        <v>13</v>
      </c>
      <c r="O31" s="129">
        <f t="shared" si="8"/>
        <v>6</v>
      </c>
      <c r="P31" s="129">
        <f t="shared" si="8"/>
        <v>1</v>
      </c>
      <c r="Q31" s="129">
        <f t="shared" si="8"/>
        <v>14</v>
      </c>
      <c r="R31" s="129">
        <f t="shared" si="8"/>
        <v>13</v>
      </c>
      <c r="S31" s="131">
        <f t="shared" si="8"/>
        <v>0</v>
      </c>
      <c r="T31" s="132">
        <f>IF(J31+2*H31+3*F31&gt;0,J31+2*H31+3*F31,IF(H4&gt;0,H4,""))</f>
        <v>42</v>
      </c>
      <c r="U31" s="133">
        <f>IF(G31&gt;0,F31/G31,"")</f>
        <v>0.33333333333333331</v>
      </c>
      <c r="V31" s="133">
        <f>IF(I31&gt;0,H31/I31,"")</f>
        <v>0.5</v>
      </c>
      <c r="W31" s="134">
        <f>IF(K31&gt;0,J31/K31,"")</f>
        <v>0.35294117647058826</v>
      </c>
      <c r="X31" s="133">
        <f t="shared" si="0"/>
        <v>0.47222222222222221</v>
      </c>
      <c r="Y31" s="135">
        <f t="shared" si="5"/>
        <v>0.5</v>
      </c>
      <c r="AB31" s="51"/>
      <c r="AC31" s="51"/>
      <c r="AD31" s="51"/>
      <c r="AE31" s="51"/>
      <c r="AF31" s="136"/>
      <c r="AG31" s="136"/>
      <c r="AH31" s="136"/>
      <c r="AI31" s="51"/>
    </row>
    <row r="32" spans="1:35" s="18" customFormat="1" ht="17.25" thickTop="1" thickBot="1" x14ac:dyDescent="0.3">
      <c r="A32" s="51">
        <f>ROUND(G32+I32+0.475*K32-L32+Q32,0)</f>
        <v>49</v>
      </c>
      <c r="B32" s="137" t="s">
        <v>162</v>
      </c>
      <c r="C32" s="153"/>
      <c r="D32" s="138">
        <f>IF(SUM(F32:S32)&gt;0,1,"")</f>
        <v>1</v>
      </c>
      <c r="E32" s="138">
        <f>IF(D32=1,E31,0)</f>
        <v>32</v>
      </c>
      <c r="F32" s="139">
        <v>2</v>
      </c>
      <c r="G32" s="140">
        <v>14</v>
      </c>
      <c r="H32" s="139">
        <v>15</v>
      </c>
      <c r="I32" s="141">
        <v>28</v>
      </c>
      <c r="J32" s="139">
        <v>3</v>
      </c>
      <c r="K32" s="141">
        <v>5</v>
      </c>
      <c r="L32" s="140">
        <v>5</v>
      </c>
      <c r="M32" s="140">
        <v>17</v>
      </c>
      <c r="N32" s="140">
        <v>9</v>
      </c>
      <c r="O32" s="140">
        <v>9</v>
      </c>
      <c r="P32" s="140">
        <v>3</v>
      </c>
      <c r="Q32" s="140">
        <v>10</v>
      </c>
      <c r="R32" s="140">
        <v>13</v>
      </c>
      <c r="S32" s="142"/>
      <c r="T32" s="143">
        <f>IF(J32+2*H32+3*F32&gt;0,J32+2*H32+3*F32,IF(H3&gt;0,H3,""))</f>
        <v>39</v>
      </c>
      <c r="U32" s="144">
        <f>IF(G32&gt;0,F32/G32,"")</f>
        <v>0.14285714285714285</v>
      </c>
      <c r="V32" s="144">
        <f>IF(I32&gt;0,H32/I32,"")</f>
        <v>0.5357142857142857</v>
      </c>
      <c r="W32" s="145">
        <f>IF(K32&gt;0,J32/K32,"")</f>
        <v>0.6</v>
      </c>
      <c r="X32" s="144">
        <f t="shared" si="0"/>
        <v>0.40476190476190477</v>
      </c>
      <c r="Y32" s="146">
        <f t="shared" si="5"/>
        <v>0.42857142857142855</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482" priority="30">
      <formula>AND($H$4&gt;0,$H$4&lt;&gt;$T$31)</formula>
    </cfRule>
  </conditionalFormatting>
  <conditionalFormatting sqref="T32 H3">
    <cfRule type="expression" dxfId="481" priority="29">
      <formula>AND($H$3&gt;0,$H$3&lt;&gt;$T$32)</formula>
    </cfRule>
  </conditionalFormatting>
  <conditionalFormatting sqref="A2">
    <cfRule type="cellIs" dxfId="480" priority="28" operator="equal">
      <formula>"R"</formula>
    </cfRule>
  </conditionalFormatting>
  <conditionalFormatting sqref="F7:F30 H7:H30 J7:J30">
    <cfRule type="expression" dxfId="479" priority="27">
      <formula>F7&gt;G7</formula>
    </cfRule>
  </conditionalFormatting>
  <conditionalFormatting sqref="E7:E30">
    <cfRule type="expression" dxfId="478" priority="26">
      <formula>$E7&gt;$E$31</formula>
    </cfRule>
  </conditionalFormatting>
  <conditionalFormatting sqref="L6">
    <cfRule type="expression" dxfId="477" priority="25">
      <formula>OR($L$31&gt;($G$31+$I$31+$K$31-$F$31-$H$31-$J$31),L32&gt;(G31+I31+K31-F31-H31-J31))</formula>
    </cfRule>
  </conditionalFormatting>
  <conditionalFormatting sqref="M6">
    <cfRule type="expression" dxfId="476" priority="24">
      <formula>OR(M31&gt;(G32-F32+I32-H32+K32-J32),M32&gt;(G31-F31+I31-H31+K31-J31))</formula>
    </cfRule>
  </conditionalFormatting>
  <conditionalFormatting sqref="N6">
    <cfRule type="expression" dxfId="475" priority="23">
      <formula>OR($N$31&gt;($F$31+$H$31),$N$32&gt;($F$32+$H$32))</formula>
    </cfRule>
  </conditionalFormatting>
  <conditionalFormatting sqref="P6">
    <cfRule type="expression" dxfId="474" priority="22">
      <formula>OR($P$31&gt;(G32-F32+I32-H32),P32&gt;(G31-F31+I31-H31))</formula>
    </cfRule>
  </conditionalFormatting>
  <conditionalFormatting sqref="Q6">
    <cfRule type="expression" dxfId="473" priority="21">
      <formula>OR($Q$31&lt;$O$32,$Q$32&lt;$O$31)</formula>
    </cfRule>
  </conditionalFormatting>
  <conditionalFormatting sqref="L31:L32">
    <cfRule type="cellIs" dxfId="472" priority="20" operator="greaterThan">
      <formula>$G31+$I31+$K31-$F31-$H31-$J31</formula>
    </cfRule>
  </conditionalFormatting>
  <conditionalFormatting sqref="M32">
    <cfRule type="cellIs" dxfId="471" priority="19" operator="greaterThan">
      <formula>$G$31-$F$31+$I$31-$H$31+$K$31-$J$31</formula>
    </cfRule>
  </conditionalFormatting>
  <conditionalFormatting sqref="N31:N32">
    <cfRule type="cellIs" dxfId="470" priority="18" operator="greaterThan">
      <formula>$F31+$H31</formula>
    </cfRule>
  </conditionalFormatting>
  <conditionalFormatting sqref="O32">
    <cfRule type="cellIs" dxfId="469" priority="11" operator="greaterThan">
      <formula>$Q$31</formula>
    </cfRule>
  </conditionalFormatting>
  <conditionalFormatting sqref="P31">
    <cfRule type="cellIs" dxfId="468" priority="17" operator="greaterThan">
      <formula>$G$32-$F$32+$I$32-$H$32</formula>
    </cfRule>
  </conditionalFormatting>
  <conditionalFormatting sqref="Q32">
    <cfRule type="cellIs" dxfId="467" priority="16" operator="lessThan">
      <formula>$O$31</formula>
    </cfRule>
  </conditionalFormatting>
  <conditionalFormatting sqref="F7:F32">
    <cfRule type="cellIs" dxfId="466" priority="15" operator="greaterThan">
      <formula>G7</formula>
    </cfRule>
  </conditionalFormatting>
  <conditionalFormatting sqref="H7:H32">
    <cfRule type="cellIs" dxfId="465" priority="14" operator="greaterThan">
      <formula>I7</formula>
    </cfRule>
  </conditionalFormatting>
  <conditionalFormatting sqref="J7:J32">
    <cfRule type="cellIs" dxfId="464" priority="13" operator="greaterThan">
      <formula>K7</formula>
    </cfRule>
  </conditionalFormatting>
  <conditionalFormatting sqref="M4">
    <cfRule type="cellIs" dxfId="463" priority="12" operator="notBetween">
      <formula>$AH$2</formula>
      <formula>$AI$2</formula>
    </cfRule>
  </conditionalFormatting>
  <conditionalFormatting sqref="O31">
    <cfRule type="cellIs" dxfId="462" priority="10" operator="greaterThan">
      <formula>$Q$32</formula>
    </cfRule>
  </conditionalFormatting>
  <conditionalFormatting sqref="Q31">
    <cfRule type="cellIs" dxfId="461" priority="9" operator="lessThan">
      <formula>$O$32</formula>
    </cfRule>
  </conditionalFormatting>
  <conditionalFormatting sqref="M31">
    <cfRule type="cellIs" dxfId="460" priority="8" operator="greaterThan">
      <formula>G32-F32 +I32-H32+K32-J32</formula>
    </cfRule>
  </conditionalFormatting>
  <conditionalFormatting sqref="B3">
    <cfRule type="expression" dxfId="459" priority="7">
      <formula>$W$2 = TRUE</formula>
    </cfRule>
  </conditionalFormatting>
  <conditionalFormatting sqref="P4:Q4">
    <cfRule type="expression" dxfId="458" priority="6">
      <formula>OR(AND($P$4=1,$X$4=1),AND($Q$4=1,$W$4=1))</formula>
    </cfRule>
  </conditionalFormatting>
  <conditionalFormatting sqref="D7 D20:D30">
    <cfRule type="expression" dxfId="457" priority="31">
      <formula>AND($D7=0,SUM($F7:$S7)&gt;0)</formula>
    </cfRule>
  </conditionalFormatting>
  <conditionalFormatting sqref="O6">
    <cfRule type="expression" dxfId="456" priority="5">
      <formula>OR($O$31&gt;$Q$32,$O$32&gt;$Q$31)</formula>
    </cfRule>
  </conditionalFormatting>
  <conditionalFormatting sqref="F6">
    <cfRule type="expression" dxfId="455" priority="4">
      <formula>OR(F$31&gt;G$31,F$32&gt;G$32)</formula>
    </cfRule>
  </conditionalFormatting>
  <conditionalFormatting sqref="H6">
    <cfRule type="expression" dxfId="454" priority="3">
      <formula>OR(H$31&gt;I$31,H$32&gt;I$32)</formula>
    </cfRule>
  </conditionalFormatting>
  <conditionalFormatting sqref="J6">
    <cfRule type="expression" dxfId="453" priority="2">
      <formula>OR(J$31&gt;K$31,J$32&gt;K$32)</formula>
    </cfRule>
  </conditionalFormatting>
  <conditionalFormatting sqref="D8:D19">
    <cfRule type="expression" dxfId="1" priority="1">
      <formula>AND($D8=0,SUM($F8:$S8)&gt;0)</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AJ37"/>
  <sheetViews>
    <sheetView showZeros="0" zoomScale="80" zoomScaleNormal="80" workbookViewId="0">
      <pane xSplit="2" ySplit="6" topLeftCell="C7" activePane="bottomRight" state="frozen"/>
      <selection activeCell="B3" sqref="B3"/>
      <selection pane="topRight" activeCell="B3" sqref="B3"/>
      <selection pane="bottomLeft" activeCell="B3" sqref="B3"/>
      <selection pane="bottomRight" activeCell="X38" sqref="X38"/>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294</v>
      </c>
      <c r="C3" s="70">
        <v>7</v>
      </c>
      <c r="D3" s="71">
        <v>19</v>
      </c>
      <c r="E3" s="71">
        <v>24</v>
      </c>
      <c r="F3" s="71">
        <v>4</v>
      </c>
      <c r="G3" s="72"/>
      <c r="H3" s="73">
        <f>SUM(C3:G3)</f>
        <v>54</v>
      </c>
      <c r="J3" s="12" t="s">
        <v>165</v>
      </c>
      <c r="P3" s="74" t="s">
        <v>135</v>
      </c>
      <c r="Q3" s="74" t="s">
        <v>137</v>
      </c>
      <c r="S3" s="75" t="s">
        <v>138</v>
      </c>
      <c r="U3" s="76" t="s">
        <v>139</v>
      </c>
      <c r="W3" s="77" t="s">
        <v>134</v>
      </c>
      <c r="X3" s="77" t="s">
        <v>136</v>
      </c>
      <c r="AA3" s="48" t="str">
        <f>B4</f>
        <v>Upton</v>
      </c>
      <c r="AD3" s="48">
        <f>SUM($C3:C3)</f>
        <v>7</v>
      </c>
      <c r="AE3" s="48">
        <f>SUM($C3:D3)</f>
        <v>26</v>
      </c>
      <c r="AF3" s="48">
        <f>SUM($C3:E3)</f>
        <v>50</v>
      </c>
      <c r="AG3" s="48">
        <f>SUM($C3:F3)</f>
        <v>54</v>
      </c>
      <c r="AH3" s="48">
        <f>SUM($C3:G3)</f>
        <v>54</v>
      </c>
      <c r="AJ3" s="74"/>
    </row>
    <row r="4" spans="1:36" ht="16.5" customHeight="1" thickTop="1" thickBot="1" x14ac:dyDescent="0.3">
      <c r="B4" s="78" t="str">
        <f>Roster!$B$1</f>
        <v>Upton</v>
      </c>
      <c r="C4" s="79">
        <v>7</v>
      </c>
      <c r="D4" s="80">
        <v>11</v>
      </c>
      <c r="E4" s="80">
        <v>7</v>
      </c>
      <c r="F4" s="80">
        <v>10</v>
      </c>
      <c r="G4" s="81"/>
      <c r="H4" s="82">
        <f>SUM(C4:G4)</f>
        <v>35</v>
      </c>
      <c r="J4" s="83"/>
      <c r="L4" s="84" t="s">
        <v>133</v>
      </c>
      <c r="M4" s="404">
        <v>44989</v>
      </c>
      <c r="N4" s="405"/>
      <c r="P4" s="83"/>
      <c r="Q4" s="83"/>
      <c r="S4" s="83"/>
      <c r="U4" s="83"/>
      <c r="W4" s="85" t="str">
        <f>IF(OR($S$4=1,$H$4&gt;$H$3),1,"")</f>
        <v/>
      </c>
      <c r="X4" s="85">
        <f>IF(OR($U$4=1,$H$4&lt;$H$3),1,"")</f>
        <v>1</v>
      </c>
      <c r="AA4" s="48" t="str">
        <f>B3</f>
        <v>Burlington</v>
      </c>
      <c r="AD4" s="48">
        <f>SUM($C4:C4)</f>
        <v>7</v>
      </c>
      <c r="AE4" s="48">
        <f>SUM($C4:D4)</f>
        <v>18</v>
      </c>
      <c r="AF4" s="48">
        <f>SUM($C4:E4)</f>
        <v>25</v>
      </c>
      <c r="AG4" s="48">
        <f>SUM($C4:F4)</f>
        <v>35</v>
      </c>
      <c r="AH4" s="48">
        <f>SUM($C4:G4)</f>
        <v>35</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1</v>
      </c>
      <c r="F7" s="90"/>
      <c r="G7" s="91"/>
      <c r="H7" s="92"/>
      <c r="I7" s="91">
        <v>1</v>
      </c>
      <c r="J7" s="92"/>
      <c r="K7" s="91"/>
      <c r="L7" s="92"/>
      <c r="M7" s="92"/>
      <c r="N7" s="92"/>
      <c r="O7" s="92"/>
      <c r="P7" s="92"/>
      <c r="Q7" s="92"/>
      <c r="R7" s="92"/>
      <c r="S7" s="93"/>
      <c r="T7" s="94">
        <f>IF(J7+2*H7+3*F7&gt;0,J7+2*H7+3*F7,0)</f>
        <v>0</v>
      </c>
      <c r="U7" s="95" t="str">
        <f>IF(G7&gt;0,F7/G7,"")</f>
        <v/>
      </c>
      <c r="V7" s="95">
        <f>IF(I7&gt;0,H7/I7,"")</f>
        <v>0</v>
      </c>
      <c r="W7" s="96" t="str">
        <f>IF(K7&gt;0,J7/K7,"")</f>
        <v/>
      </c>
      <c r="X7" s="97">
        <f t="shared" ref="X7:X32" si="0">IF(OR(G7&gt;0,I7 &gt;0),(F7+H7)/(G7+I7),"")</f>
        <v>0</v>
      </c>
      <c r="Y7" s="98">
        <f>IF(OR(G7&gt;0,I7 &gt;0),(1.5*F7+H7)/(G7+I7),"")</f>
        <v>0</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20</v>
      </c>
      <c r="F8" s="101"/>
      <c r="G8" s="102">
        <v>4</v>
      </c>
      <c r="H8" s="103">
        <v>1</v>
      </c>
      <c r="I8" s="102">
        <v>2</v>
      </c>
      <c r="J8" s="103"/>
      <c r="K8" s="102"/>
      <c r="L8" s="103"/>
      <c r="M8" s="103"/>
      <c r="N8" s="103">
        <v>1</v>
      </c>
      <c r="O8" s="103">
        <v>1</v>
      </c>
      <c r="P8" s="103">
        <v>1</v>
      </c>
      <c r="Q8" s="103">
        <v>3</v>
      </c>
      <c r="R8" s="103">
        <v>3</v>
      </c>
      <c r="S8" s="104"/>
      <c r="T8" s="105">
        <f t="shared" ref="T8:T30" si="1">IF(J8+2*H8+3*F8&gt;0,J8+2*H8+3*F8,0)</f>
        <v>2</v>
      </c>
      <c r="U8" s="106">
        <f t="shared" ref="U8:U30" si="2">IF(G8&gt;0,F8/G8,"")</f>
        <v>0</v>
      </c>
      <c r="V8" s="106">
        <f t="shared" ref="V8:V30" si="3">IF(I8&gt;0,H8/I8,"")</f>
        <v>0.5</v>
      </c>
      <c r="W8" s="107" t="str">
        <f t="shared" ref="W8:W30" si="4">IF(K8&gt;0,J8/K8,"")</f>
        <v/>
      </c>
      <c r="X8" s="106">
        <f t="shared" si="0"/>
        <v>0.16666666666666666</v>
      </c>
      <c r="Y8" s="108">
        <f t="shared" ref="Y8:Y32" si="5">IF(OR(G8&gt;0,I8 &gt;0),(1.5*F8+H8)/(G8+I8),"")</f>
        <v>0.16666666666666666</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30</v>
      </c>
      <c r="F9" s="111"/>
      <c r="G9" s="112">
        <v>4</v>
      </c>
      <c r="H9" s="113">
        <v>1</v>
      </c>
      <c r="I9" s="112">
        <v>5</v>
      </c>
      <c r="J9" s="113"/>
      <c r="K9" s="112"/>
      <c r="L9" s="113"/>
      <c r="M9" s="113">
        <v>1</v>
      </c>
      <c r="N9" s="113">
        <v>1</v>
      </c>
      <c r="O9" s="113">
        <v>2</v>
      </c>
      <c r="P9" s="113"/>
      <c r="Q9" s="113">
        <v>3</v>
      </c>
      <c r="R9" s="113">
        <v>1</v>
      </c>
      <c r="S9" s="114"/>
      <c r="T9" s="115">
        <f t="shared" si="1"/>
        <v>2</v>
      </c>
      <c r="U9" s="95">
        <f t="shared" si="2"/>
        <v>0</v>
      </c>
      <c r="V9" s="95">
        <f t="shared" si="3"/>
        <v>0.2</v>
      </c>
      <c r="W9" s="96" t="str">
        <f t="shared" si="4"/>
        <v/>
      </c>
      <c r="X9" s="95">
        <f t="shared" si="0"/>
        <v>0.1111111111111111</v>
      </c>
      <c r="Y9" s="116">
        <f t="shared" si="5"/>
        <v>0.1111111111111111</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25</v>
      </c>
      <c r="F10" s="101"/>
      <c r="G10" s="102">
        <v>4</v>
      </c>
      <c r="H10" s="103"/>
      <c r="I10" s="102">
        <v>1</v>
      </c>
      <c r="J10" s="103">
        <v>3</v>
      </c>
      <c r="K10" s="102">
        <v>4</v>
      </c>
      <c r="L10" s="103"/>
      <c r="M10" s="103">
        <v>2</v>
      </c>
      <c r="N10" s="103">
        <v>1</v>
      </c>
      <c r="O10" s="103"/>
      <c r="P10" s="103"/>
      <c r="Q10" s="103">
        <v>1</v>
      </c>
      <c r="R10" s="103"/>
      <c r="S10" s="104"/>
      <c r="T10" s="105">
        <f t="shared" si="1"/>
        <v>3</v>
      </c>
      <c r="U10" s="106">
        <f t="shared" si="2"/>
        <v>0</v>
      </c>
      <c r="V10" s="106">
        <f t="shared" si="3"/>
        <v>0</v>
      </c>
      <c r="W10" s="107">
        <f t="shared" si="4"/>
        <v>0.75</v>
      </c>
      <c r="X10" s="106">
        <f t="shared" si="0"/>
        <v>0</v>
      </c>
      <c r="Y10" s="108">
        <f t="shared" si="5"/>
        <v>0</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v>1</v>
      </c>
      <c r="E11" s="110">
        <v>1</v>
      </c>
      <c r="F11" s="111"/>
      <c r="G11" s="112"/>
      <c r="H11" s="113"/>
      <c r="I11" s="112"/>
      <c r="J11" s="113"/>
      <c r="K11" s="112"/>
      <c r="L11" s="113"/>
      <c r="M11" s="113"/>
      <c r="N11" s="113">
        <v>1</v>
      </c>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54.5</v>
      </c>
      <c r="AB11" s="385">
        <f>T31/AA11</f>
        <v>0.64220183486238536</v>
      </c>
      <c r="AC11" s="385">
        <f>L31/AA11</f>
        <v>0.12844036697247707</v>
      </c>
      <c r="AD11" s="385">
        <f>M31/AA12</f>
        <v>0.29906542056074764</v>
      </c>
      <c r="AE11" s="389">
        <f>(L31+M31)/AA11</f>
        <v>0.42201834862385323</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53.5</v>
      </c>
      <c r="AB12" s="385">
        <f>T32/AA12</f>
        <v>1.0093457943925233</v>
      </c>
      <c r="AC12" s="385">
        <f>L32/AA12</f>
        <v>0.26168224299065418</v>
      </c>
      <c r="AD12" s="385">
        <f>M32/AA11</f>
        <v>0.45871559633027525</v>
      </c>
      <c r="AE12" s="389">
        <f>(L32+M32)/AA12</f>
        <v>0.7289719626168224</v>
      </c>
      <c r="AF12" s="51"/>
      <c r="AG12" s="51"/>
      <c r="AH12" s="51"/>
      <c r="AI12" s="51"/>
    </row>
    <row r="13" spans="1:36" s="18" customFormat="1" ht="15.75" x14ac:dyDescent="0.25">
      <c r="A13" s="87">
        <f>IF(Roster!A13&lt;&gt;"",Roster!A13,"")</f>
        <v>21</v>
      </c>
      <c r="B13" s="17" t="str">
        <f>IF(OR(Roster!A13&lt;&gt;"",Roster!B13&lt;&gt;""),PROPER(Roster!B13),"")</f>
        <v>Ben Carpenter</v>
      </c>
      <c r="C13" s="109"/>
      <c r="D13" s="149">
        <v>1</v>
      </c>
      <c r="E13" s="110">
        <v>1</v>
      </c>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20</v>
      </c>
      <c r="F14" s="101">
        <v>1</v>
      </c>
      <c r="G14" s="102">
        <v>2</v>
      </c>
      <c r="H14" s="103">
        <v>3</v>
      </c>
      <c r="I14" s="102">
        <v>4</v>
      </c>
      <c r="J14" s="103">
        <v>4</v>
      </c>
      <c r="K14" s="102">
        <v>5</v>
      </c>
      <c r="L14" s="103">
        <v>3</v>
      </c>
      <c r="M14" s="103">
        <v>3</v>
      </c>
      <c r="N14" s="103">
        <v>1</v>
      </c>
      <c r="O14" s="103"/>
      <c r="P14" s="103"/>
      <c r="Q14" s="103">
        <v>6</v>
      </c>
      <c r="R14" s="103">
        <v>3</v>
      </c>
      <c r="S14" s="104"/>
      <c r="T14" s="105">
        <f t="shared" si="1"/>
        <v>13</v>
      </c>
      <c r="U14" s="106">
        <f t="shared" si="2"/>
        <v>0.5</v>
      </c>
      <c r="V14" s="106">
        <f t="shared" si="3"/>
        <v>0.75</v>
      </c>
      <c r="W14" s="107">
        <f t="shared" si="4"/>
        <v>0.8</v>
      </c>
      <c r="X14" s="106">
        <f t="shared" si="0"/>
        <v>0.66666666666666663</v>
      </c>
      <c r="Y14" s="108">
        <f t="shared" si="5"/>
        <v>0.75</v>
      </c>
      <c r="Z14" s="385"/>
      <c r="AA14" s="385"/>
      <c r="AB14" s="385">
        <f>N31/AA11</f>
        <v>0.16513761467889909</v>
      </c>
      <c r="AC14" s="385">
        <f>O31/AA12</f>
        <v>7.476635514018691E-2</v>
      </c>
      <c r="AD14" s="385">
        <f>Q31/AA11</f>
        <v>0.31192660550458717</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16</v>
      </c>
      <c r="F15" s="111">
        <v>1</v>
      </c>
      <c r="G15" s="112">
        <v>2</v>
      </c>
      <c r="H15" s="113"/>
      <c r="I15" s="112"/>
      <c r="J15" s="113"/>
      <c r="K15" s="112"/>
      <c r="L15" s="113"/>
      <c r="M15" s="113">
        <v>2</v>
      </c>
      <c r="N15" s="113"/>
      <c r="O15" s="113"/>
      <c r="P15" s="113"/>
      <c r="Q15" s="113">
        <v>1</v>
      </c>
      <c r="R15" s="113">
        <v>1</v>
      </c>
      <c r="S15" s="114"/>
      <c r="T15" s="115">
        <f t="shared" si="1"/>
        <v>3</v>
      </c>
      <c r="U15" s="95">
        <f t="shared" si="2"/>
        <v>0.5</v>
      </c>
      <c r="V15" s="95" t="str">
        <f t="shared" si="3"/>
        <v/>
      </c>
      <c r="W15" s="96" t="str">
        <f t="shared" si="4"/>
        <v/>
      </c>
      <c r="X15" s="95">
        <f t="shared" si="0"/>
        <v>0.5</v>
      </c>
      <c r="Y15" s="116">
        <f t="shared" si="5"/>
        <v>0.75</v>
      </c>
      <c r="Z15" s="392"/>
      <c r="AA15" s="393"/>
      <c r="AB15" s="393">
        <f>N32/AA12</f>
        <v>0.28037383177570091</v>
      </c>
      <c r="AC15" s="393">
        <f>O32/AA11</f>
        <v>0.12844036697247707</v>
      </c>
      <c r="AD15" s="393">
        <f>Q32/AA12</f>
        <v>0.20560747663551401</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25</v>
      </c>
      <c r="F16" s="101">
        <v>1</v>
      </c>
      <c r="G16" s="102">
        <v>2</v>
      </c>
      <c r="H16" s="103">
        <v>1</v>
      </c>
      <c r="I16" s="102">
        <v>3</v>
      </c>
      <c r="J16" s="103">
        <v>1</v>
      </c>
      <c r="K16" s="102">
        <v>2</v>
      </c>
      <c r="L16" s="103">
        <v>1</v>
      </c>
      <c r="M16" s="103">
        <v>3</v>
      </c>
      <c r="N16" s="103">
        <v>2</v>
      </c>
      <c r="O16" s="103">
        <v>1</v>
      </c>
      <c r="P16" s="103"/>
      <c r="Q16" s="103">
        <v>2</v>
      </c>
      <c r="R16" s="103">
        <v>2</v>
      </c>
      <c r="S16" s="104"/>
      <c r="T16" s="105">
        <f t="shared" si="1"/>
        <v>6</v>
      </c>
      <c r="U16" s="106">
        <f t="shared" si="2"/>
        <v>0.5</v>
      </c>
      <c r="V16" s="106">
        <f t="shared" si="3"/>
        <v>0.33333333333333331</v>
      </c>
      <c r="W16" s="107">
        <f t="shared" si="4"/>
        <v>0.5</v>
      </c>
      <c r="X16" s="106">
        <f t="shared" si="0"/>
        <v>0.4</v>
      </c>
      <c r="Y16" s="108">
        <f t="shared" si="5"/>
        <v>0.5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1</v>
      </c>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v>1</v>
      </c>
      <c r="G18" s="102">
        <v>1</v>
      </c>
      <c r="H18" s="103"/>
      <c r="I18" s="102"/>
      <c r="J18" s="103"/>
      <c r="K18" s="102"/>
      <c r="L18" s="103"/>
      <c r="M18" s="103">
        <v>1</v>
      </c>
      <c r="N18" s="103"/>
      <c r="O18" s="103"/>
      <c r="P18" s="103"/>
      <c r="Q18" s="103"/>
      <c r="R18" s="103"/>
      <c r="S18" s="104"/>
      <c r="T18" s="105">
        <f t="shared" si="1"/>
        <v>3</v>
      </c>
      <c r="U18" s="106">
        <f t="shared" si="2"/>
        <v>1</v>
      </c>
      <c r="V18" s="106" t="str">
        <f t="shared" si="3"/>
        <v/>
      </c>
      <c r="W18" s="107" t="str">
        <f t="shared" si="4"/>
        <v/>
      </c>
      <c r="X18" s="106">
        <f t="shared" si="0"/>
        <v>1</v>
      </c>
      <c r="Y18" s="108">
        <f t="shared" si="5"/>
        <v>1.5</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13</v>
      </c>
      <c r="F19" s="111"/>
      <c r="G19" s="112"/>
      <c r="H19" s="113">
        <v>1</v>
      </c>
      <c r="I19" s="112">
        <v>3</v>
      </c>
      <c r="J19" s="113">
        <v>1</v>
      </c>
      <c r="K19" s="112">
        <v>2</v>
      </c>
      <c r="L19" s="113">
        <v>3</v>
      </c>
      <c r="M19" s="113">
        <v>2</v>
      </c>
      <c r="N19" s="113">
        <v>2</v>
      </c>
      <c r="O19" s="113"/>
      <c r="P19" s="113"/>
      <c r="Q19" s="113">
        <v>1</v>
      </c>
      <c r="R19" s="113">
        <v>2</v>
      </c>
      <c r="S19" s="114"/>
      <c r="T19" s="115">
        <f t="shared" si="1"/>
        <v>3</v>
      </c>
      <c r="U19" s="95" t="str">
        <f t="shared" si="2"/>
        <v/>
      </c>
      <c r="V19" s="95">
        <f t="shared" si="3"/>
        <v>0.33333333333333331</v>
      </c>
      <c r="W19" s="96">
        <f t="shared" si="4"/>
        <v>0.5</v>
      </c>
      <c r="X19" s="95">
        <f t="shared" si="0"/>
        <v>0.33333333333333331</v>
      </c>
      <c r="Y19" s="116">
        <f t="shared" si="5"/>
        <v>0.33333333333333331</v>
      </c>
      <c r="Z19" s="388" t="s">
        <v>124</v>
      </c>
      <c r="AA19" s="385">
        <f>AB11*65</f>
        <v>41.743119266055047</v>
      </c>
      <c r="AB19" s="385">
        <f t="shared" ref="AB19:AD20" si="6">AC11*65</f>
        <v>8.3486238532110093</v>
      </c>
      <c r="AC19" s="385">
        <f t="shared" si="6"/>
        <v>19.439252336448597</v>
      </c>
      <c r="AD19" s="385">
        <f t="shared" si="6"/>
        <v>27.431192660550462</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65.607476635514018</v>
      </c>
      <c r="AB20" s="385">
        <f t="shared" si="6"/>
        <v>17.009345794392523</v>
      </c>
      <c r="AC20" s="385">
        <f t="shared" si="6"/>
        <v>29.816513761467892</v>
      </c>
      <c r="AD20" s="385">
        <f t="shared" si="6"/>
        <v>47.383177570093459</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10.733944954128441</v>
      </c>
      <c r="AC22" s="385">
        <f t="shared" si="7"/>
        <v>4.8598130841121492</v>
      </c>
      <c r="AD22" s="385">
        <f>AD14*65</f>
        <v>20.275229357798167</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18.22429906542056</v>
      </c>
      <c r="AC23" s="393">
        <f t="shared" si="7"/>
        <v>8.3486238532110093</v>
      </c>
      <c r="AD23" s="393">
        <f t="shared" si="7"/>
        <v>13.364485981308411</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v>2</v>
      </c>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54</v>
      </c>
      <c r="B31" s="126" t="s">
        <v>161</v>
      </c>
      <c r="C31" s="151"/>
      <c r="D31" s="152">
        <f>IF(COUNTA($D$7:$D$30)&gt;0,1,"")</f>
        <v>1</v>
      </c>
      <c r="E31" s="127">
        <f>IF(D31=1,32+J4*4,"")</f>
        <v>32</v>
      </c>
      <c r="F31" s="128">
        <f t="shared" ref="F31:S31" si="8">SUM(F7:F30)</f>
        <v>4</v>
      </c>
      <c r="G31" s="129">
        <f t="shared" si="8"/>
        <v>19</v>
      </c>
      <c r="H31" s="128">
        <f t="shared" si="8"/>
        <v>7</v>
      </c>
      <c r="I31" s="130">
        <f t="shared" si="8"/>
        <v>19</v>
      </c>
      <c r="J31" s="129">
        <f t="shared" si="8"/>
        <v>9</v>
      </c>
      <c r="K31" s="130">
        <f t="shared" si="8"/>
        <v>13</v>
      </c>
      <c r="L31" s="129">
        <f t="shared" si="8"/>
        <v>7</v>
      </c>
      <c r="M31" s="129">
        <f t="shared" si="8"/>
        <v>16</v>
      </c>
      <c r="N31" s="129">
        <f t="shared" si="8"/>
        <v>9</v>
      </c>
      <c r="O31" s="129">
        <f t="shared" si="8"/>
        <v>4</v>
      </c>
      <c r="P31" s="129">
        <f t="shared" si="8"/>
        <v>1</v>
      </c>
      <c r="Q31" s="129">
        <f t="shared" si="8"/>
        <v>17</v>
      </c>
      <c r="R31" s="129">
        <f t="shared" si="8"/>
        <v>12</v>
      </c>
      <c r="S31" s="131">
        <f t="shared" si="8"/>
        <v>0</v>
      </c>
      <c r="T31" s="132">
        <f>IF(J31+2*H31+3*F31&gt;0,J31+2*H31+3*F31,IF(H4&gt;0,H4,""))</f>
        <v>35</v>
      </c>
      <c r="U31" s="133">
        <f>IF(G31&gt;0,F31/G31,"")</f>
        <v>0.21052631578947367</v>
      </c>
      <c r="V31" s="133">
        <f>IF(I31&gt;0,H31/I31,"")</f>
        <v>0.36842105263157893</v>
      </c>
      <c r="W31" s="134">
        <f>IF(K31&gt;0,J31/K31,"")</f>
        <v>0.69230769230769229</v>
      </c>
      <c r="X31" s="133">
        <f t="shared" si="0"/>
        <v>0.28947368421052633</v>
      </c>
      <c r="Y31" s="135">
        <f t="shared" si="5"/>
        <v>0.34210526315789475</v>
      </c>
      <c r="AB31" s="51"/>
      <c r="AC31" s="51"/>
      <c r="AD31" s="51"/>
      <c r="AE31" s="51"/>
      <c r="AF31" s="136"/>
      <c r="AG31" s="136"/>
      <c r="AH31" s="136"/>
      <c r="AI31" s="51"/>
    </row>
    <row r="32" spans="1:35" s="18" customFormat="1" ht="17.25" thickTop="1" thickBot="1" x14ac:dyDescent="0.3">
      <c r="A32" s="51">
        <f>ROUND(G32+I32+0.475*K32-L32+Q32,0)</f>
        <v>53</v>
      </c>
      <c r="B32" s="137" t="s">
        <v>162</v>
      </c>
      <c r="C32" s="153"/>
      <c r="D32" s="138">
        <f>IF(SUM(F32:S32)&gt;0,1,"")</f>
        <v>1</v>
      </c>
      <c r="E32" s="138">
        <f>IF(D32=1,E31,0)</f>
        <v>32</v>
      </c>
      <c r="F32" s="139">
        <v>2</v>
      </c>
      <c r="G32" s="140">
        <v>10</v>
      </c>
      <c r="H32" s="139">
        <v>20</v>
      </c>
      <c r="I32" s="141">
        <v>40</v>
      </c>
      <c r="J32" s="139">
        <v>8</v>
      </c>
      <c r="K32" s="141">
        <v>13</v>
      </c>
      <c r="L32" s="140">
        <v>14</v>
      </c>
      <c r="M32" s="140">
        <v>25</v>
      </c>
      <c r="N32" s="140">
        <v>15</v>
      </c>
      <c r="O32" s="140">
        <v>7</v>
      </c>
      <c r="P32" s="140"/>
      <c r="Q32" s="140">
        <v>11</v>
      </c>
      <c r="R32" s="140">
        <v>8</v>
      </c>
      <c r="S32" s="142"/>
      <c r="T32" s="143">
        <f>IF(J32+2*H32+3*F32&gt;0,J32+2*H32+3*F32,IF(H3&gt;0,H3,""))</f>
        <v>54</v>
      </c>
      <c r="U32" s="144">
        <f>IF(G32&gt;0,F32/G32,"")</f>
        <v>0.2</v>
      </c>
      <c r="V32" s="144">
        <f>IF(I32&gt;0,H32/I32,"")</f>
        <v>0.5</v>
      </c>
      <c r="W32" s="145">
        <f>IF(K32&gt;0,J32/K32,"")</f>
        <v>0.61538461538461542</v>
      </c>
      <c r="X32" s="144">
        <f t="shared" si="0"/>
        <v>0.44</v>
      </c>
      <c r="Y32" s="146">
        <f t="shared" si="5"/>
        <v>0.46</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452" priority="30">
      <formula>AND($H$4&gt;0,$H$4&lt;&gt;$T$31)</formula>
    </cfRule>
  </conditionalFormatting>
  <conditionalFormatting sqref="T32 H3">
    <cfRule type="expression" dxfId="451" priority="29">
      <formula>AND($H$3&gt;0,$H$3&lt;&gt;$T$32)</formula>
    </cfRule>
  </conditionalFormatting>
  <conditionalFormatting sqref="A2">
    <cfRule type="cellIs" dxfId="450" priority="28" operator="equal">
      <formula>"R"</formula>
    </cfRule>
  </conditionalFormatting>
  <conditionalFormatting sqref="F7:F30 H7:H30 J7:J30">
    <cfRule type="expression" dxfId="449" priority="27">
      <formula>F7&gt;G7</formula>
    </cfRule>
  </conditionalFormatting>
  <conditionalFormatting sqref="E7:E30">
    <cfRule type="expression" dxfId="448" priority="26">
      <formula>$E7&gt;$E$31</formula>
    </cfRule>
  </conditionalFormatting>
  <conditionalFormatting sqref="L6">
    <cfRule type="expression" dxfId="447" priority="25">
      <formula>OR($L$31&gt;($G$31+$I$31+$K$31-$F$31-$H$31-$J$31),L32&gt;(G31+I31+K31-F31-H31-J31))</formula>
    </cfRule>
  </conditionalFormatting>
  <conditionalFormatting sqref="M6">
    <cfRule type="expression" dxfId="446" priority="24">
      <formula>OR(M31&gt;(G32-F32+I32-H32+K32-J32),M32&gt;(G31-F31+I31-H31+K31-J31))</formula>
    </cfRule>
  </conditionalFormatting>
  <conditionalFormatting sqref="N6">
    <cfRule type="expression" dxfId="445" priority="23">
      <formula>OR($N$31&gt;($F$31+$H$31),$N$32&gt;($F$32+$H$32))</formula>
    </cfRule>
  </conditionalFormatting>
  <conditionalFormatting sqref="P6">
    <cfRule type="expression" dxfId="444" priority="22">
      <formula>OR($P$31&gt;(G32-F32+I32-H32),P32&gt;(G31-F31+I31-H31))</formula>
    </cfRule>
  </conditionalFormatting>
  <conditionalFormatting sqref="Q6">
    <cfRule type="expression" dxfId="443" priority="21">
      <formula>OR($Q$31&lt;$O$32,$Q$32&lt;$O$31)</formula>
    </cfRule>
  </conditionalFormatting>
  <conditionalFormatting sqref="L31:L32">
    <cfRule type="cellIs" dxfId="442" priority="20" operator="greaterThan">
      <formula>$G31+$I31+$K31-$F31-$H31-$J31</formula>
    </cfRule>
  </conditionalFormatting>
  <conditionalFormatting sqref="M32">
    <cfRule type="cellIs" dxfId="441" priority="19" operator="greaterThan">
      <formula>$G$31-$F$31+$I$31-$H$31+$K$31-$J$31</formula>
    </cfRule>
  </conditionalFormatting>
  <conditionalFormatting sqref="N31:N32">
    <cfRule type="cellIs" dxfId="440" priority="18" operator="greaterThan">
      <formula>$F31+$H31</formula>
    </cfRule>
  </conditionalFormatting>
  <conditionalFormatting sqref="O32">
    <cfRule type="cellIs" dxfId="439" priority="11" operator="greaterThan">
      <formula>$Q$31</formula>
    </cfRule>
  </conditionalFormatting>
  <conditionalFormatting sqref="P31">
    <cfRule type="cellIs" dxfId="438" priority="17" operator="greaterThan">
      <formula>$G$32-$F$32+$I$32-$H$32</formula>
    </cfRule>
  </conditionalFormatting>
  <conditionalFormatting sqref="Q32">
    <cfRule type="cellIs" dxfId="437" priority="16" operator="lessThan">
      <formula>$O$31</formula>
    </cfRule>
  </conditionalFormatting>
  <conditionalFormatting sqref="F7:F32">
    <cfRule type="cellIs" dxfId="436" priority="15" operator="greaterThan">
      <formula>G7</formula>
    </cfRule>
  </conditionalFormatting>
  <conditionalFormatting sqref="H7:H32">
    <cfRule type="cellIs" dxfId="435" priority="14" operator="greaterThan">
      <formula>I7</formula>
    </cfRule>
  </conditionalFormatting>
  <conditionalFormatting sqref="J7:J32">
    <cfRule type="cellIs" dxfId="434" priority="13" operator="greaterThan">
      <formula>K7</formula>
    </cfRule>
  </conditionalFormatting>
  <conditionalFormatting sqref="M4">
    <cfRule type="cellIs" dxfId="433" priority="12" operator="notBetween">
      <formula>$AH$2</formula>
      <formula>$AI$2</formula>
    </cfRule>
  </conditionalFormatting>
  <conditionalFormatting sqref="O31">
    <cfRule type="cellIs" dxfId="432" priority="10" operator="greaterThan">
      <formula>$Q$32</formula>
    </cfRule>
  </conditionalFormatting>
  <conditionalFormatting sqref="Q31">
    <cfRule type="cellIs" dxfId="431" priority="9" operator="lessThan">
      <formula>$O$32</formula>
    </cfRule>
  </conditionalFormatting>
  <conditionalFormatting sqref="M31">
    <cfRule type="cellIs" dxfId="430" priority="8" operator="greaterThan">
      <formula>G32-F32 +I32-H32+K32-J32</formula>
    </cfRule>
  </conditionalFormatting>
  <conditionalFormatting sqref="B3">
    <cfRule type="expression" dxfId="429" priority="7">
      <formula>$W$2 = TRUE</formula>
    </cfRule>
  </conditionalFormatting>
  <conditionalFormatting sqref="P4:Q4">
    <cfRule type="expression" dxfId="428" priority="6">
      <formula>OR(AND($P$4=1,$X$4=1),AND($Q$4=1,$W$4=1))</formula>
    </cfRule>
  </conditionalFormatting>
  <conditionalFormatting sqref="D7 D20:D30">
    <cfRule type="expression" dxfId="427" priority="31">
      <formula>AND($D7=0,SUM($F7:$S7)&gt;0)</formula>
    </cfRule>
  </conditionalFormatting>
  <conditionalFormatting sqref="O6">
    <cfRule type="expression" dxfId="426" priority="5">
      <formula>OR($O$31&gt;$Q$32,$O$32&gt;$Q$31)</formula>
    </cfRule>
  </conditionalFormatting>
  <conditionalFormatting sqref="F6">
    <cfRule type="expression" dxfId="425" priority="4">
      <formula>OR(F$31&gt;G$31,F$32&gt;G$32)</formula>
    </cfRule>
  </conditionalFormatting>
  <conditionalFormatting sqref="H6">
    <cfRule type="expression" dxfId="424" priority="3">
      <formula>OR(H$31&gt;I$31,H$32&gt;I$32)</formula>
    </cfRule>
  </conditionalFormatting>
  <conditionalFormatting sqref="J6">
    <cfRule type="expression" dxfId="423" priority="2">
      <formula>OR(J$31&gt;K$31,J$32&gt;K$32)</formula>
    </cfRule>
  </conditionalFormatting>
  <conditionalFormatting sqref="D8:D19">
    <cfRule type="expression" dxfId="0" priority="1">
      <formula>AND($D8=0,SUM($F8:$S8)&gt;0)</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AJ37"/>
  <sheetViews>
    <sheetView showZeros="0" zoomScale="80" zoomScaleNormal="80" workbookViewId="0">
      <pane xSplit="2" ySplit="6" topLeftCell="C7" activePane="bottomRight" state="frozen"/>
      <selection activeCell="B3" sqref="B3"/>
      <selection pane="topRight" activeCell="B3" sqref="B3"/>
      <selection pane="bottomLeft" activeCell="B3" sqref="B3"/>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422" priority="29">
      <formula>AND($H$4&gt;0,$H$4&lt;&gt;$T$31)</formula>
    </cfRule>
  </conditionalFormatting>
  <conditionalFormatting sqref="T32 H3">
    <cfRule type="expression" dxfId="421" priority="28">
      <formula>AND($H$3&gt;0,$H$3&lt;&gt;$T$32)</formula>
    </cfRule>
  </conditionalFormatting>
  <conditionalFormatting sqref="A2">
    <cfRule type="cellIs" dxfId="420" priority="27" operator="equal">
      <formula>"R"</formula>
    </cfRule>
  </conditionalFormatting>
  <conditionalFormatting sqref="F7:F30 H7:H30 J7:J30">
    <cfRule type="expression" dxfId="419" priority="26">
      <formula>F7&gt;G7</formula>
    </cfRule>
  </conditionalFormatting>
  <conditionalFormatting sqref="E7:E30">
    <cfRule type="expression" dxfId="418" priority="25">
      <formula>$E7&gt;$E$31</formula>
    </cfRule>
  </conditionalFormatting>
  <conditionalFormatting sqref="L6">
    <cfRule type="expression" dxfId="417" priority="24">
      <formula>OR($L$31&gt;($G$31+$I$31+$K$31-$F$31-$H$31-$J$31),L32&gt;(G31+I31+K31-F31-H31-J31))</formula>
    </cfRule>
  </conditionalFormatting>
  <conditionalFormatting sqref="M6">
    <cfRule type="expression" dxfId="416" priority="23">
      <formula>OR(M31&gt;(G32-F32+I32-H32+K32-J32),M32&gt;(G31-F31+I31-H31+K31-J31))</formula>
    </cfRule>
  </conditionalFormatting>
  <conditionalFormatting sqref="N6">
    <cfRule type="expression" dxfId="415" priority="22">
      <formula>OR($N$31&gt;($F$31+$H$31),$N$32&gt;($F$32+$H$32))</formula>
    </cfRule>
  </conditionalFormatting>
  <conditionalFormatting sqref="P6">
    <cfRule type="expression" dxfId="414" priority="21">
      <formula>OR($P$31&gt;(G32-F32+I32-H32),P32&gt;(G31-F31+I31-H31))</formula>
    </cfRule>
  </conditionalFormatting>
  <conditionalFormatting sqref="Q6">
    <cfRule type="expression" dxfId="413" priority="20">
      <formula>OR($Q$31&lt;$O$32,$Q$32&lt;$O$31)</formula>
    </cfRule>
  </conditionalFormatting>
  <conditionalFormatting sqref="L31:L32">
    <cfRule type="cellIs" dxfId="412" priority="19" operator="greaterThan">
      <formula>$G31+$I31+$K31-$F31-$H31-$J31</formula>
    </cfRule>
  </conditionalFormatting>
  <conditionalFormatting sqref="M32">
    <cfRule type="cellIs" dxfId="411" priority="18" operator="greaterThan">
      <formula>$G$31-$F$31+$I$31-$H$31+$K$31-$J$31</formula>
    </cfRule>
  </conditionalFormatting>
  <conditionalFormatting sqref="N31:N32">
    <cfRule type="cellIs" dxfId="410" priority="17" operator="greaterThan">
      <formula>$F31+$H31</formula>
    </cfRule>
  </conditionalFormatting>
  <conditionalFormatting sqref="O32">
    <cfRule type="cellIs" dxfId="409" priority="10" operator="greaterThan">
      <formula>$Q$31</formula>
    </cfRule>
  </conditionalFormatting>
  <conditionalFormatting sqref="P31">
    <cfRule type="cellIs" dxfId="408" priority="16" operator="greaterThan">
      <formula>$G$32-$F$32+$I$32-$H$32</formula>
    </cfRule>
  </conditionalFormatting>
  <conditionalFormatting sqref="Q32">
    <cfRule type="cellIs" dxfId="407" priority="15" operator="lessThan">
      <formula>$O$31</formula>
    </cfRule>
  </conditionalFormatting>
  <conditionalFormatting sqref="F7:F32">
    <cfRule type="cellIs" dxfId="406" priority="14" operator="greaterThan">
      <formula>G7</formula>
    </cfRule>
  </conditionalFormatting>
  <conditionalFormatting sqref="H7:H32">
    <cfRule type="cellIs" dxfId="405" priority="13" operator="greaterThan">
      <formula>I7</formula>
    </cfRule>
  </conditionalFormatting>
  <conditionalFormatting sqref="J7:J32">
    <cfRule type="cellIs" dxfId="404" priority="12" operator="greaterThan">
      <formula>K7</formula>
    </cfRule>
  </conditionalFormatting>
  <conditionalFormatting sqref="M4">
    <cfRule type="cellIs" dxfId="403" priority="11" operator="notBetween">
      <formula>$AH$2</formula>
      <formula>$AI$2</formula>
    </cfRule>
  </conditionalFormatting>
  <conditionalFormatting sqref="O31">
    <cfRule type="cellIs" dxfId="402" priority="9" operator="greaterThan">
      <formula>$Q$32</formula>
    </cfRule>
  </conditionalFormatting>
  <conditionalFormatting sqref="Q31">
    <cfRule type="cellIs" dxfId="401" priority="8" operator="lessThan">
      <formula>$O$32</formula>
    </cfRule>
  </conditionalFormatting>
  <conditionalFormatting sqref="M31">
    <cfRule type="cellIs" dxfId="400" priority="7" operator="greaterThan">
      <formula>G32-F32 +I32-H32+K32-J32</formula>
    </cfRule>
  </conditionalFormatting>
  <conditionalFormatting sqref="B3">
    <cfRule type="expression" dxfId="399" priority="6">
      <formula>$W$2 = TRUE</formula>
    </cfRule>
  </conditionalFormatting>
  <conditionalFormatting sqref="P4:Q4">
    <cfRule type="expression" dxfId="398" priority="5">
      <formula>OR(AND($P$4=1,$X$4=1),AND($Q$4=1,$W$4=1))</formula>
    </cfRule>
  </conditionalFormatting>
  <conditionalFormatting sqref="D7:D30">
    <cfRule type="expression" dxfId="397" priority="30">
      <formula>AND($D7=0,SUM($F7:$S7)&gt;0)</formula>
    </cfRule>
  </conditionalFormatting>
  <conditionalFormatting sqref="O6">
    <cfRule type="expression" dxfId="396" priority="4">
      <formula>OR($O$31&gt;$Q$32,$O$32&gt;$Q$31)</formula>
    </cfRule>
  </conditionalFormatting>
  <conditionalFormatting sqref="F6">
    <cfRule type="expression" dxfId="395" priority="3">
      <formula>OR(F$31&gt;G$31,F$32&gt;G$32)</formula>
    </cfRule>
  </conditionalFormatting>
  <conditionalFormatting sqref="H6">
    <cfRule type="expression" dxfId="394" priority="2">
      <formula>OR(H$31&gt;I$31,H$32&gt;I$32)</formula>
    </cfRule>
  </conditionalFormatting>
  <conditionalFormatting sqref="J6">
    <cfRule type="expression" dxfId="393"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AJ37"/>
  <sheetViews>
    <sheetView showZeros="0" zoomScale="80" zoomScaleNormal="80" workbookViewId="0">
      <pane xSplit="2" ySplit="6" topLeftCell="C7" activePane="bottomRight" state="frozen"/>
      <selection activeCell="B3" sqref="B3"/>
      <selection pane="topRight" activeCell="B3" sqref="B3"/>
      <selection pane="bottomLeft" activeCell="B3" sqref="B3"/>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392" priority="29">
      <formula>AND($H$4&gt;0,$H$4&lt;&gt;$T$31)</formula>
    </cfRule>
  </conditionalFormatting>
  <conditionalFormatting sqref="T32 H3">
    <cfRule type="expression" dxfId="391" priority="28">
      <formula>AND($H$3&gt;0,$H$3&lt;&gt;$T$32)</formula>
    </cfRule>
  </conditionalFormatting>
  <conditionalFormatting sqref="A2">
    <cfRule type="cellIs" dxfId="390" priority="27" operator="equal">
      <formula>"R"</formula>
    </cfRule>
  </conditionalFormatting>
  <conditionalFormatting sqref="F7:F30 H7:H30 J7:J30">
    <cfRule type="expression" dxfId="389" priority="26">
      <formula>F7&gt;G7</formula>
    </cfRule>
  </conditionalFormatting>
  <conditionalFormatting sqref="E7:E30">
    <cfRule type="expression" dxfId="388" priority="25">
      <formula>$E7&gt;$E$31</formula>
    </cfRule>
  </conditionalFormatting>
  <conditionalFormatting sqref="L6">
    <cfRule type="expression" dxfId="387" priority="24">
      <formula>OR($L$31&gt;($G$31+$I$31+$K$31-$F$31-$H$31-$J$31),L32&gt;(G31+I31+K31-F31-H31-J31))</formula>
    </cfRule>
  </conditionalFormatting>
  <conditionalFormatting sqref="M6">
    <cfRule type="expression" dxfId="386" priority="23">
      <formula>OR(M31&gt;(G32-F32+I32-H32+K32-J32),M32&gt;(G31-F31+I31-H31+K31-J31))</formula>
    </cfRule>
  </conditionalFormatting>
  <conditionalFormatting sqref="N6">
    <cfRule type="expression" dxfId="385" priority="22">
      <formula>OR($N$31&gt;($F$31+$H$31),$N$32&gt;($F$32+$H$32))</formula>
    </cfRule>
  </conditionalFormatting>
  <conditionalFormatting sqref="P6">
    <cfRule type="expression" dxfId="384" priority="21">
      <formula>OR($P$31&gt;(G32-F32+I32-H32),P32&gt;(G31-F31+I31-H31))</formula>
    </cfRule>
  </conditionalFormatting>
  <conditionalFormatting sqref="Q6">
    <cfRule type="expression" dxfId="383" priority="20">
      <formula>OR($Q$31&lt;$O$32,$Q$32&lt;$O$31)</formula>
    </cfRule>
  </conditionalFormatting>
  <conditionalFormatting sqref="L31:L32">
    <cfRule type="cellIs" dxfId="382" priority="19" operator="greaterThan">
      <formula>$G31+$I31+$K31-$F31-$H31-$J31</formula>
    </cfRule>
  </conditionalFormatting>
  <conditionalFormatting sqref="M32">
    <cfRule type="cellIs" dxfId="381" priority="18" operator="greaterThan">
      <formula>$G$31-$F$31+$I$31-$H$31+$K$31-$J$31</formula>
    </cfRule>
  </conditionalFormatting>
  <conditionalFormatting sqref="N31:N32">
    <cfRule type="cellIs" dxfId="380" priority="17" operator="greaterThan">
      <formula>$F31+$H31</formula>
    </cfRule>
  </conditionalFormatting>
  <conditionalFormatting sqref="O32">
    <cfRule type="cellIs" dxfId="379" priority="10" operator="greaterThan">
      <formula>$Q$31</formula>
    </cfRule>
  </conditionalFormatting>
  <conditionalFormatting sqref="P31">
    <cfRule type="cellIs" dxfId="378" priority="16" operator="greaterThan">
      <formula>$G$32-$F$32+$I$32-$H$32</formula>
    </cfRule>
  </conditionalFormatting>
  <conditionalFormatting sqref="Q32">
    <cfRule type="cellIs" dxfId="377" priority="15" operator="lessThan">
      <formula>$O$31</formula>
    </cfRule>
  </conditionalFormatting>
  <conditionalFormatting sqref="F7:F32">
    <cfRule type="cellIs" dxfId="376" priority="14" operator="greaterThan">
      <formula>G7</formula>
    </cfRule>
  </conditionalFormatting>
  <conditionalFormatting sqref="H7:H32">
    <cfRule type="cellIs" dxfId="375" priority="13" operator="greaterThan">
      <formula>I7</formula>
    </cfRule>
  </conditionalFormatting>
  <conditionalFormatting sqref="J7:J32">
    <cfRule type="cellIs" dxfId="374" priority="12" operator="greaterThan">
      <formula>K7</formula>
    </cfRule>
  </conditionalFormatting>
  <conditionalFormatting sqref="M4">
    <cfRule type="cellIs" dxfId="373" priority="11" operator="notBetween">
      <formula>$AH$2</formula>
      <formula>$AI$2</formula>
    </cfRule>
  </conditionalFormatting>
  <conditionalFormatting sqref="O31">
    <cfRule type="cellIs" dxfId="372" priority="9" operator="greaterThan">
      <formula>$Q$32</formula>
    </cfRule>
  </conditionalFormatting>
  <conditionalFormatting sqref="Q31">
    <cfRule type="cellIs" dxfId="371" priority="8" operator="lessThan">
      <formula>$O$32</formula>
    </cfRule>
  </conditionalFormatting>
  <conditionalFormatting sqref="M31">
    <cfRule type="cellIs" dxfId="370" priority="7" operator="greaterThan">
      <formula>G32-F32 +I32-H32+K32-J32</formula>
    </cfRule>
  </conditionalFormatting>
  <conditionalFormatting sqref="B3">
    <cfRule type="expression" dxfId="369" priority="6">
      <formula>$W$2 = TRUE</formula>
    </cfRule>
  </conditionalFormatting>
  <conditionalFormatting sqref="P4:Q4">
    <cfRule type="expression" dxfId="368" priority="5">
      <formula>OR(AND($P$4=1,$X$4=1),AND($Q$4=1,$W$4=1))</formula>
    </cfRule>
  </conditionalFormatting>
  <conditionalFormatting sqref="D7:D30">
    <cfRule type="expression" dxfId="367" priority="30">
      <formula>AND($D7=0,SUM($F7:$S7)&gt;0)</formula>
    </cfRule>
  </conditionalFormatting>
  <conditionalFormatting sqref="O6">
    <cfRule type="expression" dxfId="366" priority="4">
      <formula>OR($O$31&gt;$Q$32,$O$32&gt;$Q$31)</formula>
    </cfRule>
  </conditionalFormatting>
  <conditionalFormatting sqref="F6">
    <cfRule type="expression" dxfId="365" priority="3">
      <formula>OR(F$31&gt;G$31,F$32&gt;G$32)</formula>
    </cfRule>
  </conditionalFormatting>
  <conditionalFormatting sqref="H6">
    <cfRule type="expression" dxfId="364" priority="2">
      <formula>OR(H$31&gt;I$31,H$32&gt;I$32)</formula>
    </cfRule>
  </conditionalFormatting>
  <conditionalFormatting sqref="J6">
    <cfRule type="expression" dxfId="363"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AJ37"/>
  <sheetViews>
    <sheetView showZeros="0" zoomScale="80" zoomScaleNormal="80" workbookViewId="0">
      <pane xSplit="2" ySplit="6" topLeftCell="C7" activePane="bottomRight" state="frozen"/>
      <selection activeCell="B3" sqref="B3"/>
      <selection pane="topRight" activeCell="B3" sqref="B3"/>
      <selection pane="bottomLeft" activeCell="B3" sqref="B3"/>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362" priority="29">
      <formula>AND($H$4&gt;0,$H$4&lt;&gt;$T$31)</formula>
    </cfRule>
  </conditionalFormatting>
  <conditionalFormatting sqref="T32 H3">
    <cfRule type="expression" dxfId="361" priority="28">
      <formula>AND($H$3&gt;0,$H$3&lt;&gt;$T$32)</formula>
    </cfRule>
  </conditionalFormatting>
  <conditionalFormatting sqref="A2">
    <cfRule type="cellIs" dxfId="360" priority="27" operator="equal">
      <formula>"R"</formula>
    </cfRule>
  </conditionalFormatting>
  <conditionalFormatting sqref="F7:F30 H7:H30 J7:J30">
    <cfRule type="expression" dxfId="359" priority="26">
      <formula>F7&gt;G7</formula>
    </cfRule>
  </conditionalFormatting>
  <conditionalFormatting sqref="E7:E30">
    <cfRule type="expression" dxfId="358" priority="25">
      <formula>$E7&gt;$E$31</formula>
    </cfRule>
  </conditionalFormatting>
  <conditionalFormatting sqref="L6">
    <cfRule type="expression" dxfId="357" priority="24">
      <formula>OR($L$31&gt;($G$31+$I$31+$K$31-$F$31-$H$31-$J$31),L32&gt;(G31+I31+K31-F31-H31-J31))</formula>
    </cfRule>
  </conditionalFormatting>
  <conditionalFormatting sqref="M6">
    <cfRule type="expression" dxfId="356" priority="23">
      <formula>OR(M31&gt;(G32-F32+I32-H32+K32-J32),M32&gt;(G31-F31+I31-H31+K31-J31))</formula>
    </cfRule>
  </conditionalFormatting>
  <conditionalFormatting sqref="N6">
    <cfRule type="expression" dxfId="355" priority="22">
      <formula>OR($N$31&gt;($F$31+$H$31),$N$32&gt;($F$32+$H$32))</formula>
    </cfRule>
  </conditionalFormatting>
  <conditionalFormatting sqref="P6">
    <cfRule type="expression" dxfId="354" priority="21">
      <formula>OR($P$31&gt;(G32-F32+I32-H32),P32&gt;(G31-F31+I31-H31))</formula>
    </cfRule>
  </conditionalFormatting>
  <conditionalFormatting sqref="Q6">
    <cfRule type="expression" dxfId="353" priority="20">
      <formula>OR($Q$31&lt;$O$32,$Q$32&lt;$O$31)</formula>
    </cfRule>
  </conditionalFormatting>
  <conditionalFormatting sqref="L31:L32">
    <cfRule type="cellIs" dxfId="352" priority="19" operator="greaterThan">
      <formula>$G31+$I31+$K31-$F31-$H31-$J31</formula>
    </cfRule>
  </conditionalFormatting>
  <conditionalFormatting sqref="M32">
    <cfRule type="cellIs" dxfId="351" priority="18" operator="greaterThan">
      <formula>$G$31-$F$31+$I$31-$H$31+$K$31-$J$31</formula>
    </cfRule>
  </conditionalFormatting>
  <conditionalFormatting sqref="N31:N32">
    <cfRule type="cellIs" dxfId="350" priority="17" operator="greaterThan">
      <formula>$F31+$H31</formula>
    </cfRule>
  </conditionalFormatting>
  <conditionalFormatting sqref="O32">
    <cfRule type="cellIs" dxfId="349" priority="10" operator="greaterThan">
      <formula>$Q$31</formula>
    </cfRule>
  </conditionalFormatting>
  <conditionalFormatting sqref="P31">
    <cfRule type="cellIs" dxfId="348" priority="16" operator="greaterThan">
      <formula>$G$32-$F$32+$I$32-$H$32</formula>
    </cfRule>
  </conditionalFormatting>
  <conditionalFormatting sqref="Q32">
    <cfRule type="cellIs" dxfId="347" priority="15" operator="lessThan">
      <formula>$O$31</formula>
    </cfRule>
  </conditionalFormatting>
  <conditionalFormatting sqref="F7:F32">
    <cfRule type="cellIs" dxfId="346" priority="14" operator="greaterThan">
      <formula>G7</formula>
    </cfRule>
  </conditionalFormatting>
  <conditionalFormatting sqref="H7:H32">
    <cfRule type="cellIs" dxfId="345" priority="13" operator="greaterThan">
      <formula>I7</formula>
    </cfRule>
  </conditionalFormatting>
  <conditionalFormatting sqref="J7:J32">
    <cfRule type="cellIs" dxfId="344" priority="12" operator="greaterThan">
      <formula>K7</formula>
    </cfRule>
  </conditionalFormatting>
  <conditionalFormatting sqref="M4">
    <cfRule type="cellIs" dxfId="343" priority="11" operator="notBetween">
      <formula>$AH$2</formula>
      <formula>$AI$2</formula>
    </cfRule>
  </conditionalFormatting>
  <conditionalFormatting sqref="O31">
    <cfRule type="cellIs" dxfId="342" priority="9" operator="greaterThan">
      <formula>$Q$32</formula>
    </cfRule>
  </conditionalFormatting>
  <conditionalFormatting sqref="Q31">
    <cfRule type="cellIs" dxfId="341" priority="8" operator="lessThan">
      <formula>$O$32</formula>
    </cfRule>
  </conditionalFormatting>
  <conditionalFormatting sqref="M31">
    <cfRule type="cellIs" dxfId="340" priority="7" operator="greaterThan">
      <formula>G32-F32 +I32-H32+K32-J32</formula>
    </cfRule>
  </conditionalFormatting>
  <conditionalFormatting sqref="B3">
    <cfRule type="expression" dxfId="339" priority="6">
      <formula>$W$2 = TRUE</formula>
    </cfRule>
  </conditionalFormatting>
  <conditionalFormatting sqref="P4:Q4">
    <cfRule type="expression" dxfId="338" priority="5">
      <formula>OR(AND($P$4=1,$X$4=1),AND($Q$4=1,$W$4=1))</formula>
    </cfRule>
  </conditionalFormatting>
  <conditionalFormatting sqref="D7:D30">
    <cfRule type="expression" dxfId="337" priority="30">
      <formula>AND($D7=0,SUM($F7:$S7)&gt;0)</formula>
    </cfRule>
  </conditionalFormatting>
  <conditionalFormatting sqref="O6">
    <cfRule type="expression" dxfId="336" priority="4">
      <formula>OR($O$31&gt;$Q$32,$O$32&gt;$Q$31)</formula>
    </cfRule>
  </conditionalFormatting>
  <conditionalFormatting sqref="F6">
    <cfRule type="expression" dxfId="335" priority="3">
      <formula>OR(F$31&gt;G$31,F$32&gt;G$32)</formula>
    </cfRule>
  </conditionalFormatting>
  <conditionalFormatting sqref="H6">
    <cfRule type="expression" dxfId="334" priority="2">
      <formula>OR(H$31&gt;I$31,H$32&gt;I$32)</formula>
    </cfRule>
  </conditionalFormatting>
  <conditionalFormatting sqref="J6">
    <cfRule type="expression" dxfId="333"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AJ37"/>
  <sheetViews>
    <sheetView showZeros="0" zoomScale="80" zoomScaleNormal="80" workbookViewId="0">
      <pane xSplit="2" ySplit="6" topLeftCell="C7" activePane="bottomRight" state="frozen"/>
      <selection activeCell="B3" sqref="B3"/>
      <selection pane="topRight" activeCell="B3" sqref="B3"/>
      <selection pane="bottomLeft" activeCell="B3" sqref="B3"/>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332" priority="29">
      <formula>AND($H$4&gt;0,$H$4&lt;&gt;$T$31)</formula>
    </cfRule>
  </conditionalFormatting>
  <conditionalFormatting sqref="T32 H3">
    <cfRule type="expression" dxfId="331" priority="28">
      <formula>AND($H$3&gt;0,$H$3&lt;&gt;$T$32)</formula>
    </cfRule>
  </conditionalFormatting>
  <conditionalFormatting sqref="A2">
    <cfRule type="cellIs" dxfId="330" priority="27" operator="equal">
      <formula>"R"</formula>
    </cfRule>
  </conditionalFormatting>
  <conditionalFormatting sqref="F7:F30 H7:H30 J7:J30">
    <cfRule type="expression" dxfId="329" priority="26">
      <formula>F7&gt;G7</formula>
    </cfRule>
  </conditionalFormatting>
  <conditionalFormatting sqref="E7:E30">
    <cfRule type="expression" dxfId="328" priority="25">
      <formula>$E7&gt;$E$31</formula>
    </cfRule>
  </conditionalFormatting>
  <conditionalFormatting sqref="L6">
    <cfRule type="expression" dxfId="327" priority="24">
      <formula>OR($L$31&gt;($G$31+$I$31+$K$31-$F$31-$H$31-$J$31),L32&gt;(G31+I31+K31-F31-H31-J31))</formula>
    </cfRule>
  </conditionalFormatting>
  <conditionalFormatting sqref="M6">
    <cfRule type="expression" dxfId="326" priority="23">
      <formula>OR(M31&gt;(G32-F32+I32-H32+K32-J32),M32&gt;(G31-F31+I31-H31+K31-J31))</formula>
    </cfRule>
  </conditionalFormatting>
  <conditionalFormatting sqref="N6">
    <cfRule type="expression" dxfId="325" priority="22">
      <formula>OR($N$31&gt;($F$31+$H$31),$N$32&gt;($F$32+$H$32))</formula>
    </cfRule>
  </conditionalFormatting>
  <conditionalFormatting sqref="P6">
    <cfRule type="expression" dxfId="324" priority="21">
      <formula>OR($P$31&gt;(G32-F32+I32-H32),P32&gt;(G31-F31+I31-H31))</formula>
    </cfRule>
  </conditionalFormatting>
  <conditionalFormatting sqref="Q6">
    <cfRule type="expression" dxfId="323" priority="20">
      <formula>OR($Q$31&lt;$O$32,$Q$32&lt;$O$31)</formula>
    </cfRule>
  </conditionalFormatting>
  <conditionalFormatting sqref="L31:L32">
    <cfRule type="cellIs" dxfId="322" priority="19" operator="greaterThan">
      <formula>$G31+$I31+$K31-$F31-$H31-$J31</formula>
    </cfRule>
  </conditionalFormatting>
  <conditionalFormatting sqref="M32">
    <cfRule type="cellIs" dxfId="321" priority="18" operator="greaterThan">
      <formula>$G$31-$F$31+$I$31-$H$31+$K$31-$J$31</formula>
    </cfRule>
  </conditionalFormatting>
  <conditionalFormatting sqref="N31:N32">
    <cfRule type="cellIs" dxfId="320" priority="17" operator="greaterThan">
      <formula>$F31+$H31</formula>
    </cfRule>
  </conditionalFormatting>
  <conditionalFormatting sqref="O32">
    <cfRule type="cellIs" dxfId="319" priority="10" operator="greaterThan">
      <formula>$Q$31</formula>
    </cfRule>
  </conditionalFormatting>
  <conditionalFormatting sqref="P31">
    <cfRule type="cellIs" dxfId="318" priority="16" operator="greaterThan">
      <formula>$G$32-$F$32+$I$32-$H$32</formula>
    </cfRule>
  </conditionalFormatting>
  <conditionalFormatting sqref="Q32">
    <cfRule type="cellIs" dxfId="317" priority="15" operator="lessThan">
      <formula>$O$31</formula>
    </cfRule>
  </conditionalFormatting>
  <conditionalFormatting sqref="F7:F32">
    <cfRule type="cellIs" dxfId="316" priority="14" operator="greaterThan">
      <formula>G7</formula>
    </cfRule>
  </conditionalFormatting>
  <conditionalFormatting sqref="H7:H32">
    <cfRule type="cellIs" dxfId="315" priority="13" operator="greaterThan">
      <formula>I7</formula>
    </cfRule>
  </conditionalFormatting>
  <conditionalFormatting sqref="J7:J32">
    <cfRule type="cellIs" dxfId="314" priority="12" operator="greaterThan">
      <formula>K7</formula>
    </cfRule>
  </conditionalFormatting>
  <conditionalFormatting sqref="M4">
    <cfRule type="cellIs" dxfId="313" priority="11" operator="notBetween">
      <formula>$AH$2</formula>
      <formula>$AI$2</formula>
    </cfRule>
  </conditionalFormatting>
  <conditionalFormatting sqref="O31">
    <cfRule type="cellIs" dxfId="312" priority="9" operator="greaterThan">
      <formula>$Q$32</formula>
    </cfRule>
  </conditionalFormatting>
  <conditionalFormatting sqref="Q31">
    <cfRule type="cellIs" dxfId="311" priority="8" operator="lessThan">
      <formula>$O$32</formula>
    </cfRule>
  </conditionalFormatting>
  <conditionalFormatting sqref="M31">
    <cfRule type="cellIs" dxfId="310" priority="7" operator="greaterThan">
      <formula>G32-F32 +I32-H32+K32-J32</formula>
    </cfRule>
  </conditionalFormatting>
  <conditionalFormatting sqref="B3">
    <cfRule type="expression" dxfId="309" priority="6">
      <formula>$W$2 = TRUE</formula>
    </cfRule>
  </conditionalFormatting>
  <conditionalFormatting sqref="P4:Q4">
    <cfRule type="expression" dxfId="308" priority="5">
      <formula>OR(AND($P$4=1,$X$4=1),AND($Q$4=1,$W$4=1))</formula>
    </cfRule>
  </conditionalFormatting>
  <conditionalFormatting sqref="D7:D30">
    <cfRule type="expression" dxfId="307" priority="30">
      <formula>AND($D7=0,SUM($F7:$S7)&gt;0)</formula>
    </cfRule>
  </conditionalFormatting>
  <conditionalFormatting sqref="O6">
    <cfRule type="expression" dxfId="306" priority="4">
      <formula>OR($O$31&gt;$Q$32,$O$32&gt;$Q$31)</formula>
    </cfRule>
  </conditionalFormatting>
  <conditionalFormatting sqref="F6">
    <cfRule type="expression" dxfId="305" priority="3">
      <formula>OR(F$31&gt;G$31,F$32&gt;G$32)</formula>
    </cfRule>
  </conditionalFormatting>
  <conditionalFormatting sqref="H6">
    <cfRule type="expression" dxfId="304" priority="2">
      <formula>OR(H$31&gt;I$31,H$32&gt;I$32)</formula>
    </cfRule>
  </conditionalFormatting>
  <conditionalFormatting sqref="J6">
    <cfRule type="expression" dxfId="303"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AJ37"/>
  <sheetViews>
    <sheetView showZeros="0" zoomScale="80" zoomScaleNormal="80" workbookViewId="0">
      <pane xSplit="2" ySplit="6" topLeftCell="C7" activePane="bottomRight" state="frozen"/>
      <selection activeCell="B3" sqref="B3"/>
      <selection pane="topRight" activeCell="B3" sqref="B3"/>
      <selection pane="bottomLeft" activeCell="B3" sqref="B3"/>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302" priority="29">
      <formula>AND($H$4&gt;0,$H$4&lt;&gt;$T$31)</formula>
    </cfRule>
  </conditionalFormatting>
  <conditionalFormatting sqref="T32 H3">
    <cfRule type="expression" dxfId="301" priority="28">
      <formula>AND($H$3&gt;0,$H$3&lt;&gt;$T$32)</formula>
    </cfRule>
  </conditionalFormatting>
  <conditionalFormatting sqref="A2">
    <cfRule type="cellIs" dxfId="300" priority="27" operator="equal">
      <formula>"R"</formula>
    </cfRule>
  </conditionalFormatting>
  <conditionalFormatting sqref="F7:F30 H7:H30 J7:J30">
    <cfRule type="expression" dxfId="299" priority="26">
      <formula>F7&gt;G7</formula>
    </cfRule>
  </conditionalFormatting>
  <conditionalFormatting sqref="E7:E30">
    <cfRule type="expression" dxfId="298" priority="25">
      <formula>$E7&gt;$E$31</formula>
    </cfRule>
  </conditionalFormatting>
  <conditionalFormatting sqref="L6">
    <cfRule type="expression" dxfId="297" priority="24">
      <formula>OR($L$31&gt;($G$31+$I$31+$K$31-$F$31-$H$31-$J$31),L32&gt;(G31+I31+K31-F31-H31-J31))</formula>
    </cfRule>
  </conditionalFormatting>
  <conditionalFormatting sqref="M6">
    <cfRule type="expression" dxfId="296" priority="23">
      <formula>OR(M31&gt;(G32-F32+I32-H32+K32-J32),M32&gt;(G31-F31+I31-H31+K31-J31))</formula>
    </cfRule>
  </conditionalFormatting>
  <conditionalFormatting sqref="N6">
    <cfRule type="expression" dxfId="295" priority="22">
      <formula>OR($N$31&gt;($F$31+$H$31),$N$32&gt;($F$32+$H$32))</formula>
    </cfRule>
  </conditionalFormatting>
  <conditionalFormatting sqref="P6">
    <cfRule type="expression" dxfId="294" priority="21">
      <formula>OR($P$31&gt;(G32-F32+I32-H32),P32&gt;(G31-F31+I31-H31))</formula>
    </cfRule>
  </conditionalFormatting>
  <conditionalFormatting sqref="Q6">
    <cfRule type="expression" dxfId="293" priority="20">
      <formula>OR($Q$31&lt;$O$32,$Q$32&lt;$O$31)</formula>
    </cfRule>
  </conditionalFormatting>
  <conditionalFormatting sqref="L31:L32">
    <cfRule type="cellIs" dxfId="292" priority="19" operator="greaterThan">
      <formula>$G31+$I31+$K31-$F31-$H31-$J31</formula>
    </cfRule>
  </conditionalFormatting>
  <conditionalFormatting sqref="M32">
    <cfRule type="cellIs" dxfId="291" priority="18" operator="greaterThan">
      <formula>$G$31-$F$31+$I$31-$H$31+$K$31-$J$31</formula>
    </cfRule>
  </conditionalFormatting>
  <conditionalFormatting sqref="N31:N32">
    <cfRule type="cellIs" dxfId="290" priority="17" operator="greaterThan">
      <formula>$F31+$H31</formula>
    </cfRule>
  </conditionalFormatting>
  <conditionalFormatting sqref="O32">
    <cfRule type="cellIs" dxfId="289" priority="10" operator="greaterThan">
      <formula>$Q$31</formula>
    </cfRule>
  </conditionalFormatting>
  <conditionalFormatting sqref="P31">
    <cfRule type="cellIs" dxfId="288" priority="16" operator="greaterThan">
      <formula>$G$32-$F$32+$I$32-$H$32</formula>
    </cfRule>
  </conditionalFormatting>
  <conditionalFormatting sqref="Q32">
    <cfRule type="cellIs" dxfId="287" priority="15" operator="lessThan">
      <formula>$O$31</formula>
    </cfRule>
  </conditionalFormatting>
  <conditionalFormatting sqref="F7:F32">
    <cfRule type="cellIs" dxfId="286" priority="14" operator="greaterThan">
      <formula>G7</formula>
    </cfRule>
  </conditionalFormatting>
  <conditionalFormatting sqref="H7:H32">
    <cfRule type="cellIs" dxfId="285" priority="13" operator="greaterThan">
      <formula>I7</formula>
    </cfRule>
  </conditionalFormatting>
  <conditionalFormatting sqref="J7:J32">
    <cfRule type="cellIs" dxfId="284" priority="12" operator="greaterThan">
      <formula>K7</formula>
    </cfRule>
  </conditionalFormatting>
  <conditionalFormatting sqref="M4">
    <cfRule type="cellIs" dxfId="283" priority="11" operator="notBetween">
      <formula>$AH$2</formula>
      <formula>$AI$2</formula>
    </cfRule>
  </conditionalFormatting>
  <conditionalFormatting sqref="O31">
    <cfRule type="cellIs" dxfId="282" priority="9" operator="greaterThan">
      <formula>$Q$32</formula>
    </cfRule>
  </conditionalFormatting>
  <conditionalFormatting sqref="Q31">
    <cfRule type="cellIs" dxfId="281" priority="8" operator="lessThan">
      <formula>$O$32</formula>
    </cfRule>
  </conditionalFormatting>
  <conditionalFormatting sqref="M31">
    <cfRule type="cellIs" dxfId="280" priority="7" operator="greaterThan">
      <formula>G32-F32 +I32-H32+K32-J32</formula>
    </cfRule>
  </conditionalFormatting>
  <conditionalFormatting sqref="B3">
    <cfRule type="expression" dxfId="279" priority="6">
      <formula>$W$2 = TRUE</formula>
    </cfRule>
  </conditionalFormatting>
  <conditionalFormatting sqref="P4:Q4">
    <cfRule type="expression" dxfId="278" priority="5">
      <formula>OR(AND($P$4=1,$X$4=1),AND($Q$4=1,$W$4=1))</formula>
    </cfRule>
  </conditionalFormatting>
  <conditionalFormatting sqref="D7:D30">
    <cfRule type="expression" dxfId="277" priority="30">
      <formula>AND($D7=0,SUM($F7:$S7)&gt;0)</formula>
    </cfRule>
  </conditionalFormatting>
  <conditionalFormatting sqref="O6">
    <cfRule type="expression" dxfId="276" priority="4">
      <formula>OR($O$31&gt;$Q$32,$O$32&gt;$Q$31)</formula>
    </cfRule>
  </conditionalFormatting>
  <conditionalFormatting sqref="F6">
    <cfRule type="expression" dxfId="275" priority="3">
      <formula>OR(F$31&gt;G$31,F$32&gt;G$32)</formula>
    </cfRule>
  </conditionalFormatting>
  <conditionalFormatting sqref="H6">
    <cfRule type="expression" dxfId="274" priority="2">
      <formula>OR(H$31&gt;I$31,H$32&gt;I$32)</formula>
    </cfRule>
  </conditionalFormatting>
  <conditionalFormatting sqref="J6">
    <cfRule type="expression" dxfId="273"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AJ37"/>
  <sheetViews>
    <sheetView showZeros="0" zoomScale="80" zoomScaleNormal="80" workbookViewId="0">
      <pane xSplit="2" ySplit="6" topLeftCell="C7" activePane="bottomRight" state="frozen"/>
      <selection activeCell="C7" sqref="C7"/>
      <selection pane="topRight" activeCell="C7" sqref="C7"/>
      <selection pane="bottomLeft" activeCell="C7" sqref="C7"/>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272" priority="29">
      <formula>AND($H$4&gt;0,$H$4&lt;&gt;$T$31)</formula>
    </cfRule>
  </conditionalFormatting>
  <conditionalFormatting sqref="T32 H3">
    <cfRule type="expression" dxfId="271" priority="28">
      <formula>AND($H$3&gt;0,$H$3&lt;&gt;$T$32)</formula>
    </cfRule>
  </conditionalFormatting>
  <conditionalFormatting sqref="A2">
    <cfRule type="cellIs" dxfId="270" priority="27" operator="equal">
      <formula>"R"</formula>
    </cfRule>
  </conditionalFormatting>
  <conditionalFormatting sqref="F7:F30 H7:H30 J7:J30">
    <cfRule type="expression" dxfId="269" priority="26">
      <formula>F7&gt;G7</formula>
    </cfRule>
  </conditionalFormatting>
  <conditionalFormatting sqref="E7:E30">
    <cfRule type="expression" dxfId="268" priority="25">
      <formula>$E7&gt;$E$31</formula>
    </cfRule>
  </conditionalFormatting>
  <conditionalFormatting sqref="L6">
    <cfRule type="expression" dxfId="267" priority="24">
      <formula>OR($L$31&gt;($G$31+$I$31+$K$31-$F$31-$H$31-$J$31),L32&gt;(G31+I31+K31-F31-H31-J31))</formula>
    </cfRule>
  </conditionalFormatting>
  <conditionalFormatting sqref="M6">
    <cfRule type="expression" dxfId="266" priority="23">
      <formula>OR(M31&gt;(G32-F32+I32-H32+K32-J32),M32&gt;(G31-F31+I31-H31+K31-J31))</formula>
    </cfRule>
  </conditionalFormatting>
  <conditionalFormatting sqref="N6">
    <cfRule type="expression" dxfId="265" priority="22">
      <formula>OR($N$31&gt;($F$31+$H$31),$N$32&gt;($F$32+$H$32))</formula>
    </cfRule>
  </conditionalFormatting>
  <conditionalFormatting sqref="P6">
    <cfRule type="expression" dxfId="264" priority="21">
      <formula>OR($P$31&gt;(G32-F32+I32-H32),P32&gt;(G31-F31+I31-H31))</formula>
    </cfRule>
  </conditionalFormatting>
  <conditionalFormatting sqref="Q6">
    <cfRule type="expression" dxfId="263" priority="20">
      <formula>OR($Q$31&lt;$O$32,$Q$32&lt;$O$31)</formula>
    </cfRule>
  </conditionalFormatting>
  <conditionalFormatting sqref="L31:L32">
    <cfRule type="cellIs" dxfId="262" priority="19" operator="greaterThan">
      <formula>$G31+$I31+$K31-$F31-$H31-$J31</formula>
    </cfRule>
  </conditionalFormatting>
  <conditionalFormatting sqref="M32">
    <cfRule type="cellIs" dxfId="261" priority="18" operator="greaterThan">
      <formula>$G$31-$F$31+$I$31-$H$31+$K$31-$J$31</formula>
    </cfRule>
  </conditionalFormatting>
  <conditionalFormatting sqref="N31:N32">
    <cfRule type="cellIs" dxfId="260" priority="17" operator="greaterThan">
      <formula>$F31+$H31</formula>
    </cfRule>
  </conditionalFormatting>
  <conditionalFormatting sqref="O32">
    <cfRule type="cellIs" dxfId="259" priority="10" operator="greaterThan">
      <formula>$Q$31</formula>
    </cfRule>
  </conditionalFormatting>
  <conditionalFormatting sqref="P31">
    <cfRule type="cellIs" dxfId="258" priority="16" operator="greaterThan">
      <formula>$G$32-$F$32+$I$32-$H$32</formula>
    </cfRule>
  </conditionalFormatting>
  <conditionalFormatting sqref="Q32">
    <cfRule type="cellIs" dxfId="257" priority="15" operator="lessThan">
      <formula>$O$31</formula>
    </cfRule>
  </conditionalFormatting>
  <conditionalFormatting sqref="F7:F32">
    <cfRule type="cellIs" dxfId="256" priority="14" operator="greaterThan">
      <formula>G7</formula>
    </cfRule>
  </conditionalFormatting>
  <conditionalFormatting sqref="H7:H32">
    <cfRule type="cellIs" dxfId="255" priority="13" operator="greaterThan">
      <formula>I7</formula>
    </cfRule>
  </conditionalFormatting>
  <conditionalFormatting sqref="J7:J32">
    <cfRule type="cellIs" dxfId="254" priority="12" operator="greaterThan">
      <formula>K7</formula>
    </cfRule>
  </conditionalFormatting>
  <conditionalFormatting sqref="M4">
    <cfRule type="cellIs" dxfId="253" priority="11" operator="notBetween">
      <formula>$AH$2</formula>
      <formula>$AI$2</formula>
    </cfRule>
  </conditionalFormatting>
  <conditionalFormatting sqref="O31">
    <cfRule type="cellIs" dxfId="252" priority="9" operator="greaterThan">
      <formula>$Q$32</formula>
    </cfRule>
  </conditionalFormatting>
  <conditionalFormatting sqref="Q31">
    <cfRule type="cellIs" dxfId="251" priority="8" operator="lessThan">
      <formula>$O$32</formula>
    </cfRule>
  </conditionalFormatting>
  <conditionalFormatting sqref="M31">
    <cfRule type="cellIs" dxfId="250" priority="7" operator="greaterThan">
      <formula>G32-F32 +I32-H32+K32-J32</formula>
    </cfRule>
  </conditionalFormatting>
  <conditionalFormatting sqref="B3">
    <cfRule type="expression" dxfId="249" priority="6">
      <formula>$W$2 = TRUE</formula>
    </cfRule>
  </conditionalFormatting>
  <conditionalFormatting sqref="P4:Q4">
    <cfRule type="expression" dxfId="248" priority="5">
      <formula>OR(AND($P$4=1,$X$4=1),AND($Q$4=1,$W$4=1))</formula>
    </cfRule>
  </conditionalFormatting>
  <conditionalFormatting sqref="D7:D30">
    <cfRule type="expression" dxfId="247" priority="30">
      <formula>AND($D7=0,SUM($F7:$S7)&gt;0)</formula>
    </cfRule>
  </conditionalFormatting>
  <conditionalFormatting sqref="O6">
    <cfRule type="expression" dxfId="246" priority="4">
      <formula>OR($O$31&gt;$Q$32,$O$32&gt;$Q$31)</formula>
    </cfRule>
  </conditionalFormatting>
  <conditionalFormatting sqref="F6">
    <cfRule type="expression" dxfId="245" priority="3">
      <formula>OR(F$31&gt;G$31,F$32&gt;G$32)</formula>
    </cfRule>
  </conditionalFormatting>
  <conditionalFormatting sqref="H6">
    <cfRule type="expression" dxfId="244" priority="2">
      <formula>OR(H$31&gt;I$31,H$32&gt;I$32)</formula>
    </cfRule>
  </conditionalFormatting>
  <conditionalFormatting sqref="J6">
    <cfRule type="expression" dxfId="243"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AJ37"/>
  <sheetViews>
    <sheetView showZeros="0" zoomScale="80" zoomScaleNormal="80" workbookViewId="0">
      <pane xSplit="2" ySplit="6" topLeftCell="C7" activePane="bottomRight" state="frozen"/>
      <selection activeCell="C7" sqref="C7"/>
      <selection pane="topRight" activeCell="C7" sqref="C7"/>
      <selection pane="bottomLeft" activeCell="C7" sqref="C7"/>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242" priority="29">
      <formula>AND($H$4&gt;0,$H$4&lt;&gt;$T$31)</formula>
    </cfRule>
  </conditionalFormatting>
  <conditionalFormatting sqref="T32 H3">
    <cfRule type="expression" dxfId="241" priority="28">
      <formula>AND($H$3&gt;0,$H$3&lt;&gt;$T$32)</formula>
    </cfRule>
  </conditionalFormatting>
  <conditionalFormatting sqref="A2">
    <cfRule type="cellIs" dxfId="240" priority="27" operator="equal">
      <formula>"R"</formula>
    </cfRule>
  </conditionalFormatting>
  <conditionalFormatting sqref="F7:F30 H7:H30 J7:J30">
    <cfRule type="expression" dxfId="239" priority="26">
      <formula>F7&gt;G7</formula>
    </cfRule>
  </conditionalFormatting>
  <conditionalFormatting sqref="E7:E30">
    <cfRule type="expression" dxfId="238" priority="25">
      <formula>$E7&gt;$E$31</formula>
    </cfRule>
  </conditionalFormatting>
  <conditionalFormatting sqref="L6">
    <cfRule type="expression" dxfId="237" priority="24">
      <formula>OR($L$31&gt;($G$31+$I$31+$K$31-$F$31-$H$31-$J$31),L32&gt;(G31+I31+K31-F31-H31-J31))</formula>
    </cfRule>
  </conditionalFormatting>
  <conditionalFormatting sqref="M6">
    <cfRule type="expression" dxfId="236" priority="23">
      <formula>OR(M31&gt;(G32-F32+I32-H32+K32-J32),M32&gt;(G31-F31+I31-H31+K31-J31))</formula>
    </cfRule>
  </conditionalFormatting>
  <conditionalFormatting sqref="N6">
    <cfRule type="expression" dxfId="235" priority="22">
      <formula>OR($N$31&gt;($F$31+$H$31),$N$32&gt;($F$32+$H$32))</formula>
    </cfRule>
  </conditionalFormatting>
  <conditionalFormatting sqref="P6">
    <cfRule type="expression" dxfId="234" priority="21">
      <formula>OR($P$31&gt;(G32-F32+I32-H32),P32&gt;(G31-F31+I31-H31))</formula>
    </cfRule>
  </conditionalFormatting>
  <conditionalFormatting sqref="Q6">
    <cfRule type="expression" dxfId="233" priority="20">
      <formula>OR($Q$31&lt;$O$32,$Q$32&lt;$O$31)</formula>
    </cfRule>
  </conditionalFormatting>
  <conditionalFormatting sqref="L31:L32">
    <cfRule type="cellIs" dxfId="232" priority="19" operator="greaterThan">
      <formula>$G31+$I31+$K31-$F31-$H31-$J31</formula>
    </cfRule>
  </conditionalFormatting>
  <conditionalFormatting sqref="M32">
    <cfRule type="cellIs" dxfId="231" priority="18" operator="greaterThan">
      <formula>$G$31-$F$31+$I$31-$H$31+$K$31-$J$31</formula>
    </cfRule>
  </conditionalFormatting>
  <conditionalFormatting sqref="N31:N32">
    <cfRule type="cellIs" dxfId="230" priority="17" operator="greaterThan">
      <formula>$F31+$H31</formula>
    </cfRule>
  </conditionalFormatting>
  <conditionalFormatting sqref="O32">
    <cfRule type="cellIs" dxfId="229" priority="10" operator="greaterThan">
      <formula>$Q$31</formula>
    </cfRule>
  </conditionalFormatting>
  <conditionalFormatting sqref="P31">
    <cfRule type="cellIs" dxfId="228" priority="16" operator="greaterThan">
      <formula>$G$32-$F$32+$I$32-$H$32</formula>
    </cfRule>
  </conditionalFormatting>
  <conditionalFormatting sqref="Q32">
    <cfRule type="cellIs" dxfId="227" priority="15" operator="lessThan">
      <formula>$O$31</formula>
    </cfRule>
  </conditionalFormatting>
  <conditionalFormatting sqref="F7:F32">
    <cfRule type="cellIs" dxfId="226" priority="14" operator="greaterThan">
      <formula>G7</formula>
    </cfRule>
  </conditionalFormatting>
  <conditionalFormatting sqref="H7:H32">
    <cfRule type="cellIs" dxfId="225" priority="13" operator="greaterThan">
      <formula>I7</formula>
    </cfRule>
  </conditionalFormatting>
  <conditionalFormatting sqref="J7:J32">
    <cfRule type="cellIs" dxfId="224" priority="12" operator="greaterThan">
      <formula>K7</formula>
    </cfRule>
  </conditionalFormatting>
  <conditionalFormatting sqref="M4">
    <cfRule type="cellIs" dxfId="223" priority="11" operator="notBetween">
      <formula>$AH$2</formula>
      <formula>$AI$2</formula>
    </cfRule>
  </conditionalFormatting>
  <conditionalFormatting sqref="O31">
    <cfRule type="cellIs" dxfId="222" priority="9" operator="greaterThan">
      <formula>$Q$32</formula>
    </cfRule>
  </conditionalFormatting>
  <conditionalFormatting sqref="Q31">
    <cfRule type="cellIs" dxfId="221" priority="8" operator="lessThan">
      <formula>$O$32</formula>
    </cfRule>
  </conditionalFormatting>
  <conditionalFormatting sqref="M31">
    <cfRule type="cellIs" dxfId="220" priority="7" operator="greaterThan">
      <formula>G32-F32 +I32-H32+K32-J32</formula>
    </cfRule>
  </conditionalFormatting>
  <conditionalFormatting sqref="B3">
    <cfRule type="expression" dxfId="219" priority="6">
      <formula>$W$2 = TRUE</formula>
    </cfRule>
  </conditionalFormatting>
  <conditionalFormatting sqref="P4:Q4">
    <cfRule type="expression" dxfId="218" priority="5">
      <formula>OR(AND($P$4=1,$X$4=1),AND($Q$4=1,$W$4=1))</formula>
    </cfRule>
  </conditionalFormatting>
  <conditionalFormatting sqref="D7:D30">
    <cfRule type="expression" dxfId="217" priority="30">
      <formula>AND($D7=0,SUM($F7:$S7)&gt;0)</formula>
    </cfRule>
  </conditionalFormatting>
  <conditionalFormatting sqref="O6">
    <cfRule type="expression" dxfId="216" priority="4">
      <formula>OR($O$31&gt;$Q$32,$O$32&gt;$Q$31)</formula>
    </cfRule>
  </conditionalFormatting>
  <conditionalFormatting sqref="F6">
    <cfRule type="expression" dxfId="215" priority="3">
      <formula>OR(F$31&gt;G$31,F$32&gt;G$32)</formula>
    </cfRule>
  </conditionalFormatting>
  <conditionalFormatting sqref="H6">
    <cfRule type="expression" dxfId="214" priority="2">
      <formula>OR(H$31&gt;I$31,H$32&gt;I$32)</formula>
    </cfRule>
  </conditionalFormatting>
  <conditionalFormatting sqref="J6">
    <cfRule type="expression" dxfId="213"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AJ37"/>
  <sheetViews>
    <sheetView showZeros="0" zoomScale="80" zoomScaleNormal="80" workbookViewId="0">
      <pane xSplit="2" ySplit="6" topLeftCell="C7" activePane="bottomRight" state="frozen"/>
      <selection activeCell="C7" sqref="C7"/>
      <selection pane="topRight" activeCell="C7" sqref="C7"/>
      <selection pane="bottomLeft" activeCell="C7" sqref="C7"/>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212" priority="29">
      <formula>AND($H$4&gt;0,$H$4&lt;&gt;$T$31)</formula>
    </cfRule>
  </conditionalFormatting>
  <conditionalFormatting sqref="T32 H3">
    <cfRule type="expression" dxfId="211" priority="28">
      <formula>AND($H$3&gt;0,$H$3&lt;&gt;$T$32)</formula>
    </cfRule>
  </conditionalFormatting>
  <conditionalFormatting sqref="A2">
    <cfRule type="cellIs" dxfId="210" priority="27" operator="equal">
      <formula>"R"</formula>
    </cfRule>
  </conditionalFormatting>
  <conditionalFormatting sqref="F7:F30 H7:H30 J7:J30">
    <cfRule type="expression" dxfId="209" priority="26">
      <formula>F7&gt;G7</formula>
    </cfRule>
  </conditionalFormatting>
  <conditionalFormatting sqref="E7:E30">
    <cfRule type="expression" dxfId="208" priority="25">
      <formula>$E7&gt;$E$31</formula>
    </cfRule>
  </conditionalFormatting>
  <conditionalFormatting sqref="L6">
    <cfRule type="expression" dxfId="207" priority="24">
      <formula>OR($L$31&gt;($G$31+$I$31+$K$31-$F$31-$H$31-$J$31),L32&gt;(G31+I31+K31-F31-H31-J31))</formula>
    </cfRule>
  </conditionalFormatting>
  <conditionalFormatting sqref="M6">
    <cfRule type="expression" dxfId="206" priority="23">
      <formula>OR(M31&gt;(G32-F32+I32-H32+K32-J32),M32&gt;(G31-F31+I31-H31+K31-J31))</formula>
    </cfRule>
  </conditionalFormatting>
  <conditionalFormatting sqref="N6">
    <cfRule type="expression" dxfId="205" priority="22">
      <formula>OR($N$31&gt;($F$31+$H$31),$N$32&gt;($F$32+$H$32))</formula>
    </cfRule>
  </conditionalFormatting>
  <conditionalFormatting sqref="P6">
    <cfRule type="expression" dxfId="204" priority="21">
      <formula>OR($P$31&gt;(G32-F32+I32-H32),P32&gt;(G31-F31+I31-H31))</formula>
    </cfRule>
  </conditionalFormatting>
  <conditionalFormatting sqref="Q6">
    <cfRule type="expression" dxfId="203" priority="20">
      <formula>OR($Q$31&lt;$O$32,$Q$32&lt;$O$31)</formula>
    </cfRule>
  </conditionalFormatting>
  <conditionalFormatting sqref="L31:L32">
    <cfRule type="cellIs" dxfId="202" priority="19" operator="greaterThan">
      <formula>$G31+$I31+$K31-$F31-$H31-$J31</formula>
    </cfRule>
  </conditionalFormatting>
  <conditionalFormatting sqref="M32">
    <cfRule type="cellIs" dxfId="201" priority="18" operator="greaterThan">
      <formula>$G$31-$F$31+$I$31-$H$31+$K$31-$J$31</formula>
    </cfRule>
  </conditionalFormatting>
  <conditionalFormatting sqref="N31:N32">
    <cfRule type="cellIs" dxfId="200" priority="17" operator="greaterThan">
      <formula>$F31+$H31</formula>
    </cfRule>
  </conditionalFormatting>
  <conditionalFormatting sqref="O32">
    <cfRule type="cellIs" dxfId="199" priority="10" operator="greaterThan">
      <formula>$Q$31</formula>
    </cfRule>
  </conditionalFormatting>
  <conditionalFormatting sqref="P31">
    <cfRule type="cellIs" dxfId="198" priority="16" operator="greaterThan">
      <formula>$G$32-$F$32+$I$32-$H$32</formula>
    </cfRule>
  </conditionalFormatting>
  <conditionalFormatting sqref="Q32">
    <cfRule type="cellIs" dxfId="197" priority="15" operator="lessThan">
      <formula>$O$31</formula>
    </cfRule>
  </conditionalFormatting>
  <conditionalFormatting sqref="F7:F32">
    <cfRule type="cellIs" dxfId="196" priority="14" operator="greaterThan">
      <formula>G7</formula>
    </cfRule>
  </conditionalFormatting>
  <conditionalFormatting sqref="H7:H32">
    <cfRule type="cellIs" dxfId="195" priority="13" operator="greaterThan">
      <formula>I7</formula>
    </cfRule>
  </conditionalFormatting>
  <conditionalFormatting sqref="J7:J32">
    <cfRule type="cellIs" dxfId="194" priority="12" operator="greaterThan">
      <formula>K7</formula>
    </cfRule>
  </conditionalFormatting>
  <conditionalFormatting sqref="M4">
    <cfRule type="cellIs" dxfId="193" priority="11" operator="notBetween">
      <formula>$AH$2</formula>
      <formula>$AI$2</formula>
    </cfRule>
  </conditionalFormatting>
  <conditionalFormatting sqref="O31">
    <cfRule type="cellIs" dxfId="192" priority="9" operator="greaterThan">
      <formula>$Q$32</formula>
    </cfRule>
  </conditionalFormatting>
  <conditionalFormatting sqref="Q31">
    <cfRule type="cellIs" dxfId="191" priority="8" operator="lessThan">
      <formula>$O$32</formula>
    </cfRule>
  </conditionalFormatting>
  <conditionalFormatting sqref="M31">
    <cfRule type="cellIs" dxfId="190" priority="7" operator="greaterThan">
      <formula>G32-F32 +I32-H32+K32-J32</formula>
    </cfRule>
  </conditionalFormatting>
  <conditionalFormatting sqref="B3">
    <cfRule type="expression" dxfId="189" priority="6">
      <formula>$W$2 = TRUE</formula>
    </cfRule>
  </conditionalFormatting>
  <conditionalFormatting sqref="P4:Q4">
    <cfRule type="expression" dxfId="188" priority="5">
      <formula>OR(AND($P$4=1,$X$4=1),AND($Q$4=1,$W$4=1))</formula>
    </cfRule>
  </conditionalFormatting>
  <conditionalFormatting sqref="D7:D30">
    <cfRule type="expression" dxfId="187" priority="30">
      <formula>AND($D7=0,SUM($F7:$S7)&gt;0)</formula>
    </cfRule>
  </conditionalFormatting>
  <conditionalFormatting sqref="O6">
    <cfRule type="expression" dxfId="186" priority="4">
      <formula>OR($O$31&gt;$Q$32,$O$32&gt;$Q$31)</formula>
    </cfRule>
  </conditionalFormatting>
  <conditionalFormatting sqref="F6">
    <cfRule type="expression" dxfId="185" priority="3">
      <formula>OR(F$31&gt;G$31,F$32&gt;G$32)</formula>
    </cfRule>
  </conditionalFormatting>
  <conditionalFormatting sqref="H6">
    <cfRule type="expression" dxfId="184" priority="2">
      <formula>OR(H$31&gt;I$31,H$32&gt;I$32)</formula>
    </cfRule>
  </conditionalFormatting>
  <conditionalFormatting sqref="J6">
    <cfRule type="expression" dxfId="183"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tint="4.9989318521683403E-2"/>
    <pageSetUpPr fitToPage="1"/>
  </sheetPr>
  <dimension ref="A1:CQ323"/>
  <sheetViews>
    <sheetView showZeros="0" tabSelected="1" zoomScale="80" zoomScaleNormal="80" workbookViewId="0">
      <pane ySplit="2" topLeftCell="A3" activePane="bottomLeft" state="frozen"/>
      <selection pane="bottomLeft" activeCell="AM50" sqref="AM50"/>
    </sheetView>
  </sheetViews>
  <sheetFormatPr defaultColWidth="10.5703125" defaultRowHeight="13.5" x14ac:dyDescent="0.25"/>
  <cols>
    <col min="1" max="1" width="22.5703125" style="12" customWidth="1"/>
    <col min="2" max="20" width="5.42578125" style="12" customWidth="1"/>
    <col min="21" max="21" width="5.5703125" style="12" customWidth="1"/>
    <col min="22" max="22" width="5.5703125" style="14" customWidth="1"/>
    <col min="23" max="23" width="5.42578125" style="12" customWidth="1"/>
    <col min="24" max="24" width="6.140625" style="12" customWidth="1"/>
    <col min="25" max="27" width="6.42578125" style="12" customWidth="1"/>
    <col min="28" max="28" width="8.140625" style="12" customWidth="1"/>
    <col min="29" max="35" width="6.42578125" style="12" customWidth="1"/>
    <col min="36" max="36" width="22.5703125" style="12" customWidth="1"/>
    <col min="37" max="56" width="5.42578125" style="12" customWidth="1"/>
    <col min="57" max="57" width="5.42578125" style="14" customWidth="1"/>
    <col min="58" max="59" width="5.42578125" style="12" customWidth="1"/>
    <col min="60" max="72" width="6.42578125" style="12" customWidth="1"/>
    <col min="73" max="77" width="10.5703125" style="12"/>
    <col min="78" max="93" width="10.5703125" style="48" customWidth="1"/>
    <col min="94" max="99" width="10.5703125" style="12" customWidth="1"/>
    <col min="100" max="16384" width="10.5703125" style="12"/>
  </cols>
  <sheetData>
    <row r="1" spans="1:95" ht="16.5" customHeight="1" thickBot="1" x14ac:dyDescent="0.4">
      <c r="A1" s="280" t="str">
        <f>Roster!$B$1</f>
        <v>Upton</v>
      </c>
      <c r="B1" s="244" t="s">
        <v>280</v>
      </c>
      <c r="C1" s="245"/>
      <c r="D1" s="245"/>
      <c r="E1" s="245"/>
      <c r="F1" s="245"/>
      <c r="G1" s="245"/>
      <c r="H1" s="245"/>
      <c r="Q1" s="246" t="s">
        <v>291</v>
      </c>
      <c r="R1" s="12" t="str" cm="1">
        <f t="array" aca="1" ref="R1" ca="1">CONCATENATE(SUMPRODUCT((TeamGameData[Visible]=1)*(TeamGameData[Win]=1))," - ",SUMPRODUCT((TeamGameData[Visible]=1)*(TeamGameData[Loss]=1)))</f>
        <v>21 - 5</v>
      </c>
      <c r="V1" s="12"/>
      <c r="Y1" s="246" t="s">
        <v>337</v>
      </c>
      <c r="AJ1" s="280" t="str">
        <f>Roster!$B$1</f>
        <v>Upton</v>
      </c>
      <c r="AK1" s="244" t="s">
        <v>279</v>
      </c>
      <c r="AL1" s="245"/>
      <c r="AM1" s="245"/>
      <c r="AN1" s="245"/>
      <c r="AO1" s="245"/>
      <c r="AP1" s="245"/>
      <c r="AQ1" s="245"/>
      <c r="BE1" s="12"/>
      <c r="BH1" s="246" t="s">
        <v>337</v>
      </c>
      <c r="BU1" s="48" t="str">
        <f>A1</f>
        <v>Upton</v>
      </c>
    </row>
    <row r="2" spans="1:95" s="16" customFormat="1" ht="26.45" thickBot="1" x14ac:dyDescent="0.4">
      <c r="A2" s="281" t="s">
        <v>228</v>
      </c>
      <c r="B2" s="282" t="s">
        <v>277</v>
      </c>
      <c r="C2" s="282" t="s">
        <v>141</v>
      </c>
      <c r="D2" s="282" t="s">
        <v>233</v>
      </c>
      <c r="E2" s="282" t="s">
        <v>142</v>
      </c>
      <c r="F2" s="282" t="s">
        <v>143</v>
      </c>
      <c r="G2" s="282" t="s">
        <v>144</v>
      </c>
      <c r="H2" s="282" t="s">
        <v>145</v>
      </c>
      <c r="I2" s="282" t="s">
        <v>146</v>
      </c>
      <c r="J2" s="282" t="s">
        <v>147</v>
      </c>
      <c r="K2" s="282" t="s">
        <v>148</v>
      </c>
      <c r="L2" s="282" t="s">
        <v>149</v>
      </c>
      <c r="M2" s="282" t="s">
        <v>220</v>
      </c>
      <c r="N2" s="282" t="s">
        <v>150</v>
      </c>
      <c r="O2" s="282" t="s">
        <v>151</v>
      </c>
      <c r="P2" s="282" t="s">
        <v>152</v>
      </c>
      <c r="Q2" s="282" t="s">
        <v>153</v>
      </c>
      <c r="R2" s="282" t="s">
        <v>154</v>
      </c>
      <c r="S2" s="282" t="s">
        <v>276</v>
      </c>
      <c r="T2" s="282" t="s">
        <v>155</v>
      </c>
      <c r="U2" s="282" t="s">
        <v>156</v>
      </c>
      <c r="V2" s="282" t="s">
        <v>157</v>
      </c>
      <c r="W2" s="282" t="s">
        <v>158</v>
      </c>
      <c r="X2" s="282" t="s">
        <v>159</v>
      </c>
      <c r="Y2" s="283" t="s">
        <v>166</v>
      </c>
      <c r="Z2" s="154"/>
      <c r="AA2" s="154"/>
      <c r="AB2" s="154"/>
      <c r="AC2" s="154"/>
      <c r="AD2" s="154"/>
      <c r="AE2" s="154"/>
      <c r="AF2" s="154"/>
      <c r="AG2" s="154"/>
      <c r="AH2" s="154"/>
      <c r="AI2" s="154"/>
      <c r="AJ2" s="281" t="s">
        <v>228</v>
      </c>
      <c r="AK2" s="282" t="s">
        <v>277</v>
      </c>
      <c r="AL2" s="282" t="s">
        <v>141</v>
      </c>
      <c r="AM2" s="282" t="s">
        <v>233</v>
      </c>
      <c r="AN2" s="282" t="s">
        <v>142</v>
      </c>
      <c r="AO2" s="282" t="s">
        <v>143</v>
      </c>
      <c r="AP2" s="282" t="s">
        <v>144</v>
      </c>
      <c r="AQ2" s="282" t="s">
        <v>145</v>
      </c>
      <c r="AR2" s="282" t="s">
        <v>146</v>
      </c>
      <c r="AS2" s="282" t="s">
        <v>147</v>
      </c>
      <c r="AT2" s="282" t="s">
        <v>148</v>
      </c>
      <c r="AU2" s="282" t="s">
        <v>149</v>
      </c>
      <c r="AV2" s="282" t="s">
        <v>220</v>
      </c>
      <c r="AW2" s="282" t="s">
        <v>150</v>
      </c>
      <c r="AX2" s="282" t="s">
        <v>151</v>
      </c>
      <c r="AY2" s="282" t="s">
        <v>152</v>
      </c>
      <c r="AZ2" s="282" t="s">
        <v>153</v>
      </c>
      <c r="BA2" s="282" t="s">
        <v>154</v>
      </c>
      <c r="BB2" s="282" t="s">
        <v>276</v>
      </c>
      <c r="BC2" s="282" t="s">
        <v>155</v>
      </c>
      <c r="BD2" s="282" t="s">
        <v>156</v>
      </c>
      <c r="BE2" s="282" t="s">
        <v>157</v>
      </c>
      <c r="BF2" s="282" t="s">
        <v>158</v>
      </c>
      <c r="BG2" s="282" t="s">
        <v>159</v>
      </c>
      <c r="BH2" s="283" t="s">
        <v>166</v>
      </c>
      <c r="BI2" s="154"/>
      <c r="BJ2" s="154"/>
      <c r="BK2" s="154"/>
      <c r="BL2" s="154"/>
      <c r="BM2" s="154"/>
      <c r="BN2" s="154"/>
      <c r="BO2" s="154"/>
      <c r="BP2" s="154"/>
      <c r="BQ2" s="154"/>
      <c r="BR2" s="154"/>
      <c r="BS2" s="154"/>
      <c r="BT2" s="154"/>
      <c r="BU2" s="50" t="s">
        <v>256</v>
      </c>
      <c r="CA2" s="50" t="s">
        <v>266</v>
      </c>
      <c r="CB2" s="50" t="s">
        <v>160</v>
      </c>
      <c r="CC2" s="50" t="s">
        <v>264</v>
      </c>
      <c r="CD2" s="50" t="s">
        <v>265</v>
      </c>
      <c r="CE2" s="50" t="s">
        <v>267</v>
      </c>
      <c r="CF2" s="50" t="s">
        <v>268</v>
      </c>
      <c r="CG2" s="50" t="s">
        <v>269</v>
      </c>
      <c r="CH2" s="50" t="s">
        <v>270</v>
      </c>
      <c r="CI2" s="50"/>
      <c r="CJ2" s="50"/>
      <c r="CK2" s="50"/>
      <c r="CL2" s="50"/>
      <c r="CM2" s="50"/>
      <c r="CN2" s="284"/>
      <c r="CO2" s="50"/>
      <c r="CP2" s="50"/>
      <c r="CQ2" s="285"/>
    </row>
    <row r="3" spans="1:95" s="18" customFormat="1" ht="15.6" x14ac:dyDescent="0.35">
      <c r="A3" s="58" t="str">
        <f>IF(OR(Roster!$A7&lt;&gt;"",Roster!$B7&lt;&gt;""),CONCATENATE(PROPER(Roster!$B7),", ",Roster!$A7),"")</f>
        <v>Landon Butler, 1</v>
      </c>
      <c r="B3" s="286" cm="1">
        <f t="array" aca="1" ref="B3" ca="1">SUMPRODUCT((PlayerGameData[Visible]=1)*(PlayerGameData[PLAYER, '#]=$A3)*(PlayerGameData[START]))</f>
        <v>0</v>
      </c>
      <c r="C3" s="287" cm="1">
        <f t="array" aca="1" ref="C3" ca="1">SUMPRODUCT((PlayerGameData[Visible]=1)*(PlayerGameData[PLAYER, '#]=$A3)*(PlayerGameData[GP]))</f>
        <v>18</v>
      </c>
      <c r="D3" s="288" cm="1">
        <f t="array" aca="1" ref="D3" ca="1">SUMPRODUCT((PlayerGameData[Visible]=1)*(PlayerGameData[PLAYER, '#]=$A3)*(PlayerGameData[MINUTES]))</f>
        <v>70</v>
      </c>
      <c r="E3" s="289" cm="1">
        <f t="array" aca="1" ref="E3" ca="1">SUMPRODUCT((PlayerGameData[Visible]=1)*(PlayerGameData[PLAYER, '#]=$A3)*(PlayerGameData[3FGM]))</f>
        <v>3</v>
      </c>
      <c r="F3" s="290" cm="1">
        <f t="array" aca="1" ref="F3" ca="1">SUMPRODUCT((PlayerGameData[Visible]=1)*(PlayerGameData[PLAYER, '#]=$A3)*(PlayerGameData[3FGA]))</f>
        <v>12</v>
      </c>
      <c r="G3" s="289" cm="1">
        <f t="array" aca="1" ref="G3" ca="1">SUMPRODUCT((PlayerGameData[Visible]=1)*(PlayerGameData[PLAYER, '#]=$A3)*(PlayerGameData[2FGM]))</f>
        <v>2</v>
      </c>
      <c r="H3" s="290" cm="1">
        <f t="array" aca="1" ref="H3" ca="1">SUMPRODUCT((PlayerGameData[Visible]=1)*(PlayerGameData[PLAYER, '#]=$A3)*(PlayerGameData[2FGA]))</f>
        <v>5</v>
      </c>
      <c r="I3" s="289" cm="1">
        <f t="array" aca="1" ref="I3" ca="1">SUMPRODUCT((PlayerGameData[Visible]=1)*(PlayerGameData[PLAYER, '#]=$A3)*(PlayerGameData[FTM]))</f>
        <v>1</v>
      </c>
      <c r="J3" s="290" cm="1">
        <f t="array" aca="1" ref="J3" ca="1">SUMPRODUCT((PlayerGameData[Visible]=1)*(PlayerGameData[PLAYER, '#]=$A3)*(PlayerGameData[FTA]))</f>
        <v>2</v>
      </c>
      <c r="K3" s="289" cm="1">
        <f t="array" aca="1" ref="K3" ca="1">SUMPRODUCT((PlayerGameData[Visible]=1)*(PlayerGameData[PLAYER, '#]=$A3)*(PlayerGameData[OFF REB]))</f>
        <v>0</v>
      </c>
      <c r="L3" s="289" cm="1">
        <f t="array" aca="1" ref="L3" ca="1">SUMPRODUCT((PlayerGameData[Visible]=1)*(PlayerGameData[PLAYER, '#]=$A3)*(PlayerGameData[DEF REB]))</f>
        <v>2</v>
      </c>
      <c r="M3" s="290">
        <f ca="1">K3+L3</f>
        <v>2</v>
      </c>
      <c r="N3" s="289" cm="1">
        <f t="array" aca="1" ref="N3" ca="1">SUMPRODUCT((PlayerGameData[Visible]=1)*(PlayerGameData[PLAYER, '#]=$A3)*(PlayerGameData[AST]))</f>
        <v>2</v>
      </c>
      <c r="O3" s="289" cm="1">
        <f t="array" aca="1" ref="O3" ca="1">SUMPRODUCT((PlayerGameData[Visible]=1)*(PlayerGameData[PLAYER, '#]=$A3)*(PlayerGameData[STL]))</f>
        <v>6</v>
      </c>
      <c r="P3" s="289" cm="1">
        <f t="array" aca="1" ref="P3" ca="1">SUMPRODUCT((PlayerGameData[Visible]=1)*(PlayerGameData[PLAYER, '#]=$A3)*(PlayerGameData[BLK]))</f>
        <v>0</v>
      </c>
      <c r="Q3" s="289" cm="1">
        <f t="array" aca="1" ref="Q3" ca="1">SUMPRODUCT((PlayerGameData[Visible]=1)*(PlayerGameData[PLAYER, '#]=$A3)*(PlayerGameData[TO]))</f>
        <v>13</v>
      </c>
      <c r="R3" s="289" cm="1">
        <f t="array" aca="1" ref="R3" ca="1">SUMPRODUCT((PlayerGameData[Visible]=1)*(PlayerGameData[PLAYER, '#]=$A3)*(PlayerGameData[FOUL]))</f>
        <v>3</v>
      </c>
      <c r="S3" s="291" cm="1">
        <f t="array" aca="1" ref="S3" ca="1">SUMPRODUCT((PlayerGameData[Visible]=1)*(PlayerGameData[PLAYER, '#]=$A3)*(PlayerGameData[CHRG TKN]))</f>
        <v>1</v>
      </c>
      <c r="T3" s="28">
        <f ca="1">IF(I3+2*G3+3*E3&gt;0,I3+2*G3+3*E3,0)</f>
        <v>14</v>
      </c>
      <c r="U3" s="29">
        <f ca="1">IF(F3&gt;0,E3/F3,"")</f>
        <v>0.25</v>
      </c>
      <c r="V3" s="29">
        <f ca="1">IF(H3&gt;0,G3/H3,"")</f>
        <v>0.4</v>
      </c>
      <c r="W3" s="30">
        <f ca="1">IF(J3&gt;0,I3/J3,"")</f>
        <v>0.5</v>
      </c>
      <c r="X3" s="29">
        <f ca="1">IF(OR(F3&gt;0,H3 &gt;0),(E3+G3)/(F3+H3),"")</f>
        <v>0.29411764705882354</v>
      </c>
      <c r="Y3" s="31">
        <f ca="1">IF(OR(F3&gt;0,H3 &gt;0),(1.5*E3+G3)/(F3+H3),"")</f>
        <v>0.38235294117647056</v>
      </c>
      <c r="Z3" s="184"/>
      <c r="AA3" s="184"/>
      <c r="AB3" s="184"/>
      <c r="AC3" s="184"/>
      <c r="AD3" s="184"/>
      <c r="AE3" s="184"/>
      <c r="AF3" s="184"/>
      <c r="AG3" s="184"/>
      <c r="AH3" s="184"/>
      <c r="AI3" s="184"/>
      <c r="AJ3" s="58" t="str">
        <f>IF(OR(Roster!$A7&lt;&gt;"",Roster!$B7&lt;&gt;""),CONCATENATE(PROPER(Roster!$B7),", ",Roster!$A7),"")</f>
        <v>Landon Butler, 1</v>
      </c>
      <c r="AK3" s="286" cm="1">
        <f t="array" aca="1" ref="AK3" ca="1">SUMPRODUCT((PlayerGameData[Visible]=1)*(PlayerGameData[PLAYER, '#]=$A3)*(PlayerGameData[START]))</f>
        <v>0</v>
      </c>
      <c r="AL3" s="287" cm="1">
        <f t="array" aca="1" ref="AL3" ca="1">SUMPRODUCT((PlayerGameData[Visible]=1)*(PlayerGameData[PLAYER, '#]=$A3)*(PlayerGameData[GP]))</f>
        <v>18</v>
      </c>
      <c r="AM3" s="288" cm="1">
        <f t="array" aca="1" ref="AM3" ca="1">SUMPRODUCT((PlayerGameData[Visible]=1)*(PlayerGameData[PLAYER, '#]=$A3)*(PlayerGameData[MINUTES]))</f>
        <v>70</v>
      </c>
      <c r="AN3" s="289" cm="1">
        <f t="array" aca="1" ref="AN3" ca="1">SUMPRODUCT((PlayerGameData[Visible]=1)*(PlayerGameData[PLAYER, '#]=$A3)*(PlayerGameData[3FGM]))</f>
        <v>3</v>
      </c>
      <c r="AO3" s="290" cm="1">
        <f t="array" aca="1" ref="AO3" ca="1">SUMPRODUCT((PlayerGameData[Visible]=1)*(PlayerGameData[PLAYER, '#]=$A3)*(PlayerGameData[3FGA]))</f>
        <v>12</v>
      </c>
      <c r="AP3" s="289" cm="1">
        <f t="array" aca="1" ref="AP3" ca="1">SUMPRODUCT((PlayerGameData[Visible]=1)*(PlayerGameData[PLAYER, '#]=$A3)*(PlayerGameData[2FGM]))</f>
        <v>2</v>
      </c>
      <c r="AQ3" s="290" cm="1">
        <f t="array" aca="1" ref="AQ3" ca="1">SUMPRODUCT((PlayerGameData[Visible]=1)*(PlayerGameData[PLAYER, '#]=$A3)*(PlayerGameData[2FGA]))</f>
        <v>5</v>
      </c>
      <c r="AR3" s="289" cm="1">
        <f t="array" aca="1" ref="AR3" ca="1">SUMPRODUCT((PlayerGameData[Visible]=1)*(PlayerGameData[PLAYER, '#]=$A3)*(PlayerGameData[FTM]))</f>
        <v>1</v>
      </c>
      <c r="AS3" s="290" cm="1">
        <f t="array" aca="1" ref="AS3" ca="1">SUMPRODUCT((PlayerGameData[Visible]=1)*(PlayerGameData[PLAYER, '#]=$A3)*(PlayerGameData[FTA]))</f>
        <v>2</v>
      </c>
      <c r="AT3" s="289" cm="1">
        <f t="array" aca="1" ref="AT3" ca="1">SUMPRODUCT((PlayerGameData[Visible]=1)*(PlayerGameData[PLAYER, '#]=$A3)*(PlayerGameData[OFF REB]))</f>
        <v>0</v>
      </c>
      <c r="AU3" s="289" cm="1">
        <f t="array" aca="1" ref="AU3" ca="1">SUMPRODUCT((PlayerGameData[Visible]=1)*(PlayerGameData[PLAYER, '#]=$A3)*(PlayerGameData[DEF REB]))</f>
        <v>2</v>
      </c>
      <c r="AV3" s="290">
        <f ca="1">AT3+AU3</f>
        <v>2</v>
      </c>
      <c r="AW3" s="289" cm="1">
        <f t="array" aca="1" ref="AW3" ca="1">SUMPRODUCT((PlayerGameData[Visible]=1)*(PlayerGameData[PLAYER, '#]=$A3)*(PlayerGameData[AST]))</f>
        <v>2</v>
      </c>
      <c r="AX3" s="289" cm="1">
        <f t="array" aca="1" ref="AX3" ca="1">SUMPRODUCT((PlayerGameData[Visible]=1)*(PlayerGameData[PLAYER, '#]=$A3)*(PlayerGameData[STL]))</f>
        <v>6</v>
      </c>
      <c r="AY3" s="289" cm="1">
        <f t="array" aca="1" ref="AY3" ca="1">SUMPRODUCT((PlayerGameData[Visible]=1)*(PlayerGameData[PLAYER, '#]=$A3)*(PlayerGameData[BLK]))</f>
        <v>0</v>
      </c>
      <c r="AZ3" s="289" cm="1">
        <f t="array" aca="1" ref="AZ3" ca="1">SUMPRODUCT((PlayerGameData[Visible]=1)*(PlayerGameData[PLAYER, '#]=$A3)*(PlayerGameData[TO]))</f>
        <v>13</v>
      </c>
      <c r="BA3" s="289" cm="1">
        <f t="array" aca="1" ref="BA3" ca="1">SUMPRODUCT((PlayerGameData[Visible]=1)*(PlayerGameData[PLAYER, '#]=$A3)*(PlayerGameData[FOUL]))</f>
        <v>3</v>
      </c>
      <c r="BB3" s="291" cm="1">
        <f t="array" aca="1" ref="BB3" ca="1">SUMPRODUCT((PlayerGameData[Visible]=1)*(PlayerGameData[PLAYER, '#]=$A3)*(PlayerGameData[CHRG TKN]))</f>
        <v>1</v>
      </c>
      <c r="BC3" s="28">
        <f ca="1">IF(AR3+2*AP3+3*AN3&gt;0,AR3+2*AP3+3*AN3,0)</f>
        <v>14</v>
      </c>
      <c r="BD3" s="29">
        <f ca="1">IF(AO3&gt;0,AN3/AO3,"")</f>
        <v>0.25</v>
      </c>
      <c r="BE3" s="29">
        <f ca="1">IF(AQ3&gt;0,AP3/AQ3,"")</f>
        <v>0.4</v>
      </c>
      <c r="BF3" s="30">
        <f ca="1">IF(AS3&gt;0,AR3/AS3,"")</f>
        <v>0.5</v>
      </c>
      <c r="BG3" s="29">
        <f ca="1">IF(OR(AO3&gt;0,AQ3 &gt;0),(AN3+AP3)/(AO3+AQ3),"")</f>
        <v>0.29411764705882354</v>
      </c>
      <c r="BH3" s="31">
        <f ca="1">IF(OR(AO3&gt;0,AQ3 &gt;0),(1.5*AN3+AP3)/(AO3+AQ3),"")</f>
        <v>0.38235294117647056</v>
      </c>
      <c r="BI3" s="184"/>
      <c r="BJ3" s="184"/>
      <c r="BK3" s="184"/>
      <c r="BL3" s="184"/>
      <c r="BM3" s="184"/>
      <c r="BN3" s="184"/>
      <c r="BO3" s="184"/>
      <c r="BP3" s="184"/>
      <c r="BQ3" s="184"/>
      <c r="BR3" s="184"/>
      <c r="BS3" s="184"/>
      <c r="BT3" s="184"/>
      <c r="CA3" s="51">
        <f ca="1">E3+G3</f>
        <v>5</v>
      </c>
      <c r="CB3" s="51">
        <f ca="1">F3+H3</f>
        <v>17</v>
      </c>
      <c r="CC3" s="51">
        <f ca="1">CA3*(1-0.5*((T3-I3)/(2*CB3))*CD3)</f>
        <v>4.3063385682109461</v>
      </c>
      <c r="CD3" s="51">
        <f ca="1">((D3/D$51)*(1.14*((N$51-N3)/CA$51)))+((((N$51/(5*D$51))*D3*5-N3)/((CA$51/(5*D$51))*D3*5-CA3))*(1-(D3/D$51)))</f>
        <v>0.72567657479470238</v>
      </c>
      <c r="CE3" s="51">
        <f ca="1">0.5*(((T$51-I$51)-(T3-I3))/(2*(CB$51-CB3)))*N3</f>
        <v>0.4803991446899501</v>
      </c>
      <c r="CF3" s="51">
        <f ca="1">(1-(1-(I3/J3))^2)*0.4*J3</f>
        <v>0.60000000000000009</v>
      </c>
      <c r="CG3" s="51">
        <f ca="1">CA$51+(1-(1-(I$51/J$51))^2)*J$51*0.4</f>
        <v>714.81203438395414</v>
      </c>
      <c r="CH3" s="51"/>
      <c r="CI3" s="51"/>
      <c r="CJ3" s="51"/>
      <c r="CK3" s="51"/>
      <c r="CL3" s="51"/>
      <c r="CM3" s="51"/>
      <c r="CN3" s="292"/>
      <c r="CO3" s="51"/>
      <c r="CP3" s="51"/>
      <c r="CQ3" s="293"/>
    </row>
    <row r="4" spans="1:95" s="18" customFormat="1" ht="15.6" x14ac:dyDescent="0.35">
      <c r="A4" s="188" t="str">
        <f>IF(A3&lt;&gt;"","Per Game","")</f>
        <v>Per Game</v>
      </c>
      <c r="B4" s="294"/>
      <c r="C4" s="295"/>
      <c r="D4" s="296">
        <f ca="1">IFERROR(ROUND(D3/$C3,1),"")</f>
        <v>3.9</v>
      </c>
      <c r="E4" s="297">
        <f t="shared" ref="E4:T4" ca="1" si="0">IFERROR(ROUND(E3/$C3,1),"")</f>
        <v>0.2</v>
      </c>
      <c r="F4" s="298">
        <f t="shared" ca="1" si="0"/>
        <v>0.7</v>
      </c>
      <c r="G4" s="297">
        <f t="shared" ca="1" si="0"/>
        <v>0.1</v>
      </c>
      <c r="H4" s="298">
        <f t="shared" ca="1" si="0"/>
        <v>0.3</v>
      </c>
      <c r="I4" s="297">
        <f t="shared" ca="1" si="0"/>
        <v>0.1</v>
      </c>
      <c r="J4" s="298">
        <f t="shared" ca="1" si="0"/>
        <v>0.1</v>
      </c>
      <c r="K4" s="297">
        <f t="shared" ca="1" si="0"/>
        <v>0</v>
      </c>
      <c r="L4" s="297">
        <f t="shared" ca="1" si="0"/>
        <v>0.1</v>
      </c>
      <c r="M4" s="298">
        <f t="shared" ca="1" si="0"/>
        <v>0.1</v>
      </c>
      <c r="N4" s="297">
        <f t="shared" ca="1" si="0"/>
        <v>0.1</v>
      </c>
      <c r="O4" s="297">
        <f t="shared" ca="1" si="0"/>
        <v>0.3</v>
      </c>
      <c r="P4" s="297">
        <f t="shared" ca="1" si="0"/>
        <v>0</v>
      </c>
      <c r="Q4" s="297">
        <f t="shared" ca="1" si="0"/>
        <v>0.7</v>
      </c>
      <c r="R4" s="297">
        <f t="shared" ca="1" si="0"/>
        <v>0.2</v>
      </c>
      <c r="S4" s="299">
        <f t="shared" ca="1" si="0"/>
        <v>0.1</v>
      </c>
      <c r="T4" s="179">
        <f t="shared" ca="1" si="0"/>
        <v>0.8</v>
      </c>
      <c r="U4" s="180"/>
      <c r="V4" s="180"/>
      <c r="W4" s="181"/>
      <c r="X4" s="180"/>
      <c r="Y4" s="182"/>
      <c r="Z4" s="185"/>
      <c r="AA4" s="185"/>
      <c r="AB4" s="185"/>
      <c r="AC4" s="185"/>
      <c r="AD4" s="185"/>
      <c r="AE4" s="185"/>
      <c r="AF4" s="185"/>
      <c r="AG4" s="185"/>
      <c r="AH4" s="185"/>
      <c r="AI4" s="185"/>
      <c r="AJ4" s="188" t="str">
        <f>IF(AJ3&lt;&gt;"","Per Minute","")</f>
        <v>Per Minute</v>
      </c>
      <c r="AK4" s="294"/>
      <c r="AL4" s="295"/>
      <c r="AM4" s="296">
        <f ca="1">IFERROR(ROUND(AM3/$C3,1),"")</f>
        <v>3.9</v>
      </c>
      <c r="AN4" s="297">
        <f t="shared" ref="AN4:BC4" ca="1" si="1">IFERROR(ROUND(AN3/$D3,1),"")</f>
        <v>0</v>
      </c>
      <c r="AO4" s="298">
        <f t="shared" ca="1" si="1"/>
        <v>0.2</v>
      </c>
      <c r="AP4" s="297">
        <f t="shared" ca="1" si="1"/>
        <v>0</v>
      </c>
      <c r="AQ4" s="298">
        <f t="shared" ca="1" si="1"/>
        <v>0.1</v>
      </c>
      <c r="AR4" s="297">
        <f t="shared" ca="1" si="1"/>
        <v>0</v>
      </c>
      <c r="AS4" s="298">
        <f t="shared" ca="1" si="1"/>
        <v>0</v>
      </c>
      <c r="AT4" s="297">
        <f t="shared" ca="1" si="1"/>
        <v>0</v>
      </c>
      <c r="AU4" s="297">
        <f t="shared" ca="1" si="1"/>
        <v>0</v>
      </c>
      <c r="AV4" s="298">
        <f t="shared" ca="1" si="1"/>
        <v>0</v>
      </c>
      <c r="AW4" s="297">
        <f t="shared" ca="1" si="1"/>
        <v>0</v>
      </c>
      <c r="AX4" s="297">
        <f t="shared" ca="1" si="1"/>
        <v>0.1</v>
      </c>
      <c r="AY4" s="297">
        <f t="shared" ca="1" si="1"/>
        <v>0</v>
      </c>
      <c r="AZ4" s="297">
        <f t="shared" ca="1" si="1"/>
        <v>0.2</v>
      </c>
      <c r="BA4" s="297">
        <f t="shared" ca="1" si="1"/>
        <v>0</v>
      </c>
      <c r="BB4" s="299">
        <f t="shared" ca="1" si="1"/>
        <v>0</v>
      </c>
      <c r="BC4" s="179">
        <f t="shared" ca="1" si="1"/>
        <v>0.2</v>
      </c>
      <c r="BD4" s="180"/>
      <c r="BE4" s="180"/>
      <c r="BF4" s="181"/>
      <c r="BG4" s="180"/>
      <c r="BH4" s="182"/>
      <c r="BI4" s="185"/>
      <c r="BJ4" s="185"/>
      <c r="BK4" s="185"/>
      <c r="BL4" s="185"/>
      <c r="BM4" s="185"/>
      <c r="BN4" s="185"/>
      <c r="BO4" s="185"/>
      <c r="BP4" s="185"/>
      <c r="BQ4" s="185"/>
      <c r="BR4" s="185"/>
      <c r="BS4" s="185"/>
      <c r="BT4" s="185"/>
      <c r="CA4" s="51">
        <f t="shared" ref="CA4:CB52" ca="1" si="2">E4+G4</f>
        <v>0.30000000000000004</v>
      </c>
      <c r="CB4" s="51">
        <f t="shared" ca="1" si="2"/>
        <v>1</v>
      </c>
      <c r="CC4" s="51"/>
      <c r="CD4" s="51"/>
      <c r="CE4" s="51"/>
      <c r="CF4" s="51"/>
      <c r="CG4" s="51"/>
      <c r="CH4" s="51"/>
      <c r="CI4" s="51"/>
      <c r="CJ4" s="51"/>
      <c r="CK4" s="51"/>
      <c r="CL4" s="51"/>
      <c r="CM4" s="51"/>
      <c r="CN4" s="292"/>
      <c r="CO4" s="51"/>
      <c r="CP4" s="51"/>
      <c r="CQ4" s="293"/>
    </row>
    <row r="5" spans="1:95" s="18" customFormat="1" ht="15.6" x14ac:dyDescent="0.35">
      <c r="A5" s="189" t="str">
        <f>IF(OR(Roster!$A8&lt;&gt;"",Roster!$B8&lt;&gt;""),CONCATENATE(PROPER(Roster!$B8),", ",Roster!$A8),"")</f>
        <v>Logan Timberman, 3</v>
      </c>
      <c r="B5" s="286" cm="1">
        <f t="array" aca="1" ref="B5" ca="1">SUMPRODUCT((PlayerGameData[Visible]=1)*(PlayerGameData[PLAYER, '#]=$A5)*(PlayerGameData[START]))</f>
        <v>25</v>
      </c>
      <c r="C5" s="287" cm="1">
        <f t="array" aca="1" ref="C5" ca="1">SUMPRODUCT((PlayerGameData[Visible]=1)*(PlayerGameData[PLAYER, '#]=$A5)*(PlayerGameData[GP]))</f>
        <v>26</v>
      </c>
      <c r="D5" s="288" cm="1">
        <f t="array" aca="1" ref="D5" ca="1">SUMPRODUCT((PlayerGameData[Visible]=1)*(PlayerGameData[PLAYER, '#]=$A5)*(PlayerGameData[MINUTES]))</f>
        <v>618</v>
      </c>
      <c r="E5" s="289" cm="1">
        <f t="array" aca="1" ref="E5" ca="1">SUMPRODUCT((PlayerGameData[Visible]=1)*(PlayerGameData[PLAYER, '#]=$A5)*(PlayerGameData[3FGM]))</f>
        <v>21</v>
      </c>
      <c r="F5" s="290" cm="1">
        <f t="array" aca="1" ref="F5" ca="1">SUMPRODUCT((PlayerGameData[Visible]=1)*(PlayerGameData[PLAYER, '#]=$A5)*(PlayerGameData[3FGA]))</f>
        <v>78</v>
      </c>
      <c r="G5" s="289" cm="1">
        <f t="array" aca="1" ref="G5" ca="1">SUMPRODUCT((PlayerGameData[Visible]=1)*(PlayerGameData[PLAYER, '#]=$A5)*(PlayerGameData[2FGM]))</f>
        <v>64</v>
      </c>
      <c r="H5" s="290" cm="1">
        <f t="array" aca="1" ref="H5" ca="1">SUMPRODUCT((PlayerGameData[Visible]=1)*(PlayerGameData[PLAYER, '#]=$A5)*(PlayerGameData[2FGA]))</f>
        <v>117</v>
      </c>
      <c r="I5" s="289" cm="1">
        <f t="array" aca="1" ref="I5" ca="1">SUMPRODUCT((PlayerGameData[Visible]=1)*(PlayerGameData[PLAYER, '#]=$A5)*(PlayerGameData[FTM]))</f>
        <v>17</v>
      </c>
      <c r="J5" s="290" cm="1">
        <f t="array" aca="1" ref="J5" ca="1">SUMPRODUCT((PlayerGameData[Visible]=1)*(PlayerGameData[PLAYER, '#]=$A5)*(PlayerGameData[FTA]))</f>
        <v>38</v>
      </c>
      <c r="K5" s="289" cm="1">
        <f t="array" aca="1" ref="K5" ca="1">SUMPRODUCT((PlayerGameData[Visible]=1)*(PlayerGameData[PLAYER, '#]=$A5)*(PlayerGameData[OFF REB]))</f>
        <v>41</v>
      </c>
      <c r="L5" s="289" cm="1">
        <f t="array" aca="1" ref="L5" ca="1">SUMPRODUCT((PlayerGameData[Visible]=1)*(PlayerGameData[PLAYER, '#]=$A5)*(PlayerGameData[DEF REB]))</f>
        <v>63</v>
      </c>
      <c r="M5" s="290">
        <f ca="1">K5+L5</f>
        <v>104</v>
      </c>
      <c r="N5" s="289" cm="1">
        <f t="array" aca="1" ref="N5" ca="1">SUMPRODUCT((PlayerGameData[Visible]=1)*(PlayerGameData[PLAYER, '#]=$A5)*(PlayerGameData[AST]))</f>
        <v>63</v>
      </c>
      <c r="O5" s="289" cm="1">
        <f t="array" aca="1" ref="O5" ca="1">SUMPRODUCT((PlayerGameData[Visible]=1)*(PlayerGameData[PLAYER, '#]=$A5)*(PlayerGameData[STL]))</f>
        <v>60</v>
      </c>
      <c r="P5" s="289" cm="1">
        <f t="array" aca="1" ref="P5" ca="1">SUMPRODUCT((PlayerGameData[Visible]=1)*(PlayerGameData[PLAYER, '#]=$A5)*(PlayerGameData[BLK]))</f>
        <v>2</v>
      </c>
      <c r="Q5" s="289" cm="1">
        <f t="array" aca="1" ref="Q5" ca="1">SUMPRODUCT((PlayerGameData[Visible]=1)*(PlayerGameData[PLAYER, '#]=$A5)*(PlayerGameData[TO]))</f>
        <v>52</v>
      </c>
      <c r="R5" s="289" cm="1">
        <f t="array" aca="1" ref="R5" ca="1">SUMPRODUCT((PlayerGameData[Visible]=1)*(PlayerGameData[PLAYER, '#]=$A5)*(PlayerGameData[FOUL]))</f>
        <v>47</v>
      </c>
      <c r="S5" s="291" cm="1">
        <f t="array" aca="1" ref="S5" ca="1">SUMPRODUCT((PlayerGameData[Visible]=1)*(PlayerGameData[PLAYER, '#]=$A5)*(PlayerGameData[CHRG TKN]))</f>
        <v>3</v>
      </c>
      <c r="T5" s="28">
        <f ca="1">IF(I5+2*G5+3*E5&gt;0,I5+2*G5+3*E5,0)</f>
        <v>208</v>
      </c>
      <c r="U5" s="29">
        <f ca="1">IF(F5&gt;0,E5/F5,"")</f>
        <v>0.26923076923076922</v>
      </c>
      <c r="V5" s="29">
        <f ca="1">IF(H5&gt;0,G5/H5,"")</f>
        <v>0.54700854700854706</v>
      </c>
      <c r="W5" s="30">
        <f ca="1">IF(J5&gt;0,I5/J5,"")</f>
        <v>0.44736842105263158</v>
      </c>
      <c r="X5" s="29">
        <f ca="1">IF(OR(F5&gt;0,H5 &gt;0),(E5+G5)/(F5+H5),"")</f>
        <v>0.4358974358974359</v>
      </c>
      <c r="Y5" s="31">
        <f ca="1">IF(OR(F5&gt;0,H5 &gt;0),(1.5*E5+G5)/(F5+H5),"")</f>
        <v>0.48974358974358972</v>
      </c>
      <c r="Z5" s="184"/>
      <c r="AA5" s="184"/>
      <c r="AB5" s="184"/>
      <c r="AC5" s="184"/>
      <c r="AD5" s="184"/>
      <c r="AE5" s="184"/>
      <c r="AF5" s="184"/>
      <c r="AG5" s="184"/>
      <c r="AH5" s="184"/>
      <c r="AI5" s="184"/>
      <c r="AJ5" s="189" t="str">
        <f>IF(OR(Roster!$A8&lt;&gt;"",Roster!$B8&lt;&gt;""),CONCATENATE(PROPER(Roster!$B8),", ",Roster!$A8),"")</f>
        <v>Logan Timberman, 3</v>
      </c>
      <c r="AK5" s="286" cm="1">
        <f t="array" aca="1" ref="AK5" ca="1">SUMPRODUCT((PlayerGameData[Visible]=1)*(PlayerGameData[PLAYER, '#]=$A5)*(PlayerGameData[START]))</f>
        <v>25</v>
      </c>
      <c r="AL5" s="287" cm="1">
        <f t="array" aca="1" ref="AL5" ca="1">SUMPRODUCT((PlayerGameData[Visible]=1)*(PlayerGameData[PLAYER, '#]=$A5)*(PlayerGameData[GP]))</f>
        <v>26</v>
      </c>
      <c r="AM5" s="288" cm="1">
        <f t="array" aca="1" ref="AM5" ca="1">SUMPRODUCT((PlayerGameData[Visible]=1)*(PlayerGameData[PLAYER, '#]=$A5)*(PlayerGameData[MINUTES]))</f>
        <v>618</v>
      </c>
      <c r="AN5" s="289" cm="1">
        <f t="array" aca="1" ref="AN5" ca="1">SUMPRODUCT((PlayerGameData[Visible]=1)*(PlayerGameData[PLAYER, '#]=$A5)*(PlayerGameData[3FGM]))</f>
        <v>21</v>
      </c>
      <c r="AO5" s="290" cm="1">
        <f t="array" aca="1" ref="AO5" ca="1">SUMPRODUCT((PlayerGameData[Visible]=1)*(PlayerGameData[PLAYER, '#]=$A5)*(PlayerGameData[3FGA]))</f>
        <v>78</v>
      </c>
      <c r="AP5" s="289" cm="1">
        <f t="array" aca="1" ref="AP5" ca="1">SUMPRODUCT((PlayerGameData[Visible]=1)*(PlayerGameData[PLAYER, '#]=$A5)*(PlayerGameData[2FGM]))</f>
        <v>64</v>
      </c>
      <c r="AQ5" s="290" cm="1">
        <f t="array" aca="1" ref="AQ5" ca="1">SUMPRODUCT((PlayerGameData[Visible]=1)*(PlayerGameData[PLAYER, '#]=$A5)*(PlayerGameData[2FGA]))</f>
        <v>117</v>
      </c>
      <c r="AR5" s="289" cm="1">
        <f t="array" aca="1" ref="AR5" ca="1">SUMPRODUCT((PlayerGameData[Visible]=1)*(PlayerGameData[PLAYER, '#]=$A5)*(PlayerGameData[FTM]))</f>
        <v>17</v>
      </c>
      <c r="AS5" s="290" cm="1">
        <f t="array" aca="1" ref="AS5" ca="1">SUMPRODUCT((PlayerGameData[Visible]=1)*(PlayerGameData[PLAYER, '#]=$A5)*(PlayerGameData[FTA]))</f>
        <v>38</v>
      </c>
      <c r="AT5" s="289" cm="1">
        <f t="array" aca="1" ref="AT5" ca="1">SUMPRODUCT((PlayerGameData[Visible]=1)*(PlayerGameData[PLAYER, '#]=$A5)*(PlayerGameData[OFF REB]))</f>
        <v>41</v>
      </c>
      <c r="AU5" s="289" cm="1">
        <f t="array" aca="1" ref="AU5" ca="1">SUMPRODUCT((PlayerGameData[Visible]=1)*(PlayerGameData[PLAYER, '#]=$A5)*(PlayerGameData[DEF REB]))</f>
        <v>63</v>
      </c>
      <c r="AV5" s="290">
        <f ca="1">AT5+AU5</f>
        <v>104</v>
      </c>
      <c r="AW5" s="289" cm="1">
        <f t="array" aca="1" ref="AW5" ca="1">SUMPRODUCT((PlayerGameData[Visible]=1)*(PlayerGameData[PLAYER, '#]=$A5)*(PlayerGameData[AST]))</f>
        <v>63</v>
      </c>
      <c r="AX5" s="289" cm="1">
        <f t="array" aca="1" ref="AX5" ca="1">SUMPRODUCT((PlayerGameData[Visible]=1)*(PlayerGameData[PLAYER, '#]=$A5)*(PlayerGameData[STL]))</f>
        <v>60</v>
      </c>
      <c r="AY5" s="289" cm="1">
        <f t="array" aca="1" ref="AY5" ca="1">SUMPRODUCT((PlayerGameData[Visible]=1)*(PlayerGameData[PLAYER, '#]=$A5)*(PlayerGameData[BLK]))</f>
        <v>2</v>
      </c>
      <c r="AZ5" s="289" cm="1">
        <f t="array" aca="1" ref="AZ5" ca="1">SUMPRODUCT((PlayerGameData[Visible]=1)*(PlayerGameData[PLAYER, '#]=$A5)*(PlayerGameData[TO]))</f>
        <v>52</v>
      </c>
      <c r="BA5" s="289" cm="1">
        <f t="array" aca="1" ref="BA5" ca="1">SUMPRODUCT((PlayerGameData[Visible]=1)*(PlayerGameData[PLAYER, '#]=$A5)*(PlayerGameData[FOUL]))</f>
        <v>47</v>
      </c>
      <c r="BB5" s="291" cm="1">
        <f t="array" aca="1" ref="BB5" ca="1">SUMPRODUCT((PlayerGameData[Visible]=1)*(PlayerGameData[PLAYER, '#]=$A5)*(PlayerGameData[CHRG TKN]))</f>
        <v>3</v>
      </c>
      <c r="BC5" s="28">
        <f ca="1">IF(AR5+2*AP5+3*AN5&gt;0,AR5+2*AP5+3*AN5,0)</f>
        <v>208</v>
      </c>
      <c r="BD5" s="29">
        <f ca="1">IF(AO5&gt;0,AN5/AO5,"")</f>
        <v>0.26923076923076922</v>
      </c>
      <c r="BE5" s="29">
        <f ca="1">IF(AQ5&gt;0,AP5/AQ5,"")</f>
        <v>0.54700854700854706</v>
      </c>
      <c r="BF5" s="30">
        <f ca="1">IF(AS5&gt;0,AR5/AS5,"")</f>
        <v>0.44736842105263158</v>
      </c>
      <c r="BG5" s="29">
        <f ca="1">IF(OR(AO5&gt;0,AQ5 &gt;0),(AN5+AP5)/(AO5+AQ5),"")</f>
        <v>0.4358974358974359</v>
      </c>
      <c r="BH5" s="31">
        <f ca="1">IF(OR(AO5&gt;0,AQ5 &gt;0),(1.5*AN5+AP5)/(AO5+AQ5),"")</f>
        <v>0.48974358974358972</v>
      </c>
      <c r="BI5" s="184"/>
      <c r="BJ5" s="184"/>
      <c r="BK5" s="184"/>
      <c r="BL5" s="184"/>
      <c r="BM5" s="184"/>
      <c r="BN5" s="184"/>
      <c r="BO5" s="184"/>
      <c r="BP5" s="184"/>
      <c r="BQ5" s="184"/>
      <c r="BR5" s="184"/>
      <c r="BS5" s="184"/>
      <c r="BT5" s="184"/>
      <c r="CA5" s="51">
        <f t="shared" ca="1" si="2"/>
        <v>85</v>
      </c>
      <c r="CB5" s="51">
        <f t="shared" ca="1" si="2"/>
        <v>195</v>
      </c>
      <c r="CC5" s="51"/>
      <c r="CD5" s="51"/>
      <c r="CE5" s="51"/>
      <c r="CF5" s="51"/>
      <c r="CG5" s="51"/>
      <c r="CH5" s="51"/>
      <c r="CI5" s="51"/>
      <c r="CJ5" s="51"/>
      <c r="CK5" s="51"/>
      <c r="CL5" s="51"/>
      <c r="CM5" s="51"/>
      <c r="CN5" s="292"/>
      <c r="CO5" s="51"/>
      <c r="CP5" s="51"/>
      <c r="CQ5" s="293"/>
    </row>
    <row r="6" spans="1:95" s="18" customFormat="1" ht="15.6" x14ac:dyDescent="0.35">
      <c r="A6" s="188" t="str">
        <f>IF(A5&lt;&gt;"","Per Game","")</f>
        <v>Per Game</v>
      </c>
      <c r="B6" s="294"/>
      <c r="C6" s="295"/>
      <c r="D6" s="296">
        <f ca="1">IFERROR(ROUND(D5/$C5,1),"")</f>
        <v>23.8</v>
      </c>
      <c r="E6" s="300">
        <f t="shared" ref="E6:T6" ca="1" si="3">IFERROR(ROUND(E5/$C5,1),"")</f>
        <v>0.8</v>
      </c>
      <c r="F6" s="301">
        <f t="shared" ca="1" si="3"/>
        <v>3</v>
      </c>
      <c r="G6" s="300">
        <f t="shared" ca="1" si="3"/>
        <v>2.5</v>
      </c>
      <c r="H6" s="301">
        <f t="shared" ca="1" si="3"/>
        <v>4.5</v>
      </c>
      <c r="I6" s="300">
        <f t="shared" ca="1" si="3"/>
        <v>0.7</v>
      </c>
      <c r="J6" s="301">
        <f t="shared" ca="1" si="3"/>
        <v>1.5</v>
      </c>
      <c r="K6" s="300">
        <f t="shared" ca="1" si="3"/>
        <v>1.6</v>
      </c>
      <c r="L6" s="300">
        <f t="shared" ca="1" si="3"/>
        <v>2.4</v>
      </c>
      <c r="M6" s="301">
        <f t="shared" ca="1" si="3"/>
        <v>4</v>
      </c>
      <c r="N6" s="300">
        <f t="shared" ca="1" si="3"/>
        <v>2.4</v>
      </c>
      <c r="O6" s="300">
        <f t="shared" ca="1" si="3"/>
        <v>2.2999999999999998</v>
      </c>
      <c r="P6" s="300">
        <f t="shared" ca="1" si="3"/>
        <v>0.1</v>
      </c>
      <c r="Q6" s="300">
        <f t="shared" ca="1" si="3"/>
        <v>2</v>
      </c>
      <c r="R6" s="300">
        <f t="shared" ca="1" si="3"/>
        <v>1.8</v>
      </c>
      <c r="S6" s="302">
        <f t="shared" ca="1" si="3"/>
        <v>0.1</v>
      </c>
      <c r="T6" s="60">
        <f t="shared" ca="1" si="3"/>
        <v>8</v>
      </c>
      <c r="U6" s="25"/>
      <c r="V6" s="25"/>
      <c r="W6" s="26"/>
      <c r="X6" s="25"/>
      <c r="Y6" s="27"/>
      <c r="Z6" s="184"/>
      <c r="AA6" s="184"/>
      <c r="AB6" s="184"/>
      <c r="AC6" s="184"/>
      <c r="AD6" s="184"/>
      <c r="AE6" s="184"/>
      <c r="AF6" s="184"/>
      <c r="AG6" s="184"/>
      <c r="AH6" s="184"/>
      <c r="AI6" s="184"/>
      <c r="AJ6" s="188" t="str">
        <f>IF(AJ5&lt;&gt;"","Per Minute","")</f>
        <v>Per Minute</v>
      </c>
      <c r="AK6" s="294"/>
      <c r="AL6" s="295"/>
      <c r="AM6" s="296">
        <f ca="1">IFERROR(ROUND(AM5/$C5,1),"")</f>
        <v>23.8</v>
      </c>
      <c r="AN6" s="300">
        <f t="shared" ref="AN6:BC6" ca="1" si="4">IFERROR(ROUND(AN5/$D5,1),"")</f>
        <v>0</v>
      </c>
      <c r="AO6" s="301">
        <f t="shared" ca="1" si="4"/>
        <v>0.1</v>
      </c>
      <c r="AP6" s="300">
        <f t="shared" ca="1" si="4"/>
        <v>0.1</v>
      </c>
      <c r="AQ6" s="301">
        <f t="shared" ca="1" si="4"/>
        <v>0.2</v>
      </c>
      <c r="AR6" s="300">
        <f t="shared" ca="1" si="4"/>
        <v>0</v>
      </c>
      <c r="AS6" s="301">
        <f t="shared" ca="1" si="4"/>
        <v>0.1</v>
      </c>
      <c r="AT6" s="300">
        <f t="shared" ca="1" si="4"/>
        <v>0.1</v>
      </c>
      <c r="AU6" s="300">
        <f t="shared" ca="1" si="4"/>
        <v>0.1</v>
      </c>
      <c r="AV6" s="301">
        <f t="shared" ca="1" si="4"/>
        <v>0.2</v>
      </c>
      <c r="AW6" s="300">
        <f t="shared" ca="1" si="4"/>
        <v>0.1</v>
      </c>
      <c r="AX6" s="300">
        <f t="shared" ca="1" si="4"/>
        <v>0.1</v>
      </c>
      <c r="AY6" s="300">
        <f t="shared" ca="1" si="4"/>
        <v>0</v>
      </c>
      <c r="AZ6" s="300">
        <f t="shared" ca="1" si="4"/>
        <v>0.1</v>
      </c>
      <c r="BA6" s="300">
        <f t="shared" ca="1" si="4"/>
        <v>0.1</v>
      </c>
      <c r="BB6" s="302">
        <f t="shared" ca="1" si="4"/>
        <v>0</v>
      </c>
      <c r="BC6" s="60">
        <f t="shared" ca="1" si="4"/>
        <v>0.3</v>
      </c>
      <c r="BD6" s="25"/>
      <c r="BE6" s="25"/>
      <c r="BF6" s="26"/>
      <c r="BG6" s="25"/>
      <c r="BH6" s="27"/>
      <c r="BI6" s="184"/>
      <c r="BJ6" s="184"/>
      <c r="BK6" s="184"/>
      <c r="BL6" s="184"/>
      <c r="BM6" s="184"/>
      <c r="BN6" s="184"/>
      <c r="BO6" s="184"/>
      <c r="BP6" s="184"/>
      <c r="BQ6" s="184"/>
      <c r="BR6" s="184"/>
      <c r="BS6" s="184"/>
      <c r="BT6" s="184"/>
      <c r="CA6" s="51">
        <f t="shared" ca="1" si="2"/>
        <v>3.3</v>
      </c>
      <c r="CB6" s="51">
        <f t="shared" ca="1" si="2"/>
        <v>7.5</v>
      </c>
      <c r="CC6" s="51"/>
      <c r="CD6" s="51"/>
      <c r="CE6" s="51"/>
      <c r="CF6" s="51"/>
      <c r="CG6" s="51"/>
      <c r="CH6" s="51"/>
      <c r="CI6" s="51"/>
      <c r="CJ6" s="51"/>
      <c r="CK6" s="51"/>
      <c r="CL6" s="51"/>
      <c r="CM6" s="51"/>
      <c r="CN6" s="292"/>
      <c r="CO6" s="51"/>
      <c r="CP6" s="51"/>
      <c r="CQ6" s="293"/>
    </row>
    <row r="7" spans="1:95" s="18" customFormat="1" ht="15.6" x14ac:dyDescent="0.35">
      <c r="A7" s="59" t="str">
        <f>IF(OR(Roster!$A9&lt;&gt;"",Roster!$B9&lt;&gt;""),CONCATENATE(PROPER(Roster!$B9),", ",Roster!$A9),"")</f>
        <v>Chase Mills, 5</v>
      </c>
      <c r="B7" s="286" cm="1">
        <f t="array" aca="1" ref="B7" ca="1">SUMPRODUCT((PlayerGameData[Visible]=1)*(PlayerGameData[PLAYER, '#]=$A7)*(PlayerGameData[START]))</f>
        <v>24</v>
      </c>
      <c r="C7" s="287" cm="1">
        <f t="array" aca="1" ref="C7" ca="1">SUMPRODUCT((PlayerGameData[Visible]=1)*(PlayerGameData[PLAYER, '#]=$A7)*(PlayerGameData[GP]))</f>
        <v>25</v>
      </c>
      <c r="D7" s="288" cm="1">
        <f t="array" aca="1" ref="D7" ca="1">SUMPRODUCT((PlayerGameData[Visible]=1)*(PlayerGameData[PLAYER, '#]=$A7)*(PlayerGameData[MINUTES]))</f>
        <v>628</v>
      </c>
      <c r="E7" s="289" cm="1">
        <f t="array" aca="1" ref="E7" ca="1">SUMPRODUCT((PlayerGameData[Visible]=1)*(PlayerGameData[PLAYER, '#]=$A7)*(PlayerGameData[3FGM]))</f>
        <v>36</v>
      </c>
      <c r="F7" s="290" cm="1">
        <f t="array" aca="1" ref="F7" ca="1">SUMPRODUCT((PlayerGameData[Visible]=1)*(PlayerGameData[PLAYER, '#]=$A7)*(PlayerGameData[3FGA]))</f>
        <v>102</v>
      </c>
      <c r="G7" s="289" cm="1">
        <f t="array" aca="1" ref="G7" ca="1">SUMPRODUCT((PlayerGameData[Visible]=1)*(PlayerGameData[PLAYER, '#]=$A7)*(PlayerGameData[2FGM]))</f>
        <v>117</v>
      </c>
      <c r="H7" s="290" cm="1">
        <f t="array" aca="1" ref="H7" ca="1">SUMPRODUCT((PlayerGameData[Visible]=1)*(PlayerGameData[PLAYER, '#]=$A7)*(PlayerGameData[2FGA]))</f>
        <v>206</v>
      </c>
      <c r="I7" s="289" cm="1">
        <f t="array" aca="1" ref="I7" ca="1">SUMPRODUCT((PlayerGameData[Visible]=1)*(PlayerGameData[PLAYER, '#]=$A7)*(PlayerGameData[FTM]))</f>
        <v>29</v>
      </c>
      <c r="J7" s="290" cm="1">
        <f t="array" aca="1" ref="J7" ca="1">SUMPRODUCT((PlayerGameData[Visible]=1)*(PlayerGameData[PLAYER, '#]=$A7)*(PlayerGameData[FTA]))</f>
        <v>40</v>
      </c>
      <c r="K7" s="289" cm="1">
        <f t="array" aca="1" ref="K7" ca="1">SUMPRODUCT((PlayerGameData[Visible]=1)*(PlayerGameData[PLAYER, '#]=$A7)*(PlayerGameData[OFF REB]))</f>
        <v>57</v>
      </c>
      <c r="L7" s="289" cm="1">
        <f t="array" aca="1" ref="L7" ca="1">SUMPRODUCT((PlayerGameData[Visible]=1)*(PlayerGameData[PLAYER, '#]=$A7)*(PlayerGameData[DEF REB]))</f>
        <v>50</v>
      </c>
      <c r="M7" s="290">
        <f ca="1">K7+L7</f>
        <v>107</v>
      </c>
      <c r="N7" s="289" cm="1">
        <f t="array" aca="1" ref="N7" ca="1">SUMPRODUCT((PlayerGameData[Visible]=1)*(PlayerGameData[PLAYER, '#]=$A7)*(PlayerGameData[AST]))</f>
        <v>84</v>
      </c>
      <c r="O7" s="289" cm="1">
        <f t="array" aca="1" ref="O7" ca="1">SUMPRODUCT((PlayerGameData[Visible]=1)*(PlayerGameData[PLAYER, '#]=$A7)*(PlayerGameData[STL]))</f>
        <v>62</v>
      </c>
      <c r="P7" s="289" cm="1">
        <f t="array" aca="1" ref="P7" ca="1">SUMPRODUCT((PlayerGameData[Visible]=1)*(PlayerGameData[PLAYER, '#]=$A7)*(PlayerGameData[BLK]))</f>
        <v>3</v>
      </c>
      <c r="Q7" s="289" cm="1">
        <f t="array" aca="1" ref="Q7" ca="1">SUMPRODUCT((PlayerGameData[Visible]=1)*(PlayerGameData[PLAYER, '#]=$A7)*(PlayerGameData[TO]))</f>
        <v>66</v>
      </c>
      <c r="R7" s="289" cm="1">
        <f t="array" aca="1" ref="R7" ca="1">SUMPRODUCT((PlayerGameData[Visible]=1)*(PlayerGameData[PLAYER, '#]=$A7)*(PlayerGameData[FOUL]))</f>
        <v>20</v>
      </c>
      <c r="S7" s="291" cm="1">
        <f t="array" aca="1" ref="S7" ca="1">SUMPRODUCT((PlayerGameData[Visible]=1)*(PlayerGameData[PLAYER, '#]=$A7)*(PlayerGameData[CHRG TKN]))</f>
        <v>3</v>
      </c>
      <c r="T7" s="28">
        <f ca="1">IF(I7+2*G7+3*E7&gt;0,I7+2*G7+3*E7,0)</f>
        <v>371</v>
      </c>
      <c r="U7" s="29">
        <f ca="1">IF(F7&gt;0,E7/F7,"")</f>
        <v>0.35294117647058826</v>
      </c>
      <c r="V7" s="29">
        <f ca="1">IF(H7&gt;0,G7/H7,"")</f>
        <v>0.56796116504854366</v>
      </c>
      <c r="W7" s="30">
        <f ca="1">IF(J7&gt;0,I7/J7,"")</f>
        <v>0.72499999999999998</v>
      </c>
      <c r="X7" s="29">
        <f ca="1">IF(OR(F7&gt;0,H7 &gt;0),(E7+G7)/(F7+H7),"")</f>
        <v>0.49675324675324678</v>
      </c>
      <c r="Y7" s="31">
        <f ca="1">IF(OR(F7&gt;0,H7 &gt;0),(1.5*E7+G7)/(F7+H7),"")</f>
        <v>0.55519480519480524</v>
      </c>
      <c r="Z7" s="184"/>
      <c r="AA7" s="184"/>
      <c r="AB7" s="184"/>
      <c r="AC7" s="184"/>
      <c r="AD7" s="184"/>
      <c r="AE7" s="184"/>
      <c r="AF7" s="184"/>
      <c r="AG7" s="184"/>
      <c r="AH7" s="184"/>
      <c r="AI7" s="184"/>
      <c r="AJ7" s="59" t="str">
        <f>IF(OR(Roster!$A9&lt;&gt;"",Roster!$B9&lt;&gt;""),CONCATENATE(PROPER(Roster!$B9),", ",Roster!$A9),"")</f>
        <v>Chase Mills, 5</v>
      </c>
      <c r="AK7" s="286" cm="1">
        <f t="array" aca="1" ref="AK7" ca="1">SUMPRODUCT((PlayerGameData[Visible]=1)*(PlayerGameData[PLAYER, '#]=$A7)*(PlayerGameData[START]))</f>
        <v>24</v>
      </c>
      <c r="AL7" s="287" cm="1">
        <f t="array" aca="1" ref="AL7" ca="1">SUMPRODUCT((PlayerGameData[Visible]=1)*(PlayerGameData[PLAYER, '#]=$A7)*(PlayerGameData[GP]))</f>
        <v>25</v>
      </c>
      <c r="AM7" s="288" cm="1">
        <f t="array" aca="1" ref="AM7" ca="1">SUMPRODUCT((PlayerGameData[Visible]=1)*(PlayerGameData[PLAYER, '#]=$A7)*(PlayerGameData[MINUTES]))</f>
        <v>628</v>
      </c>
      <c r="AN7" s="289" cm="1">
        <f t="array" aca="1" ref="AN7" ca="1">SUMPRODUCT((PlayerGameData[Visible]=1)*(PlayerGameData[PLAYER, '#]=$A7)*(PlayerGameData[3FGM]))</f>
        <v>36</v>
      </c>
      <c r="AO7" s="290" cm="1">
        <f t="array" aca="1" ref="AO7" ca="1">SUMPRODUCT((PlayerGameData[Visible]=1)*(PlayerGameData[PLAYER, '#]=$A7)*(PlayerGameData[3FGA]))</f>
        <v>102</v>
      </c>
      <c r="AP7" s="289" cm="1">
        <f t="array" aca="1" ref="AP7" ca="1">SUMPRODUCT((PlayerGameData[Visible]=1)*(PlayerGameData[PLAYER, '#]=$A7)*(PlayerGameData[2FGM]))</f>
        <v>117</v>
      </c>
      <c r="AQ7" s="290" cm="1">
        <f t="array" aca="1" ref="AQ7" ca="1">SUMPRODUCT((PlayerGameData[Visible]=1)*(PlayerGameData[PLAYER, '#]=$A7)*(PlayerGameData[2FGA]))</f>
        <v>206</v>
      </c>
      <c r="AR7" s="289" cm="1">
        <f t="array" aca="1" ref="AR7" ca="1">SUMPRODUCT((PlayerGameData[Visible]=1)*(PlayerGameData[PLAYER, '#]=$A7)*(PlayerGameData[FTM]))</f>
        <v>29</v>
      </c>
      <c r="AS7" s="290" cm="1">
        <f t="array" aca="1" ref="AS7" ca="1">SUMPRODUCT((PlayerGameData[Visible]=1)*(PlayerGameData[PLAYER, '#]=$A7)*(PlayerGameData[FTA]))</f>
        <v>40</v>
      </c>
      <c r="AT7" s="289" cm="1">
        <f t="array" aca="1" ref="AT7" ca="1">SUMPRODUCT((PlayerGameData[Visible]=1)*(PlayerGameData[PLAYER, '#]=$A7)*(PlayerGameData[OFF REB]))</f>
        <v>57</v>
      </c>
      <c r="AU7" s="289" cm="1">
        <f t="array" aca="1" ref="AU7" ca="1">SUMPRODUCT((PlayerGameData[Visible]=1)*(PlayerGameData[PLAYER, '#]=$A7)*(PlayerGameData[DEF REB]))</f>
        <v>50</v>
      </c>
      <c r="AV7" s="290">
        <f ca="1">AT7+AU7</f>
        <v>107</v>
      </c>
      <c r="AW7" s="289" cm="1">
        <f t="array" aca="1" ref="AW7" ca="1">SUMPRODUCT((PlayerGameData[Visible]=1)*(PlayerGameData[PLAYER, '#]=$A7)*(PlayerGameData[AST]))</f>
        <v>84</v>
      </c>
      <c r="AX7" s="289" cm="1">
        <f t="array" aca="1" ref="AX7" ca="1">SUMPRODUCT((PlayerGameData[Visible]=1)*(PlayerGameData[PLAYER, '#]=$A7)*(PlayerGameData[STL]))</f>
        <v>62</v>
      </c>
      <c r="AY7" s="289" cm="1">
        <f t="array" aca="1" ref="AY7" ca="1">SUMPRODUCT((PlayerGameData[Visible]=1)*(PlayerGameData[PLAYER, '#]=$A7)*(PlayerGameData[BLK]))</f>
        <v>3</v>
      </c>
      <c r="AZ7" s="289" cm="1">
        <f t="array" aca="1" ref="AZ7" ca="1">SUMPRODUCT((PlayerGameData[Visible]=1)*(PlayerGameData[PLAYER, '#]=$A7)*(PlayerGameData[TO]))</f>
        <v>66</v>
      </c>
      <c r="BA7" s="289" cm="1">
        <f t="array" aca="1" ref="BA7" ca="1">SUMPRODUCT((PlayerGameData[Visible]=1)*(PlayerGameData[PLAYER, '#]=$A7)*(PlayerGameData[FOUL]))</f>
        <v>20</v>
      </c>
      <c r="BB7" s="291" cm="1">
        <f t="array" aca="1" ref="BB7" ca="1">SUMPRODUCT((PlayerGameData[Visible]=1)*(PlayerGameData[PLAYER, '#]=$A7)*(PlayerGameData[CHRG TKN]))</f>
        <v>3</v>
      </c>
      <c r="BC7" s="28">
        <f ca="1">IF(AR7+2*AP7+3*AN7&gt;0,AR7+2*AP7+3*AN7,0)</f>
        <v>371</v>
      </c>
      <c r="BD7" s="29">
        <f ca="1">IF(AO7&gt;0,AN7/AO7,"")</f>
        <v>0.35294117647058826</v>
      </c>
      <c r="BE7" s="29">
        <f ca="1">IF(AQ7&gt;0,AP7/AQ7,"")</f>
        <v>0.56796116504854366</v>
      </c>
      <c r="BF7" s="30">
        <f ca="1">IF(AS7&gt;0,AR7/AS7,"")</f>
        <v>0.72499999999999998</v>
      </c>
      <c r="BG7" s="29">
        <f ca="1">IF(OR(AO7&gt;0,AQ7 &gt;0),(AN7+AP7)/(AO7+AQ7),"")</f>
        <v>0.49675324675324678</v>
      </c>
      <c r="BH7" s="31">
        <f ca="1">IF(OR(AO7&gt;0,AQ7 &gt;0),(1.5*AN7+AP7)/(AO7+AQ7),"")</f>
        <v>0.55519480519480524</v>
      </c>
      <c r="BI7" s="184"/>
      <c r="BJ7" s="184"/>
      <c r="BK7" s="184"/>
      <c r="BL7" s="184"/>
      <c r="BM7" s="184"/>
      <c r="BN7" s="184"/>
      <c r="BO7" s="184"/>
      <c r="BP7" s="184"/>
      <c r="BQ7" s="184"/>
      <c r="BR7" s="184"/>
      <c r="BS7" s="184"/>
      <c r="BT7" s="184"/>
      <c r="CA7" s="51">
        <f t="shared" ca="1" si="2"/>
        <v>153</v>
      </c>
      <c r="CB7" s="51">
        <f t="shared" ca="1" si="2"/>
        <v>308</v>
      </c>
      <c r="CC7" s="51"/>
      <c r="CD7" s="51"/>
      <c r="CE7" s="51"/>
      <c r="CF7" s="51"/>
      <c r="CG7" s="51"/>
      <c r="CH7" s="51"/>
      <c r="CI7" s="51"/>
      <c r="CJ7" s="51"/>
      <c r="CK7" s="51"/>
      <c r="CL7" s="51"/>
      <c r="CM7" s="51"/>
      <c r="CN7" s="292"/>
      <c r="CO7" s="51"/>
      <c r="CP7" s="51"/>
      <c r="CQ7" s="293"/>
    </row>
    <row r="8" spans="1:95" s="18" customFormat="1" ht="15.6" x14ac:dyDescent="0.35">
      <c r="A8" s="188" t="str">
        <f>IF(A7&lt;&gt;"","Per Game","")</f>
        <v>Per Game</v>
      </c>
      <c r="B8" s="294"/>
      <c r="C8" s="295"/>
      <c r="D8" s="296">
        <f ca="1">IFERROR(ROUND(D7/$C7,1),"")</f>
        <v>25.1</v>
      </c>
      <c r="E8" s="300">
        <f t="shared" ref="E8:T8" ca="1" si="5">IFERROR(ROUND(E7/$C7,1),"")</f>
        <v>1.4</v>
      </c>
      <c r="F8" s="301">
        <f t="shared" ca="1" si="5"/>
        <v>4.0999999999999996</v>
      </c>
      <c r="G8" s="300">
        <f t="shared" ca="1" si="5"/>
        <v>4.7</v>
      </c>
      <c r="H8" s="301">
        <f t="shared" ca="1" si="5"/>
        <v>8.1999999999999993</v>
      </c>
      <c r="I8" s="300">
        <f t="shared" ca="1" si="5"/>
        <v>1.2</v>
      </c>
      <c r="J8" s="301">
        <f t="shared" ca="1" si="5"/>
        <v>1.6</v>
      </c>
      <c r="K8" s="300">
        <f t="shared" ca="1" si="5"/>
        <v>2.2999999999999998</v>
      </c>
      <c r="L8" s="300">
        <f t="shared" ca="1" si="5"/>
        <v>2</v>
      </c>
      <c r="M8" s="301">
        <f t="shared" ca="1" si="5"/>
        <v>4.3</v>
      </c>
      <c r="N8" s="300">
        <f t="shared" ca="1" si="5"/>
        <v>3.4</v>
      </c>
      <c r="O8" s="300">
        <f t="shared" ca="1" si="5"/>
        <v>2.5</v>
      </c>
      <c r="P8" s="300">
        <f t="shared" ca="1" si="5"/>
        <v>0.1</v>
      </c>
      <c r="Q8" s="300">
        <f t="shared" ca="1" si="5"/>
        <v>2.6</v>
      </c>
      <c r="R8" s="300">
        <f t="shared" ca="1" si="5"/>
        <v>0.8</v>
      </c>
      <c r="S8" s="302">
        <f t="shared" ca="1" si="5"/>
        <v>0.1</v>
      </c>
      <c r="T8" s="60">
        <f t="shared" ca="1" si="5"/>
        <v>14.8</v>
      </c>
      <c r="U8" s="25"/>
      <c r="V8" s="25"/>
      <c r="W8" s="26"/>
      <c r="X8" s="25"/>
      <c r="Y8" s="27"/>
      <c r="Z8" s="184"/>
      <c r="AA8" s="184"/>
      <c r="AB8" s="184"/>
      <c r="AC8" s="184"/>
      <c r="AD8" s="184"/>
      <c r="AE8" s="184"/>
      <c r="AF8" s="184"/>
      <c r="AG8" s="184"/>
      <c r="AH8" s="184"/>
      <c r="AI8" s="184"/>
      <c r="AJ8" s="188" t="str">
        <f>IF(AJ7&lt;&gt;"","Per Minute","")</f>
        <v>Per Minute</v>
      </c>
      <c r="AK8" s="294"/>
      <c r="AL8" s="295"/>
      <c r="AM8" s="296">
        <f ca="1">IFERROR(ROUND(AM7/$C7,1),"")</f>
        <v>25.1</v>
      </c>
      <c r="AN8" s="300">
        <f t="shared" ref="AN8:BC8" ca="1" si="6">IFERROR(ROUND(AN7/$D7,1),"")</f>
        <v>0.1</v>
      </c>
      <c r="AO8" s="301">
        <f t="shared" ca="1" si="6"/>
        <v>0.2</v>
      </c>
      <c r="AP8" s="300">
        <f t="shared" ca="1" si="6"/>
        <v>0.2</v>
      </c>
      <c r="AQ8" s="301">
        <f t="shared" ca="1" si="6"/>
        <v>0.3</v>
      </c>
      <c r="AR8" s="300">
        <f t="shared" ca="1" si="6"/>
        <v>0</v>
      </c>
      <c r="AS8" s="301">
        <f t="shared" ca="1" si="6"/>
        <v>0.1</v>
      </c>
      <c r="AT8" s="300">
        <f t="shared" ca="1" si="6"/>
        <v>0.1</v>
      </c>
      <c r="AU8" s="300">
        <f t="shared" ca="1" si="6"/>
        <v>0.1</v>
      </c>
      <c r="AV8" s="301">
        <f t="shared" ca="1" si="6"/>
        <v>0.2</v>
      </c>
      <c r="AW8" s="300">
        <f t="shared" ca="1" si="6"/>
        <v>0.1</v>
      </c>
      <c r="AX8" s="300">
        <f t="shared" ca="1" si="6"/>
        <v>0.1</v>
      </c>
      <c r="AY8" s="300">
        <f t="shared" ca="1" si="6"/>
        <v>0</v>
      </c>
      <c r="AZ8" s="300">
        <f t="shared" ca="1" si="6"/>
        <v>0.1</v>
      </c>
      <c r="BA8" s="300">
        <f t="shared" ca="1" si="6"/>
        <v>0</v>
      </c>
      <c r="BB8" s="302">
        <f t="shared" ca="1" si="6"/>
        <v>0</v>
      </c>
      <c r="BC8" s="60">
        <f t="shared" ca="1" si="6"/>
        <v>0.6</v>
      </c>
      <c r="BD8" s="25"/>
      <c r="BE8" s="25"/>
      <c r="BF8" s="26"/>
      <c r="BG8" s="25"/>
      <c r="BH8" s="27"/>
      <c r="BI8" s="184"/>
      <c r="BJ8" s="184"/>
      <c r="BK8" s="184"/>
      <c r="BL8" s="184"/>
      <c r="BM8" s="184"/>
      <c r="BN8" s="184"/>
      <c r="BO8" s="184"/>
      <c r="BP8" s="184"/>
      <c r="BQ8" s="184"/>
      <c r="BR8" s="184"/>
      <c r="BS8" s="184"/>
      <c r="BT8" s="184"/>
      <c r="CA8" s="51">
        <f t="shared" ca="1" si="2"/>
        <v>6.1</v>
      </c>
      <c r="CB8" s="51">
        <f t="shared" ca="1" si="2"/>
        <v>12.299999999999999</v>
      </c>
      <c r="CC8" s="51"/>
      <c r="CD8" s="51"/>
      <c r="CE8" s="51"/>
      <c r="CF8" s="51"/>
      <c r="CG8" s="51"/>
      <c r="CH8" s="51"/>
      <c r="CI8" s="51"/>
      <c r="CJ8" s="51"/>
      <c r="CK8" s="51"/>
      <c r="CL8" s="51"/>
      <c r="CM8" s="51"/>
      <c r="CN8" s="292"/>
      <c r="CO8" s="51"/>
      <c r="CP8" s="51"/>
      <c r="CQ8" s="293"/>
    </row>
    <row r="9" spans="1:95" s="18" customFormat="1" ht="15.6" x14ac:dyDescent="0.35">
      <c r="A9" s="59" t="str">
        <f>IF(OR(Roster!$A10&lt;&gt;"",Roster!$B10&lt;&gt;""),CONCATENATE(PROPER(Roster!$B10),", ",Roster!$A10),"")</f>
        <v>Rhett Watt, 10</v>
      </c>
      <c r="B9" s="286" cm="1">
        <f t="array" aca="1" ref="B9" ca="1">SUMPRODUCT((PlayerGameData[Visible]=1)*(PlayerGameData[PLAYER, '#]=$A9)*(PlayerGameData[START]))</f>
        <v>26</v>
      </c>
      <c r="C9" s="287" cm="1">
        <f t="array" aca="1" ref="C9" ca="1">SUMPRODUCT((PlayerGameData[Visible]=1)*(PlayerGameData[PLAYER, '#]=$A9)*(PlayerGameData[GP]))</f>
        <v>26</v>
      </c>
      <c r="D9" s="288" cm="1">
        <f t="array" aca="1" ref="D9" ca="1">SUMPRODUCT((PlayerGameData[Visible]=1)*(PlayerGameData[PLAYER, '#]=$A9)*(PlayerGameData[MINUTES]))</f>
        <v>629</v>
      </c>
      <c r="E9" s="289" cm="1">
        <f t="array" aca="1" ref="E9" ca="1">SUMPRODUCT((PlayerGameData[Visible]=1)*(PlayerGameData[PLAYER, '#]=$A9)*(PlayerGameData[3FGM]))</f>
        <v>33</v>
      </c>
      <c r="F9" s="290" cm="1">
        <f t="array" aca="1" ref="F9" ca="1">SUMPRODUCT((PlayerGameData[Visible]=1)*(PlayerGameData[PLAYER, '#]=$A9)*(PlayerGameData[3FGA]))</f>
        <v>132</v>
      </c>
      <c r="G9" s="289" cm="1">
        <f t="array" aca="1" ref="G9" ca="1">SUMPRODUCT((PlayerGameData[Visible]=1)*(PlayerGameData[PLAYER, '#]=$A9)*(PlayerGameData[2FGM]))</f>
        <v>59</v>
      </c>
      <c r="H9" s="290" cm="1">
        <f t="array" aca="1" ref="H9" ca="1">SUMPRODUCT((PlayerGameData[Visible]=1)*(PlayerGameData[PLAYER, '#]=$A9)*(PlayerGameData[2FGA]))</f>
        <v>119</v>
      </c>
      <c r="I9" s="289" cm="1">
        <f t="array" aca="1" ref="I9" ca="1">SUMPRODUCT((PlayerGameData[Visible]=1)*(PlayerGameData[PLAYER, '#]=$A9)*(PlayerGameData[FTM]))</f>
        <v>24</v>
      </c>
      <c r="J9" s="290" cm="1">
        <f t="array" aca="1" ref="J9" ca="1">SUMPRODUCT((PlayerGameData[Visible]=1)*(PlayerGameData[PLAYER, '#]=$A9)*(PlayerGameData[FTA]))</f>
        <v>44</v>
      </c>
      <c r="K9" s="289" cm="1">
        <f t="array" aca="1" ref="K9" ca="1">SUMPRODUCT((PlayerGameData[Visible]=1)*(PlayerGameData[PLAYER, '#]=$A9)*(PlayerGameData[OFF REB]))</f>
        <v>39</v>
      </c>
      <c r="L9" s="289" cm="1">
        <f t="array" aca="1" ref="L9" ca="1">SUMPRODUCT((PlayerGameData[Visible]=1)*(PlayerGameData[PLAYER, '#]=$A9)*(PlayerGameData[DEF REB]))</f>
        <v>55</v>
      </c>
      <c r="M9" s="290">
        <f ca="1">K9+L9</f>
        <v>94</v>
      </c>
      <c r="N9" s="289" cm="1">
        <f t="array" aca="1" ref="N9" ca="1">SUMPRODUCT((PlayerGameData[Visible]=1)*(PlayerGameData[PLAYER, '#]=$A9)*(PlayerGameData[AST]))</f>
        <v>70</v>
      </c>
      <c r="O9" s="289" cm="1">
        <f t="array" aca="1" ref="O9" ca="1">SUMPRODUCT((PlayerGameData[Visible]=1)*(PlayerGameData[PLAYER, '#]=$A9)*(PlayerGameData[STL]))</f>
        <v>40</v>
      </c>
      <c r="P9" s="289" cm="1">
        <f t="array" aca="1" ref="P9" ca="1">SUMPRODUCT((PlayerGameData[Visible]=1)*(PlayerGameData[PLAYER, '#]=$A9)*(PlayerGameData[BLK]))</f>
        <v>1</v>
      </c>
      <c r="Q9" s="289" cm="1">
        <f t="array" aca="1" ref="Q9" ca="1">SUMPRODUCT((PlayerGameData[Visible]=1)*(PlayerGameData[PLAYER, '#]=$A9)*(PlayerGameData[TO]))</f>
        <v>31</v>
      </c>
      <c r="R9" s="289" cm="1">
        <f t="array" aca="1" ref="R9" ca="1">SUMPRODUCT((PlayerGameData[Visible]=1)*(PlayerGameData[PLAYER, '#]=$A9)*(PlayerGameData[FOUL]))</f>
        <v>21</v>
      </c>
      <c r="S9" s="291" cm="1">
        <f t="array" aca="1" ref="S9" ca="1">SUMPRODUCT((PlayerGameData[Visible]=1)*(PlayerGameData[PLAYER, '#]=$A9)*(PlayerGameData[CHRG TKN]))</f>
        <v>3</v>
      </c>
      <c r="T9" s="28">
        <f ca="1">IF(I9+2*G9+3*E9&gt;0,I9+2*G9+3*E9,0)</f>
        <v>241</v>
      </c>
      <c r="U9" s="29">
        <f ca="1">IF(F9&gt;0,E9/F9,"")</f>
        <v>0.25</v>
      </c>
      <c r="V9" s="29">
        <f ca="1">IF(H9&gt;0,G9/H9,"")</f>
        <v>0.49579831932773111</v>
      </c>
      <c r="W9" s="30">
        <f ca="1">IF(J9&gt;0,I9/J9,"")</f>
        <v>0.54545454545454541</v>
      </c>
      <c r="X9" s="29">
        <f ca="1">IF(OR(F9&gt;0,H9 &gt;0),(E9+G9)/(F9+H9),"")</f>
        <v>0.36653386454183268</v>
      </c>
      <c r="Y9" s="31">
        <f ca="1">IF(OR(F9&gt;0,H9 &gt;0),(1.5*E9+G9)/(F9+H9),"")</f>
        <v>0.43227091633466136</v>
      </c>
      <c r="Z9" s="184"/>
      <c r="AA9" s="184"/>
      <c r="AB9" s="184"/>
      <c r="AC9" s="184"/>
      <c r="AD9" s="184"/>
      <c r="AE9" s="184"/>
      <c r="AF9" s="184"/>
      <c r="AG9" s="184"/>
      <c r="AH9" s="184"/>
      <c r="AI9" s="184"/>
      <c r="AJ9" s="59" t="str">
        <f>IF(OR(Roster!$A10&lt;&gt;"",Roster!$B10&lt;&gt;""),CONCATENATE(PROPER(Roster!$B10),", ",Roster!$A10),"")</f>
        <v>Rhett Watt, 10</v>
      </c>
      <c r="AK9" s="286" cm="1">
        <f t="array" aca="1" ref="AK9" ca="1">SUMPRODUCT((PlayerGameData[Visible]=1)*(PlayerGameData[PLAYER, '#]=$A9)*(PlayerGameData[START]))</f>
        <v>26</v>
      </c>
      <c r="AL9" s="287" cm="1">
        <f t="array" aca="1" ref="AL9" ca="1">SUMPRODUCT((PlayerGameData[Visible]=1)*(PlayerGameData[PLAYER, '#]=$A9)*(PlayerGameData[GP]))</f>
        <v>26</v>
      </c>
      <c r="AM9" s="288" cm="1">
        <f t="array" aca="1" ref="AM9" ca="1">SUMPRODUCT((PlayerGameData[Visible]=1)*(PlayerGameData[PLAYER, '#]=$A9)*(PlayerGameData[MINUTES]))</f>
        <v>629</v>
      </c>
      <c r="AN9" s="289" cm="1">
        <f t="array" aca="1" ref="AN9" ca="1">SUMPRODUCT((PlayerGameData[Visible]=1)*(PlayerGameData[PLAYER, '#]=$A9)*(PlayerGameData[3FGM]))</f>
        <v>33</v>
      </c>
      <c r="AO9" s="290" cm="1">
        <f t="array" aca="1" ref="AO9" ca="1">SUMPRODUCT((PlayerGameData[Visible]=1)*(PlayerGameData[PLAYER, '#]=$A9)*(PlayerGameData[3FGA]))</f>
        <v>132</v>
      </c>
      <c r="AP9" s="289" cm="1">
        <f t="array" aca="1" ref="AP9" ca="1">SUMPRODUCT((PlayerGameData[Visible]=1)*(PlayerGameData[PLAYER, '#]=$A9)*(PlayerGameData[2FGM]))</f>
        <v>59</v>
      </c>
      <c r="AQ9" s="290" cm="1">
        <f t="array" aca="1" ref="AQ9" ca="1">SUMPRODUCT((PlayerGameData[Visible]=1)*(PlayerGameData[PLAYER, '#]=$A9)*(PlayerGameData[2FGA]))</f>
        <v>119</v>
      </c>
      <c r="AR9" s="289" cm="1">
        <f t="array" aca="1" ref="AR9" ca="1">SUMPRODUCT((PlayerGameData[Visible]=1)*(PlayerGameData[PLAYER, '#]=$A9)*(PlayerGameData[FTM]))</f>
        <v>24</v>
      </c>
      <c r="AS9" s="290" cm="1">
        <f t="array" aca="1" ref="AS9" ca="1">SUMPRODUCT((PlayerGameData[Visible]=1)*(PlayerGameData[PLAYER, '#]=$A9)*(PlayerGameData[FTA]))</f>
        <v>44</v>
      </c>
      <c r="AT9" s="289" cm="1">
        <f t="array" aca="1" ref="AT9" ca="1">SUMPRODUCT((PlayerGameData[Visible]=1)*(PlayerGameData[PLAYER, '#]=$A9)*(PlayerGameData[OFF REB]))</f>
        <v>39</v>
      </c>
      <c r="AU9" s="289" cm="1">
        <f t="array" aca="1" ref="AU9" ca="1">SUMPRODUCT((PlayerGameData[Visible]=1)*(PlayerGameData[PLAYER, '#]=$A9)*(PlayerGameData[DEF REB]))</f>
        <v>55</v>
      </c>
      <c r="AV9" s="290">
        <f ca="1">AT9+AU9</f>
        <v>94</v>
      </c>
      <c r="AW9" s="289" cm="1">
        <f t="array" aca="1" ref="AW9" ca="1">SUMPRODUCT((PlayerGameData[Visible]=1)*(PlayerGameData[PLAYER, '#]=$A9)*(PlayerGameData[AST]))</f>
        <v>70</v>
      </c>
      <c r="AX9" s="289" cm="1">
        <f t="array" aca="1" ref="AX9" ca="1">SUMPRODUCT((PlayerGameData[Visible]=1)*(PlayerGameData[PLAYER, '#]=$A9)*(PlayerGameData[STL]))</f>
        <v>40</v>
      </c>
      <c r="AY9" s="289" cm="1">
        <f t="array" aca="1" ref="AY9" ca="1">SUMPRODUCT((PlayerGameData[Visible]=1)*(PlayerGameData[PLAYER, '#]=$A9)*(PlayerGameData[BLK]))</f>
        <v>1</v>
      </c>
      <c r="AZ9" s="289" cm="1">
        <f t="array" aca="1" ref="AZ9" ca="1">SUMPRODUCT((PlayerGameData[Visible]=1)*(PlayerGameData[PLAYER, '#]=$A9)*(PlayerGameData[TO]))</f>
        <v>31</v>
      </c>
      <c r="BA9" s="289" cm="1">
        <f t="array" aca="1" ref="BA9" ca="1">SUMPRODUCT((PlayerGameData[Visible]=1)*(PlayerGameData[PLAYER, '#]=$A9)*(PlayerGameData[FOUL]))</f>
        <v>21</v>
      </c>
      <c r="BB9" s="291" cm="1">
        <f t="array" aca="1" ref="BB9" ca="1">SUMPRODUCT((PlayerGameData[Visible]=1)*(PlayerGameData[PLAYER, '#]=$A9)*(PlayerGameData[CHRG TKN]))</f>
        <v>3</v>
      </c>
      <c r="BC9" s="28">
        <f ca="1">IF(AR9+2*AP9+3*AN9&gt;0,AR9+2*AP9+3*AN9,0)</f>
        <v>241</v>
      </c>
      <c r="BD9" s="29">
        <f ca="1">IF(AO9&gt;0,AN9/AO9,"")</f>
        <v>0.25</v>
      </c>
      <c r="BE9" s="29">
        <f ca="1">IF(AQ9&gt;0,AP9/AQ9,"")</f>
        <v>0.49579831932773111</v>
      </c>
      <c r="BF9" s="30">
        <f ca="1">IF(AS9&gt;0,AR9/AS9,"")</f>
        <v>0.54545454545454541</v>
      </c>
      <c r="BG9" s="29">
        <f ca="1">IF(OR(AO9&gt;0,AQ9 &gt;0),(AN9+AP9)/(AO9+AQ9),"")</f>
        <v>0.36653386454183268</v>
      </c>
      <c r="BH9" s="31">
        <f ca="1">IF(OR(AO9&gt;0,AQ9 &gt;0),(1.5*AN9+AP9)/(AO9+AQ9),"")</f>
        <v>0.43227091633466136</v>
      </c>
      <c r="BI9" s="184"/>
      <c r="BJ9" s="184"/>
      <c r="BK9" s="184"/>
      <c r="BL9" s="184"/>
      <c r="BM9" s="184"/>
      <c r="BN9" s="184"/>
      <c r="BO9" s="184"/>
      <c r="BP9" s="184"/>
      <c r="BQ9" s="184"/>
      <c r="BR9" s="184"/>
      <c r="BS9" s="184"/>
      <c r="BT9" s="184"/>
      <c r="CA9" s="51">
        <f t="shared" ca="1" si="2"/>
        <v>92</v>
      </c>
      <c r="CB9" s="51">
        <f t="shared" ca="1" si="2"/>
        <v>251</v>
      </c>
      <c r="CC9" s="51"/>
      <c r="CD9" s="51"/>
      <c r="CE9" s="51"/>
      <c r="CF9" s="51"/>
      <c r="CG9" s="51"/>
      <c r="CH9" s="51"/>
      <c r="CI9" s="51"/>
      <c r="CJ9" s="51"/>
      <c r="CK9" s="51"/>
      <c r="CL9" s="51"/>
      <c r="CM9" s="51"/>
      <c r="CN9" s="292"/>
      <c r="CO9" s="51"/>
      <c r="CP9" s="51"/>
      <c r="CQ9" s="293"/>
    </row>
    <row r="10" spans="1:95" s="18" customFormat="1" ht="15.6" x14ac:dyDescent="0.35">
      <c r="A10" s="188" t="str">
        <f>IF(A9&lt;&gt;"","Per Game","")</f>
        <v>Per Game</v>
      </c>
      <c r="B10" s="294"/>
      <c r="C10" s="295"/>
      <c r="D10" s="296">
        <f ca="1">IFERROR(ROUND(D9/$C9,1),"")</f>
        <v>24.2</v>
      </c>
      <c r="E10" s="300">
        <f t="shared" ref="E10:T10" ca="1" si="7">IFERROR(ROUND(E9/$C9,1),"")</f>
        <v>1.3</v>
      </c>
      <c r="F10" s="301">
        <f t="shared" ca="1" si="7"/>
        <v>5.0999999999999996</v>
      </c>
      <c r="G10" s="300">
        <f t="shared" ca="1" si="7"/>
        <v>2.2999999999999998</v>
      </c>
      <c r="H10" s="301">
        <f t="shared" ca="1" si="7"/>
        <v>4.5999999999999996</v>
      </c>
      <c r="I10" s="300">
        <f t="shared" ca="1" si="7"/>
        <v>0.9</v>
      </c>
      <c r="J10" s="301">
        <f t="shared" ca="1" si="7"/>
        <v>1.7</v>
      </c>
      <c r="K10" s="300">
        <f t="shared" ca="1" si="7"/>
        <v>1.5</v>
      </c>
      <c r="L10" s="300">
        <f t="shared" ca="1" si="7"/>
        <v>2.1</v>
      </c>
      <c r="M10" s="301">
        <f t="shared" ca="1" si="7"/>
        <v>3.6</v>
      </c>
      <c r="N10" s="300">
        <f t="shared" ca="1" si="7"/>
        <v>2.7</v>
      </c>
      <c r="O10" s="300">
        <f t="shared" ca="1" si="7"/>
        <v>1.5</v>
      </c>
      <c r="P10" s="300">
        <f t="shared" ca="1" si="7"/>
        <v>0</v>
      </c>
      <c r="Q10" s="300">
        <f t="shared" ca="1" si="7"/>
        <v>1.2</v>
      </c>
      <c r="R10" s="300">
        <f t="shared" ca="1" si="7"/>
        <v>0.8</v>
      </c>
      <c r="S10" s="302">
        <f t="shared" ca="1" si="7"/>
        <v>0.1</v>
      </c>
      <c r="T10" s="60">
        <f t="shared" ca="1" si="7"/>
        <v>9.3000000000000007</v>
      </c>
      <c r="U10" s="25"/>
      <c r="V10" s="25"/>
      <c r="W10" s="26"/>
      <c r="X10" s="25"/>
      <c r="Y10" s="27"/>
      <c r="Z10" s="184"/>
      <c r="AA10" s="184"/>
      <c r="AB10" s="184"/>
      <c r="AC10" s="184"/>
      <c r="AD10" s="184"/>
      <c r="AE10" s="184"/>
      <c r="AF10" s="184"/>
      <c r="AG10" s="184"/>
      <c r="AH10" s="184"/>
      <c r="AI10" s="184"/>
      <c r="AJ10" s="188" t="str">
        <f>IF(AJ9&lt;&gt;"","Per Minute","")</f>
        <v>Per Minute</v>
      </c>
      <c r="AK10" s="294"/>
      <c r="AL10" s="295"/>
      <c r="AM10" s="296">
        <f ca="1">IFERROR(ROUND(AM9/$C9,1),"")</f>
        <v>24.2</v>
      </c>
      <c r="AN10" s="300">
        <f t="shared" ref="AN10:BC10" ca="1" si="8">IFERROR(ROUND(AN9/$D9,1),"")</f>
        <v>0.1</v>
      </c>
      <c r="AO10" s="301">
        <f t="shared" ca="1" si="8"/>
        <v>0.2</v>
      </c>
      <c r="AP10" s="300">
        <f t="shared" ca="1" si="8"/>
        <v>0.1</v>
      </c>
      <c r="AQ10" s="301">
        <f t="shared" ca="1" si="8"/>
        <v>0.2</v>
      </c>
      <c r="AR10" s="300">
        <f t="shared" ca="1" si="8"/>
        <v>0</v>
      </c>
      <c r="AS10" s="301">
        <f t="shared" ca="1" si="8"/>
        <v>0.1</v>
      </c>
      <c r="AT10" s="300">
        <f t="shared" ca="1" si="8"/>
        <v>0.1</v>
      </c>
      <c r="AU10" s="300">
        <f t="shared" ca="1" si="8"/>
        <v>0.1</v>
      </c>
      <c r="AV10" s="301">
        <f t="shared" ca="1" si="8"/>
        <v>0.1</v>
      </c>
      <c r="AW10" s="300">
        <f t="shared" ca="1" si="8"/>
        <v>0.1</v>
      </c>
      <c r="AX10" s="300">
        <f t="shared" ca="1" si="8"/>
        <v>0.1</v>
      </c>
      <c r="AY10" s="300">
        <f t="shared" ca="1" si="8"/>
        <v>0</v>
      </c>
      <c r="AZ10" s="300">
        <f t="shared" ca="1" si="8"/>
        <v>0</v>
      </c>
      <c r="BA10" s="300">
        <f t="shared" ca="1" si="8"/>
        <v>0</v>
      </c>
      <c r="BB10" s="302">
        <f t="shared" ca="1" si="8"/>
        <v>0</v>
      </c>
      <c r="BC10" s="60">
        <f t="shared" ca="1" si="8"/>
        <v>0.4</v>
      </c>
      <c r="BD10" s="25"/>
      <c r="BE10" s="25"/>
      <c r="BF10" s="26"/>
      <c r="BG10" s="25"/>
      <c r="BH10" s="27"/>
      <c r="BI10" s="184"/>
      <c r="BJ10" s="184"/>
      <c r="BK10" s="184"/>
      <c r="BL10" s="184"/>
      <c r="BM10" s="184"/>
      <c r="BN10" s="184"/>
      <c r="BO10" s="184"/>
      <c r="BP10" s="184"/>
      <c r="BQ10" s="184"/>
      <c r="BR10" s="184"/>
      <c r="BS10" s="184"/>
      <c r="BT10" s="184"/>
      <c r="CA10" s="51">
        <f t="shared" ca="1" si="2"/>
        <v>3.5999999999999996</v>
      </c>
      <c r="CB10" s="51">
        <f t="shared" ca="1" si="2"/>
        <v>9.6999999999999993</v>
      </c>
      <c r="CC10" s="51"/>
      <c r="CD10" s="51"/>
      <c r="CE10" s="51"/>
      <c r="CF10" s="51"/>
      <c r="CG10" s="51"/>
      <c r="CH10" s="51"/>
      <c r="CI10" s="51"/>
      <c r="CJ10" s="51"/>
      <c r="CK10" s="51"/>
      <c r="CL10" s="51"/>
      <c r="CM10" s="51"/>
      <c r="CN10" s="292"/>
      <c r="CO10" s="51"/>
      <c r="CP10" s="51"/>
      <c r="CQ10" s="293"/>
    </row>
    <row r="11" spans="1:95" s="18" customFormat="1" ht="15.6" x14ac:dyDescent="0.35">
      <c r="A11" s="59" t="str">
        <f>IF(OR(Roster!$A11&lt;&gt;"",Roster!$B11&lt;&gt;""),CONCATENATE(PROPER(Roster!$B11),", ",Roster!$A11),"")</f>
        <v>Keith Coburn, 11</v>
      </c>
      <c r="B11" s="286" cm="1">
        <f t="array" aca="1" ref="B11" ca="1">SUMPRODUCT((PlayerGameData[Visible]=1)*(PlayerGameData[PLAYER, '#]=$A11)*(PlayerGameData[START]))</f>
        <v>1</v>
      </c>
      <c r="C11" s="287" cm="1">
        <f t="array" aca="1" ref="C11" ca="1">SUMPRODUCT((PlayerGameData[Visible]=1)*(PlayerGameData[PLAYER, '#]=$A11)*(PlayerGameData[GP]))</f>
        <v>10</v>
      </c>
      <c r="D11" s="288" cm="1">
        <f t="array" aca="1" ref="D11" ca="1">SUMPRODUCT((PlayerGameData[Visible]=1)*(PlayerGameData[PLAYER, '#]=$A11)*(PlayerGameData[MINUTES]))</f>
        <v>33</v>
      </c>
      <c r="E11" s="289" cm="1">
        <f t="array" aca="1" ref="E11" ca="1">SUMPRODUCT((PlayerGameData[Visible]=1)*(PlayerGameData[PLAYER, '#]=$A11)*(PlayerGameData[3FGM]))</f>
        <v>0</v>
      </c>
      <c r="F11" s="290" cm="1">
        <f t="array" aca="1" ref="F11" ca="1">SUMPRODUCT((PlayerGameData[Visible]=1)*(PlayerGameData[PLAYER, '#]=$A11)*(PlayerGameData[3FGA]))</f>
        <v>2</v>
      </c>
      <c r="G11" s="289" cm="1">
        <f t="array" aca="1" ref="G11" ca="1">SUMPRODUCT((PlayerGameData[Visible]=1)*(PlayerGameData[PLAYER, '#]=$A11)*(PlayerGameData[2FGM]))</f>
        <v>2</v>
      </c>
      <c r="H11" s="290" cm="1">
        <f t="array" aca="1" ref="H11" ca="1">SUMPRODUCT((PlayerGameData[Visible]=1)*(PlayerGameData[PLAYER, '#]=$A11)*(PlayerGameData[2FGA]))</f>
        <v>2</v>
      </c>
      <c r="I11" s="289" cm="1">
        <f t="array" aca="1" ref="I11" ca="1">SUMPRODUCT((PlayerGameData[Visible]=1)*(PlayerGameData[PLAYER, '#]=$A11)*(PlayerGameData[FTM]))</f>
        <v>0</v>
      </c>
      <c r="J11" s="290" cm="1">
        <f t="array" aca="1" ref="J11" ca="1">SUMPRODUCT((PlayerGameData[Visible]=1)*(PlayerGameData[PLAYER, '#]=$A11)*(PlayerGameData[FTA]))</f>
        <v>2</v>
      </c>
      <c r="K11" s="289" cm="1">
        <f t="array" aca="1" ref="K11" ca="1">SUMPRODUCT((PlayerGameData[Visible]=1)*(PlayerGameData[PLAYER, '#]=$A11)*(PlayerGameData[OFF REB]))</f>
        <v>1</v>
      </c>
      <c r="L11" s="289" cm="1">
        <f t="array" aca="1" ref="L11" ca="1">SUMPRODUCT((PlayerGameData[Visible]=1)*(PlayerGameData[PLAYER, '#]=$A11)*(PlayerGameData[DEF REB]))</f>
        <v>3</v>
      </c>
      <c r="M11" s="290">
        <f ca="1">K11+L11</f>
        <v>4</v>
      </c>
      <c r="N11" s="289" cm="1">
        <f t="array" aca="1" ref="N11" ca="1">SUMPRODUCT((PlayerGameData[Visible]=1)*(PlayerGameData[PLAYER, '#]=$A11)*(PlayerGameData[AST]))</f>
        <v>2</v>
      </c>
      <c r="O11" s="289" cm="1">
        <f t="array" aca="1" ref="O11" ca="1">SUMPRODUCT((PlayerGameData[Visible]=1)*(PlayerGameData[PLAYER, '#]=$A11)*(PlayerGameData[STL]))</f>
        <v>0</v>
      </c>
      <c r="P11" s="289" cm="1">
        <f t="array" aca="1" ref="P11" ca="1">SUMPRODUCT((PlayerGameData[Visible]=1)*(PlayerGameData[PLAYER, '#]=$A11)*(PlayerGameData[BLK]))</f>
        <v>0</v>
      </c>
      <c r="Q11" s="289" cm="1">
        <f t="array" aca="1" ref="Q11" ca="1">SUMPRODUCT((PlayerGameData[Visible]=1)*(PlayerGameData[PLAYER, '#]=$A11)*(PlayerGameData[TO]))</f>
        <v>7</v>
      </c>
      <c r="R11" s="289" cm="1">
        <f t="array" aca="1" ref="R11" ca="1">SUMPRODUCT((PlayerGameData[Visible]=1)*(PlayerGameData[PLAYER, '#]=$A11)*(PlayerGameData[FOUL]))</f>
        <v>1</v>
      </c>
      <c r="S11" s="291" cm="1">
        <f t="array" aca="1" ref="S11" ca="1">SUMPRODUCT((PlayerGameData[Visible]=1)*(PlayerGameData[PLAYER, '#]=$A11)*(PlayerGameData[CHRG TKN]))</f>
        <v>0</v>
      </c>
      <c r="T11" s="28">
        <f ca="1">IF(I11+2*G11+3*E11&gt;0,I11+2*G11+3*E11,0)</f>
        <v>4</v>
      </c>
      <c r="U11" s="29">
        <f ca="1">IF(F11&gt;0,E11/F11,"")</f>
        <v>0</v>
      </c>
      <c r="V11" s="29">
        <f ca="1">IF(H11&gt;0,G11/H11,"")</f>
        <v>1</v>
      </c>
      <c r="W11" s="30">
        <f ca="1">IF(J11&gt;0,I11/J11,"")</f>
        <v>0</v>
      </c>
      <c r="X11" s="29">
        <f ca="1">IF(OR(F11&gt;0,H11 &gt;0),(E11+G11)/(F11+H11),"")</f>
        <v>0.5</v>
      </c>
      <c r="Y11" s="31">
        <f ca="1">IF(OR(F11&gt;0,H11 &gt;0),(1.5*E11+G11)/(F11+H11),"")</f>
        <v>0.5</v>
      </c>
      <c r="Z11" s="184"/>
      <c r="AA11" s="184"/>
      <c r="AB11" s="184"/>
      <c r="AC11" s="184"/>
      <c r="AD11" s="184"/>
      <c r="AE11" s="184"/>
      <c r="AF11" s="184"/>
      <c r="AG11" s="184"/>
      <c r="AH11" s="184"/>
      <c r="AI11" s="184"/>
      <c r="AJ11" s="59" t="str">
        <f>IF(OR(Roster!$A11&lt;&gt;"",Roster!$B11&lt;&gt;""),CONCATENATE(PROPER(Roster!$B11),", ",Roster!$A11),"")</f>
        <v>Keith Coburn, 11</v>
      </c>
      <c r="AK11" s="286" cm="1">
        <f t="array" aca="1" ref="AK11" ca="1">SUMPRODUCT((PlayerGameData[Visible]=1)*(PlayerGameData[PLAYER, '#]=$A11)*(PlayerGameData[START]))</f>
        <v>1</v>
      </c>
      <c r="AL11" s="287" cm="1">
        <f t="array" aca="1" ref="AL11" ca="1">SUMPRODUCT((PlayerGameData[Visible]=1)*(PlayerGameData[PLAYER, '#]=$A11)*(PlayerGameData[GP]))</f>
        <v>10</v>
      </c>
      <c r="AM11" s="288" cm="1">
        <f t="array" aca="1" ref="AM11" ca="1">SUMPRODUCT((PlayerGameData[Visible]=1)*(PlayerGameData[PLAYER, '#]=$A11)*(PlayerGameData[MINUTES]))</f>
        <v>33</v>
      </c>
      <c r="AN11" s="289" cm="1">
        <f t="array" aca="1" ref="AN11" ca="1">SUMPRODUCT((PlayerGameData[Visible]=1)*(PlayerGameData[PLAYER, '#]=$A11)*(PlayerGameData[3FGM]))</f>
        <v>0</v>
      </c>
      <c r="AO11" s="290" cm="1">
        <f t="array" aca="1" ref="AO11" ca="1">SUMPRODUCT((PlayerGameData[Visible]=1)*(PlayerGameData[PLAYER, '#]=$A11)*(PlayerGameData[3FGA]))</f>
        <v>2</v>
      </c>
      <c r="AP11" s="289" cm="1">
        <f t="array" aca="1" ref="AP11" ca="1">SUMPRODUCT((PlayerGameData[Visible]=1)*(PlayerGameData[PLAYER, '#]=$A11)*(PlayerGameData[2FGM]))</f>
        <v>2</v>
      </c>
      <c r="AQ11" s="290" cm="1">
        <f t="array" aca="1" ref="AQ11" ca="1">SUMPRODUCT((PlayerGameData[Visible]=1)*(PlayerGameData[PLAYER, '#]=$A11)*(PlayerGameData[2FGA]))</f>
        <v>2</v>
      </c>
      <c r="AR11" s="289" cm="1">
        <f t="array" aca="1" ref="AR11" ca="1">SUMPRODUCT((PlayerGameData[Visible]=1)*(PlayerGameData[PLAYER, '#]=$A11)*(PlayerGameData[FTM]))</f>
        <v>0</v>
      </c>
      <c r="AS11" s="290" cm="1">
        <f t="array" aca="1" ref="AS11" ca="1">SUMPRODUCT((PlayerGameData[Visible]=1)*(PlayerGameData[PLAYER, '#]=$A11)*(PlayerGameData[FTA]))</f>
        <v>2</v>
      </c>
      <c r="AT11" s="289" cm="1">
        <f t="array" aca="1" ref="AT11" ca="1">SUMPRODUCT((PlayerGameData[Visible]=1)*(PlayerGameData[PLAYER, '#]=$A11)*(PlayerGameData[OFF REB]))</f>
        <v>1</v>
      </c>
      <c r="AU11" s="289" cm="1">
        <f t="array" aca="1" ref="AU11" ca="1">SUMPRODUCT((PlayerGameData[Visible]=1)*(PlayerGameData[PLAYER, '#]=$A11)*(PlayerGameData[DEF REB]))</f>
        <v>3</v>
      </c>
      <c r="AV11" s="290">
        <f ca="1">AT11+AU11</f>
        <v>4</v>
      </c>
      <c r="AW11" s="289" cm="1">
        <f t="array" aca="1" ref="AW11" ca="1">SUMPRODUCT((PlayerGameData[Visible]=1)*(PlayerGameData[PLAYER, '#]=$A11)*(PlayerGameData[AST]))</f>
        <v>2</v>
      </c>
      <c r="AX11" s="289" cm="1">
        <f t="array" aca="1" ref="AX11" ca="1">SUMPRODUCT((PlayerGameData[Visible]=1)*(PlayerGameData[PLAYER, '#]=$A11)*(PlayerGameData[STL]))</f>
        <v>0</v>
      </c>
      <c r="AY11" s="289" cm="1">
        <f t="array" aca="1" ref="AY11" ca="1">SUMPRODUCT((PlayerGameData[Visible]=1)*(PlayerGameData[PLAYER, '#]=$A11)*(PlayerGameData[BLK]))</f>
        <v>0</v>
      </c>
      <c r="AZ11" s="289" cm="1">
        <f t="array" aca="1" ref="AZ11" ca="1">SUMPRODUCT((PlayerGameData[Visible]=1)*(PlayerGameData[PLAYER, '#]=$A11)*(PlayerGameData[TO]))</f>
        <v>7</v>
      </c>
      <c r="BA11" s="289" cm="1">
        <f t="array" aca="1" ref="BA11" ca="1">SUMPRODUCT((PlayerGameData[Visible]=1)*(PlayerGameData[PLAYER, '#]=$A11)*(PlayerGameData[FOUL]))</f>
        <v>1</v>
      </c>
      <c r="BB11" s="291" cm="1">
        <f t="array" aca="1" ref="BB11" ca="1">SUMPRODUCT((PlayerGameData[Visible]=1)*(PlayerGameData[PLAYER, '#]=$A11)*(PlayerGameData[CHRG TKN]))</f>
        <v>0</v>
      </c>
      <c r="BC11" s="28">
        <f ca="1">IF(AR11+2*AP11+3*AN11&gt;0,AR11+2*AP11+3*AN11,0)</f>
        <v>4</v>
      </c>
      <c r="BD11" s="29">
        <f ca="1">IF(AO11&gt;0,AN11/AO11,"")</f>
        <v>0</v>
      </c>
      <c r="BE11" s="29">
        <f ca="1">IF(AQ11&gt;0,AP11/AQ11,"")</f>
        <v>1</v>
      </c>
      <c r="BF11" s="30">
        <f ca="1">IF(AS11&gt;0,AR11/AS11,"")</f>
        <v>0</v>
      </c>
      <c r="BG11" s="29">
        <f ca="1">IF(OR(AO11&gt;0,AQ11 &gt;0),(AN11+AP11)/(AO11+AQ11),"")</f>
        <v>0.5</v>
      </c>
      <c r="BH11" s="31">
        <f ca="1">IF(OR(AO11&gt;0,AQ11 &gt;0),(1.5*AN11+AP11)/(AO11+AQ11),"")</f>
        <v>0.5</v>
      </c>
      <c r="BI11" s="184"/>
      <c r="BJ11" s="184"/>
      <c r="BK11" s="184"/>
      <c r="BL11" s="184"/>
      <c r="BM11" s="184"/>
      <c r="BN11" s="184"/>
      <c r="BO11" s="184"/>
      <c r="BP11" s="184"/>
      <c r="BQ11" s="184"/>
      <c r="BR11" s="184"/>
      <c r="BS11" s="184"/>
      <c r="BT11" s="184"/>
      <c r="CA11" s="51">
        <f t="shared" ca="1" si="2"/>
        <v>2</v>
      </c>
      <c r="CB11" s="51">
        <f t="shared" ca="1" si="2"/>
        <v>4</v>
      </c>
      <c r="CC11" s="51"/>
      <c r="CD11" s="51"/>
      <c r="CE11" s="51"/>
      <c r="CF11" s="51"/>
      <c r="CG11" s="51"/>
      <c r="CH11" s="51"/>
      <c r="CI11" s="51"/>
      <c r="CJ11" s="51"/>
      <c r="CK11" s="51"/>
      <c r="CL11" s="51"/>
      <c r="CM11" s="51"/>
      <c r="CN11" s="292"/>
      <c r="CO11" s="51"/>
      <c r="CP11" s="51"/>
      <c r="CQ11" s="293"/>
    </row>
    <row r="12" spans="1:95" s="18" customFormat="1" ht="15.6" x14ac:dyDescent="0.35">
      <c r="A12" s="188" t="str">
        <f>IF(A11&lt;&gt;"","Per Game","")</f>
        <v>Per Game</v>
      </c>
      <c r="B12" s="294"/>
      <c r="C12" s="295"/>
      <c r="D12" s="296">
        <f ca="1">IFERROR(ROUND(D11/$C11,1),"")</f>
        <v>3.3</v>
      </c>
      <c r="E12" s="300">
        <f t="shared" ref="E12:T12" ca="1" si="9">IFERROR(ROUND(E11/$C11,1),"")</f>
        <v>0</v>
      </c>
      <c r="F12" s="301">
        <f t="shared" ca="1" si="9"/>
        <v>0.2</v>
      </c>
      <c r="G12" s="300">
        <f t="shared" ca="1" si="9"/>
        <v>0.2</v>
      </c>
      <c r="H12" s="301">
        <f t="shared" ca="1" si="9"/>
        <v>0.2</v>
      </c>
      <c r="I12" s="300">
        <f t="shared" ca="1" si="9"/>
        <v>0</v>
      </c>
      <c r="J12" s="301">
        <f t="shared" ca="1" si="9"/>
        <v>0.2</v>
      </c>
      <c r="K12" s="300">
        <f t="shared" ca="1" si="9"/>
        <v>0.1</v>
      </c>
      <c r="L12" s="300">
        <f t="shared" ca="1" si="9"/>
        <v>0.3</v>
      </c>
      <c r="M12" s="301">
        <f t="shared" ca="1" si="9"/>
        <v>0.4</v>
      </c>
      <c r="N12" s="300">
        <f t="shared" ca="1" si="9"/>
        <v>0.2</v>
      </c>
      <c r="O12" s="300">
        <f t="shared" ca="1" si="9"/>
        <v>0</v>
      </c>
      <c r="P12" s="300">
        <f t="shared" ca="1" si="9"/>
        <v>0</v>
      </c>
      <c r="Q12" s="300">
        <f t="shared" ca="1" si="9"/>
        <v>0.7</v>
      </c>
      <c r="R12" s="300">
        <f t="shared" ca="1" si="9"/>
        <v>0.1</v>
      </c>
      <c r="S12" s="302">
        <f t="shared" ca="1" si="9"/>
        <v>0</v>
      </c>
      <c r="T12" s="60">
        <f t="shared" ca="1" si="9"/>
        <v>0.4</v>
      </c>
      <c r="U12" s="25"/>
      <c r="V12" s="25"/>
      <c r="W12" s="26"/>
      <c r="X12" s="25"/>
      <c r="Y12" s="27"/>
      <c r="Z12" s="184"/>
      <c r="AA12" s="184"/>
      <c r="AB12" s="184"/>
      <c r="AC12" s="184"/>
      <c r="AD12" s="184"/>
      <c r="AE12" s="184"/>
      <c r="AF12" s="184"/>
      <c r="AG12" s="184"/>
      <c r="AH12" s="184"/>
      <c r="AI12" s="184"/>
      <c r="AJ12" s="188" t="str">
        <f>IF(AJ11&lt;&gt;"","Per Minute","")</f>
        <v>Per Minute</v>
      </c>
      <c r="AK12" s="294"/>
      <c r="AL12" s="295"/>
      <c r="AM12" s="296">
        <f ca="1">IFERROR(ROUND(AM11/$C11,1),"")</f>
        <v>3.3</v>
      </c>
      <c r="AN12" s="300">
        <f t="shared" ref="AN12:BC12" ca="1" si="10">IFERROR(ROUND(AN11/$D11,1),"")</f>
        <v>0</v>
      </c>
      <c r="AO12" s="301">
        <f t="shared" ca="1" si="10"/>
        <v>0.1</v>
      </c>
      <c r="AP12" s="300">
        <f t="shared" ca="1" si="10"/>
        <v>0.1</v>
      </c>
      <c r="AQ12" s="301">
        <f t="shared" ca="1" si="10"/>
        <v>0.1</v>
      </c>
      <c r="AR12" s="300">
        <f t="shared" ca="1" si="10"/>
        <v>0</v>
      </c>
      <c r="AS12" s="301">
        <f t="shared" ca="1" si="10"/>
        <v>0.1</v>
      </c>
      <c r="AT12" s="300">
        <f t="shared" ca="1" si="10"/>
        <v>0</v>
      </c>
      <c r="AU12" s="300">
        <f t="shared" ca="1" si="10"/>
        <v>0.1</v>
      </c>
      <c r="AV12" s="301">
        <f t="shared" ca="1" si="10"/>
        <v>0.1</v>
      </c>
      <c r="AW12" s="300">
        <f t="shared" ca="1" si="10"/>
        <v>0.1</v>
      </c>
      <c r="AX12" s="300">
        <f t="shared" ca="1" si="10"/>
        <v>0</v>
      </c>
      <c r="AY12" s="300">
        <f t="shared" ca="1" si="10"/>
        <v>0</v>
      </c>
      <c r="AZ12" s="300">
        <f t="shared" ca="1" si="10"/>
        <v>0.2</v>
      </c>
      <c r="BA12" s="300">
        <f t="shared" ca="1" si="10"/>
        <v>0</v>
      </c>
      <c r="BB12" s="302">
        <f t="shared" ca="1" si="10"/>
        <v>0</v>
      </c>
      <c r="BC12" s="60">
        <f t="shared" ca="1" si="10"/>
        <v>0.1</v>
      </c>
      <c r="BD12" s="25"/>
      <c r="BE12" s="25"/>
      <c r="BF12" s="26"/>
      <c r="BG12" s="25"/>
      <c r="BH12" s="27"/>
      <c r="BI12" s="184"/>
      <c r="BJ12" s="184"/>
      <c r="BK12" s="184"/>
      <c r="BL12" s="184"/>
      <c r="BM12" s="184"/>
      <c r="BN12" s="184"/>
      <c r="BO12" s="184"/>
      <c r="BP12" s="184"/>
      <c r="BQ12" s="184"/>
      <c r="BR12" s="184"/>
      <c r="BS12" s="184"/>
      <c r="BT12" s="184"/>
      <c r="CA12" s="51">
        <f t="shared" ca="1" si="2"/>
        <v>0.2</v>
      </c>
      <c r="CB12" s="51">
        <f t="shared" ca="1" si="2"/>
        <v>0.4</v>
      </c>
      <c r="CC12" s="51"/>
      <c r="CD12" s="51"/>
      <c r="CE12" s="51"/>
      <c r="CF12" s="51"/>
      <c r="CG12" s="51"/>
      <c r="CH12" s="51"/>
      <c r="CI12" s="51"/>
      <c r="CJ12" s="51"/>
      <c r="CK12" s="51"/>
      <c r="CL12" s="51"/>
      <c r="CM12" s="51"/>
      <c r="CN12" s="292"/>
      <c r="CO12" s="51"/>
      <c r="CP12" s="51"/>
      <c r="CQ12" s="293"/>
    </row>
    <row r="13" spans="1:95" s="18" customFormat="1" ht="15.6" x14ac:dyDescent="0.35">
      <c r="A13" s="59" t="str">
        <f>IF(OR(Roster!$A12&lt;&gt;"",Roster!$B12&lt;&gt;""),CONCATENATE(PROPER(Roster!$B12),", ",Roster!$A12),"")</f>
        <v>Carson Barritt, 14</v>
      </c>
      <c r="B13" s="286" cm="1">
        <f t="array" aca="1" ref="B13" ca="1">SUMPRODUCT((PlayerGameData[Visible]=1)*(PlayerGameData[PLAYER, '#]=$A13)*(PlayerGameData[START]))</f>
        <v>0</v>
      </c>
      <c r="C13" s="287" cm="1">
        <f t="array" aca="1" ref="C13" ca="1">SUMPRODUCT((PlayerGameData[Visible]=1)*(PlayerGameData[PLAYER, '#]=$A13)*(PlayerGameData[GP]))</f>
        <v>13</v>
      </c>
      <c r="D13" s="288" cm="1">
        <f t="array" aca="1" ref="D13" ca="1">SUMPRODUCT((PlayerGameData[Visible]=1)*(PlayerGameData[PLAYER, '#]=$A13)*(PlayerGameData[MINUTES]))</f>
        <v>28</v>
      </c>
      <c r="E13" s="289" cm="1">
        <f t="array" aca="1" ref="E13" ca="1">SUMPRODUCT((PlayerGameData[Visible]=1)*(PlayerGameData[PLAYER, '#]=$A13)*(PlayerGameData[3FGM]))</f>
        <v>1</v>
      </c>
      <c r="F13" s="290" cm="1">
        <f t="array" aca="1" ref="F13" ca="1">SUMPRODUCT((PlayerGameData[Visible]=1)*(PlayerGameData[PLAYER, '#]=$A13)*(PlayerGameData[3FGA]))</f>
        <v>6</v>
      </c>
      <c r="G13" s="289" cm="1">
        <f t="array" aca="1" ref="G13" ca="1">SUMPRODUCT((PlayerGameData[Visible]=1)*(PlayerGameData[PLAYER, '#]=$A13)*(PlayerGameData[2FGM]))</f>
        <v>0</v>
      </c>
      <c r="H13" s="290" cm="1">
        <f t="array" aca="1" ref="H13" ca="1">SUMPRODUCT((PlayerGameData[Visible]=1)*(PlayerGameData[PLAYER, '#]=$A13)*(PlayerGameData[2FGA]))</f>
        <v>1</v>
      </c>
      <c r="I13" s="289" cm="1">
        <f t="array" aca="1" ref="I13" ca="1">SUMPRODUCT((PlayerGameData[Visible]=1)*(PlayerGameData[PLAYER, '#]=$A13)*(PlayerGameData[FTM]))</f>
        <v>1</v>
      </c>
      <c r="J13" s="290" cm="1">
        <f t="array" aca="1" ref="J13" ca="1">SUMPRODUCT((PlayerGameData[Visible]=1)*(PlayerGameData[PLAYER, '#]=$A13)*(PlayerGameData[FTA]))</f>
        <v>2</v>
      </c>
      <c r="K13" s="289" cm="1">
        <f t="array" aca="1" ref="K13" ca="1">SUMPRODUCT((PlayerGameData[Visible]=1)*(PlayerGameData[PLAYER, '#]=$A13)*(PlayerGameData[OFF REB]))</f>
        <v>1</v>
      </c>
      <c r="L13" s="289" cm="1">
        <f t="array" aca="1" ref="L13" ca="1">SUMPRODUCT((PlayerGameData[Visible]=1)*(PlayerGameData[PLAYER, '#]=$A13)*(PlayerGameData[DEF REB]))</f>
        <v>1</v>
      </c>
      <c r="M13" s="290">
        <f ca="1">K13+L13</f>
        <v>2</v>
      </c>
      <c r="N13" s="289" cm="1">
        <f t="array" aca="1" ref="N13" ca="1">SUMPRODUCT((PlayerGameData[Visible]=1)*(PlayerGameData[PLAYER, '#]=$A13)*(PlayerGameData[AST]))</f>
        <v>1</v>
      </c>
      <c r="O13" s="289" cm="1">
        <f t="array" aca="1" ref="O13" ca="1">SUMPRODUCT((PlayerGameData[Visible]=1)*(PlayerGameData[PLAYER, '#]=$A13)*(PlayerGameData[STL]))</f>
        <v>0</v>
      </c>
      <c r="P13" s="289" cm="1">
        <f t="array" aca="1" ref="P13" ca="1">SUMPRODUCT((PlayerGameData[Visible]=1)*(PlayerGameData[PLAYER, '#]=$A13)*(PlayerGameData[BLK]))</f>
        <v>0</v>
      </c>
      <c r="Q13" s="289" cm="1">
        <f t="array" aca="1" ref="Q13" ca="1">SUMPRODUCT((PlayerGameData[Visible]=1)*(PlayerGameData[PLAYER, '#]=$A13)*(PlayerGameData[TO]))</f>
        <v>6</v>
      </c>
      <c r="R13" s="289" cm="1">
        <f t="array" aca="1" ref="R13" ca="1">SUMPRODUCT((PlayerGameData[Visible]=1)*(PlayerGameData[PLAYER, '#]=$A13)*(PlayerGameData[FOUL]))</f>
        <v>4</v>
      </c>
      <c r="S13" s="291" cm="1">
        <f t="array" aca="1" ref="S13" ca="1">SUMPRODUCT((PlayerGameData[Visible]=1)*(PlayerGameData[PLAYER, '#]=$A13)*(PlayerGameData[CHRG TKN]))</f>
        <v>0</v>
      </c>
      <c r="T13" s="28">
        <f ca="1">IF(I13+2*G13+3*E13&gt;0,I13+2*G13+3*E13,0)</f>
        <v>4</v>
      </c>
      <c r="U13" s="29">
        <f ca="1">IF(F13&gt;0,E13/F13,"")</f>
        <v>0.16666666666666666</v>
      </c>
      <c r="V13" s="29">
        <f ca="1">IF(H13&gt;0,G13/H13,"")</f>
        <v>0</v>
      </c>
      <c r="W13" s="30">
        <f ca="1">IF(J13&gt;0,I13/J13,"")</f>
        <v>0.5</v>
      </c>
      <c r="X13" s="29">
        <f ca="1">IF(OR(F13&gt;0,H13 &gt;0),(E13+G13)/(F13+H13),"")</f>
        <v>0.14285714285714285</v>
      </c>
      <c r="Y13" s="31">
        <f ca="1">IF(OR(F13&gt;0,H13 &gt;0),(1.5*E13+G13)/(F13+H13),"")</f>
        <v>0.21428571428571427</v>
      </c>
      <c r="Z13" s="184"/>
      <c r="AA13" s="184"/>
      <c r="AB13" s="184"/>
      <c r="AC13" s="184"/>
      <c r="AD13" s="184"/>
      <c r="AE13" s="184"/>
      <c r="AF13" s="184"/>
      <c r="AG13" s="184"/>
      <c r="AH13" s="184"/>
      <c r="AI13" s="184"/>
      <c r="AJ13" s="59" t="str">
        <f>IF(OR(Roster!$A12&lt;&gt;"",Roster!$B12&lt;&gt;""),CONCATENATE(PROPER(Roster!$B12),", ",Roster!$A12),"")</f>
        <v>Carson Barritt, 14</v>
      </c>
      <c r="AK13" s="286" cm="1">
        <f t="array" aca="1" ref="AK13" ca="1">SUMPRODUCT((PlayerGameData[Visible]=1)*(PlayerGameData[PLAYER, '#]=$A13)*(PlayerGameData[START]))</f>
        <v>0</v>
      </c>
      <c r="AL13" s="287" cm="1">
        <f t="array" aca="1" ref="AL13" ca="1">SUMPRODUCT((PlayerGameData[Visible]=1)*(PlayerGameData[PLAYER, '#]=$A13)*(PlayerGameData[GP]))</f>
        <v>13</v>
      </c>
      <c r="AM13" s="288" cm="1">
        <f t="array" aca="1" ref="AM13" ca="1">SUMPRODUCT((PlayerGameData[Visible]=1)*(PlayerGameData[PLAYER, '#]=$A13)*(PlayerGameData[MINUTES]))</f>
        <v>28</v>
      </c>
      <c r="AN13" s="289" cm="1">
        <f t="array" aca="1" ref="AN13" ca="1">SUMPRODUCT((PlayerGameData[Visible]=1)*(PlayerGameData[PLAYER, '#]=$A13)*(PlayerGameData[3FGM]))</f>
        <v>1</v>
      </c>
      <c r="AO13" s="290" cm="1">
        <f t="array" aca="1" ref="AO13" ca="1">SUMPRODUCT((PlayerGameData[Visible]=1)*(PlayerGameData[PLAYER, '#]=$A13)*(PlayerGameData[3FGA]))</f>
        <v>6</v>
      </c>
      <c r="AP13" s="289" cm="1">
        <f t="array" aca="1" ref="AP13" ca="1">SUMPRODUCT((PlayerGameData[Visible]=1)*(PlayerGameData[PLAYER, '#]=$A13)*(PlayerGameData[2FGM]))</f>
        <v>0</v>
      </c>
      <c r="AQ13" s="290" cm="1">
        <f t="array" aca="1" ref="AQ13" ca="1">SUMPRODUCT((PlayerGameData[Visible]=1)*(PlayerGameData[PLAYER, '#]=$A13)*(PlayerGameData[2FGA]))</f>
        <v>1</v>
      </c>
      <c r="AR13" s="289" cm="1">
        <f t="array" aca="1" ref="AR13" ca="1">SUMPRODUCT((PlayerGameData[Visible]=1)*(PlayerGameData[PLAYER, '#]=$A13)*(PlayerGameData[FTM]))</f>
        <v>1</v>
      </c>
      <c r="AS13" s="290" cm="1">
        <f t="array" aca="1" ref="AS13" ca="1">SUMPRODUCT((PlayerGameData[Visible]=1)*(PlayerGameData[PLAYER, '#]=$A13)*(PlayerGameData[FTA]))</f>
        <v>2</v>
      </c>
      <c r="AT13" s="289" cm="1">
        <f t="array" aca="1" ref="AT13" ca="1">SUMPRODUCT((PlayerGameData[Visible]=1)*(PlayerGameData[PLAYER, '#]=$A13)*(PlayerGameData[OFF REB]))</f>
        <v>1</v>
      </c>
      <c r="AU13" s="289" cm="1">
        <f t="array" aca="1" ref="AU13" ca="1">SUMPRODUCT((PlayerGameData[Visible]=1)*(PlayerGameData[PLAYER, '#]=$A13)*(PlayerGameData[DEF REB]))</f>
        <v>1</v>
      </c>
      <c r="AV13" s="290">
        <f ca="1">AT13+AU13</f>
        <v>2</v>
      </c>
      <c r="AW13" s="289" cm="1">
        <f t="array" aca="1" ref="AW13" ca="1">SUMPRODUCT((PlayerGameData[Visible]=1)*(PlayerGameData[PLAYER, '#]=$A13)*(PlayerGameData[AST]))</f>
        <v>1</v>
      </c>
      <c r="AX13" s="289" cm="1">
        <f t="array" aca="1" ref="AX13" ca="1">SUMPRODUCT((PlayerGameData[Visible]=1)*(PlayerGameData[PLAYER, '#]=$A13)*(PlayerGameData[STL]))</f>
        <v>0</v>
      </c>
      <c r="AY13" s="289" cm="1">
        <f t="array" aca="1" ref="AY13" ca="1">SUMPRODUCT((PlayerGameData[Visible]=1)*(PlayerGameData[PLAYER, '#]=$A13)*(PlayerGameData[BLK]))</f>
        <v>0</v>
      </c>
      <c r="AZ13" s="289" cm="1">
        <f t="array" aca="1" ref="AZ13" ca="1">SUMPRODUCT((PlayerGameData[Visible]=1)*(PlayerGameData[PLAYER, '#]=$A13)*(PlayerGameData[TO]))</f>
        <v>6</v>
      </c>
      <c r="BA13" s="289" cm="1">
        <f t="array" aca="1" ref="BA13" ca="1">SUMPRODUCT((PlayerGameData[Visible]=1)*(PlayerGameData[PLAYER, '#]=$A13)*(PlayerGameData[FOUL]))</f>
        <v>4</v>
      </c>
      <c r="BB13" s="291" cm="1">
        <f t="array" aca="1" ref="BB13" ca="1">SUMPRODUCT((PlayerGameData[Visible]=1)*(PlayerGameData[PLAYER, '#]=$A13)*(PlayerGameData[CHRG TKN]))</f>
        <v>0</v>
      </c>
      <c r="BC13" s="28">
        <f ca="1">IF(AR13+2*AP13+3*AN13&gt;0,AR13+2*AP13+3*AN13,0)</f>
        <v>4</v>
      </c>
      <c r="BD13" s="29">
        <f ca="1">IF(AO13&gt;0,AN13/AO13,"")</f>
        <v>0.16666666666666666</v>
      </c>
      <c r="BE13" s="29">
        <f ca="1">IF(AQ13&gt;0,AP13/AQ13,"")</f>
        <v>0</v>
      </c>
      <c r="BF13" s="30">
        <f ca="1">IF(AS13&gt;0,AR13/AS13,"")</f>
        <v>0.5</v>
      </c>
      <c r="BG13" s="29">
        <f ca="1">IF(OR(AO13&gt;0,AQ13 &gt;0),(AN13+AP13)/(AO13+AQ13),"")</f>
        <v>0.14285714285714285</v>
      </c>
      <c r="BH13" s="31">
        <f ca="1">IF(OR(AO13&gt;0,AQ13 &gt;0),(1.5*AN13+AP13)/(AO13+AQ13),"")</f>
        <v>0.21428571428571427</v>
      </c>
      <c r="BI13" s="184"/>
      <c r="BJ13" s="184"/>
      <c r="BK13" s="184"/>
      <c r="BL13" s="184"/>
      <c r="BM13" s="184"/>
      <c r="BN13" s="184"/>
      <c r="BO13" s="184"/>
      <c r="BP13" s="184"/>
      <c r="BQ13" s="184"/>
      <c r="BR13" s="184"/>
      <c r="BS13" s="184"/>
      <c r="BT13" s="184"/>
      <c r="CA13" s="51">
        <f t="shared" ca="1" si="2"/>
        <v>1</v>
      </c>
      <c r="CB13" s="51">
        <f t="shared" ca="1" si="2"/>
        <v>7</v>
      </c>
      <c r="CC13" s="51"/>
      <c r="CD13" s="51"/>
      <c r="CE13" s="51"/>
      <c r="CF13" s="51"/>
      <c r="CG13" s="51"/>
      <c r="CH13" s="51"/>
      <c r="CI13" s="51"/>
      <c r="CJ13" s="51"/>
      <c r="CK13" s="51"/>
      <c r="CL13" s="51"/>
      <c r="CM13" s="51"/>
      <c r="CN13" s="292"/>
      <c r="CO13" s="51"/>
      <c r="CP13" s="51"/>
      <c r="CQ13" s="293"/>
    </row>
    <row r="14" spans="1:95" s="18" customFormat="1" ht="15.6" x14ac:dyDescent="0.35">
      <c r="A14" s="188" t="str">
        <f>IF(A13&lt;&gt;"","Per Game","")</f>
        <v>Per Game</v>
      </c>
      <c r="B14" s="294"/>
      <c r="C14" s="295"/>
      <c r="D14" s="296">
        <f ca="1">IFERROR(ROUND(D13/$C13,1),"")</f>
        <v>2.2000000000000002</v>
      </c>
      <c r="E14" s="300">
        <f t="shared" ref="E14:T14" ca="1" si="11">IFERROR(ROUND(E13/$C13,1),"")</f>
        <v>0.1</v>
      </c>
      <c r="F14" s="301">
        <f t="shared" ca="1" si="11"/>
        <v>0.5</v>
      </c>
      <c r="G14" s="300">
        <f t="shared" ca="1" si="11"/>
        <v>0</v>
      </c>
      <c r="H14" s="301">
        <f t="shared" ca="1" si="11"/>
        <v>0.1</v>
      </c>
      <c r="I14" s="300">
        <f t="shared" ca="1" si="11"/>
        <v>0.1</v>
      </c>
      <c r="J14" s="301">
        <f t="shared" ca="1" si="11"/>
        <v>0.2</v>
      </c>
      <c r="K14" s="300">
        <f t="shared" ca="1" si="11"/>
        <v>0.1</v>
      </c>
      <c r="L14" s="300">
        <f t="shared" ca="1" si="11"/>
        <v>0.1</v>
      </c>
      <c r="M14" s="301">
        <f t="shared" ca="1" si="11"/>
        <v>0.2</v>
      </c>
      <c r="N14" s="300">
        <f t="shared" ca="1" si="11"/>
        <v>0.1</v>
      </c>
      <c r="O14" s="300">
        <f t="shared" ca="1" si="11"/>
        <v>0</v>
      </c>
      <c r="P14" s="300">
        <f t="shared" ca="1" si="11"/>
        <v>0</v>
      </c>
      <c r="Q14" s="300">
        <f t="shared" ca="1" si="11"/>
        <v>0.5</v>
      </c>
      <c r="R14" s="300">
        <f t="shared" ca="1" si="11"/>
        <v>0.3</v>
      </c>
      <c r="S14" s="302">
        <f t="shared" ca="1" si="11"/>
        <v>0</v>
      </c>
      <c r="T14" s="60">
        <f t="shared" ca="1" si="11"/>
        <v>0.3</v>
      </c>
      <c r="U14" s="25"/>
      <c r="V14" s="25"/>
      <c r="W14" s="26"/>
      <c r="X14" s="25"/>
      <c r="Y14" s="27"/>
      <c r="Z14" s="184"/>
      <c r="AA14" s="184"/>
      <c r="AB14" s="184"/>
      <c r="AC14" s="184"/>
      <c r="AD14" s="184"/>
      <c r="AE14" s="184"/>
      <c r="AF14" s="184"/>
      <c r="AG14" s="184"/>
      <c r="AH14" s="184"/>
      <c r="AI14" s="184"/>
      <c r="AJ14" s="188" t="str">
        <f>IF(AJ13&lt;&gt;"","Per Minute","")</f>
        <v>Per Minute</v>
      </c>
      <c r="AK14" s="294"/>
      <c r="AL14" s="295"/>
      <c r="AM14" s="296">
        <f ca="1">IFERROR(ROUND(AM13/$C13,1),"")</f>
        <v>2.2000000000000002</v>
      </c>
      <c r="AN14" s="300">
        <f t="shared" ref="AN14:BC14" ca="1" si="12">IFERROR(ROUND(AN13/$D13,1),"")</f>
        <v>0</v>
      </c>
      <c r="AO14" s="301">
        <f t="shared" ca="1" si="12"/>
        <v>0.2</v>
      </c>
      <c r="AP14" s="300">
        <f t="shared" ca="1" si="12"/>
        <v>0</v>
      </c>
      <c r="AQ14" s="301">
        <f t="shared" ca="1" si="12"/>
        <v>0</v>
      </c>
      <c r="AR14" s="300">
        <f t="shared" ca="1" si="12"/>
        <v>0</v>
      </c>
      <c r="AS14" s="301">
        <f t="shared" ca="1" si="12"/>
        <v>0.1</v>
      </c>
      <c r="AT14" s="300">
        <f t="shared" ca="1" si="12"/>
        <v>0</v>
      </c>
      <c r="AU14" s="300">
        <f t="shared" ca="1" si="12"/>
        <v>0</v>
      </c>
      <c r="AV14" s="301">
        <f t="shared" ca="1" si="12"/>
        <v>0.1</v>
      </c>
      <c r="AW14" s="300">
        <f t="shared" ca="1" si="12"/>
        <v>0</v>
      </c>
      <c r="AX14" s="300">
        <f t="shared" ca="1" si="12"/>
        <v>0</v>
      </c>
      <c r="AY14" s="300">
        <f t="shared" ca="1" si="12"/>
        <v>0</v>
      </c>
      <c r="AZ14" s="300">
        <f t="shared" ca="1" si="12"/>
        <v>0.2</v>
      </c>
      <c r="BA14" s="300">
        <f t="shared" ca="1" si="12"/>
        <v>0.1</v>
      </c>
      <c r="BB14" s="302">
        <f t="shared" ca="1" si="12"/>
        <v>0</v>
      </c>
      <c r="BC14" s="60">
        <f t="shared" ca="1" si="12"/>
        <v>0.1</v>
      </c>
      <c r="BD14" s="25"/>
      <c r="BE14" s="25"/>
      <c r="BF14" s="26"/>
      <c r="BG14" s="25"/>
      <c r="BH14" s="27"/>
      <c r="BI14" s="184"/>
      <c r="BJ14" s="184"/>
      <c r="BK14" s="184"/>
      <c r="BL14" s="184"/>
      <c r="BM14" s="184"/>
      <c r="BN14" s="184"/>
      <c r="BO14" s="184"/>
      <c r="BP14" s="184"/>
      <c r="BQ14" s="184"/>
      <c r="BR14" s="184"/>
      <c r="BS14" s="184"/>
      <c r="BT14" s="184"/>
      <c r="CA14" s="51">
        <f t="shared" ca="1" si="2"/>
        <v>0.1</v>
      </c>
      <c r="CB14" s="51">
        <f t="shared" ca="1" si="2"/>
        <v>0.6</v>
      </c>
      <c r="CC14" s="51"/>
      <c r="CD14" s="51"/>
      <c r="CE14" s="51"/>
      <c r="CF14" s="51"/>
      <c r="CG14" s="51"/>
      <c r="CH14" s="51"/>
      <c r="CI14" s="51"/>
      <c r="CJ14" s="51"/>
      <c r="CK14" s="51"/>
      <c r="CL14" s="51"/>
      <c r="CM14" s="51"/>
      <c r="CN14" s="292"/>
      <c r="CO14" s="51"/>
      <c r="CP14" s="51"/>
      <c r="CQ14" s="293"/>
    </row>
    <row r="15" spans="1:95" s="18" customFormat="1" ht="15.6" x14ac:dyDescent="0.35">
      <c r="A15" s="59" t="str">
        <f>IF(OR(Roster!$A13&lt;&gt;"",Roster!$B13&lt;&gt;""),CONCATENATE(PROPER(Roster!$B13),", ",Roster!$A13),"")</f>
        <v>Ben Carpenter, 21</v>
      </c>
      <c r="B15" s="286" cm="1">
        <f t="array" aca="1" ref="B15" ca="1">SUMPRODUCT((PlayerGameData[Visible]=1)*(PlayerGameData[PLAYER, '#]=$A15)*(PlayerGameData[START]))</f>
        <v>0</v>
      </c>
      <c r="C15" s="287" cm="1">
        <f t="array" aca="1" ref="C15" ca="1">SUMPRODUCT((PlayerGameData[Visible]=1)*(PlayerGameData[PLAYER, '#]=$A15)*(PlayerGameData[GP]))</f>
        <v>12</v>
      </c>
      <c r="D15" s="288" cm="1">
        <f t="array" aca="1" ref="D15" ca="1">SUMPRODUCT((PlayerGameData[Visible]=1)*(PlayerGameData[PLAYER, '#]=$A15)*(PlayerGameData[MINUTES]))</f>
        <v>30</v>
      </c>
      <c r="E15" s="289" cm="1">
        <f t="array" aca="1" ref="E15" ca="1">SUMPRODUCT((PlayerGameData[Visible]=1)*(PlayerGameData[PLAYER, '#]=$A15)*(PlayerGameData[3FGM]))</f>
        <v>0</v>
      </c>
      <c r="F15" s="290" cm="1">
        <f t="array" aca="1" ref="F15" ca="1">SUMPRODUCT((PlayerGameData[Visible]=1)*(PlayerGameData[PLAYER, '#]=$A15)*(PlayerGameData[3FGA]))</f>
        <v>0</v>
      </c>
      <c r="G15" s="289" cm="1">
        <f t="array" aca="1" ref="G15" ca="1">SUMPRODUCT((PlayerGameData[Visible]=1)*(PlayerGameData[PLAYER, '#]=$A15)*(PlayerGameData[2FGM]))</f>
        <v>1</v>
      </c>
      <c r="H15" s="290" cm="1">
        <f t="array" aca="1" ref="H15" ca="1">SUMPRODUCT((PlayerGameData[Visible]=1)*(PlayerGameData[PLAYER, '#]=$A15)*(PlayerGameData[2FGA]))</f>
        <v>8</v>
      </c>
      <c r="I15" s="289" cm="1">
        <f t="array" aca="1" ref="I15" ca="1">SUMPRODUCT((PlayerGameData[Visible]=1)*(PlayerGameData[PLAYER, '#]=$A15)*(PlayerGameData[FTM]))</f>
        <v>0</v>
      </c>
      <c r="J15" s="290" cm="1">
        <f t="array" aca="1" ref="J15" ca="1">SUMPRODUCT((PlayerGameData[Visible]=1)*(PlayerGameData[PLAYER, '#]=$A15)*(PlayerGameData[FTA]))</f>
        <v>0</v>
      </c>
      <c r="K15" s="289" cm="1">
        <f t="array" aca="1" ref="K15" ca="1">SUMPRODUCT((PlayerGameData[Visible]=1)*(PlayerGameData[PLAYER, '#]=$A15)*(PlayerGameData[OFF REB]))</f>
        <v>2</v>
      </c>
      <c r="L15" s="289" cm="1">
        <f t="array" aca="1" ref="L15" ca="1">SUMPRODUCT((PlayerGameData[Visible]=1)*(PlayerGameData[PLAYER, '#]=$A15)*(PlayerGameData[DEF REB]))</f>
        <v>5</v>
      </c>
      <c r="M15" s="290">
        <f ca="1">K15+L15</f>
        <v>7</v>
      </c>
      <c r="N15" s="289" cm="1">
        <f t="array" aca="1" ref="N15" ca="1">SUMPRODUCT((PlayerGameData[Visible]=1)*(PlayerGameData[PLAYER, '#]=$A15)*(PlayerGameData[AST]))</f>
        <v>2</v>
      </c>
      <c r="O15" s="289" cm="1">
        <f t="array" aca="1" ref="O15" ca="1">SUMPRODUCT((PlayerGameData[Visible]=1)*(PlayerGameData[PLAYER, '#]=$A15)*(PlayerGameData[STL]))</f>
        <v>0</v>
      </c>
      <c r="P15" s="289" cm="1">
        <f t="array" aca="1" ref="P15" ca="1">SUMPRODUCT((PlayerGameData[Visible]=1)*(PlayerGameData[PLAYER, '#]=$A15)*(PlayerGameData[BLK]))</f>
        <v>0</v>
      </c>
      <c r="Q15" s="289" cm="1">
        <f t="array" aca="1" ref="Q15" ca="1">SUMPRODUCT((PlayerGameData[Visible]=1)*(PlayerGameData[PLAYER, '#]=$A15)*(PlayerGameData[TO]))</f>
        <v>1</v>
      </c>
      <c r="R15" s="289" cm="1">
        <f t="array" aca="1" ref="R15" ca="1">SUMPRODUCT((PlayerGameData[Visible]=1)*(PlayerGameData[PLAYER, '#]=$A15)*(PlayerGameData[FOUL]))</f>
        <v>4</v>
      </c>
      <c r="S15" s="291" cm="1">
        <f t="array" aca="1" ref="S15" ca="1">SUMPRODUCT((PlayerGameData[Visible]=1)*(PlayerGameData[PLAYER, '#]=$A15)*(PlayerGameData[CHRG TKN]))</f>
        <v>0</v>
      </c>
      <c r="T15" s="28">
        <f ca="1">IF(I15+2*G15+3*E15&gt;0,I15+2*G15+3*E15,0)</f>
        <v>2</v>
      </c>
      <c r="U15" s="29" t="str">
        <f ca="1">IF(F15&gt;0,E15/F15,"")</f>
        <v/>
      </c>
      <c r="V15" s="29">
        <f ca="1">IF(H15&gt;0,G15/H15,"")</f>
        <v>0.125</v>
      </c>
      <c r="W15" s="30" t="str">
        <f ca="1">IF(J15&gt;0,I15/J15,"")</f>
        <v/>
      </c>
      <c r="X15" s="29">
        <f ca="1">IF(OR(F15&gt;0,H15 &gt;0),(E15+G15)/(F15+H15),"")</f>
        <v>0.125</v>
      </c>
      <c r="Y15" s="31">
        <f ca="1">IF(OR(F15&gt;0,H15 &gt;0),(1.5*E15+G15)/(F15+H15),"")</f>
        <v>0.125</v>
      </c>
      <c r="Z15" s="184"/>
      <c r="AA15" s="184"/>
      <c r="AB15" s="184"/>
      <c r="AC15" s="184"/>
      <c r="AD15" s="184"/>
      <c r="AE15" s="184"/>
      <c r="AF15" s="184"/>
      <c r="AG15" s="184"/>
      <c r="AH15" s="184"/>
      <c r="AI15" s="184"/>
      <c r="AJ15" s="59" t="str">
        <f>IF(OR(Roster!$A13&lt;&gt;"",Roster!$B13&lt;&gt;""),CONCATENATE(PROPER(Roster!$B13),", ",Roster!$A13),"")</f>
        <v>Ben Carpenter, 21</v>
      </c>
      <c r="AK15" s="286" cm="1">
        <f t="array" aca="1" ref="AK15" ca="1">SUMPRODUCT((PlayerGameData[Visible]=1)*(PlayerGameData[PLAYER, '#]=$A15)*(PlayerGameData[START]))</f>
        <v>0</v>
      </c>
      <c r="AL15" s="287" cm="1">
        <f t="array" aca="1" ref="AL15" ca="1">SUMPRODUCT((PlayerGameData[Visible]=1)*(PlayerGameData[PLAYER, '#]=$A15)*(PlayerGameData[GP]))</f>
        <v>12</v>
      </c>
      <c r="AM15" s="288" cm="1">
        <f t="array" aca="1" ref="AM15" ca="1">SUMPRODUCT((PlayerGameData[Visible]=1)*(PlayerGameData[PLAYER, '#]=$A15)*(PlayerGameData[MINUTES]))</f>
        <v>30</v>
      </c>
      <c r="AN15" s="289" cm="1">
        <f t="array" aca="1" ref="AN15" ca="1">SUMPRODUCT((PlayerGameData[Visible]=1)*(PlayerGameData[PLAYER, '#]=$A15)*(PlayerGameData[3FGM]))</f>
        <v>0</v>
      </c>
      <c r="AO15" s="290" cm="1">
        <f t="array" aca="1" ref="AO15" ca="1">SUMPRODUCT((PlayerGameData[Visible]=1)*(PlayerGameData[PLAYER, '#]=$A15)*(PlayerGameData[3FGA]))</f>
        <v>0</v>
      </c>
      <c r="AP15" s="289" cm="1">
        <f t="array" aca="1" ref="AP15" ca="1">SUMPRODUCT((PlayerGameData[Visible]=1)*(PlayerGameData[PLAYER, '#]=$A15)*(PlayerGameData[2FGM]))</f>
        <v>1</v>
      </c>
      <c r="AQ15" s="290" cm="1">
        <f t="array" aca="1" ref="AQ15" ca="1">SUMPRODUCT((PlayerGameData[Visible]=1)*(PlayerGameData[PLAYER, '#]=$A15)*(PlayerGameData[2FGA]))</f>
        <v>8</v>
      </c>
      <c r="AR15" s="289" cm="1">
        <f t="array" aca="1" ref="AR15" ca="1">SUMPRODUCT((PlayerGameData[Visible]=1)*(PlayerGameData[PLAYER, '#]=$A15)*(PlayerGameData[FTM]))</f>
        <v>0</v>
      </c>
      <c r="AS15" s="290" cm="1">
        <f t="array" aca="1" ref="AS15" ca="1">SUMPRODUCT((PlayerGameData[Visible]=1)*(PlayerGameData[PLAYER, '#]=$A15)*(PlayerGameData[FTA]))</f>
        <v>0</v>
      </c>
      <c r="AT15" s="289" cm="1">
        <f t="array" aca="1" ref="AT15" ca="1">SUMPRODUCT((PlayerGameData[Visible]=1)*(PlayerGameData[PLAYER, '#]=$A15)*(PlayerGameData[OFF REB]))</f>
        <v>2</v>
      </c>
      <c r="AU15" s="289" cm="1">
        <f t="array" aca="1" ref="AU15" ca="1">SUMPRODUCT((PlayerGameData[Visible]=1)*(PlayerGameData[PLAYER, '#]=$A15)*(PlayerGameData[DEF REB]))</f>
        <v>5</v>
      </c>
      <c r="AV15" s="290">
        <f ca="1">AT15+AU15</f>
        <v>7</v>
      </c>
      <c r="AW15" s="289" cm="1">
        <f t="array" aca="1" ref="AW15" ca="1">SUMPRODUCT((PlayerGameData[Visible]=1)*(PlayerGameData[PLAYER, '#]=$A15)*(PlayerGameData[AST]))</f>
        <v>2</v>
      </c>
      <c r="AX15" s="289" cm="1">
        <f t="array" aca="1" ref="AX15" ca="1">SUMPRODUCT((PlayerGameData[Visible]=1)*(PlayerGameData[PLAYER, '#]=$A15)*(PlayerGameData[STL]))</f>
        <v>0</v>
      </c>
      <c r="AY15" s="289" cm="1">
        <f t="array" aca="1" ref="AY15" ca="1">SUMPRODUCT((PlayerGameData[Visible]=1)*(PlayerGameData[PLAYER, '#]=$A15)*(PlayerGameData[BLK]))</f>
        <v>0</v>
      </c>
      <c r="AZ15" s="289" cm="1">
        <f t="array" aca="1" ref="AZ15" ca="1">SUMPRODUCT((PlayerGameData[Visible]=1)*(PlayerGameData[PLAYER, '#]=$A15)*(PlayerGameData[TO]))</f>
        <v>1</v>
      </c>
      <c r="BA15" s="289" cm="1">
        <f t="array" aca="1" ref="BA15" ca="1">SUMPRODUCT((PlayerGameData[Visible]=1)*(PlayerGameData[PLAYER, '#]=$A15)*(PlayerGameData[FOUL]))</f>
        <v>4</v>
      </c>
      <c r="BB15" s="291" cm="1">
        <f t="array" aca="1" ref="BB15" ca="1">SUMPRODUCT((PlayerGameData[Visible]=1)*(PlayerGameData[PLAYER, '#]=$A15)*(PlayerGameData[CHRG TKN]))</f>
        <v>0</v>
      </c>
      <c r="BC15" s="28">
        <f ca="1">IF(AR15+2*AP15+3*AN15&gt;0,AR15+2*AP15+3*AN15,0)</f>
        <v>2</v>
      </c>
      <c r="BD15" s="29" t="str">
        <f ca="1">IF(AO15&gt;0,AN15/AO15,"")</f>
        <v/>
      </c>
      <c r="BE15" s="29">
        <f ca="1">IF(AQ15&gt;0,AP15/AQ15,"")</f>
        <v>0.125</v>
      </c>
      <c r="BF15" s="30" t="str">
        <f ca="1">IF(AS15&gt;0,AR15/AS15,"")</f>
        <v/>
      </c>
      <c r="BG15" s="29">
        <f ca="1">IF(OR(AO15&gt;0,AQ15 &gt;0),(AN15+AP15)/(AO15+AQ15),"")</f>
        <v>0.125</v>
      </c>
      <c r="BH15" s="31">
        <f ca="1">IF(OR(AO15&gt;0,AQ15 &gt;0),(1.5*AN15+AP15)/(AO15+AQ15),"")</f>
        <v>0.125</v>
      </c>
      <c r="BI15" s="184"/>
      <c r="BJ15" s="184"/>
      <c r="BK15" s="184"/>
      <c r="BL15" s="184"/>
      <c r="BM15" s="184"/>
      <c r="BN15" s="184"/>
      <c r="BO15" s="184"/>
      <c r="BP15" s="184"/>
      <c r="BQ15" s="184"/>
      <c r="BR15" s="184"/>
      <c r="BS15" s="184"/>
      <c r="BT15" s="184"/>
      <c r="CA15" s="51">
        <f t="shared" ca="1" si="2"/>
        <v>1</v>
      </c>
      <c r="CB15" s="51">
        <f t="shared" ca="1" si="2"/>
        <v>8</v>
      </c>
      <c r="CC15" s="51"/>
      <c r="CD15" s="51"/>
      <c r="CE15" s="51"/>
      <c r="CF15" s="51"/>
      <c r="CG15" s="51"/>
      <c r="CH15" s="51"/>
      <c r="CI15" s="51"/>
      <c r="CJ15" s="51"/>
      <c r="CK15" s="51"/>
      <c r="CL15" s="51"/>
      <c r="CM15" s="51"/>
      <c r="CN15" s="292"/>
      <c r="CO15" s="51"/>
      <c r="CP15" s="51"/>
      <c r="CQ15" s="293"/>
    </row>
    <row r="16" spans="1:95" s="18" customFormat="1" ht="15.6" x14ac:dyDescent="0.35">
      <c r="A16" s="188" t="str">
        <f>IF(A15&lt;&gt;"","Per Game","")</f>
        <v>Per Game</v>
      </c>
      <c r="B16" s="294"/>
      <c r="C16" s="295"/>
      <c r="D16" s="296">
        <f ca="1">IFERROR(ROUND(D15/$C15,1),"")</f>
        <v>2.5</v>
      </c>
      <c r="E16" s="300">
        <f t="shared" ref="E16:T16" ca="1" si="13">IFERROR(ROUND(E15/$C15,1),"")</f>
        <v>0</v>
      </c>
      <c r="F16" s="301">
        <f t="shared" ca="1" si="13"/>
        <v>0</v>
      </c>
      <c r="G16" s="300">
        <f t="shared" ca="1" si="13"/>
        <v>0.1</v>
      </c>
      <c r="H16" s="301">
        <f t="shared" ca="1" si="13"/>
        <v>0.7</v>
      </c>
      <c r="I16" s="300">
        <f t="shared" ca="1" si="13"/>
        <v>0</v>
      </c>
      <c r="J16" s="301">
        <f t="shared" ca="1" si="13"/>
        <v>0</v>
      </c>
      <c r="K16" s="300">
        <f t="shared" ca="1" si="13"/>
        <v>0.2</v>
      </c>
      <c r="L16" s="300">
        <f t="shared" ca="1" si="13"/>
        <v>0.4</v>
      </c>
      <c r="M16" s="301">
        <f t="shared" ca="1" si="13"/>
        <v>0.6</v>
      </c>
      <c r="N16" s="300">
        <f t="shared" ca="1" si="13"/>
        <v>0.2</v>
      </c>
      <c r="O16" s="300">
        <f t="shared" ca="1" si="13"/>
        <v>0</v>
      </c>
      <c r="P16" s="300">
        <f t="shared" ca="1" si="13"/>
        <v>0</v>
      </c>
      <c r="Q16" s="300">
        <f t="shared" ca="1" si="13"/>
        <v>0.1</v>
      </c>
      <c r="R16" s="300">
        <f t="shared" ca="1" si="13"/>
        <v>0.3</v>
      </c>
      <c r="S16" s="302">
        <f t="shared" ca="1" si="13"/>
        <v>0</v>
      </c>
      <c r="T16" s="60">
        <f t="shared" ca="1" si="13"/>
        <v>0.2</v>
      </c>
      <c r="U16" s="25"/>
      <c r="V16" s="25"/>
      <c r="W16" s="26"/>
      <c r="X16" s="25"/>
      <c r="Y16" s="27"/>
      <c r="Z16" s="184"/>
      <c r="AA16" s="184"/>
      <c r="AB16" s="184"/>
      <c r="AC16" s="184"/>
      <c r="AD16" s="184"/>
      <c r="AE16" s="184"/>
      <c r="AF16" s="184"/>
      <c r="AG16" s="184"/>
      <c r="AH16" s="184"/>
      <c r="AI16" s="184"/>
      <c r="AJ16" s="188" t="str">
        <f>IF(AJ15&lt;&gt;"","Per Minute","")</f>
        <v>Per Minute</v>
      </c>
      <c r="AK16" s="294"/>
      <c r="AL16" s="295"/>
      <c r="AM16" s="296">
        <f ca="1">IFERROR(ROUND(AM15/$C15,1),"")</f>
        <v>2.5</v>
      </c>
      <c r="AN16" s="300">
        <f t="shared" ref="AN16:BC16" ca="1" si="14">IFERROR(ROUND(AN15/$D15,1),"")</f>
        <v>0</v>
      </c>
      <c r="AO16" s="301">
        <f t="shared" ca="1" si="14"/>
        <v>0</v>
      </c>
      <c r="AP16" s="300">
        <f t="shared" ca="1" si="14"/>
        <v>0</v>
      </c>
      <c r="AQ16" s="301">
        <f t="shared" ca="1" si="14"/>
        <v>0.3</v>
      </c>
      <c r="AR16" s="300">
        <f t="shared" ca="1" si="14"/>
        <v>0</v>
      </c>
      <c r="AS16" s="301">
        <f t="shared" ca="1" si="14"/>
        <v>0</v>
      </c>
      <c r="AT16" s="300">
        <f t="shared" ca="1" si="14"/>
        <v>0.1</v>
      </c>
      <c r="AU16" s="300">
        <f t="shared" ca="1" si="14"/>
        <v>0.2</v>
      </c>
      <c r="AV16" s="301">
        <f t="shared" ca="1" si="14"/>
        <v>0.2</v>
      </c>
      <c r="AW16" s="300">
        <f t="shared" ca="1" si="14"/>
        <v>0.1</v>
      </c>
      <c r="AX16" s="300">
        <f t="shared" ca="1" si="14"/>
        <v>0</v>
      </c>
      <c r="AY16" s="300">
        <f t="shared" ca="1" si="14"/>
        <v>0</v>
      </c>
      <c r="AZ16" s="300">
        <f t="shared" ca="1" si="14"/>
        <v>0</v>
      </c>
      <c r="BA16" s="300">
        <f t="shared" ca="1" si="14"/>
        <v>0.1</v>
      </c>
      <c r="BB16" s="302">
        <f t="shared" ca="1" si="14"/>
        <v>0</v>
      </c>
      <c r="BC16" s="60">
        <f t="shared" ca="1" si="14"/>
        <v>0.1</v>
      </c>
      <c r="BD16" s="25"/>
      <c r="BE16" s="25"/>
      <c r="BF16" s="26"/>
      <c r="BG16" s="25"/>
      <c r="BH16" s="27"/>
      <c r="BI16" s="184"/>
      <c r="BJ16" s="184"/>
      <c r="BK16" s="184"/>
      <c r="BL16" s="184"/>
      <c r="BM16" s="184"/>
      <c r="BN16" s="184"/>
      <c r="BO16" s="184"/>
      <c r="BP16" s="184"/>
      <c r="BQ16" s="184"/>
      <c r="BR16" s="184"/>
      <c r="BS16" s="184"/>
      <c r="BT16" s="184"/>
      <c r="CA16" s="51">
        <f t="shared" ca="1" si="2"/>
        <v>0.1</v>
      </c>
      <c r="CB16" s="51">
        <f t="shared" ca="1" si="2"/>
        <v>0.7</v>
      </c>
      <c r="CC16" s="51"/>
      <c r="CD16" s="51"/>
      <c r="CE16" s="51"/>
      <c r="CF16" s="51"/>
      <c r="CG16" s="51"/>
      <c r="CH16" s="51"/>
      <c r="CI16" s="51"/>
      <c r="CJ16" s="51"/>
      <c r="CK16" s="51"/>
      <c r="CL16" s="51"/>
      <c r="CM16" s="51"/>
      <c r="CN16" s="292"/>
      <c r="CO16" s="51"/>
      <c r="CP16" s="51"/>
      <c r="CQ16" s="293"/>
    </row>
    <row r="17" spans="1:94" s="18" customFormat="1" ht="15.6" x14ac:dyDescent="0.35">
      <c r="A17" s="59" t="str">
        <f>IF(OR(Roster!$A14&lt;&gt;"",Roster!$B14&lt;&gt;""),CONCATENATE(PROPER(Roster!$B14),", ",Roster!$A14),"")</f>
        <v>Ethan Schiller, 23</v>
      </c>
      <c r="B17" s="286" cm="1">
        <f t="array" aca="1" ref="B17" ca="1">SUMPRODUCT((PlayerGameData[Visible]=1)*(PlayerGameData[PLAYER, '#]=$A17)*(PlayerGameData[START]))</f>
        <v>26</v>
      </c>
      <c r="C17" s="287" cm="1">
        <f t="array" aca="1" ref="C17" ca="1">SUMPRODUCT((PlayerGameData[Visible]=1)*(PlayerGameData[PLAYER, '#]=$A17)*(PlayerGameData[GP]))</f>
        <v>26</v>
      </c>
      <c r="D17" s="288" cm="1">
        <f t="array" aca="1" ref="D17" ca="1">SUMPRODUCT((PlayerGameData[Visible]=1)*(PlayerGameData[PLAYER, '#]=$A17)*(PlayerGameData[MINUTES]))</f>
        <v>591</v>
      </c>
      <c r="E17" s="289" cm="1">
        <f t="array" aca="1" ref="E17" ca="1">SUMPRODUCT((PlayerGameData[Visible]=1)*(PlayerGameData[PLAYER, '#]=$A17)*(PlayerGameData[3FGM]))</f>
        <v>22</v>
      </c>
      <c r="F17" s="290" cm="1">
        <f t="array" aca="1" ref="F17" ca="1">SUMPRODUCT((PlayerGameData[Visible]=1)*(PlayerGameData[PLAYER, '#]=$A17)*(PlayerGameData[3FGA]))</f>
        <v>71</v>
      </c>
      <c r="G17" s="289" cm="1">
        <f t="array" aca="1" ref="G17" ca="1">SUMPRODUCT((PlayerGameData[Visible]=1)*(PlayerGameData[PLAYER, '#]=$A17)*(PlayerGameData[2FGM]))</f>
        <v>90</v>
      </c>
      <c r="H17" s="290" cm="1">
        <f t="array" aca="1" ref="H17" ca="1">SUMPRODUCT((PlayerGameData[Visible]=1)*(PlayerGameData[PLAYER, '#]=$A17)*(PlayerGameData[2FGA]))</f>
        <v>162</v>
      </c>
      <c r="I17" s="289" cm="1">
        <f t="array" aca="1" ref="I17" ca="1">SUMPRODUCT((PlayerGameData[Visible]=1)*(PlayerGameData[PLAYER, '#]=$A17)*(PlayerGameData[FTM]))</f>
        <v>66</v>
      </c>
      <c r="J17" s="290" cm="1">
        <f t="array" aca="1" ref="J17" ca="1">SUMPRODUCT((PlayerGameData[Visible]=1)*(PlayerGameData[PLAYER, '#]=$A17)*(PlayerGameData[FTA]))</f>
        <v>98</v>
      </c>
      <c r="K17" s="289" cm="1">
        <f t="array" aca="1" ref="K17" ca="1">SUMPRODUCT((PlayerGameData[Visible]=1)*(PlayerGameData[PLAYER, '#]=$A17)*(PlayerGameData[OFF REB]))</f>
        <v>76</v>
      </c>
      <c r="L17" s="289" cm="1">
        <f t="array" aca="1" ref="L17" ca="1">SUMPRODUCT((PlayerGameData[Visible]=1)*(PlayerGameData[PLAYER, '#]=$A17)*(PlayerGameData[DEF REB]))</f>
        <v>107</v>
      </c>
      <c r="M17" s="290">
        <f ca="1">K17+L17</f>
        <v>183</v>
      </c>
      <c r="N17" s="289" cm="1">
        <f t="array" aca="1" ref="N17" ca="1">SUMPRODUCT((PlayerGameData[Visible]=1)*(PlayerGameData[PLAYER, '#]=$A17)*(PlayerGameData[AST]))</f>
        <v>78</v>
      </c>
      <c r="O17" s="289" cm="1">
        <f t="array" aca="1" ref="O17" ca="1">SUMPRODUCT((PlayerGameData[Visible]=1)*(PlayerGameData[PLAYER, '#]=$A17)*(PlayerGameData[STL]))</f>
        <v>63</v>
      </c>
      <c r="P17" s="289" cm="1">
        <f t="array" aca="1" ref="P17" ca="1">SUMPRODUCT((PlayerGameData[Visible]=1)*(PlayerGameData[PLAYER, '#]=$A17)*(PlayerGameData[BLK]))</f>
        <v>27</v>
      </c>
      <c r="Q17" s="289" cm="1">
        <f t="array" aca="1" ref="Q17" ca="1">SUMPRODUCT((PlayerGameData[Visible]=1)*(PlayerGameData[PLAYER, '#]=$A17)*(PlayerGameData[TO]))</f>
        <v>78</v>
      </c>
      <c r="R17" s="289" cm="1">
        <f t="array" aca="1" ref="R17" ca="1">SUMPRODUCT((PlayerGameData[Visible]=1)*(PlayerGameData[PLAYER, '#]=$A17)*(PlayerGameData[FOUL]))</f>
        <v>55</v>
      </c>
      <c r="S17" s="291" cm="1">
        <f t="array" aca="1" ref="S17" ca="1">SUMPRODUCT((PlayerGameData[Visible]=1)*(PlayerGameData[PLAYER, '#]=$A17)*(PlayerGameData[CHRG TKN]))</f>
        <v>2</v>
      </c>
      <c r="T17" s="28">
        <f ca="1">IF(I17+2*G17+3*E17&gt;0,I17+2*G17+3*E17,0)</f>
        <v>312</v>
      </c>
      <c r="U17" s="29">
        <f ca="1">IF(F17&gt;0,E17/F17,"")</f>
        <v>0.30985915492957744</v>
      </c>
      <c r="V17" s="29">
        <f ca="1">IF(H17&gt;0,G17/H17,"")</f>
        <v>0.55555555555555558</v>
      </c>
      <c r="W17" s="30">
        <f ca="1">IF(J17&gt;0,I17/J17,"")</f>
        <v>0.67346938775510201</v>
      </c>
      <c r="X17" s="29">
        <f ca="1">IF(OR(F17&gt;0,H17 &gt;0),(E17+G17)/(F17+H17),"")</f>
        <v>0.48068669527896996</v>
      </c>
      <c r="Y17" s="31">
        <f ca="1">IF(OR(F17&gt;0,H17 &gt;0),(1.5*E17+G17)/(F17+H17),"")</f>
        <v>0.52789699570815452</v>
      </c>
      <c r="Z17" s="184"/>
      <c r="AA17" s="184"/>
      <c r="AB17" s="184"/>
      <c r="AC17" s="184"/>
      <c r="AD17" s="184"/>
      <c r="AE17" s="184"/>
      <c r="AF17" s="184"/>
      <c r="AG17" s="184"/>
      <c r="AH17" s="184"/>
      <c r="AI17" s="184"/>
      <c r="AJ17" s="59" t="str">
        <f>IF(OR(Roster!$A14&lt;&gt;"",Roster!$B14&lt;&gt;""),CONCATENATE(PROPER(Roster!$B14),", ",Roster!$A14),"")</f>
        <v>Ethan Schiller, 23</v>
      </c>
      <c r="AK17" s="286" cm="1">
        <f t="array" aca="1" ref="AK17" ca="1">SUMPRODUCT((PlayerGameData[Visible]=1)*(PlayerGameData[PLAYER, '#]=$A17)*(PlayerGameData[START]))</f>
        <v>26</v>
      </c>
      <c r="AL17" s="287" cm="1">
        <f t="array" aca="1" ref="AL17" ca="1">SUMPRODUCT((PlayerGameData[Visible]=1)*(PlayerGameData[PLAYER, '#]=$A17)*(PlayerGameData[GP]))</f>
        <v>26</v>
      </c>
      <c r="AM17" s="288" cm="1">
        <f t="array" aca="1" ref="AM17" ca="1">SUMPRODUCT((PlayerGameData[Visible]=1)*(PlayerGameData[PLAYER, '#]=$A17)*(PlayerGameData[MINUTES]))</f>
        <v>591</v>
      </c>
      <c r="AN17" s="289" cm="1">
        <f t="array" aca="1" ref="AN17" ca="1">SUMPRODUCT((PlayerGameData[Visible]=1)*(PlayerGameData[PLAYER, '#]=$A17)*(PlayerGameData[3FGM]))</f>
        <v>22</v>
      </c>
      <c r="AO17" s="290" cm="1">
        <f t="array" aca="1" ref="AO17" ca="1">SUMPRODUCT((PlayerGameData[Visible]=1)*(PlayerGameData[PLAYER, '#]=$A17)*(PlayerGameData[3FGA]))</f>
        <v>71</v>
      </c>
      <c r="AP17" s="289" cm="1">
        <f t="array" aca="1" ref="AP17" ca="1">SUMPRODUCT((PlayerGameData[Visible]=1)*(PlayerGameData[PLAYER, '#]=$A17)*(PlayerGameData[2FGM]))</f>
        <v>90</v>
      </c>
      <c r="AQ17" s="290" cm="1">
        <f t="array" aca="1" ref="AQ17" ca="1">SUMPRODUCT((PlayerGameData[Visible]=1)*(PlayerGameData[PLAYER, '#]=$A17)*(PlayerGameData[2FGA]))</f>
        <v>162</v>
      </c>
      <c r="AR17" s="289" cm="1">
        <f t="array" aca="1" ref="AR17" ca="1">SUMPRODUCT((PlayerGameData[Visible]=1)*(PlayerGameData[PLAYER, '#]=$A17)*(PlayerGameData[FTM]))</f>
        <v>66</v>
      </c>
      <c r="AS17" s="290" cm="1">
        <f t="array" aca="1" ref="AS17" ca="1">SUMPRODUCT((PlayerGameData[Visible]=1)*(PlayerGameData[PLAYER, '#]=$A17)*(PlayerGameData[FTA]))</f>
        <v>98</v>
      </c>
      <c r="AT17" s="289" cm="1">
        <f t="array" aca="1" ref="AT17" ca="1">SUMPRODUCT((PlayerGameData[Visible]=1)*(PlayerGameData[PLAYER, '#]=$A17)*(PlayerGameData[OFF REB]))</f>
        <v>76</v>
      </c>
      <c r="AU17" s="289" cm="1">
        <f t="array" aca="1" ref="AU17" ca="1">SUMPRODUCT((PlayerGameData[Visible]=1)*(PlayerGameData[PLAYER, '#]=$A17)*(PlayerGameData[DEF REB]))</f>
        <v>107</v>
      </c>
      <c r="AV17" s="290">
        <f ca="1">AT17+AU17</f>
        <v>183</v>
      </c>
      <c r="AW17" s="289" cm="1">
        <f t="array" aca="1" ref="AW17" ca="1">SUMPRODUCT((PlayerGameData[Visible]=1)*(PlayerGameData[PLAYER, '#]=$A17)*(PlayerGameData[AST]))</f>
        <v>78</v>
      </c>
      <c r="AX17" s="289" cm="1">
        <f t="array" aca="1" ref="AX17" ca="1">SUMPRODUCT((PlayerGameData[Visible]=1)*(PlayerGameData[PLAYER, '#]=$A17)*(PlayerGameData[STL]))</f>
        <v>63</v>
      </c>
      <c r="AY17" s="289" cm="1">
        <f t="array" aca="1" ref="AY17" ca="1">SUMPRODUCT((PlayerGameData[Visible]=1)*(PlayerGameData[PLAYER, '#]=$A17)*(PlayerGameData[BLK]))</f>
        <v>27</v>
      </c>
      <c r="AZ17" s="289" cm="1">
        <f t="array" aca="1" ref="AZ17" ca="1">SUMPRODUCT((PlayerGameData[Visible]=1)*(PlayerGameData[PLAYER, '#]=$A17)*(PlayerGameData[TO]))</f>
        <v>78</v>
      </c>
      <c r="BA17" s="289" cm="1">
        <f t="array" aca="1" ref="BA17" ca="1">SUMPRODUCT((PlayerGameData[Visible]=1)*(PlayerGameData[PLAYER, '#]=$A17)*(PlayerGameData[FOUL]))</f>
        <v>55</v>
      </c>
      <c r="BB17" s="291" cm="1">
        <f t="array" aca="1" ref="BB17" ca="1">SUMPRODUCT((PlayerGameData[Visible]=1)*(PlayerGameData[PLAYER, '#]=$A17)*(PlayerGameData[CHRG TKN]))</f>
        <v>2</v>
      </c>
      <c r="BC17" s="28">
        <f ca="1">IF(AR17+2*AP17+3*AN17&gt;0,AR17+2*AP17+3*AN17,0)</f>
        <v>312</v>
      </c>
      <c r="BD17" s="29">
        <f ca="1">IF(AO17&gt;0,AN17/AO17,"")</f>
        <v>0.30985915492957744</v>
      </c>
      <c r="BE17" s="29">
        <f ca="1">IF(AQ17&gt;0,AP17/AQ17,"")</f>
        <v>0.55555555555555558</v>
      </c>
      <c r="BF17" s="30">
        <f ca="1">IF(AS17&gt;0,AR17/AS17,"")</f>
        <v>0.67346938775510201</v>
      </c>
      <c r="BG17" s="29">
        <f ca="1">IF(OR(AO17&gt;0,AQ17 &gt;0),(AN17+AP17)/(AO17+AQ17),"")</f>
        <v>0.48068669527896996</v>
      </c>
      <c r="BH17" s="31">
        <f ca="1">IF(OR(AO17&gt;0,AQ17 &gt;0),(1.5*AN17+AP17)/(AO17+AQ17),"")</f>
        <v>0.52789699570815452</v>
      </c>
      <c r="BI17" s="184"/>
      <c r="BJ17" s="184"/>
      <c r="BK17" s="184"/>
      <c r="BL17" s="184"/>
      <c r="BM17" s="184"/>
      <c r="BN17" s="184"/>
      <c r="BO17" s="184"/>
      <c r="BP17" s="184"/>
      <c r="BQ17" s="184"/>
      <c r="BR17" s="184"/>
      <c r="BS17" s="184"/>
      <c r="BT17" s="184"/>
      <c r="CA17" s="51">
        <f t="shared" ca="1" si="2"/>
        <v>112</v>
      </c>
      <c r="CB17" s="51">
        <f t="shared" ca="1" si="2"/>
        <v>233</v>
      </c>
      <c r="CC17" s="51"/>
      <c r="CD17" s="51"/>
      <c r="CE17" s="51"/>
      <c r="CF17" s="51"/>
      <c r="CG17" s="51"/>
      <c r="CH17" s="51"/>
      <c r="CI17" s="51"/>
      <c r="CJ17" s="51"/>
      <c r="CK17" s="51"/>
      <c r="CL17" s="51"/>
      <c r="CM17" s="51"/>
      <c r="CN17" s="292"/>
      <c r="CO17" s="51"/>
      <c r="CP17" s="51"/>
    </row>
    <row r="18" spans="1:94" s="18" customFormat="1" ht="15.6" x14ac:dyDescent="0.35">
      <c r="A18" s="188" t="str">
        <f>IF(A17&lt;&gt;"","Per Game","")</f>
        <v>Per Game</v>
      </c>
      <c r="B18" s="294"/>
      <c r="C18" s="295"/>
      <c r="D18" s="296">
        <f ca="1">IFERROR(ROUND(D17/$C17,1),"")</f>
        <v>22.7</v>
      </c>
      <c r="E18" s="300">
        <f t="shared" ref="E18:T18" ca="1" si="15">IFERROR(ROUND(E17/$C17,1),"")</f>
        <v>0.8</v>
      </c>
      <c r="F18" s="301">
        <f t="shared" ca="1" si="15"/>
        <v>2.7</v>
      </c>
      <c r="G18" s="300">
        <f t="shared" ca="1" si="15"/>
        <v>3.5</v>
      </c>
      <c r="H18" s="301">
        <f t="shared" ca="1" si="15"/>
        <v>6.2</v>
      </c>
      <c r="I18" s="300">
        <f t="shared" ca="1" si="15"/>
        <v>2.5</v>
      </c>
      <c r="J18" s="301">
        <f t="shared" ca="1" si="15"/>
        <v>3.8</v>
      </c>
      <c r="K18" s="300">
        <f t="shared" ca="1" si="15"/>
        <v>2.9</v>
      </c>
      <c r="L18" s="300">
        <f t="shared" ca="1" si="15"/>
        <v>4.0999999999999996</v>
      </c>
      <c r="M18" s="301">
        <f t="shared" ca="1" si="15"/>
        <v>7</v>
      </c>
      <c r="N18" s="300">
        <f t="shared" ca="1" si="15"/>
        <v>3</v>
      </c>
      <c r="O18" s="300">
        <f t="shared" ca="1" si="15"/>
        <v>2.4</v>
      </c>
      <c r="P18" s="300">
        <f t="shared" ca="1" si="15"/>
        <v>1</v>
      </c>
      <c r="Q18" s="300">
        <f t="shared" ca="1" si="15"/>
        <v>3</v>
      </c>
      <c r="R18" s="300">
        <f t="shared" ca="1" si="15"/>
        <v>2.1</v>
      </c>
      <c r="S18" s="302">
        <f t="shared" ca="1" si="15"/>
        <v>0.1</v>
      </c>
      <c r="T18" s="60">
        <f t="shared" ca="1" si="15"/>
        <v>12</v>
      </c>
      <c r="U18" s="25"/>
      <c r="V18" s="25"/>
      <c r="W18" s="26"/>
      <c r="X18" s="25"/>
      <c r="Y18" s="27"/>
      <c r="Z18" s="184"/>
      <c r="AA18" s="184"/>
      <c r="AB18" s="184"/>
      <c r="AC18" s="184"/>
      <c r="AD18" s="184"/>
      <c r="AE18" s="184"/>
      <c r="AF18" s="184"/>
      <c r="AG18" s="184"/>
      <c r="AH18" s="184"/>
      <c r="AI18" s="184"/>
      <c r="AJ18" s="188" t="str">
        <f>IF(AJ17&lt;&gt;"","Per Minute","")</f>
        <v>Per Minute</v>
      </c>
      <c r="AK18" s="294"/>
      <c r="AL18" s="295"/>
      <c r="AM18" s="296">
        <f ca="1">IFERROR(ROUND(AM17/$C17,1),"")</f>
        <v>22.7</v>
      </c>
      <c r="AN18" s="300">
        <f t="shared" ref="AN18:BC18" ca="1" si="16">IFERROR(ROUND(AN17/$D17,1),"")</f>
        <v>0</v>
      </c>
      <c r="AO18" s="301">
        <f t="shared" ca="1" si="16"/>
        <v>0.1</v>
      </c>
      <c r="AP18" s="300">
        <f t="shared" ca="1" si="16"/>
        <v>0.2</v>
      </c>
      <c r="AQ18" s="301">
        <f t="shared" ca="1" si="16"/>
        <v>0.3</v>
      </c>
      <c r="AR18" s="300">
        <f t="shared" ca="1" si="16"/>
        <v>0.1</v>
      </c>
      <c r="AS18" s="301">
        <f t="shared" ca="1" si="16"/>
        <v>0.2</v>
      </c>
      <c r="AT18" s="300">
        <f t="shared" ca="1" si="16"/>
        <v>0.1</v>
      </c>
      <c r="AU18" s="300">
        <f t="shared" ca="1" si="16"/>
        <v>0.2</v>
      </c>
      <c r="AV18" s="301">
        <f t="shared" ca="1" si="16"/>
        <v>0.3</v>
      </c>
      <c r="AW18" s="300">
        <f t="shared" ca="1" si="16"/>
        <v>0.1</v>
      </c>
      <c r="AX18" s="300">
        <f t="shared" ca="1" si="16"/>
        <v>0.1</v>
      </c>
      <c r="AY18" s="300">
        <f t="shared" ca="1" si="16"/>
        <v>0</v>
      </c>
      <c r="AZ18" s="300">
        <f t="shared" ca="1" si="16"/>
        <v>0.1</v>
      </c>
      <c r="BA18" s="300">
        <f t="shared" ca="1" si="16"/>
        <v>0.1</v>
      </c>
      <c r="BB18" s="302">
        <f t="shared" ca="1" si="16"/>
        <v>0</v>
      </c>
      <c r="BC18" s="60">
        <f t="shared" ca="1" si="16"/>
        <v>0.5</v>
      </c>
      <c r="BD18" s="25"/>
      <c r="BE18" s="25"/>
      <c r="BF18" s="26"/>
      <c r="BG18" s="25"/>
      <c r="BH18" s="27"/>
      <c r="BI18" s="184"/>
      <c r="BJ18" s="184"/>
      <c r="BK18" s="184"/>
      <c r="BL18" s="184"/>
      <c r="BM18" s="184"/>
      <c r="BN18" s="184"/>
      <c r="BO18" s="184"/>
      <c r="BP18" s="184"/>
      <c r="BQ18" s="184"/>
      <c r="BR18" s="184"/>
      <c r="BS18" s="184"/>
      <c r="BT18" s="184"/>
      <c r="CA18" s="51">
        <f t="shared" ca="1" si="2"/>
        <v>4.3</v>
      </c>
      <c r="CB18" s="51">
        <f t="shared" ca="1" si="2"/>
        <v>8.9</v>
      </c>
      <c r="CC18" s="51"/>
      <c r="CD18" s="51"/>
      <c r="CE18" s="51"/>
      <c r="CF18" s="51"/>
      <c r="CG18" s="51"/>
      <c r="CH18" s="51"/>
      <c r="CI18" s="51"/>
      <c r="CJ18" s="51"/>
      <c r="CK18" s="51"/>
      <c r="CL18" s="51"/>
      <c r="CM18" s="51"/>
      <c r="CN18" s="292"/>
      <c r="CO18" s="51"/>
      <c r="CP18" s="51"/>
    </row>
    <row r="19" spans="1:94" s="18" customFormat="1" ht="15.6" x14ac:dyDescent="0.35">
      <c r="A19" s="59" t="str">
        <f>IF(OR(Roster!$A15&lt;&gt;"",Roster!$B15&lt;&gt;""),CONCATENATE(PROPER(Roster!$B15),", ",Roster!$A15),"")</f>
        <v>Bridger Bruce, 25</v>
      </c>
      <c r="B19" s="286" cm="1">
        <f t="array" aca="1" ref="B19" ca="1">SUMPRODUCT((PlayerGameData[Visible]=1)*(PlayerGameData[PLAYER, '#]=$A19)*(PlayerGameData[START]))</f>
        <v>6</v>
      </c>
      <c r="C19" s="287" cm="1">
        <f t="array" aca="1" ref="C19" ca="1">SUMPRODUCT((PlayerGameData[Visible]=1)*(PlayerGameData[PLAYER, '#]=$A19)*(PlayerGameData[GP]))</f>
        <v>26</v>
      </c>
      <c r="D19" s="288" cm="1">
        <f t="array" aca="1" ref="D19" ca="1">SUMPRODUCT((PlayerGameData[Visible]=1)*(PlayerGameData[PLAYER, '#]=$A19)*(PlayerGameData[MINUTES]))</f>
        <v>366</v>
      </c>
      <c r="E19" s="289" cm="1">
        <f t="array" aca="1" ref="E19" ca="1">SUMPRODUCT((PlayerGameData[Visible]=1)*(PlayerGameData[PLAYER, '#]=$A19)*(PlayerGameData[3FGM]))</f>
        <v>7</v>
      </c>
      <c r="F19" s="290" cm="1">
        <f t="array" aca="1" ref="F19" ca="1">SUMPRODUCT((PlayerGameData[Visible]=1)*(PlayerGameData[PLAYER, '#]=$A19)*(PlayerGameData[3FGA]))</f>
        <v>32</v>
      </c>
      <c r="G19" s="289" cm="1">
        <f t="array" aca="1" ref="G19" ca="1">SUMPRODUCT((PlayerGameData[Visible]=1)*(PlayerGameData[PLAYER, '#]=$A19)*(PlayerGameData[2FGM]))</f>
        <v>16</v>
      </c>
      <c r="H19" s="290" cm="1">
        <f t="array" aca="1" ref="H19" ca="1">SUMPRODUCT((PlayerGameData[Visible]=1)*(PlayerGameData[PLAYER, '#]=$A19)*(PlayerGameData[2FGA]))</f>
        <v>42</v>
      </c>
      <c r="I19" s="289" cm="1">
        <f t="array" aca="1" ref="I19" ca="1">SUMPRODUCT((PlayerGameData[Visible]=1)*(PlayerGameData[PLAYER, '#]=$A19)*(PlayerGameData[FTM]))</f>
        <v>9</v>
      </c>
      <c r="J19" s="290" cm="1">
        <f t="array" aca="1" ref="J19" ca="1">SUMPRODUCT((PlayerGameData[Visible]=1)*(PlayerGameData[PLAYER, '#]=$A19)*(PlayerGameData[FTA]))</f>
        <v>25</v>
      </c>
      <c r="K19" s="289" cm="1">
        <f t="array" aca="1" ref="K19" ca="1">SUMPRODUCT((PlayerGameData[Visible]=1)*(PlayerGameData[PLAYER, '#]=$A19)*(PlayerGameData[OFF REB]))</f>
        <v>31</v>
      </c>
      <c r="L19" s="289" cm="1">
        <f t="array" aca="1" ref="L19" ca="1">SUMPRODUCT((PlayerGameData[Visible]=1)*(PlayerGameData[PLAYER, '#]=$A19)*(PlayerGameData[DEF REB]))</f>
        <v>54</v>
      </c>
      <c r="M19" s="290">
        <f ca="1">K19+L19</f>
        <v>85</v>
      </c>
      <c r="N19" s="289" cm="1">
        <f t="array" aca="1" ref="N19" ca="1">SUMPRODUCT((PlayerGameData[Visible]=1)*(PlayerGameData[PLAYER, '#]=$A19)*(PlayerGameData[AST]))</f>
        <v>32</v>
      </c>
      <c r="O19" s="289" cm="1">
        <f t="array" aca="1" ref="O19" ca="1">SUMPRODUCT((PlayerGameData[Visible]=1)*(PlayerGameData[PLAYER, '#]=$A19)*(PlayerGameData[STL]))</f>
        <v>15</v>
      </c>
      <c r="P19" s="289" cm="1">
        <f t="array" aca="1" ref="P19" ca="1">SUMPRODUCT((PlayerGameData[Visible]=1)*(PlayerGameData[PLAYER, '#]=$A19)*(PlayerGameData[BLK]))</f>
        <v>0</v>
      </c>
      <c r="Q19" s="289" cm="1">
        <f t="array" aca="1" ref="Q19" ca="1">SUMPRODUCT((PlayerGameData[Visible]=1)*(PlayerGameData[PLAYER, '#]=$A19)*(PlayerGameData[TO]))</f>
        <v>31</v>
      </c>
      <c r="R19" s="289" cm="1">
        <f t="array" aca="1" ref="R19" ca="1">SUMPRODUCT((PlayerGameData[Visible]=1)*(PlayerGameData[PLAYER, '#]=$A19)*(PlayerGameData[FOUL]))</f>
        <v>48</v>
      </c>
      <c r="S19" s="291" cm="1">
        <f t="array" aca="1" ref="S19" ca="1">SUMPRODUCT((PlayerGameData[Visible]=1)*(PlayerGameData[PLAYER, '#]=$A19)*(PlayerGameData[CHRG TKN]))</f>
        <v>3</v>
      </c>
      <c r="T19" s="28">
        <f ca="1">IF(I19+2*G19+3*E19&gt;0,I19+2*G19+3*E19,0)</f>
        <v>62</v>
      </c>
      <c r="U19" s="29">
        <f ca="1">IF(F19&gt;0,E19/F19,"")</f>
        <v>0.21875</v>
      </c>
      <c r="V19" s="29">
        <f ca="1">IF(H19&gt;0,G19/H19,"")</f>
        <v>0.38095238095238093</v>
      </c>
      <c r="W19" s="30">
        <f ca="1">IF(J19&gt;0,I19/J19,"")</f>
        <v>0.36</v>
      </c>
      <c r="X19" s="29">
        <f ca="1">IF(OR(F19&gt;0,H19 &gt;0),(E19+G19)/(F19+H19),"")</f>
        <v>0.3108108108108108</v>
      </c>
      <c r="Y19" s="31">
        <f ca="1">IF(OR(F19&gt;0,H19 &gt;0),(1.5*E19+G19)/(F19+H19),"")</f>
        <v>0.35810810810810811</v>
      </c>
      <c r="Z19" s="184"/>
      <c r="AA19" s="184"/>
      <c r="AB19" s="184"/>
      <c r="AC19" s="184"/>
      <c r="AD19" s="184"/>
      <c r="AE19" s="184"/>
      <c r="AF19" s="184"/>
      <c r="AG19" s="184"/>
      <c r="AH19" s="184"/>
      <c r="AI19" s="184"/>
      <c r="AJ19" s="59" t="str">
        <f>IF(OR(Roster!$A15&lt;&gt;"",Roster!$B15&lt;&gt;""),CONCATENATE(PROPER(Roster!$B15),", ",Roster!$A15),"")</f>
        <v>Bridger Bruce, 25</v>
      </c>
      <c r="AK19" s="286" cm="1">
        <f t="array" aca="1" ref="AK19" ca="1">SUMPRODUCT((PlayerGameData[Visible]=1)*(PlayerGameData[PLAYER, '#]=$A19)*(PlayerGameData[START]))</f>
        <v>6</v>
      </c>
      <c r="AL19" s="287" cm="1">
        <f t="array" aca="1" ref="AL19" ca="1">SUMPRODUCT((PlayerGameData[Visible]=1)*(PlayerGameData[PLAYER, '#]=$A19)*(PlayerGameData[GP]))</f>
        <v>26</v>
      </c>
      <c r="AM19" s="288" cm="1">
        <f t="array" aca="1" ref="AM19" ca="1">SUMPRODUCT((PlayerGameData[Visible]=1)*(PlayerGameData[PLAYER, '#]=$A19)*(PlayerGameData[MINUTES]))</f>
        <v>366</v>
      </c>
      <c r="AN19" s="289" cm="1">
        <f t="array" aca="1" ref="AN19" ca="1">SUMPRODUCT((PlayerGameData[Visible]=1)*(PlayerGameData[PLAYER, '#]=$A19)*(PlayerGameData[3FGM]))</f>
        <v>7</v>
      </c>
      <c r="AO19" s="290" cm="1">
        <f t="array" aca="1" ref="AO19" ca="1">SUMPRODUCT((PlayerGameData[Visible]=1)*(PlayerGameData[PLAYER, '#]=$A19)*(PlayerGameData[3FGA]))</f>
        <v>32</v>
      </c>
      <c r="AP19" s="289" cm="1">
        <f t="array" aca="1" ref="AP19" ca="1">SUMPRODUCT((PlayerGameData[Visible]=1)*(PlayerGameData[PLAYER, '#]=$A19)*(PlayerGameData[2FGM]))</f>
        <v>16</v>
      </c>
      <c r="AQ19" s="290" cm="1">
        <f t="array" aca="1" ref="AQ19" ca="1">SUMPRODUCT((PlayerGameData[Visible]=1)*(PlayerGameData[PLAYER, '#]=$A19)*(PlayerGameData[2FGA]))</f>
        <v>42</v>
      </c>
      <c r="AR19" s="289" cm="1">
        <f t="array" aca="1" ref="AR19" ca="1">SUMPRODUCT((PlayerGameData[Visible]=1)*(PlayerGameData[PLAYER, '#]=$A19)*(PlayerGameData[FTM]))</f>
        <v>9</v>
      </c>
      <c r="AS19" s="290" cm="1">
        <f t="array" aca="1" ref="AS19" ca="1">SUMPRODUCT((PlayerGameData[Visible]=1)*(PlayerGameData[PLAYER, '#]=$A19)*(PlayerGameData[FTA]))</f>
        <v>25</v>
      </c>
      <c r="AT19" s="289" cm="1">
        <f t="array" aca="1" ref="AT19" ca="1">SUMPRODUCT((PlayerGameData[Visible]=1)*(PlayerGameData[PLAYER, '#]=$A19)*(PlayerGameData[OFF REB]))</f>
        <v>31</v>
      </c>
      <c r="AU19" s="289" cm="1">
        <f t="array" aca="1" ref="AU19" ca="1">SUMPRODUCT((PlayerGameData[Visible]=1)*(PlayerGameData[PLAYER, '#]=$A19)*(PlayerGameData[DEF REB]))</f>
        <v>54</v>
      </c>
      <c r="AV19" s="290">
        <f ca="1">AT19+AU19</f>
        <v>85</v>
      </c>
      <c r="AW19" s="289" cm="1">
        <f t="array" aca="1" ref="AW19" ca="1">SUMPRODUCT((PlayerGameData[Visible]=1)*(PlayerGameData[PLAYER, '#]=$A19)*(PlayerGameData[AST]))</f>
        <v>32</v>
      </c>
      <c r="AX19" s="289" cm="1">
        <f t="array" aca="1" ref="AX19" ca="1">SUMPRODUCT((PlayerGameData[Visible]=1)*(PlayerGameData[PLAYER, '#]=$A19)*(PlayerGameData[STL]))</f>
        <v>15</v>
      </c>
      <c r="AY19" s="289" cm="1">
        <f t="array" aca="1" ref="AY19" ca="1">SUMPRODUCT((PlayerGameData[Visible]=1)*(PlayerGameData[PLAYER, '#]=$A19)*(PlayerGameData[BLK]))</f>
        <v>0</v>
      </c>
      <c r="AZ19" s="289" cm="1">
        <f t="array" aca="1" ref="AZ19" ca="1">SUMPRODUCT((PlayerGameData[Visible]=1)*(PlayerGameData[PLAYER, '#]=$A19)*(PlayerGameData[TO]))</f>
        <v>31</v>
      </c>
      <c r="BA19" s="289" cm="1">
        <f t="array" aca="1" ref="BA19" ca="1">SUMPRODUCT((PlayerGameData[Visible]=1)*(PlayerGameData[PLAYER, '#]=$A19)*(PlayerGameData[FOUL]))</f>
        <v>48</v>
      </c>
      <c r="BB19" s="291" cm="1">
        <f t="array" aca="1" ref="BB19" ca="1">SUMPRODUCT((PlayerGameData[Visible]=1)*(PlayerGameData[PLAYER, '#]=$A19)*(PlayerGameData[CHRG TKN]))</f>
        <v>3</v>
      </c>
      <c r="BC19" s="28">
        <f ca="1">IF(AR19+2*AP19+3*AN19&gt;0,AR19+2*AP19+3*AN19,0)</f>
        <v>62</v>
      </c>
      <c r="BD19" s="29">
        <f ca="1">IF(AO19&gt;0,AN19/AO19,"")</f>
        <v>0.21875</v>
      </c>
      <c r="BE19" s="29">
        <f ca="1">IF(AQ19&gt;0,AP19/AQ19,"")</f>
        <v>0.38095238095238093</v>
      </c>
      <c r="BF19" s="30">
        <f ca="1">IF(AS19&gt;0,AR19/AS19,"")</f>
        <v>0.36</v>
      </c>
      <c r="BG19" s="29">
        <f ca="1">IF(OR(AO19&gt;0,AQ19 &gt;0),(AN19+AP19)/(AO19+AQ19),"")</f>
        <v>0.3108108108108108</v>
      </c>
      <c r="BH19" s="31">
        <f ca="1">IF(OR(AO19&gt;0,AQ19 &gt;0),(1.5*AN19+AP19)/(AO19+AQ19),"")</f>
        <v>0.35810810810810811</v>
      </c>
      <c r="BI19" s="184"/>
      <c r="BJ19" s="184"/>
      <c r="BK19" s="184"/>
      <c r="BL19" s="184"/>
      <c r="BM19" s="184"/>
      <c r="BN19" s="184"/>
      <c r="BO19" s="184"/>
      <c r="BP19" s="184"/>
      <c r="BQ19" s="184"/>
      <c r="BR19" s="184"/>
      <c r="BS19" s="184"/>
      <c r="BT19" s="184"/>
      <c r="CA19" s="51">
        <f t="shared" ca="1" si="2"/>
        <v>23</v>
      </c>
      <c r="CB19" s="51">
        <f t="shared" ca="1" si="2"/>
        <v>74</v>
      </c>
      <c r="CC19" s="51"/>
      <c r="CD19" s="51"/>
      <c r="CE19" s="51"/>
      <c r="CF19" s="51"/>
      <c r="CG19" s="51"/>
      <c r="CH19" s="51"/>
      <c r="CI19" s="51"/>
      <c r="CJ19" s="51"/>
      <c r="CK19" s="51"/>
      <c r="CL19" s="51"/>
      <c r="CM19" s="51"/>
      <c r="CN19" s="292"/>
      <c r="CO19" s="51"/>
      <c r="CP19" s="51"/>
    </row>
    <row r="20" spans="1:94" s="18" customFormat="1" ht="15.6" x14ac:dyDescent="0.35">
      <c r="A20" s="188" t="str">
        <f>IF(A19&lt;&gt;"","Per Game","")</f>
        <v>Per Game</v>
      </c>
      <c r="B20" s="294"/>
      <c r="C20" s="295"/>
      <c r="D20" s="296">
        <f ca="1">IFERROR(ROUND(D19/$C19,1),"")</f>
        <v>14.1</v>
      </c>
      <c r="E20" s="297">
        <f t="shared" ref="E20:T20" ca="1" si="17">IFERROR(ROUND(E19/$C19,1),"")</f>
        <v>0.3</v>
      </c>
      <c r="F20" s="298">
        <f t="shared" ca="1" si="17"/>
        <v>1.2</v>
      </c>
      <c r="G20" s="297">
        <f t="shared" ca="1" si="17"/>
        <v>0.6</v>
      </c>
      <c r="H20" s="298">
        <f t="shared" ca="1" si="17"/>
        <v>1.6</v>
      </c>
      <c r="I20" s="297">
        <f t="shared" ca="1" si="17"/>
        <v>0.3</v>
      </c>
      <c r="J20" s="298">
        <f t="shared" ca="1" si="17"/>
        <v>1</v>
      </c>
      <c r="K20" s="297">
        <f t="shared" ca="1" si="17"/>
        <v>1.2</v>
      </c>
      <c r="L20" s="297">
        <f t="shared" ca="1" si="17"/>
        <v>2.1</v>
      </c>
      <c r="M20" s="298">
        <f t="shared" ca="1" si="17"/>
        <v>3.3</v>
      </c>
      <c r="N20" s="297">
        <f t="shared" ca="1" si="17"/>
        <v>1.2</v>
      </c>
      <c r="O20" s="297">
        <f t="shared" ca="1" si="17"/>
        <v>0.6</v>
      </c>
      <c r="P20" s="297">
        <f t="shared" ca="1" si="17"/>
        <v>0</v>
      </c>
      <c r="Q20" s="297">
        <f t="shared" ca="1" si="17"/>
        <v>1.2</v>
      </c>
      <c r="R20" s="297">
        <f t="shared" ca="1" si="17"/>
        <v>1.8</v>
      </c>
      <c r="S20" s="299">
        <f t="shared" ca="1" si="17"/>
        <v>0.1</v>
      </c>
      <c r="T20" s="179">
        <f t="shared" ca="1" si="17"/>
        <v>2.4</v>
      </c>
      <c r="U20" s="180"/>
      <c r="V20" s="180"/>
      <c r="W20" s="181"/>
      <c r="X20" s="180"/>
      <c r="Y20" s="182"/>
      <c r="Z20" s="184"/>
      <c r="AA20" s="184"/>
      <c r="AB20" s="184"/>
      <c r="AC20" s="184"/>
      <c r="AD20" s="184"/>
      <c r="AE20" s="184"/>
      <c r="AF20" s="184"/>
      <c r="AG20" s="184"/>
      <c r="AH20" s="184"/>
      <c r="AI20" s="184"/>
      <c r="AJ20" s="188" t="str">
        <f>IF(AJ19&lt;&gt;"","Per Minute","")</f>
        <v>Per Minute</v>
      </c>
      <c r="AK20" s="294"/>
      <c r="AL20" s="295"/>
      <c r="AM20" s="296">
        <f ca="1">IFERROR(ROUND(AM19/$C19,1),"")</f>
        <v>14.1</v>
      </c>
      <c r="AN20" s="300">
        <f t="shared" ref="AN20:BC20" ca="1" si="18">IFERROR(ROUND(AN19/$D19,1),"")</f>
        <v>0</v>
      </c>
      <c r="AO20" s="301">
        <f t="shared" ca="1" si="18"/>
        <v>0.1</v>
      </c>
      <c r="AP20" s="300">
        <f t="shared" ca="1" si="18"/>
        <v>0</v>
      </c>
      <c r="AQ20" s="301">
        <f t="shared" ca="1" si="18"/>
        <v>0.1</v>
      </c>
      <c r="AR20" s="300">
        <f t="shared" ca="1" si="18"/>
        <v>0</v>
      </c>
      <c r="AS20" s="301">
        <f t="shared" ca="1" si="18"/>
        <v>0.1</v>
      </c>
      <c r="AT20" s="300">
        <f t="shared" ca="1" si="18"/>
        <v>0.1</v>
      </c>
      <c r="AU20" s="300">
        <f t="shared" ca="1" si="18"/>
        <v>0.1</v>
      </c>
      <c r="AV20" s="301">
        <f t="shared" ca="1" si="18"/>
        <v>0.2</v>
      </c>
      <c r="AW20" s="300">
        <f t="shared" ca="1" si="18"/>
        <v>0.1</v>
      </c>
      <c r="AX20" s="300">
        <f t="shared" ca="1" si="18"/>
        <v>0</v>
      </c>
      <c r="AY20" s="300">
        <f t="shared" ca="1" si="18"/>
        <v>0</v>
      </c>
      <c r="AZ20" s="300">
        <f t="shared" ca="1" si="18"/>
        <v>0.1</v>
      </c>
      <c r="BA20" s="300">
        <f t="shared" ca="1" si="18"/>
        <v>0.1</v>
      </c>
      <c r="BB20" s="302">
        <f t="shared" ca="1" si="18"/>
        <v>0</v>
      </c>
      <c r="BC20" s="60">
        <f t="shared" ca="1" si="18"/>
        <v>0.2</v>
      </c>
      <c r="BD20" s="25"/>
      <c r="BE20" s="25"/>
      <c r="BF20" s="26"/>
      <c r="BG20" s="25"/>
      <c r="BH20" s="27"/>
      <c r="BI20" s="184"/>
      <c r="BJ20" s="184"/>
      <c r="BK20" s="184"/>
      <c r="BL20" s="184"/>
      <c r="BM20" s="184"/>
      <c r="BN20" s="184"/>
      <c r="BO20" s="184"/>
      <c r="BP20" s="184"/>
      <c r="BQ20" s="184"/>
      <c r="BR20" s="184"/>
      <c r="BS20" s="184"/>
      <c r="BT20" s="184"/>
      <c r="CA20" s="51">
        <f t="shared" ca="1" si="2"/>
        <v>0.89999999999999991</v>
      </c>
      <c r="CB20" s="51">
        <f t="shared" ca="1" si="2"/>
        <v>2.8</v>
      </c>
      <c r="CC20" s="51"/>
      <c r="CD20" s="51"/>
      <c r="CE20" s="51"/>
      <c r="CF20" s="51"/>
      <c r="CG20" s="51"/>
      <c r="CH20" s="51"/>
      <c r="CI20" s="51"/>
      <c r="CJ20" s="51"/>
      <c r="CK20" s="51"/>
      <c r="CL20" s="51"/>
      <c r="CM20" s="51"/>
      <c r="CN20" s="292"/>
      <c r="CO20" s="51"/>
      <c r="CP20" s="51"/>
    </row>
    <row r="21" spans="1:94" s="18" customFormat="1" ht="15.6" x14ac:dyDescent="0.35">
      <c r="A21" s="59" t="str">
        <f>IF(OR(Roster!$A16&lt;&gt;"",Roster!$B16&lt;&gt;""),CONCATENATE(PROPER(Roster!$B16),", ",Roster!$A16),"")</f>
        <v>Kailer Duarte, 31</v>
      </c>
      <c r="B21" s="286" cm="1">
        <f t="array" aca="1" ref="B21" ca="1">SUMPRODUCT((PlayerGameData[Visible]=1)*(PlayerGameData[PLAYER, '#]=$A21)*(PlayerGameData[START]))</f>
        <v>21</v>
      </c>
      <c r="C21" s="287" cm="1">
        <f t="array" aca="1" ref="C21" ca="1">SUMPRODUCT((PlayerGameData[Visible]=1)*(PlayerGameData[PLAYER, '#]=$A21)*(PlayerGameData[GP]))</f>
        <v>26</v>
      </c>
      <c r="D21" s="288" cm="1">
        <f t="array" aca="1" ref="D21" ca="1">SUMPRODUCT((PlayerGameData[Visible]=1)*(PlayerGameData[PLAYER, '#]=$A21)*(PlayerGameData[MINUTES]))</f>
        <v>566</v>
      </c>
      <c r="E21" s="289" cm="1">
        <f t="array" aca="1" ref="E21" ca="1">SUMPRODUCT((PlayerGameData[Visible]=1)*(PlayerGameData[PLAYER, '#]=$A21)*(PlayerGameData[3FGM]))</f>
        <v>27</v>
      </c>
      <c r="F21" s="290" cm="1">
        <f t="array" aca="1" ref="F21" ca="1">SUMPRODUCT((PlayerGameData[Visible]=1)*(PlayerGameData[PLAYER, '#]=$A21)*(PlayerGameData[3FGA]))</f>
        <v>88</v>
      </c>
      <c r="G21" s="289" cm="1">
        <f t="array" aca="1" ref="G21" ca="1">SUMPRODUCT((PlayerGameData[Visible]=1)*(PlayerGameData[PLAYER, '#]=$A21)*(PlayerGameData[2FGM]))</f>
        <v>72</v>
      </c>
      <c r="H21" s="290" cm="1">
        <f t="array" aca="1" ref="H21" ca="1">SUMPRODUCT((PlayerGameData[Visible]=1)*(PlayerGameData[PLAYER, '#]=$A21)*(PlayerGameData[2FGA]))</f>
        <v>145</v>
      </c>
      <c r="I21" s="289" cm="1">
        <f t="array" aca="1" ref="I21" ca="1">SUMPRODUCT((PlayerGameData[Visible]=1)*(PlayerGameData[PLAYER, '#]=$A21)*(PlayerGameData[FTM]))</f>
        <v>36</v>
      </c>
      <c r="J21" s="290" cm="1">
        <f t="array" aca="1" ref="J21" ca="1">SUMPRODUCT((PlayerGameData[Visible]=1)*(PlayerGameData[PLAYER, '#]=$A21)*(PlayerGameData[FTA]))</f>
        <v>66</v>
      </c>
      <c r="K21" s="289" cm="1">
        <f t="array" aca="1" ref="K21" ca="1">SUMPRODUCT((PlayerGameData[Visible]=1)*(PlayerGameData[PLAYER, '#]=$A21)*(PlayerGameData[OFF REB]))</f>
        <v>58</v>
      </c>
      <c r="L21" s="289" cm="1">
        <f t="array" aca="1" ref="L21" ca="1">SUMPRODUCT((PlayerGameData[Visible]=1)*(PlayerGameData[PLAYER, '#]=$A21)*(PlayerGameData[DEF REB]))</f>
        <v>101</v>
      </c>
      <c r="M21" s="290">
        <f ca="1">K21+L21</f>
        <v>159</v>
      </c>
      <c r="N21" s="289" cm="1">
        <f t="array" aca="1" ref="N21" ca="1">SUMPRODUCT((PlayerGameData[Visible]=1)*(PlayerGameData[PLAYER, '#]=$A21)*(PlayerGameData[AST]))</f>
        <v>50</v>
      </c>
      <c r="O21" s="289" cm="1">
        <f t="array" aca="1" ref="O21" ca="1">SUMPRODUCT((PlayerGameData[Visible]=1)*(PlayerGameData[PLAYER, '#]=$A21)*(PlayerGameData[STL]))</f>
        <v>33</v>
      </c>
      <c r="P21" s="289" cm="1">
        <f t="array" aca="1" ref="P21" ca="1">SUMPRODUCT((PlayerGameData[Visible]=1)*(PlayerGameData[PLAYER, '#]=$A21)*(PlayerGameData[BLK]))</f>
        <v>7</v>
      </c>
      <c r="Q21" s="289" cm="1">
        <f t="array" aca="1" ref="Q21" ca="1">SUMPRODUCT((PlayerGameData[Visible]=1)*(PlayerGameData[PLAYER, '#]=$A21)*(PlayerGameData[TO]))</f>
        <v>35</v>
      </c>
      <c r="R21" s="289" cm="1">
        <f t="array" aca="1" ref="R21" ca="1">SUMPRODUCT((PlayerGameData[Visible]=1)*(PlayerGameData[PLAYER, '#]=$A21)*(PlayerGameData[FOUL]))</f>
        <v>52</v>
      </c>
      <c r="S21" s="291" cm="1">
        <f t="array" aca="1" ref="S21" ca="1">SUMPRODUCT((PlayerGameData[Visible]=1)*(PlayerGameData[PLAYER, '#]=$A21)*(PlayerGameData[CHRG TKN]))</f>
        <v>3</v>
      </c>
      <c r="T21" s="28">
        <f ca="1">IF(I21+2*G21+3*E21&gt;0,I21+2*G21+3*E21,0)</f>
        <v>261</v>
      </c>
      <c r="U21" s="29">
        <f ca="1">IF(F21&gt;0,E21/F21,"")</f>
        <v>0.30681818181818182</v>
      </c>
      <c r="V21" s="29">
        <f ca="1">IF(H21&gt;0,G21/H21,"")</f>
        <v>0.49655172413793103</v>
      </c>
      <c r="W21" s="30">
        <f ca="1">IF(J21&gt;0,I21/J21,"")</f>
        <v>0.54545454545454541</v>
      </c>
      <c r="X21" s="29">
        <f ca="1">IF(OR(F21&gt;0,H21 &gt;0),(E21+G21)/(F21+H21),"")</f>
        <v>0.42489270386266093</v>
      </c>
      <c r="Y21" s="31">
        <f ca="1">IF(OR(F21&gt;0,H21 &gt;0),(1.5*E21+G21)/(F21+H21),"")</f>
        <v>0.48283261802575106</v>
      </c>
      <c r="Z21" s="184"/>
      <c r="AA21" s="184"/>
      <c r="AB21" s="184"/>
      <c r="AC21" s="184"/>
      <c r="AD21" s="184"/>
      <c r="AE21" s="184"/>
      <c r="AF21" s="184"/>
      <c r="AG21" s="184"/>
      <c r="AH21" s="184"/>
      <c r="AI21" s="184"/>
      <c r="AJ21" s="59" t="str">
        <f>IF(OR(Roster!$A16&lt;&gt;"",Roster!$B16&lt;&gt;""),CONCATENATE(PROPER(Roster!$B16),", ",Roster!$A16),"")</f>
        <v>Kailer Duarte, 31</v>
      </c>
      <c r="AK21" s="286" cm="1">
        <f t="array" aca="1" ref="AK21" ca="1">SUMPRODUCT((PlayerGameData[Visible]=1)*(PlayerGameData[PLAYER, '#]=$A21)*(PlayerGameData[START]))</f>
        <v>21</v>
      </c>
      <c r="AL21" s="287" cm="1">
        <f t="array" aca="1" ref="AL21" ca="1">SUMPRODUCT((PlayerGameData[Visible]=1)*(PlayerGameData[PLAYER, '#]=$A21)*(PlayerGameData[GP]))</f>
        <v>26</v>
      </c>
      <c r="AM21" s="288" cm="1">
        <f t="array" aca="1" ref="AM21" ca="1">SUMPRODUCT((PlayerGameData[Visible]=1)*(PlayerGameData[PLAYER, '#]=$A21)*(PlayerGameData[MINUTES]))</f>
        <v>566</v>
      </c>
      <c r="AN21" s="289" cm="1">
        <f t="array" aca="1" ref="AN21" ca="1">SUMPRODUCT((PlayerGameData[Visible]=1)*(PlayerGameData[PLAYER, '#]=$A21)*(PlayerGameData[3FGM]))</f>
        <v>27</v>
      </c>
      <c r="AO21" s="290" cm="1">
        <f t="array" aca="1" ref="AO21" ca="1">SUMPRODUCT((PlayerGameData[Visible]=1)*(PlayerGameData[PLAYER, '#]=$A21)*(PlayerGameData[3FGA]))</f>
        <v>88</v>
      </c>
      <c r="AP21" s="289" cm="1">
        <f t="array" aca="1" ref="AP21" ca="1">SUMPRODUCT((PlayerGameData[Visible]=1)*(PlayerGameData[PLAYER, '#]=$A21)*(PlayerGameData[2FGM]))</f>
        <v>72</v>
      </c>
      <c r="AQ21" s="290" cm="1">
        <f t="array" aca="1" ref="AQ21" ca="1">SUMPRODUCT((PlayerGameData[Visible]=1)*(PlayerGameData[PLAYER, '#]=$A21)*(PlayerGameData[2FGA]))</f>
        <v>145</v>
      </c>
      <c r="AR21" s="289" cm="1">
        <f t="array" aca="1" ref="AR21" ca="1">SUMPRODUCT((PlayerGameData[Visible]=1)*(PlayerGameData[PLAYER, '#]=$A21)*(PlayerGameData[FTM]))</f>
        <v>36</v>
      </c>
      <c r="AS21" s="290" cm="1">
        <f t="array" aca="1" ref="AS21" ca="1">SUMPRODUCT((PlayerGameData[Visible]=1)*(PlayerGameData[PLAYER, '#]=$A21)*(PlayerGameData[FTA]))</f>
        <v>66</v>
      </c>
      <c r="AT21" s="289" cm="1">
        <f t="array" aca="1" ref="AT21" ca="1">SUMPRODUCT((PlayerGameData[Visible]=1)*(PlayerGameData[PLAYER, '#]=$A21)*(PlayerGameData[OFF REB]))</f>
        <v>58</v>
      </c>
      <c r="AU21" s="289" cm="1">
        <f t="array" aca="1" ref="AU21" ca="1">SUMPRODUCT((PlayerGameData[Visible]=1)*(PlayerGameData[PLAYER, '#]=$A21)*(PlayerGameData[DEF REB]))</f>
        <v>101</v>
      </c>
      <c r="AV21" s="290">
        <f ca="1">AT21+AU21</f>
        <v>159</v>
      </c>
      <c r="AW21" s="289" cm="1">
        <f t="array" aca="1" ref="AW21" ca="1">SUMPRODUCT((PlayerGameData[Visible]=1)*(PlayerGameData[PLAYER, '#]=$A21)*(PlayerGameData[AST]))</f>
        <v>50</v>
      </c>
      <c r="AX21" s="289" cm="1">
        <f t="array" aca="1" ref="AX21" ca="1">SUMPRODUCT((PlayerGameData[Visible]=1)*(PlayerGameData[PLAYER, '#]=$A21)*(PlayerGameData[STL]))</f>
        <v>33</v>
      </c>
      <c r="AY21" s="289" cm="1">
        <f t="array" aca="1" ref="AY21" ca="1">SUMPRODUCT((PlayerGameData[Visible]=1)*(PlayerGameData[PLAYER, '#]=$A21)*(PlayerGameData[BLK]))</f>
        <v>7</v>
      </c>
      <c r="AZ21" s="289" cm="1">
        <f t="array" aca="1" ref="AZ21" ca="1">SUMPRODUCT((PlayerGameData[Visible]=1)*(PlayerGameData[PLAYER, '#]=$A21)*(PlayerGameData[TO]))</f>
        <v>35</v>
      </c>
      <c r="BA21" s="289" cm="1">
        <f t="array" aca="1" ref="BA21" ca="1">SUMPRODUCT((PlayerGameData[Visible]=1)*(PlayerGameData[PLAYER, '#]=$A21)*(PlayerGameData[FOUL]))</f>
        <v>52</v>
      </c>
      <c r="BB21" s="291" cm="1">
        <f t="array" aca="1" ref="BB21" ca="1">SUMPRODUCT((PlayerGameData[Visible]=1)*(PlayerGameData[PLAYER, '#]=$A21)*(PlayerGameData[CHRG TKN]))</f>
        <v>3</v>
      </c>
      <c r="BC21" s="28">
        <f ca="1">IF(AR21+2*AP21+3*AN21&gt;0,AR21+2*AP21+3*AN21,0)</f>
        <v>261</v>
      </c>
      <c r="BD21" s="29">
        <f ca="1">IF(AO21&gt;0,AN21/AO21,"")</f>
        <v>0.30681818181818182</v>
      </c>
      <c r="BE21" s="29">
        <f ca="1">IF(AQ21&gt;0,AP21/AQ21,"")</f>
        <v>0.49655172413793103</v>
      </c>
      <c r="BF21" s="30">
        <f ca="1">IF(AS21&gt;0,AR21/AS21,"")</f>
        <v>0.54545454545454541</v>
      </c>
      <c r="BG21" s="29">
        <f ca="1">IF(OR(AO21&gt;0,AQ21 &gt;0),(AN21+AP21)/(AO21+AQ21),"")</f>
        <v>0.42489270386266093</v>
      </c>
      <c r="BH21" s="31">
        <f ca="1">IF(OR(AO21&gt;0,AQ21 &gt;0),(1.5*AN21+AP21)/(AO21+AQ21),"")</f>
        <v>0.48283261802575106</v>
      </c>
      <c r="BI21" s="184"/>
      <c r="BJ21" s="184"/>
      <c r="BK21" s="184"/>
      <c r="BL21" s="184"/>
      <c r="BM21" s="184"/>
      <c r="BN21" s="184"/>
      <c r="BO21" s="184"/>
      <c r="BP21" s="184"/>
      <c r="BQ21" s="184"/>
      <c r="BR21" s="184"/>
      <c r="BS21" s="184"/>
      <c r="BT21" s="184"/>
      <c r="CA21" s="51">
        <f t="shared" ca="1" si="2"/>
        <v>99</v>
      </c>
      <c r="CB21" s="51">
        <f t="shared" ca="1" si="2"/>
        <v>233</v>
      </c>
      <c r="CC21" s="51"/>
      <c r="CD21" s="51"/>
      <c r="CE21" s="51"/>
      <c r="CF21" s="51"/>
      <c r="CG21" s="51"/>
      <c r="CH21" s="51"/>
      <c r="CI21" s="51"/>
      <c r="CJ21" s="51"/>
      <c r="CK21" s="51"/>
      <c r="CL21" s="51"/>
      <c r="CM21" s="51"/>
      <c r="CN21" s="292"/>
      <c r="CO21" s="51"/>
      <c r="CP21" s="51"/>
    </row>
    <row r="22" spans="1:94" s="18" customFormat="1" ht="15.6" x14ac:dyDescent="0.35">
      <c r="A22" s="188" t="str">
        <f>IF(A21&lt;&gt;"","Per Game","")</f>
        <v>Per Game</v>
      </c>
      <c r="B22" s="294"/>
      <c r="C22" s="295"/>
      <c r="D22" s="296">
        <f ca="1">IFERROR(ROUND(D21/$C21,1),"")</f>
        <v>21.8</v>
      </c>
      <c r="E22" s="300">
        <f t="shared" ref="E22:T22" ca="1" si="19">IFERROR(ROUND(E21/$C21,1),"")</f>
        <v>1</v>
      </c>
      <c r="F22" s="301">
        <f t="shared" ca="1" si="19"/>
        <v>3.4</v>
      </c>
      <c r="G22" s="300">
        <f t="shared" ca="1" si="19"/>
        <v>2.8</v>
      </c>
      <c r="H22" s="301">
        <f t="shared" ca="1" si="19"/>
        <v>5.6</v>
      </c>
      <c r="I22" s="300">
        <f t="shared" ca="1" si="19"/>
        <v>1.4</v>
      </c>
      <c r="J22" s="301">
        <f t="shared" ca="1" si="19"/>
        <v>2.5</v>
      </c>
      <c r="K22" s="300">
        <f t="shared" ca="1" si="19"/>
        <v>2.2000000000000002</v>
      </c>
      <c r="L22" s="300">
        <f t="shared" ca="1" si="19"/>
        <v>3.9</v>
      </c>
      <c r="M22" s="301">
        <f t="shared" ca="1" si="19"/>
        <v>6.1</v>
      </c>
      <c r="N22" s="300">
        <f t="shared" ca="1" si="19"/>
        <v>1.9</v>
      </c>
      <c r="O22" s="300">
        <f t="shared" ca="1" si="19"/>
        <v>1.3</v>
      </c>
      <c r="P22" s="300">
        <f t="shared" ca="1" si="19"/>
        <v>0.3</v>
      </c>
      <c r="Q22" s="300">
        <f t="shared" ca="1" si="19"/>
        <v>1.3</v>
      </c>
      <c r="R22" s="300">
        <f t="shared" ca="1" si="19"/>
        <v>2</v>
      </c>
      <c r="S22" s="302">
        <f t="shared" ca="1" si="19"/>
        <v>0.1</v>
      </c>
      <c r="T22" s="60">
        <f t="shared" ca="1" si="19"/>
        <v>10</v>
      </c>
      <c r="U22" s="25"/>
      <c r="V22" s="25"/>
      <c r="W22" s="26"/>
      <c r="X22" s="25"/>
      <c r="Y22" s="27"/>
      <c r="Z22" s="184"/>
      <c r="AA22" s="184"/>
      <c r="AB22" s="184"/>
      <c r="AC22" s="184"/>
      <c r="AD22" s="184"/>
      <c r="AE22" s="184"/>
      <c r="AF22" s="184"/>
      <c r="AG22" s="184"/>
      <c r="AH22" s="184"/>
      <c r="AI22" s="184"/>
      <c r="AJ22" s="188" t="str">
        <f>IF(AJ21&lt;&gt;"","Per Minute","")</f>
        <v>Per Minute</v>
      </c>
      <c r="AK22" s="294"/>
      <c r="AL22" s="295"/>
      <c r="AM22" s="296">
        <f ca="1">IFERROR(ROUND(AM21/$C21,1),"")</f>
        <v>21.8</v>
      </c>
      <c r="AN22" s="300">
        <f t="shared" ref="AN22:BC22" ca="1" si="20">IFERROR(ROUND(AN21/$D21,1),"")</f>
        <v>0</v>
      </c>
      <c r="AO22" s="301">
        <f t="shared" ca="1" si="20"/>
        <v>0.2</v>
      </c>
      <c r="AP22" s="300">
        <f t="shared" ca="1" si="20"/>
        <v>0.1</v>
      </c>
      <c r="AQ22" s="301">
        <f t="shared" ca="1" si="20"/>
        <v>0.3</v>
      </c>
      <c r="AR22" s="300">
        <f t="shared" ca="1" si="20"/>
        <v>0.1</v>
      </c>
      <c r="AS22" s="301">
        <f t="shared" ca="1" si="20"/>
        <v>0.1</v>
      </c>
      <c r="AT22" s="300">
        <f t="shared" ca="1" si="20"/>
        <v>0.1</v>
      </c>
      <c r="AU22" s="300">
        <f t="shared" ca="1" si="20"/>
        <v>0.2</v>
      </c>
      <c r="AV22" s="301">
        <f t="shared" ca="1" si="20"/>
        <v>0.3</v>
      </c>
      <c r="AW22" s="300">
        <f t="shared" ca="1" si="20"/>
        <v>0.1</v>
      </c>
      <c r="AX22" s="300">
        <f t="shared" ca="1" si="20"/>
        <v>0.1</v>
      </c>
      <c r="AY22" s="300">
        <f t="shared" ca="1" si="20"/>
        <v>0</v>
      </c>
      <c r="AZ22" s="300">
        <f t="shared" ca="1" si="20"/>
        <v>0.1</v>
      </c>
      <c r="BA22" s="300">
        <f t="shared" ca="1" si="20"/>
        <v>0.1</v>
      </c>
      <c r="BB22" s="302">
        <f t="shared" ca="1" si="20"/>
        <v>0</v>
      </c>
      <c r="BC22" s="60">
        <f t="shared" ca="1" si="20"/>
        <v>0.5</v>
      </c>
      <c r="BD22" s="25"/>
      <c r="BE22" s="25"/>
      <c r="BF22" s="26"/>
      <c r="BG22" s="25"/>
      <c r="BH22" s="27"/>
      <c r="BI22" s="184"/>
      <c r="BJ22" s="184"/>
      <c r="BK22" s="184"/>
      <c r="BL22" s="184"/>
      <c r="BM22" s="184"/>
      <c r="BN22" s="184"/>
      <c r="BO22" s="184"/>
      <c r="BP22" s="184"/>
      <c r="BQ22" s="184"/>
      <c r="BR22" s="184"/>
      <c r="BS22" s="184"/>
      <c r="BT22" s="184"/>
      <c r="CA22" s="51">
        <f t="shared" ca="1" si="2"/>
        <v>3.8</v>
      </c>
      <c r="CB22" s="51">
        <f t="shared" ca="1" si="2"/>
        <v>9</v>
      </c>
      <c r="CC22" s="51"/>
      <c r="CD22" s="51"/>
      <c r="CE22" s="51"/>
      <c r="CF22" s="51"/>
      <c r="CG22" s="51"/>
      <c r="CH22" s="51"/>
      <c r="CI22" s="51"/>
      <c r="CJ22" s="51"/>
      <c r="CK22" s="51"/>
      <c r="CL22" s="51"/>
      <c r="CM22" s="51"/>
      <c r="CN22" s="292"/>
      <c r="CO22" s="51"/>
      <c r="CP22" s="51"/>
    </row>
    <row r="23" spans="1:94" s="18" customFormat="1" ht="16.5" x14ac:dyDescent="0.3">
      <c r="A23" s="59" t="str">
        <f>IF(OR(Roster!$A17&lt;&gt;"",Roster!$B17&lt;&gt;""),CONCATENATE(PROPER(Roster!$B17),", ",Roster!$A17),"")</f>
        <v>Matt Stirmel, 33</v>
      </c>
      <c r="B23" s="286" cm="1">
        <f t="array" aca="1" ref="B23" ca="1">SUMPRODUCT((PlayerGameData[Visible]=1)*(PlayerGameData[PLAYER, '#]=$A23)*(PlayerGameData[START]))</f>
        <v>0</v>
      </c>
      <c r="C23" s="287" cm="1">
        <f t="array" aca="1" ref="C23" ca="1">SUMPRODUCT((PlayerGameData[Visible]=1)*(PlayerGameData[PLAYER, '#]=$A23)*(PlayerGameData[GP]))</f>
        <v>17</v>
      </c>
      <c r="D23" s="288" cm="1">
        <f t="array" aca="1" ref="D23" ca="1">SUMPRODUCT((PlayerGameData[Visible]=1)*(PlayerGameData[PLAYER, '#]=$A23)*(PlayerGameData[MINUTES]))</f>
        <v>33</v>
      </c>
      <c r="E23" s="289" cm="1">
        <f t="array" aca="1" ref="E23" ca="1">SUMPRODUCT((PlayerGameData[Visible]=1)*(PlayerGameData[PLAYER, '#]=$A23)*(PlayerGameData[3FGM]))</f>
        <v>0</v>
      </c>
      <c r="F23" s="290" cm="1">
        <f t="array" aca="1" ref="F23" ca="1">SUMPRODUCT((PlayerGameData[Visible]=1)*(PlayerGameData[PLAYER, '#]=$A23)*(PlayerGameData[3FGA]))</f>
        <v>3</v>
      </c>
      <c r="G23" s="289" cm="1">
        <f t="array" aca="1" ref="G23" ca="1">SUMPRODUCT((PlayerGameData[Visible]=1)*(PlayerGameData[PLAYER, '#]=$A23)*(PlayerGameData[2FGM]))</f>
        <v>3</v>
      </c>
      <c r="H23" s="290" cm="1">
        <f t="array" aca="1" ref="H23" ca="1">SUMPRODUCT((PlayerGameData[Visible]=1)*(PlayerGameData[PLAYER, '#]=$A23)*(PlayerGameData[2FGA]))</f>
        <v>4</v>
      </c>
      <c r="I23" s="289" cm="1">
        <f t="array" aca="1" ref="I23" ca="1">SUMPRODUCT((PlayerGameData[Visible]=1)*(PlayerGameData[PLAYER, '#]=$A23)*(PlayerGameData[FTM]))</f>
        <v>1</v>
      </c>
      <c r="J23" s="290" cm="1">
        <f t="array" aca="1" ref="J23" ca="1">SUMPRODUCT((PlayerGameData[Visible]=1)*(PlayerGameData[PLAYER, '#]=$A23)*(PlayerGameData[FTA]))</f>
        <v>4</v>
      </c>
      <c r="K23" s="289" cm="1">
        <f t="array" aca="1" ref="K23" ca="1">SUMPRODUCT((PlayerGameData[Visible]=1)*(PlayerGameData[PLAYER, '#]=$A23)*(PlayerGameData[OFF REB]))</f>
        <v>1</v>
      </c>
      <c r="L23" s="289" cm="1">
        <f t="array" aca="1" ref="L23" ca="1">SUMPRODUCT((PlayerGameData[Visible]=1)*(PlayerGameData[PLAYER, '#]=$A23)*(PlayerGameData[DEF REB]))</f>
        <v>4</v>
      </c>
      <c r="M23" s="290">
        <f ca="1">K23+L23</f>
        <v>5</v>
      </c>
      <c r="N23" s="289" cm="1">
        <f t="array" aca="1" ref="N23" ca="1">SUMPRODUCT((PlayerGameData[Visible]=1)*(PlayerGameData[PLAYER, '#]=$A23)*(PlayerGameData[AST]))</f>
        <v>1</v>
      </c>
      <c r="O23" s="289" cm="1">
        <f t="array" aca="1" ref="O23" ca="1">SUMPRODUCT((PlayerGameData[Visible]=1)*(PlayerGameData[PLAYER, '#]=$A23)*(PlayerGameData[STL]))</f>
        <v>1</v>
      </c>
      <c r="P23" s="289" cm="1">
        <f t="array" aca="1" ref="P23" ca="1">SUMPRODUCT((PlayerGameData[Visible]=1)*(PlayerGameData[PLAYER, '#]=$A23)*(PlayerGameData[BLK]))</f>
        <v>0</v>
      </c>
      <c r="Q23" s="289" cm="1">
        <f t="array" aca="1" ref="Q23" ca="1">SUMPRODUCT((PlayerGameData[Visible]=1)*(PlayerGameData[PLAYER, '#]=$A23)*(PlayerGameData[TO]))</f>
        <v>6</v>
      </c>
      <c r="R23" s="289" cm="1">
        <f t="array" aca="1" ref="R23" ca="1">SUMPRODUCT((PlayerGameData[Visible]=1)*(PlayerGameData[PLAYER, '#]=$A23)*(PlayerGameData[FOUL]))</f>
        <v>6</v>
      </c>
      <c r="S23" s="291" cm="1">
        <f t="array" aca="1" ref="S23" ca="1">SUMPRODUCT((PlayerGameData[Visible]=1)*(PlayerGameData[PLAYER, '#]=$A23)*(PlayerGameData[CHRG TKN]))</f>
        <v>0</v>
      </c>
      <c r="T23" s="28">
        <f ca="1">IF(I23+2*G23+3*E23&gt;0,I23+2*G23+3*E23,0)</f>
        <v>7</v>
      </c>
      <c r="U23" s="29">
        <f ca="1">IF(F23&gt;0,E23/F23,"")</f>
        <v>0</v>
      </c>
      <c r="V23" s="29">
        <f ca="1">IF(H23&gt;0,G23/H23,"")</f>
        <v>0.75</v>
      </c>
      <c r="W23" s="30">
        <f ca="1">IF(J23&gt;0,I23/J23,"")</f>
        <v>0.25</v>
      </c>
      <c r="X23" s="29">
        <f ca="1">IF(OR(F23&gt;0,H23 &gt;0),(E23+G23)/(F23+H23),"")</f>
        <v>0.42857142857142855</v>
      </c>
      <c r="Y23" s="31">
        <f ca="1">IF(OR(F23&gt;0,H23 &gt;0),(1.5*E23+G23)/(F23+H23),"")</f>
        <v>0.42857142857142855</v>
      </c>
      <c r="Z23" s="184"/>
      <c r="AA23" s="184"/>
      <c r="AB23" s="184"/>
      <c r="AC23" s="184"/>
      <c r="AD23" s="184"/>
      <c r="AE23" s="184"/>
      <c r="AF23" s="184"/>
      <c r="AG23" s="184"/>
      <c r="AH23" s="184"/>
      <c r="AI23" s="184"/>
      <c r="AJ23" s="59" t="str">
        <f>IF(OR(Roster!$A17&lt;&gt;"",Roster!$B17&lt;&gt;""),CONCATENATE(PROPER(Roster!$B17),", ",Roster!$A17),"")</f>
        <v>Matt Stirmel, 33</v>
      </c>
      <c r="AK23" s="286" cm="1">
        <f t="array" aca="1" ref="AK23" ca="1">SUMPRODUCT((PlayerGameData[Visible]=1)*(PlayerGameData[PLAYER, '#]=$A23)*(PlayerGameData[START]))</f>
        <v>0</v>
      </c>
      <c r="AL23" s="287" cm="1">
        <f t="array" aca="1" ref="AL23" ca="1">SUMPRODUCT((PlayerGameData[Visible]=1)*(PlayerGameData[PLAYER, '#]=$A23)*(PlayerGameData[GP]))</f>
        <v>17</v>
      </c>
      <c r="AM23" s="288" cm="1">
        <f t="array" aca="1" ref="AM23" ca="1">SUMPRODUCT((PlayerGameData[Visible]=1)*(PlayerGameData[PLAYER, '#]=$A23)*(PlayerGameData[MINUTES]))</f>
        <v>33</v>
      </c>
      <c r="AN23" s="289" cm="1">
        <f t="array" aca="1" ref="AN23" ca="1">SUMPRODUCT((PlayerGameData[Visible]=1)*(PlayerGameData[PLAYER, '#]=$A23)*(PlayerGameData[3FGM]))</f>
        <v>0</v>
      </c>
      <c r="AO23" s="290" cm="1">
        <f t="array" aca="1" ref="AO23" ca="1">SUMPRODUCT((PlayerGameData[Visible]=1)*(PlayerGameData[PLAYER, '#]=$A23)*(PlayerGameData[3FGA]))</f>
        <v>3</v>
      </c>
      <c r="AP23" s="289" cm="1">
        <f t="array" aca="1" ref="AP23" ca="1">SUMPRODUCT((PlayerGameData[Visible]=1)*(PlayerGameData[PLAYER, '#]=$A23)*(PlayerGameData[2FGM]))</f>
        <v>3</v>
      </c>
      <c r="AQ23" s="290" cm="1">
        <f t="array" aca="1" ref="AQ23" ca="1">SUMPRODUCT((PlayerGameData[Visible]=1)*(PlayerGameData[PLAYER, '#]=$A23)*(PlayerGameData[2FGA]))</f>
        <v>4</v>
      </c>
      <c r="AR23" s="289" cm="1">
        <f t="array" aca="1" ref="AR23" ca="1">SUMPRODUCT((PlayerGameData[Visible]=1)*(PlayerGameData[PLAYER, '#]=$A23)*(PlayerGameData[FTM]))</f>
        <v>1</v>
      </c>
      <c r="AS23" s="290" cm="1">
        <f t="array" aca="1" ref="AS23" ca="1">SUMPRODUCT((PlayerGameData[Visible]=1)*(PlayerGameData[PLAYER, '#]=$A23)*(PlayerGameData[FTA]))</f>
        <v>4</v>
      </c>
      <c r="AT23" s="289" cm="1">
        <f t="array" aca="1" ref="AT23" ca="1">SUMPRODUCT((PlayerGameData[Visible]=1)*(PlayerGameData[PLAYER, '#]=$A23)*(PlayerGameData[OFF REB]))</f>
        <v>1</v>
      </c>
      <c r="AU23" s="289" cm="1">
        <f t="array" aca="1" ref="AU23" ca="1">SUMPRODUCT((PlayerGameData[Visible]=1)*(PlayerGameData[PLAYER, '#]=$A23)*(PlayerGameData[DEF REB]))</f>
        <v>4</v>
      </c>
      <c r="AV23" s="290">
        <f ca="1">AT23+AU23</f>
        <v>5</v>
      </c>
      <c r="AW23" s="289" cm="1">
        <f t="array" aca="1" ref="AW23" ca="1">SUMPRODUCT((PlayerGameData[Visible]=1)*(PlayerGameData[PLAYER, '#]=$A23)*(PlayerGameData[AST]))</f>
        <v>1</v>
      </c>
      <c r="AX23" s="289" cm="1">
        <f t="array" aca="1" ref="AX23" ca="1">SUMPRODUCT((PlayerGameData[Visible]=1)*(PlayerGameData[PLAYER, '#]=$A23)*(PlayerGameData[STL]))</f>
        <v>1</v>
      </c>
      <c r="AY23" s="289" cm="1">
        <f t="array" aca="1" ref="AY23" ca="1">SUMPRODUCT((PlayerGameData[Visible]=1)*(PlayerGameData[PLAYER, '#]=$A23)*(PlayerGameData[BLK]))</f>
        <v>0</v>
      </c>
      <c r="AZ23" s="289" cm="1">
        <f t="array" aca="1" ref="AZ23" ca="1">SUMPRODUCT((PlayerGameData[Visible]=1)*(PlayerGameData[PLAYER, '#]=$A23)*(PlayerGameData[TO]))</f>
        <v>6</v>
      </c>
      <c r="BA23" s="289" cm="1">
        <f t="array" aca="1" ref="BA23" ca="1">SUMPRODUCT((PlayerGameData[Visible]=1)*(PlayerGameData[PLAYER, '#]=$A23)*(PlayerGameData[FOUL]))</f>
        <v>6</v>
      </c>
      <c r="BB23" s="291" cm="1">
        <f t="array" aca="1" ref="BB23" ca="1">SUMPRODUCT((PlayerGameData[Visible]=1)*(PlayerGameData[PLAYER, '#]=$A23)*(PlayerGameData[CHRG TKN]))</f>
        <v>0</v>
      </c>
      <c r="BC23" s="28">
        <f ca="1">IF(AR23+2*AP23+3*AN23&gt;0,AR23+2*AP23+3*AN23,0)</f>
        <v>7</v>
      </c>
      <c r="BD23" s="29">
        <f ca="1">IF(AO23&gt;0,AN23/AO23,"")</f>
        <v>0</v>
      </c>
      <c r="BE23" s="29">
        <f ca="1">IF(AQ23&gt;0,AP23/AQ23,"")</f>
        <v>0.75</v>
      </c>
      <c r="BF23" s="30">
        <f ca="1">IF(AS23&gt;0,AR23/AS23,"")</f>
        <v>0.25</v>
      </c>
      <c r="BG23" s="29">
        <f ca="1">IF(OR(AO23&gt;0,AQ23 &gt;0),(AN23+AP23)/(AO23+AQ23),"")</f>
        <v>0.42857142857142855</v>
      </c>
      <c r="BH23" s="31">
        <f ca="1">IF(OR(AO23&gt;0,AQ23 &gt;0),(1.5*AN23+AP23)/(AO23+AQ23),"")</f>
        <v>0.42857142857142855</v>
      </c>
      <c r="BI23" s="184"/>
      <c r="BJ23" s="184"/>
      <c r="BK23" s="184"/>
      <c r="BL23" s="184"/>
      <c r="BM23" s="184"/>
      <c r="BN23" s="184"/>
      <c r="BO23" s="184"/>
      <c r="BP23" s="184"/>
      <c r="BQ23" s="184"/>
      <c r="BR23" s="184"/>
      <c r="BS23" s="184"/>
      <c r="BT23" s="184"/>
      <c r="CA23" s="51">
        <f t="shared" ca="1" si="2"/>
        <v>3</v>
      </c>
      <c r="CB23" s="51">
        <f t="shared" ca="1" si="2"/>
        <v>7</v>
      </c>
      <c r="CC23" s="51"/>
      <c r="CD23" s="51"/>
      <c r="CE23" s="51"/>
      <c r="CF23" s="51"/>
      <c r="CG23" s="51"/>
      <c r="CH23" s="51"/>
      <c r="CI23" s="51"/>
      <c r="CJ23" s="51"/>
      <c r="CK23" s="51"/>
      <c r="CL23" s="51"/>
      <c r="CM23" s="51"/>
      <c r="CN23" s="292"/>
      <c r="CO23" s="51"/>
      <c r="CP23" s="51"/>
    </row>
    <row r="24" spans="1:94" s="18" customFormat="1" ht="16.5" x14ac:dyDescent="0.3">
      <c r="A24" s="188" t="str">
        <f>IF(A23&lt;&gt;"","Per Game","")</f>
        <v>Per Game</v>
      </c>
      <c r="B24" s="294"/>
      <c r="C24" s="295"/>
      <c r="D24" s="296">
        <f ca="1">IFERROR(ROUND(D23/$C23,1),"")</f>
        <v>1.9</v>
      </c>
      <c r="E24" s="300">
        <f t="shared" ref="E24:T24" ca="1" si="21">IFERROR(ROUND(E23/$C23,1),"")</f>
        <v>0</v>
      </c>
      <c r="F24" s="301">
        <f t="shared" ca="1" si="21"/>
        <v>0.2</v>
      </c>
      <c r="G24" s="300">
        <f t="shared" ca="1" si="21"/>
        <v>0.2</v>
      </c>
      <c r="H24" s="301">
        <f t="shared" ca="1" si="21"/>
        <v>0.2</v>
      </c>
      <c r="I24" s="300">
        <f t="shared" ca="1" si="21"/>
        <v>0.1</v>
      </c>
      <c r="J24" s="301">
        <f t="shared" ca="1" si="21"/>
        <v>0.2</v>
      </c>
      <c r="K24" s="300">
        <f t="shared" ca="1" si="21"/>
        <v>0.1</v>
      </c>
      <c r="L24" s="300">
        <f t="shared" ca="1" si="21"/>
        <v>0.2</v>
      </c>
      <c r="M24" s="301">
        <f t="shared" ca="1" si="21"/>
        <v>0.3</v>
      </c>
      <c r="N24" s="300">
        <f t="shared" ca="1" si="21"/>
        <v>0.1</v>
      </c>
      <c r="O24" s="300">
        <f t="shared" ca="1" si="21"/>
        <v>0.1</v>
      </c>
      <c r="P24" s="300">
        <f t="shared" ca="1" si="21"/>
        <v>0</v>
      </c>
      <c r="Q24" s="300">
        <f t="shared" ca="1" si="21"/>
        <v>0.4</v>
      </c>
      <c r="R24" s="300">
        <f t="shared" ca="1" si="21"/>
        <v>0.4</v>
      </c>
      <c r="S24" s="302">
        <f t="shared" ca="1" si="21"/>
        <v>0</v>
      </c>
      <c r="T24" s="60">
        <f t="shared" ca="1" si="21"/>
        <v>0.4</v>
      </c>
      <c r="U24" s="25"/>
      <c r="V24" s="25"/>
      <c r="W24" s="26"/>
      <c r="X24" s="25"/>
      <c r="Y24" s="27"/>
      <c r="Z24" s="184"/>
      <c r="AA24" s="184"/>
      <c r="AB24" s="184"/>
      <c r="AC24" s="184"/>
      <c r="AD24" s="184"/>
      <c r="AE24" s="184"/>
      <c r="AF24" s="184"/>
      <c r="AG24" s="184"/>
      <c r="AH24" s="184"/>
      <c r="AI24" s="184"/>
      <c r="AJ24" s="188" t="str">
        <f>IF(AJ23&lt;&gt;"","Per Minute","")</f>
        <v>Per Minute</v>
      </c>
      <c r="AK24" s="294"/>
      <c r="AL24" s="295"/>
      <c r="AM24" s="296">
        <f ca="1">IFERROR(ROUND(AM23/$C23,1),"")</f>
        <v>1.9</v>
      </c>
      <c r="AN24" s="300">
        <f t="shared" ref="AN24:BB24" ca="1" si="22">IFERROR(ROUND(AN23/$D23,1),"")</f>
        <v>0</v>
      </c>
      <c r="AO24" s="301">
        <f t="shared" ca="1" si="22"/>
        <v>0.1</v>
      </c>
      <c r="AP24" s="300">
        <f t="shared" ca="1" si="22"/>
        <v>0.1</v>
      </c>
      <c r="AQ24" s="301">
        <f t="shared" ca="1" si="22"/>
        <v>0.1</v>
      </c>
      <c r="AR24" s="300">
        <f t="shared" ca="1" si="22"/>
        <v>0</v>
      </c>
      <c r="AS24" s="301">
        <f t="shared" ca="1" si="22"/>
        <v>0.1</v>
      </c>
      <c r="AT24" s="300">
        <f t="shared" ca="1" si="22"/>
        <v>0</v>
      </c>
      <c r="AU24" s="300">
        <f t="shared" ca="1" si="22"/>
        <v>0.1</v>
      </c>
      <c r="AV24" s="301">
        <f t="shared" ca="1" si="22"/>
        <v>0.2</v>
      </c>
      <c r="AW24" s="300">
        <f t="shared" ca="1" si="22"/>
        <v>0</v>
      </c>
      <c r="AX24" s="300">
        <f t="shared" ca="1" si="22"/>
        <v>0</v>
      </c>
      <c r="AY24" s="300">
        <f t="shared" ca="1" si="22"/>
        <v>0</v>
      </c>
      <c r="AZ24" s="300">
        <f t="shared" ca="1" si="22"/>
        <v>0.2</v>
      </c>
      <c r="BA24" s="300">
        <f t="shared" ca="1" si="22"/>
        <v>0.2</v>
      </c>
      <c r="BB24" s="302">
        <f t="shared" ca="1" si="22"/>
        <v>0</v>
      </c>
      <c r="BC24" s="24"/>
      <c r="BD24" s="25"/>
      <c r="BE24" s="25"/>
      <c r="BF24" s="26"/>
      <c r="BG24" s="25"/>
      <c r="BH24" s="27"/>
      <c r="BI24" s="184"/>
      <c r="BJ24" s="184"/>
      <c r="BK24" s="184"/>
      <c r="BL24" s="184"/>
      <c r="BM24" s="184"/>
      <c r="BN24" s="184"/>
      <c r="BO24" s="184"/>
      <c r="BP24" s="184"/>
      <c r="BQ24" s="184"/>
      <c r="BR24" s="184"/>
      <c r="BS24" s="184"/>
      <c r="BT24" s="184"/>
      <c r="CA24" s="51">
        <f t="shared" ca="1" si="2"/>
        <v>0.2</v>
      </c>
      <c r="CB24" s="51">
        <f t="shared" ca="1" si="2"/>
        <v>0.4</v>
      </c>
      <c r="CC24" s="51"/>
      <c r="CD24" s="51"/>
      <c r="CE24" s="51"/>
      <c r="CF24" s="51"/>
      <c r="CG24" s="51"/>
      <c r="CH24" s="51"/>
      <c r="CI24" s="51"/>
      <c r="CJ24" s="51"/>
      <c r="CK24" s="51"/>
      <c r="CL24" s="51"/>
      <c r="CM24" s="51"/>
      <c r="CN24" s="292"/>
      <c r="CO24" s="51"/>
      <c r="CP24" s="51"/>
    </row>
    <row r="25" spans="1:94" s="18" customFormat="1" ht="16.5" x14ac:dyDescent="0.3">
      <c r="A25" s="59" t="str">
        <f>IF(OR(Roster!$A18&lt;&gt;"",Roster!$B18&lt;&gt;""),CONCATENATE(PROPER(Roster!$B18),", ",Roster!$A18),"")</f>
        <v>Jacob Mcnutt, 34</v>
      </c>
      <c r="B25" s="286" cm="1">
        <f t="array" aca="1" ref="B25" ca="1">SUMPRODUCT((PlayerGameData[Visible]=1)*(PlayerGameData[PLAYER, '#]=$A25)*(PlayerGameData[START]))</f>
        <v>1</v>
      </c>
      <c r="C25" s="287" cm="1">
        <f t="array" aca="1" ref="C25" ca="1">SUMPRODUCT((PlayerGameData[Visible]=1)*(PlayerGameData[PLAYER, '#]=$A25)*(PlayerGameData[GP]))</f>
        <v>18</v>
      </c>
      <c r="D25" s="288" cm="1">
        <f t="array" aca="1" ref="D25" ca="1">SUMPRODUCT((PlayerGameData[Visible]=1)*(PlayerGameData[PLAYER, '#]=$A25)*(PlayerGameData[MINUTES]))</f>
        <v>18</v>
      </c>
      <c r="E25" s="289" cm="1">
        <f t="array" aca="1" ref="E25" ca="1">SUMPRODUCT((PlayerGameData[Visible]=1)*(PlayerGameData[PLAYER, '#]=$A25)*(PlayerGameData[3FGM]))</f>
        <v>7</v>
      </c>
      <c r="F25" s="290" cm="1">
        <f t="array" aca="1" ref="F25" ca="1">SUMPRODUCT((PlayerGameData[Visible]=1)*(PlayerGameData[PLAYER, '#]=$A25)*(PlayerGameData[3FGA]))</f>
        <v>22</v>
      </c>
      <c r="G25" s="289" cm="1">
        <f t="array" aca="1" ref="G25" ca="1">SUMPRODUCT((PlayerGameData[Visible]=1)*(PlayerGameData[PLAYER, '#]=$A25)*(PlayerGameData[2FGM]))</f>
        <v>0</v>
      </c>
      <c r="H25" s="290" cm="1">
        <f t="array" aca="1" ref="H25" ca="1">SUMPRODUCT((PlayerGameData[Visible]=1)*(PlayerGameData[PLAYER, '#]=$A25)*(PlayerGameData[2FGA]))</f>
        <v>2</v>
      </c>
      <c r="I25" s="289" cm="1">
        <f t="array" aca="1" ref="I25" ca="1">SUMPRODUCT((PlayerGameData[Visible]=1)*(PlayerGameData[PLAYER, '#]=$A25)*(PlayerGameData[FTM]))</f>
        <v>0</v>
      </c>
      <c r="J25" s="290" cm="1">
        <f t="array" aca="1" ref="J25" ca="1">SUMPRODUCT((PlayerGameData[Visible]=1)*(PlayerGameData[PLAYER, '#]=$A25)*(PlayerGameData[FTA]))</f>
        <v>0</v>
      </c>
      <c r="K25" s="289" cm="1">
        <f t="array" aca="1" ref="K25" ca="1">SUMPRODUCT((PlayerGameData[Visible]=1)*(PlayerGameData[PLAYER, '#]=$A25)*(PlayerGameData[OFF REB]))</f>
        <v>1</v>
      </c>
      <c r="L25" s="289" cm="1">
        <f t="array" aca="1" ref="L25" ca="1">SUMPRODUCT((PlayerGameData[Visible]=1)*(PlayerGameData[PLAYER, '#]=$A25)*(PlayerGameData[DEF REB]))</f>
        <v>1</v>
      </c>
      <c r="M25" s="290">
        <f ca="1">K25+L25</f>
        <v>2</v>
      </c>
      <c r="N25" s="289" cm="1">
        <f t="array" aca="1" ref="N25" ca="1">SUMPRODUCT((PlayerGameData[Visible]=1)*(PlayerGameData[PLAYER, '#]=$A25)*(PlayerGameData[AST]))</f>
        <v>0</v>
      </c>
      <c r="O25" s="289" cm="1">
        <f t="array" aca="1" ref="O25" ca="1">SUMPRODUCT((PlayerGameData[Visible]=1)*(PlayerGameData[PLAYER, '#]=$A25)*(PlayerGameData[STL]))</f>
        <v>2</v>
      </c>
      <c r="P25" s="289" cm="1">
        <f t="array" aca="1" ref="P25" ca="1">SUMPRODUCT((PlayerGameData[Visible]=1)*(PlayerGameData[PLAYER, '#]=$A25)*(PlayerGameData[BLK]))</f>
        <v>0</v>
      </c>
      <c r="Q25" s="289" cm="1">
        <f t="array" aca="1" ref="Q25" ca="1">SUMPRODUCT((PlayerGameData[Visible]=1)*(PlayerGameData[PLAYER, '#]=$A25)*(PlayerGameData[TO]))</f>
        <v>1</v>
      </c>
      <c r="R25" s="289" cm="1">
        <f t="array" aca="1" ref="R25" ca="1">SUMPRODUCT((PlayerGameData[Visible]=1)*(PlayerGameData[PLAYER, '#]=$A25)*(PlayerGameData[FOUL]))</f>
        <v>0</v>
      </c>
      <c r="S25" s="291" cm="1">
        <f t="array" aca="1" ref="S25" ca="1">SUMPRODUCT((PlayerGameData[Visible]=1)*(PlayerGameData[PLAYER, '#]=$A25)*(PlayerGameData[CHRG TKN]))</f>
        <v>0</v>
      </c>
      <c r="T25" s="28">
        <f ca="1">IF(I25+2*G25+3*E25&gt;0,I25+2*G25+3*E25,0)</f>
        <v>21</v>
      </c>
      <c r="U25" s="29">
        <f ca="1">IF(F25&gt;0,E25/F25,"")</f>
        <v>0.31818181818181818</v>
      </c>
      <c r="V25" s="29">
        <f ca="1">IF(H25&gt;0,G25/H25,"")</f>
        <v>0</v>
      </c>
      <c r="W25" s="30" t="str">
        <f ca="1">IF(J25&gt;0,I25/J25,"")</f>
        <v/>
      </c>
      <c r="X25" s="29">
        <f ca="1">IF(OR(F25&gt;0,H25 &gt;0),(E25+G25)/(F25+H25),"")</f>
        <v>0.29166666666666669</v>
      </c>
      <c r="Y25" s="31">
        <f ca="1">IF(OR(F25&gt;0,H25 &gt;0),(1.5*E25+G25)/(F25+H25),"")</f>
        <v>0.4375</v>
      </c>
      <c r="Z25" s="184"/>
      <c r="AA25" s="184"/>
      <c r="AB25" s="184"/>
      <c r="AC25" s="184"/>
      <c r="AD25" s="184"/>
      <c r="AE25" s="184"/>
      <c r="AF25" s="184"/>
      <c r="AG25" s="184"/>
      <c r="AH25" s="184"/>
      <c r="AI25" s="184"/>
      <c r="AJ25" s="59" t="str">
        <f>IF(OR(Roster!$A18&lt;&gt;"",Roster!$B18&lt;&gt;""),CONCATENATE(PROPER(Roster!$B18),", ",Roster!$A18),"")</f>
        <v>Jacob Mcnutt, 34</v>
      </c>
      <c r="AK25" s="286" cm="1">
        <f t="array" aca="1" ref="AK25" ca="1">SUMPRODUCT((PlayerGameData[Visible]=1)*(PlayerGameData[PLAYER, '#]=$A25)*(PlayerGameData[START]))</f>
        <v>1</v>
      </c>
      <c r="AL25" s="287" cm="1">
        <f t="array" aca="1" ref="AL25" ca="1">SUMPRODUCT((PlayerGameData[Visible]=1)*(PlayerGameData[PLAYER, '#]=$A25)*(PlayerGameData[GP]))</f>
        <v>18</v>
      </c>
      <c r="AM25" s="288" cm="1">
        <f t="array" aca="1" ref="AM25" ca="1">SUMPRODUCT((PlayerGameData[Visible]=1)*(PlayerGameData[PLAYER, '#]=$A25)*(PlayerGameData[MINUTES]))</f>
        <v>18</v>
      </c>
      <c r="AN25" s="289" cm="1">
        <f t="array" aca="1" ref="AN25" ca="1">SUMPRODUCT((PlayerGameData[Visible]=1)*(PlayerGameData[PLAYER, '#]=$A25)*(PlayerGameData[3FGM]))</f>
        <v>7</v>
      </c>
      <c r="AO25" s="290" cm="1">
        <f t="array" aca="1" ref="AO25" ca="1">SUMPRODUCT((PlayerGameData[Visible]=1)*(PlayerGameData[PLAYER, '#]=$A25)*(PlayerGameData[3FGA]))</f>
        <v>22</v>
      </c>
      <c r="AP25" s="289" cm="1">
        <f t="array" aca="1" ref="AP25" ca="1">SUMPRODUCT((PlayerGameData[Visible]=1)*(PlayerGameData[PLAYER, '#]=$A25)*(PlayerGameData[2FGM]))</f>
        <v>0</v>
      </c>
      <c r="AQ25" s="290" cm="1">
        <f t="array" aca="1" ref="AQ25" ca="1">SUMPRODUCT((PlayerGameData[Visible]=1)*(PlayerGameData[PLAYER, '#]=$A25)*(PlayerGameData[2FGA]))</f>
        <v>2</v>
      </c>
      <c r="AR25" s="289" cm="1">
        <f t="array" aca="1" ref="AR25" ca="1">SUMPRODUCT((PlayerGameData[Visible]=1)*(PlayerGameData[PLAYER, '#]=$A25)*(PlayerGameData[FTM]))</f>
        <v>0</v>
      </c>
      <c r="AS25" s="290" cm="1">
        <f t="array" aca="1" ref="AS25" ca="1">SUMPRODUCT((PlayerGameData[Visible]=1)*(PlayerGameData[PLAYER, '#]=$A25)*(PlayerGameData[FTA]))</f>
        <v>0</v>
      </c>
      <c r="AT25" s="289" cm="1">
        <f t="array" aca="1" ref="AT25" ca="1">SUMPRODUCT((PlayerGameData[Visible]=1)*(PlayerGameData[PLAYER, '#]=$A25)*(PlayerGameData[OFF REB]))</f>
        <v>1</v>
      </c>
      <c r="AU25" s="289" cm="1">
        <f t="array" aca="1" ref="AU25" ca="1">SUMPRODUCT((PlayerGameData[Visible]=1)*(PlayerGameData[PLAYER, '#]=$A25)*(PlayerGameData[DEF REB]))</f>
        <v>1</v>
      </c>
      <c r="AV25" s="290">
        <f ca="1">AT25+AU25</f>
        <v>2</v>
      </c>
      <c r="AW25" s="289" cm="1">
        <f t="array" aca="1" ref="AW25" ca="1">SUMPRODUCT((PlayerGameData[Visible]=1)*(PlayerGameData[PLAYER, '#]=$A25)*(PlayerGameData[AST]))</f>
        <v>0</v>
      </c>
      <c r="AX25" s="289" cm="1">
        <f t="array" aca="1" ref="AX25" ca="1">SUMPRODUCT((PlayerGameData[Visible]=1)*(PlayerGameData[PLAYER, '#]=$A25)*(PlayerGameData[STL]))</f>
        <v>2</v>
      </c>
      <c r="AY25" s="289" cm="1">
        <f t="array" aca="1" ref="AY25" ca="1">SUMPRODUCT((PlayerGameData[Visible]=1)*(PlayerGameData[PLAYER, '#]=$A25)*(PlayerGameData[BLK]))</f>
        <v>0</v>
      </c>
      <c r="AZ25" s="289" cm="1">
        <f t="array" aca="1" ref="AZ25" ca="1">SUMPRODUCT((PlayerGameData[Visible]=1)*(PlayerGameData[PLAYER, '#]=$A25)*(PlayerGameData[TO]))</f>
        <v>1</v>
      </c>
      <c r="BA25" s="289" cm="1">
        <f t="array" aca="1" ref="BA25" ca="1">SUMPRODUCT((PlayerGameData[Visible]=1)*(PlayerGameData[PLAYER, '#]=$A25)*(PlayerGameData[FOUL]))</f>
        <v>0</v>
      </c>
      <c r="BB25" s="291" cm="1">
        <f t="array" aca="1" ref="BB25" ca="1">SUMPRODUCT((PlayerGameData[Visible]=1)*(PlayerGameData[PLAYER, '#]=$A25)*(PlayerGameData[CHRG TKN]))</f>
        <v>0</v>
      </c>
      <c r="BC25" s="28">
        <f ca="1">IF(AR25+2*AP25+3*AN25&gt;0,AR25+2*AP25+3*AN25,0)</f>
        <v>21</v>
      </c>
      <c r="BD25" s="29">
        <f ca="1">IF(AO25&gt;0,AN25/AO25,"")</f>
        <v>0.31818181818181818</v>
      </c>
      <c r="BE25" s="29">
        <f ca="1">IF(AQ25&gt;0,AP25/AQ25,"")</f>
        <v>0</v>
      </c>
      <c r="BF25" s="30" t="str">
        <f ca="1">IF(AS25&gt;0,AR25/AS25,"")</f>
        <v/>
      </c>
      <c r="BG25" s="29">
        <f ca="1">IF(OR(AO25&gt;0,AQ25 &gt;0),(AN25+AP25)/(AO25+AQ25),"")</f>
        <v>0.29166666666666669</v>
      </c>
      <c r="BH25" s="31">
        <f ca="1">IF(OR(AO25&gt;0,AQ25 &gt;0),(1.5*AN25+AP25)/(AO25+AQ25),"")</f>
        <v>0.4375</v>
      </c>
      <c r="BI25" s="184"/>
      <c r="BJ25" s="184"/>
      <c r="BK25" s="184"/>
      <c r="BL25" s="184"/>
      <c r="BM25" s="184"/>
      <c r="BN25" s="184"/>
      <c r="BO25" s="184"/>
      <c r="BP25" s="184"/>
      <c r="BQ25" s="184"/>
      <c r="BR25" s="184"/>
      <c r="BS25" s="184"/>
      <c r="BT25" s="184"/>
      <c r="CA25" s="51">
        <f t="shared" ca="1" si="2"/>
        <v>7</v>
      </c>
      <c r="CB25" s="51">
        <f t="shared" ca="1" si="2"/>
        <v>24</v>
      </c>
      <c r="CC25" s="51"/>
      <c r="CD25" s="51"/>
      <c r="CE25" s="51"/>
      <c r="CF25" s="51"/>
      <c r="CG25" s="51"/>
      <c r="CH25" s="51"/>
      <c r="CI25" s="51"/>
      <c r="CJ25" s="51"/>
      <c r="CK25" s="51"/>
      <c r="CL25" s="51"/>
      <c r="CM25" s="51"/>
      <c r="CN25" s="292"/>
      <c r="CO25" s="51"/>
      <c r="CP25" s="51"/>
    </row>
    <row r="26" spans="1:94" s="18" customFormat="1" ht="16.5" x14ac:dyDescent="0.3">
      <c r="A26" s="188" t="str">
        <f>IF(A25&lt;&gt;"","Per Game","")</f>
        <v>Per Game</v>
      </c>
      <c r="B26" s="294"/>
      <c r="C26" s="295"/>
      <c r="D26" s="296">
        <f ca="1">IFERROR(ROUND(D25/$C25,1),"")</f>
        <v>1</v>
      </c>
      <c r="E26" s="300">
        <f t="shared" ref="E26:T26" ca="1" si="23">IFERROR(ROUND(E25/$C25,1),"")</f>
        <v>0.4</v>
      </c>
      <c r="F26" s="301">
        <f t="shared" ca="1" si="23"/>
        <v>1.2</v>
      </c>
      <c r="G26" s="300">
        <f t="shared" ca="1" si="23"/>
        <v>0</v>
      </c>
      <c r="H26" s="301">
        <f t="shared" ca="1" si="23"/>
        <v>0.1</v>
      </c>
      <c r="I26" s="300">
        <f t="shared" ca="1" si="23"/>
        <v>0</v>
      </c>
      <c r="J26" s="301">
        <f t="shared" ca="1" si="23"/>
        <v>0</v>
      </c>
      <c r="K26" s="300">
        <f t="shared" ca="1" si="23"/>
        <v>0.1</v>
      </c>
      <c r="L26" s="300">
        <f t="shared" ca="1" si="23"/>
        <v>0.1</v>
      </c>
      <c r="M26" s="301">
        <f t="shared" ca="1" si="23"/>
        <v>0.1</v>
      </c>
      <c r="N26" s="300">
        <f t="shared" ca="1" si="23"/>
        <v>0</v>
      </c>
      <c r="O26" s="300">
        <f t="shared" ca="1" si="23"/>
        <v>0.1</v>
      </c>
      <c r="P26" s="300">
        <f t="shared" ca="1" si="23"/>
        <v>0</v>
      </c>
      <c r="Q26" s="300">
        <f t="shared" ca="1" si="23"/>
        <v>0.1</v>
      </c>
      <c r="R26" s="300">
        <f t="shared" ca="1" si="23"/>
        <v>0</v>
      </c>
      <c r="S26" s="302">
        <f t="shared" ca="1" si="23"/>
        <v>0</v>
      </c>
      <c r="T26" s="60">
        <f t="shared" ca="1" si="23"/>
        <v>1.2</v>
      </c>
      <c r="U26" s="25"/>
      <c r="V26" s="25"/>
      <c r="W26" s="26"/>
      <c r="X26" s="25"/>
      <c r="Y26" s="27"/>
      <c r="Z26" s="184"/>
      <c r="AA26" s="184"/>
      <c r="AB26" s="184"/>
      <c r="AC26" s="184"/>
      <c r="AD26" s="184"/>
      <c r="AE26" s="184"/>
      <c r="AF26" s="184"/>
      <c r="AG26" s="184"/>
      <c r="AH26" s="184"/>
      <c r="AI26" s="184"/>
      <c r="AJ26" s="188" t="str">
        <f>IF(AJ25&lt;&gt;"","Per Minute","")</f>
        <v>Per Minute</v>
      </c>
      <c r="AK26" s="294"/>
      <c r="AL26" s="295"/>
      <c r="AM26" s="296">
        <f ca="1">IFERROR(ROUND(AM25/$C25,1),"")</f>
        <v>1</v>
      </c>
      <c r="AN26" s="300">
        <f t="shared" ref="AN26:BC26" ca="1" si="24">IFERROR(ROUND(AN25/$D25,1),"")</f>
        <v>0.4</v>
      </c>
      <c r="AO26" s="301">
        <f t="shared" ca="1" si="24"/>
        <v>1.2</v>
      </c>
      <c r="AP26" s="300">
        <f t="shared" ca="1" si="24"/>
        <v>0</v>
      </c>
      <c r="AQ26" s="301">
        <f t="shared" ca="1" si="24"/>
        <v>0.1</v>
      </c>
      <c r="AR26" s="300">
        <f t="shared" ca="1" si="24"/>
        <v>0</v>
      </c>
      <c r="AS26" s="301">
        <f t="shared" ca="1" si="24"/>
        <v>0</v>
      </c>
      <c r="AT26" s="300">
        <f t="shared" ca="1" si="24"/>
        <v>0.1</v>
      </c>
      <c r="AU26" s="300">
        <f t="shared" ca="1" si="24"/>
        <v>0.1</v>
      </c>
      <c r="AV26" s="301">
        <f t="shared" ca="1" si="24"/>
        <v>0.1</v>
      </c>
      <c r="AW26" s="300">
        <f t="shared" ca="1" si="24"/>
        <v>0</v>
      </c>
      <c r="AX26" s="300">
        <f t="shared" ca="1" si="24"/>
        <v>0.1</v>
      </c>
      <c r="AY26" s="300">
        <f t="shared" ca="1" si="24"/>
        <v>0</v>
      </c>
      <c r="AZ26" s="300">
        <f t="shared" ca="1" si="24"/>
        <v>0.1</v>
      </c>
      <c r="BA26" s="300">
        <f t="shared" ca="1" si="24"/>
        <v>0</v>
      </c>
      <c r="BB26" s="302">
        <f t="shared" ca="1" si="24"/>
        <v>0</v>
      </c>
      <c r="BC26" s="60">
        <f t="shared" ca="1" si="24"/>
        <v>1.2</v>
      </c>
      <c r="BD26" s="25"/>
      <c r="BE26" s="25"/>
      <c r="BF26" s="26"/>
      <c r="BG26" s="25"/>
      <c r="BH26" s="27"/>
      <c r="BI26" s="184"/>
      <c r="BJ26" s="184"/>
      <c r="BK26" s="184"/>
      <c r="BL26" s="184"/>
      <c r="BM26" s="184"/>
      <c r="BN26" s="184"/>
      <c r="BO26" s="184"/>
      <c r="BP26" s="184"/>
      <c r="BQ26" s="184"/>
      <c r="BR26" s="184"/>
      <c r="BS26" s="184"/>
      <c r="BT26" s="184"/>
      <c r="CA26" s="51">
        <f t="shared" ca="1" si="2"/>
        <v>0.4</v>
      </c>
      <c r="CB26" s="51">
        <f t="shared" ca="1" si="2"/>
        <v>1.3</v>
      </c>
      <c r="CC26" s="51"/>
      <c r="CD26" s="51"/>
      <c r="CE26" s="51"/>
      <c r="CF26" s="51"/>
      <c r="CG26" s="51"/>
      <c r="CH26" s="51"/>
      <c r="CI26" s="51"/>
      <c r="CJ26" s="51"/>
      <c r="CK26" s="51"/>
      <c r="CL26" s="51"/>
      <c r="CM26" s="51"/>
      <c r="CN26" s="292"/>
      <c r="CO26" s="51"/>
      <c r="CP26" s="51"/>
    </row>
    <row r="27" spans="1:94" s="18" customFormat="1" ht="16.5" x14ac:dyDescent="0.3">
      <c r="A27" s="59" t="str">
        <f>IF(OR(Roster!$A19&lt;&gt;"",Roster!$B19&lt;&gt;""),CONCATENATE(PROPER(Roster!$B19),", ",Roster!$A19),"")</f>
        <v>Ryan Baker, 35</v>
      </c>
      <c r="B27" s="286" cm="1">
        <f t="array" aca="1" ref="B27" ca="1">SUMPRODUCT((PlayerGameData[Visible]=1)*(PlayerGameData[PLAYER, '#]=$A27)*(PlayerGameData[START]))</f>
        <v>0</v>
      </c>
      <c r="C27" s="287" cm="1">
        <f t="array" aca="1" ref="C27" ca="1">SUMPRODUCT((PlayerGameData[Visible]=1)*(PlayerGameData[PLAYER, '#]=$A27)*(PlayerGameData[GP]))</f>
        <v>24</v>
      </c>
      <c r="D27" s="288" cm="1">
        <f t="array" aca="1" ref="D27" ca="1">SUMPRODUCT((PlayerGameData[Visible]=1)*(PlayerGameData[PLAYER, '#]=$A27)*(PlayerGameData[MINUTES]))</f>
        <v>298</v>
      </c>
      <c r="E27" s="289" cm="1">
        <f t="array" aca="1" ref="E27" ca="1">SUMPRODUCT((PlayerGameData[Visible]=1)*(PlayerGameData[PLAYER, '#]=$A27)*(PlayerGameData[3FGM]))</f>
        <v>2</v>
      </c>
      <c r="F27" s="290" cm="1">
        <f t="array" aca="1" ref="F27" ca="1">SUMPRODUCT((PlayerGameData[Visible]=1)*(PlayerGameData[PLAYER, '#]=$A27)*(PlayerGameData[3FGA]))</f>
        <v>13</v>
      </c>
      <c r="G27" s="289" cm="1">
        <f t="array" aca="1" ref="G27" ca="1">SUMPRODUCT((PlayerGameData[Visible]=1)*(PlayerGameData[PLAYER, '#]=$A27)*(PlayerGameData[2FGM]))</f>
        <v>16</v>
      </c>
      <c r="H27" s="290" cm="1">
        <f t="array" aca="1" ref="H27" ca="1">SUMPRODUCT((PlayerGameData[Visible]=1)*(PlayerGameData[PLAYER, '#]=$A27)*(PlayerGameData[2FGA]))</f>
        <v>46</v>
      </c>
      <c r="I27" s="289" cm="1">
        <f t="array" aca="1" ref="I27" ca="1">SUMPRODUCT((PlayerGameData[Visible]=1)*(PlayerGameData[PLAYER, '#]=$A27)*(PlayerGameData[FTM]))</f>
        <v>15</v>
      </c>
      <c r="J27" s="290" cm="1">
        <f t="array" aca="1" ref="J27" ca="1">SUMPRODUCT((PlayerGameData[Visible]=1)*(PlayerGameData[PLAYER, '#]=$A27)*(PlayerGameData[FTA]))</f>
        <v>28</v>
      </c>
      <c r="K27" s="289" cm="1">
        <f t="array" aca="1" ref="K27" ca="1">SUMPRODUCT((PlayerGameData[Visible]=1)*(PlayerGameData[PLAYER, '#]=$A27)*(PlayerGameData[OFF REB]))</f>
        <v>27</v>
      </c>
      <c r="L27" s="289" cm="1">
        <f t="array" aca="1" ref="L27" ca="1">SUMPRODUCT((PlayerGameData[Visible]=1)*(PlayerGameData[PLAYER, '#]=$A27)*(PlayerGameData[DEF REB]))</f>
        <v>34</v>
      </c>
      <c r="M27" s="290">
        <f ca="1">K27+L27</f>
        <v>61</v>
      </c>
      <c r="N27" s="289" cm="1">
        <f t="array" aca="1" ref="N27" ca="1">SUMPRODUCT((PlayerGameData[Visible]=1)*(PlayerGameData[PLAYER, '#]=$A27)*(PlayerGameData[AST]))</f>
        <v>29</v>
      </c>
      <c r="O27" s="289" cm="1">
        <f t="array" aca="1" ref="O27" ca="1">SUMPRODUCT((PlayerGameData[Visible]=1)*(PlayerGameData[PLAYER, '#]=$A27)*(PlayerGameData[STL]))</f>
        <v>24</v>
      </c>
      <c r="P27" s="289" cm="1">
        <f t="array" aca="1" ref="P27" ca="1">SUMPRODUCT((PlayerGameData[Visible]=1)*(PlayerGameData[PLAYER, '#]=$A27)*(PlayerGameData[BLK]))</f>
        <v>2</v>
      </c>
      <c r="Q27" s="289" cm="1">
        <f t="array" aca="1" ref="Q27" ca="1">SUMPRODUCT((PlayerGameData[Visible]=1)*(PlayerGameData[PLAYER, '#]=$A27)*(PlayerGameData[TO]))</f>
        <v>16</v>
      </c>
      <c r="R27" s="289" cm="1">
        <f t="array" aca="1" ref="R27" ca="1">SUMPRODUCT((PlayerGameData[Visible]=1)*(PlayerGameData[PLAYER, '#]=$A27)*(PlayerGameData[FOUL]))</f>
        <v>27</v>
      </c>
      <c r="S27" s="291" cm="1">
        <f t="array" aca="1" ref="S27" ca="1">SUMPRODUCT((PlayerGameData[Visible]=1)*(PlayerGameData[PLAYER, '#]=$A27)*(PlayerGameData[CHRG TKN]))</f>
        <v>6</v>
      </c>
      <c r="T27" s="28">
        <f ca="1">IF(I27+2*G27+3*E27&gt;0,I27+2*G27+3*E27,0)</f>
        <v>53</v>
      </c>
      <c r="U27" s="29">
        <f ca="1">IF(F27&gt;0,E27/F27,"")</f>
        <v>0.15384615384615385</v>
      </c>
      <c r="V27" s="29">
        <f ca="1">IF(H27&gt;0,G27/H27,"")</f>
        <v>0.34782608695652173</v>
      </c>
      <c r="W27" s="30">
        <f ca="1">IF(J27&gt;0,I27/J27,"")</f>
        <v>0.5357142857142857</v>
      </c>
      <c r="X27" s="29">
        <f ca="1">IF(OR(F27&gt;0,H27 &gt;0),(E27+G27)/(F27+H27),"")</f>
        <v>0.30508474576271188</v>
      </c>
      <c r="Y27" s="31">
        <f ca="1">IF(OR(F27&gt;0,H27 &gt;0),(1.5*E27+G27)/(F27+H27),"")</f>
        <v>0.32203389830508472</v>
      </c>
      <c r="Z27" s="184"/>
      <c r="AA27" s="184"/>
      <c r="AB27" s="184"/>
      <c r="AC27" s="184"/>
      <c r="AD27" s="184"/>
      <c r="AE27" s="184"/>
      <c r="AF27" s="184"/>
      <c r="AG27" s="184"/>
      <c r="AH27" s="184"/>
      <c r="AI27" s="184"/>
      <c r="AJ27" s="59" t="str">
        <f>IF(OR(Roster!$A19&lt;&gt;"",Roster!$B19&lt;&gt;""),CONCATENATE(PROPER(Roster!$B19),", ",Roster!$A19),"")</f>
        <v>Ryan Baker, 35</v>
      </c>
      <c r="AK27" s="286" cm="1">
        <f t="array" aca="1" ref="AK27" ca="1">SUMPRODUCT((PlayerGameData[Visible]=1)*(PlayerGameData[PLAYER, '#]=$A27)*(PlayerGameData[START]))</f>
        <v>0</v>
      </c>
      <c r="AL27" s="287" cm="1">
        <f t="array" aca="1" ref="AL27" ca="1">SUMPRODUCT((PlayerGameData[Visible]=1)*(PlayerGameData[PLAYER, '#]=$A27)*(PlayerGameData[GP]))</f>
        <v>24</v>
      </c>
      <c r="AM27" s="288" cm="1">
        <f t="array" aca="1" ref="AM27" ca="1">SUMPRODUCT((PlayerGameData[Visible]=1)*(PlayerGameData[PLAYER, '#]=$A27)*(PlayerGameData[MINUTES]))</f>
        <v>298</v>
      </c>
      <c r="AN27" s="289" cm="1">
        <f t="array" aca="1" ref="AN27" ca="1">SUMPRODUCT((PlayerGameData[Visible]=1)*(PlayerGameData[PLAYER, '#]=$A27)*(PlayerGameData[3FGM]))</f>
        <v>2</v>
      </c>
      <c r="AO27" s="290" cm="1">
        <f t="array" aca="1" ref="AO27" ca="1">SUMPRODUCT((PlayerGameData[Visible]=1)*(PlayerGameData[PLAYER, '#]=$A27)*(PlayerGameData[3FGA]))</f>
        <v>13</v>
      </c>
      <c r="AP27" s="289" cm="1">
        <f t="array" aca="1" ref="AP27" ca="1">SUMPRODUCT((PlayerGameData[Visible]=1)*(PlayerGameData[PLAYER, '#]=$A27)*(PlayerGameData[2FGM]))</f>
        <v>16</v>
      </c>
      <c r="AQ27" s="290" cm="1">
        <f t="array" aca="1" ref="AQ27" ca="1">SUMPRODUCT((PlayerGameData[Visible]=1)*(PlayerGameData[PLAYER, '#]=$A27)*(PlayerGameData[2FGA]))</f>
        <v>46</v>
      </c>
      <c r="AR27" s="289" cm="1">
        <f t="array" aca="1" ref="AR27" ca="1">SUMPRODUCT((PlayerGameData[Visible]=1)*(PlayerGameData[PLAYER, '#]=$A27)*(PlayerGameData[FTM]))</f>
        <v>15</v>
      </c>
      <c r="AS27" s="290" cm="1">
        <f t="array" aca="1" ref="AS27" ca="1">SUMPRODUCT((PlayerGameData[Visible]=1)*(PlayerGameData[PLAYER, '#]=$A27)*(PlayerGameData[FTA]))</f>
        <v>28</v>
      </c>
      <c r="AT27" s="289" cm="1">
        <f t="array" aca="1" ref="AT27" ca="1">SUMPRODUCT((PlayerGameData[Visible]=1)*(PlayerGameData[PLAYER, '#]=$A27)*(PlayerGameData[OFF REB]))</f>
        <v>27</v>
      </c>
      <c r="AU27" s="289" cm="1">
        <f t="array" aca="1" ref="AU27" ca="1">SUMPRODUCT((PlayerGameData[Visible]=1)*(PlayerGameData[PLAYER, '#]=$A27)*(PlayerGameData[DEF REB]))</f>
        <v>34</v>
      </c>
      <c r="AV27" s="290">
        <f ca="1">AT27+AU27</f>
        <v>61</v>
      </c>
      <c r="AW27" s="289" cm="1">
        <f t="array" aca="1" ref="AW27" ca="1">SUMPRODUCT((PlayerGameData[Visible]=1)*(PlayerGameData[PLAYER, '#]=$A27)*(PlayerGameData[AST]))</f>
        <v>29</v>
      </c>
      <c r="AX27" s="289" cm="1">
        <f t="array" aca="1" ref="AX27" ca="1">SUMPRODUCT((PlayerGameData[Visible]=1)*(PlayerGameData[PLAYER, '#]=$A27)*(PlayerGameData[STL]))</f>
        <v>24</v>
      </c>
      <c r="AY27" s="289" cm="1">
        <f t="array" aca="1" ref="AY27" ca="1">SUMPRODUCT((PlayerGameData[Visible]=1)*(PlayerGameData[PLAYER, '#]=$A27)*(PlayerGameData[BLK]))</f>
        <v>2</v>
      </c>
      <c r="AZ27" s="289" cm="1">
        <f t="array" aca="1" ref="AZ27" ca="1">SUMPRODUCT((PlayerGameData[Visible]=1)*(PlayerGameData[PLAYER, '#]=$A27)*(PlayerGameData[TO]))</f>
        <v>16</v>
      </c>
      <c r="BA27" s="289" cm="1">
        <f t="array" aca="1" ref="BA27" ca="1">SUMPRODUCT((PlayerGameData[Visible]=1)*(PlayerGameData[PLAYER, '#]=$A27)*(PlayerGameData[FOUL]))</f>
        <v>27</v>
      </c>
      <c r="BB27" s="291" cm="1">
        <f t="array" aca="1" ref="BB27" ca="1">SUMPRODUCT((PlayerGameData[Visible]=1)*(PlayerGameData[PLAYER, '#]=$A27)*(PlayerGameData[CHRG TKN]))</f>
        <v>6</v>
      </c>
      <c r="BC27" s="28">
        <f ca="1">IF(AR27+2*AP27+3*AN27&gt;0,AR27+2*AP27+3*AN27,0)</f>
        <v>53</v>
      </c>
      <c r="BD27" s="29">
        <f ca="1">IF(AO27&gt;0,AN27/AO27,"")</f>
        <v>0.15384615384615385</v>
      </c>
      <c r="BE27" s="29">
        <f ca="1">IF(AQ27&gt;0,AP27/AQ27,"")</f>
        <v>0.34782608695652173</v>
      </c>
      <c r="BF27" s="30">
        <f ca="1">IF(AS27&gt;0,AR27/AS27,"")</f>
        <v>0.5357142857142857</v>
      </c>
      <c r="BG27" s="29">
        <f ca="1">IF(OR(AO27&gt;0,AQ27 &gt;0),(AN27+AP27)/(AO27+AQ27),"")</f>
        <v>0.30508474576271188</v>
      </c>
      <c r="BH27" s="31">
        <f ca="1">IF(OR(AO27&gt;0,AQ27 &gt;0),(1.5*AN27+AP27)/(AO27+AQ27),"")</f>
        <v>0.32203389830508472</v>
      </c>
      <c r="BI27" s="184"/>
      <c r="BJ27" s="184"/>
      <c r="BK27" s="184"/>
      <c r="BL27" s="184"/>
      <c r="BM27" s="184"/>
      <c r="BN27" s="184"/>
      <c r="BO27" s="184"/>
      <c r="BP27" s="184"/>
      <c r="BQ27" s="184"/>
      <c r="BR27" s="184"/>
      <c r="BS27" s="184"/>
      <c r="BT27" s="184"/>
      <c r="CA27" s="51">
        <f t="shared" ca="1" si="2"/>
        <v>18</v>
      </c>
      <c r="CB27" s="51">
        <f t="shared" ca="1" si="2"/>
        <v>59</v>
      </c>
      <c r="CC27" s="51"/>
      <c r="CD27" s="51"/>
      <c r="CE27" s="51"/>
      <c r="CF27" s="51"/>
      <c r="CG27" s="51"/>
      <c r="CH27" s="51"/>
      <c r="CI27" s="51"/>
      <c r="CJ27" s="51"/>
      <c r="CK27" s="51"/>
      <c r="CL27" s="51"/>
      <c r="CM27" s="51"/>
      <c r="CN27" s="292"/>
      <c r="CO27" s="51"/>
      <c r="CP27" s="51"/>
    </row>
    <row r="28" spans="1:94" s="18" customFormat="1" ht="16.5" x14ac:dyDescent="0.3">
      <c r="A28" s="188" t="str">
        <f>IF(A27&lt;&gt;"","Per Game","")</f>
        <v>Per Game</v>
      </c>
      <c r="B28" s="294"/>
      <c r="C28" s="295"/>
      <c r="D28" s="296">
        <f ca="1">IFERROR(ROUND(D27/$C27,1),"")</f>
        <v>12.4</v>
      </c>
      <c r="E28" s="300">
        <f t="shared" ref="E28:T28" ca="1" si="25">IFERROR(ROUND(E27/$C27,1),"")</f>
        <v>0.1</v>
      </c>
      <c r="F28" s="301">
        <f t="shared" ca="1" si="25"/>
        <v>0.5</v>
      </c>
      <c r="G28" s="300">
        <f t="shared" ca="1" si="25"/>
        <v>0.7</v>
      </c>
      <c r="H28" s="301">
        <f t="shared" ca="1" si="25"/>
        <v>1.9</v>
      </c>
      <c r="I28" s="300">
        <f t="shared" ca="1" si="25"/>
        <v>0.6</v>
      </c>
      <c r="J28" s="301">
        <f t="shared" ca="1" si="25"/>
        <v>1.2</v>
      </c>
      <c r="K28" s="300">
        <f t="shared" ca="1" si="25"/>
        <v>1.1000000000000001</v>
      </c>
      <c r="L28" s="300">
        <f t="shared" ca="1" si="25"/>
        <v>1.4</v>
      </c>
      <c r="M28" s="301">
        <f t="shared" ca="1" si="25"/>
        <v>2.5</v>
      </c>
      <c r="N28" s="300">
        <f t="shared" ca="1" si="25"/>
        <v>1.2</v>
      </c>
      <c r="O28" s="300">
        <f t="shared" ca="1" si="25"/>
        <v>1</v>
      </c>
      <c r="P28" s="300">
        <f t="shared" ca="1" si="25"/>
        <v>0.1</v>
      </c>
      <c r="Q28" s="300">
        <f t="shared" ca="1" si="25"/>
        <v>0.7</v>
      </c>
      <c r="R28" s="300">
        <f t="shared" ca="1" si="25"/>
        <v>1.1000000000000001</v>
      </c>
      <c r="S28" s="302">
        <f t="shared" ca="1" si="25"/>
        <v>0.3</v>
      </c>
      <c r="T28" s="60">
        <f t="shared" ca="1" si="25"/>
        <v>2.2000000000000002</v>
      </c>
      <c r="U28" s="25"/>
      <c r="V28" s="25"/>
      <c r="W28" s="26"/>
      <c r="X28" s="25"/>
      <c r="Y28" s="27"/>
      <c r="Z28" s="184"/>
      <c r="AA28" s="184"/>
      <c r="AB28" s="184"/>
      <c r="AC28" s="184"/>
      <c r="AD28" s="184"/>
      <c r="AE28" s="184"/>
      <c r="AF28" s="184"/>
      <c r="AG28" s="184"/>
      <c r="AH28" s="184"/>
      <c r="AI28" s="184"/>
      <c r="AJ28" s="188" t="str">
        <f>IF(AJ27&lt;&gt;"","Per Minute","")</f>
        <v>Per Minute</v>
      </c>
      <c r="AK28" s="294"/>
      <c r="AL28" s="295"/>
      <c r="AM28" s="296">
        <f ca="1">IFERROR(ROUND(AM27/$C27,1),"")</f>
        <v>12.4</v>
      </c>
      <c r="AN28" s="300">
        <f t="shared" ref="AN28:BC28" ca="1" si="26">IFERROR(ROUND(AN27/$D27,1),"")</f>
        <v>0</v>
      </c>
      <c r="AO28" s="301">
        <f t="shared" ca="1" si="26"/>
        <v>0</v>
      </c>
      <c r="AP28" s="300">
        <f t="shared" ca="1" si="26"/>
        <v>0.1</v>
      </c>
      <c r="AQ28" s="301">
        <f t="shared" ca="1" si="26"/>
        <v>0.2</v>
      </c>
      <c r="AR28" s="300">
        <f t="shared" ca="1" si="26"/>
        <v>0.1</v>
      </c>
      <c r="AS28" s="301">
        <f t="shared" ca="1" si="26"/>
        <v>0.1</v>
      </c>
      <c r="AT28" s="300">
        <f t="shared" ca="1" si="26"/>
        <v>0.1</v>
      </c>
      <c r="AU28" s="300">
        <f t="shared" ca="1" si="26"/>
        <v>0.1</v>
      </c>
      <c r="AV28" s="301">
        <f t="shared" ca="1" si="26"/>
        <v>0.2</v>
      </c>
      <c r="AW28" s="300">
        <f t="shared" ca="1" si="26"/>
        <v>0.1</v>
      </c>
      <c r="AX28" s="300">
        <f t="shared" ca="1" si="26"/>
        <v>0.1</v>
      </c>
      <c r="AY28" s="300">
        <f t="shared" ca="1" si="26"/>
        <v>0</v>
      </c>
      <c r="AZ28" s="300">
        <f t="shared" ca="1" si="26"/>
        <v>0.1</v>
      </c>
      <c r="BA28" s="300">
        <f t="shared" ca="1" si="26"/>
        <v>0.1</v>
      </c>
      <c r="BB28" s="302">
        <f t="shared" ca="1" si="26"/>
        <v>0</v>
      </c>
      <c r="BC28" s="60">
        <f t="shared" ca="1" si="26"/>
        <v>0.2</v>
      </c>
      <c r="BD28" s="25"/>
      <c r="BE28" s="25"/>
      <c r="BF28" s="26"/>
      <c r="BG28" s="25"/>
      <c r="BH28" s="27"/>
      <c r="BI28" s="184"/>
      <c r="BJ28" s="184"/>
      <c r="BK28" s="184"/>
      <c r="BL28" s="184"/>
      <c r="BM28" s="184"/>
      <c r="BN28" s="184"/>
      <c r="BO28" s="184"/>
      <c r="BP28" s="184"/>
      <c r="BQ28" s="184"/>
      <c r="BR28" s="184"/>
      <c r="BS28" s="184"/>
      <c r="BT28" s="184"/>
      <c r="CA28" s="51">
        <f t="shared" ca="1" si="2"/>
        <v>0.79999999999999993</v>
      </c>
      <c r="CB28" s="51">
        <f t="shared" ca="1" si="2"/>
        <v>2.4</v>
      </c>
      <c r="CC28" s="51"/>
      <c r="CD28" s="51"/>
      <c r="CE28" s="51"/>
      <c r="CF28" s="51"/>
      <c r="CG28" s="51"/>
      <c r="CH28" s="51"/>
      <c r="CI28" s="51"/>
      <c r="CJ28" s="51"/>
      <c r="CK28" s="51"/>
      <c r="CL28" s="51"/>
      <c r="CM28" s="51"/>
      <c r="CN28" s="292"/>
      <c r="CO28" s="51"/>
      <c r="CP28" s="51"/>
    </row>
    <row r="29" spans="1:94" s="18" customFormat="1" ht="16.5" x14ac:dyDescent="0.3">
      <c r="A29" s="59" t="str">
        <f>IF(OR(Roster!$A20&lt;&gt;"",Roster!$B20&lt;&gt;""),CONCATENATE(PROPER(Roster!$B20),", ",Roster!$A20),"")</f>
        <v/>
      </c>
      <c r="B29" s="286" cm="1">
        <f t="array" aca="1" ref="B29" ca="1">SUMPRODUCT((PlayerGameData[Visible]=1)*(PlayerGameData[PLAYER, '#]=$A29)*(PlayerGameData[START]))</f>
        <v>0</v>
      </c>
      <c r="C29" s="287" cm="1">
        <f t="array" aca="1" ref="C29" ca="1">SUMPRODUCT((PlayerGameData[Visible]=1)*(PlayerGameData[PLAYER, '#]=$A29)*(PlayerGameData[GP]))</f>
        <v>0</v>
      </c>
      <c r="D29" s="288" cm="1">
        <f t="array" aca="1" ref="D29" ca="1">SUMPRODUCT((PlayerGameData[Visible]=1)*(PlayerGameData[PLAYER, '#]=$A29)*(PlayerGameData[MINUTES]))</f>
        <v>0</v>
      </c>
      <c r="E29" s="289" cm="1">
        <f t="array" aca="1" ref="E29" ca="1">SUMPRODUCT((PlayerGameData[Visible]=1)*(PlayerGameData[PLAYER, '#]=$A29)*(PlayerGameData[3FGM]))</f>
        <v>0</v>
      </c>
      <c r="F29" s="290" cm="1">
        <f t="array" aca="1" ref="F29" ca="1">SUMPRODUCT((PlayerGameData[Visible]=1)*(PlayerGameData[PLAYER, '#]=$A29)*(PlayerGameData[3FGA]))</f>
        <v>0</v>
      </c>
      <c r="G29" s="289" cm="1">
        <f t="array" aca="1" ref="G29" ca="1">SUMPRODUCT((PlayerGameData[Visible]=1)*(PlayerGameData[PLAYER, '#]=$A29)*(PlayerGameData[2FGM]))</f>
        <v>0</v>
      </c>
      <c r="H29" s="290" cm="1">
        <f t="array" aca="1" ref="H29" ca="1">SUMPRODUCT((PlayerGameData[Visible]=1)*(PlayerGameData[PLAYER, '#]=$A29)*(PlayerGameData[2FGA]))</f>
        <v>0</v>
      </c>
      <c r="I29" s="289" cm="1">
        <f t="array" aca="1" ref="I29" ca="1">SUMPRODUCT((PlayerGameData[Visible]=1)*(PlayerGameData[PLAYER, '#]=$A29)*(PlayerGameData[FTM]))</f>
        <v>0</v>
      </c>
      <c r="J29" s="290" cm="1">
        <f t="array" aca="1" ref="J29" ca="1">SUMPRODUCT((PlayerGameData[Visible]=1)*(PlayerGameData[PLAYER, '#]=$A29)*(PlayerGameData[FTA]))</f>
        <v>0</v>
      </c>
      <c r="K29" s="289" cm="1">
        <f t="array" aca="1" ref="K29" ca="1">SUMPRODUCT((PlayerGameData[Visible]=1)*(PlayerGameData[PLAYER, '#]=$A29)*(PlayerGameData[OFF REB]))</f>
        <v>0</v>
      </c>
      <c r="L29" s="289" cm="1">
        <f t="array" aca="1" ref="L29" ca="1">SUMPRODUCT((PlayerGameData[Visible]=1)*(PlayerGameData[PLAYER, '#]=$A29)*(PlayerGameData[DEF REB]))</f>
        <v>0</v>
      </c>
      <c r="M29" s="290">
        <f ca="1">K29+L29</f>
        <v>0</v>
      </c>
      <c r="N29" s="289" cm="1">
        <f t="array" aca="1" ref="N29" ca="1">SUMPRODUCT((PlayerGameData[Visible]=1)*(PlayerGameData[PLAYER, '#]=$A29)*(PlayerGameData[AST]))</f>
        <v>0</v>
      </c>
      <c r="O29" s="289" cm="1">
        <f t="array" aca="1" ref="O29" ca="1">SUMPRODUCT((PlayerGameData[Visible]=1)*(PlayerGameData[PLAYER, '#]=$A29)*(PlayerGameData[STL]))</f>
        <v>0</v>
      </c>
      <c r="P29" s="289" cm="1">
        <f t="array" aca="1" ref="P29" ca="1">SUMPRODUCT((PlayerGameData[Visible]=1)*(PlayerGameData[PLAYER, '#]=$A29)*(PlayerGameData[BLK]))</f>
        <v>0</v>
      </c>
      <c r="Q29" s="289" cm="1">
        <f t="array" aca="1" ref="Q29" ca="1">SUMPRODUCT((PlayerGameData[Visible]=1)*(PlayerGameData[PLAYER, '#]=$A29)*(PlayerGameData[TO]))</f>
        <v>0</v>
      </c>
      <c r="R29" s="289" cm="1">
        <f t="array" aca="1" ref="R29" ca="1">SUMPRODUCT((PlayerGameData[Visible]=1)*(PlayerGameData[PLAYER, '#]=$A29)*(PlayerGameData[FOUL]))</f>
        <v>0</v>
      </c>
      <c r="S29" s="291" cm="1">
        <f t="array" aca="1" ref="S29" ca="1">SUMPRODUCT((PlayerGameData[Visible]=1)*(PlayerGameData[PLAYER, '#]=$A29)*(PlayerGameData[CHRG TKN]))</f>
        <v>0</v>
      </c>
      <c r="T29" s="28">
        <f ca="1">IF(I29+2*G29+3*E29&gt;0,I29+2*G29+3*E29,0)</f>
        <v>0</v>
      </c>
      <c r="U29" s="29" t="str">
        <f ca="1">IF(F29&gt;0,E29/F29,"")</f>
        <v/>
      </c>
      <c r="V29" s="29" t="str">
        <f ca="1">IF(H29&gt;0,G29/H29,"")</f>
        <v/>
      </c>
      <c r="W29" s="30" t="str">
        <f ca="1">IF(J29&gt;0,I29/J29,"")</f>
        <v/>
      </c>
      <c r="X29" s="29" t="str">
        <f ca="1">IF(OR(F29&gt;0,H29 &gt;0),(E29+G29)/(F29+H29),"")</f>
        <v/>
      </c>
      <c r="Y29" s="31" t="str">
        <f ca="1">IF(OR(F29&gt;0,H29 &gt;0),(1.5*E29+G29)/(F29+H29),"")</f>
        <v/>
      </c>
      <c r="Z29" s="184"/>
      <c r="AA29" s="184"/>
      <c r="AB29" s="184"/>
      <c r="AC29" s="184"/>
      <c r="AD29" s="184"/>
      <c r="AE29" s="184"/>
      <c r="AF29" s="184"/>
      <c r="AG29" s="184"/>
      <c r="AH29" s="184"/>
      <c r="AI29" s="184"/>
      <c r="AJ29" s="59" t="str">
        <f>IF(OR(Roster!$A20&lt;&gt;"",Roster!$B20&lt;&gt;""),CONCATENATE(PROPER(Roster!$B20),", ",Roster!$A20),"")</f>
        <v/>
      </c>
      <c r="AK29" s="286"/>
      <c r="AL29" s="287" cm="1">
        <f t="array" aca="1" ref="AL29" ca="1">SUMPRODUCT((PlayerGameData[Visible]=1)*(PlayerGameData[PLAYER, '#]=$A29)*(PlayerGameData[GP]))</f>
        <v>0</v>
      </c>
      <c r="AM29" s="288" cm="1">
        <f t="array" aca="1" ref="AM29" ca="1">SUMPRODUCT((PlayerGameData[Visible]=1)*(PlayerGameData[PLAYER, '#]=$A29)*(PlayerGameData[MINUTES]))</f>
        <v>0</v>
      </c>
      <c r="AN29" s="289" cm="1">
        <f t="array" aca="1" ref="AN29" ca="1">SUMPRODUCT((PlayerGameData[Visible]=1)*(PlayerGameData[PLAYER, '#]=$A29)*(PlayerGameData[3FGM]))</f>
        <v>0</v>
      </c>
      <c r="AO29" s="290" cm="1">
        <f t="array" aca="1" ref="AO29" ca="1">SUMPRODUCT((PlayerGameData[Visible]=1)*(PlayerGameData[PLAYER, '#]=$A29)*(PlayerGameData[3FGA]))</f>
        <v>0</v>
      </c>
      <c r="AP29" s="289" cm="1">
        <f t="array" aca="1" ref="AP29" ca="1">SUMPRODUCT((PlayerGameData[Visible]=1)*(PlayerGameData[PLAYER, '#]=$A29)*(PlayerGameData[2FGM]))</f>
        <v>0</v>
      </c>
      <c r="AQ29" s="290" cm="1">
        <f t="array" aca="1" ref="AQ29" ca="1">SUMPRODUCT((PlayerGameData[Visible]=1)*(PlayerGameData[PLAYER, '#]=$A29)*(PlayerGameData[2FGA]))</f>
        <v>0</v>
      </c>
      <c r="AR29" s="289" cm="1">
        <f t="array" aca="1" ref="AR29" ca="1">SUMPRODUCT((PlayerGameData[Visible]=1)*(PlayerGameData[PLAYER, '#]=$A29)*(PlayerGameData[FTM]))</f>
        <v>0</v>
      </c>
      <c r="AS29" s="290" cm="1">
        <f t="array" aca="1" ref="AS29" ca="1">SUMPRODUCT((PlayerGameData[Visible]=1)*(PlayerGameData[PLAYER, '#]=$A29)*(PlayerGameData[FTA]))</f>
        <v>0</v>
      </c>
      <c r="AT29" s="289" cm="1">
        <f t="array" aca="1" ref="AT29" ca="1">SUMPRODUCT((PlayerGameData[Visible]=1)*(PlayerGameData[PLAYER, '#]=$A29)*(PlayerGameData[OFF REB]))</f>
        <v>0</v>
      </c>
      <c r="AU29" s="289" cm="1">
        <f t="array" aca="1" ref="AU29" ca="1">SUMPRODUCT((PlayerGameData[Visible]=1)*(PlayerGameData[PLAYER, '#]=$A29)*(PlayerGameData[DEF REB]))</f>
        <v>0</v>
      </c>
      <c r="AV29" s="290">
        <f ca="1">AT29+AU29</f>
        <v>0</v>
      </c>
      <c r="AW29" s="289" cm="1">
        <f t="array" aca="1" ref="AW29" ca="1">SUMPRODUCT((PlayerGameData[Visible]=1)*(PlayerGameData[PLAYER, '#]=$A29)*(PlayerGameData[AST]))</f>
        <v>0</v>
      </c>
      <c r="AX29" s="289" cm="1">
        <f t="array" aca="1" ref="AX29" ca="1">SUMPRODUCT((PlayerGameData[Visible]=1)*(PlayerGameData[PLAYER, '#]=$A29)*(PlayerGameData[STL]))</f>
        <v>0</v>
      </c>
      <c r="AY29" s="289" cm="1">
        <f t="array" aca="1" ref="AY29" ca="1">SUMPRODUCT((PlayerGameData[Visible]=1)*(PlayerGameData[PLAYER, '#]=$A29)*(PlayerGameData[BLK]))</f>
        <v>0</v>
      </c>
      <c r="AZ29" s="289" cm="1">
        <f t="array" aca="1" ref="AZ29" ca="1">SUMPRODUCT((PlayerGameData[Visible]=1)*(PlayerGameData[PLAYER, '#]=$A29)*(PlayerGameData[TO]))</f>
        <v>0</v>
      </c>
      <c r="BA29" s="289" cm="1">
        <f t="array" aca="1" ref="BA29" ca="1">SUMPRODUCT((PlayerGameData[Visible]=1)*(PlayerGameData[PLAYER, '#]=$A29)*(PlayerGameData[FOUL]))</f>
        <v>0</v>
      </c>
      <c r="BB29" s="291" cm="1">
        <f t="array" aca="1" ref="BB29" ca="1">SUMPRODUCT((PlayerGameData[Visible]=1)*(PlayerGameData[PLAYER, '#]=$A29)*(PlayerGameData[CHRG TKN]))</f>
        <v>0</v>
      </c>
      <c r="BC29" s="28">
        <f ca="1">IF(AR29+2*AP29+3*AN29&gt;0,AR29+2*AP29+3*AN29,0)</f>
        <v>0</v>
      </c>
      <c r="BD29" s="29" t="str">
        <f ca="1">IF(AO29&gt;0,AN29/AO29,"")</f>
        <v/>
      </c>
      <c r="BE29" s="29" t="str">
        <f ca="1">IF(AQ29&gt;0,AP29/AQ29,"")</f>
        <v/>
      </c>
      <c r="BF29" s="30" t="str">
        <f ca="1">IF(AS29&gt;0,AR29/AS29,"")</f>
        <v/>
      </c>
      <c r="BG29" s="29" t="str">
        <f ca="1">IF(OR(AO29&gt;0,AQ29 &gt;0),(AN29+AP29)/(AO29+AQ29),"")</f>
        <v/>
      </c>
      <c r="BH29" s="31" t="str">
        <f ca="1">IF(OR(AO29&gt;0,AQ29 &gt;0),(1.5*AN29+AP29)/(AO29+AQ29),"")</f>
        <v/>
      </c>
      <c r="BI29" s="184"/>
      <c r="BJ29" s="184"/>
      <c r="BK29" s="184"/>
      <c r="BL29" s="184"/>
      <c r="BM29" s="184"/>
      <c r="BN29" s="184"/>
      <c r="BO29" s="184"/>
      <c r="BP29" s="184"/>
      <c r="BQ29" s="184"/>
      <c r="BR29" s="184"/>
      <c r="BS29" s="184"/>
      <c r="BT29" s="184"/>
      <c r="CA29" s="51">
        <f t="shared" ca="1" si="2"/>
        <v>0</v>
      </c>
      <c r="CB29" s="51">
        <f t="shared" ca="1" si="2"/>
        <v>0</v>
      </c>
      <c r="CC29" s="51"/>
      <c r="CD29" s="51"/>
      <c r="CE29" s="51"/>
      <c r="CF29" s="51"/>
      <c r="CG29" s="51"/>
      <c r="CH29" s="51"/>
      <c r="CI29" s="51"/>
      <c r="CJ29" s="51"/>
      <c r="CK29" s="51"/>
      <c r="CL29" s="51"/>
      <c r="CM29" s="51"/>
      <c r="CN29" s="292"/>
      <c r="CO29" s="51"/>
      <c r="CP29" s="51"/>
    </row>
    <row r="30" spans="1:94" s="18" customFormat="1" ht="16.5" x14ac:dyDescent="0.3">
      <c r="A30" s="188" t="str">
        <f>IF(A29&lt;&gt;"","Per Game","")</f>
        <v/>
      </c>
      <c r="B30" s="294"/>
      <c r="C30" s="295"/>
      <c r="D30" s="296" t="str">
        <f ca="1">IFERROR(ROUND(D29/$C29,1),"")</f>
        <v/>
      </c>
      <c r="E30" s="300" t="str">
        <f t="shared" ref="E30:T30" ca="1" si="27">IFERROR(ROUND(E29/$C29,1),"")</f>
        <v/>
      </c>
      <c r="F30" s="301" t="str">
        <f t="shared" ca="1" si="27"/>
        <v/>
      </c>
      <c r="G30" s="300" t="str">
        <f t="shared" ca="1" si="27"/>
        <v/>
      </c>
      <c r="H30" s="301" t="str">
        <f t="shared" ca="1" si="27"/>
        <v/>
      </c>
      <c r="I30" s="300" t="str">
        <f t="shared" ca="1" si="27"/>
        <v/>
      </c>
      <c r="J30" s="301" t="str">
        <f t="shared" ca="1" si="27"/>
        <v/>
      </c>
      <c r="K30" s="300" t="str">
        <f t="shared" ca="1" si="27"/>
        <v/>
      </c>
      <c r="L30" s="300" t="str">
        <f t="shared" ca="1" si="27"/>
        <v/>
      </c>
      <c r="M30" s="301" t="str">
        <f t="shared" ca="1" si="27"/>
        <v/>
      </c>
      <c r="N30" s="300" t="str">
        <f t="shared" ca="1" si="27"/>
        <v/>
      </c>
      <c r="O30" s="300" t="str">
        <f t="shared" ca="1" si="27"/>
        <v/>
      </c>
      <c r="P30" s="300" t="str">
        <f t="shared" ca="1" si="27"/>
        <v/>
      </c>
      <c r="Q30" s="300" t="str">
        <f t="shared" ca="1" si="27"/>
        <v/>
      </c>
      <c r="R30" s="300" t="str">
        <f t="shared" ca="1" si="27"/>
        <v/>
      </c>
      <c r="S30" s="302" t="str">
        <f t="shared" ca="1" si="27"/>
        <v/>
      </c>
      <c r="T30" s="60" t="str">
        <f t="shared" ca="1" si="27"/>
        <v/>
      </c>
      <c r="U30" s="25"/>
      <c r="V30" s="25"/>
      <c r="W30" s="26"/>
      <c r="X30" s="25"/>
      <c r="Y30" s="27"/>
      <c r="Z30" s="184"/>
      <c r="AA30" s="184"/>
      <c r="AB30" s="184"/>
      <c r="AC30" s="184"/>
      <c r="AD30" s="184"/>
      <c r="AE30" s="184"/>
      <c r="AF30" s="184"/>
      <c r="AG30" s="184"/>
      <c r="AH30" s="184"/>
      <c r="AI30" s="184"/>
      <c r="AJ30" s="188" t="str">
        <f>IF(AJ29&lt;&gt;"","Per Minute","")</f>
        <v/>
      </c>
      <c r="AK30" s="294"/>
      <c r="AL30" s="295"/>
      <c r="AM30" s="296" t="str">
        <f ca="1">IFERROR(ROUND(AM29/$C29,1),"")</f>
        <v/>
      </c>
      <c r="AN30" s="300" t="str">
        <f t="shared" ref="AN30:BC30" ca="1" si="28">IFERROR(ROUND(AN29/$D29,1),"")</f>
        <v/>
      </c>
      <c r="AO30" s="301" t="str">
        <f t="shared" ca="1" si="28"/>
        <v/>
      </c>
      <c r="AP30" s="300" t="str">
        <f t="shared" ca="1" si="28"/>
        <v/>
      </c>
      <c r="AQ30" s="301" t="str">
        <f t="shared" ca="1" si="28"/>
        <v/>
      </c>
      <c r="AR30" s="300" t="str">
        <f t="shared" ca="1" si="28"/>
        <v/>
      </c>
      <c r="AS30" s="301" t="str">
        <f t="shared" ca="1" si="28"/>
        <v/>
      </c>
      <c r="AT30" s="300" t="str">
        <f t="shared" ca="1" si="28"/>
        <v/>
      </c>
      <c r="AU30" s="300" t="str">
        <f t="shared" ca="1" si="28"/>
        <v/>
      </c>
      <c r="AV30" s="301" t="str">
        <f t="shared" ca="1" si="28"/>
        <v/>
      </c>
      <c r="AW30" s="300" t="str">
        <f t="shared" ca="1" si="28"/>
        <v/>
      </c>
      <c r="AX30" s="300" t="str">
        <f t="shared" ca="1" si="28"/>
        <v/>
      </c>
      <c r="AY30" s="300" t="str">
        <f t="shared" ca="1" si="28"/>
        <v/>
      </c>
      <c r="AZ30" s="300" t="str">
        <f t="shared" ca="1" si="28"/>
        <v/>
      </c>
      <c r="BA30" s="300" t="str">
        <f t="shared" ca="1" si="28"/>
        <v/>
      </c>
      <c r="BB30" s="302" t="str">
        <f t="shared" ca="1" si="28"/>
        <v/>
      </c>
      <c r="BC30" s="60" t="str">
        <f t="shared" ca="1" si="28"/>
        <v/>
      </c>
      <c r="BD30" s="25"/>
      <c r="BE30" s="25"/>
      <c r="BF30" s="26"/>
      <c r="BG30" s="25"/>
      <c r="BH30" s="27"/>
      <c r="BI30" s="184"/>
      <c r="BJ30" s="184"/>
      <c r="BK30" s="184"/>
      <c r="BL30" s="184"/>
      <c r="BM30" s="184"/>
      <c r="BN30" s="184"/>
      <c r="BO30" s="184"/>
      <c r="BP30" s="184"/>
      <c r="BQ30" s="184"/>
      <c r="BR30" s="184"/>
      <c r="BS30" s="184"/>
      <c r="BT30" s="184"/>
      <c r="CA30" s="51" t="e">
        <f t="shared" ca="1" si="2"/>
        <v>#VALUE!</v>
      </c>
      <c r="CB30" s="51" t="e">
        <f t="shared" ca="1" si="2"/>
        <v>#VALUE!</v>
      </c>
      <c r="CC30" s="51"/>
      <c r="CD30" s="51"/>
      <c r="CE30" s="51"/>
      <c r="CF30" s="51"/>
      <c r="CG30" s="51"/>
      <c r="CH30" s="51"/>
      <c r="CI30" s="51"/>
      <c r="CJ30" s="51"/>
      <c r="CK30" s="51"/>
      <c r="CL30" s="51"/>
      <c r="CM30" s="51"/>
      <c r="CN30" s="292"/>
      <c r="CO30" s="51"/>
      <c r="CP30" s="51"/>
    </row>
    <row r="31" spans="1:94" s="18" customFormat="1" ht="16.5" x14ac:dyDescent="0.3">
      <c r="A31" s="59" t="str">
        <f>IF(OR(Roster!$A21&lt;&gt;"",Roster!$B21&lt;&gt;""),CONCATENATE(PROPER(Roster!$B21),", ",Roster!$A21),"")</f>
        <v/>
      </c>
      <c r="B31" s="286" cm="1">
        <f t="array" aca="1" ref="B31" ca="1">SUMPRODUCT((PlayerGameData[Visible]=1)*(PlayerGameData[PLAYER, '#]=$A31)*(PlayerGameData[START]))</f>
        <v>0</v>
      </c>
      <c r="C31" s="287" cm="1">
        <f t="array" aca="1" ref="C31" ca="1">SUMPRODUCT((PlayerGameData[Visible]=1)*(PlayerGameData[PLAYER, '#]=$A31)*(PlayerGameData[GP]))</f>
        <v>0</v>
      </c>
      <c r="D31" s="288" cm="1">
        <f t="array" aca="1" ref="D31" ca="1">SUMPRODUCT((PlayerGameData[Visible]=1)*(PlayerGameData[PLAYER, '#]=$A31)*(PlayerGameData[MINUTES]))</f>
        <v>0</v>
      </c>
      <c r="E31" s="289" cm="1">
        <f t="array" aca="1" ref="E31" ca="1">SUMPRODUCT((PlayerGameData[Visible]=1)*(PlayerGameData[PLAYER, '#]=$A31)*(PlayerGameData[3FGM]))</f>
        <v>0</v>
      </c>
      <c r="F31" s="290" cm="1">
        <f t="array" aca="1" ref="F31" ca="1">SUMPRODUCT((PlayerGameData[Visible]=1)*(PlayerGameData[PLAYER, '#]=$A31)*(PlayerGameData[3FGA]))</f>
        <v>0</v>
      </c>
      <c r="G31" s="289" cm="1">
        <f t="array" aca="1" ref="G31" ca="1">SUMPRODUCT((PlayerGameData[Visible]=1)*(PlayerGameData[PLAYER, '#]=$A31)*(PlayerGameData[2FGM]))</f>
        <v>0</v>
      </c>
      <c r="H31" s="290" cm="1">
        <f t="array" aca="1" ref="H31" ca="1">SUMPRODUCT((PlayerGameData[Visible]=1)*(PlayerGameData[PLAYER, '#]=$A31)*(PlayerGameData[2FGA]))</f>
        <v>0</v>
      </c>
      <c r="I31" s="289" cm="1">
        <f t="array" aca="1" ref="I31" ca="1">SUMPRODUCT((PlayerGameData[Visible]=1)*(PlayerGameData[PLAYER, '#]=$A31)*(PlayerGameData[FTM]))</f>
        <v>0</v>
      </c>
      <c r="J31" s="290" cm="1">
        <f t="array" aca="1" ref="J31" ca="1">SUMPRODUCT((PlayerGameData[Visible]=1)*(PlayerGameData[PLAYER, '#]=$A31)*(PlayerGameData[FTA]))</f>
        <v>0</v>
      </c>
      <c r="K31" s="289" cm="1">
        <f t="array" aca="1" ref="K31" ca="1">SUMPRODUCT((PlayerGameData[Visible]=1)*(PlayerGameData[PLAYER, '#]=$A31)*(PlayerGameData[OFF REB]))</f>
        <v>0</v>
      </c>
      <c r="L31" s="289" cm="1">
        <f t="array" aca="1" ref="L31" ca="1">SUMPRODUCT((PlayerGameData[Visible]=1)*(PlayerGameData[PLAYER, '#]=$A31)*(PlayerGameData[DEF REB]))</f>
        <v>0</v>
      </c>
      <c r="M31" s="290">
        <f ca="1">K31+L31</f>
        <v>0</v>
      </c>
      <c r="N31" s="289" cm="1">
        <f t="array" aca="1" ref="N31" ca="1">SUMPRODUCT((PlayerGameData[Visible]=1)*(PlayerGameData[PLAYER, '#]=$A31)*(PlayerGameData[AST]))</f>
        <v>0</v>
      </c>
      <c r="O31" s="289" cm="1">
        <f t="array" aca="1" ref="O31" ca="1">SUMPRODUCT((PlayerGameData[Visible]=1)*(PlayerGameData[PLAYER, '#]=$A31)*(PlayerGameData[STL]))</f>
        <v>0</v>
      </c>
      <c r="P31" s="289" cm="1">
        <f t="array" aca="1" ref="P31" ca="1">SUMPRODUCT((PlayerGameData[Visible]=1)*(PlayerGameData[PLAYER, '#]=$A31)*(PlayerGameData[BLK]))</f>
        <v>0</v>
      </c>
      <c r="Q31" s="289" cm="1">
        <f t="array" aca="1" ref="Q31" ca="1">SUMPRODUCT((PlayerGameData[Visible]=1)*(PlayerGameData[PLAYER, '#]=$A31)*(PlayerGameData[TO]))</f>
        <v>0</v>
      </c>
      <c r="R31" s="289" cm="1">
        <f t="array" aca="1" ref="R31" ca="1">SUMPRODUCT((PlayerGameData[Visible]=1)*(PlayerGameData[PLAYER, '#]=$A31)*(PlayerGameData[FOUL]))</f>
        <v>0</v>
      </c>
      <c r="S31" s="291" cm="1">
        <f t="array" aca="1" ref="S31" ca="1">SUMPRODUCT((PlayerGameData[Visible]=1)*(PlayerGameData[PLAYER, '#]=$A31)*(PlayerGameData[CHRG TKN]))</f>
        <v>0</v>
      </c>
      <c r="T31" s="28">
        <f ca="1">IF(I31+2*G31+3*E31&gt;0,I31+2*G31+3*E31,0)</f>
        <v>0</v>
      </c>
      <c r="U31" s="29" t="str">
        <f ca="1">IF(F31&gt;0,E31/F31,"")</f>
        <v/>
      </c>
      <c r="V31" s="29" t="str">
        <f ca="1">IF(H31&gt;0,G31/H31,"")</f>
        <v/>
      </c>
      <c r="W31" s="30" t="str">
        <f ca="1">IF(J31&gt;0,I31/J31,"")</f>
        <v/>
      </c>
      <c r="X31" s="29" t="str">
        <f ca="1">IF(OR(F31&gt;0,H31 &gt;0),(E31+G31)/(F31+H31),"")</f>
        <v/>
      </c>
      <c r="Y31" s="31" t="str">
        <f ca="1">IF(OR(F31&gt;0,H31 &gt;0),(1.5*E31+G31)/(F31+H31),"")</f>
        <v/>
      </c>
      <c r="Z31" s="184"/>
      <c r="AA31" s="184"/>
      <c r="AB31" s="184"/>
      <c r="AC31" s="184"/>
      <c r="AD31" s="184"/>
      <c r="AE31" s="184"/>
      <c r="AF31" s="184"/>
      <c r="AG31" s="184"/>
      <c r="AH31" s="184"/>
      <c r="AI31" s="184"/>
      <c r="AJ31" s="59" t="str">
        <f>IF(OR(Roster!$A21&lt;&gt;"",Roster!$B21&lt;&gt;""),CONCATENATE(PROPER(Roster!$B21),", ",Roster!$A21),"")</f>
        <v/>
      </c>
      <c r="AK31" s="286" cm="1">
        <f t="array" aca="1" ref="AK31" ca="1">SUMPRODUCT((PlayerGameData[Visible]=1)*(PlayerGameData[PLAYER, '#]=$A31)*(PlayerGameData[START]))</f>
        <v>0</v>
      </c>
      <c r="AL31" s="287" cm="1">
        <f t="array" aca="1" ref="AL31" ca="1">SUMPRODUCT((PlayerGameData[Visible]=1)*(PlayerGameData[PLAYER, '#]=$A31)*(PlayerGameData[GP]))</f>
        <v>0</v>
      </c>
      <c r="AM31" s="288" cm="1">
        <f t="array" aca="1" ref="AM31" ca="1">SUMPRODUCT((PlayerGameData[Visible]=1)*(PlayerGameData[PLAYER, '#]=$A31)*(PlayerGameData[MINUTES]))</f>
        <v>0</v>
      </c>
      <c r="AN31" s="289" cm="1">
        <f t="array" aca="1" ref="AN31" ca="1">SUMPRODUCT((PlayerGameData[Visible]=1)*(PlayerGameData[PLAYER, '#]=$A31)*(PlayerGameData[3FGM]))</f>
        <v>0</v>
      </c>
      <c r="AO31" s="290" cm="1">
        <f t="array" aca="1" ref="AO31" ca="1">SUMPRODUCT((PlayerGameData[Visible]=1)*(PlayerGameData[PLAYER, '#]=$A31)*(PlayerGameData[3FGA]))</f>
        <v>0</v>
      </c>
      <c r="AP31" s="289" cm="1">
        <f t="array" aca="1" ref="AP31" ca="1">SUMPRODUCT((PlayerGameData[Visible]=1)*(PlayerGameData[PLAYER, '#]=$A31)*(PlayerGameData[2FGM]))</f>
        <v>0</v>
      </c>
      <c r="AQ31" s="290" cm="1">
        <f t="array" aca="1" ref="AQ31" ca="1">SUMPRODUCT((PlayerGameData[Visible]=1)*(PlayerGameData[PLAYER, '#]=$A31)*(PlayerGameData[2FGA]))</f>
        <v>0</v>
      </c>
      <c r="AR31" s="289" cm="1">
        <f t="array" aca="1" ref="AR31" ca="1">SUMPRODUCT((PlayerGameData[Visible]=1)*(PlayerGameData[PLAYER, '#]=$A31)*(PlayerGameData[FTM]))</f>
        <v>0</v>
      </c>
      <c r="AS31" s="290" cm="1">
        <f t="array" aca="1" ref="AS31" ca="1">SUMPRODUCT((PlayerGameData[Visible]=1)*(PlayerGameData[PLAYER, '#]=$A31)*(PlayerGameData[FTA]))</f>
        <v>0</v>
      </c>
      <c r="AT31" s="289" cm="1">
        <f t="array" aca="1" ref="AT31" ca="1">SUMPRODUCT((PlayerGameData[Visible]=1)*(PlayerGameData[PLAYER, '#]=$A31)*(PlayerGameData[OFF REB]))</f>
        <v>0</v>
      </c>
      <c r="AU31" s="289" cm="1">
        <f t="array" aca="1" ref="AU31" ca="1">SUMPRODUCT((PlayerGameData[Visible]=1)*(PlayerGameData[PLAYER, '#]=$A31)*(PlayerGameData[DEF REB]))</f>
        <v>0</v>
      </c>
      <c r="AV31" s="290">
        <f ca="1">AT31+AU31</f>
        <v>0</v>
      </c>
      <c r="AW31" s="289" cm="1">
        <f t="array" aca="1" ref="AW31" ca="1">SUMPRODUCT((PlayerGameData[Visible]=1)*(PlayerGameData[PLAYER, '#]=$A31)*(PlayerGameData[AST]))</f>
        <v>0</v>
      </c>
      <c r="AX31" s="289" cm="1">
        <f t="array" aca="1" ref="AX31" ca="1">SUMPRODUCT((PlayerGameData[Visible]=1)*(PlayerGameData[PLAYER, '#]=$A31)*(PlayerGameData[STL]))</f>
        <v>0</v>
      </c>
      <c r="AY31" s="289" cm="1">
        <f t="array" aca="1" ref="AY31" ca="1">SUMPRODUCT((PlayerGameData[Visible]=1)*(PlayerGameData[PLAYER, '#]=$A31)*(PlayerGameData[BLK]))</f>
        <v>0</v>
      </c>
      <c r="AZ31" s="289" cm="1">
        <f t="array" aca="1" ref="AZ31" ca="1">SUMPRODUCT((PlayerGameData[Visible]=1)*(PlayerGameData[PLAYER, '#]=$A31)*(PlayerGameData[TO]))</f>
        <v>0</v>
      </c>
      <c r="BA31" s="289" cm="1">
        <f t="array" aca="1" ref="BA31" ca="1">SUMPRODUCT((PlayerGameData[Visible]=1)*(PlayerGameData[PLAYER, '#]=$A31)*(PlayerGameData[FOUL]))</f>
        <v>0</v>
      </c>
      <c r="BB31" s="291" cm="1">
        <f t="array" aca="1" ref="BB31" ca="1">SUMPRODUCT((PlayerGameData[Visible]=1)*(PlayerGameData[PLAYER, '#]=$A31)*(PlayerGameData[CHRG TKN]))</f>
        <v>0</v>
      </c>
      <c r="BC31" s="28">
        <f ca="1">IF(AR31+2*AP31+3*AN31&gt;0,AR31+2*AP31+3*AN31,0)</f>
        <v>0</v>
      </c>
      <c r="BD31" s="29" t="str">
        <f ca="1">IF(AO31&gt;0,AN31/AO31,"")</f>
        <v/>
      </c>
      <c r="BE31" s="29" t="str">
        <f ca="1">IF(AQ31&gt;0,AP31/AQ31,"")</f>
        <v/>
      </c>
      <c r="BF31" s="30" t="str">
        <f ca="1">IF(AS31&gt;0,AR31/AS31,"")</f>
        <v/>
      </c>
      <c r="BG31" s="29" t="str">
        <f ca="1">IF(OR(AO31&gt;0,AQ31 &gt;0),(AN31+AP31)/(AO31+AQ31),"")</f>
        <v/>
      </c>
      <c r="BH31" s="31" t="str">
        <f ca="1">IF(OR(AO31&gt;0,AQ31 &gt;0),(1.5*AN31+AP31)/(AO31+AQ31),"")</f>
        <v/>
      </c>
      <c r="BI31" s="184"/>
      <c r="BJ31" s="184"/>
      <c r="BK31" s="184"/>
      <c r="BL31" s="184"/>
      <c r="BM31" s="184"/>
      <c r="BN31" s="184"/>
      <c r="BO31" s="184"/>
      <c r="BP31" s="184"/>
      <c r="BQ31" s="184"/>
      <c r="BR31" s="184"/>
      <c r="BS31" s="184"/>
      <c r="BT31" s="184"/>
      <c r="CA31" s="51">
        <f t="shared" ca="1" si="2"/>
        <v>0</v>
      </c>
      <c r="CB31" s="51">
        <f t="shared" ca="1" si="2"/>
        <v>0</v>
      </c>
      <c r="CC31" s="51"/>
      <c r="CD31" s="51"/>
      <c r="CE31" s="51"/>
      <c r="CF31" s="51"/>
      <c r="CG31" s="51"/>
      <c r="CH31" s="51"/>
      <c r="CI31" s="51"/>
      <c r="CJ31" s="51"/>
      <c r="CK31" s="51"/>
      <c r="CL31" s="51"/>
      <c r="CM31" s="51"/>
      <c r="CN31" s="292"/>
      <c r="CO31" s="51"/>
      <c r="CP31" s="51"/>
    </row>
    <row r="32" spans="1:94" s="18" customFormat="1" ht="16.5" x14ac:dyDescent="0.3">
      <c r="A32" s="188" t="str">
        <f>IF(A31&lt;&gt;"","Per Game","")</f>
        <v/>
      </c>
      <c r="B32" s="294"/>
      <c r="C32" s="295"/>
      <c r="D32" s="296" t="str">
        <f ca="1">IFERROR(ROUND(D31/$C31,1),"")</f>
        <v/>
      </c>
      <c r="E32" s="300" t="str">
        <f t="shared" ref="E32:T32" ca="1" si="29">IFERROR(ROUND(E31/$C31,1),"")</f>
        <v/>
      </c>
      <c r="F32" s="301" t="str">
        <f t="shared" ca="1" si="29"/>
        <v/>
      </c>
      <c r="G32" s="300" t="str">
        <f t="shared" ca="1" si="29"/>
        <v/>
      </c>
      <c r="H32" s="301" t="str">
        <f t="shared" ca="1" si="29"/>
        <v/>
      </c>
      <c r="I32" s="300" t="str">
        <f t="shared" ca="1" si="29"/>
        <v/>
      </c>
      <c r="J32" s="301" t="str">
        <f t="shared" ca="1" si="29"/>
        <v/>
      </c>
      <c r="K32" s="300" t="str">
        <f t="shared" ca="1" si="29"/>
        <v/>
      </c>
      <c r="L32" s="300" t="str">
        <f t="shared" ca="1" si="29"/>
        <v/>
      </c>
      <c r="M32" s="301" t="str">
        <f t="shared" ca="1" si="29"/>
        <v/>
      </c>
      <c r="N32" s="300" t="str">
        <f t="shared" ca="1" si="29"/>
        <v/>
      </c>
      <c r="O32" s="300" t="str">
        <f t="shared" ca="1" si="29"/>
        <v/>
      </c>
      <c r="P32" s="300" t="str">
        <f t="shared" ca="1" si="29"/>
        <v/>
      </c>
      <c r="Q32" s="300" t="str">
        <f t="shared" ca="1" si="29"/>
        <v/>
      </c>
      <c r="R32" s="300" t="str">
        <f t="shared" ca="1" si="29"/>
        <v/>
      </c>
      <c r="S32" s="302" t="str">
        <f t="shared" ca="1" si="29"/>
        <v/>
      </c>
      <c r="T32" s="60" t="str">
        <f t="shared" ca="1" si="29"/>
        <v/>
      </c>
      <c r="U32" s="25"/>
      <c r="V32" s="25"/>
      <c r="W32" s="26"/>
      <c r="X32" s="25"/>
      <c r="Y32" s="27"/>
      <c r="Z32" s="184"/>
      <c r="AA32" s="184"/>
      <c r="AB32" s="184"/>
      <c r="AC32" s="184"/>
      <c r="AD32" s="184"/>
      <c r="AE32" s="184"/>
      <c r="AF32" s="184"/>
      <c r="AG32" s="184"/>
      <c r="AH32" s="184"/>
      <c r="AI32" s="184"/>
      <c r="AJ32" s="188" t="str">
        <f>IF(AJ31&lt;&gt;"","Per Minute","")</f>
        <v/>
      </c>
      <c r="AK32" s="294"/>
      <c r="AL32" s="295"/>
      <c r="AM32" s="296" t="str">
        <f ca="1">IFERROR(ROUND(AM31/$C31,1),"")</f>
        <v/>
      </c>
      <c r="AN32" s="300" t="str">
        <f t="shared" ref="AN32:BC32" ca="1" si="30">IFERROR(ROUND(AN31/$D31,1),"")</f>
        <v/>
      </c>
      <c r="AO32" s="301" t="str">
        <f t="shared" ca="1" si="30"/>
        <v/>
      </c>
      <c r="AP32" s="300" t="str">
        <f t="shared" ca="1" si="30"/>
        <v/>
      </c>
      <c r="AQ32" s="301" t="str">
        <f t="shared" ca="1" si="30"/>
        <v/>
      </c>
      <c r="AR32" s="300" t="str">
        <f t="shared" ca="1" si="30"/>
        <v/>
      </c>
      <c r="AS32" s="301" t="str">
        <f t="shared" ca="1" si="30"/>
        <v/>
      </c>
      <c r="AT32" s="300" t="str">
        <f t="shared" ca="1" si="30"/>
        <v/>
      </c>
      <c r="AU32" s="300" t="str">
        <f t="shared" ca="1" si="30"/>
        <v/>
      </c>
      <c r="AV32" s="301" t="str">
        <f t="shared" ca="1" si="30"/>
        <v/>
      </c>
      <c r="AW32" s="300" t="str">
        <f t="shared" ca="1" si="30"/>
        <v/>
      </c>
      <c r="AX32" s="300" t="str">
        <f t="shared" ca="1" si="30"/>
        <v/>
      </c>
      <c r="AY32" s="300" t="str">
        <f t="shared" ca="1" si="30"/>
        <v/>
      </c>
      <c r="AZ32" s="300" t="str">
        <f t="shared" ca="1" si="30"/>
        <v/>
      </c>
      <c r="BA32" s="300" t="str">
        <f t="shared" ca="1" si="30"/>
        <v/>
      </c>
      <c r="BB32" s="302" t="str">
        <f t="shared" ca="1" si="30"/>
        <v/>
      </c>
      <c r="BC32" s="60" t="str">
        <f t="shared" ca="1" si="30"/>
        <v/>
      </c>
      <c r="BD32" s="25"/>
      <c r="BE32" s="25"/>
      <c r="BF32" s="26"/>
      <c r="BG32" s="25"/>
      <c r="BH32" s="27"/>
      <c r="BI32" s="184"/>
      <c r="BJ32" s="184"/>
      <c r="BK32" s="184"/>
      <c r="BL32" s="184"/>
      <c r="BM32" s="184"/>
      <c r="BN32" s="184"/>
      <c r="BO32" s="184"/>
      <c r="BP32" s="184"/>
      <c r="BQ32" s="184"/>
      <c r="BR32" s="184"/>
      <c r="BS32" s="184"/>
      <c r="BT32" s="184"/>
      <c r="CA32" s="51" t="e">
        <f t="shared" ca="1" si="2"/>
        <v>#VALUE!</v>
      </c>
      <c r="CB32" s="51" t="e">
        <f t="shared" ca="1" si="2"/>
        <v>#VALUE!</v>
      </c>
      <c r="CC32" s="51"/>
      <c r="CD32" s="51"/>
      <c r="CE32" s="51"/>
      <c r="CF32" s="51"/>
      <c r="CG32" s="51"/>
      <c r="CH32" s="51"/>
      <c r="CI32" s="51"/>
      <c r="CJ32" s="51"/>
      <c r="CK32" s="51"/>
      <c r="CL32" s="51"/>
      <c r="CM32" s="51"/>
      <c r="CN32" s="292"/>
      <c r="CO32" s="51"/>
      <c r="CP32" s="51"/>
    </row>
    <row r="33" spans="1:94" s="18" customFormat="1" ht="16.5" x14ac:dyDescent="0.3">
      <c r="A33" s="59" t="str">
        <f>IF(OR(Roster!$A22&lt;&gt;"",Roster!$B22&lt;&gt;""),CONCATENATE(PROPER(Roster!$B22),", ",Roster!$A22),"")</f>
        <v/>
      </c>
      <c r="B33" s="286" cm="1">
        <f t="array" aca="1" ref="B33" ca="1">SUMPRODUCT((PlayerGameData[Visible]=1)*(PlayerGameData[PLAYER, '#]=$A33)*(PlayerGameData[START]))</f>
        <v>0</v>
      </c>
      <c r="C33" s="287" cm="1">
        <f t="array" aca="1" ref="C33" ca="1">SUMPRODUCT((PlayerGameData[Visible]=1)*(PlayerGameData[PLAYER, '#]=$A33)*(PlayerGameData[GP]))</f>
        <v>0</v>
      </c>
      <c r="D33" s="288" cm="1">
        <f t="array" aca="1" ref="D33" ca="1">SUMPRODUCT((PlayerGameData[Visible]=1)*(PlayerGameData[PLAYER, '#]=$A33)*(PlayerGameData[MINUTES]))</f>
        <v>0</v>
      </c>
      <c r="E33" s="289" cm="1">
        <f t="array" aca="1" ref="E33" ca="1">SUMPRODUCT((PlayerGameData[Visible]=1)*(PlayerGameData[PLAYER, '#]=$A33)*(PlayerGameData[3FGM]))</f>
        <v>0</v>
      </c>
      <c r="F33" s="290" cm="1">
        <f t="array" aca="1" ref="F33" ca="1">SUMPRODUCT((PlayerGameData[Visible]=1)*(PlayerGameData[PLAYER, '#]=$A33)*(PlayerGameData[3FGA]))</f>
        <v>0</v>
      </c>
      <c r="G33" s="289" cm="1">
        <f t="array" aca="1" ref="G33" ca="1">SUMPRODUCT((PlayerGameData[Visible]=1)*(PlayerGameData[PLAYER, '#]=$A33)*(PlayerGameData[2FGM]))</f>
        <v>0</v>
      </c>
      <c r="H33" s="290" cm="1">
        <f t="array" aca="1" ref="H33" ca="1">SUMPRODUCT((PlayerGameData[Visible]=1)*(PlayerGameData[PLAYER, '#]=$A33)*(PlayerGameData[2FGA]))</f>
        <v>0</v>
      </c>
      <c r="I33" s="289" cm="1">
        <f t="array" aca="1" ref="I33" ca="1">SUMPRODUCT((PlayerGameData[Visible]=1)*(PlayerGameData[PLAYER, '#]=$A33)*(PlayerGameData[FTM]))</f>
        <v>0</v>
      </c>
      <c r="J33" s="290" cm="1">
        <f t="array" aca="1" ref="J33" ca="1">SUMPRODUCT((PlayerGameData[Visible]=1)*(PlayerGameData[PLAYER, '#]=$A33)*(PlayerGameData[FTA]))</f>
        <v>0</v>
      </c>
      <c r="K33" s="289" cm="1">
        <f t="array" aca="1" ref="K33" ca="1">SUMPRODUCT((PlayerGameData[Visible]=1)*(PlayerGameData[PLAYER, '#]=$A33)*(PlayerGameData[OFF REB]))</f>
        <v>0</v>
      </c>
      <c r="L33" s="289" cm="1">
        <f t="array" aca="1" ref="L33" ca="1">SUMPRODUCT((PlayerGameData[Visible]=1)*(PlayerGameData[PLAYER, '#]=$A33)*(PlayerGameData[DEF REB]))</f>
        <v>0</v>
      </c>
      <c r="M33" s="290">
        <f ca="1">K33+L33</f>
        <v>0</v>
      </c>
      <c r="N33" s="289" cm="1">
        <f t="array" aca="1" ref="N33" ca="1">SUMPRODUCT((PlayerGameData[Visible]=1)*(PlayerGameData[PLAYER, '#]=$A33)*(PlayerGameData[AST]))</f>
        <v>0</v>
      </c>
      <c r="O33" s="289" cm="1">
        <f t="array" aca="1" ref="O33" ca="1">SUMPRODUCT((PlayerGameData[Visible]=1)*(PlayerGameData[PLAYER, '#]=$A33)*(PlayerGameData[STL]))</f>
        <v>0</v>
      </c>
      <c r="P33" s="289" cm="1">
        <f t="array" aca="1" ref="P33" ca="1">SUMPRODUCT((PlayerGameData[Visible]=1)*(PlayerGameData[PLAYER, '#]=$A33)*(PlayerGameData[BLK]))</f>
        <v>0</v>
      </c>
      <c r="Q33" s="289" cm="1">
        <f t="array" aca="1" ref="Q33" ca="1">SUMPRODUCT((PlayerGameData[Visible]=1)*(PlayerGameData[PLAYER, '#]=$A33)*(PlayerGameData[TO]))</f>
        <v>0</v>
      </c>
      <c r="R33" s="289" cm="1">
        <f t="array" aca="1" ref="R33" ca="1">SUMPRODUCT((PlayerGameData[Visible]=1)*(PlayerGameData[PLAYER, '#]=$A33)*(PlayerGameData[FOUL]))</f>
        <v>0</v>
      </c>
      <c r="S33" s="291" cm="1">
        <f t="array" aca="1" ref="S33" ca="1">SUMPRODUCT((PlayerGameData[Visible]=1)*(PlayerGameData[PLAYER, '#]=$A33)*(PlayerGameData[CHRG TKN]))</f>
        <v>0</v>
      </c>
      <c r="T33" s="28">
        <f ca="1">IF(I33+2*G33+3*E33&gt;0,I33+2*G33+3*E33,0)</f>
        <v>0</v>
      </c>
      <c r="U33" s="29" t="str">
        <f ca="1">IF(F33&gt;0,E33/F33,"")</f>
        <v/>
      </c>
      <c r="V33" s="29" t="str">
        <f ca="1">IF(H33&gt;0,G33/H33,"")</f>
        <v/>
      </c>
      <c r="W33" s="30" t="str">
        <f ca="1">IF(J33&gt;0,I33/J33,"")</f>
        <v/>
      </c>
      <c r="X33" s="29" t="str">
        <f ca="1">IF(OR(F33&gt;0,H33 &gt;0),(E33+G33)/(F33+H33),"")</f>
        <v/>
      </c>
      <c r="Y33" s="31" t="str">
        <f ca="1">IF(OR(F33&gt;0,H33 &gt;0),(1.5*E33+G33)/(F33+H33),"")</f>
        <v/>
      </c>
      <c r="Z33" s="184"/>
      <c r="AA33" s="184"/>
      <c r="AB33" s="184"/>
      <c r="AC33" s="184"/>
      <c r="AD33" s="184"/>
      <c r="AE33" s="184"/>
      <c r="AF33" s="184"/>
      <c r="AG33" s="184"/>
      <c r="AH33" s="184"/>
      <c r="AI33" s="184"/>
      <c r="AJ33" s="59" t="str">
        <f>IF(OR(Roster!$A22&lt;&gt;"",Roster!$B22&lt;&gt;""),CONCATENATE(PROPER(Roster!$B22),", ",Roster!$A22),"")</f>
        <v/>
      </c>
      <c r="AK33" s="286" cm="1">
        <f t="array" aca="1" ref="AK33" ca="1">SUMPRODUCT((PlayerGameData[Visible]=1)*(PlayerGameData[PLAYER, '#]=$A33)*(PlayerGameData[START]))</f>
        <v>0</v>
      </c>
      <c r="AL33" s="287" cm="1">
        <f t="array" aca="1" ref="AL33" ca="1">SUMPRODUCT((PlayerGameData[Visible]=1)*(PlayerGameData[PLAYER, '#]=$A33)*(PlayerGameData[GP]))</f>
        <v>0</v>
      </c>
      <c r="AM33" s="288" cm="1">
        <f t="array" aca="1" ref="AM33" ca="1">SUMPRODUCT((PlayerGameData[Visible]=1)*(PlayerGameData[PLAYER, '#]=$A33)*(PlayerGameData[MINUTES]))</f>
        <v>0</v>
      </c>
      <c r="AN33" s="289" cm="1">
        <f t="array" aca="1" ref="AN33" ca="1">SUMPRODUCT((PlayerGameData[Visible]=1)*(PlayerGameData[PLAYER, '#]=$A33)*(PlayerGameData[3FGM]))</f>
        <v>0</v>
      </c>
      <c r="AO33" s="290" cm="1">
        <f t="array" aca="1" ref="AO33" ca="1">SUMPRODUCT((PlayerGameData[Visible]=1)*(PlayerGameData[PLAYER, '#]=$A33)*(PlayerGameData[3FGA]))</f>
        <v>0</v>
      </c>
      <c r="AP33" s="289" cm="1">
        <f t="array" aca="1" ref="AP33" ca="1">SUMPRODUCT((PlayerGameData[Visible]=1)*(PlayerGameData[PLAYER, '#]=$A33)*(PlayerGameData[2FGM]))</f>
        <v>0</v>
      </c>
      <c r="AQ33" s="290" cm="1">
        <f t="array" aca="1" ref="AQ33" ca="1">SUMPRODUCT((PlayerGameData[Visible]=1)*(PlayerGameData[PLAYER, '#]=$A33)*(PlayerGameData[2FGA]))</f>
        <v>0</v>
      </c>
      <c r="AR33" s="289" cm="1">
        <f t="array" aca="1" ref="AR33" ca="1">SUMPRODUCT((PlayerGameData[Visible]=1)*(PlayerGameData[PLAYER, '#]=$A33)*(PlayerGameData[FTM]))</f>
        <v>0</v>
      </c>
      <c r="AS33" s="290" cm="1">
        <f t="array" aca="1" ref="AS33" ca="1">SUMPRODUCT((PlayerGameData[Visible]=1)*(PlayerGameData[PLAYER, '#]=$A33)*(PlayerGameData[FTA]))</f>
        <v>0</v>
      </c>
      <c r="AT33" s="289" cm="1">
        <f t="array" aca="1" ref="AT33" ca="1">SUMPRODUCT((PlayerGameData[Visible]=1)*(PlayerGameData[PLAYER, '#]=$A33)*(PlayerGameData[OFF REB]))</f>
        <v>0</v>
      </c>
      <c r="AU33" s="289" cm="1">
        <f t="array" aca="1" ref="AU33" ca="1">SUMPRODUCT((PlayerGameData[Visible]=1)*(PlayerGameData[PLAYER, '#]=$A33)*(PlayerGameData[DEF REB]))</f>
        <v>0</v>
      </c>
      <c r="AV33" s="290">
        <f ca="1">AT33+AU33</f>
        <v>0</v>
      </c>
      <c r="AW33" s="289" cm="1">
        <f t="array" aca="1" ref="AW33" ca="1">SUMPRODUCT((PlayerGameData[Visible]=1)*(PlayerGameData[PLAYER, '#]=$A33)*(PlayerGameData[AST]))</f>
        <v>0</v>
      </c>
      <c r="AX33" s="289" cm="1">
        <f t="array" aca="1" ref="AX33" ca="1">SUMPRODUCT((PlayerGameData[Visible]=1)*(PlayerGameData[PLAYER, '#]=$A33)*(PlayerGameData[STL]))</f>
        <v>0</v>
      </c>
      <c r="AY33" s="289" cm="1">
        <f t="array" aca="1" ref="AY33" ca="1">SUMPRODUCT((PlayerGameData[Visible]=1)*(PlayerGameData[PLAYER, '#]=$A33)*(PlayerGameData[BLK]))</f>
        <v>0</v>
      </c>
      <c r="AZ33" s="289" cm="1">
        <f t="array" aca="1" ref="AZ33" ca="1">SUMPRODUCT((PlayerGameData[Visible]=1)*(PlayerGameData[PLAYER, '#]=$A33)*(PlayerGameData[TO]))</f>
        <v>0</v>
      </c>
      <c r="BA33" s="289" cm="1">
        <f t="array" aca="1" ref="BA33" ca="1">SUMPRODUCT((PlayerGameData[Visible]=1)*(PlayerGameData[PLAYER, '#]=$A33)*(PlayerGameData[FOUL]))</f>
        <v>0</v>
      </c>
      <c r="BB33" s="291" cm="1">
        <f t="array" aca="1" ref="BB33" ca="1">SUMPRODUCT((PlayerGameData[Visible]=1)*(PlayerGameData[PLAYER, '#]=$A33)*(PlayerGameData[CHRG TKN]))</f>
        <v>0</v>
      </c>
      <c r="BC33" s="28">
        <f t="shared" ref="BC33" ca="1" si="31">IF(AR33+2*AP33+3*AN33&gt;0,AR33+2*AP33+3*AN33,0)</f>
        <v>0</v>
      </c>
      <c r="BD33" s="29" t="str">
        <f ca="1">IF(AO33&gt;0,AN33/AO33,"")</f>
        <v/>
      </c>
      <c r="BE33" s="29" t="str">
        <f ca="1">IF(AQ33&gt;0,AP33/AQ33,"")</f>
        <v/>
      </c>
      <c r="BF33" s="30" t="str">
        <f ca="1">IF(AS33&gt;0,AR33/AS33,"")</f>
        <v/>
      </c>
      <c r="BG33" s="29" t="str">
        <f ca="1">IF(OR(AO33&gt;0,AQ33 &gt;0),(AN33+AP33)/(AO33+AQ33),"")</f>
        <v/>
      </c>
      <c r="BH33" s="31" t="str">
        <f ca="1">IF(OR(AO33&gt;0,AQ33 &gt;0),(1.5*AN33+AP33)/(AO33+AQ33),"")</f>
        <v/>
      </c>
      <c r="BI33" s="184"/>
      <c r="BJ33" s="184"/>
      <c r="BK33" s="184"/>
      <c r="BL33" s="184"/>
      <c r="BM33" s="184"/>
      <c r="BN33" s="184"/>
      <c r="BO33" s="184"/>
      <c r="BP33" s="184"/>
      <c r="BQ33" s="184"/>
      <c r="BR33" s="184"/>
      <c r="BS33" s="184"/>
      <c r="BT33" s="184"/>
      <c r="CA33" s="51">
        <f t="shared" ca="1" si="2"/>
        <v>0</v>
      </c>
      <c r="CB33" s="51">
        <f t="shared" ca="1" si="2"/>
        <v>0</v>
      </c>
      <c r="CC33" s="51"/>
      <c r="CD33" s="51"/>
      <c r="CE33" s="51"/>
      <c r="CF33" s="51"/>
      <c r="CG33" s="51"/>
      <c r="CH33" s="51"/>
      <c r="CI33" s="51"/>
      <c r="CJ33" s="51"/>
      <c r="CK33" s="51"/>
      <c r="CL33" s="51"/>
      <c r="CM33" s="51"/>
      <c r="CN33" s="292"/>
      <c r="CO33" s="51"/>
      <c r="CP33" s="51"/>
    </row>
    <row r="34" spans="1:94" s="18" customFormat="1" ht="16.5" x14ac:dyDescent="0.3">
      <c r="A34" s="188" t="str">
        <f>IF(A33&lt;&gt;"","Per Game","")</f>
        <v/>
      </c>
      <c r="B34" s="294"/>
      <c r="C34" s="295"/>
      <c r="D34" s="296" t="str">
        <f ca="1">IFERROR(ROUND(D33/$C33,1),"")</f>
        <v/>
      </c>
      <c r="E34" s="300" t="str">
        <f t="shared" ref="E34:T34" ca="1" si="32">IFERROR(ROUND(E33/$C33,1),"")</f>
        <v/>
      </c>
      <c r="F34" s="301" t="str">
        <f t="shared" ca="1" si="32"/>
        <v/>
      </c>
      <c r="G34" s="300" t="str">
        <f t="shared" ca="1" si="32"/>
        <v/>
      </c>
      <c r="H34" s="301" t="str">
        <f t="shared" ca="1" si="32"/>
        <v/>
      </c>
      <c r="I34" s="300" t="str">
        <f t="shared" ca="1" si="32"/>
        <v/>
      </c>
      <c r="J34" s="301" t="str">
        <f t="shared" ca="1" si="32"/>
        <v/>
      </c>
      <c r="K34" s="300" t="str">
        <f t="shared" ca="1" si="32"/>
        <v/>
      </c>
      <c r="L34" s="300" t="str">
        <f t="shared" ca="1" si="32"/>
        <v/>
      </c>
      <c r="M34" s="301" t="str">
        <f t="shared" ca="1" si="32"/>
        <v/>
      </c>
      <c r="N34" s="300" t="str">
        <f t="shared" ca="1" si="32"/>
        <v/>
      </c>
      <c r="O34" s="300" t="str">
        <f t="shared" ca="1" si="32"/>
        <v/>
      </c>
      <c r="P34" s="300" t="str">
        <f t="shared" ca="1" si="32"/>
        <v/>
      </c>
      <c r="Q34" s="300" t="str">
        <f t="shared" ca="1" si="32"/>
        <v/>
      </c>
      <c r="R34" s="300" t="str">
        <f t="shared" ca="1" si="32"/>
        <v/>
      </c>
      <c r="S34" s="302" t="str">
        <f t="shared" ca="1" si="32"/>
        <v/>
      </c>
      <c r="T34" s="60" t="str">
        <f t="shared" ca="1" si="32"/>
        <v/>
      </c>
      <c r="U34" s="25"/>
      <c r="V34" s="25"/>
      <c r="W34" s="26"/>
      <c r="X34" s="25"/>
      <c r="Y34" s="27"/>
      <c r="Z34" s="184"/>
      <c r="AA34" s="184"/>
      <c r="AB34" s="184"/>
      <c r="AC34" s="184"/>
      <c r="AD34" s="184"/>
      <c r="AE34" s="184"/>
      <c r="AF34" s="184"/>
      <c r="AG34" s="184"/>
      <c r="AH34" s="184"/>
      <c r="AI34" s="184"/>
      <c r="AJ34" s="188" t="str">
        <f>IF(AJ33&lt;&gt;"","Per Minute","")</f>
        <v/>
      </c>
      <c r="AK34" s="294"/>
      <c r="AL34" s="295"/>
      <c r="AM34" s="296" t="str">
        <f ca="1">IFERROR(ROUND(AM33/$C33,1),"")</f>
        <v/>
      </c>
      <c r="AN34" s="300" t="str">
        <f t="shared" ref="AN34:BC34" ca="1" si="33">IFERROR(ROUND(AN33/$D33,1),"")</f>
        <v/>
      </c>
      <c r="AO34" s="301" t="str">
        <f t="shared" ca="1" si="33"/>
        <v/>
      </c>
      <c r="AP34" s="300" t="str">
        <f t="shared" ca="1" si="33"/>
        <v/>
      </c>
      <c r="AQ34" s="301" t="str">
        <f t="shared" ca="1" si="33"/>
        <v/>
      </c>
      <c r="AR34" s="300" t="str">
        <f t="shared" ca="1" si="33"/>
        <v/>
      </c>
      <c r="AS34" s="301" t="str">
        <f t="shared" ca="1" si="33"/>
        <v/>
      </c>
      <c r="AT34" s="300" t="str">
        <f t="shared" ca="1" si="33"/>
        <v/>
      </c>
      <c r="AU34" s="300" t="str">
        <f t="shared" ca="1" si="33"/>
        <v/>
      </c>
      <c r="AV34" s="301" t="str">
        <f t="shared" ca="1" si="33"/>
        <v/>
      </c>
      <c r="AW34" s="300" t="str">
        <f t="shared" ca="1" si="33"/>
        <v/>
      </c>
      <c r="AX34" s="300" t="str">
        <f t="shared" ca="1" si="33"/>
        <v/>
      </c>
      <c r="AY34" s="300" t="str">
        <f t="shared" ca="1" si="33"/>
        <v/>
      </c>
      <c r="AZ34" s="300" t="str">
        <f t="shared" ca="1" si="33"/>
        <v/>
      </c>
      <c r="BA34" s="300" t="str">
        <f t="shared" ca="1" si="33"/>
        <v/>
      </c>
      <c r="BB34" s="302" t="str">
        <f t="shared" ca="1" si="33"/>
        <v/>
      </c>
      <c r="BC34" s="24" t="str">
        <f t="shared" ca="1" si="33"/>
        <v/>
      </c>
      <c r="BD34" s="25"/>
      <c r="BE34" s="25"/>
      <c r="BF34" s="26"/>
      <c r="BG34" s="25"/>
      <c r="BH34" s="27"/>
      <c r="BI34" s="184"/>
      <c r="BJ34" s="184"/>
      <c r="BK34" s="184"/>
      <c r="BL34" s="184"/>
      <c r="BM34" s="184"/>
      <c r="BN34" s="184"/>
      <c r="BO34" s="184"/>
      <c r="BP34" s="184"/>
      <c r="BQ34" s="184"/>
      <c r="BR34" s="184"/>
      <c r="BS34" s="184"/>
      <c r="BT34" s="184"/>
      <c r="CA34" s="51" t="e">
        <f t="shared" ca="1" si="2"/>
        <v>#VALUE!</v>
      </c>
      <c r="CB34" s="51" t="e">
        <f t="shared" ca="1" si="2"/>
        <v>#VALUE!</v>
      </c>
      <c r="CC34" s="51"/>
      <c r="CD34" s="51"/>
      <c r="CE34" s="51"/>
      <c r="CF34" s="51"/>
      <c r="CG34" s="51"/>
      <c r="CH34" s="51"/>
      <c r="CI34" s="51"/>
      <c r="CJ34" s="51"/>
      <c r="CK34" s="51"/>
      <c r="CL34" s="51"/>
      <c r="CM34" s="51"/>
      <c r="CN34" s="292"/>
      <c r="CO34" s="51"/>
      <c r="CP34" s="51"/>
    </row>
    <row r="35" spans="1:94" s="18" customFormat="1" ht="16.5" x14ac:dyDescent="0.3">
      <c r="A35" s="59" t="str">
        <f>IF(OR(Roster!$A23&lt;&gt;"",Roster!$B23&lt;&gt;""),CONCATENATE(PROPER(Roster!$B23),", ",Roster!$A23),"")</f>
        <v/>
      </c>
      <c r="B35" s="286" cm="1">
        <f t="array" aca="1" ref="B35" ca="1">SUMPRODUCT((PlayerGameData[Visible]=1)*(PlayerGameData[PLAYER, '#]=$A35)*(PlayerGameData[START]))</f>
        <v>0</v>
      </c>
      <c r="C35" s="287" cm="1">
        <f t="array" aca="1" ref="C35" ca="1">SUMPRODUCT((PlayerGameData[Visible]=1)*(PlayerGameData[PLAYER, '#]=$A35)*(PlayerGameData[GP]))</f>
        <v>0</v>
      </c>
      <c r="D35" s="288" cm="1">
        <f t="array" aca="1" ref="D35" ca="1">SUMPRODUCT((PlayerGameData[Visible]=1)*(PlayerGameData[PLAYER, '#]=$A35)*(PlayerGameData[MINUTES]))</f>
        <v>0</v>
      </c>
      <c r="E35" s="289" cm="1">
        <f t="array" aca="1" ref="E35" ca="1">SUMPRODUCT((PlayerGameData[Visible]=1)*(PlayerGameData[PLAYER, '#]=$A35)*(PlayerGameData[3FGM]))</f>
        <v>0</v>
      </c>
      <c r="F35" s="290" cm="1">
        <f t="array" aca="1" ref="F35" ca="1">SUMPRODUCT((PlayerGameData[Visible]=1)*(PlayerGameData[PLAYER, '#]=$A35)*(PlayerGameData[3FGA]))</f>
        <v>0</v>
      </c>
      <c r="G35" s="289" cm="1">
        <f t="array" aca="1" ref="G35" ca="1">SUMPRODUCT((PlayerGameData[Visible]=1)*(PlayerGameData[PLAYER, '#]=$A35)*(PlayerGameData[2FGM]))</f>
        <v>0</v>
      </c>
      <c r="H35" s="290" cm="1">
        <f t="array" aca="1" ref="H35" ca="1">SUMPRODUCT((PlayerGameData[Visible]=1)*(PlayerGameData[PLAYER, '#]=$A35)*(PlayerGameData[2FGA]))</f>
        <v>0</v>
      </c>
      <c r="I35" s="289" cm="1">
        <f t="array" aca="1" ref="I35" ca="1">SUMPRODUCT((PlayerGameData[Visible]=1)*(PlayerGameData[PLAYER, '#]=$A35)*(PlayerGameData[FTM]))</f>
        <v>0</v>
      </c>
      <c r="J35" s="290" cm="1">
        <f t="array" aca="1" ref="J35" ca="1">SUMPRODUCT((PlayerGameData[Visible]=1)*(PlayerGameData[PLAYER, '#]=$A35)*(PlayerGameData[FTA]))</f>
        <v>0</v>
      </c>
      <c r="K35" s="289" cm="1">
        <f t="array" aca="1" ref="K35" ca="1">SUMPRODUCT((PlayerGameData[Visible]=1)*(PlayerGameData[PLAYER, '#]=$A35)*(PlayerGameData[OFF REB]))</f>
        <v>0</v>
      </c>
      <c r="L35" s="289" cm="1">
        <f t="array" aca="1" ref="L35" ca="1">SUMPRODUCT((PlayerGameData[Visible]=1)*(PlayerGameData[PLAYER, '#]=$A35)*(PlayerGameData[DEF REB]))</f>
        <v>0</v>
      </c>
      <c r="M35" s="290">
        <f ca="1">K35+L35</f>
        <v>0</v>
      </c>
      <c r="N35" s="289" cm="1">
        <f t="array" aca="1" ref="N35" ca="1">SUMPRODUCT((PlayerGameData[Visible]=1)*(PlayerGameData[PLAYER, '#]=$A35)*(PlayerGameData[AST]))</f>
        <v>0</v>
      </c>
      <c r="O35" s="289" cm="1">
        <f t="array" aca="1" ref="O35" ca="1">SUMPRODUCT((PlayerGameData[Visible]=1)*(PlayerGameData[PLAYER, '#]=$A35)*(PlayerGameData[STL]))</f>
        <v>0</v>
      </c>
      <c r="P35" s="289" cm="1">
        <f t="array" aca="1" ref="P35" ca="1">SUMPRODUCT((PlayerGameData[Visible]=1)*(PlayerGameData[PLAYER, '#]=$A35)*(PlayerGameData[BLK]))</f>
        <v>0</v>
      </c>
      <c r="Q35" s="289" cm="1">
        <f t="array" aca="1" ref="Q35" ca="1">SUMPRODUCT((PlayerGameData[Visible]=1)*(PlayerGameData[PLAYER, '#]=$A35)*(PlayerGameData[TO]))</f>
        <v>0</v>
      </c>
      <c r="R35" s="289" cm="1">
        <f t="array" aca="1" ref="R35" ca="1">SUMPRODUCT((PlayerGameData[Visible]=1)*(PlayerGameData[PLAYER, '#]=$A35)*(PlayerGameData[FOUL]))</f>
        <v>0</v>
      </c>
      <c r="S35" s="291" cm="1">
        <f t="array" aca="1" ref="S35" ca="1">SUMPRODUCT((PlayerGameData[Visible]=1)*(PlayerGameData[PLAYER, '#]=$A35)*(PlayerGameData[CHRG TKN]))</f>
        <v>0</v>
      </c>
      <c r="T35" s="28">
        <f ca="1">IF(I35+2*G35+3*E35&gt;0,I35+2*G35+3*E35,0)</f>
        <v>0</v>
      </c>
      <c r="U35" s="29" t="str">
        <f ca="1">IF(F35&gt;0,E35/F35,"")</f>
        <v/>
      </c>
      <c r="V35" s="29" t="str">
        <f ca="1">IF(H35&gt;0,G35/H35,"")</f>
        <v/>
      </c>
      <c r="W35" s="30" t="str">
        <f ca="1">IF(J35&gt;0,I35/J35,"")</f>
        <v/>
      </c>
      <c r="X35" s="29" t="str">
        <f ca="1">IF(OR(F35&gt;0,H35 &gt;0),(E35+G35)/(F35+H35),"")</f>
        <v/>
      </c>
      <c r="Y35" s="31" t="str">
        <f ca="1">IF(OR(F35&gt;0,H35 &gt;0),(1.5*E35+G35)/(F35+H35),"")</f>
        <v/>
      </c>
      <c r="Z35" s="184"/>
      <c r="AA35" s="184"/>
      <c r="AB35" s="184"/>
      <c r="AC35" s="184"/>
      <c r="AD35" s="184"/>
      <c r="AE35" s="184"/>
      <c r="AF35" s="184"/>
      <c r="AG35" s="184"/>
      <c r="AH35" s="184"/>
      <c r="AI35" s="184"/>
      <c r="AJ35" s="59" t="str">
        <f>IF(OR(Roster!$A23&lt;&gt;"",Roster!$B23&lt;&gt;""),CONCATENATE(PROPER(Roster!$B23),", ",Roster!$A23),"")</f>
        <v/>
      </c>
      <c r="AK35" s="286" cm="1">
        <f t="array" aca="1" ref="AK35" ca="1">SUMPRODUCT((PlayerGameData[Visible]=1)*(PlayerGameData[PLAYER, '#]=$A35)*(PlayerGameData[START]))</f>
        <v>0</v>
      </c>
      <c r="AL35" s="287" cm="1">
        <f t="array" aca="1" ref="AL35" ca="1">SUMPRODUCT((PlayerGameData[Visible]=1)*(PlayerGameData[PLAYER, '#]=$A35)*(PlayerGameData[GP]))</f>
        <v>0</v>
      </c>
      <c r="AM35" s="288" cm="1">
        <f t="array" aca="1" ref="AM35" ca="1">SUMPRODUCT((PlayerGameData[Visible]=1)*(PlayerGameData[PLAYER, '#]=$A35)*(PlayerGameData[MINUTES]))</f>
        <v>0</v>
      </c>
      <c r="AN35" s="289" cm="1">
        <f t="array" aca="1" ref="AN35" ca="1">SUMPRODUCT((PlayerGameData[Visible]=1)*(PlayerGameData[PLAYER, '#]=$A35)*(PlayerGameData[3FGM]))</f>
        <v>0</v>
      </c>
      <c r="AO35" s="290" cm="1">
        <f t="array" aca="1" ref="AO35" ca="1">SUMPRODUCT((PlayerGameData[Visible]=1)*(PlayerGameData[PLAYER, '#]=$A35)*(PlayerGameData[3FGA]))</f>
        <v>0</v>
      </c>
      <c r="AP35" s="289" cm="1">
        <f t="array" aca="1" ref="AP35" ca="1">SUMPRODUCT((PlayerGameData[Visible]=1)*(PlayerGameData[PLAYER, '#]=$A35)*(PlayerGameData[2FGM]))</f>
        <v>0</v>
      </c>
      <c r="AQ35" s="290" cm="1">
        <f t="array" aca="1" ref="AQ35" ca="1">SUMPRODUCT((PlayerGameData[Visible]=1)*(PlayerGameData[PLAYER, '#]=$A35)*(PlayerGameData[2FGA]))</f>
        <v>0</v>
      </c>
      <c r="AR35" s="289" cm="1">
        <f t="array" aca="1" ref="AR35" ca="1">SUMPRODUCT((PlayerGameData[Visible]=1)*(PlayerGameData[PLAYER, '#]=$A35)*(PlayerGameData[FTM]))</f>
        <v>0</v>
      </c>
      <c r="AS35" s="290" cm="1">
        <f t="array" aca="1" ref="AS35" ca="1">SUMPRODUCT((PlayerGameData[Visible]=1)*(PlayerGameData[PLAYER, '#]=$A35)*(PlayerGameData[FTA]))</f>
        <v>0</v>
      </c>
      <c r="AT35" s="289" cm="1">
        <f t="array" aca="1" ref="AT35" ca="1">SUMPRODUCT((PlayerGameData[Visible]=1)*(PlayerGameData[PLAYER, '#]=$A35)*(PlayerGameData[OFF REB]))</f>
        <v>0</v>
      </c>
      <c r="AU35" s="289" cm="1">
        <f t="array" aca="1" ref="AU35" ca="1">SUMPRODUCT((PlayerGameData[Visible]=1)*(PlayerGameData[PLAYER, '#]=$A35)*(PlayerGameData[DEF REB]))</f>
        <v>0</v>
      </c>
      <c r="AV35" s="290">
        <f ca="1">AT35+AU35</f>
        <v>0</v>
      </c>
      <c r="AW35" s="289" cm="1">
        <f t="array" aca="1" ref="AW35" ca="1">SUMPRODUCT((PlayerGameData[Visible]=1)*(PlayerGameData[PLAYER, '#]=$A35)*(PlayerGameData[AST]))</f>
        <v>0</v>
      </c>
      <c r="AX35" s="289" cm="1">
        <f t="array" aca="1" ref="AX35" ca="1">SUMPRODUCT((PlayerGameData[Visible]=1)*(PlayerGameData[PLAYER, '#]=$A35)*(PlayerGameData[STL]))</f>
        <v>0</v>
      </c>
      <c r="AY35" s="289" cm="1">
        <f t="array" aca="1" ref="AY35" ca="1">SUMPRODUCT((PlayerGameData[Visible]=1)*(PlayerGameData[PLAYER, '#]=$A35)*(PlayerGameData[BLK]))</f>
        <v>0</v>
      </c>
      <c r="AZ35" s="289" cm="1">
        <f t="array" aca="1" ref="AZ35" ca="1">SUMPRODUCT((PlayerGameData[Visible]=1)*(PlayerGameData[PLAYER, '#]=$A35)*(PlayerGameData[TO]))</f>
        <v>0</v>
      </c>
      <c r="BA35" s="289" cm="1">
        <f t="array" aca="1" ref="BA35" ca="1">SUMPRODUCT((PlayerGameData[Visible]=1)*(PlayerGameData[PLAYER, '#]=$A35)*(PlayerGameData[FOUL]))</f>
        <v>0</v>
      </c>
      <c r="BB35" s="291" cm="1">
        <f t="array" aca="1" ref="BB35" ca="1">SUMPRODUCT((PlayerGameData[Visible]=1)*(PlayerGameData[PLAYER, '#]=$A35)*(PlayerGameData[CHRG TKN]))</f>
        <v>0</v>
      </c>
      <c r="BC35" s="28">
        <f t="shared" ref="BC35" ca="1" si="34">IF(AR35+2*AP35+3*AN35&gt;0,AR35+2*AP35+3*AN35,0)</f>
        <v>0</v>
      </c>
      <c r="BD35" s="29" t="str">
        <f ca="1">IF(AO35&gt;0,AN35/AO35,"")</f>
        <v/>
      </c>
      <c r="BE35" s="29" t="str">
        <f ca="1">IF(AQ35&gt;0,AP35/AQ35,"")</f>
        <v/>
      </c>
      <c r="BF35" s="30" t="str">
        <f ca="1">IF(AS35&gt;0,AR35/AS35,"")</f>
        <v/>
      </c>
      <c r="BG35" s="29" t="str">
        <f ca="1">IF(OR(AO35&gt;0,AQ35 &gt;0),(AN35+AP35)/(AO35+AQ35),"")</f>
        <v/>
      </c>
      <c r="BH35" s="31" t="str">
        <f ca="1">IF(OR(AO35&gt;0,AQ35 &gt;0),(1.5*AN35+AP35)/(AO35+AQ35),"")</f>
        <v/>
      </c>
      <c r="BI35" s="184"/>
      <c r="BJ35" s="184"/>
      <c r="BK35" s="184"/>
      <c r="BL35" s="184"/>
      <c r="BM35" s="184"/>
      <c r="BN35" s="184"/>
      <c r="BO35" s="184"/>
      <c r="BP35" s="184"/>
      <c r="BQ35" s="184"/>
      <c r="BR35" s="184"/>
      <c r="BS35" s="184"/>
      <c r="BT35" s="184"/>
      <c r="CA35" s="51">
        <f t="shared" ca="1" si="2"/>
        <v>0</v>
      </c>
      <c r="CB35" s="51">
        <f t="shared" ca="1" si="2"/>
        <v>0</v>
      </c>
      <c r="CC35" s="51"/>
      <c r="CD35" s="51"/>
      <c r="CE35" s="51"/>
      <c r="CF35" s="51"/>
      <c r="CG35" s="51"/>
      <c r="CH35" s="51"/>
      <c r="CI35" s="51"/>
      <c r="CJ35" s="51"/>
      <c r="CK35" s="51"/>
      <c r="CL35" s="51"/>
      <c r="CM35" s="51"/>
      <c r="CN35" s="292"/>
      <c r="CO35" s="51"/>
      <c r="CP35" s="51"/>
    </row>
    <row r="36" spans="1:94" s="18" customFormat="1" ht="16.5" x14ac:dyDescent="0.3">
      <c r="A36" s="188" t="str">
        <f>IF(A35&lt;&gt;"","Per Game","")</f>
        <v/>
      </c>
      <c r="B36" s="294"/>
      <c r="C36" s="295"/>
      <c r="D36" s="296" t="str">
        <f ca="1">IFERROR(ROUND(D35/$C35,1),"")</f>
        <v/>
      </c>
      <c r="E36" s="300" t="str">
        <f t="shared" ref="E36:T36" ca="1" si="35">IFERROR(ROUND(E35/$C35,1),"")</f>
        <v/>
      </c>
      <c r="F36" s="301" t="str">
        <f t="shared" ca="1" si="35"/>
        <v/>
      </c>
      <c r="G36" s="300" t="str">
        <f t="shared" ca="1" si="35"/>
        <v/>
      </c>
      <c r="H36" s="301" t="str">
        <f t="shared" ca="1" si="35"/>
        <v/>
      </c>
      <c r="I36" s="300" t="str">
        <f t="shared" ca="1" si="35"/>
        <v/>
      </c>
      <c r="J36" s="301" t="str">
        <f t="shared" ca="1" si="35"/>
        <v/>
      </c>
      <c r="K36" s="300" t="str">
        <f t="shared" ca="1" si="35"/>
        <v/>
      </c>
      <c r="L36" s="300" t="str">
        <f t="shared" ca="1" si="35"/>
        <v/>
      </c>
      <c r="M36" s="301" t="str">
        <f t="shared" ca="1" si="35"/>
        <v/>
      </c>
      <c r="N36" s="300" t="str">
        <f t="shared" ca="1" si="35"/>
        <v/>
      </c>
      <c r="O36" s="300" t="str">
        <f t="shared" ca="1" si="35"/>
        <v/>
      </c>
      <c r="P36" s="300" t="str">
        <f t="shared" ca="1" si="35"/>
        <v/>
      </c>
      <c r="Q36" s="300" t="str">
        <f t="shared" ca="1" si="35"/>
        <v/>
      </c>
      <c r="R36" s="300" t="str">
        <f t="shared" ca="1" si="35"/>
        <v/>
      </c>
      <c r="S36" s="302" t="str">
        <f t="shared" ca="1" si="35"/>
        <v/>
      </c>
      <c r="T36" s="60" t="str">
        <f t="shared" ca="1" si="35"/>
        <v/>
      </c>
      <c r="U36" s="25"/>
      <c r="V36" s="25"/>
      <c r="W36" s="26"/>
      <c r="X36" s="25"/>
      <c r="Y36" s="27"/>
      <c r="Z36" s="184"/>
      <c r="AA36" s="184"/>
      <c r="AB36" s="184"/>
      <c r="AC36" s="184"/>
      <c r="AD36" s="184"/>
      <c r="AE36" s="184"/>
      <c r="AF36" s="184"/>
      <c r="AG36" s="184"/>
      <c r="AH36" s="184"/>
      <c r="AI36" s="184"/>
      <c r="AJ36" s="188" t="str">
        <f>IF(AJ35&lt;&gt;"","Per Minute","")</f>
        <v/>
      </c>
      <c r="AK36" s="294"/>
      <c r="AL36" s="295"/>
      <c r="AM36" s="296" t="str">
        <f ca="1">IFERROR(ROUND(AM35/$C35,1),"")</f>
        <v/>
      </c>
      <c r="AN36" s="300" t="str">
        <f t="shared" ref="AN36:BC36" ca="1" si="36">IFERROR(ROUND(AN35/$D35,1),"")</f>
        <v/>
      </c>
      <c r="AO36" s="301" t="str">
        <f t="shared" ca="1" si="36"/>
        <v/>
      </c>
      <c r="AP36" s="300" t="str">
        <f t="shared" ca="1" si="36"/>
        <v/>
      </c>
      <c r="AQ36" s="301" t="str">
        <f t="shared" ca="1" si="36"/>
        <v/>
      </c>
      <c r="AR36" s="300" t="str">
        <f t="shared" ca="1" si="36"/>
        <v/>
      </c>
      <c r="AS36" s="301" t="str">
        <f t="shared" ca="1" si="36"/>
        <v/>
      </c>
      <c r="AT36" s="300" t="str">
        <f t="shared" ca="1" si="36"/>
        <v/>
      </c>
      <c r="AU36" s="300" t="str">
        <f t="shared" ca="1" si="36"/>
        <v/>
      </c>
      <c r="AV36" s="301" t="str">
        <f t="shared" ca="1" si="36"/>
        <v/>
      </c>
      <c r="AW36" s="300" t="str">
        <f t="shared" ca="1" si="36"/>
        <v/>
      </c>
      <c r="AX36" s="300" t="str">
        <f t="shared" ca="1" si="36"/>
        <v/>
      </c>
      <c r="AY36" s="300" t="str">
        <f t="shared" ca="1" si="36"/>
        <v/>
      </c>
      <c r="AZ36" s="300" t="str">
        <f t="shared" ca="1" si="36"/>
        <v/>
      </c>
      <c r="BA36" s="300" t="str">
        <f t="shared" ca="1" si="36"/>
        <v/>
      </c>
      <c r="BB36" s="302" t="str">
        <f t="shared" ca="1" si="36"/>
        <v/>
      </c>
      <c r="BC36" s="24" t="str">
        <f t="shared" ca="1" si="36"/>
        <v/>
      </c>
      <c r="BD36" s="25"/>
      <c r="BE36" s="25"/>
      <c r="BF36" s="26"/>
      <c r="BG36" s="25"/>
      <c r="BH36" s="27"/>
      <c r="BI36" s="184"/>
      <c r="BJ36" s="184"/>
      <c r="BK36" s="184"/>
      <c r="BL36" s="184"/>
      <c r="BM36" s="184"/>
      <c r="BN36" s="184"/>
      <c r="BO36" s="184"/>
      <c r="BP36" s="184"/>
      <c r="BQ36" s="184"/>
      <c r="BR36" s="184"/>
      <c r="BS36" s="184"/>
      <c r="BT36" s="184"/>
      <c r="CA36" s="51" t="e">
        <f t="shared" ca="1" si="2"/>
        <v>#VALUE!</v>
      </c>
      <c r="CB36" s="51" t="e">
        <f t="shared" ca="1" si="2"/>
        <v>#VALUE!</v>
      </c>
      <c r="CC36" s="51"/>
      <c r="CD36" s="51"/>
      <c r="CE36" s="51"/>
      <c r="CF36" s="51"/>
      <c r="CG36" s="51"/>
      <c r="CH36" s="51"/>
      <c r="CI36" s="51"/>
      <c r="CJ36" s="51"/>
      <c r="CK36" s="51"/>
      <c r="CL36" s="51"/>
      <c r="CM36" s="51"/>
      <c r="CN36" s="292"/>
      <c r="CO36" s="51"/>
      <c r="CP36" s="51"/>
    </row>
    <row r="37" spans="1:94" s="18" customFormat="1" ht="16.5" x14ac:dyDescent="0.3">
      <c r="A37" s="59" t="str">
        <f>IF(OR(Roster!$A24&lt;&gt;"",Roster!$B24&lt;&gt;""),CONCATENATE(PROPER(Roster!$B24),", ",Roster!$A24),"")</f>
        <v/>
      </c>
      <c r="B37" s="286" cm="1">
        <f t="array" aca="1" ref="B37" ca="1">SUMPRODUCT((PlayerGameData[Visible]=1)*(PlayerGameData[PLAYER, '#]=$A37)*(PlayerGameData[START]))</f>
        <v>0</v>
      </c>
      <c r="C37" s="287" cm="1">
        <f t="array" aca="1" ref="C37" ca="1">SUMPRODUCT((PlayerGameData[Visible]=1)*(PlayerGameData[PLAYER, '#]=$A37)*(PlayerGameData[GP]))</f>
        <v>0</v>
      </c>
      <c r="D37" s="288" cm="1">
        <f t="array" aca="1" ref="D37" ca="1">SUMPRODUCT((PlayerGameData[Visible]=1)*(PlayerGameData[PLAYER, '#]=$A37)*(PlayerGameData[MINUTES]))</f>
        <v>0</v>
      </c>
      <c r="E37" s="289" cm="1">
        <f t="array" aca="1" ref="E37" ca="1">SUMPRODUCT((PlayerGameData[Visible]=1)*(PlayerGameData[PLAYER, '#]=$A37)*(PlayerGameData[3FGM]))</f>
        <v>0</v>
      </c>
      <c r="F37" s="290" cm="1">
        <f t="array" aca="1" ref="F37" ca="1">SUMPRODUCT((PlayerGameData[Visible]=1)*(PlayerGameData[PLAYER, '#]=$A37)*(PlayerGameData[3FGA]))</f>
        <v>0</v>
      </c>
      <c r="G37" s="289" cm="1">
        <f t="array" aca="1" ref="G37" ca="1">SUMPRODUCT((PlayerGameData[Visible]=1)*(PlayerGameData[PLAYER, '#]=$A37)*(PlayerGameData[2FGM]))</f>
        <v>0</v>
      </c>
      <c r="H37" s="290" cm="1">
        <f t="array" aca="1" ref="H37" ca="1">SUMPRODUCT((PlayerGameData[Visible]=1)*(PlayerGameData[PLAYER, '#]=$A37)*(PlayerGameData[2FGA]))</f>
        <v>0</v>
      </c>
      <c r="I37" s="289" cm="1">
        <f t="array" aca="1" ref="I37" ca="1">SUMPRODUCT((PlayerGameData[Visible]=1)*(PlayerGameData[PLAYER, '#]=$A37)*(PlayerGameData[FTM]))</f>
        <v>0</v>
      </c>
      <c r="J37" s="290" cm="1">
        <f t="array" aca="1" ref="J37" ca="1">SUMPRODUCT((PlayerGameData[Visible]=1)*(PlayerGameData[PLAYER, '#]=$A37)*(PlayerGameData[FTA]))</f>
        <v>0</v>
      </c>
      <c r="K37" s="289" cm="1">
        <f t="array" aca="1" ref="K37" ca="1">SUMPRODUCT((PlayerGameData[Visible]=1)*(PlayerGameData[PLAYER, '#]=$A37)*(PlayerGameData[OFF REB]))</f>
        <v>0</v>
      </c>
      <c r="L37" s="289" cm="1">
        <f t="array" aca="1" ref="L37" ca="1">SUMPRODUCT((PlayerGameData[Visible]=1)*(PlayerGameData[PLAYER, '#]=$A37)*(PlayerGameData[DEF REB]))</f>
        <v>0</v>
      </c>
      <c r="M37" s="290">
        <f ca="1">K37+L37</f>
        <v>0</v>
      </c>
      <c r="N37" s="289" cm="1">
        <f t="array" aca="1" ref="N37" ca="1">SUMPRODUCT((PlayerGameData[Visible]=1)*(PlayerGameData[PLAYER, '#]=$A37)*(PlayerGameData[AST]))</f>
        <v>0</v>
      </c>
      <c r="O37" s="289" cm="1">
        <f t="array" aca="1" ref="O37" ca="1">SUMPRODUCT((PlayerGameData[Visible]=1)*(PlayerGameData[PLAYER, '#]=$A37)*(PlayerGameData[STL]))</f>
        <v>0</v>
      </c>
      <c r="P37" s="289" cm="1">
        <f t="array" aca="1" ref="P37" ca="1">SUMPRODUCT((PlayerGameData[Visible]=1)*(PlayerGameData[PLAYER, '#]=$A37)*(PlayerGameData[BLK]))</f>
        <v>0</v>
      </c>
      <c r="Q37" s="289" cm="1">
        <f t="array" aca="1" ref="Q37" ca="1">SUMPRODUCT((PlayerGameData[Visible]=1)*(PlayerGameData[PLAYER, '#]=$A37)*(PlayerGameData[TO]))</f>
        <v>0</v>
      </c>
      <c r="R37" s="289" cm="1">
        <f t="array" aca="1" ref="R37" ca="1">SUMPRODUCT((PlayerGameData[Visible]=1)*(PlayerGameData[PLAYER, '#]=$A37)*(PlayerGameData[FOUL]))</f>
        <v>0</v>
      </c>
      <c r="S37" s="291" cm="1">
        <f t="array" aca="1" ref="S37" ca="1">SUMPRODUCT((PlayerGameData[Visible]=1)*(PlayerGameData[PLAYER, '#]=$A37)*(PlayerGameData[CHRG TKN]))</f>
        <v>0</v>
      </c>
      <c r="T37" s="28">
        <f ca="1">IF(I37+2*G37+3*E37&gt;0,I37+2*G37+3*E37,0)</f>
        <v>0</v>
      </c>
      <c r="U37" s="29" t="str">
        <f ca="1">IF(F37&gt;0,E37/F37,"")</f>
        <v/>
      </c>
      <c r="V37" s="29" t="str">
        <f ca="1">IF(H37&gt;0,G37/H37,"")</f>
        <v/>
      </c>
      <c r="W37" s="30" t="str">
        <f ca="1">IF(J37&gt;0,I37/J37,"")</f>
        <v/>
      </c>
      <c r="X37" s="29" t="str">
        <f ca="1">IF(OR(F37&gt;0,H37 &gt;0),(E37+G37)/(F37+H37),"")</f>
        <v/>
      </c>
      <c r="Y37" s="31" t="str">
        <f ca="1">IF(OR(F37&gt;0,H37 &gt;0),(1.5*E37+G37)/(F37+H37),"")</f>
        <v/>
      </c>
      <c r="Z37" s="184"/>
      <c r="AA37" s="184"/>
      <c r="AB37" s="184"/>
      <c r="AC37" s="184"/>
      <c r="AD37" s="184"/>
      <c r="AE37" s="184"/>
      <c r="AF37" s="184"/>
      <c r="AG37" s="184"/>
      <c r="AH37" s="184"/>
      <c r="AI37" s="184"/>
      <c r="AJ37" s="59" t="str">
        <f>IF(OR(Roster!$A24&lt;&gt;"",Roster!$B24&lt;&gt;""),CONCATENATE(PROPER(Roster!$B24),", ",Roster!$A24),"")</f>
        <v/>
      </c>
      <c r="AK37" s="286" cm="1">
        <f t="array" aca="1" ref="AK37" ca="1">SUMPRODUCT((PlayerGameData[Visible]=1)*(PlayerGameData[PLAYER, '#]=$A37)*(PlayerGameData[START]))</f>
        <v>0</v>
      </c>
      <c r="AL37" s="287" cm="1">
        <f t="array" aca="1" ref="AL37" ca="1">SUMPRODUCT((PlayerGameData[Visible]=1)*(PlayerGameData[PLAYER, '#]=$A37)*(PlayerGameData[GP]))</f>
        <v>0</v>
      </c>
      <c r="AM37" s="288" cm="1">
        <f t="array" aca="1" ref="AM37" ca="1">SUMPRODUCT((PlayerGameData[Visible]=1)*(PlayerGameData[PLAYER, '#]=$A37)*(PlayerGameData[MINUTES]))</f>
        <v>0</v>
      </c>
      <c r="AN37" s="289" cm="1">
        <f t="array" aca="1" ref="AN37" ca="1">SUMPRODUCT((PlayerGameData[Visible]=1)*(PlayerGameData[PLAYER, '#]=$A37)*(PlayerGameData[3FGM]))</f>
        <v>0</v>
      </c>
      <c r="AO37" s="290" cm="1">
        <f t="array" aca="1" ref="AO37" ca="1">SUMPRODUCT((PlayerGameData[Visible]=1)*(PlayerGameData[PLAYER, '#]=$A37)*(PlayerGameData[3FGA]))</f>
        <v>0</v>
      </c>
      <c r="AP37" s="289" cm="1">
        <f t="array" aca="1" ref="AP37" ca="1">SUMPRODUCT((PlayerGameData[Visible]=1)*(PlayerGameData[PLAYER, '#]=$A37)*(PlayerGameData[2FGM]))</f>
        <v>0</v>
      </c>
      <c r="AQ37" s="290" cm="1">
        <f t="array" aca="1" ref="AQ37" ca="1">SUMPRODUCT((PlayerGameData[Visible]=1)*(PlayerGameData[PLAYER, '#]=$A37)*(PlayerGameData[2FGA]))</f>
        <v>0</v>
      </c>
      <c r="AR37" s="289" cm="1">
        <f t="array" aca="1" ref="AR37" ca="1">SUMPRODUCT((PlayerGameData[Visible]=1)*(PlayerGameData[PLAYER, '#]=$A37)*(PlayerGameData[FTM]))</f>
        <v>0</v>
      </c>
      <c r="AS37" s="290" cm="1">
        <f t="array" aca="1" ref="AS37" ca="1">SUMPRODUCT((PlayerGameData[Visible]=1)*(PlayerGameData[PLAYER, '#]=$A37)*(PlayerGameData[FTA]))</f>
        <v>0</v>
      </c>
      <c r="AT37" s="289" cm="1">
        <f t="array" aca="1" ref="AT37" ca="1">SUMPRODUCT((PlayerGameData[Visible]=1)*(PlayerGameData[PLAYER, '#]=$A37)*(PlayerGameData[OFF REB]))</f>
        <v>0</v>
      </c>
      <c r="AU37" s="289" cm="1">
        <f t="array" aca="1" ref="AU37" ca="1">SUMPRODUCT((PlayerGameData[Visible]=1)*(PlayerGameData[PLAYER, '#]=$A37)*(PlayerGameData[DEF REB]))</f>
        <v>0</v>
      </c>
      <c r="AV37" s="290">
        <f ca="1">AT37+AU37</f>
        <v>0</v>
      </c>
      <c r="AW37" s="289" cm="1">
        <f t="array" aca="1" ref="AW37" ca="1">SUMPRODUCT((PlayerGameData[Visible]=1)*(PlayerGameData[PLAYER, '#]=$A37)*(PlayerGameData[AST]))</f>
        <v>0</v>
      </c>
      <c r="AX37" s="289" cm="1">
        <f t="array" aca="1" ref="AX37" ca="1">SUMPRODUCT((PlayerGameData[Visible]=1)*(PlayerGameData[PLAYER, '#]=$A37)*(PlayerGameData[STL]))</f>
        <v>0</v>
      </c>
      <c r="AY37" s="289" cm="1">
        <f t="array" aca="1" ref="AY37" ca="1">SUMPRODUCT((PlayerGameData[Visible]=1)*(PlayerGameData[PLAYER, '#]=$A37)*(PlayerGameData[BLK]))</f>
        <v>0</v>
      </c>
      <c r="AZ37" s="289" cm="1">
        <f t="array" aca="1" ref="AZ37" ca="1">SUMPRODUCT((PlayerGameData[Visible]=1)*(PlayerGameData[PLAYER, '#]=$A37)*(PlayerGameData[TO]))</f>
        <v>0</v>
      </c>
      <c r="BA37" s="289" cm="1">
        <f t="array" aca="1" ref="BA37" ca="1">SUMPRODUCT((PlayerGameData[Visible]=1)*(PlayerGameData[PLAYER, '#]=$A37)*(PlayerGameData[FOUL]))</f>
        <v>0</v>
      </c>
      <c r="BB37" s="291" cm="1">
        <f t="array" aca="1" ref="BB37" ca="1">SUMPRODUCT((PlayerGameData[Visible]=1)*(PlayerGameData[PLAYER, '#]=$A37)*(PlayerGameData[CHRG TKN]))</f>
        <v>0</v>
      </c>
      <c r="BC37" s="28">
        <f t="shared" ref="BC37" ca="1" si="37">IF(AR37+2*AP37+3*AN37&gt;0,AR37+2*AP37+3*AN37,0)</f>
        <v>0</v>
      </c>
      <c r="BD37" s="29" t="str">
        <f ca="1">IF(AO37&gt;0,AN37/AO37,"")</f>
        <v/>
      </c>
      <c r="BE37" s="29" t="str">
        <f ca="1">IF(AQ37&gt;0,AP37/AQ37,"")</f>
        <v/>
      </c>
      <c r="BF37" s="30" t="str">
        <f ca="1">IF(AS37&gt;0,AR37/AS37,"")</f>
        <v/>
      </c>
      <c r="BG37" s="29" t="str">
        <f ca="1">IF(OR(AO37&gt;0,AQ37 &gt;0),(AN37+AP37)/(AO37+AQ37),"")</f>
        <v/>
      </c>
      <c r="BH37" s="31" t="str">
        <f ca="1">IF(OR(AO37&gt;0,AQ37 &gt;0),(1.5*AN37+AP37)/(AO37+AQ37),"")</f>
        <v/>
      </c>
      <c r="BI37" s="184"/>
      <c r="BJ37" s="184"/>
      <c r="BK37" s="184"/>
      <c r="BL37" s="184"/>
      <c r="BM37" s="184"/>
      <c r="BN37" s="184"/>
      <c r="BO37" s="184"/>
      <c r="BP37" s="184"/>
      <c r="BQ37" s="184"/>
      <c r="BR37" s="184"/>
      <c r="BS37" s="184"/>
      <c r="BT37" s="184"/>
      <c r="CA37" s="51">
        <f t="shared" ca="1" si="2"/>
        <v>0</v>
      </c>
      <c r="CB37" s="51">
        <f t="shared" ca="1" si="2"/>
        <v>0</v>
      </c>
      <c r="CC37" s="51"/>
      <c r="CD37" s="51"/>
      <c r="CE37" s="51"/>
      <c r="CF37" s="51"/>
      <c r="CG37" s="51"/>
      <c r="CH37" s="51"/>
      <c r="CI37" s="51"/>
      <c r="CJ37" s="51"/>
      <c r="CK37" s="51"/>
      <c r="CL37" s="51"/>
      <c r="CM37" s="51"/>
      <c r="CN37" s="292"/>
      <c r="CO37" s="51"/>
      <c r="CP37" s="51"/>
    </row>
    <row r="38" spans="1:94" s="18" customFormat="1" ht="17.25" thickBot="1" x14ac:dyDescent="0.35">
      <c r="A38" s="190" t="str">
        <f>IF(A37&lt;&gt;"","Per Game","")</f>
        <v/>
      </c>
      <c r="B38" s="303"/>
      <c r="C38" s="304"/>
      <c r="D38" s="296" t="str">
        <f ca="1">IFERROR(ROUND(D37/$C37,1),"")</f>
        <v/>
      </c>
      <c r="E38" s="305" t="str">
        <f t="shared" ref="E38:T38" ca="1" si="38">IFERROR(ROUND(E37/$C37,1),"")</f>
        <v/>
      </c>
      <c r="F38" s="306" t="str">
        <f t="shared" ca="1" si="38"/>
        <v/>
      </c>
      <c r="G38" s="305" t="str">
        <f t="shared" ca="1" si="38"/>
        <v/>
      </c>
      <c r="H38" s="306" t="str">
        <f t="shared" ca="1" si="38"/>
        <v/>
      </c>
      <c r="I38" s="305" t="str">
        <f t="shared" ca="1" si="38"/>
        <v/>
      </c>
      <c r="J38" s="306" t="str">
        <f t="shared" ca="1" si="38"/>
        <v/>
      </c>
      <c r="K38" s="305" t="str">
        <f t="shared" ca="1" si="38"/>
        <v/>
      </c>
      <c r="L38" s="305" t="str">
        <f t="shared" ca="1" si="38"/>
        <v/>
      </c>
      <c r="M38" s="306" t="str">
        <f t="shared" ca="1" si="38"/>
        <v/>
      </c>
      <c r="N38" s="305" t="str">
        <f t="shared" ca="1" si="38"/>
        <v/>
      </c>
      <c r="O38" s="305" t="str">
        <f t="shared" ca="1" si="38"/>
        <v/>
      </c>
      <c r="P38" s="305" t="str">
        <f t="shared" ca="1" si="38"/>
        <v/>
      </c>
      <c r="Q38" s="305" t="str">
        <f t="shared" ca="1" si="38"/>
        <v/>
      </c>
      <c r="R38" s="305" t="str">
        <f t="shared" ca="1" si="38"/>
        <v/>
      </c>
      <c r="S38" s="307" t="str">
        <f t="shared" ca="1" si="38"/>
        <v/>
      </c>
      <c r="T38" s="191" t="str">
        <f t="shared" ca="1" si="38"/>
        <v/>
      </c>
      <c r="U38" s="184"/>
      <c r="V38" s="184"/>
      <c r="W38" s="56"/>
      <c r="X38" s="184"/>
      <c r="Y38" s="57"/>
      <c r="Z38" s="184"/>
      <c r="AA38" s="362"/>
      <c r="AB38" s="363"/>
      <c r="AC38" s="363" t="s">
        <v>339</v>
      </c>
      <c r="AD38" s="363"/>
      <c r="AE38" s="363"/>
      <c r="AF38" s="364"/>
      <c r="AG38" s="184"/>
      <c r="AH38" s="184"/>
      <c r="AI38" s="184"/>
      <c r="AJ38" s="190" t="str">
        <f>IF(AJ37&lt;&gt;"","Per Minute","")</f>
        <v/>
      </c>
      <c r="AK38" s="303"/>
      <c r="AL38" s="304"/>
      <c r="AM38" s="296" t="str">
        <f ca="1">IFERROR(ROUND(AM37/$C37,1),"")</f>
        <v/>
      </c>
      <c r="AN38" s="305" t="str">
        <f t="shared" ref="AN38:BC38" ca="1" si="39">IFERROR(ROUND(AN37/$D37,1),"")</f>
        <v/>
      </c>
      <c r="AO38" s="306" t="str">
        <f t="shared" ca="1" si="39"/>
        <v/>
      </c>
      <c r="AP38" s="305" t="str">
        <f t="shared" ca="1" si="39"/>
        <v/>
      </c>
      <c r="AQ38" s="306" t="str">
        <f t="shared" ca="1" si="39"/>
        <v/>
      </c>
      <c r="AR38" s="305" t="str">
        <f t="shared" ca="1" si="39"/>
        <v/>
      </c>
      <c r="AS38" s="306" t="str">
        <f t="shared" ca="1" si="39"/>
        <v/>
      </c>
      <c r="AT38" s="305" t="str">
        <f t="shared" ca="1" si="39"/>
        <v/>
      </c>
      <c r="AU38" s="305" t="str">
        <f t="shared" ca="1" si="39"/>
        <v/>
      </c>
      <c r="AV38" s="306" t="str">
        <f t="shared" ca="1" si="39"/>
        <v/>
      </c>
      <c r="AW38" s="305" t="str">
        <f t="shared" ca="1" si="39"/>
        <v/>
      </c>
      <c r="AX38" s="305" t="str">
        <f t="shared" ca="1" si="39"/>
        <v/>
      </c>
      <c r="AY38" s="305" t="str">
        <f t="shared" ca="1" si="39"/>
        <v/>
      </c>
      <c r="AZ38" s="305" t="str">
        <f t="shared" ca="1" si="39"/>
        <v/>
      </c>
      <c r="BA38" s="305" t="str">
        <f t="shared" ca="1" si="39"/>
        <v/>
      </c>
      <c r="BB38" s="307" t="str">
        <f t="shared" ca="1" si="39"/>
        <v/>
      </c>
      <c r="BC38" s="191" t="str">
        <f t="shared" ca="1" si="39"/>
        <v/>
      </c>
      <c r="BD38" s="184"/>
      <c r="BE38" s="184"/>
      <c r="BF38" s="56"/>
      <c r="BG38" s="184"/>
      <c r="BH38" s="57"/>
      <c r="BI38" s="184"/>
      <c r="BJ38" s="184"/>
      <c r="BK38" s="184"/>
      <c r="BL38" s="184"/>
      <c r="BM38" s="184"/>
      <c r="BN38" s="184"/>
      <c r="BO38" s="184"/>
      <c r="BP38" s="184"/>
      <c r="BQ38" s="184"/>
      <c r="BR38" s="184"/>
      <c r="BS38" s="184"/>
      <c r="BT38" s="184"/>
      <c r="CA38" s="51" t="e">
        <f t="shared" ca="1" si="2"/>
        <v>#VALUE!</v>
      </c>
      <c r="CB38" s="51" t="e">
        <f t="shared" ca="1" si="2"/>
        <v>#VALUE!</v>
      </c>
      <c r="CC38" s="51"/>
      <c r="CD38" s="51"/>
      <c r="CE38" s="51"/>
      <c r="CF38" s="51"/>
      <c r="CG38" s="51"/>
      <c r="CH38" s="51"/>
      <c r="CI38" s="51"/>
      <c r="CJ38" s="51"/>
      <c r="CK38" s="51"/>
      <c r="CL38" s="51"/>
      <c r="CM38" s="51"/>
      <c r="CN38" s="292"/>
      <c r="CO38" s="51"/>
      <c r="CP38" s="51"/>
    </row>
    <row r="39" spans="1:94" s="18" customFormat="1" ht="16.5" x14ac:dyDescent="0.3">
      <c r="A39" s="59" t="str">
        <f>IF(OR(Roster!$A25&lt;&gt;"",Roster!$B25&lt;&gt;""),CONCATENATE(PROPER(Roster!$B25),", ",Roster!$A25),"")</f>
        <v/>
      </c>
      <c r="B39" s="308" cm="1">
        <f t="array" aca="1" ref="B39" ca="1">SUMPRODUCT((PlayerGameData[Visible]=1)*(PlayerGameData[PLAYER, '#]=$A39)*(PlayerGameData[START]))</f>
        <v>0</v>
      </c>
      <c r="C39" s="309" cm="1">
        <f t="array" aca="1" ref="C39" ca="1">SUMPRODUCT((PlayerGameData[Visible]=1)*(PlayerGameData[PLAYER, '#]=$A39)*(PlayerGameData[GP]))</f>
        <v>0</v>
      </c>
      <c r="D39" s="310" cm="1">
        <f t="array" aca="1" ref="D39" ca="1">SUMPRODUCT((PlayerGameData[Visible]=1)*(PlayerGameData[PLAYER, '#]=$A39)*(PlayerGameData[MINUTES]))</f>
        <v>0</v>
      </c>
      <c r="E39" s="311" cm="1">
        <f t="array" aca="1" ref="E39" ca="1">SUMPRODUCT((PlayerGameData[Visible]=1)*(PlayerGameData[PLAYER, '#]=$A39)*(PlayerGameData[3FGM]))</f>
        <v>0</v>
      </c>
      <c r="F39" s="312" cm="1">
        <f t="array" aca="1" ref="F39" ca="1">SUMPRODUCT((PlayerGameData[Visible]=1)*(PlayerGameData[PLAYER, '#]=$A39)*(PlayerGameData[3FGA]))</f>
        <v>0</v>
      </c>
      <c r="G39" s="311" cm="1">
        <f t="array" aca="1" ref="G39" ca="1">SUMPRODUCT((PlayerGameData[Visible]=1)*(PlayerGameData[PLAYER, '#]=$A39)*(PlayerGameData[2FGM]))</f>
        <v>0</v>
      </c>
      <c r="H39" s="312" cm="1">
        <f t="array" aca="1" ref="H39" ca="1">SUMPRODUCT((PlayerGameData[Visible]=1)*(PlayerGameData[PLAYER, '#]=$A39)*(PlayerGameData[2FGA]))</f>
        <v>0</v>
      </c>
      <c r="I39" s="311" cm="1">
        <f t="array" aca="1" ref="I39" ca="1">SUMPRODUCT((PlayerGameData[Visible]=1)*(PlayerGameData[PLAYER, '#]=$A39)*(PlayerGameData[FTM]))</f>
        <v>0</v>
      </c>
      <c r="J39" s="312" cm="1">
        <f t="array" aca="1" ref="J39" ca="1">SUMPRODUCT((PlayerGameData[Visible]=1)*(PlayerGameData[PLAYER, '#]=$A39)*(PlayerGameData[FTA]))</f>
        <v>0</v>
      </c>
      <c r="K39" s="311" cm="1">
        <f t="array" aca="1" ref="K39" ca="1">SUMPRODUCT((PlayerGameData[Visible]=1)*(PlayerGameData[PLAYER, '#]=$A39)*(PlayerGameData[OFF REB]))</f>
        <v>0</v>
      </c>
      <c r="L39" s="311" cm="1">
        <f t="array" aca="1" ref="L39" ca="1">SUMPRODUCT((PlayerGameData[Visible]=1)*(PlayerGameData[PLAYER, '#]=$A39)*(PlayerGameData[DEF REB]))</f>
        <v>0</v>
      </c>
      <c r="M39" s="312">
        <f ca="1">K39+L39</f>
        <v>0</v>
      </c>
      <c r="N39" s="311" cm="1">
        <f t="array" aca="1" ref="N39" ca="1">SUMPRODUCT((PlayerGameData[Visible]=1)*(PlayerGameData[PLAYER, '#]=$A39)*(PlayerGameData[AST]))</f>
        <v>0</v>
      </c>
      <c r="O39" s="311" cm="1">
        <f t="array" aca="1" ref="O39" ca="1">SUMPRODUCT((PlayerGameData[Visible]=1)*(PlayerGameData[PLAYER, '#]=$A39)*(PlayerGameData[STL]))</f>
        <v>0</v>
      </c>
      <c r="P39" s="311" cm="1">
        <f t="array" aca="1" ref="P39" ca="1">SUMPRODUCT((PlayerGameData[Visible]=1)*(PlayerGameData[PLAYER, '#]=$A39)*(PlayerGameData[BLK]))</f>
        <v>0</v>
      </c>
      <c r="Q39" s="311" cm="1">
        <f t="array" aca="1" ref="Q39" ca="1">SUMPRODUCT((PlayerGameData[Visible]=1)*(PlayerGameData[PLAYER, '#]=$A39)*(PlayerGameData[TO]))</f>
        <v>0</v>
      </c>
      <c r="R39" s="311" cm="1">
        <f t="array" aca="1" ref="R39" ca="1">SUMPRODUCT((PlayerGameData[Visible]=1)*(PlayerGameData[PLAYER, '#]=$A39)*(PlayerGameData[FOUL]))</f>
        <v>0</v>
      </c>
      <c r="S39" s="313" cm="1">
        <f t="array" aca="1" ref="S39" ca="1">SUMPRODUCT((PlayerGameData[Visible]=1)*(PlayerGameData[PLAYER, '#]=$A39)*(PlayerGameData[CHRG TKN]))</f>
        <v>0</v>
      </c>
      <c r="T39" s="20">
        <f ca="1">IF(I39+2*G39+3*E39&gt;0,I39+2*G39+3*E39,0)</f>
        <v>0</v>
      </c>
      <c r="U39" s="21" t="str">
        <f ca="1">IF(F39&gt;0,E39/F39,"")</f>
        <v/>
      </c>
      <c r="V39" s="21" t="str">
        <f ca="1">IF(H39&gt;0,G39/H39,"")</f>
        <v/>
      </c>
      <c r="W39" s="22" t="str">
        <f ca="1">IF(J39&gt;0,I39/J39,"")</f>
        <v/>
      </c>
      <c r="X39" s="21" t="str">
        <f ca="1">IF(OR(F39&gt;0,H39 &gt;0),(E39+G39)/(F39+H39),"")</f>
        <v/>
      </c>
      <c r="Y39" s="23" t="str">
        <f ca="1">IF(OR(F39&gt;0,H39 &gt;0),(1.5*E39+G39)/(F39+H39),"")</f>
        <v/>
      </c>
      <c r="Z39" s="184"/>
      <c r="AA39" s="365"/>
      <c r="AB39" s="366" t="s">
        <v>340</v>
      </c>
      <c r="AC39" s="366" t="s">
        <v>341</v>
      </c>
      <c r="AD39" s="366" t="s">
        <v>342</v>
      </c>
      <c r="AE39" s="366" t="s">
        <v>343</v>
      </c>
      <c r="AF39" s="367" t="s">
        <v>344</v>
      </c>
      <c r="AG39" s="184"/>
      <c r="AH39" s="184"/>
      <c r="AI39" s="184"/>
      <c r="AJ39" s="59" t="str">
        <f>IF(OR(Roster!$A25&lt;&gt;"",Roster!$B25&lt;&gt;""),CONCATENATE(PROPER(Roster!$B25),", ",Roster!$A25),"")</f>
        <v/>
      </c>
      <c r="AK39" s="308" cm="1">
        <f t="array" aca="1" ref="AK39" ca="1">SUMPRODUCT((PlayerGameData[Visible]=1)*(PlayerGameData[PLAYER, '#]=$A39)*(PlayerGameData[START]))</f>
        <v>0</v>
      </c>
      <c r="AL39" s="309" cm="1">
        <f t="array" aca="1" ref="AL39" ca="1">SUMPRODUCT((PlayerGameData[Visible]=1)*(PlayerGameData[PLAYER, '#]=$A39)*(PlayerGameData[GP]))</f>
        <v>0</v>
      </c>
      <c r="AM39" s="310" cm="1">
        <f t="array" aca="1" ref="AM39" ca="1">SUMPRODUCT((PlayerGameData[Visible]=1)*(PlayerGameData[PLAYER, '#]=$A39)*(PlayerGameData[MINUTES]))</f>
        <v>0</v>
      </c>
      <c r="AN39" s="311" cm="1">
        <f t="array" aca="1" ref="AN39" ca="1">SUMPRODUCT((PlayerGameData[Visible]=1)*(PlayerGameData[PLAYER, '#]=$A39)*(PlayerGameData[3FGM]))</f>
        <v>0</v>
      </c>
      <c r="AO39" s="312" cm="1">
        <f t="array" aca="1" ref="AO39" ca="1">SUMPRODUCT((PlayerGameData[Visible]=1)*(PlayerGameData[PLAYER, '#]=$A39)*(PlayerGameData[3FGA]))</f>
        <v>0</v>
      </c>
      <c r="AP39" s="311" cm="1">
        <f t="array" aca="1" ref="AP39" ca="1">SUMPRODUCT((PlayerGameData[Visible]=1)*(PlayerGameData[PLAYER, '#]=$A39)*(PlayerGameData[2FGM]))</f>
        <v>0</v>
      </c>
      <c r="AQ39" s="312" cm="1">
        <f t="array" aca="1" ref="AQ39" ca="1">SUMPRODUCT((PlayerGameData[Visible]=1)*(PlayerGameData[PLAYER, '#]=$A39)*(PlayerGameData[2FGA]))</f>
        <v>0</v>
      </c>
      <c r="AR39" s="311" cm="1">
        <f t="array" aca="1" ref="AR39" ca="1">SUMPRODUCT((PlayerGameData[Visible]=1)*(PlayerGameData[PLAYER, '#]=$A39)*(PlayerGameData[FTM]))</f>
        <v>0</v>
      </c>
      <c r="AS39" s="312" cm="1">
        <f t="array" aca="1" ref="AS39" ca="1">SUMPRODUCT((PlayerGameData[Visible]=1)*(PlayerGameData[PLAYER, '#]=$A39)*(PlayerGameData[FTA]))</f>
        <v>0</v>
      </c>
      <c r="AT39" s="311" cm="1">
        <f t="array" aca="1" ref="AT39" ca="1">SUMPRODUCT((PlayerGameData[Visible]=1)*(PlayerGameData[PLAYER, '#]=$A39)*(PlayerGameData[OFF REB]))</f>
        <v>0</v>
      </c>
      <c r="AU39" s="311" cm="1">
        <f t="array" aca="1" ref="AU39" ca="1">SUMPRODUCT((PlayerGameData[Visible]=1)*(PlayerGameData[PLAYER, '#]=$A39)*(PlayerGameData[DEF REB]))</f>
        <v>0</v>
      </c>
      <c r="AV39" s="312">
        <f ca="1">AT39+AU39</f>
        <v>0</v>
      </c>
      <c r="AW39" s="311" cm="1">
        <f t="array" aca="1" ref="AW39" ca="1">SUMPRODUCT((PlayerGameData[Visible]=1)*(PlayerGameData[PLAYER, '#]=$A39)*(PlayerGameData[AST]))</f>
        <v>0</v>
      </c>
      <c r="AX39" s="311" cm="1">
        <f t="array" aca="1" ref="AX39" ca="1">SUMPRODUCT((PlayerGameData[Visible]=1)*(PlayerGameData[PLAYER, '#]=$A39)*(PlayerGameData[STL]))</f>
        <v>0</v>
      </c>
      <c r="AY39" s="311" cm="1">
        <f t="array" aca="1" ref="AY39" ca="1">SUMPRODUCT((PlayerGameData[Visible]=1)*(PlayerGameData[PLAYER, '#]=$A39)*(PlayerGameData[BLK]))</f>
        <v>0</v>
      </c>
      <c r="AZ39" s="311" cm="1">
        <f t="array" aca="1" ref="AZ39" ca="1">SUMPRODUCT((PlayerGameData[Visible]=1)*(PlayerGameData[PLAYER, '#]=$A39)*(PlayerGameData[TO]))</f>
        <v>0</v>
      </c>
      <c r="BA39" s="311" cm="1">
        <f t="array" aca="1" ref="BA39" ca="1">SUMPRODUCT((PlayerGameData[Visible]=1)*(PlayerGameData[PLAYER, '#]=$A39)*(PlayerGameData[FOUL]))</f>
        <v>0</v>
      </c>
      <c r="BB39" s="313" cm="1">
        <f t="array" aca="1" ref="BB39" ca="1">SUMPRODUCT((PlayerGameData[Visible]=1)*(PlayerGameData[PLAYER, '#]=$A39)*(PlayerGameData[CHRG TKN]))</f>
        <v>0</v>
      </c>
      <c r="BC39" s="20">
        <f t="shared" ref="BC39" ca="1" si="40">IF(AR39+2*AP39+3*AN39&gt;0,AR39+2*AP39+3*AN39,0)</f>
        <v>0</v>
      </c>
      <c r="BD39" s="21" t="str">
        <f ca="1">IF(AO39&gt;0,AN39/AO39,"")</f>
        <v/>
      </c>
      <c r="BE39" s="21" t="str">
        <f ca="1">IF(AQ39&gt;0,AP39/AQ39,"")</f>
        <v/>
      </c>
      <c r="BF39" s="22" t="str">
        <f ca="1">IF(AS39&gt;0,AR39/AS39,"")</f>
        <v/>
      </c>
      <c r="BG39" s="21" t="str">
        <f ca="1">IF(OR(AO39&gt;0,AQ39 &gt;0),(AN39+AP39)/(AO39+AQ39),"")</f>
        <v/>
      </c>
      <c r="BH39" s="23" t="str">
        <f ca="1">IF(OR(AO39&gt;0,AQ39 &gt;0),(1.5*AN39+AP39)/(AO39+AQ39),"")</f>
        <v/>
      </c>
      <c r="BI39" s="184"/>
      <c r="BJ39" s="184"/>
      <c r="BK39" s="184"/>
      <c r="BL39" s="184"/>
      <c r="BM39" s="184"/>
      <c r="BN39" s="184"/>
      <c r="BO39" s="184"/>
      <c r="BP39" s="184"/>
      <c r="BQ39" s="184"/>
      <c r="BR39" s="184"/>
      <c r="BS39" s="184"/>
      <c r="BT39" s="184"/>
      <c r="CA39" s="51">
        <f t="shared" ca="1" si="2"/>
        <v>0</v>
      </c>
      <c r="CB39" s="51">
        <f t="shared" ca="1" si="2"/>
        <v>0</v>
      </c>
      <c r="CC39" s="51"/>
      <c r="CD39" s="51"/>
      <c r="CE39" s="51"/>
      <c r="CF39" s="51"/>
      <c r="CG39" s="51"/>
      <c r="CH39" s="51"/>
      <c r="CI39" s="51"/>
      <c r="CJ39" s="51"/>
      <c r="CK39" s="51"/>
      <c r="CL39" s="51"/>
      <c r="CM39" s="51"/>
      <c r="CN39" s="292"/>
      <c r="CO39" s="51"/>
      <c r="CP39" s="51"/>
    </row>
    <row r="40" spans="1:94" s="18" customFormat="1" ht="16.5" x14ac:dyDescent="0.3">
      <c r="A40" s="188" t="str">
        <f>IF(A39&lt;&gt;"","Per Game","")</f>
        <v/>
      </c>
      <c r="B40" s="294"/>
      <c r="C40" s="295"/>
      <c r="D40" s="296" t="str">
        <f ca="1">IFERROR(ROUND(D39/$C39,1),"")</f>
        <v/>
      </c>
      <c r="E40" s="300" t="str">
        <f t="shared" ref="E40:T40" ca="1" si="41">IFERROR(ROUND(E39/$C39,1),"")</f>
        <v/>
      </c>
      <c r="F40" s="301" t="str">
        <f t="shared" ca="1" si="41"/>
        <v/>
      </c>
      <c r="G40" s="300" t="str">
        <f t="shared" ca="1" si="41"/>
        <v/>
      </c>
      <c r="H40" s="301" t="str">
        <f t="shared" ca="1" si="41"/>
        <v/>
      </c>
      <c r="I40" s="300" t="str">
        <f t="shared" ca="1" si="41"/>
        <v/>
      </c>
      <c r="J40" s="301" t="str">
        <f t="shared" ca="1" si="41"/>
        <v/>
      </c>
      <c r="K40" s="300" t="str">
        <f t="shared" ca="1" si="41"/>
        <v/>
      </c>
      <c r="L40" s="300" t="str">
        <f t="shared" ca="1" si="41"/>
        <v/>
      </c>
      <c r="M40" s="301" t="str">
        <f t="shared" ca="1" si="41"/>
        <v/>
      </c>
      <c r="N40" s="300" t="str">
        <f t="shared" ca="1" si="41"/>
        <v/>
      </c>
      <c r="O40" s="300" t="str">
        <f t="shared" ca="1" si="41"/>
        <v/>
      </c>
      <c r="P40" s="300" t="str">
        <f t="shared" ca="1" si="41"/>
        <v/>
      </c>
      <c r="Q40" s="300" t="str">
        <f t="shared" ca="1" si="41"/>
        <v/>
      </c>
      <c r="R40" s="300" t="str">
        <f t="shared" ca="1" si="41"/>
        <v/>
      </c>
      <c r="S40" s="302" t="str">
        <f t="shared" ca="1" si="41"/>
        <v/>
      </c>
      <c r="T40" s="60" t="str">
        <f t="shared" ca="1" si="41"/>
        <v/>
      </c>
      <c r="U40" s="25"/>
      <c r="V40" s="25"/>
      <c r="W40" s="26"/>
      <c r="X40" s="25"/>
      <c r="Y40" s="27"/>
      <c r="Z40" s="184"/>
      <c r="AA40" s="368" t="s">
        <v>124</v>
      </c>
      <c r="AB40" s="369">
        <f ca="1">F51+H51+(J51/2)+Q51-K51</f>
        <v>1600.5</v>
      </c>
      <c r="AC40" s="373">
        <f ca="1">AB40/C51</f>
        <v>61.557692307692307</v>
      </c>
      <c r="AD40" s="373">
        <f ca="1">T51/AB40</f>
        <v>0.97469540768509844</v>
      </c>
      <c r="AE40" s="373">
        <f ca="1">K51/AB40</f>
        <v>0.21055920024992189</v>
      </c>
      <c r="AF40" s="374">
        <f ca="1">L51/AB41</f>
        <v>0.30030959752321984</v>
      </c>
      <c r="AG40" s="184"/>
      <c r="AH40" s="184"/>
      <c r="AI40" s="184"/>
      <c r="AJ40" s="188" t="str">
        <f>IF(AJ39&lt;&gt;"","Per Minute","")</f>
        <v/>
      </c>
      <c r="AK40" s="294"/>
      <c r="AL40" s="295"/>
      <c r="AM40" s="296" t="str">
        <f ca="1">IFERROR(ROUND(AM39/$C39,1),"")</f>
        <v/>
      </c>
      <c r="AN40" s="300" t="str">
        <f t="shared" ref="AN40:BC40" ca="1" si="42">IFERROR(ROUND(AN39/$D39,1),"")</f>
        <v/>
      </c>
      <c r="AO40" s="301" t="str">
        <f t="shared" ca="1" si="42"/>
        <v/>
      </c>
      <c r="AP40" s="300" t="str">
        <f t="shared" ca="1" si="42"/>
        <v/>
      </c>
      <c r="AQ40" s="301" t="str">
        <f t="shared" ca="1" si="42"/>
        <v/>
      </c>
      <c r="AR40" s="300" t="str">
        <f t="shared" ca="1" si="42"/>
        <v/>
      </c>
      <c r="AS40" s="301" t="str">
        <f t="shared" ca="1" si="42"/>
        <v/>
      </c>
      <c r="AT40" s="300" t="str">
        <f t="shared" ca="1" si="42"/>
        <v/>
      </c>
      <c r="AU40" s="300" t="str">
        <f t="shared" ca="1" si="42"/>
        <v/>
      </c>
      <c r="AV40" s="301" t="str">
        <f t="shared" ca="1" si="42"/>
        <v/>
      </c>
      <c r="AW40" s="300" t="str">
        <f t="shared" ca="1" si="42"/>
        <v/>
      </c>
      <c r="AX40" s="300" t="str">
        <f t="shared" ca="1" si="42"/>
        <v/>
      </c>
      <c r="AY40" s="300" t="str">
        <f t="shared" ca="1" si="42"/>
        <v/>
      </c>
      <c r="AZ40" s="300" t="str">
        <f t="shared" ca="1" si="42"/>
        <v/>
      </c>
      <c r="BA40" s="300" t="str">
        <f t="shared" ca="1" si="42"/>
        <v/>
      </c>
      <c r="BB40" s="302" t="str">
        <f t="shared" ca="1" si="42"/>
        <v/>
      </c>
      <c r="BC40" s="24" t="str">
        <f t="shared" ca="1" si="42"/>
        <v/>
      </c>
      <c r="BD40" s="25"/>
      <c r="BE40" s="25"/>
      <c r="BF40" s="26"/>
      <c r="BG40" s="25"/>
      <c r="BH40" s="27"/>
      <c r="BI40" s="184"/>
      <c r="BJ40" s="184"/>
      <c r="BK40" s="184"/>
      <c r="BL40" s="184"/>
      <c r="BM40" s="184"/>
      <c r="BN40" s="184"/>
      <c r="BO40" s="184"/>
      <c r="BP40" s="184"/>
      <c r="BQ40" s="184"/>
      <c r="BR40" s="184"/>
      <c r="BS40" s="184"/>
      <c r="BT40" s="184"/>
      <c r="CA40" s="51" t="e">
        <f t="shared" ca="1" si="2"/>
        <v>#VALUE!</v>
      </c>
      <c r="CB40" s="51" t="e">
        <f t="shared" ca="1" si="2"/>
        <v>#VALUE!</v>
      </c>
      <c r="CC40" s="51"/>
      <c r="CD40" s="51"/>
      <c r="CE40" s="51"/>
      <c r="CF40" s="51"/>
      <c r="CG40" s="51"/>
      <c r="CH40" s="51"/>
      <c r="CI40" s="51"/>
      <c r="CJ40" s="51"/>
      <c r="CK40" s="51"/>
      <c r="CL40" s="51"/>
      <c r="CM40" s="51"/>
      <c r="CN40" s="51"/>
      <c r="CO40" s="51"/>
      <c r="CP40" s="51"/>
    </row>
    <row r="41" spans="1:94" s="18" customFormat="1" ht="16.5" x14ac:dyDescent="0.3">
      <c r="A41" s="59" t="str">
        <f>IF(OR(Roster!$A26&lt;&gt;"",Roster!$B26&lt;&gt;""),CONCATENATE(PROPER(Roster!$B26),", ",Roster!$A26),"")</f>
        <v/>
      </c>
      <c r="B41" s="286" cm="1">
        <f t="array" aca="1" ref="B41" ca="1">SUMPRODUCT((PlayerGameData[Visible]=1)*(PlayerGameData[PLAYER, '#]=$A41)*(PlayerGameData[START]))</f>
        <v>0</v>
      </c>
      <c r="C41" s="287" cm="1">
        <f t="array" aca="1" ref="C41" ca="1">SUMPRODUCT((PlayerGameData[Visible]=1)*(PlayerGameData[PLAYER, '#]=$A41)*(PlayerGameData[GP]))</f>
        <v>0</v>
      </c>
      <c r="D41" s="288" cm="1">
        <f t="array" aca="1" ref="D41" ca="1">SUMPRODUCT((PlayerGameData[Visible]=1)*(PlayerGameData[PLAYER, '#]=$A41)*(PlayerGameData[MINUTES]))</f>
        <v>0</v>
      </c>
      <c r="E41" s="289" cm="1">
        <f t="array" aca="1" ref="E41" ca="1">SUMPRODUCT((PlayerGameData[Visible]=1)*(PlayerGameData[PLAYER, '#]=$A41)*(PlayerGameData[3FGM]))</f>
        <v>0</v>
      </c>
      <c r="F41" s="290" cm="1">
        <f t="array" aca="1" ref="F41" ca="1">SUMPRODUCT((PlayerGameData[Visible]=1)*(PlayerGameData[PLAYER, '#]=$A41)*(PlayerGameData[3FGA]))</f>
        <v>0</v>
      </c>
      <c r="G41" s="289" cm="1">
        <f t="array" aca="1" ref="G41" ca="1">SUMPRODUCT((PlayerGameData[Visible]=1)*(PlayerGameData[PLAYER, '#]=$A41)*(PlayerGameData[2FGM]))</f>
        <v>0</v>
      </c>
      <c r="H41" s="290" cm="1">
        <f t="array" aca="1" ref="H41" ca="1">SUMPRODUCT((PlayerGameData[Visible]=1)*(PlayerGameData[PLAYER, '#]=$A41)*(PlayerGameData[2FGA]))</f>
        <v>0</v>
      </c>
      <c r="I41" s="289" cm="1">
        <f t="array" aca="1" ref="I41" ca="1">SUMPRODUCT((PlayerGameData[Visible]=1)*(PlayerGameData[PLAYER, '#]=$A41)*(PlayerGameData[FTM]))</f>
        <v>0</v>
      </c>
      <c r="J41" s="290" cm="1">
        <f t="array" aca="1" ref="J41" ca="1">SUMPRODUCT((PlayerGameData[Visible]=1)*(PlayerGameData[PLAYER, '#]=$A41)*(PlayerGameData[FTA]))</f>
        <v>0</v>
      </c>
      <c r="K41" s="289" cm="1">
        <f t="array" aca="1" ref="K41" ca="1">SUMPRODUCT((PlayerGameData[Visible]=1)*(PlayerGameData[PLAYER, '#]=$A41)*(PlayerGameData[OFF REB]))</f>
        <v>0</v>
      </c>
      <c r="L41" s="289" cm="1">
        <f t="array" aca="1" ref="L41" ca="1">SUMPRODUCT((PlayerGameData[Visible]=1)*(PlayerGameData[PLAYER, '#]=$A41)*(PlayerGameData[DEF REB]))</f>
        <v>0</v>
      </c>
      <c r="M41" s="290">
        <f ca="1">K41+L41</f>
        <v>0</v>
      </c>
      <c r="N41" s="289" cm="1">
        <f t="array" aca="1" ref="N41" ca="1">SUMPRODUCT((PlayerGameData[Visible]=1)*(PlayerGameData[PLAYER, '#]=$A41)*(PlayerGameData[AST]))</f>
        <v>0</v>
      </c>
      <c r="O41" s="289" cm="1">
        <f t="array" aca="1" ref="O41" ca="1">SUMPRODUCT((PlayerGameData[Visible]=1)*(PlayerGameData[PLAYER, '#]=$A41)*(PlayerGameData[STL]))</f>
        <v>0</v>
      </c>
      <c r="P41" s="289" cm="1">
        <f t="array" aca="1" ref="P41" ca="1">SUMPRODUCT((PlayerGameData[Visible]=1)*(PlayerGameData[PLAYER, '#]=$A41)*(PlayerGameData[BLK]))</f>
        <v>0</v>
      </c>
      <c r="Q41" s="289" cm="1">
        <f t="array" aca="1" ref="Q41" ca="1">SUMPRODUCT((PlayerGameData[Visible]=1)*(PlayerGameData[PLAYER, '#]=$A41)*(PlayerGameData[TO]))</f>
        <v>0</v>
      </c>
      <c r="R41" s="289" cm="1">
        <f t="array" aca="1" ref="R41" ca="1">SUMPRODUCT((PlayerGameData[Visible]=1)*(PlayerGameData[PLAYER, '#]=$A41)*(PlayerGameData[FOUL]))</f>
        <v>0</v>
      </c>
      <c r="S41" s="291" cm="1">
        <f t="array" aca="1" ref="S41" ca="1">SUMPRODUCT((PlayerGameData[Visible]=1)*(PlayerGameData[PLAYER, '#]=$A41)*(PlayerGameData[CHRG TKN]))</f>
        <v>0</v>
      </c>
      <c r="T41" s="28">
        <f ca="1">IF(I41+2*G41+3*E41&gt;0,I41+2*G41+3*E41,0)</f>
        <v>0</v>
      </c>
      <c r="U41" s="29" t="str">
        <f ca="1">IF(F41&gt;0,E41/F41,"")</f>
        <v/>
      </c>
      <c r="V41" s="29" t="str">
        <f ca="1">IF(H41&gt;0,G41/H41,"")</f>
        <v/>
      </c>
      <c r="W41" s="30" t="str">
        <f ca="1">IF(J41&gt;0,I41/J41,"")</f>
        <v/>
      </c>
      <c r="X41" s="29" t="str">
        <f ca="1">IF(OR(F41&gt;0,H41 &gt;0),(E41+G41)/(F41+H41),"")</f>
        <v/>
      </c>
      <c r="Y41" s="31" t="str">
        <f ca="1">IF(OR(F41&gt;0,H41 &gt;0),(1.5*E41+G41)/(F41+H41),"")</f>
        <v/>
      </c>
      <c r="Z41" s="184"/>
      <c r="AA41" s="368" t="s">
        <v>187</v>
      </c>
      <c r="AB41" s="369">
        <f ca="1">F52+H52+(J52/2)+Q52-K52</f>
        <v>1615</v>
      </c>
      <c r="AC41" s="369">
        <f ca="1">AB41/C52</f>
        <v>62.115384615384613</v>
      </c>
      <c r="AD41" s="373">
        <f ca="1">T52/AB41</f>
        <v>0.65325077399380804</v>
      </c>
      <c r="AE41" s="373">
        <f ca="1">K52/AB41</f>
        <v>0.11702786377708978</v>
      </c>
      <c r="AF41" s="374">
        <f ca="1">L52/AB40</f>
        <v>0.27741330834114342</v>
      </c>
      <c r="AG41" s="184"/>
      <c r="AH41" s="184"/>
      <c r="AI41" s="184"/>
      <c r="AJ41" s="59" t="str">
        <f>IF(OR(Roster!$A26&lt;&gt;"",Roster!$B26&lt;&gt;""),CONCATENATE(PROPER(Roster!$B26),", ",Roster!$A26),"")</f>
        <v/>
      </c>
      <c r="AK41" s="286" cm="1">
        <f t="array" aca="1" ref="AK41" ca="1">SUMPRODUCT((PlayerGameData[Visible]=1)*(PlayerGameData[PLAYER, '#]=$A41)*(PlayerGameData[START]))</f>
        <v>0</v>
      </c>
      <c r="AL41" s="287" cm="1">
        <f t="array" aca="1" ref="AL41" ca="1">SUMPRODUCT((PlayerGameData[Visible]=1)*(PlayerGameData[PLAYER, '#]=$A41)*(PlayerGameData[GP]))</f>
        <v>0</v>
      </c>
      <c r="AM41" s="288" cm="1">
        <f t="array" aca="1" ref="AM41" ca="1">SUMPRODUCT((PlayerGameData[Visible]=1)*(PlayerGameData[PLAYER, '#]=$A41)*(PlayerGameData[MINUTES]))</f>
        <v>0</v>
      </c>
      <c r="AN41" s="289" cm="1">
        <f t="array" aca="1" ref="AN41" ca="1">SUMPRODUCT((PlayerGameData[Visible]=1)*(PlayerGameData[PLAYER, '#]=$A41)*(PlayerGameData[3FGM]))</f>
        <v>0</v>
      </c>
      <c r="AO41" s="290" cm="1">
        <f t="array" aca="1" ref="AO41" ca="1">SUMPRODUCT((PlayerGameData[Visible]=1)*(PlayerGameData[PLAYER, '#]=$A41)*(PlayerGameData[3FGA]))</f>
        <v>0</v>
      </c>
      <c r="AP41" s="289" cm="1">
        <f t="array" aca="1" ref="AP41" ca="1">SUMPRODUCT((PlayerGameData[Visible]=1)*(PlayerGameData[PLAYER, '#]=$A41)*(PlayerGameData[2FGM]))</f>
        <v>0</v>
      </c>
      <c r="AQ41" s="290" cm="1">
        <f t="array" aca="1" ref="AQ41" ca="1">SUMPRODUCT((PlayerGameData[Visible]=1)*(PlayerGameData[PLAYER, '#]=$A41)*(PlayerGameData[2FGA]))</f>
        <v>0</v>
      </c>
      <c r="AR41" s="289" cm="1">
        <f t="array" aca="1" ref="AR41" ca="1">SUMPRODUCT((PlayerGameData[Visible]=1)*(PlayerGameData[PLAYER, '#]=$A41)*(PlayerGameData[FTM]))</f>
        <v>0</v>
      </c>
      <c r="AS41" s="290" cm="1">
        <f t="array" aca="1" ref="AS41" ca="1">SUMPRODUCT((PlayerGameData[Visible]=1)*(PlayerGameData[PLAYER, '#]=$A41)*(PlayerGameData[FTA]))</f>
        <v>0</v>
      </c>
      <c r="AT41" s="289" cm="1">
        <f t="array" aca="1" ref="AT41" ca="1">SUMPRODUCT((PlayerGameData[Visible]=1)*(PlayerGameData[PLAYER, '#]=$A41)*(PlayerGameData[OFF REB]))</f>
        <v>0</v>
      </c>
      <c r="AU41" s="289" cm="1">
        <f t="array" aca="1" ref="AU41" ca="1">SUMPRODUCT((PlayerGameData[Visible]=1)*(PlayerGameData[PLAYER, '#]=$A41)*(PlayerGameData[DEF REB]))</f>
        <v>0</v>
      </c>
      <c r="AV41" s="290">
        <f ca="1">AT41+AU41</f>
        <v>0</v>
      </c>
      <c r="AW41" s="289" cm="1">
        <f t="array" aca="1" ref="AW41" ca="1">SUMPRODUCT((PlayerGameData[Visible]=1)*(PlayerGameData[PLAYER, '#]=$A41)*(PlayerGameData[AST]))</f>
        <v>0</v>
      </c>
      <c r="AX41" s="289" cm="1">
        <f t="array" aca="1" ref="AX41" ca="1">SUMPRODUCT((PlayerGameData[Visible]=1)*(PlayerGameData[PLAYER, '#]=$A41)*(PlayerGameData[STL]))</f>
        <v>0</v>
      </c>
      <c r="AY41" s="289" cm="1">
        <f t="array" aca="1" ref="AY41" ca="1">SUMPRODUCT((PlayerGameData[Visible]=1)*(PlayerGameData[PLAYER, '#]=$A41)*(PlayerGameData[BLK]))</f>
        <v>0</v>
      </c>
      <c r="AZ41" s="289" cm="1">
        <f t="array" aca="1" ref="AZ41" ca="1">SUMPRODUCT((PlayerGameData[Visible]=1)*(PlayerGameData[PLAYER, '#]=$A41)*(PlayerGameData[TO]))</f>
        <v>0</v>
      </c>
      <c r="BA41" s="289" cm="1">
        <f t="array" aca="1" ref="BA41" ca="1">SUMPRODUCT((PlayerGameData[Visible]=1)*(PlayerGameData[PLAYER, '#]=$A41)*(PlayerGameData[FOUL]))</f>
        <v>0</v>
      </c>
      <c r="BB41" s="291" cm="1">
        <f t="array" aca="1" ref="BB41" ca="1">SUMPRODUCT((PlayerGameData[Visible]=1)*(PlayerGameData[PLAYER, '#]=$A41)*(PlayerGameData[CHRG TKN]))</f>
        <v>0</v>
      </c>
      <c r="BC41" s="28">
        <f t="shared" ref="BC41" ca="1" si="43">IF(AR41+2*AP41+3*AN41&gt;0,AR41+2*AP41+3*AN41,0)</f>
        <v>0</v>
      </c>
      <c r="BD41" s="29" t="str">
        <f ca="1">IF(AO41&gt;0,AN41/AO41,"")</f>
        <v/>
      </c>
      <c r="BE41" s="29" t="str">
        <f ca="1">IF(AQ41&gt;0,AP41/AQ41,"")</f>
        <v/>
      </c>
      <c r="BF41" s="30" t="str">
        <f ca="1">IF(AS41&gt;0,AR41/AS41,"")</f>
        <v/>
      </c>
      <c r="BG41" s="29" t="str">
        <f ca="1">IF(OR(AO41&gt;0,AQ41 &gt;0),(AN41+AP41)/(AO41+AQ41),"")</f>
        <v/>
      </c>
      <c r="BH41" s="31" t="str">
        <f ca="1">IF(OR(AO41&gt;0,AQ41 &gt;0),(1.5*AN41+AP41)/(AO41+AQ41),"")</f>
        <v/>
      </c>
      <c r="BI41" s="184"/>
      <c r="BJ41" s="184"/>
      <c r="BK41" s="184"/>
      <c r="BL41" s="184"/>
      <c r="BM41" s="184"/>
      <c r="BN41" s="184"/>
      <c r="BO41" s="184"/>
      <c r="BP41" s="184"/>
      <c r="BQ41" s="184"/>
      <c r="BR41" s="184"/>
      <c r="BS41" s="184"/>
      <c r="BT41" s="184"/>
      <c r="CA41" s="51">
        <f t="shared" ca="1" si="2"/>
        <v>0</v>
      </c>
      <c r="CB41" s="51">
        <f t="shared" ca="1" si="2"/>
        <v>0</v>
      </c>
      <c r="CC41" s="51"/>
      <c r="CD41" s="51"/>
      <c r="CE41" s="51"/>
      <c r="CF41" s="51"/>
      <c r="CG41" s="51"/>
      <c r="CH41" s="51"/>
      <c r="CI41" s="51"/>
      <c r="CJ41" s="51"/>
      <c r="CK41" s="51"/>
      <c r="CL41" s="51"/>
      <c r="CM41" s="51"/>
      <c r="CN41" s="51"/>
      <c r="CO41" s="51"/>
      <c r="CP41" s="51"/>
    </row>
    <row r="42" spans="1:94" s="18" customFormat="1" ht="16.5" x14ac:dyDescent="0.3">
      <c r="A42" s="188" t="str">
        <f>IF(A41&lt;&gt;"","Per Game","")</f>
        <v/>
      </c>
      <c r="B42" s="294"/>
      <c r="C42" s="295"/>
      <c r="D42" s="296" t="str">
        <f ca="1">IFERROR(ROUND(D41/$C41,1),"")</f>
        <v/>
      </c>
      <c r="E42" s="300" t="str">
        <f t="shared" ref="E42:T42" ca="1" si="44">IFERROR(ROUND(E41/$C41,1),"")</f>
        <v/>
      </c>
      <c r="F42" s="301" t="str">
        <f t="shared" ca="1" si="44"/>
        <v/>
      </c>
      <c r="G42" s="300" t="str">
        <f t="shared" ca="1" si="44"/>
        <v/>
      </c>
      <c r="H42" s="301" t="str">
        <f t="shared" ca="1" si="44"/>
        <v/>
      </c>
      <c r="I42" s="300" t="str">
        <f t="shared" ca="1" si="44"/>
        <v/>
      </c>
      <c r="J42" s="301" t="str">
        <f t="shared" ca="1" si="44"/>
        <v/>
      </c>
      <c r="K42" s="300" t="str">
        <f t="shared" ca="1" si="44"/>
        <v/>
      </c>
      <c r="L42" s="300" t="str">
        <f t="shared" ca="1" si="44"/>
        <v/>
      </c>
      <c r="M42" s="301" t="str">
        <f t="shared" ca="1" si="44"/>
        <v/>
      </c>
      <c r="N42" s="300" t="str">
        <f t="shared" ca="1" si="44"/>
        <v/>
      </c>
      <c r="O42" s="300" t="str">
        <f t="shared" ca="1" si="44"/>
        <v/>
      </c>
      <c r="P42" s="300" t="str">
        <f t="shared" ca="1" si="44"/>
        <v/>
      </c>
      <c r="Q42" s="300" t="str">
        <f t="shared" ca="1" si="44"/>
        <v/>
      </c>
      <c r="R42" s="300" t="str">
        <f t="shared" ca="1" si="44"/>
        <v/>
      </c>
      <c r="S42" s="302" t="str">
        <f t="shared" ca="1" si="44"/>
        <v/>
      </c>
      <c r="T42" s="60" t="str">
        <f t="shared" ca="1" si="44"/>
        <v/>
      </c>
      <c r="U42" s="25"/>
      <c r="V42" s="25"/>
      <c r="W42" s="26"/>
      <c r="X42" s="25"/>
      <c r="Y42" s="27"/>
      <c r="Z42" s="184"/>
      <c r="AA42" s="365"/>
      <c r="AB42" s="366" t="s">
        <v>345</v>
      </c>
      <c r="AC42" s="366" t="s">
        <v>346</v>
      </c>
      <c r="AD42" s="366" t="s">
        <v>347</v>
      </c>
      <c r="AE42" s="366" t="s">
        <v>348</v>
      </c>
      <c r="AF42" s="367" t="s">
        <v>349</v>
      </c>
      <c r="AG42" s="184"/>
      <c r="AH42" s="184"/>
      <c r="AI42" s="184"/>
      <c r="AJ42" s="188" t="str">
        <f>IF(AJ41&lt;&gt;"","Per Minute","")</f>
        <v/>
      </c>
      <c r="AK42" s="294"/>
      <c r="AL42" s="295"/>
      <c r="AM42" s="296" t="str">
        <f ca="1">IFERROR(ROUND(AM41/$C41,1),"")</f>
        <v/>
      </c>
      <c r="AN42" s="300" t="str">
        <f t="shared" ref="AN42:BC42" ca="1" si="45">IFERROR(ROUND(AN41/$D41,1),"")</f>
        <v/>
      </c>
      <c r="AO42" s="301" t="str">
        <f t="shared" ca="1" si="45"/>
        <v/>
      </c>
      <c r="AP42" s="300" t="str">
        <f t="shared" ca="1" si="45"/>
        <v/>
      </c>
      <c r="AQ42" s="301" t="str">
        <f t="shared" ca="1" si="45"/>
        <v/>
      </c>
      <c r="AR42" s="300" t="str">
        <f t="shared" ca="1" si="45"/>
        <v/>
      </c>
      <c r="AS42" s="301" t="str">
        <f t="shared" ca="1" si="45"/>
        <v/>
      </c>
      <c r="AT42" s="300" t="str">
        <f t="shared" ca="1" si="45"/>
        <v/>
      </c>
      <c r="AU42" s="300" t="str">
        <f t="shared" ca="1" si="45"/>
        <v/>
      </c>
      <c r="AV42" s="301" t="str">
        <f t="shared" ca="1" si="45"/>
        <v/>
      </c>
      <c r="AW42" s="300" t="str">
        <f t="shared" ca="1" si="45"/>
        <v/>
      </c>
      <c r="AX42" s="300" t="str">
        <f t="shared" ca="1" si="45"/>
        <v/>
      </c>
      <c r="AY42" s="300" t="str">
        <f t="shared" ca="1" si="45"/>
        <v/>
      </c>
      <c r="AZ42" s="300" t="str">
        <f t="shared" ca="1" si="45"/>
        <v/>
      </c>
      <c r="BA42" s="300" t="str">
        <f t="shared" ca="1" si="45"/>
        <v/>
      </c>
      <c r="BB42" s="302" t="str">
        <f t="shared" ca="1" si="45"/>
        <v/>
      </c>
      <c r="BC42" s="24" t="str">
        <f t="shared" ca="1" si="45"/>
        <v/>
      </c>
      <c r="BD42" s="25"/>
      <c r="BE42" s="25"/>
      <c r="BF42" s="26"/>
      <c r="BG42" s="25"/>
      <c r="BH42" s="27"/>
      <c r="BI42" s="184"/>
      <c r="BJ42" s="184"/>
      <c r="BK42" s="184"/>
      <c r="BL42" s="184"/>
      <c r="BM42" s="184"/>
      <c r="BN42" s="184"/>
      <c r="BO42" s="184"/>
      <c r="BP42" s="184"/>
      <c r="BQ42" s="184"/>
      <c r="BR42" s="184"/>
      <c r="BS42" s="184"/>
      <c r="BT42" s="184"/>
      <c r="CA42" s="51" t="e">
        <f t="shared" ca="1" si="2"/>
        <v>#VALUE!</v>
      </c>
      <c r="CB42" s="51" t="e">
        <f t="shared" ca="1" si="2"/>
        <v>#VALUE!</v>
      </c>
      <c r="CC42" s="51"/>
      <c r="CD42" s="51"/>
      <c r="CE42" s="51"/>
      <c r="CF42" s="51"/>
      <c r="CG42" s="51"/>
      <c r="CH42" s="51"/>
      <c r="CI42" s="51"/>
      <c r="CJ42" s="51"/>
      <c r="CK42" s="51"/>
      <c r="CL42" s="51"/>
      <c r="CM42" s="51"/>
      <c r="CN42" s="51"/>
      <c r="CO42" s="51"/>
      <c r="CP42" s="51"/>
    </row>
    <row r="43" spans="1:94" s="18" customFormat="1" ht="16.5" x14ac:dyDescent="0.3">
      <c r="A43" s="59" t="str">
        <f>IF(OR(Roster!$A27&lt;&gt;"",Roster!$B27&lt;&gt;""),CONCATENATE(PROPER(Roster!$B27),", ",Roster!$A27),"")</f>
        <v/>
      </c>
      <c r="B43" s="286" cm="1">
        <f t="array" aca="1" ref="B43" ca="1">SUMPRODUCT((PlayerGameData[Visible]=1)*(PlayerGameData[PLAYER, '#]=$A43)*(PlayerGameData[START]))</f>
        <v>0</v>
      </c>
      <c r="C43" s="287" cm="1">
        <f t="array" aca="1" ref="C43" ca="1">SUMPRODUCT((PlayerGameData[Visible]=1)*(PlayerGameData[PLAYER, '#]=$A43)*(PlayerGameData[GP]))</f>
        <v>0</v>
      </c>
      <c r="D43" s="288" cm="1">
        <f t="array" aca="1" ref="D43" ca="1">SUMPRODUCT((PlayerGameData[Visible]=1)*(PlayerGameData[PLAYER, '#]=$A43)*(PlayerGameData[MINUTES]))</f>
        <v>0</v>
      </c>
      <c r="E43" s="289" cm="1">
        <f t="array" aca="1" ref="E43" ca="1">SUMPRODUCT((PlayerGameData[Visible]=1)*(PlayerGameData[PLAYER, '#]=$A43)*(PlayerGameData[3FGM]))</f>
        <v>0</v>
      </c>
      <c r="F43" s="290" cm="1">
        <f t="array" aca="1" ref="F43" ca="1">SUMPRODUCT((PlayerGameData[Visible]=1)*(PlayerGameData[PLAYER, '#]=$A43)*(PlayerGameData[3FGA]))</f>
        <v>0</v>
      </c>
      <c r="G43" s="289" cm="1">
        <f t="array" aca="1" ref="G43" ca="1">SUMPRODUCT((PlayerGameData[Visible]=1)*(PlayerGameData[PLAYER, '#]=$A43)*(PlayerGameData[2FGM]))</f>
        <v>0</v>
      </c>
      <c r="H43" s="290" cm="1">
        <f t="array" aca="1" ref="H43" ca="1">SUMPRODUCT((PlayerGameData[Visible]=1)*(PlayerGameData[PLAYER, '#]=$A43)*(PlayerGameData[2FGA]))</f>
        <v>0</v>
      </c>
      <c r="I43" s="289" cm="1">
        <f t="array" aca="1" ref="I43" ca="1">SUMPRODUCT((PlayerGameData[Visible]=1)*(PlayerGameData[PLAYER, '#]=$A43)*(PlayerGameData[FTM]))</f>
        <v>0</v>
      </c>
      <c r="J43" s="290" cm="1">
        <f t="array" aca="1" ref="J43" ca="1">SUMPRODUCT((PlayerGameData[Visible]=1)*(PlayerGameData[PLAYER, '#]=$A43)*(PlayerGameData[FTA]))</f>
        <v>0</v>
      </c>
      <c r="K43" s="289" cm="1">
        <f t="array" aca="1" ref="K43" ca="1">SUMPRODUCT((PlayerGameData[Visible]=1)*(PlayerGameData[PLAYER, '#]=$A43)*(PlayerGameData[OFF REB]))</f>
        <v>0</v>
      </c>
      <c r="L43" s="289" cm="1">
        <f t="array" aca="1" ref="L43" ca="1">SUMPRODUCT((PlayerGameData[Visible]=1)*(PlayerGameData[PLAYER, '#]=$A43)*(PlayerGameData[DEF REB]))</f>
        <v>0</v>
      </c>
      <c r="M43" s="290">
        <f ca="1">K43+L43</f>
        <v>0</v>
      </c>
      <c r="N43" s="289" cm="1">
        <f t="array" aca="1" ref="N43" ca="1">SUMPRODUCT((PlayerGameData[Visible]=1)*(PlayerGameData[PLAYER, '#]=$A43)*(PlayerGameData[AST]))</f>
        <v>0</v>
      </c>
      <c r="O43" s="289" cm="1">
        <f t="array" aca="1" ref="O43" ca="1">SUMPRODUCT((PlayerGameData[Visible]=1)*(PlayerGameData[PLAYER, '#]=$A43)*(PlayerGameData[STL]))</f>
        <v>0</v>
      </c>
      <c r="P43" s="289" cm="1">
        <f t="array" aca="1" ref="P43" ca="1">SUMPRODUCT((PlayerGameData[Visible]=1)*(PlayerGameData[PLAYER, '#]=$A43)*(PlayerGameData[BLK]))</f>
        <v>0</v>
      </c>
      <c r="Q43" s="289" cm="1">
        <f t="array" aca="1" ref="Q43" ca="1">SUMPRODUCT((PlayerGameData[Visible]=1)*(PlayerGameData[PLAYER, '#]=$A43)*(PlayerGameData[TO]))</f>
        <v>0</v>
      </c>
      <c r="R43" s="289" cm="1">
        <f t="array" aca="1" ref="R43" ca="1">SUMPRODUCT((PlayerGameData[Visible]=1)*(PlayerGameData[PLAYER, '#]=$A43)*(PlayerGameData[FOUL]))</f>
        <v>0</v>
      </c>
      <c r="S43" s="291" cm="1">
        <f t="array" aca="1" ref="S43" ca="1">SUMPRODUCT((PlayerGameData[Visible]=1)*(PlayerGameData[PLAYER, '#]=$A43)*(PlayerGameData[CHRG TKN]))</f>
        <v>0</v>
      </c>
      <c r="T43" s="28">
        <f ca="1">IF(I43+2*G43+3*E43&gt;0,I43+2*G43+3*E43,0)</f>
        <v>0</v>
      </c>
      <c r="U43" s="29" t="str">
        <f ca="1">IF(F43&gt;0,E43/F43,"")</f>
        <v/>
      </c>
      <c r="V43" s="29" t="str">
        <f ca="1">IF(H43&gt;0,G43/H43,"")</f>
        <v/>
      </c>
      <c r="W43" s="30" t="str">
        <f ca="1">IF(J43&gt;0,I43/J43,"")</f>
        <v/>
      </c>
      <c r="X43" s="29" t="str">
        <f ca="1">IF(OR(F43&gt;0,H43 &gt;0),(E43+G43)/(F43+H43),"")</f>
        <v/>
      </c>
      <c r="Y43" s="31" t="str">
        <f ca="1">IF(OR(F43&gt;0,H43 &gt;0),(1.5*E43+G43)/(F43+H43),"")</f>
        <v/>
      </c>
      <c r="Z43" s="184"/>
      <c r="AA43" s="368" t="s">
        <v>124</v>
      </c>
      <c r="AB43" s="375">
        <f ca="1">M51/AB40</f>
        <v>0.5135895032802249</v>
      </c>
      <c r="AC43" s="375">
        <f ca="1">N51/AB40</f>
        <v>0.25866916588566075</v>
      </c>
      <c r="AD43" s="375">
        <f ca="1">O51/AB41</f>
        <v>0.18947368421052632</v>
      </c>
      <c r="AE43" s="375">
        <f ca="1">P51/AB41</f>
        <v>2.6006191950464396E-2</v>
      </c>
      <c r="AF43" s="376">
        <f ca="1">Q51/AB40</f>
        <v>0.21430802874101842</v>
      </c>
      <c r="AG43" s="184"/>
      <c r="AH43" s="184"/>
      <c r="AI43" s="184"/>
      <c r="AJ43" s="59" t="str">
        <f>IF(OR(Roster!$A27&lt;&gt;"",Roster!$B27&lt;&gt;""),CONCATENATE(PROPER(Roster!$B27),", ",Roster!$A27),"")</f>
        <v/>
      </c>
      <c r="AK43" s="286" cm="1">
        <f t="array" aca="1" ref="AK43" ca="1">SUMPRODUCT((PlayerGameData[Visible]=1)*(PlayerGameData[PLAYER, '#]=$A43)*(PlayerGameData[START]))</f>
        <v>0</v>
      </c>
      <c r="AL43" s="287" cm="1">
        <f t="array" aca="1" ref="AL43" ca="1">SUMPRODUCT((PlayerGameData[Visible]=1)*(PlayerGameData[PLAYER, '#]=$A43)*(PlayerGameData[GP]))</f>
        <v>0</v>
      </c>
      <c r="AM43" s="288" cm="1">
        <f t="array" aca="1" ref="AM43" ca="1">SUMPRODUCT((PlayerGameData[Visible]=1)*(PlayerGameData[PLAYER, '#]=$A43)*(PlayerGameData[MINUTES]))</f>
        <v>0</v>
      </c>
      <c r="AN43" s="289" cm="1">
        <f t="array" aca="1" ref="AN43" ca="1">SUMPRODUCT((PlayerGameData[Visible]=1)*(PlayerGameData[PLAYER, '#]=$A43)*(PlayerGameData[3FGM]))</f>
        <v>0</v>
      </c>
      <c r="AO43" s="290" cm="1">
        <f t="array" aca="1" ref="AO43" ca="1">SUMPRODUCT((PlayerGameData[Visible]=1)*(PlayerGameData[PLAYER, '#]=$A43)*(PlayerGameData[3FGA]))</f>
        <v>0</v>
      </c>
      <c r="AP43" s="289" cm="1">
        <f t="array" aca="1" ref="AP43" ca="1">SUMPRODUCT((PlayerGameData[Visible]=1)*(PlayerGameData[PLAYER, '#]=$A43)*(PlayerGameData[2FGM]))</f>
        <v>0</v>
      </c>
      <c r="AQ43" s="290" cm="1">
        <f t="array" aca="1" ref="AQ43" ca="1">SUMPRODUCT((PlayerGameData[Visible]=1)*(PlayerGameData[PLAYER, '#]=$A43)*(PlayerGameData[2FGA]))</f>
        <v>0</v>
      </c>
      <c r="AR43" s="289" cm="1">
        <f t="array" aca="1" ref="AR43" ca="1">SUMPRODUCT((PlayerGameData[Visible]=1)*(PlayerGameData[PLAYER, '#]=$A43)*(PlayerGameData[FTM]))</f>
        <v>0</v>
      </c>
      <c r="AS43" s="290" cm="1">
        <f t="array" aca="1" ref="AS43" ca="1">SUMPRODUCT((PlayerGameData[Visible]=1)*(PlayerGameData[PLAYER, '#]=$A43)*(PlayerGameData[FTA]))</f>
        <v>0</v>
      </c>
      <c r="AT43" s="289" cm="1">
        <f t="array" aca="1" ref="AT43" ca="1">SUMPRODUCT((PlayerGameData[Visible]=1)*(PlayerGameData[PLAYER, '#]=$A43)*(PlayerGameData[OFF REB]))</f>
        <v>0</v>
      </c>
      <c r="AU43" s="289" cm="1">
        <f t="array" aca="1" ref="AU43" ca="1">SUMPRODUCT((PlayerGameData[Visible]=1)*(PlayerGameData[PLAYER, '#]=$A43)*(PlayerGameData[DEF REB]))</f>
        <v>0</v>
      </c>
      <c r="AV43" s="290">
        <f ca="1">AT43+AU43</f>
        <v>0</v>
      </c>
      <c r="AW43" s="289" cm="1">
        <f t="array" aca="1" ref="AW43" ca="1">SUMPRODUCT((PlayerGameData[Visible]=1)*(PlayerGameData[PLAYER, '#]=$A43)*(PlayerGameData[AST]))</f>
        <v>0</v>
      </c>
      <c r="AX43" s="289" cm="1">
        <f t="array" aca="1" ref="AX43" ca="1">SUMPRODUCT((PlayerGameData[Visible]=1)*(PlayerGameData[PLAYER, '#]=$A43)*(PlayerGameData[STL]))</f>
        <v>0</v>
      </c>
      <c r="AY43" s="289" cm="1">
        <f t="array" aca="1" ref="AY43" ca="1">SUMPRODUCT((PlayerGameData[Visible]=1)*(PlayerGameData[PLAYER, '#]=$A43)*(PlayerGameData[BLK]))</f>
        <v>0</v>
      </c>
      <c r="AZ43" s="289" cm="1">
        <f t="array" aca="1" ref="AZ43" ca="1">SUMPRODUCT((PlayerGameData[Visible]=1)*(PlayerGameData[PLAYER, '#]=$A43)*(PlayerGameData[TO]))</f>
        <v>0</v>
      </c>
      <c r="BA43" s="289" cm="1">
        <f t="array" aca="1" ref="BA43" ca="1">SUMPRODUCT((PlayerGameData[Visible]=1)*(PlayerGameData[PLAYER, '#]=$A43)*(PlayerGameData[FOUL]))</f>
        <v>0</v>
      </c>
      <c r="BB43" s="291" cm="1">
        <f t="array" aca="1" ref="BB43" ca="1">SUMPRODUCT((PlayerGameData[Visible]=1)*(PlayerGameData[PLAYER, '#]=$A43)*(PlayerGameData[CHRG TKN]))</f>
        <v>0</v>
      </c>
      <c r="BC43" s="28">
        <f t="shared" ref="BC43" ca="1" si="46">IF(AR43+2*AP43+3*AN43&gt;0,AR43+2*AP43+3*AN43,0)</f>
        <v>0</v>
      </c>
      <c r="BD43" s="29" t="str">
        <f ca="1">IF(AO43&gt;0,AN43/AO43,"")</f>
        <v/>
      </c>
      <c r="BE43" s="29" t="str">
        <f ca="1">IF(AQ43&gt;0,AP43/AQ43,"")</f>
        <v/>
      </c>
      <c r="BF43" s="30" t="str">
        <f ca="1">IF(AS43&gt;0,AR43/AS43,"")</f>
        <v/>
      </c>
      <c r="BG43" s="29" t="str">
        <f ca="1">IF(OR(AO43&gt;0,AQ43 &gt;0),(AN43+AP43)/(AO43+AQ43),"")</f>
        <v/>
      </c>
      <c r="BH43" s="31" t="str">
        <f ca="1">IF(OR(AO43&gt;0,AQ43 &gt;0),(1.5*AN43+AP43)/(AO43+AQ43),"")</f>
        <v/>
      </c>
      <c r="BI43" s="184"/>
      <c r="BJ43" s="184"/>
      <c r="BK43" s="184"/>
      <c r="BL43" s="184"/>
      <c r="BM43" s="184"/>
      <c r="BN43" s="184"/>
      <c r="BO43" s="184"/>
      <c r="BP43" s="184"/>
      <c r="BQ43" s="184"/>
      <c r="BR43" s="184"/>
      <c r="BS43" s="184"/>
      <c r="BT43" s="184"/>
      <c r="CA43" s="51">
        <f t="shared" ca="1" si="2"/>
        <v>0</v>
      </c>
      <c r="CB43" s="51">
        <f t="shared" ca="1" si="2"/>
        <v>0</v>
      </c>
      <c r="CC43" s="51"/>
      <c r="CD43" s="51"/>
      <c r="CE43" s="51"/>
      <c r="CF43" s="51"/>
      <c r="CG43" s="51"/>
      <c r="CH43" s="51"/>
      <c r="CI43" s="51"/>
      <c r="CJ43" s="51"/>
      <c r="CK43" s="51"/>
      <c r="CL43" s="51"/>
      <c r="CM43" s="51"/>
      <c r="CN43" s="51"/>
      <c r="CO43" s="51"/>
      <c r="CP43" s="51"/>
    </row>
    <row r="44" spans="1:94" s="18" customFormat="1" ht="16.5" x14ac:dyDescent="0.3">
      <c r="A44" s="188" t="str">
        <f>IF(A43&lt;&gt;"","Per Game","")</f>
        <v/>
      </c>
      <c r="B44" s="294"/>
      <c r="C44" s="295"/>
      <c r="D44" s="296" t="str">
        <f ca="1">IFERROR(ROUND(D43/$C43,1),"")</f>
        <v/>
      </c>
      <c r="E44" s="300" t="str">
        <f t="shared" ref="E44:T44" ca="1" si="47">IFERROR(ROUND(E43/$C43,1),"")</f>
        <v/>
      </c>
      <c r="F44" s="301" t="str">
        <f t="shared" ca="1" si="47"/>
        <v/>
      </c>
      <c r="G44" s="300" t="str">
        <f t="shared" ca="1" si="47"/>
        <v/>
      </c>
      <c r="H44" s="301" t="str">
        <f t="shared" ca="1" si="47"/>
        <v/>
      </c>
      <c r="I44" s="300" t="str">
        <f t="shared" ca="1" si="47"/>
        <v/>
      </c>
      <c r="J44" s="301" t="str">
        <f t="shared" ca="1" si="47"/>
        <v/>
      </c>
      <c r="K44" s="300" t="str">
        <f t="shared" ca="1" si="47"/>
        <v/>
      </c>
      <c r="L44" s="300" t="str">
        <f t="shared" ca="1" si="47"/>
        <v/>
      </c>
      <c r="M44" s="301" t="str">
        <f t="shared" ca="1" si="47"/>
        <v/>
      </c>
      <c r="N44" s="300" t="str">
        <f t="shared" ca="1" si="47"/>
        <v/>
      </c>
      <c r="O44" s="300" t="str">
        <f t="shared" ca="1" si="47"/>
        <v/>
      </c>
      <c r="P44" s="300" t="str">
        <f t="shared" ca="1" si="47"/>
        <v/>
      </c>
      <c r="Q44" s="300" t="str">
        <f t="shared" ca="1" si="47"/>
        <v/>
      </c>
      <c r="R44" s="300" t="str">
        <f t="shared" ca="1" si="47"/>
        <v/>
      </c>
      <c r="S44" s="302" t="str">
        <f t="shared" ca="1" si="47"/>
        <v/>
      </c>
      <c r="T44" s="60" t="str">
        <f t="shared" ca="1" si="47"/>
        <v/>
      </c>
      <c r="U44" s="25"/>
      <c r="V44" s="25"/>
      <c r="W44" s="26"/>
      <c r="X44" s="25"/>
      <c r="Y44" s="27"/>
      <c r="Z44" s="184"/>
      <c r="AA44" s="370" t="s">
        <v>187</v>
      </c>
      <c r="AB44" s="375">
        <f ca="1">M52/AB41</f>
        <v>0.39195046439628484</v>
      </c>
      <c r="AC44" s="375">
        <f ca="1">N52/AB41</f>
        <v>0.16656346749226006</v>
      </c>
      <c r="AD44" s="375">
        <f ca="1">O52/AB40</f>
        <v>0.11371446422992815</v>
      </c>
      <c r="AE44" s="375">
        <f ca="1">P52/AB40</f>
        <v>2.9990627928772259E-2</v>
      </c>
      <c r="AF44" s="376">
        <f ca="1">Q52/AB41</f>
        <v>0.32693498452012382</v>
      </c>
      <c r="AG44" s="184"/>
      <c r="AH44" s="184"/>
      <c r="AI44" s="184"/>
      <c r="AJ44" s="188" t="str">
        <f>IF(AJ43&lt;&gt;"","Per Minute","")</f>
        <v/>
      </c>
      <c r="AK44" s="294"/>
      <c r="AL44" s="295"/>
      <c r="AM44" s="296" t="str">
        <f ca="1">IFERROR(ROUND(AM43/$C43,1),"")</f>
        <v/>
      </c>
      <c r="AN44" s="300" t="str">
        <f t="shared" ref="AN44:BC44" ca="1" si="48">IFERROR(ROUND(AN43/$D43,1),"")</f>
        <v/>
      </c>
      <c r="AO44" s="301" t="str">
        <f t="shared" ca="1" si="48"/>
        <v/>
      </c>
      <c r="AP44" s="300" t="str">
        <f t="shared" ca="1" si="48"/>
        <v/>
      </c>
      <c r="AQ44" s="301" t="str">
        <f t="shared" ca="1" si="48"/>
        <v/>
      </c>
      <c r="AR44" s="300" t="str">
        <f t="shared" ca="1" si="48"/>
        <v/>
      </c>
      <c r="AS44" s="301" t="str">
        <f t="shared" ca="1" si="48"/>
        <v/>
      </c>
      <c r="AT44" s="300" t="str">
        <f t="shared" ca="1" si="48"/>
        <v/>
      </c>
      <c r="AU44" s="300" t="str">
        <f t="shared" ca="1" si="48"/>
        <v/>
      </c>
      <c r="AV44" s="301" t="str">
        <f t="shared" ca="1" si="48"/>
        <v/>
      </c>
      <c r="AW44" s="300" t="str">
        <f t="shared" ca="1" si="48"/>
        <v/>
      </c>
      <c r="AX44" s="300" t="str">
        <f t="shared" ca="1" si="48"/>
        <v/>
      </c>
      <c r="AY44" s="300" t="str">
        <f t="shared" ca="1" si="48"/>
        <v/>
      </c>
      <c r="AZ44" s="300" t="str">
        <f t="shared" ca="1" si="48"/>
        <v/>
      </c>
      <c r="BA44" s="300" t="str">
        <f t="shared" ca="1" si="48"/>
        <v/>
      </c>
      <c r="BB44" s="302" t="str">
        <f t="shared" ca="1" si="48"/>
        <v/>
      </c>
      <c r="BC44" s="24" t="str">
        <f t="shared" ca="1" si="48"/>
        <v/>
      </c>
      <c r="BD44" s="25"/>
      <c r="BE44" s="25"/>
      <c r="BF44" s="26"/>
      <c r="BG44" s="25"/>
      <c r="BH44" s="27"/>
      <c r="BI44" s="184"/>
      <c r="BJ44" s="184"/>
      <c r="BK44" s="184"/>
      <c r="BL44" s="184"/>
      <c r="BM44" s="184"/>
      <c r="BN44" s="184"/>
      <c r="BO44" s="184"/>
      <c r="BP44" s="184"/>
      <c r="BQ44" s="184"/>
      <c r="BR44" s="184"/>
      <c r="BS44" s="184"/>
      <c r="BT44" s="184"/>
      <c r="BU44" s="51"/>
      <c r="BV44" s="51"/>
      <c r="BW44" s="51"/>
      <c r="BX44" s="51"/>
      <c r="BY44" s="51"/>
      <c r="BZ44" s="51"/>
      <c r="CA44" s="51" t="e">
        <f t="shared" ca="1" si="2"/>
        <v>#VALUE!</v>
      </c>
      <c r="CB44" s="51" t="e">
        <f t="shared" ca="1" si="2"/>
        <v>#VALUE!</v>
      </c>
      <c r="CC44" s="51"/>
      <c r="CD44" s="51"/>
      <c r="CE44" s="51"/>
      <c r="CF44" s="51"/>
      <c r="CG44" s="51"/>
      <c r="CH44" s="51"/>
      <c r="CI44" s="51"/>
      <c r="CJ44" s="51"/>
      <c r="CK44" s="51"/>
      <c r="CL44" s="51"/>
      <c r="CM44" s="51"/>
      <c r="CN44" s="51"/>
      <c r="CO44" s="51"/>
      <c r="CP44" s="51"/>
    </row>
    <row r="45" spans="1:94" s="18" customFormat="1" ht="16.5" x14ac:dyDescent="0.3">
      <c r="A45" s="59" t="str">
        <f>IF(OR(Roster!$A28&lt;&gt;"",Roster!$B28&lt;&gt;""),CONCATENATE(PROPER(Roster!$B28),", ",Roster!$A28),"")</f>
        <v/>
      </c>
      <c r="B45" s="286" cm="1">
        <f t="array" aca="1" ref="B45" ca="1">SUMPRODUCT((PlayerGameData[Visible]=1)*(PlayerGameData[PLAYER, '#]=$A45)*(PlayerGameData[START]))</f>
        <v>0</v>
      </c>
      <c r="C45" s="287" cm="1">
        <f t="array" aca="1" ref="C45" ca="1">SUMPRODUCT((PlayerGameData[Visible]=1)*(PlayerGameData[PLAYER, '#]=$A45)*(PlayerGameData[GP]))</f>
        <v>0</v>
      </c>
      <c r="D45" s="288" cm="1">
        <f t="array" aca="1" ref="D45" ca="1">SUMPRODUCT((PlayerGameData[Visible]=1)*(PlayerGameData[PLAYER, '#]=$A45)*(PlayerGameData[MINUTES]))</f>
        <v>0</v>
      </c>
      <c r="E45" s="289" cm="1">
        <f t="array" aca="1" ref="E45" ca="1">SUMPRODUCT((PlayerGameData[Visible]=1)*(PlayerGameData[PLAYER, '#]=$A45)*(PlayerGameData[3FGM]))</f>
        <v>0</v>
      </c>
      <c r="F45" s="290" cm="1">
        <f t="array" aca="1" ref="F45" ca="1">SUMPRODUCT((PlayerGameData[Visible]=1)*(PlayerGameData[PLAYER, '#]=$A45)*(PlayerGameData[3FGA]))</f>
        <v>0</v>
      </c>
      <c r="G45" s="289" cm="1">
        <f t="array" aca="1" ref="G45" ca="1">SUMPRODUCT((PlayerGameData[Visible]=1)*(PlayerGameData[PLAYER, '#]=$A45)*(PlayerGameData[2FGM]))</f>
        <v>0</v>
      </c>
      <c r="H45" s="290" cm="1">
        <f t="array" aca="1" ref="H45" ca="1">SUMPRODUCT((PlayerGameData[Visible]=1)*(PlayerGameData[PLAYER, '#]=$A45)*(PlayerGameData[2FGA]))</f>
        <v>0</v>
      </c>
      <c r="I45" s="289" cm="1">
        <f t="array" aca="1" ref="I45" ca="1">SUMPRODUCT((PlayerGameData[Visible]=1)*(PlayerGameData[PLAYER, '#]=$A45)*(PlayerGameData[FTM]))</f>
        <v>0</v>
      </c>
      <c r="J45" s="290" cm="1">
        <f t="array" aca="1" ref="J45" ca="1">SUMPRODUCT((PlayerGameData[Visible]=1)*(PlayerGameData[PLAYER, '#]=$A45)*(PlayerGameData[FTA]))</f>
        <v>0</v>
      </c>
      <c r="K45" s="289" cm="1">
        <f t="array" aca="1" ref="K45" ca="1">SUMPRODUCT((PlayerGameData[Visible]=1)*(PlayerGameData[PLAYER, '#]=$A45)*(PlayerGameData[OFF REB]))</f>
        <v>0</v>
      </c>
      <c r="L45" s="289" cm="1">
        <f t="array" aca="1" ref="L45" ca="1">SUMPRODUCT((PlayerGameData[Visible]=1)*(PlayerGameData[PLAYER, '#]=$A45)*(PlayerGameData[DEF REB]))</f>
        <v>0</v>
      </c>
      <c r="M45" s="290">
        <f ca="1">K45+L45</f>
        <v>0</v>
      </c>
      <c r="N45" s="289" cm="1">
        <f t="array" aca="1" ref="N45" ca="1">SUMPRODUCT((PlayerGameData[Visible]=1)*(PlayerGameData[PLAYER, '#]=$A45)*(PlayerGameData[AST]))</f>
        <v>0</v>
      </c>
      <c r="O45" s="289" cm="1">
        <f t="array" aca="1" ref="O45" ca="1">SUMPRODUCT((PlayerGameData[Visible]=1)*(PlayerGameData[PLAYER, '#]=$A45)*(PlayerGameData[STL]))</f>
        <v>0</v>
      </c>
      <c r="P45" s="289" cm="1">
        <f t="array" aca="1" ref="P45" ca="1">SUMPRODUCT((PlayerGameData[Visible]=1)*(PlayerGameData[PLAYER, '#]=$A45)*(PlayerGameData[BLK]))</f>
        <v>0</v>
      </c>
      <c r="Q45" s="289" cm="1">
        <f t="array" aca="1" ref="Q45" ca="1">SUMPRODUCT((PlayerGameData[Visible]=1)*(PlayerGameData[PLAYER, '#]=$A45)*(PlayerGameData[TO]))</f>
        <v>0</v>
      </c>
      <c r="R45" s="289" cm="1">
        <f t="array" aca="1" ref="R45" ca="1">SUMPRODUCT((PlayerGameData[Visible]=1)*(PlayerGameData[PLAYER, '#]=$A45)*(PlayerGameData[FOUL]))</f>
        <v>0</v>
      </c>
      <c r="S45" s="291" cm="1">
        <f t="array" aca="1" ref="S45" ca="1">SUMPRODUCT((PlayerGameData[Visible]=1)*(PlayerGameData[PLAYER, '#]=$A45)*(PlayerGameData[CHRG TKN]))</f>
        <v>0</v>
      </c>
      <c r="T45" s="28">
        <f ca="1">IF(I45+2*G45+3*E45&gt;0,I45+2*G45+3*E45,0)</f>
        <v>0</v>
      </c>
      <c r="U45" s="29" t="str">
        <f ca="1">IF(F45&gt;0,E45/F45,"")</f>
        <v/>
      </c>
      <c r="V45" s="29" t="str">
        <f ca="1">IF(H45&gt;0,G45/H45,"")</f>
        <v/>
      </c>
      <c r="W45" s="30" t="str">
        <f ca="1">IF(J45&gt;0,I45/J45,"")</f>
        <v/>
      </c>
      <c r="X45" s="29" t="str">
        <f ca="1">IF(OR(F45&gt;0,H45 &gt;0),(E45+G45)/(F45+H45),"")</f>
        <v/>
      </c>
      <c r="Y45" s="31" t="str">
        <f ca="1">IF(OR(F45&gt;0,H45 &gt;0),(1.5*E45+G45)/(F45+H45),"")</f>
        <v/>
      </c>
      <c r="Z45" s="184"/>
      <c r="AA45" s="365"/>
      <c r="AB45" s="365"/>
      <c r="AC45" s="365"/>
      <c r="AD45" s="365"/>
      <c r="AE45" s="365"/>
      <c r="AF45" s="365"/>
      <c r="AG45" s="184"/>
      <c r="AH45" s="184"/>
      <c r="AI45" s="184"/>
      <c r="AJ45" s="59" t="str">
        <f>IF(OR(Roster!$A28&lt;&gt;"",Roster!$B28&lt;&gt;""),CONCATENATE(PROPER(Roster!$B28),", ",Roster!$A28),"")</f>
        <v/>
      </c>
      <c r="AK45" s="286" cm="1">
        <f t="array" aca="1" ref="AK45" ca="1">SUMPRODUCT((PlayerGameData[Visible]=1)*(PlayerGameData[PLAYER, '#]=$A45)*(PlayerGameData[START]))</f>
        <v>0</v>
      </c>
      <c r="AL45" s="287" cm="1">
        <f t="array" aca="1" ref="AL45" ca="1">SUMPRODUCT((PlayerGameData[Visible]=1)*(PlayerGameData[PLAYER, '#]=$A45)*(PlayerGameData[GP]))</f>
        <v>0</v>
      </c>
      <c r="AM45" s="288" cm="1">
        <f t="array" aca="1" ref="AM45" ca="1">SUMPRODUCT((PlayerGameData[Visible]=1)*(PlayerGameData[PLAYER, '#]=$A45)*(PlayerGameData[MINUTES]))</f>
        <v>0</v>
      </c>
      <c r="AN45" s="289" cm="1">
        <f t="array" aca="1" ref="AN45" ca="1">SUMPRODUCT((PlayerGameData[Visible]=1)*(PlayerGameData[PLAYER, '#]=$A45)*(PlayerGameData[3FGM]))</f>
        <v>0</v>
      </c>
      <c r="AO45" s="290" cm="1">
        <f t="array" aca="1" ref="AO45" ca="1">SUMPRODUCT((PlayerGameData[Visible]=1)*(PlayerGameData[PLAYER, '#]=$A45)*(PlayerGameData[3FGA]))</f>
        <v>0</v>
      </c>
      <c r="AP45" s="289" cm="1">
        <f t="array" aca="1" ref="AP45" ca="1">SUMPRODUCT((PlayerGameData[Visible]=1)*(PlayerGameData[PLAYER, '#]=$A45)*(PlayerGameData[2FGM]))</f>
        <v>0</v>
      </c>
      <c r="AQ45" s="290" cm="1">
        <f t="array" aca="1" ref="AQ45" ca="1">SUMPRODUCT((PlayerGameData[Visible]=1)*(PlayerGameData[PLAYER, '#]=$A45)*(PlayerGameData[2FGA]))</f>
        <v>0</v>
      </c>
      <c r="AR45" s="289" cm="1">
        <f t="array" aca="1" ref="AR45" ca="1">SUMPRODUCT((PlayerGameData[Visible]=1)*(PlayerGameData[PLAYER, '#]=$A45)*(PlayerGameData[FTM]))</f>
        <v>0</v>
      </c>
      <c r="AS45" s="290" cm="1">
        <f t="array" aca="1" ref="AS45" ca="1">SUMPRODUCT((PlayerGameData[Visible]=1)*(PlayerGameData[PLAYER, '#]=$A45)*(PlayerGameData[FTA]))</f>
        <v>0</v>
      </c>
      <c r="AT45" s="289" cm="1">
        <f t="array" aca="1" ref="AT45" ca="1">SUMPRODUCT((PlayerGameData[Visible]=1)*(PlayerGameData[PLAYER, '#]=$A45)*(PlayerGameData[OFF REB]))</f>
        <v>0</v>
      </c>
      <c r="AU45" s="289" cm="1">
        <f t="array" aca="1" ref="AU45" ca="1">SUMPRODUCT((PlayerGameData[Visible]=1)*(PlayerGameData[PLAYER, '#]=$A45)*(PlayerGameData[DEF REB]))</f>
        <v>0</v>
      </c>
      <c r="AV45" s="290">
        <f ca="1">AT45+AU45</f>
        <v>0</v>
      </c>
      <c r="AW45" s="289" cm="1">
        <f t="array" aca="1" ref="AW45" ca="1">SUMPRODUCT((PlayerGameData[Visible]=1)*(PlayerGameData[PLAYER, '#]=$A45)*(PlayerGameData[AST]))</f>
        <v>0</v>
      </c>
      <c r="AX45" s="289" cm="1">
        <f t="array" aca="1" ref="AX45" ca="1">SUMPRODUCT((PlayerGameData[Visible]=1)*(PlayerGameData[PLAYER, '#]=$A45)*(PlayerGameData[STL]))</f>
        <v>0</v>
      </c>
      <c r="AY45" s="289" cm="1">
        <f t="array" aca="1" ref="AY45" ca="1">SUMPRODUCT((PlayerGameData[Visible]=1)*(PlayerGameData[PLAYER, '#]=$A45)*(PlayerGameData[BLK]))</f>
        <v>0</v>
      </c>
      <c r="AZ45" s="289" cm="1">
        <f t="array" aca="1" ref="AZ45" ca="1">SUMPRODUCT((PlayerGameData[Visible]=1)*(PlayerGameData[PLAYER, '#]=$A45)*(PlayerGameData[TO]))</f>
        <v>0</v>
      </c>
      <c r="BA45" s="289" cm="1">
        <f t="array" aca="1" ref="BA45" ca="1">SUMPRODUCT((PlayerGameData[Visible]=1)*(PlayerGameData[PLAYER, '#]=$A45)*(PlayerGameData[FOUL]))</f>
        <v>0</v>
      </c>
      <c r="BB45" s="291" cm="1">
        <f t="array" aca="1" ref="BB45" ca="1">SUMPRODUCT((PlayerGameData[Visible]=1)*(PlayerGameData[PLAYER, '#]=$A45)*(PlayerGameData[CHRG TKN]))</f>
        <v>0</v>
      </c>
      <c r="BC45" s="28">
        <f t="shared" ref="BC45" ca="1" si="49">IF(AR45+2*AP45+3*AN45&gt;0,AR45+2*AP45+3*AN45,0)</f>
        <v>0</v>
      </c>
      <c r="BD45" s="29" t="str">
        <f ca="1">IF(AO45&gt;0,AN45/AO45,"")</f>
        <v/>
      </c>
      <c r="BE45" s="29" t="str">
        <f ca="1">IF(AQ45&gt;0,AP45/AQ45,"")</f>
        <v/>
      </c>
      <c r="BF45" s="30" t="str">
        <f ca="1">IF(AS45&gt;0,AR45/AS45,"")</f>
        <v/>
      </c>
      <c r="BG45" s="29" t="str">
        <f ca="1">IF(OR(AO45&gt;0,AQ45 &gt;0),(AN45+AP45)/(AO45+AQ45),"")</f>
        <v/>
      </c>
      <c r="BH45" s="31" t="str">
        <f ca="1">IF(OR(AO45&gt;0,AQ45 &gt;0),(1.5*AN45+AP45)/(AO45+AQ45),"")</f>
        <v/>
      </c>
      <c r="BI45" s="184"/>
      <c r="BJ45" s="184"/>
      <c r="BK45" s="184"/>
      <c r="BL45" s="184"/>
      <c r="BM45" s="184"/>
      <c r="BN45" s="184"/>
      <c r="BO45" s="184"/>
      <c r="BP45" s="184"/>
      <c r="BQ45" s="184"/>
      <c r="BR45" s="184"/>
      <c r="BS45" s="184"/>
      <c r="BT45" s="184"/>
      <c r="BU45" s="51"/>
      <c r="BV45" s="51"/>
      <c r="BW45" s="51"/>
      <c r="BX45" s="51"/>
      <c r="BY45" s="51"/>
      <c r="BZ45" s="51"/>
      <c r="CA45" s="51">
        <f t="shared" ca="1" si="2"/>
        <v>0</v>
      </c>
      <c r="CB45" s="51">
        <f t="shared" ca="1" si="2"/>
        <v>0</v>
      </c>
      <c r="CC45" s="51"/>
      <c r="CD45" s="51"/>
      <c r="CE45" s="51"/>
      <c r="CF45" s="51"/>
      <c r="CG45" s="51"/>
      <c r="CH45" s="51"/>
      <c r="CI45" s="51"/>
      <c r="CJ45" s="51"/>
      <c r="CK45" s="51"/>
      <c r="CL45" s="51"/>
      <c r="CM45" s="51"/>
      <c r="CN45" s="51"/>
      <c r="CO45" s="51"/>
      <c r="CP45" s="51"/>
    </row>
    <row r="46" spans="1:94" s="18" customFormat="1" ht="16.5" x14ac:dyDescent="0.3">
      <c r="A46" s="188" t="str">
        <f>IF(A45&lt;&gt;"","Per Game","")</f>
        <v/>
      </c>
      <c r="B46" s="294"/>
      <c r="C46" s="295"/>
      <c r="D46" s="296" t="str">
        <f ca="1">IFERROR(ROUND(D45/$C45,1),"")</f>
        <v/>
      </c>
      <c r="E46" s="300" t="str">
        <f t="shared" ref="E46:T46" ca="1" si="50">IFERROR(ROUND(E45/$C45,1),"")</f>
        <v/>
      </c>
      <c r="F46" s="301" t="str">
        <f t="shared" ca="1" si="50"/>
        <v/>
      </c>
      <c r="G46" s="300" t="str">
        <f t="shared" ca="1" si="50"/>
        <v/>
      </c>
      <c r="H46" s="301" t="str">
        <f t="shared" ca="1" si="50"/>
        <v/>
      </c>
      <c r="I46" s="300" t="str">
        <f t="shared" ca="1" si="50"/>
        <v/>
      </c>
      <c r="J46" s="301" t="str">
        <f t="shared" ca="1" si="50"/>
        <v/>
      </c>
      <c r="K46" s="300" t="str">
        <f t="shared" ca="1" si="50"/>
        <v/>
      </c>
      <c r="L46" s="300" t="str">
        <f t="shared" ca="1" si="50"/>
        <v/>
      </c>
      <c r="M46" s="301" t="str">
        <f t="shared" ca="1" si="50"/>
        <v/>
      </c>
      <c r="N46" s="300" t="str">
        <f t="shared" ca="1" si="50"/>
        <v/>
      </c>
      <c r="O46" s="300" t="str">
        <f t="shared" ca="1" si="50"/>
        <v/>
      </c>
      <c r="P46" s="300" t="str">
        <f t="shared" ca="1" si="50"/>
        <v/>
      </c>
      <c r="Q46" s="300" t="str">
        <f t="shared" ca="1" si="50"/>
        <v/>
      </c>
      <c r="R46" s="300" t="str">
        <f t="shared" ca="1" si="50"/>
        <v/>
      </c>
      <c r="S46" s="302" t="str">
        <f t="shared" ca="1" si="50"/>
        <v/>
      </c>
      <c r="T46" s="60" t="str">
        <f t="shared" ca="1" si="50"/>
        <v/>
      </c>
      <c r="U46" s="25"/>
      <c r="V46" s="25"/>
      <c r="W46" s="26"/>
      <c r="X46" s="25"/>
      <c r="Y46" s="27"/>
      <c r="Z46" s="184"/>
      <c r="AA46" s="365"/>
      <c r="AB46" s="365"/>
      <c r="AC46" s="365"/>
      <c r="AD46" s="365"/>
      <c r="AE46" s="365"/>
      <c r="AF46" s="365"/>
      <c r="AG46" s="184"/>
      <c r="AH46" s="184"/>
      <c r="AI46" s="184"/>
      <c r="AJ46" s="188" t="str">
        <f>IF(AJ45&lt;&gt;"","Per Minute","")</f>
        <v/>
      </c>
      <c r="AK46" s="294"/>
      <c r="AL46" s="295"/>
      <c r="AM46" s="296" t="str">
        <f ca="1">IFERROR(ROUND(AM45/$C45,1),"")</f>
        <v/>
      </c>
      <c r="AN46" s="300" t="str">
        <f t="shared" ref="AN46:BC46" ca="1" si="51">IFERROR(ROUND(AN45/$D45,1),"")</f>
        <v/>
      </c>
      <c r="AO46" s="301" t="str">
        <f t="shared" ca="1" si="51"/>
        <v/>
      </c>
      <c r="AP46" s="300" t="str">
        <f t="shared" ca="1" si="51"/>
        <v/>
      </c>
      <c r="AQ46" s="301" t="str">
        <f t="shared" ca="1" si="51"/>
        <v/>
      </c>
      <c r="AR46" s="300" t="str">
        <f t="shared" ca="1" si="51"/>
        <v/>
      </c>
      <c r="AS46" s="301" t="str">
        <f t="shared" ca="1" si="51"/>
        <v/>
      </c>
      <c r="AT46" s="300" t="str">
        <f t="shared" ca="1" si="51"/>
        <v/>
      </c>
      <c r="AU46" s="300" t="str">
        <f t="shared" ca="1" si="51"/>
        <v/>
      </c>
      <c r="AV46" s="301" t="str">
        <f t="shared" ca="1" si="51"/>
        <v/>
      </c>
      <c r="AW46" s="300" t="str">
        <f t="shared" ca="1" si="51"/>
        <v/>
      </c>
      <c r="AX46" s="300" t="str">
        <f t="shared" ca="1" si="51"/>
        <v/>
      </c>
      <c r="AY46" s="300" t="str">
        <f t="shared" ca="1" si="51"/>
        <v/>
      </c>
      <c r="AZ46" s="300" t="str">
        <f t="shared" ca="1" si="51"/>
        <v/>
      </c>
      <c r="BA46" s="300" t="str">
        <f t="shared" ca="1" si="51"/>
        <v/>
      </c>
      <c r="BB46" s="302" t="str">
        <f t="shared" ca="1" si="51"/>
        <v/>
      </c>
      <c r="BC46" s="24" t="str">
        <f t="shared" ca="1" si="51"/>
        <v/>
      </c>
      <c r="BD46" s="25"/>
      <c r="BE46" s="25"/>
      <c r="BF46" s="26"/>
      <c r="BG46" s="25"/>
      <c r="BH46" s="27"/>
      <c r="BI46" s="184"/>
      <c r="BJ46" s="184"/>
      <c r="BK46" s="184"/>
      <c r="BL46" s="184"/>
      <c r="BM46" s="184"/>
      <c r="BN46" s="184"/>
      <c r="BO46" s="184"/>
      <c r="BP46" s="184"/>
      <c r="BQ46" s="184"/>
      <c r="BR46" s="184"/>
      <c r="BS46" s="184"/>
      <c r="BT46" s="184"/>
      <c r="BU46" s="51"/>
      <c r="BV46" s="51"/>
      <c r="BW46" s="51"/>
      <c r="BX46" s="51"/>
      <c r="BY46" s="51"/>
      <c r="BZ46" s="51"/>
      <c r="CA46" s="51" t="e">
        <f t="shared" ca="1" si="2"/>
        <v>#VALUE!</v>
      </c>
      <c r="CB46" s="51" t="e">
        <f t="shared" ca="1" si="2"/>
        <v>#VALUE!</v>
      </c>
      <c r="CC46" s="51"/>
      <c r="CD46" s="51"/>
      <c r="CE46" s="51"/>
      <c r="CF46" s="51"/>
      <c r="CG46" s="51"/>
      <c r="CH46" s="51"/>
      <c r="CI46" s="51"/>
      <c r="CJ46" s="51"/>
      <c r="CK46" s="51"/>
      <c r="CL46" s="51"/>
      <c r="CM46" s="51"/>
      <c r="CN46" s="51"/>
      <c r="CO46" s="51"/>
      <c r="CP46" s="51"/>
    </row>
    <row r="47" spans="1:94" s="18" customFormat="1" ht="16.5" x14ac:dyDescent="0.3">
      <c r="A47" s="59" t="str">
        <f>IF(OR(Roster!$A29&lt;&gt;"",Roster!$B29&lt;&gt;""),CONCATENATE(PROPER(Roster!$B29),", ",Roster!$A29),"")</f>
        <v/>
      </c>
      <c r="B47" s="286" cm="1">
        <f t="array" aca="1" ref="B47" ca="1">SUMPRODUCT((PlayerGameData[Visible]=1)*(PlayerGameData[PLAYER, '#]=$A47)*(PlayerGameData[START]))</f>
        <v>0</v>
      </c>
      <c r="C47" s="287" cm="1">
        <f t="array" aca="1" ref="C47" ca="1">SUMPRODUCT((PlayerGameData[Visible]=1)*(PlayerGameData[PLAYER, '#]=$A47)*(PlayerGameData[GP]))</f>
        <v>0</v>
      </c>
      <c r="D47" s="288" cm="1">
        <f t="array" aca="1" ref="D47" ca="1">SUMPRODUCT((PlayerGameData[Visible]=1)*(PlayerGameData[PLAYER, '#]=$A47)*(PlayerGameData[MINUTES]))</f>
        <v>0</v>
      </c>
      <c r="E47" s="289" cm="1">
        <f t="array" aca="1" ref="E47" ca="1">SUMPRODUCT((PlayerGameData[Visible]=1)*(PlayerGameData[PLAYER, '#]=$A47)*(PlayerGameData[3FGM]))</f>
        <v>0</v>
      </c>
      <c r="F47" s="290" cm="1">
        <f t="array" aca="1" ref="F47" ca="1">SUMPRODUCT((PlayerGameData[Visible]=1)*(PlayerGameData[PLAYER, '#]=$A47)*(PlayerGameData[3FGA]))</f>
        <v>0</v>
      </c>
      <c r="G47" s="289" cm="1">
        <f t="array" aca="1" ref="G47" ca="1">SUMPRODUCT((PlayerGameData[Visible]=1)*(PlayerGameData[PLAYER, '#]=$A47)*(PlayerGameData[2FGM]))</f>
        <v>0</v>
      </c>
      <c r="H47" s="290" cm="1">
        <f t="array" aca="1" ref="H47" ca="1">SUMPRODUCT((PlayerGameData[Visible]=1)*(PlayerGameData[PLAYER, '#]=$A47)*(PlayerGameData[2FGA]))</f>
        <v>0</v>
      </c>
      <c r="I47" s="289" cm="1">
        <f t="array" aca="1" ref="I47" ca="1">SUMPRODUCT((PlayerGameData[Visible]=1)*(PlayerGameData[PLAYER, '#]=$A47)*(PlayerGameData[FTM]))</f>
        <v>0</v>
      </c>
      <c r="J47" s="290" cm="1">
        <f t="array" aca="1" ref="J47" ca="1">SUMPRODUCT((PlayerGameData[Visible]=1)*(PlayerGameData[PLAYER, '#]=$A47)*(PlayerGameData[FTA]))</f>
        <v>0</v>
      </c>
      <c r="K47" s="289" cm="1">
        <f t="array" aca="1" ref="K47" ca="1">SUMPRODUCT((PlayerGameData[Visible]=1)*(PlayerGameData[PLAYER, '#]=$A47)*(PlayerGameData[OFF REB]))</f>
        <v>0</v>
      </c>
      <c r="L47" s="289" cm="1">
        <f t="array" aca="1" ref="L47" ca="1">SUMPRODUCT((PlayerGameData[Visible]=1)*(PlayerGameData[PLAYER, '#]=$A47)*(PlayerGameData[DEF REB]))</f>
        <v>0</v>
      </c>
      <c r="M47" s="290">
        <f ca="1">K47+L47</f>
        <v>0</v>
      </c>
      <c r="N47" s="289" cm="1">
        <f t="array" aca="1" ref="N47" ca="1">SUMPRODUCT((PlayerGameData[Visible]=1)*(PlayerGameData[PLAYER, '#]=$A47)*(PlayerGameData[AST]))</f>
        <v>0</v>
      </c>
      <c r="O47" s="289" cm="1">
        <f t="array" aca="1" ref="O47" ca="1">SUMPRODUCT((PlayerGameData[Visible]=1)*(PlayerGameData[PLAYER, '#]=$A47)*(PlayerGameData[STL]))</f>
        <v>0</v>
      </c>
      <c r="P47" s="289" cm="1">
        <f t="array" aca="1" ref="P47" ca="1">SUMPRODUCT((PlayerGameData[Visible]=1)*(PlayerGameData[PLAYER, '#]=$A47)*(PlayerGameData[BLK]))</f>
        <v>0</v>
      </c>
      <c r="Q47" s="289" cm="1">
        <f t="array" aca="1" ref="Q47" ca="1">SUMPRODUCT((PlayerGameData[Visible]=1)*(PlayerGameData[PLAYER, '#]=$A47)*(PlayerGameData[TO]))</f>
        <v>0</v>
      </c>
      <c r="R47" s="289" cm="1">
        <f t="array" aca="1" ref="R47" ca="1">SUMPRODUCT((PlayerGameData[Visible]=1)*(PlayerGameData[PLAYER, '#]=$A47)*(PlayerGameData[FOUL]))</f>
        <v>0</v>
      </c>
      <c r="S47" s="291" cm="1">
        <f t="array" aca="1" ref="S47" ca="1">SUMPRODUCT((PlayerGameData[Visible]=1)*(PlayerGameData[PLAYER, '#]=$A47)*(PlayerGameData[CHRG TKN]))</f>
        <v>0</v>
      </c>
      <c r="T47" s="28">
        <f ca="1">IF(I47+2*G47+3*E47&gt;0,I47+2*G47+3*E47,0)</f>
        <v>0</v>
      </c>
      <c r="U47" s="29" t="str">
        <f ca="1">IF(F47&gt;0,E47/F47,"")</f>
        <v/>
      </c>
      <c r="V47" s="29" t="str">
        <f ca="1">IF(H47&gt;0,G47/H47,"")</f>
        <v/>
      </c>
      <c r="W47" s="30" t="str">
        <f ca="1">IF(J47&gt;0,I47/J47,"")</f>
        <v/>
      </c>
      <c r="X47" s="29" t="str">
        <f ca="1">IF(OR(F47&gt;0,H47 &gt;0),(E47+G47)/(F47+H47),"")</f>
        <v/>
      </c>
      <c r="Y47" s="31" t="str">
        <f ca="1">IF(OR(F47&gt;0,H47 &gt;0),(1.5*E47+G47)/(F47+H47),"")</f>
        <v/>
      </c>
      <c r="Z47" s="184"/>
      <c r="AA47" s="362"/>
      <c r="AB47" s="371"/>
      <c r="AC47" s="363" t="s">
        <v>350</v>
      </c>
      <c r="AD47" s="371"/>
      <c r="AE47" s="364"/>
      <c r="AF47" s="365"/>
      <c r="AG47" s="184"/>
      <c r="AH47" s="184"/>
      <c r="AI47" s="184"/>
      <c r="AJ47" s="59" t="str">
        <f>IF(OR(Roster!$A29&lt;&gt;"",Roster!$B29&lt;&gt;""),CONCATENATE(PROPER(Roster!$B29),", ",Roster!$A29),"")</f>
        <v/>
      </c>
      <c r="AK47" s="286" cm="1">
        <f t="array" aca="1" ref="AK47" ca="1">SUMPRODUCT((PlayerGameData[Visible]=1)*(PlayerGameData[PLAYER, '#]=$A47)*(PlayerGameData[START]))</f>
        <v>0</v>
      </c>
      <c r="AL47" s="287" cm="1">
        <f t="array" aca="1" ref="AL47" ca="1">SUMPRODUCT((PlayerGameData[Visible]=1)*(PlayerGameData[PLAYER, '#]=$A47)*(PlayerGameData[GP]))</f>
        <v>0</v>
      </c>
      <c r="AM47" s="288" cm="1">
        <f t="array" aca="1" ref="AM47" ca="1">SUMPRODUCT((PlayerGameData[Visible]=1)*(PlayerGameData[PLAYER, '#]=$A47)*(PlayerGameData[MINUTES]))</f>
        <v>0</v>
      </c>
      <c r="AN47" s="289" cm="1">
        <f t="array" aca="1" ref="AN47" ca="1">SUMPRODUCT((PlayerGameData[Visible]=1)*(PlayerGameData[PLAYER, '#]=$A47)*(PlayerGameData[3FGM]))</f>
        <v>0</v>
      </c>
      <c r="AO47" s="290" cm="1">
        <f t="array" aca="1" ref="AO47" ca="1">SUMPRODUCT((PlayerGameData[Visible]=1)*(PlayerGameData[PLAYER, '#]=$A47)*(PlayerGameData[3FGA]))</f>
        <v>0</v>
      </c>
      <c r="AP47" s="289" cm="1">
        <f t="array" aca="1" ref="AP47" ca="1">SUMPRODUCT((PlayerGameData[Visible]=1)*(PlayerGameData[PLAYER, '#]=$A47)*(PlayerGameData[2FGM]))</f>
        <v>0</v>
      </c>
      <c r="AQ47" s="290" cm="1">
        <f t="array" aca="1" ref="AQ47" ca="1">SUMPRODUCT((PlayerGameData[Visible]=1)*(PlayerGameData[PLAYER, '#]=$A47)*(PlayerGameData[2FGA]))</f>
        <v>0</v>
      </c>
      <c r="AR47" s="289" cm="1">
        <f t="array" aca="1" ref="AR47" ca="1">SUMPRODUCT((PlayerGameData[Visible]=1)*(PlayerGameData[PLAYER, '#]=$A47)*(PlayerGameData[FTM]))</f>
        <v>0</v>
      </c>
      <c r="AS47" s="290" cm="1">
        <f t="array" aca="1" ref="AS47" ca="1">SUMPRODUCT((PlayerGameData[Visible]=1)*(PlayerGameData[PLAYER, '#]=$A47)*(PlayerGameData[FTA]))</f>
        <v>0</v>
      </c>
      <c r="AT47" s="289" cm="1">
        <f t="array" aca="1" ref="AT47" ca="1">SUMPRODUCT((PlayerGameData[Visible]=1)*(PlayerGameData[PLAYER, '#]=$A47)*(PlayerGameData[OFF REB]))</f>
        <v>0</v>
      </c>
      <c r="AU47" s="289" cm="1">
        <f t="array" aca="1" ref="AU47" ca="1">SUMPRODUCT((PlayerGameData[Visible]=1)*(PlayerGameData[PLAYER, '#]=$A47)*(PlayerGameData[DEF REB]))</f>
        <v>0</v>
      </c>
      <c r="AV47" s="290">
        <f ca="1">AT47+AU47</f>
        <v>0</v>
      </c>
      <c r="AW47" s="289" cm="1">
        <f t="array" aca="1" ref="AW47" ca="1">SUMPRODUCT((PlayerGameData[Visible]=1)*(PlayerGameData[PLAYER, '#]=$A47)*(PlayerGameData[AST]))</f>
        <v>0</v>
      </c>
      <c r="AX47" s="289" cm="1">
        <f t="array" aca="1" ref="AX47" ca="1">SUMPRODUCT((PlayerGameData[Visible]=1)*(PlayerGameData[PLAYER, '#]=$A47)*(PlayerGameData[STL]))</f>
        <v>0</v>
      </c>
      <c r="AY47" s="289" cm="1">
        <f t="array" aca="1" ref="AY47" ca="1">SUMPRODUCT((PlayerGameData[Visible]=1)*(PlayerGameData[PLAYER, '#]=$A47)*(PlayerGameData[BLK]))</f>
        <v>0</v>
      </c>
      <c r="AZ47" s="289" cm="1">
        <f t="array" aca="1" ref="AZ47" ca="1">SUMPRODUCT((PlayerGameData[Visible]=1)*(PlayerGameData[PLAYER, '#]=$A47)*(PlayerGameData[TO]))</f>
        <v>0</v>
      </c>
      <c r="BA47" s="289" cm="1">
        <f t="array" aca="1" ref="BA47" ca="1">SUMPRODUCT((PlayerGameData[Visible]=1)*(PlayerGameData[PLAYER, '#]=$A47)*(PlayerGameData[FOUL]))</f>
        <v>0</v>
      </c>
      <c r="BB47" s="291" cm="1">
        <f t="array" aca="1" ref="BB47" ca="1">SUMPRODUCT((PlayerGameData[Visible]=1)*(PlayerGameData[PLAYER, '#]=$A47)*(PlayerGameData[CHRG TKN]))</f>
        <v>0</v>
      </c>
      <c r="BC47" s="28">
        <f t="shared" ref="BC47" ca="1" si="52">IF(AR47+2*AP47+3*AN47&gt;0,AR47+2*AP47+3*AN47,0)</f>
        <v>0</v>
      </c>
      <c r="BD47" s="29" t="str">
        <f ca="1">IF(AO47&gt;0,AN47/AO47,"")</f>
        <v/>
      </c>
      <c r="BE47" s="29" t="str">
        <f ca="1">IF(AQ47&gt;0,AP47/AQ47,"")</f>
        <v/>
      </c>
      <c r="BF47" s="30" t="str">
        <f ca="1">IF(AS47&gt;0,AR47/AS47,"")</f>
        <v/>
      </c>
      <c r="BG47" s="29" t="str">
        <f ca="1">IF(OR(AO47&gt;0,AQ47 &gt;0),(AN47+AP47)/(AO47+AQ47),"")</f>
        <v/>
      </c>
      <c r="BH47" s="31" t="str">
        <f ca="1">IF(OR(AO47&gt;0,AQ47 &gt;0),(1.5*AN47+AP47)/(AO47+AQ47),"")</f>
        <v/>
      </c>
      <c r="BI47" s="184"/>
      <c r="BJ47" s="184"/>
      <c r="BK47" s="184"/>
      <c r="BL47" s="184"/>
      <c r="BM47" s="184"/>
      <c r="BN47" s="184"/>
      <c r="BO47" s="184"/>
      <c r="BP47" s="184"/>
      <c r="BQ47" s="184"/>
      <c r="BR47" s="184"/>
      <c r="BS47" s="184"/>
      <c r="BT47" s="184"/>
      <c r="BU47" s="51"/>
      <c r="BV47" s="51"/>
      <c r="BW47" s="51"/>
      <c r="BX47" s="51"/>
      <c r="BY47" s="51"/>
      <c r="BZ47" s="51"/>
      <c r="CA47" s="51">
        <f t="shared" ca="1" si="2"/>
        <v>0</v>
      </c>
      <c r="CB47" s="51">
        <f t="shared" ca="1" si="2"/>
        <v>0</v>
      </c>
      <c r="CC47" s="51"/>
      <c r="CD47" s="51"/>
      <c r="CE47" s="51"/>
      <c r="CF47" s="51"/>
      <c r="CG47" s="51"/>
      <c r="CH47" s="51"/>
      <c r="CI47" s="51"/>
      <c r="CJ47" s="51"/>
      <c r="CK47" s="51"/>
      <c r="CL47" s="51"/>
      <c r="CM47" s="51"/>
      <c r="CN47" s="51"/>
      <c r="CO47" s="51"/>
      <c r="CP47" s="51"/>
    </row>
    <row r="48" spans="1:94" s="18" customFormat="1" ht="16.5" x14ac:dyDescent="0.3">
      <c r="A48" s="188" t="str">
        <f>IF(A47&lt;&gt;"","Per Game","")</f>
        <v/>
      </c>
      <c r="B48" s="294"/>
      <c r="C48" s="295"/>
      <c r="D48" s="296" t="str">
        <f ca="1">IFERROR(ROUND(D47/$C47,1),"")</f>
        <v/>
      </c>
      <c r="E48" s="300" t="str">
        <f t="shared" ref="E48:T48" ca="1" si="53">IFERROR(ROUND(E47/$C47,1),"")</f>
        <v/>
      </c>
      <c r="F48" s="301" t="str">
        <f t="shared" ca="1" si="53"/>
        <v/>
      </c>
      <c r="G48" s="300" t="str">
        <f t="shared" ca="1" si="53"/>
        <v/>
      </c>
      <c r="H48" s="301" t="str">
        <f t="shared" ca="1" si="53"/>
        <v/>
      </c>
      <c r="I48" s="300" t="str">
        <f t="shared" ca="1" si="53"/>
        <v/>
      </c>
      <c r="J48" s="301" t="str">
        <f t="shared" ca="1" si="53"/>
        <v/>
      </c>
      <c r="K48" s="300" t="str">
        <f t="shared" ca="1" si="53"/>
        <v/>
      </c>
      <c r="L48" s="300" t="str">
        <f t="shared" ca="1" si="53"/>
        <v/>
      </c>
      <c r="M48" s="301" t="str">
        <f t="shared" ca="1" si="53"/>
        <v/>
      </c>
      <c r="N48" s="300" t="str">
        <f t="shared" ca="1" si="53"/>
        <v/>
      </c>
      <c r="O48" s="300" t="str">
        <f t="shared" ca="1" si="53"/>
        <v/>
      </c>
      <c r="P48" s="300" t="str">
        <f t="shared" ca="1" si="53"/>
        <v/>
      </c>
      <c r="Q48" s="300" t="str">
        <f t="shared" ca="1" si="53"/>
        <v/>
      </c>
      <c r="R48" s="300" t="str">
        <f t="shared" ca="1" si="53"/>
        <v/>
      </c>
      <c r="S48" s="302" t="str">
        <f t="shared" ca="1" si="53"/>
        <v/>
      </c>
      <c r="T48" s="60" t="str">
        <f t="shared" ca="1" si="53"/>
        <v/>
      </c>
      <c r="U48" s="25"/>
      <c r="V48" s="25"/>
      <c r="W48" s="26"/>
      <c r="X48" s="25"/>
      <c r="Y48" s="27"/>
      <c r="Z48" s="184"/>
      <c r="AA48" s="365"/>
      <c r="AB48" s="366" t="s">
        <v>342</v>
      </c>
      <c r="AC48" s="366" t="s">
        <v>343</v>
      </c>
      <c r="AD48" s="366" t="s">
        <v>344</v>
      </c>
      <c r="AE48" s="367" t="s">
        <v>345</v>
      </c>
      <c r="AF48" s="368"/>
      <c r="AG48" s="184"/>
      <c r="AH48" s="184"/>
      <c r="AI48" s="184"/>
      <c r="AJ48" s="188" t="str">
        <f>IF(AJ47&lt;&gt;"","Per Minute","")</f>
        <v/>
      </c>
      <c r="AK48" s="294"/>
      <c r="AL48" s="295"/>
      <c r="AM48" s="296" t="str">
        <f ca="1">IFERROR(ROUND(AM47/$C47,1),"")</f>
        <v/>
      </c>
      <c r="AN48" s="300" t="str">
        <f t="shared" ref="AN48:BC48" ca="1" si="54">IFERROR(ROUND(AN47/$D47,1),"")</f>
        <v/>
      </c>
      <c r="AO48" s="301" t="str">
        <f t="shared" ca="1" si="54"/>
        <v/>
      </c>
      <c r="AP48" s="300" t="str">
        <f t="shared" ca="1" si="54"/>
        <v/>
      </c>
      <c r="AQ48" s="301" t="str">
        <f t="shared" ca="1" si="54"/>
        <v/>
      </c>
      <c r="AR48" s="300" t="str">
        <f t="shared" ca="1" si="54"/>
        <v/>
      </c>
      <c r="AS48" s="301" t="str">
        <f t="shared" ca="1" si="54"/>
        <v/>
      </c>
      <c r="AT48" s="300" t="str">
        <f t="shared" ca="1" si="54"/>
        <v/>
      </c>
      <c r="AU48" s="300" t="str">
        <f t="shared" ca="1" si="54"/>
        <v/>
      </c>
      <c r="AV48" s="301" t="str">
        <f t="shared" ca="1" si="54"/>
        <v/>
      </c>
      <c r="AW48" s="300" t="str">
        <f t="shared" ca="1" si="54"/>
        <v/>
      </c>
      <c r="AX48" s="300" t="str">
        <f t="shared" ca="1" si="54"/>
        <v/>
      </c>
      <c r="AY48" s="300" t="str">
        <f t="shared" ca="1" si="54"/>
        <v/>
      </c>
      <c r="AZ48" s="300" t="str">
        <f t="shared" ca="1" si="54"/>
        <v/>
      </c>
      <c r="BA48" s="300" t="str">
        <f t="shared" ca="1" si="54"/>
        <v/>
      </c>
      <c r="BB48" s="302" t="str">
        <f t="shared" ca="1" si="54"/>
        <v/>
      </c>
      <c r="BC48" s="24" t="str">
        <f t="shared" ca="1" si="54"/>
        <v/>
      </c>
      <c r="BD48" s="25"/>
      <c r="BE48" s="25"/>
      <c r="BF48" s="26"/>
      <c r="BG48" s="25"/>
      <c r="BH48" s="27"/>
      <c r="BI48" s="184"/>
      <c r="BJ48" s="184"/>
      <c r="BK48" s="184"/>
      <c r="BL48" s="184"/>
      <c r="BM48" s="184"/>
      <c r="BN48" s="184"/>
      <c r="BO48" s="184"/>
      <c r="BP48" s="184"/>
      <c r="BQ48" s="184"/>
      <c r="BR48" s="184"/>
      <c r="BS48" s="184"/>
      <c r="BT48" s="184"/>
      <c r="BU48" s="51"/>
      <c r="BV48" s="51"/>
      <c r="BW48" s="51"/>
      <c r="BX48" s="51"/>
      <c r="BY48" s="51"/>
      <c r="BZ48" s="51"/>
      <c r="CA48" s="51" t="e">
        <f t="shared" ca="1" si="2"/>
        <v>#VALUE!</v>
      </c>
      <c r="CB48" s="51" t="e">
        <f t="shared" ca="1" si="2"/>
        <v>#VALUE!</v>
      </c>
      <c r="CC48" s="51"/>
      <c r="CD48" s="51"/>
      <c r="CE48" s="51"/>
      <c r="CF48" s="51"/>
      <c r="CG48" s="51"/>
      <c r="CH48" s="51"/>
      <c r="CI48" s="51"/>
      <c r="CJ48" s="51"/>
      <c r="CK48" s="51"/>
      <c r="CL48" s="51"/>
      <c r="CM48" s="51"/>
      <c r="CN48" s="51"/>
      <c r="CO48" s="51"/>
      <c r="CP48" s="51"/>
    </row>
    <row r="49" spans="1:94" s="18" customFormat="1" ht="16.5" x14ac:dyDescent="0.3">
      <c r="A49" s="59" t="str">
        <f>IF(OR(Roster!$A30&lt;&gt;"",Roster!$B30&lt;&gt;""),CONCATENATE(PROPER(Roster!$B30),", ",Roster!$A30),"")</f>
        <v xml:space="preserve">Team, </v>
      </c>
      <c r="B49" s="286" cm="1">
        <f t="array" aca="1" ref="B49" ca="1">SUMPRODUCT((PlayerGameData[Visible]=1)*(PlayerGameData[PLAYER, '#]=$A49)*(PlayerGameData[START]))</f>
        <v>0</v>
      </c>
      <c r="C49" s="287" cm="1">
        <f t="array" aca="1" ref="C49" ca="1">SUMPRODUCT((PlayerGameData[Visible]=1)*(PlayerGameData[PLAYER, '#]=$A49)*(PlayerGameData[GP]))</f>
        <v>0</v>
      </c>
      <c r="D49" s="288" cm="1">
        <f t="array" aca="1" ref="D49" ca="1">SUMPRODUCT((PlayerGameData[Visible]=1)*(PlayerGameData[PLAYER, '#]=$A49)*(PlayerGameData[MINUTES]))</f>
        <v>0</v>
      </c>
      <c r="E49" s="289" cm="1">
        <f t="array" aca="1" ref="E49" ca="1">SUMPRODUCT((PlayerGameData[Visible]=1)*(PlayerGameData[PLAYER, '#]=$A49)*(PlayerGameData[3FGM]))</f>
        <v>0</v>
      </c>
      <c r="F49" s="290" cm="1">
        <f t="array" aca="1" ref="F49" ca="1">SUMPRODUCT((PlayerGameData[Visible]=1)*(PlayerGameData[PLAYER, '#]=$A49)*(PlayerGameData[3FGA]))</f>
        <v>0</v>
      </c>
      <c r="G49" s="289" cm="1">
        <f t="array" aca="1" ref="G49" ca="1">SUMPRODUCT((PlayerGameData[Visible]=1)*(PlayerGameData[PLAYER, '#]=$A49)*(PlayerGameData[2FGM]))</f>
        <v>0</v>
      </c>
      <c r="H49" s="290" cm="1">
        <f t="array" aca="1" ref="H49" ca="1">SUMPRODUCT((PlayerGameData[Visible]=1)*(PlayerGameData[PLAYER, '#]=$A49)*(PlayerGameData[2FGA]))</f>
        <v>0</v>
      </c>
      <c r="I49" s="289" cm="1">
        <f t="array" aca="1" ref="I49" ca="1">SUMPRODUCT((PlayerGameData[Visible]=1)*(PlayerGameData[PLAYER, '#]=$A49)*(PlayerGameData[FTM]))</f>
        <v>0</v>
      </c>
      <c r="J49" s="290" cm="1">
        <f t="array" aca="1" ref="J49" ca="1">SUMPRODUCT((PlayerGameData[Visible]=1)*(PlayerGameData[PLAYER, '#]=$A49)*(PlayerGameData[FTA]))</f>
        <v>0</v>
      </c>
      <c r="K49" s="289" cm="1">
        <f t="array" aca="1" ref="K49" ca="1">SUMPRODUCT((PlayerGameData[Visible]=1)*(PlayerGameData[PLAYER, '#]=$A49)*(PlayerGameData[OFF REB]))</f>
        <v>2</v>
      </c>
      <c r="L49" s="289" cm="1">
        <f t="array" aca="1" ref="L49" ca="1">SUMPRODUCT((PlayerGameData[Visible]=1)*(PlayerGameData[PLAYER, '#]=$A49)*(PlayerGameData[DEF REB]))</f>
        <v>5</v>
      </c>
      <c r="M49" s="290">
        <f ca="1">K49+L49</f>
        <v>7</v>
      </c>
      <c r="N49" s="289" cm="1">
        <f t="array" aca="1" ref="N49" ca="1">SUMPRODUCT((PlayerGameData[Visible]=1)*(PlayerGameData[PLAYER, '#]=$A49)*(PlayerGameData[AST]))</f>
        <v>0</v>
      </c>
      <c r="O49" s="289" cm="1">
        <f t="array" aca="1" ref="O49" ca="1">SUMPRODUCT((PlayerGameData[Visible]=1)*(PlayerGameData[PLAYER, '#]=$A49)*(PlayerGameData[STL]))</f>
        <v>0</v>
      </c>
      <c r="P49" s="289" cm="1">
        <f t="array" aca="1" ref="P49" ca="1">SUMPRODUCT((PlayerGameData[Visible]=1)*(PlayerGameData[PLAYER, '#]=$A49)*(PlayerGameData[BLK]))</f>
        <v>0</v>
      </c>
      <c r="Q49" s="289" cm="1">
        <f t="array" aca="1" ref="Q49" ca="1">SUMPRODUCT((PlayerGameData[Visible]=1)*(PlayerGameData[PLAYER, '#]=$A49)*(PlayerGameData[TO]))</f>
        <v>0</v>
      </c>
      <c r="R49" s="289" cm="1">
        <f t="array" aca="1" ref="R49" ca="1">SUMPRODUCT((PlayerGameData[Visible]=1)*(PlayerGameData[PLAYER, '#]=$A49)*(PlayerGameData[FOUL]))</f>
        <v>0</v>
      </c>
      <c r="S49" s="291" cm="1">
        <f t="array" aca="1" ref="S49" ca="1">SUMPRODUCT((PlayerGameData[Visible]=1)*(PlayerGameData[PLAYER, '#]=$A49)*(PlayerGameData[CHRG TKN]))</f>
        <v>0</v>
      </c>
      <c r="T49" s="28">
        <f ca="1">IF(I49+2*G49+3*E49&gt;0,I49+2*G49+3*E49,0)</f>
        <v>0</v>
      </c>
      <c r="U49" s="29" t="str">
        <f ca="1">IF(F49&gt;0,E49/F49,"")</f>
        <v/>
      </c>
      <c r="V49" s="29" t="str">
        <f ca="1">IF(H49&gt;0,G49/H49,"")</f>
        <v/>
      </c>
      <c r="W49" s="30" t="str">
        <f ca="1">IF(J49&gt;0,I49/J49,"")</f>
        <v/>
      </c>
      <c r="X49" s="29" t="str">
        <f ca="1">IF(OR(F49&gt;0,H49 &gt;0),(E49+G49)/(F49+H49),"")</f>
        <v/>
      </c>
      <c r="Y49" s="31" t="str">
        <f ca="1">IF(OR(F49&gt;0,H49 &gt;0),(1.5*E49+G49)/(F49+H49),"")</f>
        <v/>
      </c>
      <c r="Z49" s="184"/>
      <c r="AA49" s="368" t="s">
        <v>124</v>
      </c>
      <c r="AB49" s="377">
        <f t="shared" ref="AB49:AD50" ca="1" si="55">AD40*65</f>
        <v>63.355201499531397</v>
      </c>
      <c r="AC49" s="377">
        <f t="shared" ca="1" si="55"/>
        <v>13.686348016244922</v>
      </c>
      <c r="AD49" s="377">
        <f t="shared" ca="1" si="55"/>
        <v>19.52012383900929</v>
      </c>
      <c r="AE49" s="378">
        <f ca="1">AB43*65</f>
        <v>33.383317713214616</v>
      </c>
      <c r="AF49" s="369"/>
      <c r="AG49" s="184"/>
      <c r="AH49" s="184"/>
      <c r="AI49" s="184"/>
      <c r="AJ49" s="59" t="str">
        <f>IF(OR(Roster!$A30&lt;&gt;"",Roster!$B30&lt;&gt;""),CONCATENATE(PROPER(Roster!$B30),", ",Roster!$A30),"")</f>
        <v xml:space="preserve">Team, </v>
      </c>
      <c r="AK49" s="286" cm="1">
        <f t="array" aca="1" ref="AK49" ca="1">SUMPRODUCT((PlayerGameData[Visible]=1)*(PlayerGameData[PLAYER, '#]=$A49)*(PlayerGameData[START]))</f>
        <v>0</v>
      </c>
      <c r="AL49" s="287" cm="1">
        <f t="array" aca="1" ref="AL49" ca="1">SUMPRODUCT((PlayerGameData[Visible]=1)*(PlayerGameData[PLAYER, '#]=$A49)*(PlayerGameData[GP]))</f>
        <v>0</v>
      </c>
      <c r="AM49" s="288" cm="1">
        <f t="array" aca="1" ref="AM49" ca="1">SUMPRODUCT((PlayerGameData[Visible]=1)*(PlayerGameData[PLAYER, '#]=$A49)*(PlayerGameData[MINUTES]))</f>
        <v>0</v>
      </c>
      <c r="AN49" s="289" cm="1">
        <f t="array" aca="1" ref="AN49" ca="1">SUMPRODUCT((PlayerGameData[Visible]=1)*(PlayerGameData[PLAYER, '#]=$A49)*(PlayerGameData[3FGM]))</f>
        <v>0</v>
      </c>
      <c r="AO49" s="290" cm="1">
        <f t="array" aca="1" ref="AO49" ca="1">SUMPRODUCT((PlayerGameData[Visible]=1)*(PlayerGameData[PLAYER, '#]=$A49)*(PlayerGameData[3FGA]))</f>
        <v>0</v>
      </c>
      <c r="AP49" s="289" cm="1">
        <f t="array" aca="1" ref="AP49" ca="1">SUMPRODUCT((PlayerGameData[Visible]=1)*(PlayerGameData[PLAYER, '#]=$A49)*(PlayerGameData[2FGM]))</f>
        <v>0</v>
      </c>
      <c r="AQ49" s="290" cm="1">
        <f t="array" aca="1" ref="AQ49" ca="1">SUMPRODUCT((PlayerGameData[Visible]=1)*(PlayerGameData[PLAYER, '#]=$A49)*(PlayerGameData[2FGA]))</f>
        <v>0</v>
      </c>
      <c r="AR49" s="289" cm="1">
        <f t="array" aca="1" ref="AR49" ca="1">SUMPRODUCT((PlayerGameData[Visible]=1)*(PlayerGameData[PLAYER, '#]=$A49)*(PlayerGameData[FTM]))</f>
        <v>0</v>
      </c>
      <c r="AS49" s="290" cm="1">
        <f t="array" aca="1" ref="AS49" ca="1">SUMPRODUCT((PlayerGameData[Visible]=1)*(PlayerGameData[PLAYER, '#]=$A49)*(PlayerGameData[FTA]))</f>
        <v>0</v>
      </c>
      <c r="AT49" s="289" cm="1">
        <f t="array" aca="1" ref="AT49" ca="1">SUMPRODUCT((PlayerGameData[Visible]=1)*(PlayerGameData[PLAYER, '#]=$A49)*(PlayerGameData[OFF REB]))</f>
        <v>2</v>
      </c>
      <c r="AU49" s="289" cm="1">
        <f t="array" aca="1" ref="AU49" ca="1">SUMPRODUCT((PlayerGameData[Visible]=1)*(PlayerGameData[PLAYER, '#]=$A49)*(PlayerGameData[DEF REB]))</f>
        <v>5</v>
      </c>
      <c r="AV49" s="290">
        <f ca="1">AT49+AU49</f>
        <v>7</v>
      </c>
      <c r="AW49" s="289" cm="1">
        <f t="array" aca="1" ref="AW49" ca="1">SUMPRODUCT((PlayerGameData[Visible]=1)*(PlayerGameData[PLAYER, '#]=$A49)*(PlayerGameData[AST]))</f>
        <v>0</v>
      </c>
      <c r="AX49" s="289" cm="1">
        <f t="array" aca="1" ref="AX49" ca="1">SUMPRODUCT((PlayerGameData[Visible]=1)*(PlayerGameData[PLAYER, '#]=$A49)*(PlayerGameData[STL]))</f>
        <v>0</v>
      </c>
      <c r="AY49" s="289" cm="1">
        <f t="array" aca="1" ref="AY49" ca="1">SUMPRODUCT((PlayerGameData[Visible]=1)*(PlayerGameData[PLAYER, '#]=$A49)*(PlayerGameData[BLK]))</f>
        <v>0</v>
      </c>
      <c r="AZ49" s="289" cm="1">
        <f t="array" aca="1" ref="AZ49" ca="1">SUMPRODUCT((PlayerGameData[Visible]=1)*(PlayerGameData[PLAYER, '#]=$A49)*(PlayerGameData[TO]))</f>
        <v>0</v>
      </c>
      <c r="BA49" s="289" cm="1">
        <f t="array" aca="1" ref="BA49" ca="1">SUMPRODUCT((PlayerGameData[Visible]=1)*(PlayerGameData[PLAYER, '#]=$A49)*(PlayerGameData[FOUL]))</f>
        <v>0</v>
      </c>
      <c r="BB49" s="291" cm="1">
        <f t="array" aca="1" ref="BB49" ca="1">SUMPRODUCT((PlayerGameData[Visible]=1)*(PlayerGameData[PLAYER, '#]=$A49)*(PlayerGameData[CHRG TKN]))</f>
        <v>0</v>
      </c>
      <c r="BC49" s="28">
        <f t="shared" ref="BC49" ca="1" si="56">IF(AR49+2*AP49+3*AN49&gt;0,AR49+2*AP49+3*AN49,0)</f>
        <v>0</v>
      </c>
      <c r="BD49" s="29" t="str">
        <f ca="1">IF(AO49&gt;0,AN49/AO49,"")</f>
        <v/>
      </c>
      <c r="BE49" s="29" t="str">
        <f ca="1">IF(AQ49&gt;0,AP49/AQ49,"")</f>
        <v/>
      </c>
      <c r="BF49" s="30" t="str">
        <f ca="1">IF(AS49&gt;0,AR49/AS49,"")</f>
        <v/>
      </c>
      <c r="BG49" s="29" t="str">
        <f ca="1">IF(OR(AO49&gt;0,AQ49 &gt;0),(AN49+AP49)/(AO49+AQ49),"")</f>
        <v/>
      </c>
      <c r="BH49" s="31" t="str">
        <f ca="1">IF(OR(AO49&gt;0,AQ49 &gt;0),(1.5*AN49+AP49)/(AO49+AQ49),"")</f>
        <v/>
      </c>
      <c r="BI49" s="184"/>
      <c r="BJ49" s="184"/>
      <c r="BK49" s="184"/>
      <c r="BL49" s="184"/>
      <c r="BM49" s="184"/>
      <c r="BN49" s="184"/>
      <c r="BO49" s="184"/>
      <c r="BP49" s="184"/>
      <c r="BQ49" s="184"/>
      <c r="BR49" s="184"/>
      <c r="BS49" s="184"/>
      <c r="BT49" s="184"/>
      <c r="BU49" s="51"/>
      <c r="BV49" s="51"/>
      <c r="BW49" s="51"/>
      <c r="BX49" s="51"/>
      <c r="BY49" s="51"/>
      <c r="BZ49" s="51"/>
      <c r="CA49" s="51">
        <f t="shared" ca="1" si="2"/>
        <v>0</v>
      </c>
      <c r="CB49" s="51">
        <f t="shared" ca="1" si="2"/>
        <v>0</v>
      </c>
      <c r="CC49" s="51"/>
      <c r="CD49" s="51"/>
      <c r="CE49" s="51"/>
      <c r="CF49" s="51"/>
      <c r="CG49" s="51"/>
      <c r="CH49" s="51"/>
      <c r="CI49" s="51"/>
      <c r="CJ49" s="51"/>
      <c r="CK49" s="51"/>
      <c r="CL49" s="51"/>
      <c r="CM49" s="51"/>
      <c r="CN49" s="51"/>
      <c r="CO49" s="51"/>
      <c r="CP49" s="51"/>
    </row>
    <row r="50" spans="1:94" s="18" customFormat="1" ht="17.25" thickBot="1" x14ac:dyDescent="0.35">
      <c r="A50" s="183" t="str">
        <f>IF(A49&lt;&gt;"","Per Game","")</f>
        <v>Per Game</v>
      </c>
      <c r="B50" s="294"/>
      <c r="C50" s="295"/>
      <c r="D50" s="296" t="str">
        <f ca="1">IFERROR(ROUND(D49/$C49,1),"")</f>
        <v/>
      </c>
      <c r="E50" s="300" t="str">
        <f t="shared" ref="E50:T50" ca="1" si="57">IFERROR(ROUND(E49/$C49,1),"")</f>
        <v/>
      </c>
      <c r="F50" s="301" t="str">
        <f t="shared" ca="1" si="57"/>
        <v/>
      </c>
      <c r="G50" s="300" t="str">
        <f t="shared" ca="1" si="57"/>
        <v/>
      </c>
      <c r="H50" s="301" t="str">
        <f t="shared" ca="1" si="57"/>
        <v/>
      </c>
      <c r="I50" s="300" t="str">
        <f t="shared" ca="1" si="57"/>
        <v/>
      </c>
      <c r="J50" s="301" t="str">
        <f t="shared" ca="1" si="57"/>
        <v/>
      </c>
      <c r="K50" s="300" t="str">
        <f t="shared" ca="1" si="57"/>
        <v/>
      </c>
      <c r="L50" s="300" t="str">
        <f t="shared" ca="1" si="57"/>
        <v/>
      </c>
      <c r="M50" s="301" t="str">
        <f t="shared" ca="1" si="57"/>
        <v/>
      </c>
      <c r="N50" s="300" t="str">
        <f t="shared" ca="1" si="57"/>
        <v/>
      </c>
      <c r="O50" s="300" t="str">
        <f t="shared" ca="1" si="57"/>
        <v/>
      </c>
      <c r="P50" s="300" t="str">
        <f t="shared" ca="1" si="57"/>
        <v/>
      </c>
      <c r="Q50" s="300" t="str">
        <f t="shared" ca="1" si="57"/>
        <v/>
      </c>
      <c r="R50" s="300" t="str">
        <f t="shared" ca="1" si="57"/>
        <v/>
      </c>
      <c r="S50" s="302" t="str">
        <f t="shared" ca="1" si="57"/>
        <v/>
      </c>
      <c r="T50" s="24" t="str">
        <f t="shared" ca="1" si="57"/>
        <v/>
      </c>
      <c r="U50" s="25"/>
      <c r="V50" s="25"/>
      <c r="W50" s="26"/>
      <c r="X50" s="25"/>
      <c r="Y50" s="27"/>
      <c r="Z50" s="184"/>
      <c r="AA50" s="368" t="s">
        <v>187</v>
      </c>
      <c r="AB50" s="377">
        <f t="shared" ca="1" si="55"/>
        <v>42.461300309597526</v>
      </c>
      <c r="AC50" s="377">
        <f t="shared" ca="1" si="55"/>
        <v>7.6068111455108358</v>
      </c>
      <c r="AD50" s="377">
        <f t="shared" ca="1" si="55"/>
        <v>18.031865042174321</v>
      </c>
      <c r="AE50" s="380">
        <f ca="1">AB44*65</f>
        <v>25.476780185758514</v>
      </c>
      <c r="AF50" s="369"/>
      <c r="AG50" s="184"/>
      <c r="AH50" s="184"/>
      <c r="AI50" s="184"/>
      <c r="AJ50" s="183" t="str">
        <f>IF(AJ49&lt;&gt;"","Per Minute","")</f>
        <v>Per Minute</v>
      </c>
      <c r="AK50" s="294"/>
      <c r="AL50" s="295"/>
      <c r="AM50" s="296" t="str">
        <f ca="1">IFERROR(ROUND(AM49/$C49,1),"")</f>
        <v/>
      </c>
      <c r="AN50" s="300" t="str">
        <f t="shared" ref="AN50:BC50" ca="1" si="58">IFERROR(ROUND(AN49/$D49,1),"")</f>
        <v/>
      </c>
      <c r="AO50" s="301" t="str">
        <f t="shared" ca="1" si="58"/>
        <v/>
      </c>
      <c r="AP50" s="300" t="str">
        <f t="shared" ca="1" si="58"/>
        <v/>
      </c>
      <c r="AQ50" s="301" t="str">
        <f t="shared" ca="1" si="58"/>
        <v/>
      </c>
      <c r="AR50" s="300" t="str">
        <f t="shared" ca="1" si="58"/>
        <v/>
      </c>
      <c r="AS50" s="301" t="str">
        <f t="shared" ca="1" si="58"/>
        <v/>
      </c>
      <c r="AT50" s="300" t="str">
        <f t="shared" ca="1" si="58"/>
        <v/>
      </c>
      <c r="AU50" s="300" t="str">
        <f t="shared" ca="1" si="58"/>
        <v/>
      </c>
      <c r="AV50" s="301" t="str">
        <f t="shared" ca="1" si="58"/>
        <v/>
      </c>
      <c r="AW50" s="300" t="str">
        <f t="shared" ca="1" si="58"/>
        <v/>
      </c>
      <c r="AX50" s="300" t="str">
        <f t="shared" ca="1" si="58"/>
        <v/>
      </c>
      <c r="AY50" s="300" t="str">
        <f t="shared" ca="1" si="58"/>
        <v/>
      </c>
      <c r="AZ50" s="300" t="str">
        <f t="shared" ca="1" si="58"/>
        <v/>
      </c>
      <c r="BA50" s="300" t="str">
        <f t="shared" ca="1" si="58"/>
        <v/>
      </c>
      <c r="BB50" s="302" t="str">
        <f t="shared" ca="1" si="58"/>
        <v/>
      </c>
      <c r="BC50" s="24" t="str">
        <f t="shared" ca="1" si="58"/>
        <v/>
      </c>
      <c r="BD50" s="25"/>
      <c r="BE50" s="25"/>
      <c r="BF50" s="26"/>
      <c r="BG50" s="25"/>
      <c r="BH50" s="27"/>
      <c r="BI50" s="184"/>
      <c r="BJ50" s="184"/>
      <c r="BK50" s="184"/>
      <c r="BL50" s="184"/>
      <c r="BM50" s="184"/>
      <c r="BN50" s="184"/>
      <c r="BO50" s="184"/>
      <c r="BP50" s="184"/>
      <c r="BQ50" s="184"/>
      <c r="BR50" s="184"/>
      <c r="BS50" s="184"/>
      <c r="BT50" s="184"/>
      <c r="BU50" s="51"/>
      <c r="BV50" s="51"/>
      <c r="BW50" s="51"/>
      <c r="BX50" s="51"/>
      <c r="BY50" s="51"/>
      <c r="BZ50" s="51"/>
      <c r="CA50" s="51" t="e">
        <f t="shared" ca="1" si="2"/>
        <v>#VALUE!</v>
      </c>
      <c r="CB50" s="51" t="e">
        <f t="shared" ca="1" si="2"/>
        <v>#VALUE!</v>
      </c>
      <c r="CC50" s="51"/>
      <c r="CD50" s="51"/>
      <c r="CE50" s="51"/>
      <c r="CF50" s="51"/>
      <c r="CG50" s="51"/>
      <c r="CH50" s="51"/>
      <c r="CI50" s="51"/>
      <c r="CJ50" s="51"/>
      <c r="CK50" s="51"/>
      <c r="CL50" s="51"/>
      <c r="CM50" s="51"/>
      <c r="CN50" s="51"/>
      <c r="CO50" s="51"/>
      <c r="CP50" s="51"/>
    </row>
    <row r="51" spans="1:94" s="18" customFormat="1" ht="17.25" thickBot="1" x14ac:dyDescent="0.35">
      <c r="A51" s="314" t="str">
        <f>CONCATENATE(A1," Totals")</f>
        <v>Upton Totals</v>
      </c>
      <c r="B51" s="315"/>
      <c r="C51" s="316" cm="1">
        <f t="array" aca="1" ref="C51" ca="1">SUMPRODUCT((TeamGameData[School, Opponent,Game'#]=$A$222:$A$261)*(TeamGameData[Visible]=1)*(TeamGameData[GP]))</f>
        <v>26</v>
      </c>
      <c r="D51" s="317" cm="1">
        <f t="array" aca="1" ref="D51" ca="1">SUMPRODUCT((TeamGameData[School, Opponent,Game'#]=$A$222:$A$261)*(TeamGameData[Visible]=1)*(TeamGameData[MINUTES]))</f>
        <v>832</v>
      </c>
      <c r="E51" s="32" cm="1">
        <f t="array" aca="1" ref="E51" ca="1">SUMPRODUCT((TeamGameData[School, Opponent,Game'#]=$A$222:$A$261)*(TeamGameData[Visible]=1)*(TeamGameData[3FGM]))</f>
        <v>159</v>
      </c>
      <c r="F51" s="33" cm="1">
        <f t="array" aca="1" ref="F51" ca="1">SUMPRODUCT((TeamGameData[School, Opponent,Game'#]=$A$222:$A$261)*(TeamGameData[Visible]=1)*(TeamGameData[3FGA]))</f>
        <v>561</v>
      </c>
      <c r="G51" s="32" cm="1">
        <f t="array" aca="1" ref="G51" ca="1">SUMPRODUCT((TeamGameData[School, Opponent,Game'#]=$A$222:$A$261)*(TeamGameData[Visible]=1)*(TeamGameData[2FGM]))</f>
        <v>442</v>
      </c>
      <c r="H51" s="33" cm="1">
        <f t="array" aca="1" ref="H51" ca="1">SUMPRODUCT((TeamGameData[School, Opponent,Game'#]=$A$222:$A$261)*(TeamGameData[Visible]=1)*(TeamGameData[2FGA]))</f>
        <v>859</v>
      </c>
      <c r="I51" s="32" cm="1">
        <f t="array" aca="1" ref="I51" ca="1">SUMPRODUCT((TeamGameData[School, Opponent,Game'#]=$A$222:$A$261)*(TeamGameData[Visible]=1)*(TeamGameData[FTM]))</f>
        <v>199</v>
      </c>
      <c r="J51" s="33" cm="1">
        <f t="array" aca="1" ref="J51" ca="1">SUMPRODUCT((TeamGameData[School, Opponent,Game'#]=$A$222:$A$261)*(TeamGameData[Visible]=1)*(TeamGameData[FTA]))</f>
        <v>349</v>
      </c>
      <c r="K51" s="32" cm="1">
        <f t="array" aca="1" ref="K51" ca="1">SUMPRODUCT((TeamGameData[School, Opponent,Game'#]=$A$222:$A$261)*(TeamGameData[Visible]=1)*(TeamGameData[OFF REB]))</f>
        <v>337</v>
      </c>
      <c r="L51" s="32" cm="1">
        <f t="array" aca="1" ref="L51" ca="1">SUMPRODUCT((TeamGameData[School, Opponent,Game'#]=$A$222:$A$261)*(TeamGameData[Visible]=1)*(TeamGameData[DEF REB]))</f>
        <v>485</v>
      </c>
      <c r="M51" s="33">
        <f ca="1">K51+L51</f>
        <v>822</v>
      </c>
      <c r="N51" s="32" cm="1">
        <f t="array" aca="1" ref="N51" ca="1">SUMPRODUCT((TeamGameData[School, Opponent,Game'#]=$A$222:$A$261)*(TeamGameData[Visible]=1)*(TeamGameData[AST]))</f>
        <v>414</v>
      </c>
      <c r="O51" s="32" cm="1">
        <f t="array" aca="1" ref="O51" ca="1">SUMPRODUCT((TeamGameData[School, Opponent,Game'#]=$A$222:$A$261)*(TeamGameData[Visible]=1)*(TeamGameData[STL]))</f>
        <v>306</v>
      </c>
      <c r="P51" s="32" cm="1">
        <f t="array" aca="1" ref="P51" ca="1">SUMPRODUCT((TeamGameData[School, Opponent,Game'#]=$A$222:$A$261)*(TeamGameData[Visible]=1)*(TeamGameData[BLK]))</f>
        <v>42</v>
      </c>
      <c r="Q51" s="32" cm="1">
        <f t="array" aca="1" ref="Q51" ca="1">SUMPRODUCT((TeamGameData[School, Opponent,Game'#]=$A$222:$A$261)*(TeamGameData[Visible]=1)*(TeamGameData[TO]))</f>
        <v>343</v>
      </c>
      <c r="R51" s="32" cm="1">
        <f t="array" aca="1" ref="R51" ca="1">SUMPRODUCT((TeamGameData[School, Opponent,Game'#]=$A$222:$A$261)*(TeamGameData[Visible]=1)*(TeamGameData[FOUL]))</f>
        <v>288</v>
      </c>
      <c r="S51" s="34" cm="1">
        <f t="array" aca="1" ref="S51" ca="1">SUMPRODUCT((TeamGameData[School, Opponent,Game'#]=$A$222:$A$261)*(TeamGameData[Visible]=1)*(TeamGameData[CHRG TKN]))</f>
        <v>24</v>
      </c>
      <c r="T51" s="35">
        <f ca="1">IF(I51+2*G51+3*E51&gt;0,I51+2*G51+3*E51,"")</f>
        <v>1560</v>
      </c>
      <c r="U51" s="36">
        <f ca="1">IF(F51&gt;0,E51/F51,"")</f>
        <v>0.28342245989304815</v>
      </c>
      <c r="V51" s="36">
        <f ca="1">IF(H51&gt;0,G51/H51,"")</f>
        <v>0.51455180442374859</v>
      </c>
      <c r="W51" s="37">
        <f ca="1">IF(J51&gt;0,I51/J51,"")</f>
        <v>0.57020057306590255</v>
      </c>
      <c r="X51" s="36">
        <f ca="1">IF(OR(F51&gt;0,H51 &gt;0),(E51+G51)/(F51+H51),"")</f>
        <v>0.4232394366197183</v>
      </c>
      <c r="Y51" s="38">
        <f ca="1">IF(OR(F51&gt;0,H51 &gt;0),(1.5*E51+G51)/(F51+H51),"")</f>
        <v>0.47922535211267608</v>
      </c>
      <c r="Z51" s="186"/>
      <c r="AA51" s="365"/>
      <c r="AB51" s="366" t="s">
        <v>346</v>
      </c>
      <c r="AC51" s="366" t="s">
        <v>347</v>
      </c>
      <c r="AD51" s="366" t="s">
        <v>348</v>
      </c>
      <c r="AE51" s="367" t="s">
        <v>349</v>
      </c>
      <c r="AF51" s="365"/>
      <c r="AG51" s="186"/>
      <c r="AH51" s="186"/>
      <c r="AI51" s="186"/>
      <c r="AJ51" s="314" t="str">
        <f>CONCATENATE(AJ1," Totals")</f>
        <v>Upton Totals</v>
      </c>
      <c r="AK51" s="315"/>
      <c r="AL51" s="316" cm="1">
        <f t="array" aca="1" ref="AL51" ca="1">SUMPRODUCT((TeamGameData[School, Opponent,Game'#]=$A$222:$A$261)*(TeamGameData[Visible]=1)*(TeamGameData[GP]))</f>
        <v>26</v>
      </c>
      <c r="AM51" s="317" cm="1">
        <f t="array" aca="1" ref="AM51" ca="1">SUMPRODUCT((TeamGameData[School, Opponent,Game'#]=$A$222:$A$261)*(TeamGameData[Visible]=1)*(TeamGameData[MINUTES]))</f>
        <v>832</v>
      </c>
      <c r="AN51" s="32" cm="1">
        <f t="array" aca="1" ref="AN51" ca="1">SUMPRODUCT((TeamGameData[School, Opponent,Game'#]=$A$222:$A$261)*(TeamGameData[Visible]=1)*(TeamGameData[3FGM]))</f>
        <v>159</v>
      </c>
      <c r="AO51" s="33" cm="1">
        <f t="array" aca="1" ref="AO51" ca="1">SUMPRODUCT((TeamGameData[School, Opponent,Game'#]=$A$222:$A$261)*(TeamGameData[Visible]=1)*(TeamGameData[3FGA]))</f>
        <v>561</v>
      </c>
      <c r="AP51" s="32" cm="1">
        <f t="array" aca="1" ref="AP51" ca="1">SUMPRODUCT((TeamGameData[School, Opponent,Game'#]=$A$222:$A$261)*(TeamGameData[Visible]=1)*(TeamGameData[2FGM]))</f>
        <v>442</v>
      </c>
      <c r="AQ51" s="33" cm="1">
        <f t="array" aca="1" ref="AQ51" ca="1">SUMPRODUCT((TeamGameData[School, Opponent,Game'#]=$A$222:$A$261)*(TeamGameData[Visible]=1)*(TeamGameData[2FGA]))</f>
        <v>859</v>
      </c>
      <c r="AR51" s="32" cm="1">
        <f t="array" aca="1" ref="AR51" ca="1">SUMPRODUCT((TeamGameData[School, Opponent,Game'#]=$A$222:$A$261)*(TeamGameData[Visible]=1)*(TeamGameData[FTM]))</f>
        <v>199</v>
      </c>
      <c r="AS51" s="33" cm="1">
        <f t="array" aca="1" ref="AS51" ca="1">SUMPRODUCT((TeamGameData[School, Opponent,Game'#]=$A$222:$A$261)*(TeamGameData[Visible]=1)*(TeamGameData[FTA]))</f>
        <v>349</v>
      </c>
      <c r="AT51" s="32" cm="1">
        <f t="array" aca="1" ref="AT51" ca="1">SUMPRODUCT((TeamGameData[School, Opponent,Game'#]=$A$222:$A$261)*(TeamGameData[Visible]=1)*(TeamGameData[OFF REB]))</f>
        <v>337</v>
      </c>
      <c r="AU51" s="32" cm="1">
        <f t="array" aca="1" ref="AU51" ca="1">SUMPRODUCT((TeamGameData[School, Opponent,Game'#]=$A$222:$A$261)*(TeamGameData[Visible]=1)*(TeamGameData[DEF REB]))</f>
        <v>485</v>
      </c>
      <c r="AV51" s="33">
        <f ca="1">AT51+AU51</f>
        <v>822</v>
      </c>
      <c r="AW51" s="32" cm="1">
        <f t="array" aca="1" ref="AW51" ca="1">SUMPRODUCT((TeamGameData[School, Opponent,Game'#]=$A$222:$A$261)*(TeamGameData[Visible]=1)*(TeamGameData[AST]))</f>
        <v>414</v>
      </c>
      <c r="AX51" s="32" cm="1">
        <f t="array" aca="1" ref="AX51" ca="1">SUMPRODUCT((TeamGameData[School, Opponent,Game'#]=$A$222:$A$261)*(TeamGameData[Visible]=1)*(TeamGameData[STL]))</f>
        <v>306</v>
      </c>
      <c r="AY51" s="32" cm="1">
        <f t="array" aca="1" ref="AY51" ca="1">SUMPRODUCT((TeamGameData[School, Opponent,Game'#]=$A$222:$A$261)*(TeamGameData[Visible]=1)*(TeamGameData[BLK]))</f>
        <v>42</v>
      </c>
      <c r="AZ51" s="32" cm="1">
        <f t="array" aca="1" ref="AZ51" ca="1">SUMPRODUCT((TeamGameData[School, Opponent,Game'#]=$A$222:$A$261)*(TeamGameData[Visible]=1)*(TeamGameData[TO]))</f>
        <v>343</v>
      </c>
      <c r="BA51" s="32" cm="1">
        <f t="array" aca="1" ref="BA51" ca="1">SUMPRODUCT((TeamGameData[School, Opponent,Game'#]=$A$222:$A$261)*(TeamGameData[Visible]=1)*(TeamGameData[FOUL]))</f>
        <v>288</v>
      </c>
      <c r="BB51" s="34" cm="1">
        <f t="array" aca="1" ref="BB51" ca="1">SUMPRODUCT((TeamGameData[School, Opponent,Game'#]=$A$222:$A$261)*(TeamGameData[Visible]=1)*(TeamGameData[CHRG TKN]))</f>
        <v>24</v>
      </c>
      <c r="BC51" s="35">
        <f ca="1">IF(AR51+2*AP51+3*AN51&gt;0,AR51+2*AP51+3*AN51,"")</f>
        <v>1560</v>
      </c>
      <c r="BD51" s="36">
        <f ca="1">IF(AO51&gt;0,AN51/AO51,"")</f>
        <v>0.28342245989304815</v>
      </c>
      <c r="BE51" s="36">
        <f ca="1">IF(AQ51&gt;0,AP51/AQ51,"")</f>
        <v>0.51455180442374859</v>
      </c>
      <c r="BF51" s="37">
        <f ca="1">IF(AS51&gt;0,AR51/AS51,"")</f>
        <v>0.57020057306590255</v>
      </c>
      <c r="BG51" s="36">
        <f ca="1">IF(OR(AO51&gt;0,AQ51 &gt;0),(AN51+AP51)/(AO51+AQ51),"")</f>
        <v>0.4232394366197183</v>
      </c>
      <c r="BH51" s="38">
        <f ca="1">IF(OR(AO51&gt;0,AQ51 &gt;0),(1.5*AN51+AP51)/(AO51+AQ51),"")</f>
        <v>0.47922535211267608</v>
      </c>
      <c r="BI51" s="186"/>
      <c r="BJ51" s="186"/>
      <c r="BK51" s="186"/>
      <c r="BL51" s="186"/>
      <c r="BM51" s="186"/>
      <c r="BN51" s="186"/>
      <c r="BO51" s="186"/>
      <c r="BP51" s="186"/>
      <c r="BQ51" s="186"/>
      <c r="BR51" s="186"/>
      <c r="BS51" s="186"/>
      <c r="BT51" s="186"/>
      <c r="BU51" s="318">
        <f ca="1">F51+H51</f>
        <v>1420</v>
      </c>
      <c r="BV51" s="318">
        <f ca="1">BU51+J51</f>
        <v>1769</v>
      </c>
      <c r="BW51" s="318">
        <f ca="1">3*E51</f>
        <v>477</v>
      </c>
      <c r="BX51" s="318">
        <f ca="1">2*G51</f>
        <v>884</v>
      </c>
      <c r="BY51" s="318">
        <f ca="1">I51</f>
        <v>199</v>
      </c>
      <c r="BZ51" s="319">
        <f ca="1">K51/(K51+L52)</f>
        <v>0.43149807938540335</v>
      </c>
      <c r="CA51" s="51">
        <f t="shared" ca="1" si="2"/>
        <v>601</v>
      </c>
      <c r="CB51" s="51">
        <f t="shared" ca="1" si="2"/>
        <v>1420</v>
      </c>
      <c r="CC51" s="320">
        <f ca="1">ROUND(F51+H51+0.475*J51-K51+Q51,0)</f>
        <v>1592</v>
      </c>
      <c r="CD51" s="320" cm="1">
        <f t="array" aca="1" ref="CD51" ca="1">SUMPRODUCT((TeamGameData[School, Opponent,Game'#]=$A$222:$A$261)*(TeamGameData[Visible]=1)*(TeamGameData[Q1]))</f>
        <v>422</v>
      </c>
      <c r="CE51" s="320" cm="1">
        <f t="array" aca="1" ref="CE51" ca="1">SUMPRODUCT((TeamGameData[School, Opponent,Game'#]=$A$222:$A$261)*(TeamGameData[Visible]=1)*(TeamGameData[Q2]))</f>
        <v>419</v>
      </c>
      <c r="CF51" s="320" cm="1">
        <f t="array" aca="1" ref="CF51" ca="1">SUMPRODUCT((TeamGameData[School, Opponent,Game'#]=$A$222:$A$261)*(TeamGameData[Visible]=1)*(TeamGameData[Q3]))</f>
        <v>362</v>
      </c>
      <c r="CG51" s="320" cm="1">
        <f t="array" aca="1" ref="CG51" ca="1">SUMPRODUCT((TeamGameData[School, Opponent,Game'#]=$A$222:$A$261)*(TeamGameData[Visible]=1)*(TeamGameData[Q4]))</f>
        <v>348</v>
      </c>
      <c r="CH51" s="320" cm="1">
        <f t="array" aca="1" ref="CH51" ca="1">SUMPRODUCT((TeamGameData[School, Opponent,Game'#]=$A$222:$A$261)*(TeamGameData[Visible]=1)*(TeamGameData[OT]))</f>
        <v>9</v>
      </c>
      <c r="CI51" s="51">
        <f ca="1">SUM($CD51:CD51)</f>
        <v>422</v>
      </c>
      <c r="CJ51" s="51">
        <f ca="1">SUM($CD51:CE51)</f>
        <v>841</v>
      </c>
      <c r="CK51" s="51">
        <f ca="1">SUM($CD51:CF51)</f>
        <v>1203</v>
      </c>
      <c r="CL51" s="51">
        <f ca="1">SUM($CD51:CG51)</f>
        <v>1551</v>
      </c>
      <c r="CM51" s="51">
        <f ca="1">SUM($CD51:CH51)</f>
        <v>1560</v>
      </c>
      <c r="CN51" s="51"/>
      <c r="CO51" s="51"/>
      <c r="CP51" s="51"/>
    </row>
    <row r="52" spans="1:94" s="18" customFormat="1" ht="17.25" thickBot="1" x14ac:dyDescent="0.35">
      <c r="A52" s="321" t="s">
        <v>162</v>
      </c>
      <c r="B52" s="52"/>
      <c r="C52" s="155" cm="1">
        <f t="array" aca="1" ref="C52" ca="1">SUMPRODUCT((TeamGameData[School, Opponent,Game'#]=$A$222:$A$261)*(TeamGameData[Visible]=1)*(TeamGameData[Opp GP]))</f>
        <v>26</v>
      </c>
      <c r="D52" s="39" cm="1">
        <f t="array" aca="1" ref="D52" ca="1">SUMPRODUCT((TeamGameData[School, Opponent,Game'#]=$A$222:$A$261)*(TeamGameData[Visible]=1)*(TeamGameData[Opp MINUTES]))</f>
        <v>26</v>
      </c>
      <c r="E52" s="322" cm="1">
        <f t="array" aca="1" ref="E52" ca="1">SUMPRODUCT((TeamGameData[School, Opponent,Game'#]=$A$222:$A$261)*(TeamGameData[Visible]=1)*(TeamGameData[Opp 3FGM]))</f>
        <v>101</v>
      </c>
      <c r="F52" s="323" cm="1">
        <f t="array" aca="1" ref="F52" ca="1">SUMPRODUCT((TeamGameData[School, Opponent,Game'#]=$A$222:$A$261)*(TeamGameData[Visible]=1)*(TeamGameData[Opp 3FGA]))</f>
        <v>375</v>
      </c>
      <c r="G52" s="322" cm="1">
        <f t="array" aca="1" ref="G52" ca="1">SUMPRODUCT((TeamGameData[School, Opponent,Game'#]=$A$222:$A$261)*(TeamGameData[Visible]=1)*(TeamGameData[Opp 2FGM]))</f>
        <v>317</v>
      </c>
      <c r="H52" s="323" cm="1">
        <f t="array" aca="1" ref="H52" ca="1">SUMPRODUCT((TeamGameData[School, Opponent,Game'#]=$A$222:$A$261)*(TeamGameData[Visible]=1)*(TeamGameData[Opp 2FGA]))</f>
        <v>784</v>
      </c>
      <c r="I52" s="324" cm="1">
        <f t="array" aca="1" ref="I52" ca="1">SUMPRODUCT((TeamGameData[School, Opponent,Game'#]=$A$222:$A$261)*(TeamGameData[Visible]=1)*(TeamGameData[Opp FTM]))</f>
        <v>118</v>
      </c>
      <c r="J52" s="323" cm="1">
        <f t="array" aca="1" ref="J52" ca="1">SUMPRODUCT((TeamGameData[School, Opponent,Game'#]=$A$222:$A$261)*(TeamGameData[Visible]=1)*(TeamGameData[Opp FTA]))</f>
        <v>234</v>
      </c>
      <c r="K52" s="322" cm="1">
        <f t="array" aca="1" ref="K52" ca="1">SUMPRODUCT((TeamGameData[School, Opponent,Game'#]=$A$222:$A$261)*(TeamGameData[Visible]=1)*(TeamGameData[Opp OFF REB]))</f>
        <v>189</v>
      </c>
      <c r="L52" s="322" cm="1">
        <f t="array" aca="1" ref="L52" ca="1">SUMPRODUCT((TeamGameData[School, Opponent,Game'#]=$A$222:$A$261)*(TeamGameData[Visible]=1)*(TeamGameData[Opp DEF REB]))</f>
        <v>444</v>
      </c>
      <c r="M52" s="323">
        <f ca="1">K52+L52</f>
        <v>633</v>
      </c>
      <c r="N52" s="322" cm="1">
        <f t="array" aca="1" ref="N52" ca="1">SUMPRODUCT((TeamGameData[School, Opponent,Game'#]=$A$222:$A$261)*(TeamGameData[Visible]=1)*(TeamGameData[Opp AST]))</f>
        <v>269</v>
      </c>
      <c r="O52" s="322" cm="1">
        <f t="array" aca="1" ref="O52" ca="1">SUMPRODUCT((TeamGameData[School, Opponent,Game'#]=$A$222:$A$261)*(TeamGameData[Visible]=1)*(TeamGameData[Opp STL]))</f>
        <v>182</v>
      </c>
      <c r="P52" s="322" cm="1">
        <f t="array" aca="1" ref="P52" ca="1">SUMPRODUCT((TeamGameData[School, Opponent,Game'#]=$A$222:$A$261)*(TeamGameData[Visible]=1)*(TeamGameData[Opp BLK]))</f>
        <v>48</v>
      </c>
      <c r="Q52" s="322" cm="1">
        <f t="array" aca="1" ref="Q52" ca="1">SUMPRODUCT((TeamGameData[School, Opponent,Game'#]=$A$222:$A$261)*(TeamGameData[Visible]=1)*(TeamGameData[Opp TO]))</f>
        <v>528</v>
      </c>
      <c r="R52" s="322" cm="1">
        <f t="array" aca="1" ref="R52" ca="1">SUMPRODUCT((TeamGameData[School, Opponent,Game'#]=$A$222:$A$261)*(TeamGameData[Visible]=1)*(TeamGameData[Opp FOUL]))</f>
        <v>297</v>
      </c>
      <c r="S52" s="325" cm="1">
        <f t="array" aca="1" ref="S52" ca="1">SUMPRODUCT((TeamGameData[School, Opponent,Game'#]=$A$222:$A$261)*(TeamGameData[Visible]=1)*(TeamGameData[Opp CHRG TAKEN]))</f>
        <v>6</v>
      </c>
      <c r="T52" s="40">
        <f ca="1">IF(I52+2*G52+3*E52&gt;0,I52+2*G52+3*E52,"")</f>
        <v>1055</v>
      </c>
      <c r="U52" s="41">
        <f ca="1">IF(F52&gt;0,E52/F52,"")</f>
        <v>0.26933333333333331</v>
      </c>
      <c r="V52" s="41">
        <f ca="1">IF(H52&gt;0,G52/H52,"")</f>
        <v>0.40433673469387754</v>
      </c>
      <c r="W52" s="42">
        <f ca="1">IF(J52&gt;0,I52/J52,"")</f>
        <v>0.50427350427350426</v>
      </c>
      <c r="X52" s="41">
        <f ca="1">IF(OR(F52&gt;0,H52 &gt;0),(E52+G52)/(F52+H52),"")</f>
        <v>0.36065573770491804</v>
      </c>
      <c r="Y52" s="43">
        <f ca="1">IF(OR(F52&gt;0,H52 &gt;0),(1.5*E52+G52)/(F52+H52),"")</f>
        <v>0.40422778257118203</v>
      </c>
      <c r="Z52" s="187"/>
      <c r="AA52" s="365"/>
      <c r="AB52" s="377">
        <f t="shared" ref="AB52:AE53" ca="1" si="59">AC43*65</f>
        <v>16.813495782567948</v>
      </c>
      <c r="AC52" s="377">
        <f t="shared" ca="1" si="59"/>
        <v>12.315789473684211</v>
      </c>
      <c r="AD52" s="377">
        <f t="shared" ca="1" si="59"/>
        <v>1.6904024767801857</v>
      </c>
      <c r="AE52" s="377">
        <f t="shared" ca="1" si="59"/>
        <v>13.930021868166198</v>
      </c>
      <c r="AF52" s="365"/>
      <c r="AG52" s="187"/>
      <c r="AH52" s="187"/>
      <c r="AI52" s="187"/>
      <c r="AJ52" s="321" t="s">
        <v>162</v>
      </c>
      <c r="AK52" s="52"/>
      <c r="AL52" s="155" cm="1">
        <f t="array" aca="1" ref="AL52" ca="1">SUMPRODUCT((TeamGameData[School, Opponent,Game'#]=$A$222:$A$261)*(TeamGameData[Visible]=1)*(TeamGameData[Opp GP]))</f>
        <v>26</v>
      </c>
      <c r="AM52" s="39" cm="1">
        <f t="array" aca="1" ref="AM52" ca="1">SUMPRODUCT((TeamGameData[School, Opponent,Game'#]=$A$222:$A$261)*(TeamGameData[Visible]=1)*(TeamGameData[Opp MINUTES]))</f>
        <v>26</v>
      </c>
      <c r="AN52" s="322" cm="1">
        <f t="array" aca="1" ref="AN52" ca="1">SUMPRODUCT((TeamGameData[School, Opponent,Game'#]=$A$222:$A$261)*(TeamGameData[Visible]=1)*(TeamGameData[Opp 3FGM]))</f>
        <v>101</v>
      </c>
      <c r="AO52" s="323" cm="1">
        <f t="array" aca="1" ref="AO52" ca="1">SUMPRODUCT((TeamGameData[School, Opponent,Game'#]=$A$222:$A$261)*(TeamGameData[Visible]=1)*(TeamGameData[Opp 3FGA]))</f>
        <v>375</v>
      </c>
      <c r="AP52" s="322" cm="1">
        <f t="array" aca="1" ref="AP52" ca="1">SUMPRODUCT((TeamGameData[School, Opponent,Game'#]=$A$222:$A$261)*(TeamGameData[Visible]=1)*(TeamGameData[Opp 2FGM]))</f>
        <v>317</v>
      </c>
      <c r="AQ52" s="323" cm="1">
        <f t="array" aca="1" ref="AQ52" ca="1">SUMPRODUCT((TeamGameData[School, Opponent,Game'#]=$A$222:$A$261)*(TeamGameData[Visible]=1)*(TeamGameData[Opp 2FGA]))</f>
        <v>784</v>
      </c>
      <c r="AR52" s="324" cm="1">
        <f t="array" aca="1" ref="AR52" ca="1">SUMPRODUCT((TeamGameData[School, Opponent,Game'#]=$A$222:$A$261)*(TeamGameData[Visible]=1)*(TeamGameData[Opp FTM]))</f>
        <v>118</v>
      </c>
      <c r="AS52" s="323" cm="1">
        <f t="array" aca="1" ref="AS52" ca="1">SUMPRODUCT((TeamGameData[School, Opponent,Game'#]=$A$222:$A$261)*(TeamGameData[Visible]=1)*(TeamGameData[Opp FTA]))</f>
        <v>234</v>
      </c>
      <c r="AT52" s="322" cm="1">
        <f t="array" aca="1" ref="AT52" ca="1">SUMPRODUCT((TeamGameData[School, Opponent,Game'#]=$A$222:$A$261)*(TeamGameData[Visible]=1)*(TeamGameData[Opp OFF REB]))</f>
        <v>189</v>
      </c>
      <c r="AU52" s="322" cm="1">
        <f t="array" aca="1" ref="AU52" ca="1">SUMPRODUCT((TeamGameData[School, Opponent,Game'#]=$A$222:$A$261)*(TeamGameData[Visible]=1)*(TeamGameData[Opp DEF REB]))</f>
        <v>444</v>
      </c>
      <c r="AV52" s="323">
        <f ca="1">AT52+AU52</f>
        <v>633</v>
      </c>
      <c r="AW52" s="322" cm="1">
        <f t="array" aca="1" ref="AW52" ca="1">SUMPRODUCT((TeamGameData[School, Opponent,Game'#]=$A$222:$A$261)*(TeamGameData[Visible]=1)*(TeamGameData[Opp AST]))</f>
        <v>269</v>
      </c>
      <c r="AX52" s="322" cm="1">
        <f t="array" aca="1" ref="AX52" ca="1">SUMPRODUCT((TeamGameData[School, Opponent,Game'#]=$A$222:$A$261)*(TeamGameData[Visible]=1)*(TeamGameData[Opp STL]))</f>
        <v>182</v>
      </c>
      <c r="AY52" s="322" cm="1">
        <f t="array" aca="1" ref="AY52" ca="1">SUMPRODUCT((TeamGameData[School, Opponent,Game'#]=$A$222:$A$261)*(TeamGameData[Visible]=1)*(TeamGameData[Opp BLK]))</f>
        <v>48</v>
      </c>
      <c r="AZ52" s="322" cm="1">
        <f t="array" aca="1" ref="AZ52" ca="1">SUMPRODUCT((TeamGameData[School, Opponent,Game'#]=$A$222:$A$261)*(TeamGameData[Visible]=1)*(TeamGameData[Opp TO]))</f>
        <v>528</v>
      </c>
      <c r="BA52" s="322" cm="1">
        <f t="array" aca="1" ref="BA52" ca="1">SUMPRODUCT((TeamGameData[School, Opponent,Game'#]=$A$222:$A$261)*(TeamGameData[Visible]=1)*(TeamGameData[Opp FOUL]))</f>
        <v>297</v>
      </c>
      <c r="BB52" s="325" cm="1">
        <f t="array" aca="1" ref="BB52" ca="1">SUMPRODUCT((TeamGameData[School, Opponent,Game'#]=$A$222:$A$261)*(TeamGameData[Visible]=1)*(TeamGameData[Opp CHRG TAKEN]))</f>
        <v>6</v>
      </c>
      <c r="BC52" s="40">
        <f ca="1">IF(AR52+2*AP52+3*AN52&gt;0,AR52+2*AP52+3*AN52,"")</f>
        <v>1055</v>
      </c>
      <c r="BD52" s="41">
        <f ca="1">IF(AO52&gt;0,AN52/AO52,"")</f>
        <v>0.26933333333333331</v>
      </c>
      <c r="BE52" s="41">
        <f ca="1">IF(AQ52&gt;0,AP52/AQ52,"")</f>
        <v>0.40433673469387754</v>
      </c>
      <c r="BF52" s="42">
        <f ca="1">IF(AS52&gt;0,AR52/AS52,"")</f>
        <v>0.50427350427350426</v>
      </c>
      <c r="BG52" s="41">
        <f ca="1">IF(OR(AO52&gt;0,AQ52 &gt;0),(AN52+AP52)/(AO52+AQ52),"")</f>
        <v>0.36065573770491804</v>
      </c>
      <c r="BH52" s="43">
        <f ca="1">IF(OR(AO52&gt;0,AQ52 &gt;0),(1.5*AN52+AP52)/(AO52+AQ52),"")</f>
        <v>0.40422778257118203</v>
      </c>
      <c r="BI52" s="187"/>
      <c r="BJ52" s="187"/>
      <c r="BK52" s="187"/>
      <c r="BL52" s="187"/>
      <c r="BM52" s="187"/>
      <c r="BN52" s="187"/>
      <c r="BO52" s="187"/>
      <c r="BP52" s="187"/>
      <c r="BQ52" s="187"/>
      <c r="BR52" s="187"/>
      <c r="BS52" s="187"/>
      <c r="BT52" s="187"/>
      <c r="BU52" s="318">
        <f ca="1">F52+H52</f>
        <v>1159</v>
      </c>
      <c r="BV52" s="318">
        <f ca="1">BU52+J52</f>
        <v>1393</v>
      </c>
      <c r="BW52" s="318">
        <f ca="1">3*E52</f>
        <v>303</v>
      </c>
      <c r="BX52" s="318">
        <f ca="1">2*G52</f>
        <v>634</v>
      </c>
      <c r="BY52" s="318">
        <f ca="1">I52</f>
        <v>118</v>
      </c>
      <c r="BZ52" s="319">
        <f ca="1">K52/(K52+L51)</f>
        <v>0.28041543026706234</v>
      </c>
      <c r="CA52" s="51">
        <f t="shared" ca="1" si="2"/>
        <v>418</v>
      </c>
      <c r="CB52" s="51">
        <f t="shared" ca="1" si="2"/>
        <v>1159</v>
      </c>
      <c r="CC52" s="320">
        <f t="shared" ref="CC52:CC54" ca="1" si="60">ROUND(F52+H52+0.475*J52-K52+Q52,0)</f>
        <v>1609</v>
      </c>
      <c r="CD52" s="320" cm="1">
        <f t="array" aca="1" ref="CD52" ca="1">SUMPRODUCT((TeamGameData[School, Opponent,Game'#]=$A$222:$A$261)*(TeamGameData[Visible]=1)*(TeamGameData[Opp Q1]))</f>
        <v>235</v>
      </c>
      <c r="CE52" s="320" cm="1">
        <f t="array" aca="1" ref="CE52" ca="1">SUMPRODUCT((TeamGameData[School, Opponent,Game'#]=$A$222:$A$261)*(TeamGameData[Visible]=1)*(TeamGameData[Opp Q2]))</f>
        <v>243</v>
      </c>
      <c r="CF52" s="320" cm="1">
        <f t="array" aca="1" ref="CF52" ca="1">SUMPRODUCT((TeamGameData[School, Opponent,Game'#]=$A$222:$A$261)*(TeamGameData[Visible]=1)*(TeamGameData[Opp Q3]))</f>
        <v>277</v>
      </c>
      <c r="CG52" s="320" cm="1">
        <f t="array" aca="1" ref="CG52" ca="1">SUMPRODUCT((TeamGameData[School, Opponent,Game'#]=$A$222:$A$261)*(TeamGameData[Visible]=1)*(TeamGameData[Opp Q4]))</f>
        <v>289</v>
      </c>
      <c r="CH52" s="320" cm="1">
        <f t="array" aca="1" ref="CH52" ca="1">SUMPRODUCT((TeamGameData[School, Opponent,Game'#]=$A$222:$A$261)*(TeamGameData[Visible]=1)*(TeamGameData[Opp OT]))</f>
        <v>11</v>
      </c>
      <c r="CI52" s="51">
        <f ca="1">SUM($CD52:CD52)</f>
        <v>235</v>
      </c>
      <c r="CJ52" s="51">
        <f ca="1">SUM($CD52:CE52)</f>
        <v>478</v>
      </c>
      <c r="CK52" s="51">
        <f ca="1">SUM($CD52:CF52)</f>
        <v>755</v>
      </c>
      <c r="CL52" s="51">
        <f ca="1">SUM($CD52:CG52)</f>
        <v>1044</v>
      </c>
      <c r="CM52" s="51">
        <f ca="1">SUM($CD52:CH52)</f>
        <v>1055</v>
      </c>
      <c r="CN52" s="51"/>
      <c r="CO52" s="51"/>
      <c r="CP52" s="51"/>
    </row>
    <row r="53" spans="1:94" s="18" customFormat="1" ht="18" thickTop="1" thickBot="1" x14ac:dyDescent="0.35">
      <c r="A53" s="326" t="str">
        <f>CONCATENATE(A1," GM AVG")</f>
        <v>Upton GM AVG</v>
      </c>
      <c r="B53" s="327"/>
      <c r="C53" s="328"/>
      <c r="D53" s="329" t="str">
        <f t="shared" ref="D53" si="61">IF($B$51&gt;0,ROUND(D51/$B$51,1),"")</f>
        <v/>
      </c>
      <c r="E53" s="32">
        <f t="shared" ref="E53:T53" ca="1" si="62">IF($C$51&gt;0,ROUND(E51/$C$51,1),"")</f>
        <v>6.1</v>
      </c>
      <c r="F53" s="33">
        <f t="shared" ca="1" si="62"/>
        <v>21.6</v>
      </c>
      <c r="G53" s="32">
        <f t="shared" ca="1" si="62"/>
        <v>17</v>
      </c>
      <c r="H53" s="33">
        <f t="shared" ca="1" si="62"/>
        <v>33</v>
      </c>
      <c r="I53" s="32">
        <f t="shared" ca="1" si="62"/>
        <v>7.7</v>
      </c>
      <c r="J53" s="33">
        <f t="shared" ca="1" si="62"/>
        <v>13.4</v>
      </c>
      <c r="K53" s="32">
        <f t="shared" ca="1" si="62"/>
        <v>13</v>
      </c>
      <c r="L53" s="32">
        <f t="shared" ca="1" si="62"/>
        <v>18.7</v>
      </c>
      <c r="M53" s="33">
        <f t="shared" ca="1" si="62"/>
        <v>31.6</v>
      </c>
      <c r="N53" s="32">
        <f t="shared" ca="1" si="62"/>
        <v>15.9</v>
      </c>
      <c r="O53" s="32">
        <f t="shared" ca="1" si="62"/>
        <v>11.8</v>
      </c>
      <c r="P53" s="32">
        <f t="shared" ca="1" si="62"/>
        <v>1.6</v>
      </c>
      <c r="Q53" s="32">
        <f t="shared" ca="1" si="62"/>
        <v>13.2</v>
      </c>
      <c r="R53" s="32">
        <f t="shared" ca="1" si="62"/>
        <v>11.1</v>
      </c>
      <c r="S53" s="34">
        <f t="shared" ca="1" si="62"/>
        <v>0.9</v>
      </c>
      <c r="T53" s="35">
        <f t="shared" ca="1" si="62"/>
        <v>60</v>
      </c>
      <c r="U53" s="36"/>
      <c r="V53" s="36"/>
      <c r="W53" s="37"/>
      <c r="X53" s="36"/>
      <c r="Y53" s="38"/>
      <c r="Z53" s="186"/>
      <c r="AA53" s="372"/>
      <c r="AB53" s="379">
        <f t="shared" ca="1" si="59"/>
        <v>10.826625386996904</v>
      </c>
      <c r="AC53" s="379">
        <f t="shared" ca="1" si="59"/>
        <v>7.3914401749453296</v>
      </c>
      <c r="AD53" s="379">
        <f t="shared" ca="1" si="59"/>
        <v>1.9493908153701969</v>
      </c>
      <c r="AE53" s="379">
        <f t="shared" ca="1" si="59"/>
        <v>21.25077399380805</v>
      </c>
      <c r="AF53" s="365"/>
      <c r="AG53" s="186"/>
      <c r="AH53" s="186"/>
      <c r="AI53" s="186"/>
      <c r="AJ53" s="326" t="str">
        <f>CONCATENATE(AJ1," GM AVG")</f>
        <v>Upton GM AVG</v>
      </c>
      <c r="AK53" s="327"/>
      <c r="AL53" s="328"/>
      <c r="AM53" s="329" t="str">
        <f t="shared" ref="AM53" si="63">IF($B$51&gt;0,ROUND(AM51/$B$51,1),"")</f>
        <v/>
      </c>
      <c r="AN53" s="32">
        <f t="shared" ref="AN53:BC53" ca="1" si="64">IF($C$51&gt;0,ROUND(AN51/$C$51,1),"")</f>
        <v>6.1</v>
      </c>
      <c r="AO53" s="33">
        <f t="shared" ca="1" si="64"/>
        <v>21.6</v>
      </c>
      <c r="AP53" s="32">
        <f t="shared" ca="1" si="64"/>
        <v>17</v>
      </c>
      <c r="AQ53" s="33">
        <f t="shared" ca="1" si="64"/>
        <v>33</v>
      </c>
      <c r="AR53" s="32">
        <f t="shared" ca="1" si="64"/>
        <v>7.7</v>
      </c>
      <c r="AS53" s="33">
        <f t="shared" ca="1" si="64"/>
        <v>13.4</v>
      </c>
      <c r="AT53" s="32">
        <f t="shared" ca="1" si="64"/>
        <v>13</v>
      </c>
      <c r="AU53" s="32">
        <f t="shared" ca="1" si="64"/>
        <v>18.7</v>
      </c>
      <c r="AV53" s="33">
        <f t="shared" ca="1" si="64"/>
        <v>31.6</v>
      </c>
      <c r="AW53" s="32">
        <f t="shared" ca="1" si="64"/>
        <v>15.9</v>
      </c>
      <c r="AX53" s="32">
        <f t="shared" ca="1" si="64"/>
        <v>11.8</v>
      </c>
      <c r="AY53" s="32">
        <f t="shared" ca="1" si="64"/>
        <v>1.6</v>
      </c>
      <c r="AZ53" s="32">
        <f t="shared" ca="1" si="64"/>
        <v>13.2</v>
      </c>
      <c r="BA53" s="32">
        <f t="shared" ca="1" si="64"/>
        <v>11.1</v>
      </c>
      <c r="BB53" s="34">
        <f t="shared" ca="1" si="64"/>
        <v>0.9</v>
      </c>
      <c r="BC53" s="35">
        <f t="shared" ca="1" si="64"/>
        <v>60</v>
      </c>
      <c r="BD53" s="36"/>
      <c r="BE53" s="36"/>
      <c r="BF53" s="37"/>
      <c r="BG53" s="36"/>
      <c r="BH53" s="38"/>
      <c r="BI53" s="186"/>
      <c r="BJ53" s="186"/>
      <c r="BK53" s="186"/>
      <c r="BL53" s="186"/>
      <c r="BM53" s="186"/>
      <c r="BN53" s="186"/>
      <c r="BO53" s="186"/>
      <c r="BP53" s="186"/>
      <c r="BQ53" s="186"/>
      <c r="BR53" s="186"/>
      <c r="BS53" s="186"/>
      <c r="BT53" s="186"/>
      <c r="BU53" s="318">
        <f ca="1">F53+H53</f>
        <v>54.6</v>
      </c>
      <c r="BV53" s="318">
        <f ca="1">BU53+J53</f>
        <v>68</v>
      </c>
      <c r="BW53" s="318">
        <f ca="1">3*E53</f>
        <v>18.299999999999997</v>
      </c>
      <c r="BX53" s="318">
        <f ca="1">2*G53</f>
        <v>34</v>
      </c>
      <c r="BY53" s="318">
        <f ca="1">I53</f>
        <v>7.7</v>
      </c>
      <c r="BZ53" s="319">
        <f ca="1">K53/(K53+L54)</f>
        <v>0.43189368770764119</v>
      </c>
      <c r="CA53" s="319">
        <f ca="1">L53/(L53+K54)</f>
        <v>0.71923076923076923</v>
      </c>
      <c r="CB53" s="319">
        <f ca="1">N53/(E53+G53)</f>
        <v>0.68831168831168832</v>
      </c>
      <c r="CC53" s="320">
        <f t="shared" ca="1" si="60"/>
        <v>61</v>
      </c>
      <c r="CD53" s="330">
        <f ca="1">CD51/$C51</f>
        <v>16.23076923076923</v>
      </c>
      <c r="CE53" s="330">
        <f ca="1">CE51/$C51</f>
        <v>16.115384615384617</v>
      </c>
      <c r="CF53" s="330">
        <f ca="1">CF51/$C51</f>
        <v>13.923076923076923</v>
      </c>
      <c r="CG53" s="330">
        <f ca="1">CG51/$C51</f>
        <v>13.384615384615385</v>
      </c>
      <c r="CH53" s="330">
        <f ca="1">CH51/$C51</f>
        <v>0.34615384615384615</v>
      </c>
      <c r="CI53" s="331">
        <f ca="1">SUM($CD53:CD53)</f>
        <v>16.23076923076923</v>
      </c>
      <c r="CJ53" s="331">
        <f ca="1">SUM($CD53:CE53)</f>
        <v>32.346153846153847</v>
      </c>
      <c r="CK53" s="331">
        <f ca="1">SUM($CD53:CF53)</f>
        <v>46.269230769230774</v>
      </c>
      <c r="CL53" s="331">
        <f ca="1">SUM($CD53:CG53)</f>
        <v>59.65384615384616</v>
      </c>
      <c r="CM53" s="331">
        <f ca="1">SUM($CD53:CH53)</f>
        <v>60.000000000000007</v>
      </c>
      <c r="CN53" s="51"/>
      <c r="CO53" s="51"/>
      <c r="CP53" s="51"/>
    </row>
    <row r="54" spans="1:94" s="18" customFormat="1" ht="17.25" thickBot="1" x14ac:dyDescent="0.35">
      <c r="A54" s="332" t="s">
        <v>232</v>
      </c>
      <c r="B54" s="53"/>
      <c r="C54" s="156"/>
      <c r="D54" s="44" t="str">
        <f t="shared" ref="D54" si="65">IF($B$52&gt;0,ROUND(D52/$B$52,1),"")</f>
        <v/>
      </c>
      <c r="E54" s="333">
        <f t="shared" ref="E54:T54" ca="1" si="66">IF($C$52&gt;0,ROUND(E52/$C$52,1),"")</f>
        <v>3.9</v>
      </c>
      <c r="F54" s="334">
        <f t="shared" ca="1" si="66"/>
        <v>14.4</v>
      </c>
      <c r="G54" s="333">
        <f t="shared" ca="1" si="66"/>
        <v>12.2</v>
      </c>
      <c r="H54" s="334">
        <f t="shared" ca="1" si="66"/>
        <v>30.2</v>
      </c>
      <c r="I54" s="335">
        <f t="shared" ca="1" si="66"/>
        <v>4.5</v>
      </c>
      <c r="J54" s="334">
        <f t="shared" ca="1" si="66"/>
        <v>9</v>
      </c>
      <c r="K54" s="333">
        <f t="shared" ca="1" si="66"/>
        <v>7.3</v>
      </c>
      <c r="L54" s="333">
        <f t="shared" ca="1" si="66"/>
        <v>17.100000000000001</v>
      </c>
      <c r="M54" s="334">
        <f t="shared" ca="1" si="66"/>
        <v>24.3</v>
      </c>
      <c r="N54" s="333">
        <f t="shared" ca="1" si="66"/>
        <v>10.3</v>
      </c>
      <c r="O54" s="333">
        <f t="shared" ca="1" si="66"/>
        <v>7</v>
      </c>
      <c r="P54" s="333">
        <f t="shared" ca="1" si="66"/>
        <v>1.8</v>
      </c>
      <c r="Q54" s="333">
        <f t="shared" ca="1" si="66"/>
        <v>20.3</v>
      </c>
      <c r="R54" s="333">
        <f t="shared" ca="1" si="66"/>
        <v>11.4</v>
      </c>
      <c r="S54" s="336">
        <f t="shared" ca="1" si="66"/>
        <v>0.2</v>
      </c>
      <c r="T54" s="54">
        <f t="shared" ca="1" si="66"/>
        <v>40.6</v>
      </c>
      <c r="U54" s="45"/>
      <c r="V54" s="45"/>
      <c r="W54" s="55"/>
      <c r="X54" s="45"/>
      <c r="Y54" s="46"/>
      <c r="Z54" s="187"/>
      <c r="AA54" s="187"/>
      <c r="AB54" s="187"/>
      <c r="AC54" s="187"/>
      <c r="AD54" s="187"/>
      <c r="AE54" s="187"/>
      <c r="AF54" s="187"/>
      <c r="AG54" s="187"/>
      <c r="AH54" s="187"/>
      <c r="AI54" s="187"/>
      <c r="AJ54" s="332" t="s">
        <v>232</v>
      </c>
      <c r="AK54" s="53"/>
      <c r="AL54" s="156"/>
      <c r="AM54" s="44" t="str">
        <f t="shared" ref="AM54" si="67">IF($B$52&gt;0,ROUND(AM52/$B$52,1),"")</f>
        <v/>
      </c>
      <c r="AN54" s="333">
        <f t="shared" ref="AN54:BC54" ca="1" si="68">IF($C$52&gt;0,ROUND(AN52/$C$52,1),"")</f>
        <v>3.9</v>
      </c>
      <c r="AO54" s="334">
        <f t="shared" ca="1" si="68"/>
        <v>14.4</v>
      </c>
      <c r="AP54" s="333">
        <f t="shared" ca="1" si="68"/>
        <v>12.2</v>
      </c>
      <c r="AQ54" s="334">
        <f t="shared" ca="1" si="68"/>
        <v>30.2</v>
      </c>
      <c r="AR54" s="335">
        <f t="shared" ca="1" si="68"/>
        <v>4.5</v>
      </c>
      <c r="AS54" s="334">
        <f t="shared" ca="1" si="68"/>
        <v>9</v>
      </c>
      <c r="AT54" s="333">
        <f t="shared" ca="1" si="68"/>
        <v>7.3</v>
      </c>
      <c r="AU54" s="333">
        <f t="shared" ca="1" si="68"/>
        <v>17.100000000000001</v>
      </c>
      <c r="AV54" s="334">
        <f t="shared" ca="1" si="68"/>
        <v>24.3</v>
      </c>
      <c r="AW54" s="333">
        <f t="shared" ca="1" si="68"/>
        <v>10.3</v>
      </c>
      <c r="AX54" s="333">
        <f t="shared" ca="1" si="68"/>
        <v>7</v>
      </c>
      <c r="AY54" s="333">
        <f t="shared" ca="1" si="68"/>
        <v>1.8</v>
      </c>
      <c r="AZ54" s="333">
        <f t="shared" ca="1" si="68"/>
        <v>20.3</v>
      </c>
      <c r="BA54" s="333">
        <f t="shared" ca="1" si="68"/>
        <v>11.4</v>
      </c>
      <c r="BB54" s="336">
        <f t="shared" ca="1" si="68"/>
        <v>0.2</v>
      </c>
      <c r="BC54" s="54">
        <f t="shared" ca="1" si="68"/>
        <v>40.6</v>
      </c>
      <c r="BD54" s="45"/>
      <c r="BE54" s="45"/>
      <c r="BF54" s="55"/>
      <c r="BG54" s="45"/>
      <c r="BH54" s="46"/>
      <c r="BI54" s="187"/>
      <c r="BJ54" s="187"/>
      <c r="BK54" s="187"/>
      <c r="BL54" s="187"/>
      <c r="BM54" s="187"/>
      <c r="BN54" s="187"/>
      <c r="BO54" s="187"/>
      <c r="BP54" s="187"/>
      <c r="BQ54" s="187"/>
      <c r="BR54" s="187"/>
      <c r="BS54" s="187"/>
      <c r="BT54" s="187"/>
      <c r="BU54" s="318">
        <f ca="1">F54+H54</f>
        <v>44.6</v>
      </c>
      <c r="BV54" s="318">
        <f ca="1">BU54+J54</f>
        <v>53.6</v>
      </c>
      <c r="BW54" s="318">
        <f ca="1">3*E54</f>
        <v>11.7</v>
      </c>
      <c r="BX54" s="318">
        <f ca="1">2*G54</f>
        <v>24.4</v>
      </c>
      <c r="BY54" s="318">
        <f ca="1">I54</f>
        <v>4.5</v>
      </c>
      <c r="BZ54" s="319">
        <f ca="1">K54/(K54+L53)</f>
        <v>0.28076923076923077</v>
      </c>
      <c r="CA54" s="319">
        <f ca="1">L54/(L54+K53)</f>
        <v>0.56810631229235886</v>
      </c>
      <c r="CB54" s="319">
        <f ca="1">N54/(E54+G54)</f>
        <v>0.63975155279503115</v>
      </c>
      <c r="CC54" s="320">
        <f t="shared" ca="1" si="60"/>
        <v>62</v>
      </c>
      <c r="CD54" s="330">
        <f ca="1">CD52/$C51</f>
        <v>9.0384615384615383</v>
      </c>
      <c r="CE54" s="330">
        <f ca="1">CE52/$C51</f>
        <v>9.3461538461538467</v>
      </c>
      <c r="CF54" s="330">
        <f ca="1">CF52/$C51</f>
        <v>10.653846153846153</v>
      </c>
      <c r="CG54" s="330">
        <f ca="1">CG52/$C51</f>
        <v>11.115384615384615</v>
      </c>
      <c r="CH54" s="330">
        <f ca="1">CH52/$C51</f>
        <v>0.42307692307692307</v>
      </c>
      <c r="CI54" s="331">
        <f ca="1">SUM($CD54:CD54)</f>
        <v>9.0384615384615383</v>
      </c>
      <c r="CJ54" s="331">
        <f ca="1">SUM($CD54:CE54)</f>
        <v>18.384615384615387</v>
      </c>
      <c r="CK54" s="331">
        <f ca="1">SUM($CD54:CF54)</f>
        <v>29.03846153846154</v>
      </c>
      <c r="CL54" s="331">
        <f ca="1">SUM($CD54:CG54)</f>
        <v>40.153846153846153</v>
      </c>
      <c r="CM54" s="331">
        <f ca="1">SUM($CD54:CH54)</f>
        <v>40.576923076923073</v>
      </c>
      <c r="CN54" s="51"/>
      <c r="CO54" s="51"/>
      <c r="CP54" s="51"/>
    </row>
    <row r="55" spans="1:94" ht="6.6" customHeight="1" thickBot="1" x14ac:dyDescent="0.35">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Y55" s="337" t="s">
        <v>160</v>
      </c>
      <c r="Z55" s="337"/>
      <c r="AA55" s="337"/>
      <c r="AB55" s="337"/>
      <c r="AC55" s="337"/>
      <c r="AD55" s="337"/>
      <c r="AE55" s="337"/>
      <c r="AF55" s="337"/>
      <c r="AG55" s="337"/>
      <c r="AH55" s="337"/>
      <c r="AI55" s="337"/>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H55" s="337"/>
      <c r="BI55" s="337"/>
      <c r="BJ55" s="337"/>
      <c r="BK55" s="337"/>
      <c r="BL55" s="337"/>
      <c r="BM55" s="337"/>
      <c r="BN55" s="337"/>
      <c r="BO55" s="337"/>
      <c r="BP55" s="337"/>
      <c r="BQ55" s="337"/>
      <c r="BR55" s="337"/>
      <c r="BS55" s="337"/>
      <c r="BT55" s="337"/>
      <c r="BU55" s="337" t="s">
        <v>168</v>
      </c>
      <c r="BV55" s="337" t="s">
        <v>180</v>
      </c>
      <c r="BW55" s="337" t="s">
        <v>181</v>
      </c>
      <c r="BX55" s="337" t="s">
        <v>182</v>
      </c>
      <c r="BY55" s="337" t="s">
        <v>183</v>
      </c>
      <c r="BZ55" s="337" t="s">
        <v>184</v>
      </c>
      <c r="CA55" s="337" t="s">
        <v>185</v>
      </c>
      <c r="CB55" s="338" t="s">
        <v>257</v>
      </c>
      <c r="CC55" s="338" t="s">
        <v>174</v>
      </c>
      <c r="CD55" s="338" t="s">
        <v>175</v>
      </c>
      <c r="CE55" s="338" t="s">
        <v>176</v>
      </c>
      <c r="CF55" s="338" t="s">
        <v>177</v>
      </c>
      <c r="CG55" s="338" t="s">
        <v>258</v>
      </c>
      <c r="CH55" s="338" t="s">
        <v>174</v>
      </c>
      <c r="CI55" s="338" t="s">
        <v>175</v>
      </c>
      <c r="CJ55" s="338" t="s">
        <v>176</v>
      </c>
      <c r="CK55" s="338" t="s">
        <v>177</v>
      </c>
      <c r="CL55" s="338" t="s">
        <v>258</v>
      </c>
    </row>
    <row r="56" spans="1:94" ht="14.85" customHeight="1" x14ac:dyDescent="0.3">
      <c r="A56" s="339" t="s">
        <v>163</v>
      </c>
      <c r="B56" s="339"/>
      <c r="C56" s="340"/>
      <c r="D56" s="341"/>
      <c r="E56" s="245"/>
      <c r="F56" s="398" t="s">
        <v>172</v>
      </c>
      <c r="G56" s="399"/>
      <c r="H56" s="399"/>
      <c r="I56" s="399"/>
      <c r="J56" s="399"/>
      <c r="K56" s="399"/>
      <c r="L56" s="400"/>
      <c r="M56" s="245"/>
      <c r="N56" s="398" t="s">
        <v>169</v>
      </c>
      <c r="O56" s="399"/>
      <c r="P56" s="399"/>
      <c r="Q56" s="399"/>
      <c r="R56" s="399"/>
      <c r="S56" s="399"/>
      <c r="T56" s="400"/>
      <c r="U56" s="245"/>
      <c r="V56" s="245"/>
      <c r="W56" s="245"/>
      <c r="Y56" s="48"/>
      <c r="Z56" s="48"/>
      <c r="AA56" s="48"/>
      <c r="AB56" s="48"/>
      <c r="AC56" s="48"/>
      <c r="AD56" s="48"/>
      <c r="AE56" s="48"/>
      <c r="AF56" s="48"/>
      <c r="AG56" s="48"/>
      <c r="AH56" s="48"/>
      <c r="AI56" s="48"/>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48"/>
      <c r="BJ56" s="48"/>
      <c r="BK56" s="48"/>
      <c r="BL56" s="48"/>
      <c r="BM56" s="48"/>
      <c r="BN56" s="48"/>
      <c r="BO56" s="48"/>
      <c r="BP56" s="48"/>
      <c r="BQ56" s="48"/>
      <c r="BR56" s="48"/>
      <c r="BS56" s="48"/>
      <c r="BT56" s="48"/>
      <c r="BU56" s="48"/>
      <c r="BV56" s="48"/>
      <c r="BW56" s="48"/>
      <c r="BX56" s="48"/>
      <c r="BY56" s="48"/>
    </row>
    <row r="57" spans="1:94" ht="16.5" x14ac:dyDescent="0.3">
      <c r="A57" s="343" t="str">
        <f ca="1">IFERROR(INDEX(PlayerGameData[Player '#, Opponent,Game'#],MATCH($BU57,PlayerGameData[PointRank],0),1),"")</f>
        <v>Ethan Schiller, 23 - Wright 2/18/2023</v>
      </c>
      <c r="B57" s="344"/>
      <c r="C57" s="344"/>
      <c r="D57" s="345">
        <f ca="1">IFERROR(INDEX(PlayerGameData[TL PTS],MATCH($BU57,PlayerGameData[PointRank],0),1),"")</f>
        <v>27</v>
      </c>
      <c r="E57" s="245"/>
      <c r="F57" s="346" t="str">
        <f ca="1">IFERROR(INDEX(PlayerGameData[Player '#, Opponent,Game'#],MATCH($BU57,PlayerGameData[REBRank],0),1),"")</f>
        <v>Ethan Schiller, 23 - Meeteetse 12/17/2022</v>
      </c>
      <c r="G57" s="347"/>
      <c r="H57" s="347"/>
      <c r="I57" s="347"/>
      <c r="J57" s="347"/>
      <c r="L57" s="345">
        <f ca="1">IFERROR(INDEX(PlayerGameData[REB],MATCH($BU57,PlayerGameData[REBRank],0),1),"")</f>
        <v>15</v>
      </c>
      <c r="M57" s="245"/>
      <c r="N57" s="346" t="str">
        <f ca="1">IFERROR(INDEX(PlayerGameData[Player '#, Opponent,Game'#],MATCH($BU57,PlayerGameData[ASTRank],0),1),"")</f>
        <v>Ethan Schiller, 23 - Hulett 2/17/2023</v>
      </c>
      <c r="O57" s="347"/>
      <c r="P57" s="347"/>
      <c r="Q57" s="347"/>
      <c r="R57" s="347"/>
      <c r="T57" s="345">
        <f ca="1">IFERROR(INDEX(PlayerGameData[AST],MATCH($BU57,PlayerGameData[ASTRank],0),1),"")</f>
        <v>8</v>
      </c>
      <c r="U57" s="245"/>
      <c r="V57" s="245"/>
      <c r="W57" s="245"/>
      <c r="Y57" s="48"/>
      <c r="Z57" s="48"/>
      <c r="AA57" s="48"/>
      <c r="AB57" s="48"/>
      <c r="AC57" s="48"/>
      <c r="AD57" s="48"/>
      <c r="AE57" s="48"/>
      <c r="AF57" s="48"/>
      <c r="AG57" s="48"/>
      <c r="AH57" s="48"/>
      <c r="AI57" s="48"/>
      <c r="AJ57" s="342"/>
      <c r="AK57" s="342"/>
      <c r="AL57" s="342"/>
      <c r="AM57" s="342"/>
      <c r="AN57" s="342"/>
      <c r="AO57" s="342"/>
      <c r="AP57" s="342"/>
      <c r="AQ57" s="342"/>
      <c r="AR57" s="342"/>
      <c r="AS57" s="342"/>
      <c r="AT57" s="342"/>
      <c r="AU57" s="342"/>
      <c r="AV57" s="342"/>
      <c r="AW57" s="342"/>
      <c r="AX57" s="342"/>
      <c r="AY57" s="342"/>
      <c r="AZ57" s="342"/>
      <c r="BA57" s="342"/>
      <c r="BB57" s="342"/>
      <c r="BC57" s="342"/>
      <c r="BD57" s="342"/>
      <c r="BE57" s="342"/>
      <c r="BF57" s="342"/>
      <c r="BG57" s="342"/>
      <c r="BH57" s="342"/>
      <c r="BI57" s="48"/>
      <c r="BJ57" s="48"/>
      <c r="BK57" s="48"/>
      <c r="BL57" s="48"/>
      <c r="BM57" s="48"/>
      <c r="BN57" s="48"/>
      <c r="BO57" s="48"/>
      <c r="BP57" s="48"/>
      <c r="BQ57" s="48"/>
      <c r="BR57" s="48"/>
      <c r="BS57" s="48"/>
      <c r="BT57" s="48"/>
      <c r="BU57" s="48">
        <v>1</v>
      </c>
      <c r="BV57" s="48"/>
      <c r="BW57" s="48"/>
      <c r="BX57" s="48"/>
      <c r="BY57" s="48"/>
    </row>
    <row r="58" spans="1:94" ht="16.5" x14ac:dyDescent="0.3">
      <c r="A58" s="346" t="str">
        <f ca="1">IFERROR(INDEX(PlayerGameData[Player '#, Opponent,Game'#],MATCH($BU58,PlayerGameData[PointRank],0),1),"")</f>
        <v>Chase Mills, 5 - Faith, SD 1/13/2023</v>
      </c>
      <c r="B58" s="13"/>
      <c r="C58" s="13"/>
      <c r="D58" s="345">
        <f ca="1">IFERROR(INDEX(PlayerGameData[TL PTS],MATCH($BU58,PlayerGameData[PointRank],0),1),"")</f>
        <v>25</v>
      </c>
      <c r="E58" s="245"/>
      <c r="F58" s="346" t="str">
        <f ca="1">IFERROR(INDEX(PlayerGameData[Player '#, Opponent,Game'#],MATCH($BU58,PlayerGameData[REBRank],0),1),"")</f>
        <v>Kailer Duarte, 31 - Meeteetse 12/17/2022</v>
      </c>
      <c r="G58" s="347"/>
      <c r="H58" s="347"/>
      <c r="I58" s="347"/>
      <c r="J58" s="347"/>
      <c r="L58" s="345">
        <f ca="1">IFERROR(INDEX(PlayerGameData[REB],MATCH($BU58,PlayerGameData[REBRank],0),1),"")</f>
        <v>12</v>
      </c>
      <c r="M58" s="245"/>
      <c r="N58" s="346" t="str">
        <f ca="1">IFERROR(INDEX(PlayerGameData[Player '#, Opponent,Game'#],MATCH($BU58,PlayerGameData[ASTRank],0),1),"")</f>
        <v>Ethan Schiller, 23 - Midwest 2/4/2023</v>
      </c>
      <c r="O58" s="347"/>
      <c r="P58" s="347"/>
      <c r="Q58" s="347"/>
      <c r="R58" s="347"/>
      <c r="T58" s="345">
        <f ca="1">IFERROR(INDEX(PlayerGameData[AST],MATCH($BU58,PlayerGameData[ASTRank],0),1),"")</f>
        <v>8</v>
      </c>
      <c r="U58" s="245"/>
      <c r="V58" s="245"/>
      <c r="W58" s="245"/>
      <c r="Y58" s="48"/>
      <c r="Z58" s="48"/>
      <c r="AA58" s="48"/>
      <c r="AB58" s="48"/>
      <c r="AC58" s="48"/>
      <c r="AD58" s="48"/>
      <c r="AE58" s="48"/>
      <c r="AF58" s="48"/>
      <c r="AG58" s="48"/>
      <c r="AH58" s="48"/>
      <c r="AI58" s="48"/>
      <c r="AJ58" s="342"/>
      <c r="AK58" s="342"/>
      <c r="AL58" s="342"/>
      <c r="AM58" s="342"/>
      <c r="AN58" s="342"/>
      <c r="AO58" s="342"/>
      <c r="AP58" s="342"/>
      <c r="AQ58" s="342"/>
      <c r="AR58" s="342"/>
      <c r="AS58" s="342"/>
      <c r="AT58" s="342"/>
      <c r="AU58" s="342"/>
      <c r="AV58" s="342"/>
      <c r="AW58" s="342"/>
      <c r="AX58" s="342"/>
      <c r="AY58" s="342"/>
      <c r="AZ58" s="342"/>
      <c r="BA58" s="342"/>
      <c r="BB58" s="342"/>
      <c r="BC58" s="342"/>
      <c r="BD58" s="342"/>
      <c r="BE58" s="342"/>
      <c r="BF58" s="342"/>
      <c r="BG58" s="342"/>
      <c r="BH58" s="342"/>
      <c r="BI58" s="48"/>
      <c r="BJ58" s="48"/>
      <c r="BK58" s="48"/>
      <c r="BL58" s="48"/>
      <c r="BM58" s="48"/>
      <c r="BN58" s="48"/>
      <c r="BO58" s="48"/>
      <c r="BP58" s="48"/>
      <c r="BQ58" s="48"/>
      <c r="BR58" s="48"/>
      <c r="BS58" s="48"/>
      <c r="BT58" s="48"/>
      <c r="BU58" s="48">
        <v>2</v>
      </c>
      <c r="BV58" s="48"/>
      <c r="BW58" s="48"/>
      <c r="BX58" s="48"/>
      <c r="BY58" s="48"/>
    </row>
    <row r="59" spans="1:94" ht="17.25" thickBot="1" x14ac:dyDescent="0.35">
      <c r="A59" s="348" t="str">
        <f ca="1">IFERROR(INDEX(PlayerGameData[Player '#, Opponent,Game'#],MATCH($BU59,PlayerGameData[PointRank],0),1),"")</f>
        <v>Chase Mills, 5 - Moorcroft 1/14/2023</v>
      </c>
      <c r="B59" s="349"/>
      <c r="C59" s="349"/>
      <c r="D59" s="350">
        <f ca="1">IFERROR(INDEX(PlayerGameData[TL PTS],MATCH($BU59,PlayerGameData[PointRank],0),1),"")</f>
        <v>22</v>
      </c>
      <c r="E59" s="245"/>
      <c r="F59" s="348" t="str">
        <f ca="1">IFERROR(INDEX(PlayerGameData[Player '#, Opponent,Game'#],MATCH($BU59,PlayerGameData[REBRank],0),1),"")</f>
        <v>Ethan Schiller, 23 - Hulett 1/27/2023</v>
      </c>
      <c r="G59" s="351"/>
      <c r="H59" s="351"/>
      <c r="I59" s="351"/>
      <c r="J59" s="351"/>
      <c r="K59" s="352"/>
      <c r="L59" s="350">
        <f ca="1">IFERROR(INDEX(PlayerGameData[REB],MATCH($BU59,PlayerGameData[REBRank],0),1),"")</f>
        <v>12</v>
      </c>
      <c r="M59" s="245"/>
      <c r="N59" s="348" t="str">
        <f ca="1">IFERROR(INDEX(PlayerGameData[Player '#, Opponent,Game'#],MATCH($BU59,PlayerGameData[ASTRank],0),1),"")</f>
        <v>Chase Mills, 5 - Moorcroft 1/9/2023</v>
      </c>
      <c r="O59" s="351"/>
      <c r="P59" s="351"/>
      <c r="Q59" s="351"/>
      <c r="R59" s="351"/>
      <c r="S59" s="352"/>
      <c r="T59" s="350">
        <f ca="1">IFERROR(INDEX(PlayerGameData[AST],MATCH($BU59,PlayerGameData[ASTRank],0),1),"")</f>
        <v>7</v>
      </c>
      <c r="U59" s="245"/>
      <c r="V59" s="245"/>
      <c r="W59" s="245"/>
      <c r="Y59" s="48"/>
      <c r="Z59" s="48"/>
      <c r="AA59" s="48"/>
      <c r="AB59" s="48"/>
      <c r="AC59" s="48"/>
      <c r="AD59" s="48"/>
      <c r="AE59" s="48"/>
      <c r="AF59" s="48"/>
      <c r="AG59" s="48"/>
      <c r="AH59" s="48"/>
      <c r="AI59" s="48"/>
      <c r="AJ59" s="342"/>
      <c r="AK59" s="342"/>
      <c r="AL59" s="342"/>
      <c r="AM59" s="342"/>
      <c r="AN59" s="342"/>
      <c r="AO59" s="342"/>
      <c r="AP59" s="342"/>
      <c r="AQ59" s="342"/>
      <c r="AR59" s="342"/>
      <c r="AS59" s="342"/>
      <c r="AT59" s="342"/>
      <c r="AU59" s="342"/>
      <c r="AV59" s="342"/>
      <c r="AW59" s="342"/>
      <c r="AX59" s="342"/>
      <c r="AY59" s="342"/>
      <c r="AZ59" s="342"/>
      <c r="BA59" s="342"/>
      <c r="BB59" s="342"/>
      <c r="BC59" s="342"/>
      <c r="BD59" s="342"/>
      <c r="BE59" s="342"/>
      <c r="BF59" s="342"/>
      <c r="BG59" s="342"/>
      <c r="BH59" s="342"/>
      <c r="BI59" s="48"/>
      <c r="BJ59" s="48"/>
      <c r="BK59" s="48"/>
      <c r="BL59" s="48"/>
      <c r="BM59" s="48"/>
      <c r="BN59" s="48"/>
      <c r="BO59" s="48"/>
      <c r="BP59" s="48"/>
      <c r="BQ59" s="48"/>
      <c r="BR59" s="48"/>
      <c r="BS59" s="48"/>
      <c r="BT59" s="48"/>
      <c r="BU59" s="48">
        <v>3</v>
      </c>
      <c r="BV59" s="48"/>
      <c r="BW59" s="48"/>
      <c r="BX59" s="48"/>
      <c r="BY59" s="48"/>
    </row>
    <row r="60" spans="1:94" ht="6.6" customHeight="1" thickBot="1" x14ac:dyDescent="0.35">
      <c r="A60" s="245"/>
      <c r="B60" s="245"/>
      <c r="C60" s="245"/>
      <c r="D60" s="245"/>
      <c r="E60" s="245"/>
      <c r="F60" s="245"/>
      <c r="G60" s="245"/>
      <c r="H60" s="245"/>
      <c r="I60" s="245"/>
      <c r="J60" s="245"/>
      <c r="K60" s="245"/>
      <c r="L60" s="245"/>
      <c r="M60" s="245"/>
      <c r="N60" s="245"/>
      <c r="O60" s="245"/>
      <c r="P60" s="245"/>
      <c r="Q60" s="245"/>
      <c r="R60" s="245"/>
      <c r="S60" s="245"/>
      <c r="T60" s="245"/>
      <c r="U60" s="245"/>
      <c r="V60" s="245"/>
      <c r="W60" s="245"/>
      <c r="AJ60" s="342"/>
      <c r="AK60" s="342"/>
      <c r="AL60" s="342"/>
      <c r="AM60" s="342"/>
      <c r="AN60" s="342"/>
      <c r="AO60" s="342"/>
      <c r="AP60" s="342"/>
      <c r="AQ60" s="342"/>
      <c r="AR60" s="342"/>
      <c r="AS60" s="342"/>
      <c r="AT60" s="342"/>
      <c r="AU60" s="342"/>
      <c r="AV60" s="342"/>
      <c r="AW60" s="342"/>
      <c r="AX60" s="342"/>
      <c r="AY60" s="342"/>
      <c r="AZ60" s="342"/>
      <c r="BA60" s="342"/>
      <c r="BB60" s="342"/>
      <c r="BC60" s="342"/>
      <c r="BD60" s="342"/>
      <c r="BE60" s="342"/>
      <c r="BF60" s="342"/>
      <c r="BG60" s="342"/>
      <c r="BH60" s="342"/>
    </row>
    <row r="61" spans="1:94" ht="16.5" x14ac:dyDescent="0.3">
      <c r="A61" s="339" t="s">
        <v>170</v>
      </c>
      <c r="B61" s="339"/>
      <c r="C61" s="340"/>
      <c r="D61" s="341"/>
      <c r="F61" s="398" t="s">
        <v>171</v>
      </c>
      <c r="G61" s="399"/>
      <c r="H61" s="399"/>
      <c r="I61" s="399"/>
      <c r="J61" s="399"/>
      <c r="K61" s="399"/>
      <c r="L61" s="400"/>
      <c r="N61" s="398" t="s">
        <v>255</v>
      </c>
      <c r="O61" s="399"/>
      <c r="P61" s="399"/>
      <c r="Q61" s="399"/>
      <c r="R61" s="399"/>
      <c r="S61" s="399"/>
      <c r="T61" s="400"/>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342"/>
      <c r="BH61" s="342"/>
    </row>
    <row r="62" spans="1:94" ht="16.5" x14ac:dyDescent="0.3">
      <c r="A62" s="343" t="str">
        <f ca="1">IFERROR(INDEX(PlayerGameData[Player '#, Opponent,Game'#],MATCH($BU57,PlayerGameData[STLRank],0),1),"")</f>
        <v>Ethan Schiller, 23 - Ten Sleep 12/9/2022</v>
      </c>
      <c r="B62" s="344"/>
      <c r="C62" s="344"/>
      <c r="D62" s="345">
        <f ca="1">IFERROR(INDEX(PlayerGameData[STL],MATCH($BU57,PlayerGameData[STLRank],0),1),"")</f>
        <v>8</v>
      </c>
      <c r="F62" s="346" t="str">
        <f ca="1">IFERROR(INDEX(PlayerGameData[Player '#, Opponent,Game'#],MATCH($BU57,PlayerGameData[BLKRank],0),1),"")</f>
        <v>Ethan Schiller, 23 - Ten Sleep 12/9/2022</v>
      </c>
      <c r="G62" s="347"/>
      <c r="H62" s="347"/>
      <c r="I62" s="347"/>
      <c r="J62" s="347"/>
      <c r="L62" s="345">
        <f ca="1">IFERROR(INDEX(PlayerGameData[BLK],MATCH($BU57,PlayerGameData[BLKRank],0),1),"")</f>
        <v>3</v>
      </c>
      <c r="N62" s="346" t="str">
        <f ca="1">IFERROR(INDEX(PlayerGameData[Player '#, Opponent,Game'#],MATCH($BU57,PlayerGameData[EligFGRank],0),1),"")</f>
        <v>Kailer Duarte, 31 - Kaycee 2/24/2023</v>
      </c>
      <c r="O62" s="347"/>
      <c r="P62" s="347"/>
      <c r="Q62" s="347"/>
      <c r="R62" s="347"/>
      <c r="T62" s="353">
        <f ca="1">IFERROR(INDEX(PlayerGameData[EligFG],MATCH($BU57,PlayerGameData[EligFGRank],0),1),"")</f>
        <v>1</v>
      </c>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row>
    <row r="63" spans="1:94" ht="16.5" x14ac:dyDescent="0.3">
      <c r="A63" s="346" t="str">
        <f ca="1">IFERROR(INDEX(PlayerGameData[Player '#, Opponent,Game'#],MATCH($BU58,PlayerGameData[STLRank],0),1),"")</f>
        <v>Logan Timberman, 3 - Arvada Clearmont 1/20/2023</v>
      </c>
      <c r="B63" s="13"/>
      <c r="C63" s="13"/>
      <c r="D63" s="345">
        <f ca="1">IFERROR(INDEX(PlayerGameData[STL],MATCH($BU58,PlayerGameData[STLRank],0),1),"")</f>
        <v>7</v>
      </c>
      <c r="F63" s="346" t="str">
        <f ca="1">IFERROR(INDEX(PlayerGameData[Player '#, Opponent,Game'#],MATCH($BU58,PlayerGameData[BLKRank],0),1),"")</f>
        <v>Ethan Schiller, 23 - Cokeville 12/19/2022</v>
      </c>
      <c r="G63" s="347"/>
      <c r="H63" s="347"/>
      <c r="I63" s="347"/>
      <c r="J63" s="347"/>
      <c r="L63" s="345">
        <f ca="1">IFERROR(INDEX(PlayerGameData[BLK],MATCH($BU58,PlayerGameData[BLKRank],0),1),"")</f>
        <v>3</v>
      </c>
      <c r="N63" s="346" t="str">
        <f ca="1">IFERROR(INDEX(PlayerGameData[Player '#, Opponent,Game'#],MATCH($BU58,PlayerGameData[EligFGRank],0),1),"")</f>
        <v>Chase Mills, 5 - Midwest 2/4/2023</v>
      </c>
      <c r="O63" s="347"/>
      <c r="P63" s="347"/>
      <c r="Q63" s="347"/>
      <c r="R63" s="347"/>
      <c r="T63" s="353">
        <f ca="1">IFERROR(INDEX(PlayerGameData[EligFG],MATCH($BU58,PlayerGameData[EligFGRank],0),1),"")</f>
        <v>0.88888888888888884</v>
      </c>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342"/>
      <c r="BF63" s="342"/>
      <c r="BG63" s="342"/>
      <c r="BH63" s="342"/>
    </row>
    <row r="64" spans="1:94" ht="17.25" thickBot="1" x14ac:dyDescent="0.35">
      <c r="A64" s="348" t="str">
        <f ca="1">IFERROR(INDEX(PlayerGameData[Player '#, Opponent,Game'#],MATCH($BU59,PlayerGameData[STLRank],0),1),"")</f>
        <v>Kailer Duarte, 31 - Midwest 2/4/2023</v>
      </c>
      <c r="B64" s="349"/>
      <c r="C64" s="349"/>
      <c r="D64" s="350">
        <f ca="1">IFERROR(INDEX(PlayerGameData[STL],MATCH($BU59,PlayerGameData[STLRank],0),1),"")</f>
        <v>5</v>
      </c>
      <c r="F64" s="348" t="str">
        <f ca="1">IFERROR(INDEX(PlayerGameData[Player '#, Opponent,Game'#],MATCH($BU59,PlayerGameData[BLKRank],0),1),"")</f>
        <v>Ethan Schiller, 23 - Midwest 2/4/2023</v>
      </c>
      <c r="G64" s="351"/>
      <c r="H64" s="351"/>
      <c r="I64" s="351"/>
      <c r="J64" s="351"/>
      <c r="K64" s="352"/>
      <c r="L64" s="350">
        <f ca="1">IFERROR(INDEX(PlayerGameData[BLK],MATCH($BU59,PlayerGameData[BLKRank],0),1),"")</f>
        <v>3</v>
      </c>
      <c r="N64" s="348" t="str">
        <f ca="1">IFERROR(INDEX(PlayerGameData[Player '#, Opponent,Game'#],MATCH($BU59,PlayerGameData[EligFGRank],0),1),"")</f>
        <v>Logan Timberman, 3 - Kaycee 2/3/2023</v>
      </c>
      <c r="O64" s="351"/>
      <c r="P64" s="351"/>
      <c r="Q64" s="351"/>
      <c r="R64" s="351"/>
      <c r="S64" s="352"/>
      <c r="T64" s="354">
        <f ca="1">IFERROR(INDEX(PlayerGameData[EligFG],MATCH($BU59,PlayerGameData[EligFGRank],0),1),"")</f>
        <v>0.8571428571428571</v>
      </c>
      <c r="AJ64" s="342"/>
      <c r="AK64" s="342"/>
      <c r="AL64" s="342"/>
      <c r="AM64" s="342"/>
      <c r="AN64" s="342"/>
      <c r="AO64" s="342"/>
      <c r="AP64" s="342"/>
      <c r="AQ64" s="342"/>
      <c r="AR64" s="342"/>
      <c r="AS64" s="342"/>
      <c r="AT64" s="342"/>
      <c r="AU64" s="342"/>
      <c r="AV64" s="342"/>
      <c r="AW64" s="342"/>
      <c r="AX64" s="342"/>
      <c r="AY64" s="342"/>
      <c r="AZ64" s="342"/>
      <c r="BA64" s="342"/>
      <c r="BB64" s="342"/>
      <c r="BC64" s="342"/>
      <c r="BD64" s="342"/>
      <c r="BE64" s="342"/>
      <c r="BF64" s="342"/>
      <c r="BG64" s="342"/>
      <c r="BH64" s="342"/>
    </row>
    <row r="65" spans="2:60" ht="4.3499999999999996" customHeight="1" x14ac:dyDescent="0.25">
      <c r="B65" s="13"/>
      <c r="AJ65" s="342"/>
      <c r="AK65" s="342"/>
      <c r="AL65" s="342"/>
      <c r="AM65" s="342"/>
      <c r="AN65" s="342"/>
      <c r="AO65" s="342"/>
      <c r="AP65" s="342"/>
      <c r="AQ65" s="342"/>
      <c r="AR65" s="342"/>
      <c r="AS65" s="342"/>
      <c r="AT65" s="342"/>
      <c r="AU65" s="342"/>
      <c r="AV65" s="342"/>
      <c r="AW65" s="342"/>
      <c r="AX65" s="342"/>
      <c r="AY65" s="342"/>
      <c r="AZ65" s="342"/>
      <c r="BA65" s="342"/>
      <c r="BB65" s="342"/>
      <c r="BC65" s="342"/>
      <c r="BD65" s="342"/>
      <c r="BE65" s="342"/>
      <c r="BF65" s="342"/>
      <c r="BG65" s="342"/>
      <c r="BH65" s="342"/>
    </row>
    <row r="66" spans="2:60" ht="15" x14ac:dyDescent="0.25">
      <c r="B66" s="13"/>
      <c r="AJ66" s="342"/>
      <c r="AK66" s="342"/>
      <c r="AL66" s="342"/>
      <c r="AM66" s="342"/>
      <c r="AN66" s="342"/>
      <c r="AO66" s="342"/>
      <c r="AP66" s="342"/>
      <c r="AQ66" s="342"/>
      <c r="AR66" s="342"/>
      <c r="AS66" s="342"/>
      <c r="AT66" s="342"/>
      <c r="AU66" s="342"/>
      <c r="AV66" s="342"/>
      <c r="AW66" s="342"/>
      <c r="AX66" s="342"/>
      <c r="AY66" s="342"/>
      <c r="AZ66" s="342"/>
      <c r="BA66" s="342"/>
      <c r="BB66" s="342"/>
      <c r="BC66" s="342"/>
      <c r="BD66" s="342"/>
      <c r="BE66" s="342"/>
      <c r="BF66" s="342"/>
      <c r="BG66" s="342"/>
      <c r="BH66" s="342"/>
    </row>
    <row r="67" spans="2:60" ht="15" x14ac:dyDescent="0.25">
      <c r="B67" s="13"/>
      <c r="AJ67" s="342"/>
      <c r="AK67" s="342"/>
      <c r="AL67" s="342"/>
      <c r="AM67" s="342"/>
      <c r="AN67" s="342"/>
      <c r="AO67" s="342"/>
      <c r="AP67" s="342"/>
      <c r="AQ67" s="342"/>
      <c r="AR67" s="342"/>
      <c r="AS67" s="342"/>
      <c r="AT67" s="342"/>
      <c r="AU67" s="342"/>
      <c r="AV67" s="342"/>
      <c r="AW67" s="342"/>
      <c r="AX67" s="342"/>
      <c r="AY67" s="342"/>
      <c r="AZ67" s="342"/>
      <c r="BA67" s="342"/>
      <c r="BB67" s="342"/>
      <c r="BC67" s="342"/>
      <c r="BD67" s="342"/>
      <c r="BE67" s="342"/>
      <c r="BF67" s="342"/>
      <c r="BG67" s="342"/>
      <c r="BH67" s="342"/>
    </row>
    <row r="68" spans="2:60" ht="15" x14ac:dyDescent="0.25">
      <c r="B68" s="13"/>
      <c r="AJ68" s="342"/>
      <c r="AK68" s="342"/>
      <c r="AL68" s="342"/>
      <c r="AM68" s="342"/>
      <c r="AN68" s="342"/>
      <c r="AO68" s="342"/>
      <c r="AP68" s="342"/>
      <c r="AQ68" s="342"/>
      <c r="AR68" s="342"/>
      <c r="AS68" s="342"/>
      <c r="AT68" s="342"/>
      <c r="AU68" s="342"/>
      <c r="AV68" s="342"/>
      <c r="AW68" s="342"/>
      <c r="AX68" s="342"/>
      <c r="AY68" s="342"/>
      <c r="AZ68" s="342"/>
      <c r="BA68" s="342"/>
      <c r="BB68" s="342"/>
      <c r="BC68" s="342"/>
      <c r="BD68" s="342"/>
      <c r="BE68" s="342"/>
      <c r="BF68" s="342"/>
      <c r="BG68" s="342"/>
      <c r="BH68" s="342"/>
    </row>
    <row r="69" spans="2:60" ht="15" x14ac:dyDescent="0.25">
      <c r="B69" s="13"/>
      <c r="AJ69" s="342"/>
      <c r="AK69" s="342"/>
      <c r="AL69" s="342"/>
      <c r="AM69" s="342"/>
      <c r="AN69" s="342"/>
      <c r="AO69" s="342"/>
      <c r="AP69" s="342"/>
      <c r="AQ69" s="342"/>
      <c r="AR69" s="342"/>
      <c r="AS69" s="342"/>
      <c r="AT69" s="342"/>
      <c r="AU69" s="342"/>
      <c r="AV69" s="342"/>
      <c r="AW69" s="342"/>
      <c r="AX69" s="342"/>
      <c r="AY69" s="342"/>
      <c r="AZ69" s="342"/>
      <c r="BA69" s="342"/>
      <c r="BB69" s="342"/>
      <c r="BC69" s="342"/>
      <c r="BD69" s="342"/>
      <c r="BE69" s="342"/>
      <c r="BF69" s="342"/>
      <c r="BG69" s="342"/>
      <c r="BH69" s="342"/>
    </row>
    <row r="70" spans="2:60" ht="15" x14ac:dyDescent="0.25">
      <c r="B70" s="13"/>
      <c r="AJ70" s="342"/>
      <c r="AK70" s="342"/>
      <c r="AL70" s="342"/>
      <c r="AM70" s="342"/>
      <c r="AN70" s="342"/>
      <c r="AO70" s="342"/>
      <c r="AP70" s="342"/>
      <c r="AQ70" s="342"/>
      <c r="AR70" s="342"/>
      <c r="AS70" s="342"/>
      <c r="AT70" s="342"/>
      <c r="AU70" s="342"/>
      <c r="AV70" s="342"/>
      <c r="AW70" s="342"/>
      <c r="AX70" s="342"/>
      <c r="AY70" s="342"/>
      <c r="AZ70" s="342"/>
      <c r="BA70" s="342"/>
      <c r="BB70" s="342"/>
      <c r="BC70" s="342"/>
      <c r="BD70" s="342"/>
      <c r="BE70" s="342"/>
      <c r="BF70" s="342"/>
      <c r="BG70" s="342"/>
      <c r="BH70" s="342"/>
    </row>
    <row r="71" spans="2:60" ht="15" x14ac:dyDescent="0.25">
      <c r="B71" s="13"/>
      <c r="AJ71" s="342"/>
      <c r="AK71" s="342"/>
      <c r="AL71" s="342"/>
      <c r="AM71" s="342"/>
      <c r="AN71" s="342"/>
      <c r="AO71" s="342"/>
      <c r="AP71" s="342"/>
      <c r="AQ71" s="342"/>
      <c r="AR71" s="342"/>
      <c r="AS71" s="342"/>
      <c r="AT71" s="342"/>
      <c r="AU71" s="342"/>
      <c r="AV71" s="342"/>
      <c r="AW71" s="342"/>
      <c r="AX71" s="342"/>
      <c r="AY71" s="342"/>
      <c r="AZ71" s="342"/>
      <c r="BA71" s="342"/>
      <c r="BB71" s="342"/>
      <c r="BC71" s="342"/>
      <c r="BD71" s="342"/>
      <c r="BE71" s="342"/>
      <c r="BF71" s="342"/>
      <c r="BG71" s="342"/>
      <c r="BH71" s="342"/>
    </row>
    <row r="72" spans="2:60" ht="15" x14ac:dyDescent="0.25">
      <c r="B72" s="13"/>
      <c r="AJ72" s="342"/>
      <c r="AK72" s="342"/>
      <c r="AL72" s="342"/>
      <c r="AM72" s="342"/>
      <c r="AN72" s="342"/>
      <c r="AO72" s="342"/>
      <c r="AP72" s="342"/>
      <c r="AQ72" s="342"/>
      <c r="AR72" s="342"/>
      <c r="AS72" s="342"/>
      <c r="AT72" s="342"/>
      <c r="AU72" s="342"/>
      <c r="AV72" s="342"/>
      <c r="AW72" s="342"/>
      <c r="AX72" s="342"/>
      <c r="AY72" s="342"/>
      <c r="AZ72" s="342"/>
      <c r="BA72" s="342"/>
      <c r="BB72" s="342"/>
      <c r="BC72" s="342"/>
      <c r="BD72" s="342"/>
      <c r="BE72" s="342"/>
      <c r="BF72" s="342"/>
      <c r="BG72" s="342"/>
      <c r="BH72" s="342"/>
    </row>
    <row r="73" spans="2:60" ht="15" x14ac:dyDescent="0.25">
      <c r="B73" s="13"/>
      <c r="AJ73" s="342"/>
      <c r="AK73" s="342"/>
      <c r="AL73" s="342"/>
      <c r="AM73" s="342"/>
      <c r="AN73" s="342"/>
      <c r="AO73" s="342"/>
      <c r="AP73" s="342"/>
      <c r="AQ73" s="342"/>
      <c r="AR73" s="342"/>
      <c r="AS73" s="342"/>
      <c r="AT73" s="342"/>
      <c r="AU73" s="342"/>
      <c r="AV73" s="342"/>
      <c r="AW73" s="342"/>
      <c r="AX73" s="342"/>
      <c r="AY73" s="342"/>
      <c r="AZ73" s="342"/>
      <c r="BA73" s="342"/>
      <c r="BB73" s="342"/>
      <c r="BC73" s="342"/>
      <c r="BD73" s="342"/>
      <c r="BE73" s="342"/>
      <c r="BF73" s="342"/>
      <c r="BG73" s="342"/>
      <c r="BH73" s="342"/>
    </row>
    <row r="74" spans="2:60" ht="15" x14ac:dyDescent="0.25">
      <c r="B74" s="13"/>
      <c r="AJ74" s="342"/>
      <c r="AK74" s="342"/>
      <c r="AL74" s="342"/>
      <c r="AM74" s="342"/>
      <c r="AN74" s="342"/>
      <c r="AO74" s="342"/>
      <c r="AP74" s="342"/>
      <c r="AQ74" s="342"/>
      <c r="AR74" s="342"/>
      <c r="AS74" s="342"/>
      <c r="AT74" s="342"/>
      <c r="AU74" s="342"/>
      <c r="AV74" s="342"/>
      <c r="AW74" s="342"/>
      <c r="AX74" s="342"/>
      <c r="AY74" s="342"/>
      <c r="AZ74" s="342"/>
      <c r="BA74" s="342"/>
      <c r="BB74" s="342"/>
      <c r="BC74" s="342"/>
      <c r="BD74" s="342"/>
      <c r="BE74" s="342"/>
      <c r="BF74" s="342"/>
      <c r="BG74" s="342"/>
      <c r="BH74" s="342"/>
    </row>
    <row r="75" spans="2:60" ht="15" x14ac:dyDescent="0.25">
      <c r="B75" s="13"/>
      <c r="AJ75" s="342"/>
      <c r="AK75" s="342"/>
      <c r="AL75" s="342"/>
      <c r="AM75" s="342"/>
      <c r="AN75" s="342"/>
      <c r="AO75" s="342"/>
      <c r="AP75" s="342"/>
      <c r="AQ75" s="342"/>
      <c r="AR75" s="342"/>
      <c r="AS75" s="342"/>
      <c r="AT75" s="342"/>
      <c r="AU75" s="342"/>
      <c r="AV75" s="342"/>
      <c r="AW75" s="342"/>
      <c r="AX75" s="342"/>
      <c r="AY75" s="342"/>
      <c r="AZ75" s="342"/>
      <c r="BA75" s="342"/>
      <c r="BB75" s="342"/>
      <c r="BC75" s="342"/>
      <c r="BD75" s="342"/>
      <c r="BE75" s="342"/>
      <c r="BF75" s="342"/>
      <c r="BG75" s="342"/>
      <c r="BH75" s="342"/>
    </row>
    <row r="76" spans="2:60" ht="15" x14ac:dyDescent="0.25">
      <c r="B76" s="13"/>
      <c r="AJ76" s="342"/>
      <c r="AK76" s="342"/>
      <c r="AL76" s="342"/>
      <c r="AM76" s="342"/>
      <c r="AN76" s="342"/>
      <c r="AO76" s="342"/>
      <c r="AP76" s="342"/>
      <c r="AQ76" s="342"/>
      <c r="AR76" s="342"/>
      <c r="AS76" s="342"/>
      <c r="AT76" s="342"/>
      <c r="AU76" s="342"/>
      <c r="AV76" s="342"/>
      <c r="AW76" s="342"/>
      <c r="AX76" s="342"/>
      <c r="AY76" s="342"/>
      <c r="AZ76" s="342"/>
      <c r="BA76" s="342"/>
      <c r="BB76" s="342"/>
      <c r="BC76" s="342"/>
      <c r="BD76" s="342"/>
      <c r="BE76" s="342"/>
      <c r="BF76" s="342"/>
      <c r="BG76" s="342"/>
      <c r="BH76" s="342"/>
    </row>
    <row r="77" spans="2:60" ht="15" x14ac:dyDescent="0.25">
      <c r="B77" s="13"/>
      <c r="AJ77" s="342"/>
      <c r="AK77" s="342"/>
      <c r="AL77" s="342"/>
      <c r="AM77" s="342"/>
      <c r="AN77" s="342"/>
      <c r="AO77" s="342"/>
      <c r="AP77" s="342"/>
      <c r="AQ77" s="342"/>
      <c r="AR77" s="342"/>
      <c r="AS77" s="342"/>
      <c r="AT77" s="342"/>
      <c r="AU77" s="342"/>
      <c r="AV77" s="342"/>
      <c r="AW77" s="342"/>
      <c r="AX77" s="342"/>
      <c r="AY77" s="342"/>
      <c r="AZ77" s="342"/>
      <c r="BA77" s="342"/>
      <c r="BB77" s="342"/>
      <c r="BC77" s="342"/>
      <c r="BD77" s="342"/>
      <c r="BE77" s="342"/>
      <c r="BF77" s="342"/>
      <c r="BG77" s="342"/>
      <c r="BH77" s="342"/>
    </row>
    <row r="78" spans="2:60" ht="15" x14ac:dyDescent="0.25">
      <c r="B78" s="13"/>
      <c r="AJ78" s="342"/>
      <c r="AK78" s="342"/>
      <c r="AL78" s="342"/>
      <c r="AM78" s="342"/>
      <c r="AN78" s="342"/>
      <c r="AO78" s="342"/>
      <c r="AP78" s="342"/>
      <c r="AQ78" s="342"/>
      <c r="AR78" s="342"/>
      <c r="AS78" s="342"/>
      <c r="AT78" s="342"/>
      <c r="AU78" s="342"/>
      <c r="AV78" s="342"/>
      <c r="AW78" s="342"/>
      <c r="AX78" s="342"/>
      <c r="AY78" s="342"/>
      <c r="AZ78" s="342"/>
      <c r="BA78" s="342"/>
      <c r="BB78" s="342"/>
      <c r="BC78" s="342"/>
      <c r="BD78" s="342"/>
      <c r="BE78" s="342"/>
      <c r="BF78" s="342"/>
      <c r="BG78" s="342"/>
      <c r="BH78" s="342"/>
    </row>
    <row r="79" spans="2:60" ht="15" x14ac:dyDescent="0.25">
      <c r="B79" s="13"/>
      <c r="AJ79" s="342"/>
      <c r="AK79" s="342"/>
      <c r="AL79" s="342"/>
      <c r="AM79" s="342"/>
      <c r="AN79" s="342"/>
      <c r="AO79" s="342"/>
      <c r="AP79" s="342"/>
      <c r="AQ79" s="342"/>
      <c r="AR79" s="342"/>
      <c r="AS79" s="342"/>
      <c r="AT79" s="342"/>
      <c r="AU79" s="342"/>
      <c r="AV79" s="342"/>
      <c r="AW79" s="342"/>
      <c r="AX79" s="342"/>
      <c r="AY79" s="342"/>
      <c r="AZ79" s="342"/>
      <c r="BA79" s="342"/>
      <c r="BB79" s="342"/>
      <c r="BC79" s="342"/>
      <c r="BD79" s="342"/>
      <c r="BE79" s="342"/>
      <c r="BF79" s="342"/>
      <c r="BG79" s="342"/>
      <c r="BH79" s="342"/>
    </row>
    <row r="80" spans="2:60" ht="15" x14ac:dyDescent="0.25">
      <c r="B80" s="13"/>
      <c r="AJ80" s="342"/>
      <c r="AK80" s="342"/>
      <c r="AL80" s="342"/>
      <c r="AM80" s="342"/>
      <c r="AN80" s="342"/>
      <c r="AO80" s="342"/>
      <c r="AP80" s="342"/>
      <c r="AQ80" s="342"/>
      <c r="AR80" s="342"/>
      <c r="AS80" s="342"/>
      <c r="AT80" s="342"/>
      <c r="AU80" s="342"/>
      <c r="AV80" s="342"/>
      <c r="AW80" s="342"/>
      <c r="AX80" s="342"/>
      <c r="AY80" s="342"/>
      <c r="AZ80" s="342"/>
      <c r="BA80" s="342"/>
      <c r="BB80" s="342"/>
      <c r="BC80" s="342"/>
      <c r="BD80" s="342"/>
      <c r="BE80" s="342"/>
      <c r="BF80" s="342"/>
      <c r="BG80" s="342"/>
      <c r="BH80" s="342"/>
    </row>
    <row r="81" spans="2:60" ht="15" x14ac:dyDescent="0.25">
      <c r="B81" s="355"/>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row>
    <row r="82" spans="2:60" ht="15" x14ac:dyDescent="0.25">
      <c r="AJ82" s="342"/>
      <c r="AK82" s="342"/>
      <c r="AL82" s="342"/>
      <c r="AM82" s="342"/>
      <c r="AN82" s="342"/>
      <c r="AO82" s="342"/>
      <c r="AP82" s="342"/>
      <c r="AQ82" s="342"/>
      <c r="AR82" s="342"/>
      <c r="AS82" s="342"/>
      <c r="AT82" s="342"/>
      <c r="AU82" s="342"/>
      <c r="AV82" s="342"/>
      <c r="AW82" s="342"/>
      <c r="AX82" s="342"/>
      <c r="AY82" s="342"/>
      <c r="AZ82" s="342"/>
      <c r="BA82" s="342"/>
      <c r="BB82" s="342"/>
      <c r="BC82" s="342"/>
      <c r="BD82" s="342"/>
      <c r="BE82" s="342"/>
      <c r="BF82" s="342"/>
      <c r="BG82" s="342"/>
      <c r="BH82" s="342"/>
    </row>
    <row r="83" spans="2:60" ht="15" x14ac:dyDescent="0.25">
      <c r="AJ83" s="342"/>
      <c r="AK83" s="342"/>
      <c r="AL83" s="342"/>
      <c r="AM83" s="342"/>
      <c r="AN83" s="342"/>
      <c r="AO83" s="342"/>
      <c r="AP83" s="342"/>
      <c r="AQ83" s="342"/>
      <c r="AR83" s="342"/>
      <c r="AS83" s="342"/>
      <c r="AT83" s="342"/>
      <c r="AU83" s="342"/>
      <c r="AV83" s="342"/>
      <c r="AW83" s="342"/>
      <c r="AX83" s="342"/>
      <c r="AY83" s="342"/>
      <c r="AZ83" s="342"/>
      <c r="BA83" s="342"/>
      <c r="BB83" s="342"/>
      <c r="BC83" s="342"/>
      <c r="BD83" s="342"/>
      <c r="BE83" s="342"/>
      <c r="BF83" s="342"/>
      <c r="BG83" s="342"/>
      <c r="BH83" s="342"/>
    </row>
    <row r="84" spans="2:60" ht="15" x14ac:dyDescent="0.25">
      <c r="AJ84" s="342"/>
      <c r="AK84" s="342"/>
      <c r="AL84" s="342"/>
      <c r="AM84" s="342"/>
      <c r="AN84" s="342"/>
      <c r="AO84" s="342"/>
      <c r="AP84" s="342"/>
      <c r="AQ84" s="342"/>
      <c r="AR84" s="342"/>
      <c r="AS84" s="342"/>
      <c r="AT84" s="342"/>
      <c r="AU84" s="342"/>
      <c r="AV84" s="342"/>
      <c r="AW84" s="342"/>
      <c r="AX84" s="342"/>
      <c r="AY84" s="342"/>
      <c r="AZ84" s="342"/>
      <c r="BA84" s="342"/>
      <c r="BB84" s="342"/>
      <c r="BC84" s="342"/>
      <c r="BD84" s="342"/>
      <c r="BE84" s="342"/>
      <c r="BF84" s="342"/>
      <c r="BG84" s="342"/>
      <c r="BH84" s="342"/>
    </row>
    <row r="85" spans="2:60" ht="15" x14ac:dyDescent="0.25">
      <c r="AJ85" s="342"/>
      <c r="AK85" s="342"/>
      <c r="AL85" s="342"/>
      <c r="AM85" s="342"/>
      <c r="AN85" s="342"/>
      <c r="AO85" s="342"/>
      <c r="AP85" s="342"/>
      <c r="AQ85" s="342"/>
      <c r="AR85" s="342"/>
      <c r="AS85" s="342"/>
      <c r="AT85" s="342"/>
      <c r="AU85" s="342"/>
      <c r="AV85" s="342"/>
      <c r="AW85" s="342"/>
      <c r="AX85" s="342"/>
      <c r="AY85" s="342"/>
      <c r="AZ85" s="342"/>
      <c r="BA85" s="342"/>
      <c r="BB85" s="342"/>
      <c r="BC85" s="342"/>
      <c r="BD85" s="342"/>
      <c r="BE85" s="342"/>
      <c r="BF85" s="342"/>
      <c r="BG85" s="342"/>
      <c r="BH85" s="342"/>
    </row>
    <row r="86" spans="2:60" ht="15" x14ac:dyDescent="0.25">
      <c r="AJ86" s="342"/>
      <c r="AK86" s="342"/>
      <c r="AL86" s="342"/>
      <c r="AM86" s="342"/>
      <c r="AN86" s="342"/>
      <c r="AO86" s="342"/>
      <c r="AP86" s="342"/>
      <c r="AQ86" s="342"/>
      <c r="AR86" s="342"/>
      <c r="AS86" s="342"/>
      <c r="AT86" s="342"/>
      <c r="AU86" s="342"/>
      <c r="AV86" s="342"/>
      <c r="AW86" s="342"/>
      <c r="AX86" s="342"/>
      <c r="AY86" s="342"/>
      <c r="AZ86" s="342"/>
      <c r="BA86" s="342"/>
      <c r="BB86" s="342"/>
      <c r="BC86" s="342"/>
      <c r="BD86" s="342"/>
      <c r="BE86" s="342"/>
      <c r="BF86" s="342"/>
      <c r="BG86" s="342"/>
      <c r="BH86" s="342"/>
    </row>
    <row r="87" spans="2:60" ht="15" x14ac:dyDescent="0.25">
      <c r="AJ87" s="342"/>
      <c r="AK87" s="342"/>
      <c r="AL87" s="342"/>
      <c r="AM87" s="342"/>
      <c r="AN87" s="342"/>
      <c r="AO87" s="342"/>
      <c r="AP87" s="342"/>
      <c r="AQ87" s="342"/>
      <c r="AR87" s="342"/>
      <c r="AS87" s="342"/>
      <c r="AT87" s="342"/>
      <c r="AU87" s="342"/>
      <c r="AV87" s="342"/>
      <c r="AW87" s="342"/>
      <c r="AX87" s="342"/>
      <c r="AY87" s="342"/>
      <c r="AZ87" s="342"/>
      <c r="BA87" s="342"/>
      <c r="BB87" s="342"/>
      <c r="BC87" s="342"/>
      <c r="BD87" s="342"/>
      <c r="BE87" s="342"/>
      <c r="BF87" s="342"/>
      <c r="BG87" s="342"/>
      <c r="BH87" s="342"/>
    </row>
    <row r="88" spans="2:60" ht="15" x14ac:dyDescent="0.25">
      <c r="AJ88" s="342"/>
      <c r="AK88" s="342"/>
      <c r="AL88" s="342"/>
      <c r="AM88" s="342"/>
      <c r="AN88" s="342"/>
      <c r="AO88" s="342"/>
      <c r="AP88" s="342"/>
      <c r="AQ88" s="342"/>
      <c r="AR88" s="342"/>
      <c r="AS88" s="342"/>
      <c r="AT88" s="342"/>
      <c r="AU88" s="342"/>
      <c r="AV88" s="342"/>
      <c r="AW88" s="342"/>
      <c r="AX88" s="342"/>
      <c r="AY88" s="342"/>
      <c r="AZ88" s="342"/>
      <c r="BA88" s="342"/>
      <c r="BB88" s="342"/>
      <c r="BC88" s="342"/>
      <c r="BD88" s="342"/>
      <c r="BE88" s="342"/>
      <c r="BF88" s="342"/>
      <c r="BG88" s="342"/>
      <c r="BH88" s="342"/>
    </row>
    <row r="89" spans="2:60" ht="15" x14ac:dyDescent="0.25">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342"/>
    </row>
    <row r="90" spans="2:60" ht="15" x14ac:dyDescent="0.25">
      <c r="AJ90" s="342"/>
      <c r="AK90" s="342"/>
      <c r="AL90" s="342"/>
      <c r="AM90" s="342"/>
      <c r="AN90" s="342"/>
      <c r="AO90" s="342"/>
      <c r="AP90" s="342"/>
      <c r="AQ90" s="342"/>
      <c r="AR90" s="342"/>
      <c r="AS90" s="342"/>
      <c r="AT90" s="342"/>
      <c r="AU90" s="342"/>
      <c r="AV90" s="342"/>
      <c r="AW90" s="342"/>
      <c r="AX90" s="342"/>
      <c r="AY90" s="342"/>
      <c r="AZ90" s="342"/>
      <c r="BA90" s="342"/>
      <c r="BB90" s="342"/>
      <c r="BC90" s="342"/>
      <c r="BD90" s="342"/>
      <c r="BE90" s="342"/>
      <c r="BF90" s="342"/>
      <c r="BG90" s="342"/>
      <c r="BH90" s="342"/>
    </row>
    <row r="91" spans="2:60" ht="15" x14ac:dyDescent="0.25">
      <c r="AJ91" s="342"/>
      <c r="AK91" s="342"/>
      <c r="AL91" s="342"/>
      <c r="AM91" s="342"/>
      <c r="AN91" s="342"/>
      <c r="AO91" s="342"/>
      <c r="AP91" s="342"/>
      <c r="AQ91" s="342"/>
      <c r="AR91" s="342"/>
      <c r="AS91" s="342"/>
      <c r="AT91" s="342"/>
      <c r="AU91" s="342"/>
      <c r="AV91" s="342"/>
      <c r="AW91" s="342"/>
      <c r="AX91" s="342"/>
      <c r="AY91" s="342"/>
      <c r="AZ91" s="342"/>
      <c r="BA91" s="342"/>
      <c r="BB91" s="342"/>
      <c r="BC91" s="342"/>
      <c r="BD91" s="342"/>
      <c r="BE91" s="342"/>
      <c r="BF91" s="342"/>
      <c r="BG91" s="342"/>
      <c r="BH91" s="342"/>
    </row>
    <row r="92" spans="2:60" ht="15" x14ac:dyDescent="0.25">
      <c r="AJ92" s="342"/>
      <c r="AK92" s="342"/>
      <c r="AL92" s="342"/>
      <c r="AM92" s="342"/>
      <c r="AN92" s="342"/>
      <c r="AO92" s="342"/>
      <c r="AP92" s="342"/>
      <c r="AQ92" s="342"/>
      <c r="AR92" s="342"/>
      <c r="AS92" s="342"/>
      <c r="AT92" s="342"/>
      <c r="AU92" s="342"/>
      <c r="AV92" s="342"/>
      <c r="AW92" s="342"/>
      <c r="AX92" s="342"/>
      <c r="AY92" s="342"/>
      <c r="AZ92" s="342"/>
      <c r="BA92" s="342"/>
      <c r="BB92" s="342"/>
      <c r="BC92" s="342"/>
      <c r="BD92" s="342"/>
      <c r="BE92" s="342"/>
      <c r="BF92" s="342"/>
      <c r="BG92" s="342"/>
      <c r="BH92" s="342"/>
    </row>
    <row r="93" spans="2:60" ht="15" x14ac:dyDescent="0.25">
      <c r="AJ93" s="342"/>
      <c r="AK93" s="342"/>
      <c r="AL93" s="342"/>
      <c r="AM93" s="342"/>
      <c r="AN93" s="342"/>
      <c r="AO93" s="342"/>
      <c r="AP93" s="342"/>
      <c r="AQ93" s="342"/>
      <c r="AR93" s="342"/>
      <c r="AS93" s="342"/>
      <c r="AT93" s="342"/>
      <c r="AU93" s="342"/>
      <c r="AV93" s="342"/>
      <c r="AW93" s="342"/>
      <c r="AX93" s="342"/>
      <c r="AY93" s="342"/>
      <c r="AZ93" s="342"/>
      <c r="BA93" s="342"/>
      <c r="BB93" s="342"/>
      <c r="BC93" s="342"/>
      <c r="BD93" s="342"/>
      <c r="BE93" s="342"/>
      <c r="BF93" s="342"/>
      <c r="BG93" s="342"/>
      <c r="BH93" s="342"/>
    </row>
    <row r="94" spans="2:60" ht="15" x14ac:dyDescent="0.25">
      <c r="AJ94" s="342"/>
      <c r="AK94" s="342"/>
      <c r="AL94" s="342"/>
      <c r="AM94" s="342"/>
      <c r="AN94" s="342"/>
      <c r="AO94" s="342"/>
      <c r="AP94" s="342"/>
      <c r="AQ94" s="342"/>
      <c r="AR94" s="342"/>
      <c r="AS94" s="342"/>
      <c r="AT94" s="342"/>
      <c r="AU94" s="342"/>
      <c r="AV94" s="342"/>
      <c r="AW94" s="342"/>
      <c r="AX94" s="342"/>
      <c r="AY94" s="342"/>
      <c r="AZ94" s="342"/>
      <c r="BA94" s="342"/>
      <c r="BB94" s="342"/>
      <c r="BC94" s="342"/>
      <c r="BD94" s="342"/>
      <c r="BE94" s="342"/>
      <c r="BF94" s="342"/>
      <c r="BG94" s="342"/>
      <c r="BH94" s="342"/>
    </row>
    <row r="95" spans="2:60" ht="15" x14ac:dyDescent="0.25">
      <c r="AJ95" s="342"/>
      <c r="AK95" s="342"/>
      <c r="AL95" s="342"/>
      <c r="AM95" s="342"/>
      <c r="AN95" s="342"/>
      <c r="AO95" s="342"/>
      <c r="AP95" s="342"/>
      <c r="AQ95" s="342"/>
      <c r="AR95" s="342"/>
      <c r="AS95" s="342"/>
      <c r="AT95" s="342"/>
      <c r="AU95" s="342"/>
      <c r="AV95" s="342"/>
      <c r="AW95" s="342"/>
      <c r="AX95" s="342"/>
      <c r="AY95" s="342"/>
      <c r="AZ95" s="342"/>
      <c r="BA95" s="342"/>
      <c r="BB95" s="342"/>
      <c r="BC95" s="342"/>
      <c r="BD95" s="342"/>
      <c r="BE95" s="342"/>
      <c r="BF95" s="342"/>
      <c r="BG95" s="342"/>
      <c r="BH95" s="342"/>
    </row>
    <row r="96" spans="2:60" ht="15" x14ac:dyDescent="0.25">
      <c r="AJ96" s="342"/>
      <c r="AK96" s="342"/>
      <c r="AL96" s="342"/>
      <c r="AM96" s="342"/>
      <c r="AN96" s="342"/>
      <c r="AO96" s="342"/>
      <c r="AP96" s="342"/>
      <c r="AQ96" s="342"/>
      <c r="AR96" s="342"/>
      <c r="AS96" s="342"/>
      <c r="AT96" s="342"/>
      <c r="AU96" s="342"/>
      <c r="AV96" s="342"/>
      <c r="AW96" s="342"/>
      <c r="AX96" s="342"/>
      <c r="AY96" s="342"/>
      <c r="AZ96" s="342"/>
      <c r="BA96" s="342"/>
      <c r="BB96" s="342"/>
      <c r="BC96" s="342"/>
      <c r="BD96" s="342"/>
      <c r="BE96" s="342"/>
      <c r="BF96" s="342"/>
      <c r="BG96" s="342"/>
      <c r="BH96" s="342"/>
    </row>
    <row r="97" spans="36:60" ht="15" x14ac:dyDescent="0.25">
      <c r="AJ97" s="342"/>
      <c r="AK97" s="342"/>
      <c r="AL97" s="342"/>
      <c r="AM97" s="342"/>
      <c r="AN97" s="342"/>
      <c r="AO97" s="342"/>
      <c r="AP97" s="342"/>
      <c r="AQ97" s="342"/>
      <c r="AR97" s="342"/>
      <c r="AS97" s="342"/>
      <c r="AT97" s="342"/>
      <c r="AU97" s="342"/>
      <c r="AV97" s="342"/>
      <c r="AW97" s="342"/>
      <c r="AX97" s="342"/>
      <c r="AY97" s="342"/>
      <c r="AZ97" s="342"/>
      <c r="BA97" s="342"/>
      <c r="BB97" s="342"/>
      <c r="BC97" s="342"/>
      <c r="BD97" s="342"/>
      <c r="BE97" s="342"/>
      <c r="BF97" s="342"/>
      <c r="BG97" s="342"/>
      <c r="BH97" s="342"/>
    </row>
    <row r="98" spans="36:60" ht="15" x14ac:dyDescent="0.25">
      <c r="AJ98" s="342"/>
      <c r="AK98" s="342"/>
      <c r="AL98" s="342"/>
      <c r="AM98" s="342"/>
      <c r="AN98" s="342"/>
      <c r="AO98" s="342"/>
      <c r="AP98" s="342"/>
      <c r="AQ98" s="342"/>
      <c r="AR98" s="342"/>
      <c r="AS98" s="342"/>
      <c r="AT98" s="342"/>
      <c r="AU98" s="342"/>
      <c r="AV98" s="342"/>
      <c r="AW98" s="342"/>
      <c r="AX98" s="342"/>
      <c r="AY98" s="342"/>
      <c r="AZ98" s="342"/>
      <c r="BA98" s="342"/>
      <c r="BB98" s="342"/>
      <c r="BC98" s="342"/>
      <c r="BD98" s="342"/>
      <c r="BE98" s="342"/>
      <c r="BF98" s="342"/>
      <c r="BG98" s="342"/>
      <c r="BH98" s="342"/>
    </row>
    <row r="99" spans="36:60" ht="15" x14ac:dyDescent="0.25">
      <c r="AJ99" s="342"/>
      <c r="AK99" s="342"/>
      <c r="AL99" s="342"/>
      <c r="AM99" s="342"/>
      <c r="AN99" s="342"/>
      <c r="AO99" s="342"/>
      <c r="AP99" s="342"/>
      <c r="AQ99" s="342"/>
      <c r="AR99" s="342"/>
      <c r="AS99" s="342"/>
      <c r="AT99" s="342"/>
      <c r="AU99" s="342"/>
      <c r="AV99" s="342"/>
      <c r="AW99" s="342"/>
      <c r="AX99" s="342"/>
      <c r="AY99" s="342"/>
      <c r="AZ99" s="342"/>
      <c r="BA99" s="342"/>
      <c r="BB99" s="342"/>
      <c r="BC99" s="342"/>
      <c r="BD99" s="342"/>
      <c r="BE99" s="342"/>
      <c r="BF99" s="342"/>
      <c r="BG99" s="342"/>
      <c r="BH99" s="342"/>
    </row>
    <row r="100" spans="36:60" ht="15" x14ac:dyDescent="0.25">
      <c r="AJ100" s="342"/>
      <c r="AK100" s="342"/>
      <c r="AL100" s="342"/>
      <c r="AM100" s="342"/>
      <c r="AN100" s="342"/>
      <c r="AO100" s="342"/>
      <c r="AP100" s="342"/>
      <c r="AQ100" s="342"/>
      <c r="AR100" s="342"/>
      <c r="AS100" s="342"/>
      <c r="AT100" s="342"/>
      <c r="AU100" s="342"/>
      <c r="AV100" s="342"/>
      <c r="AW100" s="342"/>
      <c r="AX100" s="342"/>
      <c r="AY100" s="342"/>
      <c r="AZ100" s="342"/>
      <c r="BA100" s="342"/>
      <c r="BB100" s="342"/>
      <c r="BC100" s="342"/>
      <c r="BD100" s="342"/>
      <c r="BE100" s="342"/>
      <c r="BF100" s="342"/>
      <c r="BG100" s="342"/>
      <c r="BH100" s="342"/>
    </row>
    <row r="101" spans="36:60" ht="15" x14ac:dyDescent="0.25">
      <c r="AJ101" s="342"/>
      <c r="AK101" s="342"/>
      <c r="AL101" s="342"/>
      <c r="AM101" s="342"/>
      <c r="AN101" s="342"/>
      <c r="AO101" s="342"/>
      <c r="AP101" s="342"/>
      <c r="AQ101" s="342"/>
      <c r="AR101" s="342"/>
      <c r="AS101" s="342"/>
      <c r="AT101" s="342"/>
      <c r="AU101" s="342"/>
      <c r="AV101" s="342"/>
      <c r="AW101" s="342"/>
      <c r="AX101" s="342"/>
      <c r="AY101" s="342"/>
      <c r="AZ101" s="342"/>
      <c r="BA101" s="342"/>
      <c r="BB101" s="342"/>
      <c r="BC101" s="342"/>
      <c r="BD101" s="342"/>
      <c r="BE101" s="342"/>
      <c r="BF101" s="342"/>
      <c r="BG101" s="342"/>
      <c r="BH101" s="342"/>
    </row>
    <row r="102" spans="36:60" ht="15" x14ac:dyDescent="0.25">
      <c r="AJ102" s="342"/>
      <c r="AK102" s="342"/>
      <c r="AL102" s="342"/>
      <c r="AM102" s="342"/>
      <c r="AN102" s="342"/>
      <c r="AO102" s="342"/>
      <c r="AP102" s="342"/>
      <c r="AQ102" s="342"/>
      <c r="AR102" s="342"/>
      <c r="AS102" s="342"/>
      <c r="AT102" s="342"/>
      <c r="AU102" s="342"/>
      <c r="AV102" s="342"/>
      <c r="AW102" s="342"/>
      <c r="AX102" s="342"/>
      <c r="AY102" s="342"/>
      <c r="AZ102" s="342"/>
      <c r="BA102" s="342"/>
      <c r="BB102" s="342"/>
      <c r="BC102" s="342"/>
      <c r="BD102" s="342"/>
      <c r="BE102" s="342"/>
      <c r="BF102" s="342"/>
      <c r="BG102" s="342"/>
      <c r="BH102" s="342"/>
    </row>
    <row r="103" spans="36:60" ht="15" x14ac:dyDescent="0.25">
      <c r="AJ103" s="342"/>
      <c r="AK103" s="342"/>
      <c r="AL103" s="342"/>
      <c r="AM103" s="342"/>
      <c r="AN103" s="342"/>
      <c r="AO103" s="342"/>
      <c r="AP103" s="342"/>
      <c r="AQ103" s="342"/>
      <c r="AR103" s="342"/>
      <c r="AS103" s="342"/>
      <c r="AT103" s="342"/>
      <c r="AU103" s="342"/>
      <c r="AV103" s="342"/>
      <c r="AW103" s="342"/>
      <c r="AX103" s="342"/>
      <c r="AY103" s="342"/>
      <c r="AZ103" s="342"/>
      <c r="BA103" s="342"/>
      <c r="BB103" s="342"/>
      <c r="BC103" s="342"/>
      <c r="BD103" s="342"/>
      <c r="BE103" s="342"/>
      <c r="BF103" s="342"/>
      <c r="BG103" s="342"/>
      <c r="BH103" s="342"/>
    </row>
    <row r="104" spans="36:60" ht="15" x14ac:dyDescent="0.25">
      <c r="AJ104" s="342"/>
      <c r="AK104" s="342"/>
      <c r="AL104" s="342"/>
      <c r="AM104" s="342"/>
      <c r="AN104" s="342"/>
      <c r="AO104" s="342"/>
      <c r="AP104" s="342"/>
      <c r="AQ104" s="342"/>
      <c r="AR104" s="342"/>
      <c r="AS104" s="342"/>
      <c r="AT104" s="342"/>
      <c r="AU104" s="342"/>
      <c r="AV104" s="342"/>
      <c r="AW104" s="342"/>
      <c r="AX104" s="342"/>
      <c r="AY104" s="342"/>
      <c r="AZ104" s="342"/>
      <c r="BA104" s="342"/>
      <c r="BB104" s="342"/>
      <c r="BC104" s="342"/>
      <c r="BD104" s="342"/>
      <c r="BE104" s="342"/>
      <c r="BF104" s="342"/>
      <c r="BG104" s="342"/>
      <c r="BH104" s="342"/>
    </row>
    <row r="105" spans="36:60" ht="15" x14ac:dyDescent="0.25">
      <c r="AJ105" s="342"/>
      <c r="AK105" s="342"/>
      <c r="AL105" s="342"/>
      <c r="AM105" s="342"/>
      <c r="AN105" s="342"/>
      <c r="AO105" s="342"/>
      <c r="AP105" s="342"/>
      <c r="AQ105" s="342"/>
      <c r="AR105" s="342"/>
      <c r="AS105" s="342"/>
      <c r="AT105" s="342"/>
      <c r="AU105" s="342"/>
      <c r="AV105" s="342"/>
      <c r="AW105" s="342"/>
      <c r="AX105" s="342"/>
      <c r="AY105" s="342"/>
      <c r="AZ105" s="342"/>
      <c r="BA105" s="342"/>
      <c r="BB105" s="342"/>
      <c r="BC105" s="342"/>
      <c r="BD105" s="342"/>
      <c r="BE105" s="342"/>
      <c r="BF105" s="342"/>
      <c r="BG105" s="342"/>
      <c r="BH105" s="342"/>
    </row>
    <row r="106" spans="36:60" ht="15" x14ac:dyDescent="0.25">
      <c r="AJ106" s="342"/>
      <c r="AK106" s="342"/>
      <c r="AL106" s="342"/>
      <c r="AM106" s="342"/>
      <c r="AN106" s="342"/>
      <c r="AO106" s="342"/>
      <c r="AP106" s="342"/>
      <c r="AQ106" s="342"/>
      <c r="AR106" s="342"/>
      <c r="AS106" s="342"/>
      <c r="AT106" s="342"/>
      <c r="AU106" s="342"/>
      <c r="AV106" s="342"/>
      <c r="AW106" s="342"/>
      <c r="AX106" s="342"/>
      <c r="AY106" s="342"/>
      <c r="AZ106" s="342"/>
      <c r="BA106" s="342"/>
      <c r="BB106" s="342"/>
      <c r="BC106" s="342"/>
      <c r="BD106" s="342"/>
      <c r="BE106" s="342"/>
      <c r="BF106" s="342"/>
      <c r="BG106" s="342"/>
      <c r="BH106" s="342"/>
    </row>
    <row r="107" spans="36:60" ht="15" x14ac:dyDescent="0.25">
      <c r="AJ107" s="342"/>
      <c r="AK107" s="342"/>
      <c r="AL107" s="342"/>
      <c r="AM107" s="342"/>
      <c r="AN107" s="342"/>
      <c r="AO107" s="342"/>
      <c r="AP107" s="342"/>
      <c r="AQ107" s="342"/>
      <c r="AR107" s="342"/>
      <c r="AS107" s="342"/>
      <c r="AT107" s="342"/>
      <c r="AU107" s="342"/>
      <c r="AV107" s="342"/>
      <c r="AW107" s="342"/>
      <c r="AX107" s="342"/>
      <c r="AY107" s="342"/>
      <c r="AZ107" s="342"/>
      <c r="BA107" s="342"/>
      <c r="BB107" s="342"/>
      <c r="BC107" s="342"/>
      <c r="BD107" s="342"/>
      <c r="BE107" s="342"/>
      <c r="BF107" s="342"/>
      <c r="BG107" s="342"/>
      <c r="BH107" s="342"/>
    </row>
    <row r="108" spans="36:60" ht="15" x14ac:dyDescent="0.25">
      <c r="AJ108" s="342"/>
      <c r="AK108" s="342"/>
      <c r="AL108" s="342"/>
      <c r="AM108" s="342"/>
      <c r="AN108" s="342"/>
      <c r="AO108" s="342"/>
      <c r="AP108" s="342"/>
      <c r="AQ108" s="342"/>
      <c r="AR108" s="342"/>
      <c r="AS108" s="342"/>
      <c r="AT108" s="342"/>
      <c r="AU108" s="342"/>
      <c r="AV108" s="342"/>
      <c r="AW108" s="342"/>
      <c r="AX108" s="342"/>
      <c r="AY108" s="342"/>
      <c r="AZ108" s="342"/>
      <c r="BA108" s="342"/>
      <c r="BB108" s="342"/>
      <c r="BC108" s="342"/>
      <c r="BD108" s="342"/>
      <c r="BE108" s="342"/>
      <c r="BF108" s="342"/>
      <c r="BG108" s="342"/>
      <c r="BH108" s="342"/>
    </row>
    <row r="109" spans="36:60" ht="15" x14ac:dyDescent="0.25">
      <c r="AJ109" s="342"/>
      <c r="AK109" s="342"/>
      <c r="AL109" s="342"/>
      <c r="AM109" s="342"/>
      <c r="AN109" s="342"/>
      <c r="AO109" s="342"/>
      <c r="AP109" s="342"/>
      <c r="AQ109" s="342"/>
      <c r="AR109" s="342"/>
      <c r="AS109" s="342"/>
      <c r="AT109" s="342"/>
      <c r="AU109" s="342"/>
      <c r="AV109" s="342"/>
      <c r="AW109" s="342"/>
      <c r="AX109" s="342"/>
      <c r="AY109" s="342"/>
      <c r="AZ109" s="342"/>
      <c r="BA109" s="342"/>
      <c r="BB109" s="342"/>
      <c r="BC109" s="342"/>
      <c r="BD109" s="342"/>
      <c r="BE109" s="342"/>
      <c r="BF109" s="342"/>
      <c r="BG109" s="342"/>
      <c r="BH109" s="342"/>
    </row>
    <row r="110" spans="36:60" ht="15" x14ac:dyDescent="0.25">
      <c r="AJ110" s="342"/>
      <c r="AK110" s="342"/>
      <c r="AL110" s="342"/>
      <c r="AM110" s="342"/>
      <c r="AN110" s="342"/>
      <c r="AO110" s="342"/>
      <c r="AP110" s="342"/>
      <c r="AQ110" s="342"/>
      <c r="AR110" s="342"/>
      <c r="AS110" s="342"/>
      <c r="AT110" s="342"/>
      <c r="AU110" s="342"/>
      <c r="AV110" s="342"/>
      <c r="AW110" s="342"/>
      <c r="AX110" s="342"/>
      <c r="AY110" s="342"/>
      <c r="AZ110" s="342"/>
      <c r="BA110" s="342"/>
      <c r="BB110" s="342"/>
      <c r="BC110" s="342"/>
      <c r="BD110" s="342"/>
      <c r="BE110" s="342"/>
      <c r="BF110" s="342"/>
      <c r="BG110" s="342"/>
      <c r="BH110" s="342"/>
    </row>
    <row r="111" spans="36:60" ht="15" x14ac:dyDescent="0.25">
      <c r="AJ111" s="342"/>
      <c r="AK111" s="342"/>
      <c r="AL111" s="342"/>
      <c r="AM111" s="342"/>
      <c r="AN111" s="342"/>
      <c r="AO111" s="342"/>
      <c r="AP111" s="342"/>
      <c r="AQ111" s="342"/>
      <c r="AR111" s="342"/>
      <c r="AS111" s="342"/>
      <c r="AT111" s="342"/>
      <c r="AU111" s="342"/>
      <c r="AV111" s="342"/>
      <c r="AW111" s="342"/>
      <c r="AX111" s="342"/>
      <c r="AY111" s="342"/>
      <c r="AZ111" s="342"/>
      <c r="BA111" s="342"/>
      <c r="BB111" s="342"/>
      <c r="BC111" s="342"/>
      <c r="BD111" s="342"/>
      <c r="BE111" s="342"/>
      <c r="BF111" s="342"/>
      <c r="BG111" s="342"/>
      <c r="BH111" s="342"/>
    </row>
    <row r="112" spans="36:60" ht="15" x14ac:dyDescent="0.25">
      <c r="AJ112" s="342"/>
      <c r="AK112" s="342"/>
      <c r="AL112" s="342"/>
      <c r="AM112" s="342"/>
      <c r="AN112" s="342"/>
      <c r="AO112" s="342"/>
      <c r="AP112" s="342"/>
      <c r="AQ112" s="342"/>
      <c r="AR112" s="342"/>
      <c r="AS112" s="342"/>
      <c r="AT112" s="342"/>
      <c r="AU112" s="342"/>
      <c r="AV112" s="342"/>
      <c r="AW112" s="342"/>
      <c r="AX112" s="342"/>
      <c r="AY112" s="342"/>
      <c r="AZ112" s="342"/>
      <c r="BA112" s="342"/>
      <c r="BB112" s="342"/>
      <c r="BC112" s="342"/>
      <c r="BD112" s="342"/>
      <c r="BE112" s="342"/>
      <c r="BF112" s="342"/>
      <c r="BG112" s="342"/>
      <c r="BH112" s="342"/>
    </row>
    <row r="113" spans="36:60" ht="15" x14ac:dyDescent="0.25">
      <c r="AJ113" s="342"/>
      <c r="AK113" s="342"/>
      <c r="AL113" s="342"/>
      <c r="AM113" s="342"/>
      <c r="AN113" s="342"/>
      <c r="AO113" s="342"/>
      <c r="AP113" s="342"/>
      <c r="AQ113" s="342"/>
      <c r="AR113" s="342"/>
      <c r="AS113" s="342"/>
      <c r="AT113" s="342"/>
      <c r="AU113" s="342"/>
      <c r="AV113" s="342"/>
      <c r="AW113" s="342"/>
      <c r="AX113" s="342"/>
      <c r="AY113" s="342"/>
      <c r="AZ113" s="342"/>
      <c r="BA113" s="342"/>
      <c r="BB113" s="342"/>
      <c r="BC113" s="342"/>
      <c r="BD113" s="342"/>
      <c r="BE113" s="342"/>
      <c r="BF113" s="342"/>
      <c r="BG113" s="342"/>
      <c r="BH113" s="342"/>
    </row>
    <row r="114" spans="36:60" ht="15" x14ac:dyDescent="0.25">
      <c r="AJ114" s="342"/>
      <c r="AK114" s="342"/>
      <c r="AL114" s="342"/>
      <c r="AM114" s="342"/>
      <c r="AN114" s="342"/>
      <c r="AO114" s="342"/>
      <c r="AP114" s="342"/>
      <c r="AQ114" s="342"/>
      <c r="AR114" s="342"/>
      <c r="AS114" s="342"/>
      <c r="AT114" s="342"/>
      <c r="AU114" s="342"/>
      <c r="AV114" s="342"/>
      <c r="AW114" s="342"/>
      <c r="AX114" s="342"/>
      <c r="AY114" s="342"/>
      <c r="AZ114" s="342"/>
      <c r="BA114" s="342"/>
      <c r="BB114" s="342"/>
      <c r="BC114" s="342"/>
      <c r="BD114" s="342"/>
      <c r="BE114" s="342"/>
      <c r="BF114" s="342"/>
      <c r="BG114" s="342"/>
      <c r="BH114" s="342"/>
    </row>
    <row r="115" spans="36:60" ht="15" x14ac:dyDescent="0.25">
      <c r="AJ115" s="342"/>
      <c r="AK115" s="342"/>
      <c r="AL115" s="342"/>
      <c r="AM115" s="342"/>
      <c r="AN115" s="342"/>
      <c r="AO115" s="342"/>
      <c r="AP115" s="342"/>
      <c r="AQ115" s="342"/>
      <c r="AR115" s="342"/>
      <c r="AS115" s="342"/>
      <c r="AT115" s="342"/>
      <c r="AU115" s="342"/>
      <c r="AV115" s="342"/>
      <c r="AW115" s="342"/>
      <c r="AX115" s="342"/>
      <c r="AY115" s="342"/>
      <c r="AZ115" s="342"/>
      <c r="BA115" s="342"/>
      <c r="BB115" s="342"/>
      <c r="BC115" s="342"/>
      <c r="BD115" s="342"/>
      <c r="BE115" s="342"/>
      <c r="BF115" s="342"/>
      <c r="BG115" s="342"/>
      <c r="BH115" s="342"/>
    </row>
    <row r="116" spans="36:60" ht="15" x14ac:dyDescent="0.25">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342"/>
    </row>
    <row r="117" spans="36:60" ht="15" x14ac:dyDescent="0.25">
      <c r="AJ117" s="342"/>
      <c r="AK117" s="342"/>
      <c r="AL117" s="342"/>
      <c r="AM117" s="342"/>
      <c r="AN117" s="342"/>
      <c r="AO117" s="342"/>
      <c r="AP117" s="342"/>
      <c r="AQ117" s="342"/>
      <c r="AR117" s="342"/>
      <c r="AS117" s="342"/>
      <c r="AT117" s="342"/>
      <c r="AU117" s="342"/>
      <c r="AV117" s="342"/>
      <c r="AW117" s="342"/>
      <c r="AX117" s="342"/>
      <c r="AY117" s="342"/>
      <c r="AZ117" s="342"/>
      <c r="BA117" s="342"/>
      <c r="BB117" s="342"/>
      <c r="BC117" s="342"/>
      <c r="BD117" s="342"/>
      <c r="BE117" s="342"/>
      <c r="BF117" s="342"/>
      <c r="BG117" s="342"/>
      <c r="BH117" s="342"/>
    </row>
    <row r="118" spans="36:60" ht="15" x14ac:dyDescent="0.25">
      <c r="AJ118" s="342"/>
      <c r="AK118" s="342"/>
      <c r="AL118" s="342"/>
      <c r="AM118" s="342"/>
      <c r="AN118" s="342"/>
      <c r="AO118" s="342"/>
      <c r="AP118" s="342"/>
      <c r="AQ118" s="342"/>
      <c r="AR118" s="342"/>
      <c r="AS118" s="342"/>
      <c r="AT118" s="342"/>
      <c r="AU118" s="342"/>
      <c r="AV118" s="342"/>
      <c r="AW118" s="342"/>
      <c r="AX118" s="342"/>
      <c r="AY118" s="342"/>
      <c r="AZ118" s="342"/>
      <c r="BA118" s="342"/>
      <c r="BB118" s="342"/>
      <c r="BC118" s="342"/>
      <c r="BD118" s="342"/>
      <c r="BE118" s="342"/>
      <c r="BF118" s="342"/>
      <c r="BG118" s="342"/>
      <c r="BH118" s="342"/>
    </row>
    <row r="119" spans="36:60" ht="15" x14ac:dyDescent="0.25">
      <c r="AJ119" s="342"/>
      <c r="AK119" s="342"/>
      <c r="AL119" s="342"/>
      <c r="AM119" s="342"/>
      <c r="AN119" s="342"/>
      <c r="AO119" s="342"/>
      <c r="AP119" s="342"/>
      <c r="AQ119" s="342"/>
      <c r="AR119" s="342"/>
      <c r="AS119" s="342"/>
      <c r="AT119" s="342"/>
      <c r="AU119" s="342"/>
      <c r="AV119" s="342"/>
      <c r="AW119" s="342"/>
      <c r="AX119" s="342"/>
      <c r="AY119" s="342"/>
      <c r="AZ119" s="342"/>
      <c r="BA119" s="342"/>
      <c r="BB119" s="342"/>
      <c r="BC119" s="342"/>
      <c r="BD119" s="342"/>
      <c r="BE119" s="342"/>
      <c r="BF119" s="342"/>
      <c r="BG119" s="342"/>
      <c r="BH119" s="342"/>
    </row>
    <row r="120" spans="36:60" ht="15" x14ac:dyDescent="0.25">
      <c r="AJ120" s="342"/>
      <c r="AK120" s="342"/>
      <c r="AL120" s="342"/>
      <c r="AM120" s="342"/>
      <c r="AN120" s="342"/>
      <c r="AO120" s="342"/>
      <c r="AP120" s="342"/>
      <c r="AQ120" s="342"/>
      <c r="AR120" s="342"/>
      <c r="AS120" s="342"/>
      <c r="AT120" s="342"/>
      <c r="AU120" s="342"/>
      <c r="AV120" s="342"/>
      <c r="AW120" s="342"/>
      <c r="AX120" s="342"/>
      <c r="AY120" s="342"/>
      <c r="AZ120" s="342"/>
      <c r="BA120" s="342"/>
      <c r="BB120" s="342"/>
      <c r="BC120" s="342"/>
      <c r="BD120" s="342"/>
      <c r="BE120" s="342"/>
      <c r="BF120" s="342"/>
      <c r="BG120" s="342"/>
      <c r="BH120" s="342"/>
    </row>
    <row r="121" spans="36:60" ht="15" x14ac:dyDescent="0.25">
      <c r="AJ121" s="342"/>
      <c r="AK121" s="342"/>
      <c r="AL121" s="342"/>
      <c r="AM121" s="342"/>
      <c r="AN121" s="342"/>
      <c r="AO121" s="342"/>
      <c r="AP121" s="342"/>
      <c r="AQ121" s="342"/>
      <c r="AR121" s="342"/>
      <c r="AS121" s="342"/>
      <c r="AT121" s="342"/>
      <c r="AU121" s="342"/>
      <c r="AV121" s="342"/>
      <c r="AW121" s="342"/>
      <c r="AX121" s="342"/>
      <c r="AY121" s="342"/>
      <c r="AZ121" s="342"/>
      <c r="BA121" s="342"/>
      <c r="BB121" s="342"/>
      <c r="BC121" s="342"/>
      <c r="BD121" s="342"/>
      <c r="BE121" s="342"/>
      <c r="BF121" s="342"/>
      <c r="BG121" s="342"/>
      <c r="BH121" s="342"/>
    </row>
    <row r="122" spans="36:60" ht="15" x14ac:dyDescent="0.25">
      <c r="AJ122" s="342"/>
      <c r="AK122" s="342"/>
      <c r="AL122" s="342"/>
      <c r="AM122" s="342"/>
      <c r="AN122" s="342"/>
      <c r="AO122" s="342"/>
      <c r="AP122" s="342"/>
      <c r="AQ122" s="342"/>
      <c r="AR122" s="342"/>
      <c r="AS122" s="342"/>
      <c r="AT122" s="342"/>
      <c r="AU122" s="342"/>
      <c r="AV122" s="342"/>
      <c r="AW122" s="342"/>
      <c r="AX122" s="342"/>
      <c r="AY122" s="342"/>
      <c r="AZ122" s="342"/>
      <c r="BA122" s="342"/>
      <c r="BB122" s="342"/>
      <c r="BC122" s="342"/>
      <c r="BD122" s="342"/>
      <c r="BE122" s="342"/>
      <c r="BF122" s="342"/>
      <c r="BG122" s="342"/>
      <c r="BH122" s="342"/>
    </row>
    <row r="123" spans="36:60" ht="15" x14ac:dyDescent="0.25">
      <c r="AJ123" s="342"/>
      <c r="AK123" s="342"/>
      <c r="AL123" s="342"/>
      <c r="AM123" s="342"/>
      <c r="AN123" s="342"/>
      <c r="AO123" s="342"/>
      <c r="AP123" s="342"/>
      <c r="AQ123" s="342"/>
      <c r="AR123" s="342"/>
      <c r="AS123" s="342"/>
      <c r="AT123" s="342"/>
      <c r="AU123" s="342"/>
      <c r="AV123" s="342"/>
      <c r="AW123" s="342"/>
      <c r="AX123" s="342"/>
      <c r="AY123" s="342"/>
      <c r="AZ123" s="342"/>
      <c r="BA123" s="342"/>
      <c r="BB123" s="342"/>
      <c r="BC123" s="342"/>
      <c r="BD123" s="342"/>
      <c r="BE123" s="342"/>
      <c r="BF123" s="342"/>
      <c r="BG123" s="342"/>
      <c r="BH123" s="342"/>
    </row>
    <row r="124" spans="36:60" ht="15" x14ac:dyDescent="0.25">
      <c r="AJ124" s="342"/>
      <c r="AK124" s="342"/>
      <c r="AL124" s="342"/>
      <c r="AM124" s="342"/>
      <c r="AN124" s="342"/>
      <c r="AO124" s="342"/>
      <c r="AP124" s="342"/>
      <c r="AQ124" s="342"/>
      <c r="AR124" s="342"/>
      <c r="AS124" s="342"/>
      <c r="AT124" s="342"/>
      <c r="AU124" s="342"/>
      <c r="AV124" s="342"/>
      <c r="AW124" s="342"/>
      <c r="AX124" s="342"/>
      <c r="AY124" s="342"/>
      <c r="AZ124" s="342"/>
      <c r="BA124" s="342"/>
      <c r="BB124" s="342"/>
      <c r="BC124" s="342"/>
      <c r="BD124" s="342"/>
      <c r="BE124" s="342"/>
      <c r="BF124" s="342"/>
      <c r="BG124" s="342"/>
      <c r="BH124" s="342"/>
    </row>
    <row r="125" spans="36:60" ht="15" x14ac:dyDescent="0.25">
      <c r="AJ125" s="342"/>
      <c r="AK125" s="342"/>
      <c r="AL125" s="342"/>
      <c r="AM125" s="342"/>
      <c r="AN125" s="342"/>
      <c r="AO125" s="342"/>
      <c r="AP125" s="342"/>
      <c r="AQ125" s="342"/>
      <c r="AR125" s="342"/>
      <c r="AS125" s="342"/>
      <c r="AT125" s="342"/>
      <c r="AU125" s="342"/>
      <c r="AV125" s="342"/>
      <c r="AW125" s="342"/>
      <c r="AX125" s="342"/>
      <c r="AY125" s="342"/>
      <c r="AZ125" s="342"/>
      <c r="BA125" s="342"/>
      <c r="BB125" s="342"/>
      <c r="BC125" s="342"/>
      <c r="BD125" s="342"/>
      <c r="BE125" s="342"/>
      <c r="BF125" s="342"/>
      <c r="BG125" s="342"/>
      <c r="BH125" s="342"/>
    </row>
    <row r="126" spans="36:60" ht="15" x14ac:dyDescent="0.25">
      <c r="AJ126" s="342"/>
      <c r="AK126" s="342"/>
      <c r="AL126" s="342"/>
      <c r="AM126" s="342"/>
      <c r="AN126" s="342"/>
      <c r="AO126" s="342"/>
      <c r="AP126" s="342"/>
      <c r="AQ126" s="342"/>
      <c r="AR126" s="342"/>
      <c r="AS126" s="342"/>
      <c r="AT126" s="342"/>
      <c r="AU126" s="342"/>
      <c r="AV126" s="342"/>
      <c r="AW126" s="342"/>
      <c r="AX126" s="342"/>
      <c r="AY126" s="342"/>
      <c r="AZ126" s="342"/>
      <c r="BA126" s="342"/>
      <c r="BB126" s="342"/>
      <c r="BC126" s="342"/>
      <c r="BD126" s="342"/>
      <c r="BE126" s="342"/>
      <c r="BF126" s="342"/>
      <c r="BG126" s="342"/>
      <c r="BH126" s="342"/>
    </row>
    <row r="127" spans="36:60" ht="15" x14ac:dyDescent="0.25">
      <c r="AJ127" s="342"/>
      <c r="AK127" s="342"/>
      <c r="AL127" s="342"/>
      <c r="AM127" s="342"/>
      <c r="AN127" s="342"/>
      <c r="AO127" s="342"/>
      <c r="AP127" s="342"/>
      <c r="AQ127" s="342"/>
      <c r="AR127" s="342"/>
      <c r="AS127" s="342"/>
      <c r="AT127" s="342"/>
      <c r="AU127" s="342"/>
      <c r="AV127" s="342"/>
      <c r="AW127" s="342"/>
      <c r="AX127" s="342"/>
      <c r="AY127" s="342"/>
      <c r="AZ127" s="342"/>
      <c r="BA127" s="342"/>
      <c r="BB127" s="342"/>
      <c r="BC127" s="342"/>
      <c r="BD127" s="342"/>
      <c r="BE127" s="342"/>
      <c r="BF127" s="342"/>
      <c r="BG127" s="342"/>
      <c r="BH127" s="342"/>
    </row>
    <row r="128" spans="36:60" ht="15" x14ac:dyDescent="0.25">
      <c r="AJ128" s="342"/>
      <c r="AK128" s="342"/>
      <c r="AL128" s="342"/>
      <c r="AM128" s="342"/>
      <c r="AN128" s="342"/>
      <c r="AO128" s="342"/>
      <c r="AP128" s="342"/>
      <c r="AQ128" s="342"/>
      <c r="AR128" s="342"/>
      <c r="AS128" s="342"/>
      <c r="AT128" s="342"/>
      <c r="AU128" s="342"/>
      <c r="AV128" s="342"/>
      <c r="AW128" s="342"/>
      <c r="AX128" s="342"/>
      <c r="AY128" s="342"/>
      <c r="AZ128" s="342"/>
      <c r="BA128" s="342"/>
      <c r="BB128" s="342"/>
      <c r="BC128" s="342"/>
      <c r="BD128" s="342"/>
      <c r="BE128" s="342"/>
      <c r="BF128" s="342"/>
      <c r="BG128" s="342"/>
      <c r="BH128" s="342"/>
    </row>
    <row r="129" spans="36:60" ht="15" x14ac:dyDescent="0.25">
      <c r="AJ129" s="342"/>
      <c r="AK129" s="342"/>
      <c r="AL129" s="342"/>
      <c r="AM129" s="342"/>
      <c r="AN129" s="342"/>
      <c r="AO129" s="342"/>
      <c r="AP129" s="342"/>
      <c r="AQ129" s="342"/>
      <c r="AR129" s="342"/>
      <c r="AS129" s="342"/>
      <c r="AT129" s="342"/>
      <c r="AU129" s="342"/>
      <c r="AV129" s="342"/>
      <c r="AW129" s="342"/>
      <c r="AX129" s="342"/>
      <c r="AY129" s="342"/>
      <c r="AZ129" s="342"/>
      <c r="BA129" s="342"/>
      <c r="BB129" s="342"/>
      <c r="BC129" s="342"/>
      <c r="BD129" s="342"/>
      <c r="BE129" s="342"/>
      <c r="BF129" s="342"/>
      <c r="BG129" s="342"/>
      <c r="BH129" s="342"/>
    </row>
    <row r="130" spans="36:60" ht="15" x14ac:dyDescent="0.25">
      <c r="AJ130" s="342"/>
      <c r="AK130" s="342"/>
      <c r="AL130" s="342"/>
      <c r="AM130" s="342"/>
      <c r="AN130" s="342"/>
      <c r="AO130" s="342"/>
      <c r="AP130" s="342"/>
      <c r="AQ130" s="342"/>
      <c r="AR130" s="342"/>
      <c r="AS130" s="342"/>
      <c r="AT130" s="342"/>
      <c r="AU130" s="342"/>
      <c r="AV130" s="342"/>
      <c r="AW130" s="342"/>
      <c r="AX130" s="342"/>
      <c r="AY130" s="342"/>
      <c r="AZ130" s="342"/>
      <c r="BA130" s="342"/>
      <c r="BB130" s="342"/>
      <c r="BC130" s="342"/>
      <c r="BD130" s="342"/>
      <c r="BE130" s="342"/>
      <c r="BF130" s="342"/>
      <c r="BG130" s="342"/>
      <c r="BH130" s="342"/>
    </row>
    <row r="131" spans="36:60" ht="15" x14ac:dyDescent="0.25">
      <c r="AJ131" s="342"/>
      <c r="AK131" s="342"/>
      <c r="AL131" s="342"/>
      <c r="AM131" s="342"/>
      <c r="AN131" s="342"/>
      <c r="AO131" s="342"/>
      <c r="AP131" s="342"/>
      <c r="AQ131" s="342"/>
      <c r="AR131" s="342"/>
      <c r="AS131" s="342"/>
      <c r="AT131" s="342"/>
      <c r="AU131" s="342"/>
      <c r="AV131" s="342"/>
      <c r="AW131" s="342"/>
      <c r="AX131" s="342"/>
      <c r="AY131" s="342"/>
      <c r="AZ131" s="342"/>
      <c r="BA131" s="342"/>
      <c r="BB131" s="342"/>
      <c r="BC131" s="342"/>
      <c r="BD131" s="342"/>
      <c r="BE131" s="342"/>
      <c r="BF131" s="342"/>
      <c r="BG131" s="342"/>
      <c r="BH131" s="342"/>
    </row>
    <row r="132" spans="36:60" ht="15" x14ac:dyDescent="0.25">
      <c r="AJ132" s="342"/>
      <c r="AK132" s="342"/>
      <c r="AL132" s="342"/>
      <c r="AM132" s="342"/>
      <c r="AN132" s="342"/>
      <c r="AO132" s="342"/>
      <c r="AP132" s="342"/>
      <c r="AQ132" s="342"/>
      <c r="AR132" s="342"/>
      <c r="AS132" s="342"/>
      <c r="AT132" s="342"/>
      <c r="AU132" s="342"/>
      <c r="AV132" s="342"/>
      <c r="AW132" s="342"/>
      <c r="AX132" s="342"/>
      <c r="AY132" s="342"/>
      <c r="AZ132" s="342"/>
      <c r="BA132" s="342"/>
      <c r="BB132" s="342"/>
      <c r="BC132" s="342"/>
      <c r="BD132" s="342"/>
      <c r="BE132" s="342"/>
      <c r="BF132" s="342"/>
      <c r="BG132" s="342"/>
      <c r="BH132" s="342"/>
    </row>
    <row r="133" spans="36:60" ht="15" x14ac:dyDescent="0.25">
      <c r="AJ133" s="342"/>
      <c r="AK133" s="342"/>
      <c r="AL133" s="342"/>
      <c r="AM133" s="342"/>
      <c r="AN133" s="342"/>
      <c r="AO133" s="342"/>
      <c r="AP133" s="342"/>
      <c r="AQ133" s="342"/>
      <c r="AR133" s="342"/>
      <c r="AS133" s="342"/>
      <c r="AT133" s="342"/>
      <c r="AU133" s="342"/>
      <c r="AV133" s="342"/>
      <c r="AW133" s="342"/>
      <c r="AX133" s="342"/>
      <c r="AY133" s="342"/>
      <c r="AZ133" s="342"/>
      <c r="BA133" s="342"/>
      <c r="BB133" s="342"/>
      <c r="BC133" s="342"/>
      <c r="BD133" s="342"/>
      <c r="BE133" s="342"/>
      <c r="BF133" s="342"/>
      <c r="BG133" s="342"/>
      <c r="BH133" s="342"/>
    </row>
    <row r="134" spans="36:60" ht="15" x14ac:dyDescent="0.25">
      <c r="AJ134" s="342"/>
      <c r="AK134" s="342"/>
      <c r="AL134" s="342"/>
      <c r="AM134" s="342"/>
      <c r="AN134" s="342"/>
      <c r="AO134" s="342"/>
      <c r="AP134" s="342"/>
      <c r="AQ134" s="342"/>
      <c r="AR134" s="342"/>
      <c r="AS134" s="342"/>
      <c r="AT134" s="342"/>
      <c r="AU134" s="342"/>
      <c r="AV134" s="342"/>
      <c r="AW134" s="342"/>
      <c r="AX134" s="342"/>
      <c r="AY134" s="342"/>
      <c r="AZ134" s="342"/>
      <c r="BA134" s="342"/>
      <c r="BB134" s="342"/>
      <c r="BC134" s="342"/>
      <c r="BD134" s="342"/>
      <c r="BE134" s="342"/>
      <c r="BF134" s="342"/>
      <c r="BG134" s="342"/>
      <c r="BH134" s="342"/>
    </row>
    <row r="135" spans="36:60" ht="15" x14ac:dyDescent="0.25">
      <c r="AJ135" s="342"/>
      <c r="AK135" s="342"/>
      <c r="AL135" s="342"/>
      <c r="AM135" s="342"/>
      <c r="AN135" s="342"/>
      <c r="AO135" s="342"/>
      <c r="AP135" s="342"/>
      <c r="AQ135" s="342"/>
      <c r="AR135" s="342"/>
      <c r="AS135" s="342"/>
      <c r="AT135" s="342"/>
      <c r="AU135" s="342"/>
      <c r="AV135" s="342"/>
      <c r="AW135" s="342"/>
      <c r="AX135" s="342"/>
      <c r="AY135" s="342"/>
      <c r="AZ135" s="342"/>
      <c r="BA135" s="342"/>
      <c r="BB135" s="342"/>
      <c r="BC135" s="342"/>
      <c r="BD135" s="342"/>
      <c r="BE135" s="342"/>
      <c r="BF135" s="342"/>
      <c r="BG135" s="342"/>
      <c r="BH135" s="342"/>
    </row>
    <row r="136" spans="36:60" ht="15" x14ac:dyDescent="0.25">
      <c r="AJ136" s="342"/>
      <c r="AK136" s="342"/>
      <c r="AL136" s="342"/>
      <c r="AM136" s="342"/>
      <c r="AN136" s="342"/>
      <c r="AO136" s="342"/>
      <c r="AP136" s="342"/>
      <c r="AQ136" s="342"/>
      <c r="AR136" s="342"/>
      <c r="AS136" s="342"/>
      <c r="AT136" s="342"/>
      <c r="AU136" s="342"/>
      <c r="AV136" s="342"/>
      <c r="AW136" s="342"/>
      <c r="AX136" s="342"/>
      <c r="AY136" s="342"/>
      <c r="AZ136" s="342"/>
      <c r="BA136" s="342"/>
      <c r="BB136" s="342"/>
      <c r="BC136" s="342"/>
      <c r="BD136" s="342"/>
      <c r="BE136" s="342"/>
      <c r="BF136" s="342"/>
      <c r="BG136" s="342"/>
      <c r="BH136" s="342"/>
    </row>
    <row r="137" spans="36:60" ht="15" x14ac:dyDescent="0.25">
      <c r="AJ137" s="342"/>
      <c r="AK137" s="342"/>
      <c r="AL137" s="342"/>
      <c r="AM137" s="342"/>
      <c r="AN137" s="342"/>
      <c r="AO137" s="342"/>
      <c r="AP137" s="342"/>
      <c r="AQ137" s="342"/>
      <c r="AR137" s="342"/>
      <c r="AS137" s="342"/>
      <c r="AT137" s="342"/>
      <c r="AU137" s="342"/>
      <c r="AV137" s="342"/>
      <c r="AW137" s="342"/>
      <c r="AX137" s="342"/>
      <c r="AY137" s="342"/>
      <c r="AZ137" s="342"/>
      <c r="BA137" s="342"/>
      <c r="BB137" s="342"/>
      <c r="BC137" s="342"/>
      <c r="BD137" s="342"/>
      <c r="BE137" s="342"/>
      <c r="BF137" s="342"/>
      <c r="BG137" s="342"/>
      <c r="BH137" s="342"/>
    </row>
    <row r="138" spans="36:60" ht="15" x14ac:dyDescent="0.25">
      <c r="AJ138" s="342"/>
      <c r="AK138" s="342"/>
      <c r="AL138" s="342"/>
      <c r="AM138" s="342"/>
      <c r="AN138" s="342"/>
      <c r="AO138" s="342"/>
      <c r="AP138" s="342"/>
      <c r="AQ138" s="342"/>
      <c r="AR138" s="342"/>
      <c r="AS138" s="342"/>
      <c r="AT138" s="342"/>
      <c r="AU138" s="342"/>
      <c r="AV138" s="342"/>
      <c r="AW138" s="342"/>
      <c r="AX138" s="342"/>
      <c r="AY138" s="342"/>
      <c r="AZ138" s="342"/>
      <c r="BA138" s="342"/>
      <c r="BB138" s="342"/>
      <c r="BC138" s="342"/>
      <c r="BD138" s="342"/>
      <c r="BE138" s="342"/>
      <c r="BF138" s="342"/>
      <c r="BG138" s="342"/>
      <c r="BH138" s="342"/>
    </row>
    <row r="139" spans="36:60" ht="15" x14ac:dyDescent="0.25">
      <c r="AJ139" s="342"/>
      <c r="AK139" s="342"/>
      <c r="AL139" s="342"/>
      <c r="AM139" s="342"/>
      <c r="AN139" s="342"/>
      <c r="AO139" s="342"/>
      <c r="AP139" s="342"/>
      <c r="AQ139" s="342"/>
      <c r="AR139" s="342"/>
      <c r="AS139" s="342"/>
      <c r="AT139" s="342"/>
      <c r="AU139" s="342"/>
      <c r="AV139" s="342"/>
      <c r="AW139" s="342"/>
      <c r="AX139" s="342"/>
      <c r="AY139" s="342"/>
      <c r="AZ139" s="342"/>
      <c r="BA139" s="342"/>
      <c r="BB139" s="342"/>
      <c r="BC139" s="342"/>
      <c r="BD139" s="342"/>
      <c r="BE139" s="342"/>
      <c r="BF139" s="342"/>
      <c r="BG139" s="342"/>
      <c r="BH139" s="342"/>
    </row>
    <row r="140" spans="36:60" ht="15" x14ac:dyDescent="0.25">
      <c r="AJ140" s="342"/>
      <c r="AK140" s="342"/>
      <c r="AL140" s="342"/>
      <c r="AM140" s="342"/>
      <c r="AN140" s="342"/>
      <c r="AO140" s="342"/>
      <c r="AP140" s="342"/>
      <c r="AQ140" s="342"/>
      <c r="AR140" s="342"/>
      <c r="AS140" s="342"/>
      <c r="AT140" s="342"/>
      <c r="AU140" s="342"/>
      <c r="AV140" s="342"/>
      <c r="AW140" s="342"/>
      <c r="AX140" s="342"/>
      <c r="AY140" s="342"/>
      <c r="AZ140" s="342"/>
      <c r="BA140" s="342"/>
      <c r="BB140" s="342"/>
      <c r="BC140" s="342"/>
      <c r="BD140" s="342"/>
      <c r="BE140" s="342"/>
      <c r="BF140" s="342"/>
      <c r="BG140" s="342"/>
      <c r="BH140" s="342"/>
    </row>
    <row r="141" spans="36:60" ht="15" x14ac:dyDescent="0.25">
      <c r="AJ141" s="342"/>
      <c r="AK141" s="342"/>
      <c r="AL141" s="342"/>
      <c r="AM141" s="342"/>
      <c r="AN141" s="342"/>
      <c r="AO141" s="342"/>
      <c r="AP141" s="342"/>
      <c r="AQ141" s="342"/>
      <c r="AR141" s="342"/>
      <c r="AS141" s="342"/>
      <c r="AT141" s="342"/>
      <c r="AU141" s="342"/>
      <c r="AV141" s="342"/>
      <c r="AW141" s="342"/>
      <c r="AX141" s="342"/>
      <c r="AY141" s="342"/>
      <c r="AZ141" s="342"/>
      <c r="BA141" s="342"/>
      <c r="BB141" s="342"/>
      <c r="BC141" s="342"/>
      <c r="BD141" s="342"/>
      <c r="BE141" s="342"/>
      <c r="BF141" s="342"/>
      <c r="BG141" s="342"/>
      <c r="BH141" s="342"/>
    </row>
    <row r="142" spans="36:60" ht="15" x14ac:dyDescent="0.25">
      <c r="AJ142" s="342"/>
      <c r="AK142" s="342"/>
      <c r="AL142" s="342"/>
      <c r="AM142" s="342"/>
      <c r="AN142" s="342"/>
      <c r="AO142" s="342"/>
      <c r="AP142" s="342"/>
      <c r="AQ142" s="342"/>
      <c r="AR142" s="342"/>
      <c r="AS142" s="342"/>
      <c r="AT142" s="342"/>
      <c r="AU142" s="342"/>
      <c r="AV142" s="342"/>
      <c r="AW142" s="342"/>
      <c r="AX142" s="342"/>
      <c r="AY142" s="342"/>
      <c r="AZ142" s="342"/>
      <c r="BA142" s="342"/>
      <c r="BB142" s="342"/>
      <c r="BC142" s="342"/>
      <c r="BD142" s="342"/>
      <c r="BE142" s="342"/>
      <c r="BF142" s="342"/>
      <c r="BG142" s="342"/>
      <c r="BH142" s="342"/>
    </row>
    <row r="143" spans="36:60" ht="15" x14ac:dyDescent="0.25">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342"/>
    </row>
    <row r="144" spans="36:60" ht="15" x14ac:dyDescent="0.25">
      <c r="AJ144" s="342"/>
      <c r="AK144" s="342"/>
      <c r="AL144" s="342"/>
      <c r="AM144" s="342"/>
      <c r="AN144" s="342"/>
      <c r="AO144" s="342"/>
      <c r="AP144" s="342"/>
      <c r="AQ144" s="342"/>
      <c r="AR144" s="342"/>
      <c r="AS144" s="342"/>
      <c r="AT144" s="342"/>
      <c r="AU144" s="342"/>
      <c r="AV144" s="342"/>
      <c r="AW144" s="342"/>
      <c r="AX144" s="342"/>
      <c r="AY144" s="342"/>
      <c r="AZ144" s="342"/>
      <c r="BA144" s="342"/>
      <c r="BB144" s="342"/>
      <c r="BC144" s="342"/>
      <c r="BD144" s="342"/>
      <c r="BE144" s="342"/>
      <c r="BF144" s="342"/>
      <c r="BG144" s="342"/>
      <c r="BH144" s="342"/>
    </row>
    <row r="145" spans="36:60" ht="15" x14ac:dyDescent="0.25">
      <c r="AJ145" s="342"/>
      <c r="AK145" s="342"/>
      <c r="AL145" s="342"/>
      <c r="AM145" s="342"/>
      <c r="AN145" s="342"/>
      <c r="AO145" s="342"/>
      <c r="AP145" s="342"/>
      <c r="AQ145" s="342"/>
      <c r="AR145" s="342"/>
      <c r="AS145" s="342"/>
      <c r="AT145" s="342"/>
      <c r="AU145" s="342"/>
      <c r="AV145" s="342"/>
      <c r="AW145" s="342"/>
      <c r="AX145" s="342"/>
      <c r="AY145" s="342"/>
      <c r="AZ145" s="342"/>
      <c r="BA145" s="342"/>
      <c r="BB145" s="342"/>
      <c r="BC145" s="342"/>
      <c r="BD145" s="342"/>
      <c r="BE145" s="342"/>
      <c r="BF145" s="342"/>
      <c r="BG145" s="342"/>
      <c r="BH145" s="342"/>
    </row>
    <row r="146" spans="36:60" ht="15" x14ac:dyDescent="0.25">
      <c r="AJ146" s="342"/>
      <c r="AK146" s="342"/>
      <c r="AL146" s="342"/>
      <c r="AM146" s="342"/>
      <c r="AN146" s="342"/>
      <c r="AO146" s="342"/>
      <c r="AP146" s="342"/>
      <c r="AQ146" s="342"/>
      <c r="AR146" s="342"/>
      <c r="AS146" s="342"/>
      <c r="AT146" s="342"/>
      <c r="AU146" s="342"/>
      <c r="AV146" s="342"/>
      <c r="AW146" s="342"/>
      <c r="AX146" s="342"/>
      <c r="AY146" s="342"/>
      <c r="AZ146" s="342"/>
      <c r="BA146" s="342"/>
      <c r="BB146" s="342"/>
      <c r="BC146" s="342"/>
      <c r="BD146" s="342"/>
      <c r="BE146" s="342"/>
      <c r="BF146" s="342"/>
      <c r="BG146" s="342"/>
      <c r="BH146" s="342"/>
    </row>
    <row r="147" spans="36:60" ht="15" x14ac:dyDescent="0.25">
      <c r="AJ147" s="342"/>
      <c r="AK147" s="342"/>
      <c r="AL147" s="342"/>
      <c r="AM147" s="342"/>
      <c r="AN147" s="342"/>
      <c r="AO147" s="342"/>
      <c r="AP147" s="342"/>
      <c r="AQ147" s="342"/>
      <c r="AR147" s="342"/>
      <c r="AS147" s="342"/>
      <c r="AT147" s="342"/>
      <c r="AU147" s="342"/>
      <c r="AV147" s="342"/>
      <c r="AW147" s="342"/>
      <c r="AX147" s="342"/>
      <c r="AY147" s="342"/>
      <c r="AZ147" s="342"/>
      <c r="BA147" s="342"/>
      <c r="BB147" s="342"/>
      <c r="BC147" s="342"/>
      <c r="BD147" s="342"/>
      <c r="BE147" s="342"/>
      <c r="BF147" s="342"/>
      <c r="BG147" s="342"/>
      <c r="BH147" s="342"/>
    </row>
    <row r="148" spans="36:60" ht="15" x14ac:dyDescent="0.25">
      <c r="AJ148" s="342"/>
      <c r="AK148" s="342"/>
      <c r="AL148" s="342"/>
      <c r="AM148" s="342"/>
      <c r="AN148" s="342"/>
      <c r="AO148" s="342"/>
      <c r="AP148" s="342"/>
      <c r="AQ148" s="342"/>
      <c r="AR148" s="342"/>
      <c r="AS148" s="342"/>
      <c r="AT148" s="342"/>
      <c r="AU148" s="342"/>
      <c r="AV148" s="342"/>
      <c r="AW148" s="342"/>
      <c r="AX148" s="342"/>
      <c r="AY148" s="342"/>
      <c r="AZ148" s="342"/>
      <c r="BA148" s="342"/>
      <c r="BB148" s="342"/>
      <c r="BC148" s="342"/>
      <c r="BD148" s="342"/>
      <c r="BE148" s="342"/>
      <c r="BF148" s="342"/>
      <c r="BG148" s="342"/>
      <c r="BH148" s="342"/>
    </row>
    <row r="149" spans="36:60" ht="15" x14ac:dyDescent="0.25">
      <c r="AJ149" s="342"/>
      <c r="AK149" s="342"/>
      <c r="AL149" s="342"/>
      <c r="AM149" s="342"/>
      <c r="AN149" s="342"/>
      <c r="AO149" s="342"/>
      <c r="AP149" s="342"/>
      <c r="AQ149" s="342"/>
      <c r="AR149" s="342"/>
      <c r="AS149" s="342"/>
      <c r="AT149" s="342"/>
      <c r="AU149" s="342"/>
      <c r="AV149" s="342"/>
      <c r="AW149" s="342"/>
      <c r="AX149" s="342"/>
      <c r="AY149" s="342"/>
      <c r="AZ149" s="342"/>
      <c r="BA149" s="342"/>
      <c r="BB149" s="342"/>
      <c r="BC149" s="342"/>
      <c r="BD149" s="342"/>
      <c r="BE149" s="342"/>
      <c r="BF149" s="342"/>
      <c r="BG149" s="342"/>
      <c r="BH149" s="342"/>
    </row>
    <row r="150" spans="36:60" ht="15" x14ac:dyDescent="0.25">
      <c r="AJ150" s="342"/>
      <c r="AK150" s="342"/>
      <c r="AL150" s="342"/>
      <c r="AM150" s="342"/>
      <c r="AN150" s="342"/>
      <c r="AO150" s="342"/>
      <c r="AP150" s="342"/>
      <c r="AQ150" s="342"/>
      <c r="AR150" s="342"/>
      <c r="AS150" s="342"/>
      <c r="AT150" s="342"/>
      <c r="AU150" s="342"/>
      <c r="AV150" s="342"/>
      <c r="AW150" s="342"/>
      <c r="AX150" s="342"/>
      <c r="AY150" s="342"/>
      <c r="AZ150" s="342"/>
      <c r="BA150" s="342"/>
      <c r="BB150" s="342"/>
      <c r="BC150" s="342"/>
      <c r="BD150" s="342"/>
      <c r="BE150" s="342"/>
      <c r="BF150" s="342"/>
      <c r="BG150" s="342"/>
      <c r="BH150" s="342"/>
    </row>
    <row r="151" spans="36:60" ht="15" x14ac:dyDescent="0.25">
      <c r="AJ151" s="342"/>
      <c r="AK151" s="342"/>
      <c r="AL151" s="342"/>
      <c r="AM151" s="342"/>
      <c r="AN151" s="342"/>
      <c r="AO151" s="342"/>
      <c r="AP151" s="342"/>
      <c r="AQ151" s="342"/>
      <c r="AR151" s="342"/>
      <c r="AS151" s="342"/>
      <c r="AT151" s="342"/>
      <c r="AU151" s="342"/>
      <c r="AV151" s="342"/>
      <c r="AW151" s="342"/>
      <c r="AX151" s="342"/>
      <c r="AY151" s="342"/>
      <c r="AZ151" s="342"/>
      <c r="BA151" s="342"/>
      <c r="BB151" s="342"/>
      <c r="BC151" s="342"/>
      <c r="BD151" s="342"/>
      <c r="BE151" s="342"/>
      <c r="BF151" s="342"/>
      <c r="BG151" s="342"/>
      <c r="BH151" s="342"/>
    </row>
    <row r="152" spans="36:60" ht="15" x14ac:dyDescent="0.25">
      <c r="AJ152" s="342"/>
      <c r="AK152" s="342"/>
      <c r="AL152" s="342"/>
      <c r="AM152" s="342"/>
      <c r="AN152" s="342"/>
      <c r="AO152" s="342"/>
      <c r="AP152" s="342"/>
      <c r="AQ152" s="342"/>
      <c r="AR152" s="342"/>
      <c r="AS152" s="342"/>
      <c r="AT152" s="342"/>
      <c r="AU152" s="342"/>
      <c r="AV152" s="342"/>
      <c r="AW152" s="342"/>
      <c r="AX152" s="342"/>
      <c r="AY152" s="342"/>
      <c r="AZ152" s="342"/>
      <c r="BA152" s="342"/>
      <c r="BB152" s="342"/>
      <c r="BC152" s="342"/>
      <c r="BD152" s="342"/>
      <c r="BE152" s="342"/>
      <c r="BF152" s="342"/>
      <c r="BG152" s="342"/>
      <c r="BH152" s="342"/>
    </row>
    <row r="153" spans="36:60" ht="15" x14ac:dyDescent="0.25">
      <c r="AJ153" s="342"/>
      <c r="AK153" s="342"/>
      <c r="AL153" s="342"/>
      <c r="AM153" s="342"/>
      <c r="AN153" s="342"/>
      <c r="AO153" s="342"/>
      <c r="AP153" s="342"/>
      <c r="AQ153" s="342"/>
      <c r="AR153" s="342"/>
      <c r="AS153" s="342"/>
      <c r="AT153" s="342"/>
      <c r="AU153" s="342"/>
      <c r="AV153" s="342"/>
      <c r="AW153" s="342"/>
      <c r="AX153" s="342"/>
      <c r="AY153" s="342"/>
      <c r="AZ153" s="342"/>
      <c r="BA153" s="342"/>
      <c r="BB153" s="342"/>
      <c r="BC153" s="342"/>
      <c r="BD153" s="342"/>
      <c r="BE153" s="342"/>
      <c r="BF153" s="342"/>
      <c r="BG153" s="342"/>
      <c r="BH153" s="342"/>
    </row>
    <row r="154" spans="36:60" ht="15" x14ac:dyDescent="0.25">
      <c r="AJ154" s="342"/>
      <c r="AK154" s="342"/>
      <c r="AL154" s="342"/>
      <c r="AM154" s="342"/>
      <c r="AN154" s="342"/>
      <c r="AO154" s="342"/>
      <c r="AP154" s="342"/>
      <c r="AQ154" s="342"/>
      <c r="AR154" s="342"/>
      <c r="AS154" s="342"/>
      <c r="AT154" s="342"/>
      <c r="AU154" s="342"/>
      <c r="AV154" s="342"/>
      <c r="AW154" s="342"/>
      <c r="AX154" s="342"/>
      <c r="AY154" s="342"/>
      <c r="AZ154" s="342"/>
      <c r="BA154" s="342"/>
      <c r="BB154" s="342"/>
      <c r="BC154" s="342"/>
      <c r="BD154" s="342"/>
      <c r="BE154" s="342"/>
      <c r="BF154" s="342"/>
      <c r="BG154" s="342"/>
      <c r="BH154" s="342"/>
    </row>
    <row r="155" spans="36:60" ht="15" x14ac:dyDescent="0.25">
      <c r="AJ155" s="342"/>
      <c r="AK155" s="342"/>
      <c r="AL155" s="342"/>
      <c r="AM155" s="342"/>
      <c r="AN155" s="342"/>
      <c r="AO155" s="342"/>
      <c r="AP155" s="342"/>
      <c r="AQ155" s="342"/>
      <c r="AR155" s="342"/>
      <c r="AS155" s="342"/>
      <c r="AT155" s="342"/>
      <c r="AU155" s="342"/>
      <c r="AV155" s="342"/>
      <c r="AW155" s="342"/>
      <c r="AX155" s="342"/>
      <c r="AY155" s="342"/>
      <c r="AZ155" s="342"/>
      <c r="BA155" s="342"/>
      <c r="BB155" s="342"/>
      <c r="BC155" s="342"/>
      <c r="BD155" s="342"/>
      <c r="BE155" s="342"/>
      <c r="BF155" s="342"/>
      <c r="BG155" s="342"/>
      <c r="BH155" s="342"/>
    </row>
    <row r="156" spans="36:60" ht="15" x14ac:dyDescent="0.25">
      <c r="AJ156" s="342"/>
      <c r="AK156" s="342"/>
      <c r="AL156" s="342"/>
      <c r="AM156" s="342"/>
      <c r="AN156" s="342"/>
      <c r="AO156" s="342"/>
      <c r="AP156" s="342"/>
      <c r="AQ156" s="342"/>
      <c r="AR156" s="342"/>
      <c r="AS156" s="342"/>
      <c r="AT156" s="342"/>
      <c r="AU156" s="342"/>
      <c r="AV156" s="342"/>
      <c r="AW156" s="342"/>
      <c r="AX156" s="342"/>
      <c r="AY156" s="342"/>
      <c r="AZ156" s="342"/>
      <c r="BA156" s="342"/>
      <c r="BB156" s="342"/>
      <c r="BC156" s="342"/>
      <c r="BD156" s="342"/>
      <c r="BE156" s="342"/>
      <c r="BF156" s="342"/>
      <c r="BG156" s="342"/>
      <c r="BH156" s="342"/>
    </row>
    <row r="157" spans="36:60" ht="15" x14ac:dyDescent="0.25">
      <c r="AJ157" s="342"/>
      <c r="AK157" s="342"/>
      <c r="AL157" s="342"/>
      <c r="AM157" s="342"/>
      <c r="AN157" s="342"/>
      <c r="AO157" s="342"/>
      <c r="AP157" s="342"/>
      <c r="AQ157" s="342"/>
      <c r="AR157" s="342"/>
      <c r="AS157" s="342"/>
      <c r="AT157" s="342"/>
      <c r="AU157" s="342"/>
      <c r="AV157" s="342"/>
      <c r="AW157" s="342"/>
      <c r="AX157" s="342"/>
      <c r="AY157" s="342"/>
      <c r="AZ157" s="342"/>
      <c r="BA157" s="342"/>
      <c r="BB157" s="342"/>
      <c r="BC157" s="342"/>
      <c r="BD157" s="342"/>
      <c r="BE157" s="342"/>
      <c r="BF157" s="342"/>
      <c r="BG157" s="342"/>
      <c r="BH157" s="342"/>
    </row>
    <row r="158" spans="36:60" ht="15" x14ac:dyDescent="0.25">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row>
    <row r="159" spans="36:60" ht="15" x14ac:dyDescent="0.25">
      <c r="AJ159" s="342"/>
      <c r="AK159" s="342"/>
      <c r="AL159" s="342"/>
      <c r="AM159" s="342"/>
      <c r="AN159" s="342"/>
      <c r="AO159" s="342"/>
      <c r="AP159" s="342"/>
      <c r="AQ159" s="342"/>
      <c r="AR159" s="342"/>
      <c r="AS159" s="342"/>
      <c r="AT159" s="342"/>
      <c r="AU159" s="342"/>
      <c r="AV159" s="342"/>
      <c r="AW159" s="342"/>
      <c r="AX159" s="342"/>
      <c r="AY159" s="342"/>
      <c r="AZ159" s="342"/>
      <c r="BA159" s="342"/>
      <c r="BB159" s="342"/>
      <c r="BC159" s="342"/>
      <c r="BD159" s="342"/>
      <c r="BE159" s="342"/>
      <c r="BF159" s="342"/>
      <c r="BG159" s="342"/>
      <c r="BH159" s="342"/>
    </row>
    <row r="160" spans="36:60" ht="15" x14ac:dyDescent="0.25">
      <c r="AJ160" s="342"/>
      <c r="AK160" s="342"/>
      <c r="AL160" s="342"/>
      <c r="AM160" s="342"/>
      <c r="AN160" s="342"/>
      <c r="AO160" s="342"/>
      <c r="AP160" s="342"/>
      <c r="AQ160" s="342"/>
      <c r="AR160" s="342"/>
      <c r="AS160" s="342"/>
      <c r="AT160" s="342"/>
      <c r="AU160" s="342"/>
      <c r="AV160" s="342"/>
      <c r="AW160" s="342"/>
      <c r="AX160" s="342"/>
      <c r="AY160" s="342"/>
      <c r="AZ160" s="342"/>
      <c r="BA160" s="342"/>
      <c r="BB160" s="342"/>
      <c r="BC160" s="342"/>
      <c r="BD160" s="342"/>
      <c r="BE160" s="342"/>
      <c r="BF160" s="342"/>
      <c r="BG160" s="342"/>
      <c r="BH160" s="342"/>
    </row>
    <row r="161" spans="36:60" ht="15" x14ac:dyDescent="0.25">
      <c r="AJ161" s="342"/>
      <c r="AK161" s="342"/>
      <c r="AL161" s="342"/>
      <c r="AM161" s="342"/>
      <c r="AN161" s="342"/>
      <c r="AO161" s="342"/>
      <c r="AP161" s="342"/>
      <c r="AQ161" s="342"/>
      <c r="AR161" s="342"/>
      <c r="AS161" s="342"/>
      <c r="AT161" s="342"/>
      <c r="AU161" s="342"/>
      <c r="AV161" s="342"/>
      <c r="AW161" s="342"/>
      <c r="AX161" s="342"/>
      <c r="AY161" s="342"/>
      <c r="AZ161" s="342"/>
      <c r="BA161" s="342"/>
      <c r="BB161" s="342"/>
      <c r="BC161" s="342"/>
      <c r="BD161" s="342"/>
      <c r="BE161" s="342"/>
      <c r="BF161" s="342"/>
      <c r="BG161" s="342"/>
      <c r="BH161" s="342"/>
    </row>
    <row r="162" spans="36:60" ht="15" x14ac:dyDescent="0.25">
      <c r="AJ162" s="342"/>
      <c r="AK162" s="342"/>
      <c r="AL162" s="342"/>
      <c r="AM162" s="342"/>
      <c r="AN162" s="342"/>
      <c r="AO162" s="342"/>
      <c r="AP162" s="342"/>
      <c r="AQ162" s="342"/>
      <c r="AR162" s="342"/>
      <c r="AS162" s="342"/>
      <c r="AT162" s="342"/>
      <c r="AU162" s="342"/>
      <c r="AV162" s="342"/>
      <c r="AW162" s="342"/>
      <c r="AX162" s="342"/>
      <c r="AY162" s="342"/>
      <c r="AZ162" s="342"/>
      <c r="BA162" s="342"/>
      <c r="BB162" s="342"/>
      <c r="BC162" s="342"/>
      <c r="BD162" s="342"/>
      <c r="BE162" s="342"/>
      <c r="BF162" s="342"/>
      <c r="BG162" s="342"/>
      <c r="BH162" s="342"/>
    </row>
    <row r="163" spans="36:60" ht="15" x14ac:dyDescent="0.25">
      <c r="AJ163" s="342"/>
      <c r="AK163" s="342"/>
      <c r="AL163" s="342"/>
      <c r="AM163" s="342"/>
      <c r="AN163" s="342"/>
      <c r="AO163" s="342"/>
      <c r="AP163" s="342"/>
      <c r="AQ163" s="342"/>
      <c r="AR163" s="342"/>
      <c r="AS163" s="342"/>
      <c r="AT163" s="342"/>
      <c r="AU163" s="342"/>
      <c r="AV163" s="342"/>
      <c r="AW163" s="342"/>
      <c r="AX163" s="342"/>
      <c r="AY163" s="342"/>
      <c r="AZ163" s="342"/>
      <c r="BA163" s="342"/>
      <c r="BB163" s="342"/>
      <c r="BC163" s="342"/>
      <c r="BD163" s="342"/>
      <c r="BE163" s="342"/>
      <c r="BF163" s="342"/>
      <c r="BG163" s="342"/>
      <c r="BH163" s="342"/>
    </row>
    <row r="164" spans="36:60" ht="15" x14ac:dyDescent="0.25">
      <c r="AJ164" s="342"/>
      <c r="AK164" s="342"/>
      <c r="AL164" s="342"/>
      <c r="AM164" s="342"/>
      <c r="AN164" s="342"/>
      <c r="AO164" s="342"/>
      <c r="AP164" s="342"/>
      <c r="AQ164" s="342"/>
      <c r="AR164" s="342"/>
      <c r="AS164" s="342"/>
      <c r="AT164" s="342"/>
      <c r="AU164" s="342"/>
      <c r="AV164" s="342"/>
      <c r="AW164" s="342"/>
      <c r="AX164" s="342"/>
      <c r="AY164" s="342"/>
      <c r="AZ164" s="342"/>
      <c r="BA164" s="342"/>
      <c r="BB164" s="342"/>
      <c r="BC164" s="342"/>
      <c r="BD164" s="342"/>
      <c r="BE164" s="342"/>
      <c r="BF164" s="342"/>
      <c r="BG164" s="342"/>
      <c r="BH164" s="342"/>
    </row>
    <row r="165" spans="36:60" ht="15" x14ac:dyDescent="0.25">
      <c r="AJ165" s="342"/>
      <c r="AK165" s="342"/>
      <c r="AL165" s="342"/>
      <c r="AM165" s="342"/>
      <c r="AN165" s="342"/>
      <c r="AO165" s="342"/>
      <c r="AP165" s="342"/>
      <c r="AQ165" s="342"/>
      <c r="AR165" s="342"/>
      <c r="AS165" s="342"/>
      <c r="AT165" s="342"/>
      <c r="AU165" s="342"/>
      <c r="AV165" s="342"/>
      <c r="AW165" s="342"/>
      <c r="AX165" s="342"/>
      <c r="AY165" s="342"/>
      <c r="AZ165" s="342"/>
      <c r="BA165" s="342"/>
      <c r="BB165" s="342"/>
      <c r="BC165" s="342"/>
      <c r="BD165" s="342"/>
      <c r="BE165" s="342"/>
      <c r="BF165" s="342"/>
      <c r="BG165" s="342"/>
      <c r="BH165" s="342"/>
    </row>
    <row r="166" spans="36:60" ht="15" x14ac:dyDescent="0.25">
      <c r="AJ166" s="342"/>
      <c r="AK166" s="342"/>
      <c r="AL166" s="342"/>
      <c r="AM166" s="342"/>
      <c r="AN166" s="342"/>
      <c r="AO166" s="342"/>
      <c r="AP166" s="342"/>
      <c r="AQ166" s="342"/>
      <c r="AR166" s="342"/>
      <c r="AS166" s="342"/>
      <c r="AT166" s="342"/>
      <c r="AU166" s="342"/>
      <c r="AV166" s="342"/>
      <c r="AW166" s="342"/>
      <c r="AX166" s="342"/>
      <c r="AY166" s="342"/>
      <c r="AZ166" s="342"/>
      <c r="BA166" s="342"/>
      <c r="BB166" s="342"/>
      <c r="BC166" s="342"/>
      <c r="BD166" s="342"/>
      <c r="BE166" s="342"/>
      <c r="BF166" s="342"/>
      <c r="BG166" s="342"/>
      <c r="BH166" s="342"/>
    </row>
    <row r="167" spans="36:60" ht="15" x14ac:dyDescent="0.25">
      <c r="AJ167" s="342"/>
      <c r="AK167" s="342"/>
      <c r="AL167" s="342"/>
      <c r="AM167" s="342"/>
      <c r="AN167" s="342"/>
      <c r="AO167" s="342"/>
      <c r="AP167" s="342"/>
      <c r="AQ167" s="342"/>
      <c r="AR167" s="342"/>
      <c r="AS167" s="342"/>
      <c r="AT167" s="342"/>
      <c r="AU167" s="342"/>
      <c r="AV167" s="342"/>
      <c r="AW167" s="342"/>
      <c r="AX167" s="342"/>
      <c r="AY167" s="342"/>
      <c r="AZ167" s="342"/>
      <c r="BA167" s="342"/>
      <c r="BB167" s="342"/>
      <c r="BC167" s="342"/>
      <c r="BD167" s="342"/>
      <c r="BE167" s="342"/>
      <c r="BF167" s="342"/>
      <c r="BG167" s="342"/>
      <c r="BH167" s="342"/>
    </row>
    <row r="168" spans="36:60" ht="15" x14ac:dyDescent="0.25">
      <c r="AJ168" s="342"/>
      <c r="AK168" s="342"/>
      <c r="AL168" s="342"/>
      <c r="AM168" s="342"/>
      <c r="AN168" s="342"/>
      <c r="AO168" s="342"/>
      <c r="AP168" s="342"/>
      <c r="AQ168" s="342"/>
      <c r="AR168" s="342"/>
      <c r="AS168" s="342"/>
      <c r="AT168" s="342"/>
      <c r="AU168" s="342"/>
      <c r="AV168" s="342"/>
      <c r="AW168" s="342"/>
      <c r="AX168" s="342"/>
      <c r="AY168" s="342"/>
      <c r="AZ168" s="342"/>
      <c r="BA168" s="342"/>
      <c r="BB168" s="342"/>
      <c r="BC168" s="342"/>
      <c r="BD168" s="342"/>
      <c r="BE168" s="342"/>
      <c r="BF168" s="342"/>
      <c r="BG168" s="342"/>
      <c r="BH168" s="342"/>
    </row>
    <row r="169" spans="36:60" ht="15" x14ac:dyDescent="0.25">
      <c r="AJ169" s="342"/>
      <c r="AK169" s="342"/>
      <c r="AL169" s="342"/>
      <c r="AM169" s="342"/>
      <c r="AN169" s="342"/>
      <c r="AO169" s="342"/>
      <c r="AP169" s="342"/>
      <c r="AQ169" s="342"/>
      <c r="AR169" s="342"/>
      <c r="AS169" s="342"/>
      <c r="AT169" s="342"/>
      <c r="AU169" s="342"/>
      <c r="AV169" s="342"/>
      <c r="AW169" s="342"/>
      <c r="AX169" s="342"/>
      <c r="AY169" s="342"/>
      <c r="AZ169" s="342"/>
      <c r="BA169" s="342"/>
      <c r="BB169" s="342"/>
      <c r="BC169" s="342"/>
      <c r="BD169" s="342"/>
      <c r="BE169" s="342"/>
      <c r="BF169" s="342"/>
      <c r="BG169" s="342"/>
      <c r="BH169" s="342"/>
    </row>
    <row r="170" spans="36:60" ht="15" x14ac:dyDescent="0.25">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342"/>
    </row>
    <row r="171" spans="36:60" ht="15" x14ac:dyDescent="0.25">
      <c r="AJ171" s="342"/>
      <c r="AK171" s="342"/>
      <c r="AL171" s="342"/>
      <c r="AM171" s="342"/>
      <c r="AN171" s="342"/>
      <c r="AO171" s="342"/>
      <c r="AP171" s="342"/>
      <c r="AQ171" s="342"/>
      <c r="AR171" s="342"/>
      <c r="AS171" s="342"/>
      <c r="AT171" s="342"/>
      <c r="AU171" s="342"/>
      <c r="AV171" s="342"/>
      <c r="AW171" s="342"/>
      <c r="AX171" s="342"/>
      <c r="AY171" s="342"/>
      <c r="AZ171" s="342"/>
      <c r="BA171" s="342"/>
      <c r="BB171" s="342"/>
      <c r="BC171" s="342"/>
      <c r="BD171" s="342"/>
      <c r="BE171" s="342"/>
      <c r="BF171" s="342"/>
      <c r="BG171" s="342"/>
      <c r="BH171" s="342"/>
    </row>
    <row r="172" spans="36:60" ht="15" x14ac:dyDescent="0.25">
      <c r="AJ172" s="342"/>
      <c r="AK172" s="342"/>
      <c r="AL172" s="342"/>
      <c r="AM172" s="342"/>
      <c r="AN172" s="342"/>
      <c r="AO172" s="342"/>
      <c r="AP172" s="342"/>
      <c r="AQ172" s="342"/>
      <c r="AR172" s="342"/>
      <c r="AS172" s="342"/>
      <c r="AT172" s="342"/>
      <c r="AU172" s="342"/>
      <c r="AV172" s="342"/>
      <c r="AW172" s="342"/>
      <c r="AX172" s="342"/>
      <c r="AY172" s="342"/>
      <c r="AZ172" s="342"/>
      <c r="BA172" s="342"/>
      <c r="BB172" s="342"/>
      <c r="BC172" s="342"/>
      <c r="BD172" s="342"/>
      <c r="BE172" s="342"/>
      <c r="BF172" s="342"/>
      <c r="BG172" s="342"/>
      <c r="BH172" s="342"/>
    </row>
    <row r="173" spans="36:60" ht="15" x14ac:dyDescent="0.25">
      <c r="AJ173" s="342"/>
      <c r="AK173" s="342"/>
      <c r="AL173" s="342"/>
      <c r="AM173" s="342"/>
      <c r="AN173" s="342"/>
      <c r="AO173" s="342"/>
      <c r="AP173" s="342"/>
      <c r="AQ173" s="342"/>
      <c r="AR173" s="342"/>
      <c r="AS173" s="342"/>
      <c r="AT173" s="342"/>
      <c r="AU173" s="342"/>
      <c r="AV173" s="342"/>
      <c r="AW173" s="342"/>
      <c r="AX173" s="342"/>
      <c r="AY173" s="342"/>
      <c r="AZ173" s="342"/>
      <c r="BA173" s="342"/>
      <c r="BB173" s="342"/>
      <c r="BC173" s="342"/>
      <c r="BD173" s="342"/>
      <c r="BE173" s="342"/>
      <c r="BF173" s="342"/>
      <c r="BG173" s="342"/>
      <c r="BH173" s="342"/>
    </row>
    <row r="174" spans="36:60" ht="15" x14ac:dyDescent="0.25">
      <c r="AJ174" s="342"/>
      <c r="AK174" s="342"/>
      <c r="AL174" s="342"/>
      <c r="AM174" s="342"/>
      <c r="AN174" s="342"/>
      <c r="AO174" s="342"/>
      <c r="AP174" s="342"/>
      <c r="AQ174" s="342"/>
      <c r="AR174" s="342"/>
      <c r="AS174" s="342"/>
      <c r="AT174" s="342"/>
      <c r="AU174" s="342"/>
      <c r="AV174" s="342"/>
      <c r="AW174" s="342"/>
      <c r="AX174" s="342"/>
      <c r="AY174" s="342"/>
      <c r="AZ174" s="342"/>
      <c r="BA174" s="342"/>
      <c r="BB174" s="342"/>
      <c r="BC174" s="342"/>
      <c r="BD174" s="342"/>
      <c r="BE174" s="342"/>
      <c r="BF174" s="342"/>
      <c r="BG174" s="342"/>
      <c r="BH174" s="342"/>
    </row>
    <row r="175" spans="36:60" ht="15" x14ac:dyDescent="0.25">
      <c r="AJ175" s="342"/>
      <c r="AK175" s="342"/>
      <c r="AL175" s="342"/>
      <c r="AM175" s="342"/>
      <c r="AN175" s="342"/>
      <c r="AO175" s="342"/>
      <c r="AP175" s="342"/>
      <c r="AQ175" s="342"/>
      <c r="AR175" s="342"/>
      <c r="AS175" s="342"/>
      <c r="AT175" s="342"/>
      <c r="AU175" s="342"/>
      <c r="AV175" s="342"/>
      <c r="AW175" s="342"/>
      <c r="AX175" s="342"/>
      <c r="AY175" s="342"/>
      <c r="AZ175" s="342"/>
      <c r="BA175" s="342"/>
      <c r="BB175" s="342"/>
      <c r="BC175" s="342"/>
      <c r="BD175" s="342"/>
      <c r="BE175" s="342"/>
      <c r="BF175" s="342"/>
      <c r="BG175" s="342"/>
      <c r="BH175" s="342"/>
    </row>
    <row r="176" spans="36:60" ht="15" x14ac:dyDescent="0.25">
      <c r="AJ176" s="342"/>
      <c r="AK176" s="342"/>
      <c r="AL176" s="342"/>
      <c r="AM176" s="342"/>
      <c r="AN176" s="342"/>
      <c r="AO176" s="342"/>
      <c r="AP176" s="342"/>
      <c r="AQ176" s="342"/>
      <c r="AR176" s="342"/>
      <c r="AS176" s="342"/>
      <c r="AT176" s="342"/>
      <c r="AU176" s="342"/>
      <c r="AV176" s="342"/>
      <c r="AW176" s="342"/>
      <c r="AX176" s="342"/>
      <c r="AY176" s="342"/>
      <c r="AZ176" s="342"/>
      <c r="BA176" s="342"/>
      <c r="BB176" s="342"/>
      <c r="BC176" s="342"/>
      <c r="BD176" s="342"/>
      <c r="BE176" s="342"/>
      <c r="BF176" s="342"/>
      <c r="BG176" s="342"/>
      <c r="BH176" s="342"/>
    </row>
    <row r="177" spans="36:60" ht="15" x14ac:dyDescent="0.25">
      <c r="AJ177" s="342"/>
      <c r="AK177" s="342"/>
      <c r="AL177" s="342"/>
      <c r="AM177" s="342"/>
      <c r="AN177" s="342"/>
      <c r="AO177" s="342"/>
      <c r="AP177" s="342"/>
      <c r="AQ177" s="342"/>
      <c r="AR177" s="342"/>
      <c r="AS177" s="342"/>
      <c r="AT177" s="342"/>
      <c r="AU177" s="342"/>
      <c r="AV177" s="342"/>
      <c r="AW177" s="342"/>
      <c r="AX177" s="342"/>
      <c r="AY177" s="342"/>
      <c r="AZ177" s="342"/>
      <c r="BA177" s="342"/>
      <c r="BB177" s="342"/>
      <c r="BC177" s="342"/>
      <c r="BD177" s="342"/>
      <c r="BE177" s="342"/>
      <c r="BF177" s="342"/>
      <c r="BG177" s="342"/>
      <c r="BH177" s="342"/>
    </row>
    <row r="178" spans="36:60" ht="15" x14ac:dyDescent="0.25">
      <c r="AJ178" s="342"/>
      <c r="AK178" s="342"/>
      <c r="AL178" s="342"/>
      <c r="AM178" s="342"/>
      <c r="AN178" s="342"/>
      <c r="AO178" s="342"/>
      <c r="AP178" s="342"/>
      <c r="AQ178" s="342"/>
      <c r="AR178" s="342"/>
      <c r="AS178" s="342"/>
      <c r="AT178" s="342"/>
      <c r="AU178" s="342"/>
      <c r="AV178" s="342"/>
      <c r="AW178" s="342"/>
      <c r="AX178" s="342"/>
      <c r="AY178" s="342"/>
      <c r="AZ178" s="342"/>
      <c r="BA178" s="342"/>
      <c r="BB178" s="342"/>
      <c r="BC178" s="342"/>
      <c r="BD178" s="342"/>
      <c r="BE178" s="342"/>
      <c r="BF178" s="342"/>
      <c r="BG178" s="342"/>
      <c r="BH178" s="342"/>
    </row>
    <row r="179" spans="36:60" ht="15" x14ac:dyDescent="0.25">
      <c r="AJ179" s="342"/>
      <c r="AK179" s="342"/>
      <c r="AL179" s="342"/>
      <c r="AM179" s="342"/>
      <c r="AN179" s="342"/>
      <c r="AO179" s="342"/>
      <c r="AP179" s="342"/>
      <c r="AQ179" s="342"/>
      <c r="AR179" s="342"/>
      <c r="AS179" s="342"/>
      <c r="AT179" s="342"/>
      <c r="AU179" s="342"/>
      <c r="AV179" s="342"/>
      <c r="AW179" s="342"/>
      <c r="AX179" s="342"/>
      <c r="AY179" s="342"/>
      <c r="AZ179" s="342"/>
      <c r="BA179" s="342"/>
      <c r="BB179" s="342"/>
      <c r="BC179" s="342"/>
      <c r="BD179" s="342"/>
      <c r="BE179" s="342"/>
      <c r="BF179" s="342"/>
      <c r="BG179" s="342"/>
      <c r="BH179" s="342"/>
    </row>
    <row r="180" spans="36:60" ht="15" x14ac:dyDescent="0.25">
      <c r="AJ180" s="342"/>
      <c r="AK180" s="342"/>
      <c r="AL180" s="342"/>
      <c r="AM180" s="342"/>
      <c r="AN180" s="342"/>
      <c r="AO180" s="342"/>
      <c r="AP180" s="342"/>
      <c r="AQ180" s="342"/>
      <c r="AR180" s="342"/>
      <c r="AS180" s="342"/>
      <c r="AT180" s="342"/>
      <c r="AU180" s="342"/>
      <c r="AV180" s="342"/>
      <c r="AW180" s="342"/>
      <c r="AX180" s="342"/>
      <c r="AY180" s="342"/>
      <c r="AZ180" s="342"/>
      <c r="BA180" s="342"/>
      <c r="BB180" s="342"/>
      <c r="BC180" s="342"/>
      <c r="BD180" s="342"/>
      <c r="BE180" s="342"/>
      <c r="BF180" s="342"/>
      <c r="BG180" s="342"/>
      <c r="BH180" s="342"/>
    </row>
    <row r="181" spans="36:60" ht="15" x14ac:dyDescent="0.25">
      <c r="AJ181" s="342"/>
      <c r="AK181" s="342"/>
      <c r="AL181" s="342"/>
      <c r="AM181" s="342"/>
      <c r="AN181" s="342"/>
      <c r="AO181" s="342"/>
      <c r="AP181" s="342"/>
      <c r="AQ181" s="342"/>
      <c r="AR181" s="342"/>
      <c r="AS181" s="342"/>
      <c r="AT181" s="342"/>
      <c r="AU181" s="342"/>
      <c r="AV181" s="342"/>
      <c r="AW181" s="342"/>
      <c r="AX181" s="342"/>
      <c r="AY181" s="342"/>
      <c r="AZ181" s="342"/>
      <c r="BA181" s="342"/>
      <c r="BB181" s="342"/>
      <c r="BC181" s="342"/>
      <c r="BD181" s="342"/>
      <c r="BE181" s="342"/>
      <c r="BF181" s="342"/>
      <c r="BG181" s="342"/>
      <c r="BH181" s="342"/>
    </row>
    <row r="182" spans="36:60" ht="15" x14ac:dyDescent="0.25">
      <c r="AJ182" s="342"/>
      <c r="AK182" s="342"/>
      <c r="AL182" s="342"/>
      <c r="AM182" s="342"/>
      <c r="AN182" s="342"/>
      <c r="AO182" s="342"/>
      <c r="AP182" s="342"/>
      <c r="AQ182" s="342"/>
      <c r="AR182" s="342"/>
      <c r="AS182" s="342"/>
      <c r="AT182" s="342"/>
      <c r="AU182" s="342"/>
      <c r="AV182" s="342"/>
      <c r="AW182" s="342"/>
      <c r="AX182" s="342"/>
      <c r="AY182" s="342"/>
      <c r="AZ182" s="342"/>
      <c r="BA182" s="342"/>
      <c r="BB182" s="342"/>
      <c r="BC182" s="342"/>
      <c r="BD182" s="342"/>
      <c r="BE182" s="342"/>
      <c r="BF182" s="342"/>
      <c r="BG182" s="342"/>
      <c r="BH182" s="342"/>
    </row>
    <row r="183" spans="36:60" ht="15" x14ac:dyDescent="0.25">
      <c r="AJ183" s="342"/>
      <c r="AK183" s="342"/>
      <c r="AL183" s="342"/>
      <c r="AM183" s="342"/>
      <c r="AN183" s="342"/>
      <c r="AO183" s="342"/>
      <c r="AP183" s="342"/>
      <c r="AQ183" s="342"/>
      <c r="AR183" s="342"/>
      <c r="AS183" s="342"/>
      <c r="AT183" s="342"/>
      <c r="AU183" s="342"/>
      <c r="AV183" s="342"/>
      <c r="AW183" s="342"/>
      <c r="AX183" s="342"/>
      <c r="AY183" s="342"/>
      <c r="AZ183" s="342"/>
      <c r="BA183" s="342"/>
      <c r="BB183" s="342"/>
      <c r="BC183" s="342"/>
      <c r="BD183" s="342"/>
      <c r="BE183" s="342"/>
      <c r="BF183" s="342"/>
      <c r="BG183" s="342"/>
      <c r="BH183" s="342"/>
    </row>
    <row r="184" spans="36:60" ht="15" x14ac:dyDescent="0.25">
      <c r="AJ184" s="342"/>
      <c r="AK184" s="342"/>
      <c r="AL184" s="342"/>
      <c r="AM184" s="342"/>
      <c r="AN184" s="342"/>
      <c r="AO184" s="342"/>
      <c r="AP184" s="342"/>
      <c r="AQ184" s="342"/>
      <c r="AR184" s="342"/>
      <c r="AS184" s="342"/>
      <c r="AT184" s="342"/>
      <c r="AU184" s="342"/>
      <c r="AV184" s="342"/>
      <c r="AW184" s="342"/>
      <c r="AX184" s="342"/>
      <c r="AY184" s="342"/>
      <c r="AZ184" s="342"/>
      <c r="BA184" s="342"/>
      <c r="BB184" s="342"/>
      <c r="BC184" s="342"/>
      <c r="BD184" s="342"/>
      <c r="BE184" s="342"/>
      <c r="BF184" s="342"/>
      <c r="BG184" s="342"/>
      <c r="BH184" s="342"/>
    </row>
    <row r="185" spans="36:60" ht="15" x14ac:dyDescent="0.25">
      <c r="AJ185" s="342"/>
      <c r="AK185" s="342"/>
      <c r="AL185" s="342"/>
      <c r="AM185" s="342"/>
      <c r="AN185" s="342"/>
      <c r="AO185" s="342"/>
      <c r="AP185" s="342"/>
      <c r="AQ185" s="342"/>
      <c r="AR185" s="342"/>
      <c r="AS185" s="342"/>
      <c r="AT185" s="342"/>
      <c r="AU185" s="342"/>
      <c r="AV185" s="342"/>
      <c r="AW185" s="342"/>
      <c r="AX185" s="342"/>
      <c r="AY185" s="342"/>
      <c r="AZ185" s="342"/>
      <c r="BA185" s="342"/>
      <c r="BB185" s="342"/>
      <c r="BC185" s="342"/>
      <c r="BD185" s="342"/>
      <c r="BE185" s="342"/>
      <c r="BF185" s="342"/>
      <c r="BG185" s="342"/>
      <c r="BH185" s="342"/>
    </row>
    <row r="186" spans="36:60" ht="15" x14ac:dyDescent="0.25">
      <c r="AJ186" s="342"/>
      <c r="AK186" s="342"/>
      <c r="AL186" s="342"/>
      <c r="AM186" s="342"/>
      <c r="AN186" s="342"/>
      <c r="AO186" s="342"/>
      <c r="AP186" s="342"/>
      <c r="AQ186" s="342"/>
      <c r="AR186" s="342"/>
      <c r="AS186" s="342"/>
      <c r="AT186" s="342"/>
      <c r="AU186" s="342"/>
      <c r="AV186" s="342"/>
      <c r="AW186" s="342"/>
      <c r="AX186" s="342"/>
      <c r="AY186" s="342"/>
      <c r="AZ186" s="342"/>
      <c r="BA186" s="342"/>
      <c r="BB186" s="342"/>
      <c r="BC186" s="342"/>
      <c r="BD186" s="342"/>
      <c r="BE186" s="342"/>
      <c r="BF186" s="342"/>
      <c r="BG186" s="342"/>
      <c r="BH186" s="342"/>
    </row>
    <row r="187" spans="36:60" ht="15" x14ac:dyDescent="0.25">
      <c r="AJ187" s="342"/>
      <c r="AK187" s="342"/>
      <c r="AL187" s="342"/>
      <c r="AM187" s="342"/>
      <c r="AN187" s="342"/>
      <c r="AO187" s="342"/>
      <c r="AP187" s="342"/>
      <c r="AQ187" s="342"/>
      <c r="AR187" s="342"/>
      <c r="AS187" s="342"/>
      <c r="AT187" s="342"/>
      <c r="AU187" s="342"/>
      <c r="AV187" s="342"/>
      <c r="AW187" s="342"/>
      <c r="AX187" s="342"/>
      <c r="AY187" s="342"/>
      <c r="AZ187" s="342"/>
      <c r="BA187" s="342"/>
      <c r="BB187" s="342"/>
      <c r="BC187" s="342"/>
      <c r="BD187" s="342"/>
      <c r="BE187" s="342"/>
      <c r="BF187" s="342"/>
      <c r="BG187" s="342"/>
      <c r="BH187" s="342"/>
    </row>
    <row r="188" spans="36:60" ht="15" x14ac:dyDescent="0.25">
      <c r="AJ188" s="342"/>
      <c r="AK188" s="342"/>
      <c r="AL188" s="342"/>
      <c r="AM188" s="342"/>
      <c r="AN188" s="342"/>
      <c r="AO188" s="342"/>
      <c r="AP188" s="342"/>
      <c r="AQ188" s="342"/>
      <c r="AR188" s="342"/>
      <c r="AS188" s="342"/>
      <c r="AT188" s="342"/>
      <c r="AU188" s="342"/>
      <c r="AV188" s="342"/>
      <c r="AW188" s="342"/>
      <c r="AX188" s="342"/>
      <c r="AY188" s="342"/>
      <c r="AZ188" s="342"/>
      <c r="BA188" s="342"/>
      <c r="BB188" s="342"/>
      <c r="BC188" s="342"/>
      <c r="BD188" s="342"/>
      <c r="BE188" s="342"/>
      <c r="BF188" s="342"/>
      <c r="BG188" s="342"/>
      <c r="BH188" s="342"/>
    </row>
    <row r="189" spans="36:60" ht="15" x14ac:dyDescent="0.25">
      <c r="AJ189" s="342"/>
      <c r="AK189" s="342"/>
      <c r="AL189" s="342"/>
      <c r="AM189" s="342"/>
      <c r="AN189" s="342"/>
      <c r="AO189" s="342"/>
      <c r="AP189" s="342"/>
      <c r="AQ189" s="342"/>
      <c r="AR189" s="342"/>
      <c r="AS189" s="342"/>
      <c r="AT189" s="342"/>
      <c r="AU189" s="342"/>
      <c r="AV189" s="342"/>
      <c r="AW189" s="342"/>
      <c r="AX189" s="342"/>
      <c r="AY189" s="342"/>
      <c r="AZ189" s="342"/>
      <c r="BA189" s="342"/>
      <c r="BB189" s="342"/>
      <c r="BC189" s="342"/>
      <c r="BD189" s="342"/>
      <c r="BE189" s="342"/>
      <c r="BF189" s="342"/>
      <c r="BG189" s="342"/>
      <c r="BH189" s="342"/>
    </row>
    <row r="190" spans="36:60" ht="15" x14ac:dyDescent="0.25">
      <c r="AJ190" s="342"/>
      <c r="AK190" s="342"/>
      <c r="AL190" s="342"/>
      <c r="AM190" s="342"/>
      <c r="AN190" s="342"/>
      <c r="AO190" s="342"/>
      <c r="AP190" s="342"/>
      <c r="AQ190" s="342"/>
      <c r="AR190" s="342"/>
      <c r="AS190" s="342"/>
      <c r="AT190" s="342"/>
      <c r="AU190" s="342"/>
      <c r="AV190" s="342"/>
      <c r="AW190" s="342"/>
      <c r="AX190" s="342"/>
      <c r="AY190" s="342"/>
      <c r="AZ190" s="342"/>
      <c r="BA190" s="342"/>
      <c r="BB190" s="342"/>
      <c r="BC190" s="342"/>
      <c r="BD190" s="342"/>
      <c r="BE190" s="342"/>
      <c r="BF190" s="342"/>
      <c r="BG190" s="342"/>
      <c r="BH190" s="342"/>
    </row>
    <row r="191" spans="36:60" ht="15" x14ac:dyDescent="0.25">
      <c r="AJ191" s="342"/>
      <c r="AK191" s="342"/>
      <c r="AL191" s="342"/>
      <c r="AM191" s="342"/>
      <c r="AN191" s="342"/>
      <c r="AO191" s="342"/>
      <c r="AP191" s="342"/>
      <c r="AQ191" s="342"/>
      <c r="AR191" s="342"/>
      <c r="AS191" s="342"/>
      <c r="AT191" s="342"/>
      <c r="AU191" s="342"/>
      <c r="AV191" s="342"/>
      <c r="AW191" s="342"/>
      <c r="AX191" s="342"/>
      <c r="AY191" s="342"/>
      <c r="AZ191" s="342"/>
      <c r="BA191" s="342"/>
      <c r="BB191" s="342"/>
      <c r="BC191" s="342"/>
      <c r="BD191" s="342"/>
      <c r="BE191" s="342"/>
      <c r="BF191" s="342"/>
      <c r="BG191" s="342"/>
      <c r="BH191" s="342"/>
    </row>
    <row r="192" spans="36:60" ht="15" x14ac:dyDescent="0.25">
      <c r="AJ192" s="342"/>
      <c r="AK192" s="342"/>
      <c r="AL192" s="342"/>
      <c r="AM192" s="342"/>
      <c r="AN192" s="342"/>
      <c r="AO192" s="342"/>
      <c r="AP192" s="342"/>
      <c r="AQ192" s="342"/>
      <c r="AR192" s="342"/>
      <c r="AS192" s="342"/>
      <c r="AT192" s="342"/>
      <c r="AU192" s="342"/>
      <c r="AV192" s="342"/>
      <c r="AW192" s="342"/>
      <c r="AX192" s="342"/>
      <c r="AY192" s="342"/>
      <c r="AZ192" s="342"/>
      <c r="BA192" s="342"/>
      <c r="BB192" s="342"/>
      <c r="BC192" s="342"/>
      <c r="BD192" s="342"/>
      <c r="BE192" s="342"/>
      <c r="BF192" s="342"/>
      <c r="BG192" s="342"/>
      <c r="BH192" s="342"/>
    </row>
    <row r="193" spans="36:60" ht="15" x14ac:dyDescent="0.25">
      <c r="AJ193" s="342"/>
      <c r="AK193" s="342"/>
      <c r="AL193" s="342"/>
      <c r="AM193" s="342"/>
      <c r="AN193" s="342"/>
      <c r="AO193" s="342"/>
      <c r="AP193" s="342"/>
      <c r="AQ193" s="342"/>
      <c r="AR193" s="342"/>
      <c r="AS193" s="342"/>
      <c r="AT193" s="342"/>
      <c r="AU193" s="342"/>
      <c r="AV193" s="342"/>
      <c r="AW193" s="342"/>
      <c r="AX193" s="342"/>
      <c r="AY193" s="342"/>
      <c r="AZ193" s="342"/>
      <c r="BA193" s="342"/>
      <c r="BB193" s="342"/>
      <c r="BC193" s="342"/>
      <c r="BD193" s="342"/>
      <c r="BE193" s="342"/>
      <c r="BF193" s="342"/>
      <c r="BG193" s="342"/>
      <c r="BH193" s="342"/>
    </row>
    <row r="194" spans="36:60" ht="15" x14ac:dyDescent="0.25">
      <c r="AJ194" s="342"/>
      <c r="AK194" s="342"/>
      <c r="AL194" s="342"/>
      <c r="AM194" s="342"/>
      <c r="AN194" s="342"/>
      <c r="AO194" s="342"/>
      <c r="AP194" s="342"/>
      <c r="AQ194" s="342"/>
      <c r="AR194" s="342"/>
      <c r="AS194" s="342"/>
      <c r="AT194" s="342"/>
      <c r="AU194" s="342"/>
      <c r="AV194" s="342"/>
      <c r="AW194" s="342"/>
      <c r="AX194" s="342"/>
      <c r="AY194" s="342"/>
      <c r="AZ194" s="342"/>
      <c r="BA194" s="342"/>
      <c r="BB194" s="342"/>
      <c r="BC194" s="342"/>
      <c r="BD194" s="342"/>
      <c r="BE194" s="342"/>
      <c r="BF194" s="342"/>
      <c r="BG194" s="342"/>
      <c r="BH194" s="342"/>
    </row>
    <row r="195" spans="36:60" ht="15" x14ac:dyDescent="0.25">
      <c r="AJ195" s="342"/>
      <c r="AK195" s="342"/>
      <c r="AL195" s="342"/>
      <c r="AM195" s="342"/>
      <c r="AN195" s="342"/>
      <c r="AO195" s="342"/>
      <c r="AP195" s="342"/>
      <c r="AQ195" s="342"/>
      <c r="AR195" s="342"/>
      <c r="AS195" s="342"/>
      <c r="AT195" s="342"/>
      <c r="AU195" s="342"/>
      <c r="AV195" s="342"/>
      <c r="AW195" s="342"/>
      <c r="AX195" s="342"/>
      <c r="AY195" s="342"/>
      <c r="AZ195" s="342"/>
      <c r="BA195" s="342"/>
      <c r="BB195" s="342"/>
      <c r="BC195" s="342"/>
      <c r="BD195" s="342"/>
      <c r="BE195" s="342"/>
      <c r="BF195" s="342"/>
      <c r="BG195" s="342"/>
      <c r="BH195" s="342"/>
    </row>
    <row r="196" spans="36:60" ht="15" x14ac:dyDescent="0.25">
      <c r="AJ196" s="342"/>
      <c r="AK196" s="342"/>
      <c r="AL196" s="342"/>
      <c r="AM196" s="342"/>
      <c r="AN196" s="342"/>
      <c r="AO196" s="342"/>
      <c r="AP196" s="342"/>
      <c r="AQ196" s="342"/>
      <c r="AR196" s="342"/>
      <c r="AS196" s="342"/>
      <c r="AT196" s="342"/>
      <c r="AU196" s="342"/>
      <c r="AV196" s="342"/>
      <c r="AW196" s="342"/>
      <c r="AX196" s="342"/>
      <c r="AY196" s="342"/>
      <c r="AZ196" s="342"/>
      <c r="BA196" s="342"/>
      <c r="BB196" s="342"/>
      <c r="BC196" s="342"/>
      <c r="BD196" s="342"/>
      <c r="BE196" s="342"/>
      <c r="BF196" s="342"/>
      <c r="BG196" s="342"/>
      <c r="BH196" s="342"/>
    </row>
    <row r="197" spans="36:60" ht="15" x14ac:dyDescent="0.25">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342"/>
    </row>
    <row r="198" spans="36:60" ht="15" x14ac:dyDescent="0.25">
      <c r="AJ198" s="342"/>
      <c r="AK198" s="342"/>
      <c r="AL198" s="342"/>
      <c r="AM198" s="342"/>
      <c r="AN198" s="342"/>
      <c r="AO198" s="342"/>
      <c r="AP198" s="342"/>
      <c r="AQ198" s="342"/>
      <c r="AR198" s="342"/>
      <c r="AS198" s="342"/>
      <c r="AT198" s="342"/>
      <c r="AU198" s="342"/>
      <c r="AV198" s="342"/>
      <c r="AW198" s="342"/>
      <c r="AX198" s="342"/>
      <c r="AY198" s="342"/>
      <c r="AZ198" s="342"/>
      <c r="BA198" s="342"/>
      <c r="BB198" s="342"/>
      <c r="BC198" s="342"/>
      <c r="BD198" s="342"/>
      <c r="BE198" s="342"/>
      <c r="BF198" s="342"/>
      <c r="BG198" s="342"/>
      <c r="BH198" s="342"/>
    </row>
    <row r="199" spans="36:60" ht="15" x14ac:dyDescent="0.25">
      <c r="AJ199" s="342"/>
      <c r="AK199" s="342"/>
      <c r="AL199" s="342"/>
      <c r="AM199" s="342"/>
      <c r="AN199" s="342"/>
      <c r="AO199" s="342"/>
      <c r="AP199" s="342"/>
      <c r="AQ199" s="342"/>
      <c r="AR199" s="342"/>
      <c r="AS199" s="342"/>
      <c r="AT199" s="342"/>
      <c r="AU199" s="342"/>
      <c r="AV199" s="342"/>
      <c r="AW199" s="342"/>
      <c r="AX199" s="342"/>
      <c r="AY199" s="342"/>
      <c r="AZ199" s="342"/>
      <c r="BA199" s="342"/>
      <c r="BB199" s="342"/>
      <c r="BC199" s="342"/>
      <c r="BD199" s="342"/>
      <c r="BE199" s="342"/>
      <c r="BF199" s="342"/>
      <c r="BG199" s="342"/>
      <c r="BH199" s="342"/>
    </row>
    <row r="200" spans="36:60" ht="15" x14ac:dyDescent="0.25">
      <c r="AJ200" s="342"/>
      <c r="AK200" s="342"/>
      <c r="AL200" s="342"/>
      <c r="AM200" s="342"/>
      <c r="AN200" s="342"/>
      <c r="AO200" s="342"/>
      <c r="AP200" s="342"/>
      <c r="AQ200" s="342"/>
      <c r="AR200" s="342"/>
      <c r="AS200" s="342"/>
      <c r="AT200" s="342"/>
      <c r="AU200" s="342"/>
      <c r="AV200" s="342"/>
      <c r="AW200" s="342"/>
      <c r="AX200" s="342"/>
      <c r="AY200" s="342"/>
      <c r="AZ200" s="342"/>
      <c r="BA200" s="342"/>
      <c r="BB200" s="342"/>
      <c r="BC200" s="342"/>
      <c r="BD200" s="342"/>
      <c r="BE200" s="342"/>
      <c r="BF200" s="342"/>
      <c r="BG200" s="342"/>
      <c r="BH200" s="342"/>
    </row>
    <row r="201" spans="36:60" ht="15" x14ac:dyDescent="0.25">
      <c r="AJ201" s="342"/>
      <c r="AK201" s="342"/>
      <c r="AL201" s="342"/>
      <c r="AM201" s="342"/>
      <c r="AN201" s="342"/>
      <c r="AO201" s="342"/>
      <c r="AP201" s="342"/>
      <c r="AQ201" s="342"/>
      <c r="AR201" s="342"/>
      <c r="AS201" s="342"/>
      <c r="AT201" s="342"/>
      <c r="AU201" s="342"/>
      <c r="AV201" s="342"/>
      <c r="AW201" s="342"/>
      <c r="AX201" s="342"/>
      <c r="AY201" s="342"/>
      <c r="AZ201" s="342"/>
      <c r="BA201" s="342"/>
      <c r="BB201" s="342"/>
      <c r="BC201" s="342"/>
      <c r="BD201" s="342"/>
      <c r="BE201" s="342"/>
      <c r="BF201" s="342"/>
      <c r="BG201" s="342"/>
      <c r="BH201" s="342"/>
    </row>
    <row r="202" spans="36:60" ht="15" x14ac:dyDescent="0.25">
      <c r="AJ202" s="342"/>
      <c r="AK202" s="342"/>
      <c r="AL202" s="342"/>
      <c r="AM202" s="342"/>
      <c r="AN202" s="342"/>
      <c r="AO202" s="342"/>
      <c r="AP202" s="342"/>
      <c r="AQ202" s="342"/>
      <c r="AR202" s="342"/>
      <c r="AS202" s="342"/>
      <c r="AT202" s="342"/>
      <c r="AU202" s="342"/>
      <c r="AV202" s="342"/>
      <c r="AW202" s="342"/>
      <c r="AX202" s="342"/>
      <c r="AY202" s="342"/>
      <c r="AZ202" s="342"/>
      <c r="BA202" s="342"/>
      <c r="BB202" s="342"/>
      <c r="BC202" s="342"/>
      <c r="BD202" s="342"/>
      <c r="BE202" s="342"/>
      <c r="BF202" s="342"/>
      <c r="BG202" s="342"/>
      <c r="BH202" s="342"/>
    </row>
    <row r="203" spans="36:60" ht="15" x14ac:dyDescent="0.25">
      <c r="AJ203" s="342"/>
      <c r="AK203" s="342"/>
      <c r="AL203" s="342"/>
      <c r="AM203" s="342"/>
      <c r="AN203" s="342"/>
      <c r="AO203" s="342"/>
      <c r="AP203" s="342"/>
      <c r="AQ203" s="342"/>
      <c r="AR203" s="342"/>
      <c r="AS203" s="342"/>
      <c r="AT203" s="342"/>
      <c r="AU203" s="342"/>
      <c r="AV203" s="342"/>
      <c r="AW203" s="342"/>
      <c r="AX203" s="342"/>
      <c r="AY203" s="342"/>
      <c r="AZ203" s="342"/>
      <c r="BA203" s="342"/>
      <c r="BB203" s="342"/>
      <c r="BC203" s="342"/>
      <c r="BD203" s="342"/>
      <c r="BE203" s="342"/>
      <c r="BF203" s="342"/>
      <c r="BG203" s="342"/>
      <c r="BH203" s="342"/>
    </row>
    <row r="204" spans="36:60" ht="15" x14ac:dyDescent="0.25">
      <c r="AJ204" s="342"/>
      <c r="AK204" s="342"/>
      <c r="AL204" s="342"/>
      <c r="AM204" s="342"/>
      <c r="AN204" s="342"/>
      <c r="AO204" s="342"/>
      <c r="AP204" s="342"/>
      <c r="AQ204" s="342"/>
      <c r="AR204" s="342"/>
      <c r="AS204" s="342"/>
      <c r="AT204" s="342"/>
      <c r="AU204" s="342"/>
      <c r="AV204" s="342"/>
      <c r="AW204" s="342"/>
      <c r="AX204" s="342"/>
      <c r="AY204" s="342"/>
      <c r="AZ204" s="342"/>
      <c r="BA204" s="342"/>
      <c r="BB204" s="342"/>
      <c r="BC204" s="342"/>
      <c r="BD204" s="342"/>
      <c r="BE204" s="342"/>
      <c r="BF204" s="342"/>
      <c r="BG204" s="342"/>
      <c r="BH204" s="342"/>
    </row>
    <row r="205" spans="36:60" ht="15" x14ac:dyDescent="0.25">
      <c r="AJ205" s="342"/>
      <c r="AK205" s="342"/>
      <c r="AL205" s="342"/>
      <c r="AM205" s="342"/>
      <c r="AN205" s="342"/>
      <c r="AO205" s="342"/>
      <c r="AP205" s="342"/>
      <c r="AQ205" s="342"/>
      <c r="AR205" s="342"/>
      <c r="AS205" s="342"/>
      <c r="AT205" s="342"/>
      <c r="AU205" s="342"/>
      <c r="AV205" s="342"/>
      <c r="AW205" s="342"/>
      <c r="AX205" s="342"/>
      <c r="AY205" s="342"/>
      <c r="AZ205" s="342"/>
      <c r="BA205" s="342"/>
      <c r="BB205" s="342"/>
      <c r="BC205" s="342"/>
      <c r="BD205" s="342"/>
      <c r="BE205" s="342"/>
      <c r="BF205" s="342"/>
      <c r="BG205" s="342"/>
      <c r="BH205" s="342"/>
    </row>
    <row r="206" spans="36:60" ht="15" x14ac:dyDescent="0.25">
      <c r="AJ206" s="342"/>
      <c r="AK206" s="342"/>
      <c r="AL206" s="342"/>
      <c r="AM206" s="342"/>
      <c r="AN206" s="342"/>
      <c r="AO206" s="342"/>
      <c r="AP206" s="342"/>
      <c r="AQ206" s="342"/>
      <c r="AR206" s="342"/>
      <c r="AS206" s="342"/>
      <c r="AT206" s="342"/>
      <c r="AU206" s="342"/>
      <c r="AV206" s="342"/>
      <c r="AW206" s="342"/>
      <c r="AX206" s="342"/>
      <c r="AY206" s="342"/>
      <c r="AZ206" s="342"/>
      <c r="BA206" s="342"/>
      <c r="BB206" s="342"/>
      <c r="BC206" s="342"/>
      <c r="BD206" s="342"/>
      <c r="BE206" s="342"/>
      <c r="BF206" s="342"/>
      <c r="BG206" s="342"/>
      <c r="BH206" s="342"/>
    </row>
    <row r="207" spans="36:60" ht="15" x14ac:dyDescent="0.25">
      <c r="AJ207" s="342"/>
      <c r="AK207" s="342"/>
      <c r="AL207" s="342"/>
      <c r="AM207" s="342"/>
      <c r="AN207" s="342"/>
      <c r="AO207" s="342"/>
      <c r="AP207" s="342"/>
      <c r="AQ207" s="342"/>
      <c r="AR207" s="342"/>
      <c r="AS207" s="342"/>
      <c r="AT207" s="342"/>
      <c r="AU207" s="342"/>
      <c r="AV207" s="342"/>
      <c r="AW207" s="342"/>
      <c r="AX207" s="342"/>
      <c r="AY207" s="342"/>
      <c r="AZ207" s="342"/>
      <c r="BA207" s="342"/>
      <c r="BB207" s="342"/>
      <c r="BC207" s="342"/>
      <c r="BD207" s="342"/>
      <c r="BE207" s="342"/>
      <c r="BF207" s="342"/>
      <c r="BG207" s="342"/>
      <c r="BH207" s="342"/>
    </row>
    <row r="208" spans="36:60" ht="15" x14ac:dyDescent="0.25">
      <c r="AJ208" s="342"/>
      <c r="AK208" s="342"/>
      <c r="AL208" s="342"/>
      <c r="AM208" s="342"/>
      <c r="AN208" s="342"/>
      <c r="AO208" s="342"/>
      <c r="AP208" s="342"/>
      <c r="AQ208" s="342"/>
      <c r="AR208" s="342"/>
      <c r="AS208" s="342"/>
      <c r="AT208" s="342"/>
      <c r="AU208" s="342"/>
      <c r="AV208" s="342"/>
      <c r="AW208" s="342"/>
      <c r="AX208" s="342"/>
      <c r="AY208" s="342"/>
      <c r="AZ208" s="342"/>
      <c r="BA208" s="342"/>
      <c r="BB208" s="342"/>
      <c r="BC208" s="342"/>
      <c r="BD208" s="342"/>
      <c r="BE208" s="342"/>
      <c r="BF208" s="342"/>
      <c r="BG208" s="342"/>
      <c r="BH208" s="342"/>
    </row>
    <row r="209" spans="1:60" ht="15" x14ac:dyDescent="0.25">
      <c r="AJ209" s="342"/>
      <c r="AK209" s="342"/>
      <c r="AL209" s="342"/>
      <c r="AM209" s="342"/>
      <c r="AN209" s="342"/>
      <c r="AO209" s="342"/>
      <c r="AP209" s="342"/>
      <c r="AQ209" s="342"/>
      <c r="AR209" s="342"/>
      <c r="AS209" s="342"/>
      <c r="AT209" s="342"/>
      <c r="AU209" s="342"/>
      <c r="AV209" s="342"/>
      <c r="AW209" s="342"/>
      <c r="AX209" s="342"/>
      <c r="AY209" s="342"/>
      <c r="AZ209" s="342"/>
      <c r="BA209" s="342"/>
      <c r="BB209" s="342"/>
      <c r="BC209" s="342"/>
      <c r="BD209" s="342"/>
      <c r="BE209" s="342"/>
      <c r="BF209" s="342"/>
      <c r="BG209" s="342"/>
      <c r="BH209" s="342"/>
    </row>
    <row r="210" spans="1:60" ht="15" x14ac:dyDescent="0.25">
      <c r="AJ210" s="342"/>
      <c r="AK210" s="342"/>
      <c r="AL210" s="342"/>
      <c r="AM210" s="342"/>
      <c r="AN210" s="342"/>
      <c r="AO210" s="342"/>
      <c r="AP210" s="342"/>
      <c r="AQ210" s="342"/>
      <c r="AR210" s="342"/>
      <c r="AS210" s="342"/>
      <c r="AT210" s="342"/>
      <c r="AU210" s="342"/>
      <c r="AV210" s="342"/>
      <c r="AW210" s="342"/>
      <c r="AX210" s="342"/>
      <c r="AY210" s="342"/>
      <c r="AZ210" s="342"/>
      <c r="BA210" s="342"/>
      <c r="BB210" s="342"/>
      <c r="BC210" s="342"/>
      <c r="BD210" s="342"/>
      <c r="BE210" s="342"/>
      <c r="BF210" s="342"/>
      <c r="BG210" s="342"/>
      <c r="BH210" s="342"/>
    </row>
    <row r="211" spans="1:60" ht="15" x14ac:dyDescent="0.25">
      <c r="AJ211" s="342"/>
      <c r="AK211" s="342"/>
      <c r="AL211" s="342"/>
      <c r="AM211" s="342"/>
      <c r="AN211" s="342"/>
      <c r="AO211" s="342"/>
      <c r="AP211" s="342"/>
      <c r="AQ211" s="342"/>
      <c r="AR211" s="342"/>
      <c r="AS211" s="342"/>
      <c r="AT211" s="342"/>
      <c r="AU211" s="342"/>
      <c r="AV211" s="342"/>
      <c r="AW211" s="342"/>
      <c r="AX211" s="342"/>
      <c r="AY211" s="342"/>
      <c r="AZ211" s="342"/>
      <c r="BA211" s="342"/>
      <c r="BB211" s="342"/>
      <c r="BC211" s="342"/>
      <c r="BD211" s="342"/>
      <c r="BE211" s="342"/>
      <c r="BF211" s="342"/>
      <c r="BG211" s="342"/>
      <c r="BH211" s="342"/>
    </row>
    <row r="212" spans="1:60" ht="15" x14ac:dyDescent="0.25">
      <c r="AJ212" s="342"/>
      <c r="AK212" s="342"/>
      <c r="AL212" s="342"/>
      <c r="AM212" s="342"/>
      <c r="AN212" s="342"/>
      <c r="AO212" s="342"/>
      <c r="AP212" s="342"/>
      <c r="AQ212" s="342"/>
      <c r="AR212" s="342"/>
      <c r="AS212" s="342"/>
      <c r="AT212" s="342"/>
      <c r="AU212" s="342"/>
      <c r="AV212" s="342"/>
      <c r="AW212" s="342"/>
      <c r="AX212" s="342"/>
      <c r="AY212" s="342"/>
      <c r="AZ212" s="342"/>
      <c r="BA212" s="342"/>
      <c r="BB212" s="342"/>
      <c r="BC212" s="342"/>
      <c r="BD212" s="342"/>
      <c r="BE212" s="342"/>
      <c r="BF212" s="342"/>
      <c r="BG212" s="342"/>
      <c r="BH212" s="342"/>
    </row>
    <row r="213" spans="1:60" ht="15" x14ac:dyDescent="0.25">
      <c r="AJ213" s="342"/>
      <c r="AK213" s="342"/>
      <c r="AL213" s="342"/>
      <c r="AM213" s="342"/>
      <c r="AN213" s="342"/>
      <c r="AO213" s="342"/>
      <c r="AP213" s="342"/>
      <c r="AQ213" s="342"/>
      <c r="AR213" s="342"/>
      <c r="AS213" s="342"/>
      <c r="AT213" s="342"/>
      <c r="AU213" s="342"/>
      <c r="AV213" s="342"/>
      <c r="AW213" s="342"/>
      <c r="AX213" s="342"/>
      <c r="AY213" s="342"/>
      <c r="AZ213" s="342"/>
      <c r="BA213" s="342"/>
      <c r="BB213" s="342"/>
      <c r="BC213" s="342"/>
      <c r="BD213" s="342"/>
      <c r="BE213" s="342"/>
      <c r="BF213" s="342"/>
      <c r="BG213" s="342"/>
      <c r="BH213" s="342"/>
    </row>
    <row r="214" spans="1:60" ht="15" x14ac:dyDescent="0.25">
      <c r="AJ214" s="342"/>
      <c r="AK214" s="342"/>
      <c r="AL214" s="342"/>
      <c r="AM214" s="342"/>
      <c r="AN214" s="342"/>
      <c r="AO214" s="342"/>
      <c r="AP214" s="342"/>
      <c r="AQ214" s="342"/>
      <c r="AR214" s="342"/>
      <c r="AS214" s="342"/>
      <c r="AT214" s="342"/>
      <c r="AU214" s="342"/>
      <c r="AV214" s="342"/>
      <c r="AW214" s="342"/>
      <c r="AX214" s="342"/>
      <c r="AY214" s="342"/>
      <c r="AZ214" s="342"/>
      <c r="BA214" s="342"/>
      <c r="BB214" s="342"/>
      <c r="BC214" s="342"/>
      <c r="BD214" s="342"/>
      <c r="BE214" s="342"/>
      <c r="BF214" s="342"/>
      <c r="BG214" s="342"/>
      <c r="BH214" s="342"/>
    </row>
    <row r="215" spans="1:60" ht="15" x14ac:dyDescent="0.25">
      <c r="AJ215" s="342"/>
      <c r="AK215" s="342"/>
      <c r="AL215" s="342"/>
      <c r="AM215" s="342"/>
      <c r="AN215" s="342"/>
      <c r="AO215" s="342"/>
      <c r="AP215" s="342"/>
      <c r="AQ215" s="342"/>
      <c r="AR215" s="342"/>
      <c r="AS215" s="342"/>
      <c r="AT215" s="342"/>
      <c r="AU215" s="342"/>
      <c r="AV215" s="342"/>
      <c r="AW215" s="342"/>
      <c r="AX215" s="342"/>
      <c r="AY215" s="342"/>
      <c r="AZ215" s="342"/>
      <c r="BA215" s="342"/>
      <c r="BB215" s="342"/>
      <c r="BC215" s="342"/>
      <c r="BD215" s="342"/>
      <c r="BE215" s="342"/>
      <c r="BF215" s="342"/>
      <c r="BG215" s="342"/>
      <c r="BH215" s="342"/>
    </row>
    <row r="216" spans="1:60" ht="15" x14ac:dyDescent="0.25">
      <c r="AJ216" s="342"/>
      <c r="AK216" s="342"/>
      <c r="AL216" s="342"/>
      <c r="AM216" s="342"/>
      <c r="AN216" s="342"/>
      <c r="AO216" s="342"/>
      <c r="AP216" s="342"/>
      <c r="AQ216" s="342"/>
      <c r="AR216" s="342"/>
      <c r="AS216" s="342"/>
      <c r="AT216" s="342"/>
      <c r="AU216" s="342"/>
      <c r="AV216" s="342"/>
      <c r="AW216" s="342"/>
      <c r="AX216" s="342"/>
      <c r="AY216" s="342"/>
      <c r="AZ216" s="342"/>
      <c r="BA216" s="342"/>
      <c r="BB216" s="342"/>
      <c r="BC216" s="342"/>
      <c r="BD216" s="342"/>
      <c r="BE216" s="342"/>
      <c r="BF216" s="342"/>
      <c r="BG216" s="342"/>
      <c r="BH216" s="342"/>
    </row>
    <row r="217" spans="1:60" ht="15" x14ac:dyDescent="0.25">
      <c r="AJ217" s="342"/>
      <c r="AK217" s="342"/>
      <c r="AL217" s="342"/>
      <c r="AM217" s="342"/>
      <c r="AN217" s="342"/>
      <c r="AO217" s="342"/>
      <c r="AP217" s="342"/>
      <c r="AQ217" s="342"/>
      <c r="AR217" s="342"/>
      <c r="AS217" s="342"/>
      <c r="AT217" s="342"/>
      <c r="AU217" s="342"/>
      <c r="AV217" s="342"/>
      <c r="AW217" s="342"/>
      <c r="AX217" s="342"/>
      <c r="AY217" s="342"/>
      <c r="AZ217" s="342"/>
      <c r="BA217" s="342"/>
      <c r="BB217" s="342"/>
      <c r="BC217" s="342"/>
      <c r="BD217" s="342"/>
      <c r="BE217" s="342"/>
      <c r="BF217" s="342"/>
      <c r="BG217" s="342"/>
      <c r="BH217" s="342"/>
    </row>
    <row r="218" spans="1:60" ht="15" x14ac:dyDescent="0.25">
      <c r="AJ218" s="342"/>
      <c r="AK218" s="342"/>
      <c r="AL218" s="342"/>
      <c r="AM218" s="342"/>
      <c r="AN218" s="342"/>
      <c r="AO218" s="342"/>
      <c r="AP218" s="342"/>
      <c r="AQ218" s="342"/>
      <c r="AR218" s="342"/>
      <c r="AS218" s="342"/>
      <c r="AT218" s="342"/>
      <c r="AU218" s="342"/>
      <c r="AV218" s="342"/>
      <c r="AW218" s="342"/>
      <c r="AX218" s="342"/>
      <c r="AY218" s="342"/>
      <c r="AZ218" s="342"/>
      <c r="BA218" s="342"/>
      <c r="BB218" s="342"/>
      <c r="BC218" s="342"/>
      <c r="BD218" s="342"/>
      <c r="BE218" s="342"/>
      <c r="BF218" s="342"/>
      <c r="BG218" s="342"/>
      <c r="BH218" s="342"/>
    </row>
    <row r="219" spans="1:60" ht="15" x14ac:dyDescent="0.25">
      <c r="AJ219" s="342"/>
      <c r="AK219" s="342"/>
      <c r="AL219" s="342"/>
      <c r="AM219" s="342"/>
      <c r="AN219" s="342"/>
      <c r="AO219" s="342"/>
      <c r="AP219" s="342"/>
      <c r="AQ219" s="342"/>
      <c r="AR219" s="342"/>
      <c r="AS219" s="342"/>
      <c r="AT219" s="342"/>
      <c r="AU219" s="342"/>
      <c r="AV219" s="342"/>
      <c r="AW219" s="342"/>
      <c r="AX219" s="342"/>
      <c r="AY219" s="342"/>
      <c r="AZ219" s="342"/>
      <c r="BA219" s="342"/>
      <c r="BB219" s="342"/>
      <c r="BC219" s="342"/>
      <c r="BD219" s="342"/>
      <c r="BE219" s="342"/>
      <c r="BF219" s="342"/>
      <c r="BG219" s="342"/>
      <c r="BH219" s="342"/>
    </row>
    <row r="220" spans="1:60" ht="15" x14ac:dyDescent="0.25">
      <c r="AJ220" s="342"/>
      <c r="AK220" s="342"/>
      <c r="AL220" s="342"/>
      <c r="AM220" s="342"/>
      <c r="AN220" s="342"/>
      <c r="AO220" s="342"/>
      <c r="AP220" s="342"/>
      <c r="AQ220" s="342"/>
      <c r="AR220" s="342"/>
      <c r="AS220" s="342"/>
      <c r="AT220" s="342"/>
      <c r="AU220" s="342"/>
      <c r="AV220" s="342"/>
      <c r="AW220" s="342"/>
      <c r="AX220" s="342"/>
      <c r="AY220" s="342"/>
      <c r="AZ220" s="342"/>
      <c r="BA220" s="342"/>
      <c r="BB220" s="342"/>
      <c r="BC220" s="342"/>
      <c r="BD220" s="342"/>
      <c r="BE220" s="342"/>
      <c r="BF220" s="342"/>
      <c r="BG220" s="342"/>
      <c r="BH220" s="342"/>
    </row>
    <row r="221" spans="1:60" ht="16.5" x14ac:dyDescent="0.3">
      <c r="A221" s="237" t="s">
        <v>230</v>
      </c>
      <c r="B221" s="238" t="s">
        <v>231</v>
      </c>
      <c r="C221" s="237" t="s">
        <v>3</v>
      </c>
      <c r="D221" s="237" t="s">
        <v>225</v>
      </c>
      <c r="E221" s="361" t="s">
        <v>283</v>
      </c>
      <c r="AJ221" s="342"/>
      <c r="AK221" s="342"/>
      <c r="AL221" s="342"/>
      <c r="AM221" s="342"/>
      <c r="AN221" s="342"/>
      <c r="AO221" s="342"/>
      <c r="AP221" s="342"/>
      <c r="AQ221" s="342"/>
      <c r="AR221" s="342"/>
      <c r="AS221" s="342"/>
      <c r="AT221" s="342"/>
      <c r="AU221" s="342"/>
      <c r="AV221" s="342"/>
      <c r="AW221" s="342"/>
      <c r="AX221" s="342"/>
      <c r="AY221" s="342"/>
      <c r="AZ221" s="342"/>
      <c r="BA221" s="342"/>
      <c r="BB221" s="342"/>
      <c r="BC221" s="342"/>
      <c r="BD221" s="342"/>
      <c r="BE221" s="342"/>
      <c r="BF221" s="342"/>
      <c r="BG221" s="342"/>
      <c r="BH221" s="342"/>
    </row>
    <row r="222" spans="1:60" ht="15" x14ac:dyDescent="0.25">
      <c r="A222" s="240" t="str">
        <f ca="1">IF(TeamHistory!$BP7="Blank","",TeamHistory!$BP7)</f>
        <v>Upton - Ten Sleep 12/9/2022</v>
      </c>
      <c r="B222" s="240">
        <f ca="1">IF(SUBTOTAL(103,A222)=1,1,0)</f>
        <v>1</v>
      </c>
      <c r="C222" s="240" t="str">
        <f ca="1">IF(Table3[[#This Row],[Games]]="","",TeamHistory!BQ7)</f>
        <v/>
      </c>
      <c r="D222" s="240" t="str">
        <f ca="1">IF(Table3[[#This Row],[Games]]="","",TeamHistory!BS7)</f>
        <v/>
      </c>
      <c r="E222" s="240" t="str">
        <f ca="1">IF(Table3[[#This Row],[Games]]="","",IF(TeamHistory!$BP7="Blank","",IF(TeamHistory!$BK7=1,"W","L")))</f>
        <v>W</v>
      </c>
      <c r="AJ222" s="342"/>
      <c r="AK222" s="342"/>
      <c r="AL222" s="342"/>
      <c r="AM222" s="342"/>
      <c r="AN222" s="342"/>
      <c r="AO222" s="342"/>
      <c r="AP222" s="342"/>
      <c r="AQ222" s="342"/>
      <c r="AR222" s="342"/>
      <c r="AS222" s="342"/>
      <c r="AT222" s="342"/>
      <c r="AU222" s="342"/>
      <c r="AV222" s="342"/>
      <c r="AW222" s="342"/>
      <c r="AX222" s="342"/>
      <c r="AY222" s="342"/>
      <c r="AZ222" s="342"/>
      <c r="BA222" s="342"/>
      <c r="BB222" s="342"/>
      <c r="BC222" s="342"/>
      <c r="BD222" s="342"/>
      <c r="BE222" s="342"/>
      <c r="BF222" s="342"/>
      <c r="BG222" s="342"/>
      <c r="BH222" s="342"/>
    </row>
    <row r="223" spans="1:60" ht="15" x14ac:dyDescent="0.25">
      <c r="A223" s="240" t="str">
        <f ca="1">IF(TeamHistory!$BP8="Blank","",TeamHistory!$BP8)</f>
        <v>Upton - Riverside 12/9/2022</v>
      </c>
      <c r="B223" s="240">
        <f t="shared" ref="B223:B261" ca="1" si="69">IF(SUBTOTAL(103,A223)=1,1,0)</f>
        <v>1</v>
      </c>
      <c r="C223" s="243" t="str">
        <f ca="1">IF(Table3[[#This Row],[Games]]="","",TeamHistory!BQ8)</f>
        <v/>
      </c>
      <c r="D223" s="243" t="str">
        <f ca="1">IF(Table3[[#This Row],[Games]]="","",TeamHistory!BS8)</f>
        <v/>
      </c>
      <c r="E223" s="243" t="str">
        <f ca="1">IF(Table3[[#This Row],[Games]]="","",IF(TeamHistory!$BP8="Blank","",IF(TeamHistory!$BK8=1,"W","L")))</f>
        <v>W</v>
      </c>
      <c r="AJ223" s="342"/>
      <c r="AK223" s="342"/>
      <c r="AL223" s="342"/>
      <c r="AM223" s="342"/>
      <c r="AN223" s="342"/>
      <c r="AO223" s="342"/>
      <c r="AP223" s="342"/>
      <c r="AQ223" s="342"/>
      <c r="AR223" s="342"/>
      <c r="AS223" s="342"/>
      <c r="AT223" s="342"/>
      <c r="AU223" s="342"/>
      <c r="AV223" s="342"/>
      <c r="AW223" s="342"/>
      <c r="AX223" s="342"/>
      <c r="AY223" s="342"/>
      <c r="AZ223" s="342"/>
      <c r="BA223" s="342"/>
      <c r="BB223" s="342"/>
      <c r="BC223" s="342"/>
      <c r="BD223" s="342"/>
      <c r="BE223" s="342"/>
      <c r="BF223" s="342"/>
      <c r="BG223" s="342"/>
      <c r="BH223" s="342"/>
    </row>
    <row r="224" spans="1:60" ht="15" x14ac:dyDescent="0.25">
      <c r="A224" s="240" t="str">
        <f ca="1">IF(TeamHistory!$BP9="Blank","",TeamHistory!$BP9)</f>
        <v>Upton - Sundance 1/0/1900</v>
      </c>
      <c r="B224" s="240">
        <f t="shared" ca="1" si="69"/>
        <v>1</v>
      </c>
      <c r="C224" s="240" t="str">
        <f ca="1">IF(Table3[[#This Row],[Games]]="","",TeamHistory!BQ9)</f>
        <v/>
      </c>
      <c r="D224" s="240" t="str">
        <f ca="1">IF(Table3[[#This Row],[Games]]="","",TeamHistory!BS9)</f>
        <v/>
      </c>
      <c r="E224" s="240" t="str">
        <f ca="1">IF(Table3[[#This Row],[Games]]="","",IF(TeamHistory!$BP9="Blank","",IF(TeamHistory!$BK9=1,"W","L")))</f>
        <v>W</v>
      </c>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342"/>
    </row>
    <row r="225" spans="1:60" ht="15" x14ac:dyDescent="0.25">
      <c r="A225" s="240" t="str">
        <f ca="1">IF(TeamHistory!$BP10="Blank","",TeamHistory!$BP10)</f>
        <v>Upton - Cokeville 12/19/2022</v>
      </c>
      <c r="B225" s="240">
        <f t="shared" ca="1" si="69"/>
        <v>1</v>
      </c>
      <c r="C225" s="243" t="str">
        <f ca="1">IF(Table3[[#This Row],[Games]]="","",TeamHistory!BQ10)</f>
        <v/>
      </c>
      <c r="D225" s="243" t="str">
        <f ca="1">IF(Table3[[#This Row],[Games]]="","",TeamHistory!BS10)</f>
        <v/>
      </c>
      <c r="E225" s="243" t="str">
        <f ca="1">IF(Table3[[#This Row],[Games]]="","",IF(TeamHistory!$BP10="Blank","",IF(TeamHistory!$BK10=1,"W","L")))</f>
        <v>L</v>
      </c>
      <c r="AJ225" s="342"/>
      <c r="AK225" s="342"/>
      <c r="AL225" s="342"/>
      <c r="AM225" s="342"/>
      <c r="AN225" s="342"/>
      <c r="AO225" s="342"/>
      <c r="AP225" s="342"/>
      <c r="AQ225" s="342"/>
      <c r="AR225" s="342"/>
      <c r="AS225" s="342"/>
      <c r="AT225" s="342"/>
      <c r="AU225" s="342"/>
      <c r="AV225" s="342"/>
      <c r="AW225" s="342"/>
      <c r="AX225" s="342"/>
      <c r="AY225" s="342"/>
      <c r="AZ225" s="342"/>
      <c r="BA225" s="342"/>
      <c r="BB225" s="342"/>
      <c r="BC225" s="342"/>
      <c r="BD225" s="342"/>
      <c r="BE225" s="342"/>
      <c r="BF225" s="342"/>
      <c r="BG225" s="342"/>
      <c r="BH225" s="342"/>
    </row>
    <row r="226" spans="1:60" ht="15" x14ac:dyDescent="0.25">
      <c r="A226" s="240" t="str">
        <f ca="1">IF(TeamHistory!$BP11="Blank","",TeamHistory!$BP11)</f>
        <v>Upton - Little Snake River 12/17/2022</v>
      </c>
      <c r="B226" s="240">
        <f t="shared" ca="1" si="69"/>
        <v>1</v>
      </c>
      <c r="C226" s="240" t="str">
        <f ca="1">IF(Table3[[#This Row],[Games]]="","",TeamHistory!BQ11)</f>
        <v/>
      </c>
      <c r="D226" s="240" t="str">
        <f ca="1">IF(Table3[[#This Row],[Games]]="","",TeamHistory!BS11)</f>
        <v/>
      </c>
      <c r="E226" s="240" t="str">
        <f ca="1">IF(Table3[[#This Row],[Games]]="","",IF(TeamHistory!$BP11="Blank","",IF(TeamHistory!$BK11=1,"W","L")))</f>
        <v>L</v>
      </c>
      <c r="AJ226" s="342"/>
      <c r="AK226" s="342"/>
      <c r="AL226" s="342"/>
      <c r="AM226" s="342"/>
      <c r="AN226" s="342"/>
      <c r="AO226" s="342"/>
      <c r="AP226" s="342"/>
      <c r="AQ226" s="342"/>
      <c r="AR226" s="342"/>
      <c r="AS226" s="342"/>
      <c r="AT226" s="342"/>
      <c r="AU226" s="342"/>
      <c r="AV226" s="342"/>
      <c r="AW226" s="342"/>
      <c r="AX226" s="342"/>
      <c r="AY226" s="342"/>
      <c r="AZ226" s="342"/>
      <c r="BA226" s="342"/>
      <c r="BB226" s="342"/>
      <c r="BC226" s="342"/>
      <c r="BD226" s="342"/>
      <c r="BE226" s="342"/>
      <c r="BF226" s="342"/>
      <c r="BG226" s="342"/>
      <c r="BH226" s="342"/>
    </row>
    <row r="227" spans="1:60" ht="15" x14ac:dyDescent="0.25">
      <c r="A227" s="240" t="str">
        <f ca="1">IF(TeamHistory!$BP12="Blank","",TeamHistory!$BP12)</f>
        <v>Upton - Meeteetse 12/17/2022</v>
      </c>
      <c r="B227" s="240">
        <f t="shared" ca="1" si="69"/>
        <v>1</v>
      </c>
      <c r="C227" s="243" t="str">
        <f ca="1">IF(Table3[[#This Row],[Games]]="","",TeamHistory!BQ12)</f>
        <v/>
      </c>
      <c r="D227" s="243" t="str">
        <f ca="1">IF(Table3[[#This Row],[Games]]="","",TeamHistory!BS12)</f>
        <v/>
      </c>
      <c r="E227" s="243" t="str">
        <f ca="1">IF(Table3[[#This Row],[Games]]="","",IF(TeamHistory!$BP12="Blank","",IF(TeamHistory!$BK12=1,"W","L")))</f>
        <v>W</v>
      </c>
      <c r="AJ227" s="342"/>
      <c r="AK227" s="342"/>
      <c r="AL227" s="342"/>
      <c r="AM227" s="342"/>
      <c r="AN227" s="342"/>
      <c r="AO227" s="342"/>
      <c r="AP227" s="342"/>
      <c r="AQ227" s="342"/>
      <c r="AR227" s="342"/>
      <c r="AS227" s="342"/>
      <c r="AT227" s="342"/>
      <c r="AU227" s="342"/>
      <c r="AV227" s="342"/>
      <c r="AW227" s="342"/>
      <c r="AX227" s="342"/>
      <c r="AY227" s="342"/>
      <c r="AZ227" s="342"/>
      <c r="BA227" s="342"/>
      <c r="BB227" s="342"/>
      <c r="BC227" s="342"/>
      <c r="BD227" s="342"/>
      <c r="BE227" s="342"/>
      <c r="BF227" s="342"/>
      <c r="BG227" s="342"/>
      <c r="BH227" s="342"/>
    </row>
    <row r="228" spans="1:60" ht="15" x14ac:dyDescent="0.25">
      <c r="A228" s="240" t="str">
        <f ca="1">IF(TeamHistory!$BP13="Blank","",TeamHistory!$BP13)</f>
        <v>Upton - Moorcroft 1/9/2023</v>
      </c>
      <c r="B228" s="240">
        <f t="shared" ca="1" si="69"/>
        <v>1</v>
      </c>
      <c r="C228" s="240" t="str">
        <f ca="1">IF(Table3[[#This Row],[Games]]="","",TeamHistory!BQ13)</f>
        <v/>
      </c>
      <c r="D228" s="240" t="str">
        <f ca="1">IF(Table3[[#This Row],[Games]]="","",TeamHistory!BS13)</f>
        <v/>
      </c>
      <c r="E228" s="240" t="str">
        <f ca="1">IF(Table3[[#This Row],[Games]]="","",IF(TeamHistory!$BP13="Blank","",IF(TeamHistory!$BK13=1,"W","L")))</f>
        <v>W</v>
      </c>
      <c r="AJ228" s="342"/>
      <c r="AK228" s="342"/>
      <c r="AL228" s="342"/>
      <c r="AM228" s="342"/>
      <c r="AN228" s="342"/>
      <c r="AO228" s="342"/>
      <c r="AP228" s="342"/>
      <c r="AQ228" s="342"/>
      <c r="AR228" s="342"/>
      <c r="AS228" s="342"/>
      <c r="AT228" s="342"/>
      <c r="AU228" s="342"/>
      <c r="AV228" s="342"/>
      <c r="AW228" s="342"/>
      <c r="AX228" s="342"/>
      <c r="AY228" s="342"/>
      <c r="AZ228" s="342"/>
      <c r="BA228" s="342"/>
      <c r="BB228" s="342"/>
      <c r="BC228" s="342"/>
      <c r="BD228" s="342"/>
      <c r="BE228" s="342"/>
      <c r="BF228" s="342"/>
      <c r="BG228" s="342"/>
      <c r="BH228" s="342"/>
    </row>
    <row r="229" spans="1:60" ht="15" x14ac:dyDescent="0.25">
      <c r="A229" s="240" t="str">
        <f ca="1">IF(TeamHistory!$BP14="Blank","",TeamHistory!$BP14)</f>
        <v>Upton - New Underwood, SD 1/12/2023</v>
      </c>
      <c r="B229" s="240">
        <f t="shared" ca="1" si="69"/>
        <v>1</v>
      </c>
      <c r="C229" s="243" t="str">
        <f ca="1">IF(Table3[[#This Row],[Games]]="","",TeamHistory!BQ14)</f>
        <v/>
      </c>
      <c r="D229" s="243" t="str">
        <f ca="1">IF(Table3[[#This Row],[Games]]="","",TeamHistory!BS14)</f>
        <v/>
      </c>
      <c r="E229" s="243" t="str">
        <f ca="1">IF(Table3[[#This Row],[Games]]="","",IF(TeamHistory!$BP14="Blank","",IF(TeamHistory!$BK14=1,"W","L")))</f>
        <v>W</v>
      </c>
      <c r="AJ229" s="342"/>
      <c r="AK229" s="342"/>
      <c r="AL229" s="342"/>
      <c r="AM229" s="342"/>
      <c r="AN229" s="342"/>
      <c r="AO229" s="342"/>
      <c r="AP229" s="342"/>
      <c r="AQ229" s="342"/>
      <c r="AR229" s="342"/>
      <c r="AS229" s="342"/>
      <c r="AT229" s="342"/>
      <c r="AU229" s="342"/>
      <c r="AV229" s="342"/>
      <c r="AW229" s="342"/>
      <c r="AX229" s="342"/>
      <c r="AY229" s="342"/>
      <c r="AZ229" s="342"/>
      <c r="BA229" s="342"/>
      <c r="BB229" s="342"/>
      <c r="BC229" s="342"/>
      <c r="BD229" s="342"/>
      <c r="BE229" s="342"/>
      <c r="BF229" s="342"/>
      <c r="BG229" s="342"/>
      <c r="BH229" s="342"/>
    </row>
    <row r="230" spans="1:60" ht="15" x14ac:dyDescent="0.25">
      <c r="A230" s="240" t="str">
        <f ca="1">IF(TeamHistory!$BP15="Blank","",TeamHistory!$BP15)</f>
        <v>Upton - Faith, SD 1/13/2023</v>
      </c>
      <c r="B230" s="240">
        <f t="shared" ca="1" si="69"/>
        <v>1</v>
      </c>
      <c r="C230" s="240" t="str">
        <f ca="1">IF(Table3[[#This Row],[Games]]="","",TeamHistory!BQ15)</f>
        <v/>
      </c>
      <c r="D230" s="240" t="str">
        <f ca="1">IF(Table3[[#This Row],[Games]]="","",TeamHistory!BS15)</f>
        <v/>
      </c>
      <c r="E230" s="240" t="str">
        <f ca="1">IF(Table3[[#This Row],[Games]]="","",IF(TeamHistory!$BP15="Blank","",IF(TeamHistory!$BK15=1,"W","L")))</f>
        <v>L</v>
      </c>
      <c r="AJ230" s="342"/>
      <c r="AK230" s="342"/>
      <c r="AL230" s="342"/>
      <c r="AM230" s="342"/>
      <c r="AN230" s="342"/>
      <c r="AO230" s="342"/>
      <c r="AP230" s="342"/>
      <c r="AQ230" s="342"/>
      <c r="AR230" s="342"/>
      <c r="AS230" s="342"/>
      <c r="AT230" s="342"/>
      <c r="AU230" s="342"/>
      <c r="AV230" s="342"/>
      <c r="AW230" s="342"/>
      <c r="AX230" s="342"/>
      <c r="AY230" s="342"/>
      <c r="AZ230" s="342"/>
      <c r="BA230" s="342"/>
      <c r="BB230" s="342"/>
      <c r="BC230" s="342"/>
      <c r="BD230" s="342"/>
      <c r="BE230" s="342"/>
      <c r="BF230" s="342"/>
      <c r="BG230" s="342"/>
      <c r="BH230" s="342"/>
    </row>
    <row r="231" spans="1:60" ht="15" x14ac:dyDescent="0.25">
      <c r="A231" s="240" t="str">
        <f ca="1">IF(TeamHistory!$BP16="Blank","",TeamHistory!$BP16)</f>
        <v>Upton - Moorcroft 1/14/2023</v>
      </c>
      <c r="B231" s="240">
        <f t="shared" ca="1" si="69"/>
        <v>1</v>
      </c>
      <c r="C231" s="243" t="str">
        <f ca="1">IF(Table3[[#This Row],[Games]]="","",TeamHistory!BQ16)</f>
        <v/>
      </c>
      <c r="D231" s="243" t="str">
        <f ca="1">IF(Table3[[#This Row],[Games]]="","",TeamHistory!BS16)</f>
        <v/>
      </c>
      <c r="E231" s="243" t="str">
        <f ca="1">IF(Table3[[#This Row],[Games]]="","",IF(TeamHistory!$BP16="Blank","",IF(TeamHistory!$BK16=1,"W","L")))</f>
        <v>W</v>
      </c>
      <c r="AJ231" s="342"/>
      <c r="AK231" s="342"/>
      <c r="AL231" s="342"/>
      <c r="AM231" s="342"/>
      <c r="AN231" s="342"/>
      <c r="AO231" s="342"/>
      <c r="AP231" s="342"/>
      <c r="AQ231" s="342"/>
      <c r="AR231" s="342"/>
      <c r="AS231" s="342"/>
      <c r="AT231" s="342"/>
      <c r="AU231" s="342"/>
      <c r="AV231" s="342"/>
      <c r="AW231" s="342"/>
      <c r="AX231" s="342"/>
      <c r="AY231" s="342"/>
      <c r="AZ231" s="342"/>
      <c r="BA231" s="342"/>
      <c r="BB231" s="342"/>
      <c r="BC231" s="342"/>
      <c r="BD231" s="342"/>
      <c r="BE231" s="342"/>
      <c r="BF231" s="342"/>
      <c r="BG231" s="342"/>
      <c r="BH231" s="342"/>
    </row>
    <row r="232" spans="1:60" ht="15" x14ac:dyDescent="0.25">
      <c r="A232" s="240" t="str">
        <f ca="1">IF(TeamHistory!$BP17="Blank","",TeamHistory!$BP17)</f>
        <v>Upton - Arvada Clearmont 1/20/2023</v>
      </c>
      <c r="B232" s="240">
        <f t="shared" ca="1" si="69"/>
        <v>1</v>
      </c>
      <c r="C232" s="240" t="str">
        <f ca="1">IF(Table3[[#This Row],[Games]]="","",TeamHistory!BQ17)</f>
        <v>R</v>
      </c>
      <c r="D232" s="240" t="str">
        <f ca="1">IF(Table3[[#This Row],[Games]]="","",TeamHistory!BS17)</f>
        <v>SR</v>
      </c>
      <c r="E232" s="240" t="str">
        <f ca="1">IF(Table3[[#This Row],[Games]]="","",IF(TeamHistory!$BP17="Blank","",IF(TeamHistory!$BK17=1,"W","L")))</f>
        <v>W</v>
      </c>
      <c r="AJ232" s="342"/>
      <c r="AK232" s="342"/>
      <c r="AL232" s="342"/>
      <c r="AM232" s="342"/>
      <c r="AN232" s="342"/>
      <c r="AO232" s="342"/>
      <c r="AP232" s="342"/>
      <c r="AQ232" s="342"/>
      <c r="AR232" s="342"/>
      <c r="AS232" s="342"/>
      <c r="AT232" s="342"/>
      <c r="AU232" s="342"/>
      <c r="AV232" s="342"/>
      <c r="AW232" s="342"/>
      <c r="AX232" s="342"/>
      <c r="AY232" s="342"/>
      <c r="AZ232" s="342"/>
      <c r="BA232" s="342"/>
      <c r="BB232" s="342"/>
      <c r="BC232" s="342"/>
      <c r="BD232" s="342"/>
      <c r="BE232" s="342"/>
      <c r="BF232" s="342"/>
      <c r="BG232" s="342"/>
      <c r="BH232" s="342"/>
    </row>
    <row r="233" spans="1:60" ht="15" x14ac:dyDescent="0.25">
      <c r="A233" s="240" t="str">
        <f ca="1">IF(TeamHistory!$BP18="Blank","",TeamHistory!$BP18)</f>
        <v>Upton - Kaycee 1/21/2023</v>
      </c>
      <c r="B233" s="240">
        <f t="shared" ca="1" si="69"/>
        <v>1</v>
      </c>
      <c r="C233" s="243" t="str">
        <f ca="1">IF(Table3[[#This Row],[Games]]="","",TeamHistory!BQ18)</f>
        <v>R</v>
      </c>
      <c r="D233" s="243" t="str">
        <f ca="1">IF(Table3[[#This Row],[Games]]="","",TeamHistory!BS18)</f>
        <v>SR</v>
      </c>
      <c r="E233" s="243" t="str">
        <f ca="1">IF(Table3[[#This Row],[Games]]="","",IF(TeamHistory!$BP18="Blank","",IF(TeamHistory!$BK18=1,"W","L")))</f>
        <v>W</v>
      </c>
      <c r="AJ233" s="342"/>
      <c r="AK233" s="342"/>
      <c r="AL233" s="342"/>
      <c r="AM233" s="342"/>
      <c r="AN233" s="342"/>
      <c r="AO233" s="342"/>
      <c r="AP233" s="342"/>
      <c r="AQ233" s="342"/>
      <c r="AR233" s="342"/>
      <c r="AS233" s="342"/>
      <c r="AT233" s="342"/>
      <c r="AU233" s="342"/>
      <c r="AV233" s="342"/>
      <c r="AW233" s="342"/>
      <c r="AX233" s="342"/>
      <c r="AY233" s="342"/>
      <c r="AZ233" s="342"/>
      <c r="BA233" s="342"/>
      <c r="BB233" s="342"/>
      <c r="BC233" s="342"/>
      <c r="BD233" s="342"/>
      <c r="BE233" s="342"/>
      <c r="BF233" s="342"/>
      <c r="BG233" s="342"/>
      <c r="BH233" s="342"/>
    </row>
    <row r="234" spans="1:60" ht="15" x14ac:dyDescent="0.25">
      <c r="A234" s="240" t="str">
        <f ca="1">IF(TeamHistory!$BP19="Blank","",TeamHistory!$BP19)</f>
        <v>Upton - Hulett 1/27/2023</v>
      </c>
      <c r="B234" s="240">
        <f t="shared" ca="1" si="69"/>
        <v>1</v>
      </c>
      <c r="C234" s="240" t="str">
        <f ca="1">IF(Table3[[#This Row],[Games]]="","",TeamHistory!BQ19)</f>
        <v>R</v>
      </c>
      <c r="D234" s="240" t="str">
        <f ca="1">IF(Table3[[#This Row],[Games]]="","",TeamHistory!BS19)</f>
        <v>SR</v>
      </c>
      <c r="E234" s="240" t="str">
        <f ca="1">IF(Table3[[#This Row],[Games]]="","",IF(TeamHistory!$BP19="Blank","",IF(TeamHistory!$BK19=1,"W","L")))</f>
        <v>W</v>
      </c>
      <c r="AJ234" s="342"/>
      <c r="AK234" s="342"/>
      <c r="AL234" s="342"/>
      <c r="AM234" s="342"/>
      <c r="AN234" s="342"/>
      <c r="AO234" s="342"/>
      <c r="AP234" s="342"/>
      <c r="AQ234" s="342"/>
      <c r="AR234" s="342"/>
      <c r="AS234" s="342"/>
      <c r="AT234" s="342"/>
      <c r="AU234" s="342"/>
      <c r="AV234" s="342"/>
      <c r="AW234" s="342"/>
      <c r="AX234" s="342"/>
      <c r="AY234" s="342"/>
      <c r="AZ234" s="342"/>
      <c r="BA234" s="342"/>
      <c r="BB234" s="342"/>
      <c r="BC234" s="342"/>
      <c r="BD234" s="342"/>
      <c r="BE234" s="342"/>
      <c r="BF234" s="342"/>
      <c r="BG234" s="342"/>
      <c r="BH234" s="342"/>
    </row>
    <row r="235" spans="1:60" ht="15" x14ac:dyDescent="0.25">
      <c r="A235" s="240" t="str">
        <f ca="1">IF(TeamHistory!$BP20="Blank","",TeamHistory!$BP20)</f>
        <v>Upton - Thunder Basin JV 1/31/2023</v>
      </c>
      <c r="B235" s="240">
        <f t="shared" ca="1" si="69"/>
        <v>1</v>
      </c>
      <c r="C235" s="243" t="str">
        <f ca="1">IF(Table3[[#This Row],[Games]]="","",TeamHistory!BQ20)</f>
        <v/>
      </c>
      <c r="D235" s="243" t="str">
        <f ca="1">IF(Table3[[#This Row],[Games]]="","",TeamHistory!BS20)</f>
        <v/>
      </c>
      <c r="E235" s="243" t="str">
        <f ca="1">IF(Table3[[#This Row],[Games]]="","",IF(TeamHistory!$BP20="Blank","",IF(TeamHistory!$BK20=1,"W","L")))</f>
        <v>W</v>
      </c>
      <c r="AJ235" s="342"/>
      <c r="AK235" s="342"/>
      <c r="AL235" s="342"/>
      <c r="AM235" s="342"/>
      <c r="AN235" s="342"/>
      <c r="AO235" s="342"/>
      <c r="AP235" s="342"/>
      <c r="AQ235" s="342"/>
      <c r="AR235" s="342"/>
      <c r="AS235" s="342"/>
      <c r="AT235" s="342"/>
      <c r="AU235" s="342"/>
      <c r="AV235" s="342"/>
      <c r="AW235" s="342"/>
      <c r="AX235" s="342"/>
      <c r="AY235" s="342"/>
      <c r="AZ235" s="342"/>
      <c r="BA235" s="342"/>
      <c r="BB235" s="342"/>
      <c r="BC235" s="342"/>
      <c r="BD235" s="342"/>
      <c r="BE235" s="342"/>
      <c r="BF235" s="342"/>
      <c r="BG235" s="342"/>
      <c r="BH235" s="342"/>
    </row>
    <row r="236" spans="1:60" ht="15" x14ac:dyDescent="0.25">
      <c r="A236" s="240" t="str">
        <f ca="1">IF(TeamHistory!$BP21="Blank","",TeamHistory!$BP21)</f>
        <v>Upton - Kaycee 2/3/2023</v>
      </c>
      <c r="B236" s="240">
        <f t="shared" ca="1" si="69"/>
        <v>1</v>
      </c>
      <c r="C236" s="240" t="str">
        <f ca="1">IF(Table3[[#This Row],[Games]]="","",TeamHistory!BQ21)</f>
        <v>R</v>
      </c>
      <c r="D236" s="240" t="str">
        <f ca="1">IF(Table3[[#This Row],[Games]]="","",TeamHistory!BS21)</f>
        <v>SR</v>
      </c>
      <c r="E236" s="240" t="str">
        <f ca="1">IF(Table3[[#This Row],[Games]]="","",IF(TeamHistory!$BP21="Blank","",IF(TeamHistory!$BK21=1,"W","L")))</f>
        <v>W</v>
      </c>
      <c r="AJ236" s="342"/>
      <c r="AK236" s="342"/>
      <c r="AL236" s="342"/>
      <c r="AM236" s="342"/>
      <c r="AN236" s="342"/>
      <c r="AO236" s="342"/>
      <c r="AP236" s="342"/>
      <c r="AQ236" s="342"/>
      <c r="AR236" s="342"/>
      <c r="AS236" s="342"/>
      <c r="AT236" s="342"/>
      <c r="AU236" s="342"/>
      <c r="AV236" s="342"/>
      <c r="AW236" s="342"/>
      <c r="AX236" s="342"/>
      <c r="AY236" s="342"/>
      <c r="AZ236" s="342"/>
      <c r="BA236" s="342"/>
      <c r="BB236" s="342"/>
      <c r="BC236" s="342"/>
      <c r="BD236" s="342"/>
      <c r="BE236" s="342"/>
      <c r="BF236" s="342"/>
      <c r="BG236" s="342"/>
      <c r="BH236" s="342"/>
    </row>
    <row r="237" spans="1:60" ht="15" x14ac:dyDescent="0.25">
      <c r="A237" s="240" t="str">
        <f ca="1">IF(TeamHistory!$BP22="Blank","",TeamHistory!$BP22)</f>
        <v>Upton - Midwest 2/4/2023</v>
      </c>
      <c r="B237" s="240">
        <f t="shared" ca="1" si="69"/>
        <v>1</v>
      </c>
      <c r="C237" s="243" t="str">
        <f ca="1">IF(Table3[[#This Row],[Games]]="","",TeamHistory!BQ22)</f>
        <v>R</v>
      </c>
      <c r="D237" s="243" t="str">
        <f ca="1">IF(Table3[[#This Row],[Games]]="","",TeamHistory!BS22)</f>
        <v>SR</v>
      </c>
      <c r="E237" s="243" t="str">
        <f ca="1">IF(Table3[[#This Row],[Games]]="","",IF(TeamHistory!$BP22="Blank","",IF(TeamHistory!$BK22=1,"W","L")))</f>
        <v>W</v>
      </c>
      <c r="AJ237" s="342"/>
      <c r="AK237" s="342"/>
      <c r="AL237" s="342"/>
      <c r="AM237" s="342"/>
      <c r="AN237" s="342"/>
      <c r="AO237" s="342"/>
      <c r="AP237" s="342"/>
      <c r="AQ237" s="342"/>
      <c r="AR237" s="342"/>
      <c r="AS237" s="342"/>
      <c r="AT237" s="342"/>
      <c r="AU237" s="342"/>
      <c r="AV237" s="342"/>
      <c r="AW237" s="342"/>
      <c r="AX237" s="342"/>
      <c r="AY237" s="342"/>
      <c r="AZ237" s="342"/>
      <c r="BA237" s="342"/>
      <c r="BB237" s="342"/>
      <c r="BC237" s="342"/>
      <c r="BD237" s="342"/>
      <c r="BE237" s="342"/>
      <c r="BF237" s="342"/>
      <c r="BG237" s="342"/>
      <c r="BH237" s="342"/>
    </row>
    <row r="238" spans="1:60" ht="15" x14ac:dyDescent="0.25">
      <c r="A238" s="240" t="str">
        <f ca="1">IF(TeamHistory!$BP23="Blank","",TeamHistory!$BP23)</f>
        <v>Upton - Sundance 2/7/2023</v>
      </c>
      <c r="B238" s="240">
        <f t="shared" ca="1" si="69"/>
        <v>1</v>
      </c>
      <c r="C238" s="240" t="str">
        <f ca="1">IF(Table3[[#This Row],[Games]]="","",TeamHistory!BQ23)</f>
        <v/>
      </c>
      <c r="D238" s="240" t="str">
        <f ca="1">IF(Table3[[#This Row],[Games]]="","",TeamHistory!BS23)</f>
        <v/>
      </c>
      <c r="E238" s="240" t="str">
        <f ca="1">IF(Table3[[#This Row],[Games]]="","",IF(TeamHistory!$BP23="Blank","",IF(TeamHistory!$BK23=1,"W","L")))</f>
        <v>W</v>
      </c>
      <c r="AJ238" s="342"/>
      <c r="AK238" s="342"/>
      <c r="AL238" s="342"/>
      <c r="AM238" s="342"/>
      <c r="AN238" s="342"/>
      <c r="AO238" s="342"/>
      <c r="AP238" s="342"/>
      <c r="AQ238" s="342"/>
      <c r="AR238" s="342"/>
      <c r="AS238" s="342"/>
      <c r="AT238" s="342"/>
      <c r="AU238" s="342"/>
      <c r="AV238" s="342"/>
      <c r="AW238" s="342"/>
      <c r="AX238" s="342"/>
      <c r="AY238" s="342"/>
      <c r="AZ238" s="342"/>
      <c r="BA238" s="342"/>
      <c r="BB238" s="342"/>
      <c r="BC238" s="342"/>
      <c r="BD238" s="342"/>
      <c r="BE238" s="342"/>
      <c r="BF238" s="342"/>
      <c r="BG238" s="342"/>
      <c r="BH238" s="342"/>
    </row>
    <row r="239" spans="1:60" ht="15" x14ac:dyDescent="0.25">
      <c r="A239" s="240" t="str">
        <f ca="1">IF(TeamHistory!$BP24="Blank","",TeamHistory!$BP24)</f>
        <v>Upton - Arvada Clearmont 2/11/2023</v>
      </c>
      <c r="B239" s="240">
        <f t="shared" ca="1" si="69"/>
        <v>1</v>
      </c>
      <c r="C239" s="243" t="str">
        <f ca="1">IF(Table3[[#This Row],[Games]]="","",TeamHistory!BQ24)</f>
        <v>R</v>
      </c>
      <c r="D239" s="243" t="str">
        <f ca="1">IF(Table3[[#This Row],[Games]]="","",TeamHistory!BS24)</f>
        <v>SR</v>
      </c>
      <c r="E239" s="243" t="str">
        <f ca="1">IF(Table3[[#This Row],[Games]]="","",IF(TeamHistory!$BP24="Blank","",IF(TeamHistory!$BK24=1,"W","L")))</f>
        <v>W</v>
      </c>
      <c r="AJ239" s="342"/>
      <c r="AK239" s="342"/>
      <c r="AL239" s="342"/>
      <c r="AM239" s="342"/>
      <c r="AN239" s="342"/>
      <c r="AO239" s="342"/>
      <c r="AP239" s="342"/>
      <c r="AQ239" s="342"/>
      <c r="AR239" s="342"/>
      <c r="AS239" s="342"/>
      <c r="AT239" s="342"/>
      <c r="AU239" s="342"/>
      <c r="AV239" s="342"/>
      <c r="AW239" s="342"/>
      <c r="AX239" s="342"/>
      <c r="AY239" s="342"/>
      <c r="AZ239" s="342"/>
      <c r="BA239" s="342"/>
      <c r="BB239" s="342"/>
      <c r="BC239" s="342"/>
      <c r="BD239" s="342"/>
      <c r="BE239" s="342"/>
      <c r="BF239" s="342"/>
      <c r="BG239" s="342"/>
      <c r="BH239" s="342"/>
    </row>
    <row r="240" spans="1:60" ht="15" x14ac:dyDescent="0.25">
      <c r="A240" s="240" t="str">
        <f ca="1">IF(TeamHistory!$BP25="Blank","",TeamHistory!$BP25)</f>
        <v>Upton - Hulett 2/17/2023</v>
      </c>
      <c r="B240" s="240">
        <f t="shared" ca="1" si="69"/>
        <v>1</v>
      </c>
      <c r="C240" s="240" t="str">
        <f ca="1">IF(Table3[[#This Row],[Games]]="","",TeamHistory!BQ25)</f>
        <v>R</v>
      </c>
      <c r="D240" s="240" t="str">
        <f ca="1">IF(Table3[[#This Row],[Games]]="","",TeamHistory!BS25)</f>
        <v>SR</v>
      </c>
      <c r="E240" s="240" t="str">
        <f ca="1">IF(Table3[[#This Row],[Games]]="","",IF(TeamHistory!$BP25="Blank","",IF(TeamHistory!$BK25=1,"W","L")))</f>
        <v>W</v>
      </c>
      <c r="AJ240" s="342"/>
      <c r="AK240" s="342"/>
      <c r="AL240" s="342"/>
      <c r="AM240" s="342"/>
      <c r="AN240" s="342"/>
      <c r="AO240" s="342"/>
      <c r="AP240" s="342"/>
      <c r="AQ240" s="342"/>
      <c r="AR240" s="342"/>
      <c r="AS240" s="342"/>
      <c r="AT240" s="342"/>
      <c r="AU240" s="342"/>
      <c r="AV240" s="342"/>
      <c r="AW240" s="342"/>
      <c r="AX240" s="342"/>
      <c r="AY240" s="342"/>
      <c r="AZ240" s="342"/>
      <c r="BA240" s="342"/>
      <c r="BB240" s="342"/>
      <c r="BC240" s="342"/>
      <c r="BD240" s="342"/>
      <c r="BE240" s="342"/>
      <c r="BF240" s="342"/>
      <c r="BG240" s="342"/>
      <c r="BH240" s="342"/>
    </row>
    <row r="241" spans="1:60" ht="15" x14ac:dyDescent="0.25">
      <c r="A241" s="240" t="str">
        <f ca="1">IF(TeamHistory!$BP26="Blank","",TeamHistory!$BP26)</f>
        <v>Upton - Wright 2/18/2023</v>
      </c>
      <c r="B241" s="240">
        <f t="shared" ca="1" si="69"/>
        <v>1</v>
      </c>
      <c r="C241" s="243" t="str">
        <f ca="1">IF(Table3[[#This Row],[Games]]="","",TeamHistory!BQ26)</f>
        <v/>
      </c>
      <c r="D241" s="243" t="str">
        <f ca="1">IF(Table3[[#This Row],[Games]]="","",TeamHistory!BS26)</f>
        <v/>
      </c>
      <c r="E241" s="243" t="str">
        <f ca="1">IF(Table3[[#This Row],[Games]]="","",IF(TeamHistory!$BP26="Blank","",IF(TeamHistory!$BK26=1,"W","L")))</f>
        <v>L</v>
      </c>
      <c r="AJ241" s="342"/>
      <c r="AK241" s="342"/>
      <c r="AL241" s="342"/>
      <c r="AM241" s="342"/>
      <c r="AN241" s="342"/>
      <c r="AO241" s="342"/>
      <c r="AP241" s="342"/>
      <c r="AQ241" s="342"/>
      <c r="AR241" s="342"/>
      <c r="AS241" s="342"/>
      <c r="AT241" s="342"/>
      <c r="AU241" s="342"/>
      <c r="AV241" s="342"/>
      <c r="AW241" s="342"/>
      <c r="AX241" s="342"/>
      <c r="AY241" s="342"/>
      <c r="AZ241" s="342"/>
      <c r="BA241" s="342"/>
      <c r="BB241" s="342"/>
      <c r="BC241" s="342"/>
      <c r="BD241" s="342"/>
      <c r="BE241" s="342"/>
      <c r="BF241" s="342"/>
      <c r="BG241" s="342"/>
      <c r="BH241" s="342"/>
    </row>
    <row r="242" spans="1:60" ht="15" x14ac:dyDescent="0.25">
      <c r="A242" s="240" t="str">
        <f ca="1">IF(TeamHistory!$BP27="Blank","",TeamHistory!$BP27)</f>
        <v>Upton - Rock River 2/23/2023</v>
      </c>
      <c r="B242" s="240">
        <f t="shared" ca="1" si="69"/>
        <v>1</v>
      </c>
      <c r="C242" s="240" t="str">
        <f ca="1">IF(Table3[[#This Row],[Games]]="","",TeamHistory!BQ27)</f>
        <v>R</v>
      </c>
      <c r="D242" s="240" t="str">
        <f ca="1">IF(Table3[[#This Row],[Games]]="","",TeamHistory!BS27)</f>
        <v/>
      </c>
      <c r="E242" s="240" t="str">
        <f ca="1">IF(Table3[[#This Row],[Games]]="","",IF(TeamHistory!$BP27="Blank","",IF(TeamHistory!$BK27=1,"W","L")))</f>
        <v>W</v>
      </c>
      <c r="AJ242" s="342"/>
      <c r="AK242" s="342"/>
      <c r="AL242" s="342"/>
      <c r="AM242" s="342"/>
      <c r="AN242" s="342"/>
      <c r="AO242" s="342"/>
      <c r="AP242" s="342"/>
      <c r="AQ242" s="342"/>
      <c r="AR242" s="342"/>
      <c r="AS242" s="342"/>
      <c r="AT242" s="342"/>
      <c r="AU242" s="342"/>
      <c r="AV242" s="342"/>
      <c r="AW242" s="342"/>
      <c r="AX242" s="342"/>
      <c r="AY242" s="342"/>
      <c r="AZ242" s="342"/>
      <c r="BA242" s="342"/>
      <c r="BB242" s="342"/>
      <c r="BC242" s="342"/>
      <c r="BD242" s="342"/>
      <c r="BE242" s="342"/>
      <c r="BF242" s="342"/>
      <c r="BG242" s="342"/>
      <c r="BH242" s="342"/>
    </row>
    <row r="243" spans="1:60" ht="15" x14ac:dyDescent="0.25">
      <c r="A243" s="240" t="str">
        <f ca="1">IF(TeamHistory!$BP28="Blank","",TeamHistory!$BP28)</f>
        <v>Upton - Kaycee 2/24/2023</v>
      </c>
      <c r="B243" s="240">
        <f t="shared" ca="1" si="69"/>
        <v>1</v>
      </c>
      <c r="C243" s="243" t="str">
        <f ca="1">IF(Table3[[#This Row],[Games]]="","",TeamHistory!BQ28)</f>
        <v>R</v>
      </c>
      <c r="D243" s="243" t="str">
        <f ca="1">IF(Table3[[#This Row],[Games]]="","",TeamHistory!BS28)</f>
        <v>SR</v>
      </c>
      <c r="E243" s="243" t="str">
        <f ca="1">IF(Table3[[#This Row],[Games]]="","",IF(TeamHistory!$BP28="Blank","",IF(TeamHistory!$BK28=1,"W","L")))</f>
        <v>W</v>
      </c>
      <c r="AJ243" s="342"/>
      <c r="AK243" s="342"/>
      <c r="AL243" s="342"/>
      <c r="AM243" s="342"/>
      <c r="AN243" s="342"/>
      <c r="AO243" s="342"/>
      <c r="AP243" s="342"/>
      <c r="AQ243" s="342"/>
      <c r="AR243" s="342"/>
      <c r="AS243" s="342"/>
      <c r="AT243" s="342"/>
      <c r="AU243" s="342"/>
      <c r="AV243" s="342"/>
      <c r="AW243" s="342"/>
      <c r="AX243" s="342"/>
      <c r="AY243" s="342"/>
      <c r="AZ243" s="342"/>
      <c r="BA243" s="342"/>
      <c r="BB243" s="342"/>
      <c r="BC243" s="342"/>
      <c r="BD243" s="342"/>
      <c r="BE243" s="342"/>
      <c r="BF243" s="342"/>
      <c r="BG243" s="342"/>
      <c r="BH243" s="342"/>
    </row>
    <row r="244" spans="1:60" ht="15" x14ac:dyDescent="0.25">
      <c r="A244" s="240" t="str">
        <f ca="1">IF(TeamHistory!$BP29="Blank","",TeamHistory!$BP29)</f>
        <v>Upton - Southeast 2/25/2023</v>
      </c>
      <c r="B244" s="240">
        <f t="shared" ca="1" si="69"/>
        <v>1</v>
      </c>
      <c r="C244" s="240" t="str">
        <f ca="1">IF(Table3[[#This Row],[Games]]="","",TeamHistory!BQ29)</f>
        <v>R</v>
      </c>
      <c r="D244" s="240" t="str">
        <f ca="1">IF(Table3[[#This Row],[Games]]="","",TeamHistory!BS29)</f>
        <v/>
      </c>
      <c r="E244" s="240" t="str">
        <f ca="1">IF(Table3[[#This Row],[Games]]="","",IF(TeamHistory!$BP29="Blank","",IF(TeamHistory!$BK29=1,"W","L")))</f>
        <v>W</v>
      </c>
      <c r="AJ244" s="342"/>
      <c r="AK244" s="342"/>
      <c r="AL244" s="342"/>
      <c r="AM244" s="342"/>
      <c r="AN244" s="342"/>
      <c r="AO244" s="342"/>
      <c r="AP244" s="342"/>
      <c r="AQ244" s="342"/>
      <c r="AR244" s="342"/>
      <c r="AS244" s="342"/>
      <c r="AT244" s="342"/>
      <c r="AU244" s="342"/>
      <c r="AV244" s="342"/>
      <c r="AW244" s="342"/>
      <c r="AX244" s="342"/>
      <c r="AY244" s="342"/>
      <c r="AZ244" s="342"/>
      <c r="BA244" s="342"/>
      <c r="BB244" s="342"/>
      <c r="BC244" s="342"/>
      <c r="BD244" s="342"/>
      <c r="BE244" s="342"/>
      <c r="BF244" s="342"/>
      <c r="BG244" s="342"/>
      <c r="BH244" s="342"/>
    </row>
    <row r="245" spans="1:60" ht="15" x14ac:dyDescent="0.25">
      <c r="A245" s="240" t="str">
        <f ca="1">IF(TeamHistory!$BP30="Blank","",TeamHistory!$BP30)</f>
        <v>Upton - Farson Eden 3/2/2023</v>
      </c>
      <c r="B245" s="240">
        <f t="shared" ca="1" si="69"/>
        <v>1</v>
      </c>
      <c r="C245" s="243" t="str">
        <f ca="1">IF(Table3[[#This Row],[Games]]="","",TeamHistory!BQ30)</f>
        <v/>
      </c>
      <c r="D245" s="243" t="str">
        <f ca="1">IF(Table3[[#This Row],[Games]]="","",TeamHistory!BS30)</f>
        <v/>
      </c>
      <c r="E245" s="243" t="str">
        <f ca="1">IF(Table3[[#This Row],[Games]]="","",IF(TeamHistory!$BP30="Blank","",IF(TeamHistory!$BK30=1,"W","L")))</f>
        <v>W</v>
      </c>
      <c r="AJ245" s="342"/>
      <c r="AK245" s="342"/>
      <c r="AL245" s="342"/>
      <c r="AM245" s="342"/>
      <c r="AN245" s="342"/>
      <c r="AO245" s="342"/>
      <c r="AP245" s="342"/>
      <c r="AQ245" s="342"/>
      <c r="AR245" s="342"/>
      <c r="AS245" s="342"/>
      <c r="AT245" s="342"/>
      <c r="AU245" s="342"/>
      <c r="AV245" s="342"/>
      <c r="AW245" s="342"/>
      <c r="AX245" s="342"/>
      <c r="AY245" s="342"/>
      <c r="AZ245" s="342"/>
      <c r="BA245" s="342"/>
      <c r="BB245" s="342"/>
      <c r="BC245" s="342"/>
      <c r="BD245" s="342"/>
      <c r="BE245" s="342"/>
      <c r="BF245" s="342"/>
      <c r="BG245" s="342"/>
      <c r="BH245" s="342"/>
    </row>
    <row r="246" spans="1:60" ht="15" x14ac:dyDescent="0.25">
      <c r="A246" s="240" t="str">
        <f ca="1">IF(TeamHistory!$BP31="Blank","",TeamHistory!$BP31)</f>
        <v>Upton - Cokeville 3/3/2023</v>
      </c>
      <c r="B246" s="240">
        <f t="shared" ca="1" si="69"/>
        <v>1</v>
      </c>
      <c r="C246" s="240" t="str">
        <f ca="1">IF(Table3[[#This Row],[Games]]="","",TeamHistory!BQ31)</f>
        <v/>
      </c>
      <c r="D246" s="240" t="str">
        <f ca="1">IF(Table3[[#This Row],[Games]]="","",TeamHistory!BS31)</f>
        <v/>
      </c>
      <c r="E246" s="240" t="str">
        <f ca="1">IF(Table3[[#This Row],[Games]]="","",IF(TeamHistory!$BP31="Blank","",IF(TeamHistory!$BK31=1,"W","L")))</f>
        <v>W</v>
      </c>
      <c r="AJ246" s="342"/>
      <c r="AK246" s="342"/>
      <c r="AL246" s="342"/>
      <c r="AM246" s="342"/>
      <c r="AN246" s="342"/>
      <c r="AO246" s="342"/>
      <c r="AP246" s="342"/>
      <c r="AQ246" s="342"/>
      <c r="AR246" s="342"/>
      <c r="AS246" s="342"/>
      <c r="AT246" s="342"/>
      <c r="AU246" s="342"/>
      <c r="AV246" s="342"/>
      <c r="AW246" s="342"/>
      <c r="AX246" s="342"/>
      <c r="AY246" s="342"/>
      <c r="AZ246" s="342"/>
      <c r="BA246" s="342"/>
      <c r="BB246" s="342"/>
      <c r="BC246" s="342"/>
      <c r="BD246" s="342"/>
      <c r="BE246" s="342"/>
      <c r="BF246" s="342"/>
      <c r="BG246" s="342"/>
      <c r="BH246" s="342"/>
    </row>
    <row r="247" spans="1:60" ht="15" x14ac:dyDescent="0.25">
      <c r="A247" s="240" t="str">
        <f ca="1">IF(TeamHistory!$BP32="Blank","",TeamHistory!$BP32)</f>
        <v>Upton - Burlington 3/4/2023</v>
      </c>
      <c r="B247" s="240">
        <f t="shared" ca="1" si="69"/>
        <v>1</v>
      </c>
      <c r="C247" s="243" t="str">
        <f ca="1">IF(Table3[[#This Row],[Games]]="","",TeamHistory!BQ32)</f>
        <v/>
      </c>
      <c r="D247" s="243" t="str">
        <f ca="1">IF(Table3[[#This Row],[Games]]="","",TeamHistory!BS32)</f>
        <v/>
      </c>
      <c r="E247" s="243" t="str">
        <f ca="1">IF(Table3[[#This Row],[Games]]="","",IF(TeamHistory!$BP32="Blank","",IF(TeamHistory!$BK32=1,"W","L")))</f>
        <v>L</v>
      </c>
      <c r="AJ247" s="342"/>
      <c r="AK247" s="342"/>
      <c r="AL247" s="342"/>
      <c r="AM247" s="342"/>
      <c r="AN247" s="342"/>
      <c r="AO247" s="342"/>
      <c r="AP247" s="342"/>
      <c r="AQ247" s="342"/>
      <c r="AR247" s="342"/>
      <c r="AS247" s="342"/>
      <c r="AT247" s="342"/>
      <c r="AU247" s="342"/>
      <c r="AV247" s="342"/>
      <c r="AW247" s="342"/>
      <c r="AX247" s="342"/>
      <c r="AY247" s="342"/>
      <c r="AZ247" s="342"/>
      <c r="BA247" s="342"/>
      <c r="BB247" s="342"/>
      <c r="BC247" s="342"/>
      <c r="BD247" s="342"/>
      <c r="BE247" s="342"/>
      <c r="BF247" s="342"/>
      <c r="BG247" s="342"/>
      <c r="BH247" s="342"/>
    </row>
    <row r="248" spans="1:60" ht="15" x14ac:dyDescent="0.25">
      <c r="A248" s="240" t="str">
        <f ca="1">IF(TeamHistory!$BP33="Blank","",TeamHistory!$BP33)</f>
        <v/>
      </c>
      <c r="B248" s="240">
        <f t="shared" ca="1" si="69"/>
        <v>1</v>
      </c>
      <c r="C248" s="240" t="str">
        <f ca="1">IF(Table3[[#This Row],[Games]]="","",TeamHistory!BQ33)</f>
        <v/>
      </c>
      <c r="D248" s="240" t="str">
        <f ca="1">IF(Table3[[#This Row],[Games]]="","",TeamHistory!BS33)</f>
        <v/>
      </c>
      <c r="E248" s="240" t="str">
        <f ca="1">IF(Table3[[#This Row],[Games]]="","",IF(TeamHistory!$BP33="Blank","",IF(TeamHistory!$BK33=1,"W","L")))</f>
        <v/>
      </c>
      <c r="AJ248" s="342"/>
      <c r="AK248" s="342"/>
      <c r="AL248" s="342"/>
      <c r="AM248" s="342"/>
      <c r="AN248" s="342"/>
      <c r="AO248" s="342"/>
      <c r="AP248" s="342"/>
      <c r="AQ248" s="342"/>
      <c r="AR248" s="342"/>
      <c r="AS248" s="342"/>
      <c r="AT248" s="342"/>
      <c r="AU248" s="342"/>
      <c r="AV248" s="342"/>
      <c r="AW248" s="342"/>
      <c r="AX248" s="342"/>
      <c r="AY248" s="342"/>
      <c r="AZ248" s="342"/>
      <c r="BA248" s="342"/>
      <c r="BB248" s="342"/>
      <c r="BC248" s="342"/>
      <c r="BD248" s="342"/>
      <c r="BE248" s="342"/>
      <c r="BF248" s="342"/>
      <c r="BG248" s="342"/>
      <c r="BH248" s="342"/>
    </row>
    <row r="249" spans="1:60" ht="15" x14ac:dyDescent="0.25">
      <c r="A249" s="240" t="str">
        <f ca="1">IF(TeamHistory!$BP34="Blank","",TeamHistory!$BP34)</f>
        <v/>
      </c>
      <c r="B249" s="240">
        <f t="shared" ca="1" si="69"/>
        <v>1</v>
      </c>
      <c r="C249" s="243" t="str">
        <f ca="1">IF(Table3[[#This Row],[Games]]="","",TeamHistory!BQ34)</f>
        <v/>
      </c>
      <c r="D249" s="243" t="str">
        <f ca="1">IF(Table3[[#This Row],[Games]]="","",TeamHistory!BS34)</f>
        <v/>
      </c>
      <c r="E249" s="243" t="str">
        <f ca="1">IF(Table3[[#This Row],[Games]]="","",IF(TeamHistory!$BP34="Blank","",IF(TeamHistory!$BK34=1,"W","L")))</f>
        <v/>
      </c>
      <c r="AJ249" s="342"/>
      <c r="AK249" s="342"/>
      <c r="AL249" s="342"/>
      <c r="AM249" s="342"/>
      <c r="AN249" s="342"/>
      <c r="AO249" s="342"/>
      <c r="AP249" s="342"/>
      <c r="AQ249" s="342"/>
      <c r="AR249" s="342"/>
      <c r="AS249" s="342"/>
      <c r="AT249" s="342"/>
      <c r="AU249" s="342"/>
      <c r="AV249" s="342"/>
      <c r="AW249" s="342"/>
      <c r="AX249" s="342"/>
      <c r="AY249" s="342"/>
      <c r="AZ249" s="342"/>
      <c r="BA249" s="342"/>
      <c r="BB249" s="342"/>
      <c r="BC249" s="342"/>
      <c r="BD249" s="342"/>
      <c r="BE249" s="342"/>
      <c r="BF249" s="342"/>
      <c r="BG249" s="342"/>
      <c r="BH249" s="342"/>
    </row>
    <row r="250" spans="1:60" ht="15" x14ac:dyDescent="0.25">
      <c r="A250" s="240" t="str">
        <f ca="1">IF(TeamHistory!$BP35="Blank","",TeamHistory!$BP35)</f>
        <v/>
      </c>
      <c r="B250" s="240">
        <f t="shared" ca="1" si="69"/>
        <v>1</v>
      </c>
      <c r="C250" s="240" t="str">
        <f ca="1">IF(Table3[[#This Row],[Games]]="","",TeamHistory!BQ35)</f>
        <v/>
      </c>
      <c r="D250" s="240" t="str">
        <f ca="1">IF(Table3[[#This Row],[Games]]="","",TeamHistory!BS35)</f>
        <v/>
      </c>
      <c r="E250" s="240" t="str">
        <f ca="1">IF(Table3[[#This Row],[Games]]="","",IF(TeamHistory!$BP35="Blank","",IF(TeamHistory!$BK35=1,"W","L")))</f>
        <v/>
      </c>
      <c r="AJ250" s="342"/>
      <c r="AK250" s="342"/>
      <c r="AL250" s="342"/>
      <c r="AM250" s="342"/>
      <c r="AN250" s="342"/>
      <c r="AO250" s="342"/>
      <c r="AP250" s="342"/>
      <c r="AQ250" s="342"/>
      <c r="AR250" s="342"/>
      <c r="AS250" s="342"/>
      <c r="AT250" s="342"/>
      <c r="AU250" s="342"/>
      <c r="AV250" s="342"/>
      <c r="AW250" s="342"/>
      <c r="AX250" s="342"/>
      <c r="AY250" s="342"/>
      <c r="AZ250" s="342"/>
      <c r="BA250" s="342"/>
      <c r="BB250" s="342"/>
      <c r="BC250" s="342"/>
      <c r="BD250" s="342"/>
      <c r="BE250" s="342"/>
      <c r="BF250" s="342"/>
      <c r="BG250" s="342"/>
      <c r="BH250" s="342"/>
    </row>
    <row r="251" spans="1:60" ht="15" x14ac:dyDescent="0.25">
      <c r="A251" s="240" t="str">
        <f ca="1">IF(TeamHistory!$BP36="Blank","",TeamHistory!$BP36)</f>
        <v/>
      </c>
      <c r="B251" s="240">
        <f t="shared" ca="1" si="69"/>
        <v>1</v>
      </c>
      <c r="C251" s="243" t="str">
        <f ca="1">IF(Table3[[#This Row],[Games]]="","",TeamHistory!BQ36)</f>
        <v/>
      </c>
      <c r="D251" s="243" t="str">
        <f ca="1">IF(Table3[[#This Row],[Games]]="","",TeamHistory!BS36)</f>
        <v/>
      </c>
      <c r="E251" s="243" t="str">
        <f ca="1">IF(Table3[[#This Row],[Games]]="","",IF(TeamHistory!$BP36="Blank","",IF(TeamHistory!$BK36=1,"W","L")))</f>
        <v/>
      </c>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342"/>
    </row>
    <row r="252" spans="1:60" ht="15" x14ac:dyDescent="0.25">
      <c r="A252" s="240" t="str">
        <f ca="1">IF(TeamHistory!$BP37="Blank","",TeamHistory!$BP37)</f>
        <v/>
      </c>
      <c r="B252" s="240">
        <f t="shared" ca="1" si="69"/>
        <v>1</v>
      </c>
      <c r="C252" s="240" t="str">
        <f ca="1">IF(Table3[[#This Row],[Games]]="","",TeamHistory!BQ37)</f>
        <v/>
      </c>
      <c r="D252" s="240" t="str">
        <f ca="1">IF(Table3[[#This Row],[Games]]="","",TeamHistory!BS37)</f>
        <v/>
      </c>
      <c r="E252" s="240" t="str">
        <f ca="1">IF(Table3[[#This Row],[Games]]="","",IF(TeamHistory!$BP37="Blank","",IF(TeamHistory!$BK37=1,"W","L")))</f>
        <v/>
      </c>
      <c r="AJ252" s="342"/>
      <c r="AK252" s="342"/>
      <c r="AL252" s="342"/>
      <c r="AM252" s="342"/>
      <c r="AN252" s="342"/>
      <c r="AO252" s="342"/>
      <c r="AP252" s="342"/>
      <c r="AQ252" s="342"/>
      <c r="AR252" s="342"/>
      <c r="AS252" s="342"/>
      <c r="AT252" s="342"/>
      <c r="AU252" s="342"/>
      <c r="AV252" s="342"/>
      <c r="AW252" s="342"/>
      <c r="AX252" s="342"/>
      <c r="AY252" s="342"/>
      <c r="AZ252" s="342"/>
      <c r="BA252" s="342"/>
      <c r="BB252" s="342"/>
      <c r="BC252" s="342"/>
      <c r="BD252" s="342"/>
      <c r="BE252" s="342"/>
      <c r="BF252" s="342"/>
      <c r="BG252" s="342"/>
      <c r="BH252" s="342"/>
    </row>
    <row r="253" spans="1:60" ht="15" x14ac:dyDescent="0.25">
      <c r="A253" s="240" t="str">
        <f ca="1">IF(TeamHistory!$BP38="Blank","",TeamHistory!$BP38)</f>
        <v/>
      </c>
      <c r="B253" s="240">
        <f t="shared" ca="1" si="69"/>
        <v>1</v>
      </c>
      <c r="C253" s="243" t="str">
        <f ca="1">IF(Table3[[#This Row],[Games]]="","",TeamHistory!BQ38)</f>
        <v/>
      </c>
      <c r="D253" s="243" t="str">
        <f ca="1">IF(Table3[[#This Row],[Games]]="","",TeamHistory!BS38)</f>
        <v/>
      </c>
      <c r="E253" s="243" t="str">
        <f ca="1">IF(Table3[[#This Row],[Games]]="","",IF(TeamHistory!$BP38="Blank","",IF(TeamHistory!$BK38=1,"W","L")))</f>
        <v/>
      </c>
      <c r="AJ253" s="342"/>
      <c r="AK253" s="342"/>
      <c r="AL253" s="342"/>
      <c r="AM253" s="342"/>
      <c r="AN253" s="342"/>
      <c r="AO253" s="342"/>
      <c r="AP253" s="342"/>
      <c r="AQ253" s="342"/>
      <c r="AR253" s="342"/>
      <c r="AS253" s="342"/>
      <c r="AT253" s="342"/>
      <c r="AU253" s="342"/>
      <c r="AV253" s="342"/>
      <c r="AW253" s="342"/>
      <c r="AX253" s="342"/>
      <c r="AY253" s="342"/>
      <c r="AZ253" s="342"/>
      <c r="BA253" s="342"/>
      <c r="BB253" s="342"/>
      <c r="BC253" s="342"/>
      <c r="BD253" s="342"/>
      <c r="BE253" s="342"/>
      <c r="BF253" s="342"/>
      <c r="BG253" s="342"/>
      <c r="BH253" s="342"/>
    </row>
    <row r="254" spans="1:60" ht="15" x14ac:dyDescent="0.25">
      <c r="A254" s="240" t="str">
        <f ca="1">IF(TeamHistory!$BP39="Blank","",TeamHistory!$BP39)</f>
        <v/>
      </c>
      <c r="B254" s="240">
        <f t="shared" ca="1" si="69"/>
        <v>1</v>
      </c>
      <c r="C254" s="240" t="str">
        <f ca="1">IF(Table3[[#This Row],[Games]]="","",TeamHistory!BQ39)</f>
        <v/>
      </c>
      <c r="D254" s="240" t="str">
        <f ca="1">IF(Table3[[#This Row],[Games]]="","",TeamHistory!BS39)</f>
        <v/>
      </c>
      <c r="E254" s="240" t="str">
        <f ca="1">IF(Table3[[#This Row],[Games]]="","",IF(TeamHistory!$BP39="Blank","",IF(TeamHistory!$BK39=1,"W","L")))</f>
        <v/>
      </c>
      <c r="AJ254" s="342"/>
      <c r="AK254" s="342"/>
      <c r="AL254" s="342"/>
      <c r="AM254" s="342"/>
      <c r="AN254" s="342"/>
      <c r="AO254" s="342"/>
      <c r="AP254" s="342"/>
      <c r="AQ254" s="342"/>
      <c r="AR254" s="342"/>
      <c r="AS254" s="342"/>
      <c r="AT254" s="342"/>
      <c r="AU254" s="342"/>
      <c r="AV254" s="342"/>
      <c r="AW254" s="342"/>
      <c r="AX254" s="342"/>
      <c r="AY254" s="342"/>
      <c r="AZ254" s="342"/>
      <c r="BA254" s="342"/>
      <c r="BB254" s="342"/>
      <c r="BC254" s="342"/>
      <c r="BD254" s="342"/>
      <c r="BE254" s="342"/>
      <c r="BF254" s="342"/>
      <c r="BG254" s="342"/>
      <c r="BH254" s="342"/>
    </row>
    <row r="255" spans="1:60" ht="15" x14ac:dyDescent="0.25">
      <c r="A255" s="240" t="str">
        <f ca="1">IF(TeamHistory!$BP40="Blank","",TeamHistory!$BP40)</f>
        <v/>
      </c>
      <c r="B255" s="240">
        <f t="shared" ca="1" si="69"/>
        <v>1</v>
      </c>
      <c r="C255" s="243" t="str">
        <f ca="1">IF(Table3[[#This Row],[Games]]="","",TeamHistory!BQ40)</f>
        <v/>
      </c>
      <c r="D255" s="243" t="str">
        <f ca="1">IF(Table3[[#This Row],[Games]]="","",TeamHistory!BS40)</f>
        <v/>
      </c>
      <c r="E255" s="243" t="str">
        <f ca="1">IF(Table3[[#This Row],[Games]]="","",IF(TeamHistory!$BP40="Blank","",IF(TeamHistory!$BK40=1,"W","L")))</f>
        <v/>
      </c>
      <c r="AJ255" s="342"/>
      <c r="AK255" s="342"/>
      <c r="AL255" s="342"/>
      <c r="AM255" s="342"/>
      <c r="AN255" s="342"/>
      <c r="AO255" s="342"/>
      <c r="AP255" s="342"/>
      <c r="AQ255" s="342"/>
      <c r="AR255" s="342"/>
      <c r="AS255" s="342"/>
      <c r="AT255" s="342"/>
      <c r="AU255" s="342"/>
      <c r="AV255" s="342"/>
      <c r="AW255" s="342"/>
      <c r="AX255" s="342"/>
      <c r="AY255" s="342"/>
      <c r="AZ255" s="342"/>
      <c r="BA255" s="342"/>
      <c r="BB255" s="342"/>
      <c r="BC255" s="342"/>
      <c r="BD255" s="342"/>
      <c r="BE255" s="342"/>
      <c r="BF255" s="342"/>
      <c r="BG255" s="342"/>
      <c r="BH255" s="342"/>
    </row>
    <row r="256" spans="1:60" ht="15" x14ac:dyDescent="0.25">
      <c r="A256" s="240" t="str">
        <f ca="1">IF(TeamHistory!$BP41="Blank","",TeamHistory!$BP41)</f>
        <v/>
      </c>
      <c r="B256" s="240">
        <f t="shared" ca="1" si="69"/>
        <v>1</v>
      </c>
      <c r="C256" s="240" t="str">
        <f ca="1">IF(Table3[[#This Row],[Games]]="","",TeamHistory!BQ41)</f>
        <v/>
      </c>
      <c r="D256" s="240" t="str">
        <f ca="1">IF(Table3[[#This Row],[Games]]="","",TeamHistory!BS41)</f>
        <v/>
      </c>
      <c r="E256" s="240" t="str">
        <f ca="1">IF(Table3[[#This Row],[Games]]="","",IF(TeamHistory!$BP41="Blank","",IF(TeamHistory!$BK41=1,"W","L")))</f>
        <v/>
      </c>
      <c r="AJ256" s="342"/>
      <c r="AK256" s="342"/>
      <c r="AL256" s="342"/>
      <c r="AM256" s="342"/>
      <c r="AN256" s="342"/>
      <c r="AO256" s="342"/>
      <c r="AP256" s="342"/>
      <c r="AQ256" s="342"/>
      <c r="AR256" s="342"/>
      <c r="AS256" s="342"/>
      <c r="AT256" s="342"/>
      <c r="AU256" s="342"/>
      <c r="AV256" s="342"/>
      <c r="AW256" s="342"/>
      <c r="AX256" s="342"/>
      <c r="AY256" s="342"/>
      <c r="AZ256" s="342"/>
      <c r="BA256" s="342"/>
      <c r="BB256" s="342"/>
      <c r="BC256" s="342"/>
      <c r="BD256" s="342"/>
      <c r="BE256" s="342"/>
      <c r="BF256" s="342"/>
      <c r="BG256" s="342"/>
      <c r="BH256" s="342"/>
    </row>
    <row r="257" spans="1:60" ht="15" x14ac:dyDescent="0.25">
      <c r="A257" s="240" t="str">
        <f ca="1">IF(TeamHistory!$BP42="Blank","",TeamHistory!$BP42)</f>
        <v/>
      </c>
      <c r="B257" s="240">
        <f t="shared" ca="1" si="69"/>
        <v>1</v>
      </c>
      <c r="C257" s="243" t="str">
        <f ca="1">IF(Table3[[#This Row],[Games]]="","",TeamHistory!BQ42)</f>
        <v/>
      </c>
      <c r="D257" s="243" t="str">
        <f ca="1">IF(Table3[[#This Row],[Games]]="","",TeamHistory!BS42)</f>
        <v/>
      </c>
      <c r="E257" s="243" t="str">
        <f ca="1">IF(Table3[[#This Row],[Games]]="","",IF(TeamHistory!$BP42="Blank","",IF(TeamHistory!$BK42=1,"W","L")))</f>
        <v/>
      </c>
      <c r="AJ257" s="342"/>
      <c r="AK257" s="342"/>
      <c r="AL257" s="342"/>
      <c r="AM257" s="342"/>
      <c r="AN257" s="342"/>
      <c r="AO257" s="342"/>
      <c r="AP257" s="342"/>
      <c r="AQ257" s="342"/>
      <c r="AR257" s="342"/>
      <c r="AS257" s="342"/>
      <c r="AT257" s="342"/>
      <c r="AU257" s="342"/>
      <c r="AV257" s="342"/>
      <c r="AW257" s="342"/>
      <c r="AX257" s="342"/>
      <c r="AY257" s="342"/>
      <c r="AZ257" s="342"/>
      <c r="BA257" s="342"/>
      <c r="BB257" s="342"/>
      <c r="BC257" s="342"/>
      <c r="BD257" s="342"/>
      <c r="BE257" s="342"/>
      <c r="BF257" s="342"/>
      <c r="BG257" s="342"/>
      <c r="BH257" s="342"/>
    </row>
    <row r="258" spans="1:60" ht="15" x14ac:dyDescent="0.25">
      <c r="A258" s="240" t="str">
        <f ca="1">IF(TeamHistory!$BP43="Blank","",TeamHistory!$BP43)</f>
        <v/>
      </c>
      <c r="B258" s="240">
        <f t="shared" ca="1" si="69"/>
        <v>1</v>
      </c>
      <c r="C258" s="240" t="str">
        <f ca="1">IF(Table3[[#This Row],[Games]]="","",TeamHistory!BQ43)</f>
        <v/>
      </c>
      <c r="D258" s="240" t="str">
        <f ca="1">IF(Table3[[#This Row],[Games]]="","",TeamHistory!BS43)</f>
        <v/>
      </c>
      <c r="E258" s="240" t="str">
        <f ca="1">IF(Table3[[#This Row],[Games]]="","",IF(TeamHistory!$BP43="Blank","",IF(TeamHistory!$BK43=1,"W","L")))</f>
        <v/>
      </c>
      <c r="AJ258" s="342"/>
      <c r="AK258" s="342"/>
      <c r="AL258" s="342"/>
      <c r="AM258" s="342"/>
      <c r="AN258" s="342"/>
      <c r="AO258" s="342"/>
      <c r="AP258" s="342"/>
      <c r="AQ258" s="342"/>
      <c r="AR258" s="342"/>
      <c r="AS258" s="342"/>
      <c r="AT258" s="342"/>
      <c r="AU258" s="342"/>
      <c r="AV258" s="342"/>
      <c r="AW258" s="342"/>
      <c r="AX258" s="342"/>
      <c r="AY258" s="342"/>
      <c r="AZ258" s="342"/>
      <c r="BA258" s="342"/>
      <c r="BB258" s="342"/>
      <c r="BC258" s="342"/>
      <c r="BD258" s="342"/>
      <c r="BE258" s="342"/>
      <c r="BF258" s="342"/>
      <c r="BG258" s="342"/>
      <c r="BH258" s="342"/>
    </row>
    <row r="259" spans="1:60" ht="15" x14ac:dyDescent="0.25">
      <c r="A259" s="240" t="str">
        <f ca="1">IF(TeamHistory!$BP44="Blank","",TeamHistory!$BP44)</f>
        <v/>
      </c>
      <c r="B259" s="240">
        <f t="shared" ca="1" si="69"/>
        <v>1</v>
      </c>
      <c r="C259" s="243" t="str">
        <f ca="1">IF(Table3[[#This Row],[Games]]="","",TeamHistory!BQ44)</f>
        <v/>
      </c>
      <c r="D259" s="243" t="str">
        <f ca="1">IF(Table3[[#This Row],[Games]]="","",TeamHistory!BS44)</f>
        <v/>
      </c>
      <c r="E259" s="243" t="str">
        <f ca="1">IF(Table3[[#This Row],[Games]]="","",IF(TeamHistory!$BP44="Blank","",IF(TeamHistory!$BK44=1,"W","L")))</f>
        <v/>
      </c>
      <c r="AJ259" s="342"/>
      <c r="AK259" s="342"/>
      <c r="AL259" s="342"/>
      <c r="AM259" s="342"/>
      <c r="AN259" s="342"/>
      <c r="AO259" s="342"/>
      <c r="AP259" s="342"/>
      <c r="AQ259" s="342"/>
      <c r="AR259" s="342"/>
      <c r="AS259" s="342"/>
      <c r="AT259" s="342"/>
      <c r="AU259" s="342"/>
      <c r="AV259" s="342"/>
      <c r="AW259" s="342"/>
      <c r="AX259" s="342"/>
      <c r="AY259" s="342"/>
      <c r="AZ259" s="342"/>
      <c r="BA259" s="342"/>
      <c r="BB259" s="342"/>
      <c r="BC259" s="342"/>
      <c r="BD259" s="342"/>
      <c r="BE259" s="342"/>
      <c r="BF259" s="342"/>
      <c r="BG259" s="342"/>
      <c r="BH259" s="342"/>
    </row>
    <row r="260" spans="1:60" ht="15" x14ac:dyDescent="0.25">
      <c r="A260" s="240" t="str">
        <f ca="1">IF(TeamHistory!$BP45="Blank","",TeamHistory!$BP45)</f>
        <v/>
      </c>
      <c r="B260" s="240">
        <f t="shared" ca="1" si="69"/>
        <v>1</v>
      </c>
      <c r="C260" s="240" t="str">
        <f ca="1">IF(Table3[[#This Row],[Games]]="","",TeamHistory!BQ45)</f>
        <v/>
      </c>
      <c r="D260" s="240" t="str">
        <f ca="1">IF(Table3[[#This Row],[Games]]="","",TeamHistory!BS45)</f>
        <v/>
      </c>
      <c r="E260" s="240" t="str">
        <f ca="1">IF(Table3[[#This Row],[Games]]="","",IF(TeamHistory!$BP45="Blank","",IF(TeamHistory!$BK45=1,"W","L")))</f>
        <v/>
      </c>
      <c r="AJ260" s="342"/>
      <c r="AK260" s="342"/>
      <c r="AL260" s="342"/>
      <c r="AM260" s="342"/>
      <c r="AN260" s="342"/>
      <c r="AO260" s="342"/>
      <c r="AP260" s="342"/>
      <c r="AQ260" s="342"/>
      <c r="AR260" s="342"/>
      <c r="AS260" s="342"/>
      <c r="AT260" s="342"/>
      <c r="AU260" s="342"/>
      <c r="AV260" s="342"/>
      <c r="AW260" s="342"/>
      <c r="AX260" s="342"/>
      <c r="AY260" s="342"/>
      <c r="AZ260" s="342"/>
      <c r="BA260" s="342"/>
      <c r="BB260" s="342"/>
      <c r="BC260" s="342"/>
      <c r="BD260" s="342"/>
      <c r="BE260" s="342"/>
      <c r="BF260" s="342"/>
      <c r="BG260" s="342"/>
      <c r="BH260" s="342"/>
    </row>
    <row r="261" spans="1:60" ht="15" x14ac:dyDescent="0.25">
      <c r="A261" s="240" t="str">
        <f ca="1">IF(TeamHistory!$BP46="Blank","",TeamHistory!$BP46)</f>
        <v/>
      </c>
      <c r="B261" s="240">
        <f t="shared" ca="1" si="69"/>
        <v>1</v>
      </c>
      <c r="C261" s="243" t="str">
        <f ca="1">IF(Table3[[#This Row],[Games]]="","",TeamHistory!BQ46)</f>
        <v/>
      </c>
      <c r="D261" s="243" t="str">
        <f ca="1">IF(Table3[[#This Row],[Games]]="","",TeamHistory!BS46)</f>
        <v/>
      </c>
      <c r="E261" s="243" t="str">
        <f ca="1">IF(Table3[[#This Row],[Games]]="","",IF(TeamHistory!$BP46="Blank","",IF(TeamHistory!$BK46=1,"W","L")))</f>
        <v/>
      </c>
      <c r="AJ261" s="342"/>
      <c r="AK261" s="342"/>
      <c r="AL261" s="342"/>
      <c r="AM261" s="342"/>
      <c r="AN261" s="342"/>
      <c r="AO261" s="342"/>
      <c r="AP261" s="342"/>
      <c r="AQ261" s="342"/>
      <c r="AR261" s="342"/>
      <c r="AS261" s="342"/>
      <c r="AT261" s="342"/>
      <c r="AU261" s="342"/>
      <c r="AV261" s="342"/>
      <c r="AW261" s="342"/>
      <c r="AX261" s="342"/>
      <c r="AY261" s="342"/>
      <c r="AZ261" s="342"/>
      <c r="BA261" s="342"/>
      <c r="BB261" s="342"/>
      <c r="BC261" s="342"/>
      <c r="BD261" s="342"/>
      <c r="BE261" s="342"/>
      <c r="BF261" s="342"/>
      <c r="BG261" s="342"/>
      <c r="BH261" s="342"/>
    </row>
    <row r="262" spans="1:60" ht="15" x14ac:dyDescent="0.25">
      <c r="AJ262" s="342"/>
      <c r="AK262" s="342"/>
      <c r="AL262" s="342"/>
      <c r="AM262" s="342"/>
      <c r="AN262" s="342"/>
      <c r="AO262" s="342"/>
      <c r="AP262" s="342"/>
      <c r="AQ262" s="342"/>
      <c r="AR262" s="342"/>
      <c r="AS262" s="342"/>
      <c r="AT262" s="342"/>
      <c r="AU262" s="342"/>
      <c r="AV262" s="342"/>
      <c r="AW262" s="342"/>
      <c r="AX262" s="342"/>
      <c r="AY262" s="342"/>
      <c r="AZ262" s="342"/>
      <c r="BA262" s="342"/>
      <c r="BB262" s="342"/>
      <c r="BC262" s="342"/>
      <c r="BD262" s="342"/>
      <c r="BE262" s="342"/>
      <c r="BF262" s="342"/>
      <c r="BG262" s="342"/>
      <c r="BH262" s="342"/>
    </row>
    <row r="263" spans="1:60" ht="15" x14ac:dyDescent="0.25">
      <c r="AJ263" s="342"/>
      <c r="AK263" s="342"/>
      <c r="AL263" s="342"/>
      <c r="AM263" s="342"/>
      <c r="AN263" s="342"/>
      <c r="AO263" s="342"/>
      <c r="AP263" s="342"/>
      <c r="AQ263" s="342"/>
      <c r="AR263" s="342"/>
      <c r="AS263" s="342"/>
      <c r="AT263" s="342"/>
      <c r="AU263" s="342"/>
      <c r="AV263" s="342"/>
      <c r="AW263" s="342"/>
      <c r="AX263" s="342"/>
      <c r="AY263" s="342"/>
      <c r="AZ263" s="342"/>
      <c r="BA263" s="342"/>
      <c r="BB263" s="342"/>
      <c r="BC263" s="342"/>
      <c r="BD263" s="342"/>
      <c r="BE263" s="342"/>
      <c r="BF263" s="342"/>
      <c r="BG263" s="342"/>
      <c r="BH263" s="342"/>
    </row>
    <row r="264" spans="1:60" ht="15" x14ac:dyDescent="0.25">
      <c r="AJ264" s="342"/>
      <c r="AK264" s="342"/>
      <c r="AL264" s="342"/>
      <c r="AM264" s="342"/>
      <c r="AN264" s="342"/>
      <c r="AO264" s="342"/>
      <c r="AP264" s="342"/>
      <c r="AQ264" s="342"/>
      <c r="AR264" s="342"/>
      <c r="AS264" s="342"/>
      <c r="AT264" s="342"/>
      <c r="AU264" s="342"/>
      <c r="AV264" s="342"/>
      <c r="AW264" s="342"/>
      <c r="AX264" s="342"/>
      <c r="AY264" s="342"/>
      <c r="AZ264" s="342"/>
      <c r="BA264" s="342"/>
      <c r="BB264" s="342"/>
      <c r="BC264" s="342"/>
      <c r="BD264" s="342"/>
      <c r="BE264" s="342"/>
      <c r="BF264" s="342"/>
      <c r="BG264" s="342"/>
      <c r="BH264" s="342"/>
    </row>
    <row r="265" spans="1:60" ht="15" x14ac:dyDescent="0.25">
      <c r="AJ265" s="342"/>
      <c r="AK265" s="342"/>
      <c r="AL265" s="342"/>
      <c r="AM265" s="342"/>
      <c r="AN265" s="342"/>
      <c r="AO265" s="342"/>
      <c r="AP265" s="342"/>
      <c r="AQ265" s="342"/>
      <c r="AR265" s="342"/>
      <c r="AS265" s="342"/>
      <c r="AT265" s="342"/>
      <c r="AU265" s="342"/>
      <c r="AV265" s="342"/>
      <c r="AW265" s="342"/>
      <c r="AX265" s="342"/>
      <c r="AY265" s="342"/>
      <c r="AZ265" s="342"/>
      <c r="BA265" s="342"/>
      <c r="BB265" s="342"/>
      <c r="BC265" s="342"/>
      <c r="BD265" s="342"/>
      <c r="BE265" s="342"/>
      <c r="BF265" s="342"/>
      <c r="BG265" s="342"/>
      <c r="BH265" s="342"/>
    </row>
    <row r="266" spans="1:60" ht="15" x14ac:dyDescent="0.25">
      <c r="AJ266" s="342"/>
      <c r="AK266" s="342"/>
      <c r="AL266" s="342"/>
      <c r="AM266" s="342"/>
      <c r="AN266" s="342"/>
      <c r="AO266" s="342"/>
      <c r="AP266" s="342"/>
      <c r="AQ266" s="342"/>
      <c r="AR266" s="342"/>
      <c r="AS266" s="342"/>
      <c r="AT266" s="342"/>
      <c r="AU266" s="342"/>
      <c r="AV266" s="342"/>
      <c r="AW266" s="342"/>
      <c r="AX266" s="342"/>
      <c r="AY266" s="342"/>
      <c r="AZ266" s="342"/>
      <c r="BA266" s="342"/>
      <c r="BB266" s="342"/>
      <c r="BC266" s="342"/>
      <c r="BD266" s="342"/>
      <c r="BE266" s="342"/>
      <c r="BF266" s="342"/>
      <c r="BG266" s="342"/>
      <c r="BH266" s="342"/>
    </row>
    <row r="267" spans="1:60" ht="15" x14ac:dyDescent="0.25">
      <c r="AJ267" s="342"/>
      <c r="AK267" s="342"/>
      <c r="AL267" s="342"/>
      <c r="AM267" s="342"/>
      <c r="AN267" s="342"/>
      <c r="AO267" s="342"/>
      <c r="AP267" s="342"/>
      <c r="AQ267" s="342"/>
      <c r="AR267" s="342"/>
      <c r="AS267" s="342"/>
      <c r="AT267" s="342"/>
      <c r="AU267" s="342"/>
      <c r="AV267" s="342"/>
      <c r="AW267" s="342"/>
      <c r="AX267" s="342"/>
      <c r="AY267" s="342"/>
      <c r="AZ267" s="342"/>
      <c r="BA267" s="342"/>
      <c r="BB267" s="342"/>
      <c r="BC267" s="342"/>
      <c r="BD267" s="342"/>
      <c r="BE267" s="342"/>
      <c r="BF267" s="342"/>
      <c r="BG267" s="342"/>
      <c r="BH267" s="342"/>
    </row>
    <row r="268" spans="1:60" ht="15" x14ac:dyDescent="0.25">
      <c r="AJ268" s="342"/>
      <c r="AK268" s="342"/>
      <c r="AL268" s="342"/>
      <c r="AM268" s="342"/>
      <c r="AN268" s="342"/>
      <c r="AO268" s="342"/>
      <c r="AP268" s="342"/>
      <c r="AQ268" s="342"/>
      <c r="AR268" s="342"/>
      <c r="AS268" s="342"/>
      <c r="AT268" s="342"/>
      <c r="AU268" s="342"/>
      <c r="AV268" s="342"/>
      <c r="AW268" s="342"/>
      <c r="AX268" s="342"/>
      <c r="AY268" s="342"/>
      <c r="AZ268" s="342"/>
      <c r="BA268" s="342"/>
      <c r="BB268" s="342"/>
      <c r="BC268" s="342"/>
      <c r="BD268" s="342"/>
      <c r="BE268" s="342"/>
      <c r="BF268" s="342"/>
      <c r="BG268" s="342"/>
      <c r="BH268" s="342"/>
    </row>
    <row r="269" spans="1:60" ht="15" x14ac:dyDescent="0.25">
      <c r="AJ269" s="342"/>
      <c r="AK269" s="342"/>
      <c r="AL269" s="342"/>
      <c r="AM269" s="342"/>
      <c r="AN269" s="342"/>
      <c r="AO269" s="342"/>
      <c r="AP269" s="342"/>
      <c r="AQ269" s="342"/>
      <c r="AR269" s="342"/>
      <c r="AS269" s="342"/>
      <c r="AT269" s="342"/>
      <c r="AU269" s="342"/>
      <c r="AV269" s="342"/>
      <c r="AW269" s="342"/>
      <c r="AX269" s="342"/>
      <c r="AY269" s="342"/>
      <c r="AZ269" s="342"/>
      <c r="BA269" s="342"/>
      <c r="BB269" s="342"/>
      <c r="BC269" s="342"/>
      <c r="BD269" s="342"/>
      <c r="BE269" s="342"/>
      <c r="BF269" s="342"/>
      <c r="BG269" s="342"/>
      <c r="BH269" s="342"/>
    </row>
    <row r="270" spans="1:60" ht="15" x14ac:dyDescent="0.25">
      <c r="AJ270" s="342"/>
      <c r="AK270" s="342"/>
      <c r="AL270" s="342"/>
      <c r="AM270" s="342"/>
      <c r="AN270" s="342"/>
      <c r="AO270" s="342"/>
      <c r="AP270" s="342"/>
      <c r="AQ270" s="342"/>
      <c r="AR270" s="342"/>
      <c r="AS270" s="342"/>
      <c r="AT270" s="342"/>
      <c r="AU270" s="342"/>
      <c r="AV270" s="342"/>
      <c r="AW270" s="342"/>
      <c r="AX270" s="342"/>
      <c r="AY270" s="342"/>
      <c r="AZ270" s="342"/>
      <c r="BA270" s="342"/>
      <c r="BB270" s="342"/>
      <c r="BC270" s="342"/>
      <c r="BD270" s="342"/>
      <c r="BE270" s="342"/>
      <c r="BF270" s="342"/>
      <c r="BG270" s="342"/>
      <c r="BH270" s="342"/>
    </row>
    <row r="271" spans="1:60" ht="15" x14ac:dyDescent="0.25">
      <c r="AJ271" s="342"/>
      <c r="AK271" s="342"/>
      <c r="AL271" s="342"/>
      <c r="AM271" s="342"/>
      <c r="AN271" s="342"/>
      <c r="AO271" s="342"/>
      <c r="AP271" s="342"/>
      <c r="AQ271" s="342"/>
      <c r="AR271" s="342"/>
      <c r="AS271" s="342"/>
      <c r="AT271" s="342"/>
      <c r="AU271" s="342"/>
      <c r="AV271" s="342"/>
      <c r="AW271" s="342"/>
      <c r="AX271" s="342"/>
      <c r="AY271" s="342"/>
      <c r="AZ271" s="342"/>
      <c r="BA271" s="342"/>
      <c r="BB271" s="342"/>
      <c r="BC271" s="342"/>
      <c r="BD271" s="342"/>
      <c r="BE271" s="342"/>
      <c r="BF271" s="342"/>
      <c r="BG271" s="342"/>
      <c r="BH271" s="342"/>
    </row>
    <row r="272" spans="1:60" ht="15" x14ac:dyDescent="0.25">
      <c r="AJ272" s="342"/>
      <c r="AK272" s="342"/>
      <c r="AL272" s="342"/>
      <c r="AM272" s="342"/>
      <c r="AN272" s="342"/>
      <c r="AO272" s="342"/>
      <c r="AP272" s="342"/>
      <c r="AQ272" s="342"/>
      <c r="AR272" s="342"/>
      <c r="AS272" s="342"/>
      <c r="AT272" s="342"/>
      <c r="AU272" s="342"/>
      <c r="AV272" s="342"/>
      <c r="AW272" s="342"/>
      <c r="AX272" s="342"/>
      <c r="AY272" s="342"/>
      <c r="AZ272" s="342"/>
      <c r="BA272" s="342"/>
      <c r="BB272" s="342"/>
      <c r="BC272" s="342"/>
      <c r="BD272" s="342"/>
      <c r="BE272" s="342"/>
      <c r="BF272" s="342"/>
      <c r="BG272" s="342"/>
      <c r="BH272" s="342"/>
    </row>
    <row r="273" spans="36:60" ht="15" x14ac:dyDescent="0.25">
      <c r="AJ273" s="342"/>
      <c r="AK273" s="342"/>
      <c r="AL273" s="342"/>
      <c r="AM273" s="342"/>
      <c r="AN273" s="342"/>
      <c r="AO273" s="342"/>
      <c r="AP273" s="342"/>
      <c r="AQ273" s="342"/>
      <c r="AR273" s="342"/>
      <c r="AS273" s="342"/>
      <c r="AT273" s="342"/>
      <c r="AU273" s="342"/>
      <c r="AV273" s="342"/>
      <c r="AW273" s="342"/>
      <c r="AX273" s="342"/>
      <c r="AY273" s="342"/>
      <c r="AZ273" s="342"/>
      <c r="BA273" s="342"/>
      <c r="BB273" s="342"/>
      <c r="BC273" s="342"/>
      <c r="BD273" s="342"/>
      <c r="BE273" s="342"/>
      <c r="BF273" s="342"/>
      <c r="BG273" s="342"/>
      <c r="BH273" s="342"/>
    </row>
    <row r="274" spans="36:60" ht="15" x14ac:dyDescent="0.25">
      <c r="AJ274" s="342"/>
      <c r="AK274" s="342"/>
      <c r="AL274" s="342"/>
      <c r="AM274" s="342"/>
      <c r="AN274" s="342"/>
      <c r="AO274" s="342"/>
      <c r="AP274" s="342"/>
      <c r="AQ274" s="342"/>
      <c r="AR274" s="342"/>
      <c r="AS274" s="342"/>
      <c r="AT274" s="342"/>
      <c r="AU274" s="342"/>
      <c r="AV274" s="342"/>
      <c r="AW274" s="342"/>
      <c r="AX274" s="342"/>
      <c r="AY274" s="342"/>
      <c r="AZ274" s="342"/>
      <c r="BA274" s="342"/>
      <c r="BB274" s="342"/>
      <c r="BC274" s="342"/>
      <c r="BD274" s="342"/>
      <c r="BE274" s="342"/>
      <c r="BF274" s="342"/>
      <c r="BG274" s="342"/>
      <c r="BH274" s="342"/>
    </row>
    <row r="275" spans="36:60" ht="15" x14ac:dyDescent="0.25">
      <c r="AJ275" s="342"/>
      <c r="AK275" s="342"/>
      <c r="AL275" s="342"/>
      <c r="AM275" s="342"/>
      <c r="AN275" s="342"/>
      <c r="AO275" s="342"/>
      <c r="AP275" s="342"/>
      <c r="AQ275" s="342"/>
      <c r="AR275" s="342"/>
      <c r="AS275" s="342"/>
      <c r="AT275" s="342"/>
      <c r="AU275" s="342"/>
      <c r="AV275" s="342"/>
      <c r="AW275" s="342"/>
      <c r="AX275" s="342"/>
      <c r="AY275" s="342"/>
      <c r="AZ275" s="342"/>
      <c r="BA275" s="342"/>
      <c r="BB275" s="342"/>
      <c r="BC275" s="342"/>
      <c r="BD275" s="342"/>
      <c r="BE275" s="342"/>
      <c r="BF275" s="342"/>
      <c r="BG275" s="342"/>
      <c r="BH275" s="342"/>
    </row>
    <row r="276" spans="36:60" ht="15" x14ac:dyDescent="0.25">
      <c r="AJ276" s="342"/>
      <c r="AK276" s="342"/>
      <c r="AL276" s="342"/>
      <c r="AM276" s="342"/>
      <c r="AN276" s="342"/>
      <c r="AO276" s="342"/>
      <c r="AP276" s="342"/>
      <c r="AQ276" s="342"/>
      <c r="AR276" s="342"/>
      <c r="AS276" s="342"/>
      <c r="AT276" s="342"/>
      <c r="AU276" s="342"/>
      <c r="AV276" s="342"/>
      <c r="AW276" s="342"/>
      <c r="AX276" s="342"/>
      <c r="AY276" s="342"/>
      <c r="AZ276" s="342"/>
      <c r="BA276" s="342"/>
      <c r="BB276" s="342"/>
      <c r="BC276" s="342"/>
      <c r="BD276" s="342"/>
      <c r="BE276" s="342"/>
      <c r="BF276" s="342"/>
      <c r="BG276" s="342"/>
      <c r="BH276" s="342"/>
    </row>
    <row r="277" spans="36:60" ht="15" x14ac:dyDescent="0.25">
      <c r="AJ277" s="342"/>
      <c r="AK277" s="342"/>
      <c r="AL277" s="342"/>
      <c r="AM277" s="342"/>
      <c r="AN277" s="342"/>
      <c r="AO277" s="342"/>
      <c r="AP277" s="342"/>
      <c r="AQ277" s="342"/>
      <c r="AR277" s="342"/>
      <c r="AS277" s="342"/>
      <c r="AT277" s="342"/>
      <c r="AU277" s="342"/>
      <c r="AV277" s="342"/>
      <c r="AW277" s="342"/>
      <c r="AX277" s="342"/>
      <c r="AY277" s="342"/>
      <c r="AZ277" s="342"/>
      <c r="BA277" s="342"/>
      <c r="BB277" s="342"/>
      <c r="BC277" s="342"/>
      <c r="BD277" s="342"/>
      <c r="BE277" s="342"/>
      <c r="BF277" s="342"/>
      <c r="BG277" s="342"/>
      <c r="BH277" s="342"/>
    </row>
    <row r="278" spans="36:60" ht="15" x14ac:dyDescent="0.25">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342"/>
    </row>
    <row r="279" spans="36:60" ht="15" x14ac:dyDescent="0.25">
      <c r="AJ279" s="342"/>
      <c r="AK279" s="342"/>
      <c r="AL279" s="342"/>
      <c r="AM279" s="342"/>
      <c r="AN279" s="342"/>
      <c r="AO279" s="342"/>
      <c r="AP279" s="342"/>
      <c r="AQ279" s="342"/>
      <c r="AR279" s="342"/>
      <c r="AS279" s="342"/>
      <c r="AT279" s="342"/>
      <c r="AU279" s="342"/>
      <c r="AV279" s="342"/>
      <c r="AW279" s="342"/>
      <c r="AX279" s="342"/>
      <c r="AY279" s="342"/>
      <c r="AZ279" s="342"/>
      <c r="BA279" s="342"/>
      <c r="BB279" s="342"/>
      <c r="BC279" s="342"/>
      <c r="BD279" s="342"/>
      <c r="BE279" s="342"/>
      <c r="BF279" s="342"/>
      <c r="BG279" s="342"/>
      <c r="BH279" s="342"/>
    </row>
    <row r="280" spans="36:60" ht="15" x14ac:dyDescent="0.25">
      <c r="AJ280" s="342"/>
      <c r="AK280" s="342"/>
      <c r="AL280" s="342"/>
      <c r="AM280" s="342"/>
      <c r="AN280" s="342"/>
      <c r="AO280" s="342"/>
      <c r="AP280" s="342"/>
      <c r="AQ280" s="342"/>
      <c r="AR280" s="342"/>
      <c r="AS280" s="342"/>
      <c r="AT280" s="342"/>
      <c r="AU280" s="342"/>
      <c r="AV280" s="342"/>
      <c r="AW280" s="342"/>
      <c r="AX280" s="342"/>
      <c r="AY280" s="342"/>
      <c r="AZ280" s="342"/>
      <c r="BA280" s="342"/>
      <c r="BB280" s="342"/>
      <c r="BC280" s="342"/>
      <c r="BD280" s="342"/>
      <c r="BE280" s="342"/>
      <c r="BF280" s="342"/>
      <c r="BG280" s="342"/>
      <c r="BH280" s="342"/>
    </row>
    <row r="281" spans="36:60" ht="15" x14ac:dyDescent="0.25">
      <c r="AJ281" s="342"/>
      <c r="AK281" s="342"/>
      <c r="AL281" s="342"/>
      <c r="AM281" s="342"/>
      <c r="AN281" s="342"/>
      <c r="AO281" s="342"/>
      <c r="AP281" s="342"/>
      <c r="AQ281" s="342"/>
      <c r="AR281" s="342"/>
      <c r="AS281" s="342"/>
      <c r="AT281" s="342"/>
      <c r="AU281" s="342"/>
      <c r="AV281" s="342"/>
      <c r="AW281" s="342"/>
      <c r="AX281" s="342"/>
      <c r="AY281" s="342"/>
      <c r="AZ281" s="342"/>
      <c r="BA281" s="342"/>
      <c r="BB281" s="342"/>
      <c r="BC281" s="342"/>
      <c r="BD281" s="342"/>
      <c r="BE281" s="342"/>
      <c r="BF281" s="342"/>
      <c r="BG281" s="342"/>
      <c r="BH281" s="342"/>
    </row>
    <row r="282" spans="36:60" ht="15" x14ac:dyDescent="0.25">
      <c r="AJ282" s="342"/>
      <c r="AK282" s="342"/>
      <c r="AL282" s="342"/>
      <c r="AM282" s="342"/>
      <c r="AN282" s="342"/>
      <c r="AO282" s="342"/>
      <c r="AP282" s="342"/>
      <c r="AQ282" s="342"/>
      <c r="AR282" s="342"/>
      <c r="AS282" s="342"/>
      <c r="AT282" s="342"/>
      <c r="AU282" s="342"/>
      <c r="AV282" s="342"/>
      <c r="AW282" s="342"/>
      <c r="AX282" s="342"/>
      <c r="AY282" s="342"/>
      <c r="AZ282" s="342"/>
      <c r="BA282" s="342"/>
      <c r="BB282" s="342"/>
      <c r="BC282" s="342"/>
      <c r="BD282" s="342"/>
      <c r="BE282" s="342"/>
      <c r="BF282" s="342"/>
      <c r="BG282" s="342"/>
      <c r="BH282" s="342"/>
    </row>
    <row r="283" spans="36:60" ht="15" x14ac:dyDescent="0.25">
      <c r="AJ283" s="342"/>
      <c r="AK283" s="342"/>
      <c r="AL283" s="342"/>
      <c r="AM283" s="342"/>
      <c r="AN283" s="342"/>
      <c r="AO283" s="342"/>
      <c r="AP283" s="342"/>
      <c r="AQ283" s="342"/>
      <c r="AR283" s="342"/>
      <c r="AS283" s="342"/>
      <c r="AT283" s="342"/>
      <c r="AU283" s="342"/>
      <c r="AV283" s="342"/>
      <c r="AW283" s="342"/>
      <c r="AX283" s="342"/>
      <c r="AY283" s="342"/>
      <c r="AZ283" s="342"/>
      <c r="BA283" s="342"/>
      <c r="BB283" s="342"/>
      <c r="BC283" s="342"/>
      <c r="BD283" s="342"/>
      <c r="BE283" s="342"/>
      <c r="BF283" s="342"/>
      <c r="BG283" s="342"/>
      <c r="BH283" s="342"/>
    </row>
    <row r="284" spans="36:60" ht="15" x14ac:dyDescent="0.25">
      <c r="AJ284" s="342"/>
      <c r="AK284" s="342"/>
      <c r="AL284" s="342"/>
      <c r="AM284" s="342"/>
      <c r="AN284" s="342"/>
      <c r="AO284" s="342"/>
      <c r="AP284" s="342"/>
      <c r="AQ284" s="342"/>
      <c r="AR284" s="342"/>
      <c r="AS284" s="342"/>
      <c r="AT284" s="342"/>
      <c r="AU284" s="342"/>
      <c r="AV284" s="342"/>
      <c r="AW284" s="342"/>
      <c r="AX284" s="342"/>
      <c r="AY284" s="342"/>
      <c r="AZ284" s="342"/>
      <c r="BA284" s="342"/>
      <c r="BB284" s="342"/>
      <c r="BC284" s="342"/>
      <c r="BD284" s="342"/>
      <c r="BE284" s="342"/>
      <c r="BF284" s="342"/>
      <c r="BG284" s="342"/>
      <c r="BH284" s="342"/>
    </row>
    <row r="285" spans="36:60" ht="15" x14ac:dyDescent="0.25">
      <c r="AJ285" s="342"/>
      <c r="AK285" s="342"/>
      <c r="AL285" s="342"/>
      <c r="AM285" s="342"/>
      <c r="AN285" s="342"/>
      <c r="AO285" s="342"/>
      <c r="AP285" s="342"/>
      <c r="AQ285" s="342"/>
      <c r="AR285" s="342"/>
      <c r="AS285" s="342"/>
      <c r="AT285" s="342"/>
      <c r="AU285" s="342"/>
      <c r="AV285" s="342"/>
      <c r="AW285" s="342"/>
      <c r="AX285" s="342"/>
      <c r="AY285" s="342"/>
      <c r="AZ285" s="342"/>
      <c r="BA285" s="342"/>
      <c r="BB285" s="342"/>
      <c r="BC285" s="342"/>
      <c r="BD285" s="342"/>
      <c r="BE285" s="342"/>
      <c r="BF285" s="342"/>
      <c r="BG285" s="342"/>
      <c r="BH285" s="342"/>
    </row>
    <row r="286" spans="36:60" ht="15" x14ac:dyDescent="0.25">
      <c r="AJ286" s="342"/>
      <c r="AK286" s="342"/>
      <c r="AL286" s="342"/>
      <c r="AM286" s="342"/>
      <c r="AN286" s="342"/>
      <c r="AO286" s="342"/>
      <c r="AP286" s="342"/>
      <c r="AQ286" s="342"/>
      <c r="AR286" s="342"/>
      <c r="AS286" s="342"/>
      <c r="AT286" s="342"/>
      <c r="AU286" s="342"/>
      <c r="AV286" s="342"/>
      <c r="AW286" s="342"/>
      <c r="AX286" s="342"/>
      <c r="AY286" s="342"/>
      <c r="AZ286" s="342"/>
      <c r="BA286" s="342"/>
      <c r="BB286" s="342"/>
      <c r="BC286" s="342"/>
      <c r="BD286" s="342"/>
      <c r="BE286" s="342"/>
      <c r="BF286" s="342"/>
      <c r="BG286" s="342"/>
      <c r="BH286" s="342"/>
    </row>
    <row r="287" spans="36:60" ht="15" x14ac:dyDescent="0.25">
      <c r="AJ287" s="342"/>
      <c r="AK287" s="342"/>
      <c r="AL287" s="342"/>
      <c r="AM287" s="342"/>
      <c r="AN287" s="342"/>
      <c r="AO287" s="342"/>
      <c r="AP287" s="342"/>
      <c r="AQ287" s="342"/>
      <c r="AR287" s="342"/>
      <c r="AS287" s="342"/>
      <c r="AT287" s="342"/>
      <c r="AU287" s="342"/>
      <c r="AV287" s="342"/>
      <c r="AW287" s="342"/>
      <c r="AX287" s="342"/>
      <c r="AY287" s="342"/>
      <c r="AZ287" s="342"/>
      <c r="BA287" s="342"/>
      <c r="BB287" s="342"/>
      <c r="BC287" s="342"/>
      <c r="BD287" s="342"/>
      <c r="BE287" s="342"/>
      <c r="BF287" s="342"/>
      <c r="BG287" s="342"/>
      <c r="BH287" s="342"/>
    </row>
    <row r="288" spans="36:60" ht="15" x14ac:dyDescent="0.25">
      <c r="AJ288" s="342"/>
      <c r="AK288" s="342"/>
      <c r="AL288" s="342"/>
      <c r="AM288" s="342"/>
      <c r="AN288" s="342"/>
      <c r="AO288" s="342"/>
      <c r="AP288" s="342"/>
      <c r="AQ288" s="342"/>
      <c r="AR288" s="342"/>
      <c r="AS288" s="342"/>
      <c r="AT288" s="342"/>
      <c r="AU288" s="342"/>
      <c r="AV288" s="342"/>
      <c r="AW288" s="342"/>
      <c r="AX288" s="342"/>
      <c r="AY288" s="342"/>
      <c r="AZ288" s="342"/>
      <c r="BA288" s="342"/>
      <c r="BB288" s="342"/>
      <c r="BC288" s="342"/>
      <c r="BD288" s="342"/>
      <c r="BE288" s="342"/>
      <c r="BF288" s="342"/>
      <c r="BG288" s="342"/>
      <c r="BH288" s="342"/>
    </row>
    <row r="289" spans="36:60" ht="15" x14ac:dyDescent="0.25">
      <c r="AJ289" s="342"/>
      <c r="AK289" s="342"/>
      <c r="AL289" s="342"/>
      <c r="AM289" s="342"/>
      <c r="AN289" s="342"/>
      <c r="AO289" s="342"/>
      <c r="AP289" s="342"/>
      <c r="AQ289" s="342"/>
      <c r="AR289" s="342"/>
      <c r="AS289" s="342"/>
      <c r="AT289" s="342"/>
      <c r="AU289" s="342"/>
      <c r="AV289" s="342"/>
      <c r="AW289" s="342"/>
      <c r="AX289" s="342"/>
      <c r="AY289" s="342"/>
      <c r="AZ289" s="342"/>
      <c r="BA289" s="342"/>
      <c r="BB289" s="342"/>
      <c r="BC289" s="342"/>
      <c r="BD289" s="342"/>
      <c r="BE289" s="342"/>
      <c r="BF289" s="342"/>
      <c r="BG289" s="342"/>
      <c r="BH289" s="342"/>
    </row>
    <row r="290" spans="36:60" ht="15" x14ac:dyDescent="0.25">
      <c r="AJ290" s="342"/>
      <c r="AK290" s="342"/>
      <c r="AL290" s="342"/>
      <c r="AM290" s="342"/>
      <c r="AN290" s="342"/>
      <c r="AO290" s="342"/>
      <c r="AP290" s="342"/>
      <c r="AQ290" s="342"/>
      <c r="AR290" s="342"/>
      <c r="AS290" s="342"/>
      <c r="AT290" s="342"/>
      <c r="AU290" s="342"/>
      <c r="AV290" s="342"/>
      <c r="AW290" s="342"/>
      <c r="AX290" s="342"/>
      <c r="AY290" s="342"/>
      <c r="AZ290" s="342"/>
      <c r="BA290" s="342"/>
      <c r="BB290" s="342"/>
      <c r="BC290" s="342"/>
      <c r="BD290" s="342"/>
      <c r="BE290" s="342"/>
      <c r="BF290" s="342"/>
      <c r="BG290" s="342"/>
      <c r="BH290" s="342"/>
    </row>
    <row r="291" spans="36:60" ht="15" x14ac:dyDescent="0.25">
      <c r="AJ291" s="342"/>
      <c r="AK291" s="342"/>
      <c r="AL291" s="342"/>
      <c r="AM291" s="342"/>
      <c r="AN291" s="342"/>
      <c r="AO291" s="342"/>
      <c r="AP291" s="342"/>
      <c r="AQ291" s="342"/>
      <c r="AR291" s="342"/>
      <c r="AS291" s="342"/>
      <c r="AT291" s="342"/>
      <c r="AU291" s="342"/>
      <c r="AV291" s="342"/>
      <c r="AW291" s="342"/>
      <c r="AX291" s="342"/>
      <c r="AY291" s="342"/>
      <c r="AZ291" s="342"/>
      <c r="BA291" s="342"/>
      <c r="BB291" s="342"/>
      <c r="BC291" s="342"/>
      <c r="BD291" s="342"/>
      <c r="BE291" s="342"/>
      <c r="BF291" s="342"/>
      <c r="BG291" s="342"/>
      <c r="BH291" s="342"/>
    </row>
    <row r="292" spans="36:60" ht="15" x14ac:dyDescent="0.25">
      <c r="AJ292" s="342"/>
      <c r="AK292" s="342"/>
      <c r="AL292" s="342"/>
      <c r="AM292" s="342"/>
      <c r="AN292" s="342"/>
      <c r="AO292" s="342"/>
      <c r="AP292" s="342"/>
      <c r="AQ292" s="342"/>
      <c r="AR292" s="342"/>
      <c r="AS292" s="342"/>
      <c r="AT292" s="342"/>
      <c r="AU292" s="342"/>
      <c r="AV292" s="342"/>
      <c r="AW292" s="342"/>
      <c r="AX292" s="342"/>
      <c r="AY292" s="342"/>
      <c r="AZ292" s="342"/>
      <c r="BA292" s="342"/>
      <c r="BB292" s="342"/>
      <c r="BC292" s="342"/>
      <c r="BD292" s="342"/>
      <c r="BE292" s="342"/>
      <c r="BF292" s="342"/>
      <c r="BG292" s="342"/>
      <c r="BH292" s="342"/>
    </row>
    <row r="293" spans="36:60" ht="15" x14ac:dyDescent="0.25">
      <c r="AJ293" s="342"/>
      <c r="AK293" s="342"/>
      <c r="AL293" s="342"/>
      <c r="AM293" s="342"/>
      <c r="AN293" s="342"/>
      <c r="AO293" s="342"/>
      <c r="AP293" s="342"/>
      <c r="AQ293" s="342"/>
      <c r="AR293" s="342"/>
      <c r="AS293" s="342"/>
      <c r="AT293" s="342"/>
      <c r="AU293" s="342"/>
      <c r="AV293" s="342"/>
      <c r="AW293" s="342"/>
      <c r="AX293" s="342"/>
      <c r="AY293" s="342"/>
      <c r="AZ293" s="342"/>
      <c r="BA293" s="342"/>
      <c r="BB293" s="342"/>
      <c r="BC293" s="342"/>
      <c r="BD293" s="342"/>
      <c r="BE293" s="342"/>
      <c r="BF293" s="342"/>
      <c r="BG293" s="342"/>
      <c r="BH293" s="342"/>
    </row>
    <row r="294" spans="36:60" ht="15" x14ac:dyDescent="0.25">
      <c r="AJ294" s="342"/>
      <c r="AK294" s="342"/>
      <c r="AL294" s="342"/>
      <c r="AM294" s="342"/>
      <c r="AN294" s="342"/>
      <c r="AO294" s="342"/>
      <c r="AP294" s="342"/>
      <c r="AQ294" s="342"/>
      <c r="AR294" s="342"/>
      <c r="AS294" s="342"/>
      <c r="AT294" s="342"/>
      <c r="AU294" s="342"/>
      <c r="AV294" s="342"/>
      <c r="AW294" s="342"/>
      <c r="AX294" s="342"/>
      <c r="AY294" s="342"/>
      <c r="AZ294" s="342"/>
      <c r="BA294" s="342"/>
      <c r="BB294" s="342"/>
      <c r="BC294" s="342"/>
      <c r="BD294" s="342"/>
      <c r="BE294" s="342"/>
      <c r="BF294" s="342"/>
      <c r="BG294" s="342"/>
      <c r="BH294" s="342"/>
    </row>
    <row r="295" spans="36:60" ht="15" x14ac:dyDescent="0.25">
      <c r="AJ295" s="342"/>
      <c r="AK295" s="342"/>
      <c r="AL295" s="342"/>
      <c r="AM295" s="342"/>
      <c r="AN295" s="342"/>
      <c r="AO295" s="342"/>
      <c r="AP295" s="342"/>
      <c r="AQ295" s="342"/>
      <c r="AR295" s="342"/>
      <c r="AS295" s="342"/>
      <c r="AT295" s="342"/>
      <c r="AU295" s="342"/>
      <c r="AV295" s="342"/>
      <c r="AW295" s="342"/>
      <c r="AX295" s="342"/>
      <c r="AY295" s="342"/>
      <c r="AZ295" s="342"/>
      <c r="BA295" s="342"/>
      <c r="BB295" s="342"/>
      <c r="BC295" s="342"/>
      <c r="BD295" s="342"/>
      <c r="BE295" s="342"/>
      <c r="BF295" s="342"/>
      <c r="BG295" s="342"/>
      <c r="BH295" s="342"/>
    </row>
    <row r="296" spans="36:60" ht="15" x14ac:dyDescent="0.25">
      <c r="AJ296" s="342"/>
      <c r="AK296" s="342"/>
      <c r="AL296" s="342"/>
      <c r="AM296" s="342"/>
      <c r="AN296" s="342"/>
      <c r="AO296" s="342"/>
      <c r="AP296" s="342"/>
      <c r="AQ296" s="342"/>
      <c r="AR296" s="342"/>
      <c r="AS296" s="342"/>
      <c r="AT296" s="342"/>
      <c r="AU296" s="342"/>
      <c r="AV296" s="342"/>
      <c r="AW296" s="342"/>
      <c r="AX296" s="342"/>
      <c r="AY296" s="342"/>
      <c r="AZ296" s="342"/>
      <c r="BA296" s="342"/>
      <c r="BB296" s="342"/>
      <c r="BC296" s="342"/>
      <c r="BD296" s="342"/>
      <c r="BE296" s="342"/>
      <c r="BF296" s="342"/>
      <c r="BG296" s="342"/>
      <c r="BH296" s="342"/>
    </row>
    <row r="297" spans="36:60" ht="15" x14ac:dyDescent="0.25">
      <c r="AJ297" s="342"/>
      <c r="AK297" s="342"/>
      <c r="AL297" s="342"/>
      <c r="AM297" s="342"/>
      <c r="AN297" s="342"/>
      <c r="AO297" s="342"/>
      <c r="AP297" s="342"/>
      <c r="AQ297" s="342"/>
      <c r="AR297" s="342"/>
      <c r="AS297" s="342"/>
      <c r="AT297" s="342"/>
      <c r="AU297" s="342"/>
      <c r="AV297" s="342"/>
      <c r="AW297" s="342"/>
      <c r="AX297" s="342"/>
      <c r="AY297" s="342"/>
      <c r="AZ297" s="342"/>
      <c r="BA297" s="342"/>
      <c r="BB297" s="342"/>
      <c r="BC297" s="342"/>
      <c r="BD297" s="342"/>
      <c r="BE297" s="342"/>
      <c r="BF297" s="342"/>
      <c r="BG297" s="342"/>
      <c r="BH297" s="342"/>
    </row>
    <row r="298" spans="36:60" ht="15" x14ac:dyDescent="0.25">
      <c r="AJ298" s="342"/>
      <c r="AK298" s="342"/>
      <c r="AL298" s="342"/>
      <c r="AM298" s="342"/>
      <c r="AN298" s="342"/>
      <c r="AO298" s="342"/>
      <c r="AP298" s="342"/>
      <c r="AQ298" s="342"/>
      <c r="AR298" s="342"/>
      <c r="AS298" s="342"/>
      <c r="AT298" s="342"/>
      <c r="AU298" s="342"/>
      <c r="AV298" s="342"/>
      <c r="AW298" s="342"/>
      <c r="AX298" s="342"/>
      <c r="AY298" s="342"/>
      <c r="AZ298" s="342"/>
      <c r="BA298" s="342"/>
      <c r="BB298" s="342"/>
      <c r="BC298" s="342"/>
      <c r="BD298" s="342"/>
      <c r="BE298" s="342"/>
      <c r="BF298" s="342"/>
      <c r="BG298" s="342"/>
      <c r="BH298" s="342"/>
    </row>
    <row r="299" spans="36:60" ht="15" x14ac:dyDescent="0.25">
      <c r="AJ299" s="342"/>
      <c r="AK299" s="342"/>
      <c r="AL299" s="342"/>
      <c r="AM299" s="342"/>
      <c r="AN299" s="342"/>
      <c r="AO299" s="342"/>
      <c r="AP299" s="342"/>
      <c r="AQ299" s="342"/>
      <c r="AR299" s="342"/>
      <c r="AS299" s="342"/>
      <c r="AT299" s="342"/>
      <c r="AU299" s="342"/>
      <c r="AV299" s="342"/>
      <c r="AW299" s="342"/>
      <c r="AX299" s="342"/>
      <c r="AY299" s="342"/>
      <c r="AZ299" s="342"/>
      <c r="BA299" s="342"/>
      <c r="BB299" s="342"/>
      <c r="BC299" s="342"/>
      <c r="BD299" s="342"/>
      <c r="BE299" s="342"/>
      <c r="BF299" s="342"/>
      <c r="BG299" s="342"/>
      <c r="BH299" s="342"/>
    </row>
    <row r="300" spans="36:60" ht="15" x14ac:dyDescent="0.25">
      <c r="AJ300" s="342"/>
      <c r="AK300" s="342"/>
      <c r="AL300" s="342"/>
      <c r="AM300" s="342"/>
      <c r="AN300" s="342"/>
      <c r="AO300" s="342"/>
      <c r="AP300" s="342"/>
      <c r="AQ300" s="342"/>
      <c r="AR300" s="342"/>
      <c r="AS300" s="342"/>
      <c r="AT300" s="342"/>
      <c r="AU300" s="342"/>
      <c r="AV300" s="342"/>
      <c r="AW300" s="342"/>
      <c r="AX300" s="342"/>
      <c r="AY300" s="342"/>
      <c r="AZ300" s="342"/>
      <c r="BA300" s="342"/>
      <c r="BB300" s="342"/>
      <c r="BC300" s="342"/>
      <c r="BD300" s="342"/>
      <c r="BE300" s="342"/>
      <c r="BF300" s="342"/>
      <c r="BG300" s="342"/>
      <c r="BH300" s="342"/>
    </row>
    <row r="301" spans="36:60" ht="15" x14ac:dyDescent="0.25">
      <c r="AJ301" s="342"/>
      <c r="AK301" s="342"/>
      <c r="AL301" s="342"/>
      <c r="AM301" s="342"/>
      <c r="AN301" s="342"/>
      <c r="AO301" s="342"/>
      <c r="AP301" s="342"/>
      <c r="AQ301" s="342"/>
      <c r="AR301" s="342"/>
      <c r="AS301" s="342"/>
      <c r="AT301" s="342"/>
      <c r="AU301" s="342"/>
      <c r="AV301" s="342"/>
      <c r="AW301" s="342"/>
      <c r="AX301" s="342"/>
      <c r="AY301" s="342"/>
      <c r="AZ301" s="342"/>
      <c r="BA301" s="342"/>
      <c r="BB301" s="342"/>
      <c r="BC301" s="342"/>
      <c r="BD301" s="342"/>
      <c r="BE301" s="342"/>
      <c r="BF301" s="342"/>
      <c r="BG301" s="342"/>
      <c r="BH301" s="342"/>
    </row>
    <row r="302" spans="36:60" ht="15" x14ac:dyDescent="0.25">
      <c r="AJ302" s="342"/>
      <c r="AK302" s="342"/>
      <c r="AL302" s="342"/>
      <c r="AM302" s="342"/>
      <c r="AN302" s="342"/>
      <c r="AO302" s="342"/>
      <c r="AP302" s="342"/>
      <c r="AQ302" s="342"/>
      <c r="AR302" s="342"/>
      <c r="AS302" s="342"/>
      <c r="AT302" s="342"/>
      <c r="AU302" s="342"/>
      <c r="AV302" s="342"/>
      <c r="AW302" s="342"/>
      <c r="AX302" s="342"/>
      <c r="AY302" s="342"/>
      <c r="AZ302" s="342"/>
      <c r="BA302" s="342"/>
      <c r="BB302" s="342"/>
      <c r="BC302" s="342"/>
      <c r="BD302" s="342"/>
      <c r="BE302" s="342"/>
      <c r="BF302" s="342"/>
      <c r="BG302" s="342"/>
      <c r="BH302" s="342"/>
    </row>
    <row r="303" spans="36:60" ht="15" x14ac:dyDescent="0.25">
      <c r="AJ303" s="342"/>
      <c r="AK303" s="342"/>
      <c r="AL303" s="342"/>
      <c r="AM303" s="342"/>
      <c r="AN303" s="342"/>
      <c r="AO303" s="342"/>
      <c r="AP303" s="342"/>
      <c r="AQ303" s="342"/>
      <c r="AR303" s="342"/>
      <c r="AS303" s="342"/>
      <c r="AT303" s="342"/>
      <c r="AU303" s="342"/>
      <c r="AV303" s="342"/>
      <c r="AW303" s="342"/>
      <c r="AX303" s="342"/>
      <c r="AY303" s="342"/>
      <c r="AZ303" s="342"/>
      <c r="BA303" s="342"/>
      <c r="BB303" s="342"/>
      <c r="BC303" s="342"/>
      <c r="BD303" s="342"/>
      <c r="BE303" s="342"/>
      <c r="BF303" s="342"/>
      <c r="BG303" s="342"/>
      <c r="BH303" s="342"/>
    </row>
    <row r="304" spans="36:60" ht="15" x14ac:dyDescent="0.25">
      <c r="AJ304" s="342"/>
      <c r="AK304" s="342"/>
      <c r="AL304" s="342"/>
      <c r="AM304" s="342"/>
      <c r="AN304" s="342"/>
      <c r="AO304" s="342"/>
      <c r="AP304" s="342"/>
      <c r="AQ304" s="342"/>
      <c r="AR304" s="342"/>
      <c r="AS304" s="342"/>
      <c r="AT304" s="342"/>
      <c r="AU304" s="342"/>
      <c r="AV304" s="342"/>
      <c r="AW304" s="342"/>
      <c r="AX304" s="342"/>
      <c r="AY304" s="342"/>
      <c r="AZ304" s="342"/>
      <c r="BA304" s="342"/>
      <c r="BB304" s="342"/>
      <c r="BC304" s="342"/>
      <c r="BD304" s="342"/>
      <c r="BE304" s="342"/>
      <c r="BF304" s="342"/>
      <c r="BG304" s="342"/>
      <c r="BH304" s="342"/>
    </row>
    <row r="305" spans="36:60" ht="15" x14ac:dyDescent="0.25">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342"/>
    </row>
    <row r="306" spans="36:60" ht="15" x14ac:dyDescent="0.25">
      <c r="AJ306" s="342"/>
      <c r="AK306" s="342"/>
      <c r="AL306" s="342"/>
      <c r="AM306" s="342"/>
      <c r="AN306" s="342"/>
      <c r="AO306" s="342"/>
      <c r="AP306" s="342"/>
      <c r="AQ306" s="342"/>
      <c r="AR306" s="342"/>
      <c r="AS306" s="342"/>
      <c r="AT306" s="342"/>
      <c r="AU306" s="342"/>
      <c r="AV306" s="342"/>
      <c r="AW306" s="342"/>
      <c r="AX306" s="342"/>
      <c r="AY306" s="342"/>
      <c r="AZ306" s="342"/>
      <c r="BA306" s="342"/>
      <c r="BB306" s="342"/>
      <c r="BC306" s="342"/>
      <c r="BD306" s="342"/>
      <c r="BE306" s="342"/>
      <c r="BF306" s="342"/>
      <c r="BG306" s="342"/>
      <c r="BH306" s="342"/>
    </row>
    <row r="307" spans="36:60" ht="15" x14ac:dyDescent="0.25">
      <c r="AJ307" s="342"/>
      <c r="AK307" s="342"/>
      <c r="AL307" s="342"/>
      <c r="AM307" s="342"/>
      <c r="AN307" s="342"/>
      <c r="AO307" s="342"/>
      <c r="AP307" s="342"/>
      <c r="AQ307" s="342"/>
      <c r="AR307" s="342"/>
      <c r="AS307" s="342"/>
      <c r="AT307" s="342"/>
      <c r="AU307" s="342"/>
      <c r="AV307" s="342"/>
      <c r="AW307" s="342"/>
      <c r="AX307" s="342"/>
      <c r="AY307" s="342"/>
      <c r="AZ307" s="342"/>
      <c r="BA307" s="342"/>
      <c r="BB307" s="342"/>
      <c r="BC307" s="342"/>
      <c r="BD307" s="342"/>
      <c r="BE307" s="342"/>
      <c r="BF307" s="342"/>
      <c r="BG307" s="342"/>
      <c r="BH307" s="342"/>
    </row>
    <row r="308" spans="36:60" ht="15" x14ac:dyDescent="0.25">
      <c r="AJ308" s="342"/>
      <c r="AK308" s="342"/>
      <c r="AL308" s="342"/>
      <c r="AM308" s="342"/>
      <c r="AN308" s="342"/>
      <c r="AO308" s="342"/>
      <c r="AP308" s="342"/>
      <c r="AQ308" s="342"/>
      <c r="AR308" s="342"/>
      <c r="AS308" s="342"/>
      <c r="AT308" s="342"/>
      <c r="AU308" s="342"/>
      <c r="AV308" s="342"/>
      <c r="AW308" s="342"/>
      <c r="AX308" s="342"/>
      <c r="AY308" s="342"/>
      <c r="AZ308" s="342"/>
      <c r="BA308" s="342"/>
      <c r="BB308" s="342"/>
      <c r="BC308" s="342"/>
      <c r="BD308" s="342"/>
      <c r="BE308" s="342"/>
      <c r="BF308" s="342"/>
      <c r="BG308" s="342"/>
      <c r="BH308" s="342"/>
    </row>
    <row r="309" spans="36:60" ht="15" x14ac:dyDescent="0.25">
      <c r="AJ309" s="342"/>
      <c r="AK309" s="342"/>
      <c r="AL309" s="342"/>
      <c r="AM309" s="342"/>
      <c r="AN309" s="342"/>
      <c r="AO309" s="342"/>
      <c r="AP309" s="342"/>
      <c r="AQ309" s="342"/>
      <c r="AR309" s="342"/>
      <c r="AS309" s="342"/>
      <c r="AT309" s="342"/>
      <c r="AU309" s="342"/>
      <c r="AV309" s="342"/>
      <c r="AW309" s="342"/>
      <c r="AX309" s="342"/>
      <c r="AY309" s="342"/>
      <c r="AZ309" s="342"/>
      <c r="BA309" s="342"/>
      <c r="BB309" s="342"/>
      <c r="BC309" s="342"/>
      <c r="BD309" s="342"/>
      <c r="BE309" s="342"/>
      <c r="BF309" s="342"/>
      <c r="BG309" s="342"/>
      <c r="BH309" s="342"/>
    </row>
    <row r="310" spans="36:60" ht="15" x14ac:dyDescent="0.25">
      <c r="AJ310" s="342"/>
      <c r="AK310" s="342"/>
      <c r="AL310" s="342"/>
      <c r="AM310" s="342"/>
      <c r="AN310" s="342"/>
      <c r="AO310" s="342"/>
      <c r="AP310" s="342"/>
      <c r="AQ310" s="342"/>
      <c r="AR310" s="342"/>
      <c r="AS310" s="342"/>
      <c r="AT310" s="342"/>
      <c r="AU310" s="342"/>
      <c r="AV310" s="342"/>
      <c r="AW310" s="342"/>
      <c r="AX310" s="342"/>
      <c r="AY310" s="342"/>
      <c r="AZ310" s="342"/>
      <c r="BA310" s="342"/>
      <c r="BB310" s="342"/>
      <c r="BC310" s="342"/>
      <c r="BD310" s="342"/>
      <c r="BE310" s="342"/>
      <c r="BF310" s="342"/>
      <c r="BG310" s="342"/>
      <c r="BH310" s="342"/>
    </row>
    <row r="311" spans="36:60" ht="15" x14ac:dyDescent="0.25">
      <c r="AJ311" s="342"/>
      <c r="AK311" s="342"/>
      <c r="AL311" s="342"/>
      <c r="AM311" s="342"/>
      <c r="AN311" s="342"/>
      <c r="AO311" s="342"/>
      <c r="AP311" s="342"/>
      <c r="AQ311" s="342"/>
      <c r="AR311" s="342"/>
      <c r="AS311" s="342"/>
      <c r="AT311" s="342"/>
      <c r="AU311" s="342"/>
      <c r="AV311" s="342"/>
      <c r="AW311" s="342"/>
      <c r="AX311" s="342"/>
      <c r="AY311" s="342"/>
      <c r="AZ311" s="342"/>
      <c r="BA311" s="342"/>
      <c r="BB311" s="342"/>
      <c r="BC311" s="342"/>
      <c r="BD311" s="342"/>
      <c r="BE311" s="342"/>
      <c r="BF311" s="342"/>
      <c r="BG311" s="342"/>
      <c r="BH311" s="342"/>
    </row>
    <row r="312" spans="36:60" ht="15" x14ac:dyDescent="0.25">
      <c r="AJ312" s="342"/>
      <c r="AK312" s="342"/>
      <c r="AL312" s="342"/>
      <c r="AM312" s="342"/>
      <c r="AN312" s="342"/>
      <c r="AO312" s="342"/>
      <c r="AP312" s="342"/>
      <c r="AQ312" s="342"/>
      <c r="AR312" s="342"/>
      <c r="AS312" s="342"/>
      <c r="AT312" s="342"/>
      <c r="AU312" s="342"/>
      <c r="AV312" s="342"/>
      <c r="AW312" s="342"/>
      <c r="AX312" s="342"/>
      <c r="AY312" s="342"/>
      <c r="AZ312" s="342"/>
      <c r="BA312" s="342"/>
      <c r="BB312" s="342"/>
      <c r="BC312" s="342"/>
      <c r="BD312" s="342"/>
      <c r="BE312" s="342"/>
      <c r="BF312" s="342"/>
      <c r="BG312" s="342"/>
      <c r="BH312" s="342"/>
    </row>
    <row r="313" spans="36:60" ht="15" x14ac:dyDescent="0.25">
      <c r="AJ313" s="342"/>
      <c r="AK313" s="342"/>
      <c r="AL313" s="342"/>
      <c r="AM313" s="342"/>
      <c r="AN313" s="342"/>
      <c r="AO313" s="342"/>
      <c r="AP313" s="342"/>
      <c r="AQ313" s="342"/>
      <c r="AR313" s="342"/>
      <c r="AS313" s="342"/>
      <c r="AT313" s="342"/>
      <c r="AU313" s="342"/>
      <c r="AV313" s="342"/>
      <c r="AW313" s="342"/>
      <c r="AX313" s="342"/>
      <c r="AY313" s="342"/>
      <c r="AZ313" s="342"/>
      <c r="BA313" s="342"/>
      <c r="BB313" s="342"/>
      <c r="BC313" s="342"/>
      <c r="BD313" s="342"/>
      <c r="BE313" s="342"/>
      <c r="BF313" s="342"/>
      <c r="BG313" s="342"/>
      <c r="BH313" s="342"/>
    </row>
    <row r="314" spans="36:60" ht="15" x14ac:dyDescent="0.25">
      <c r="AJ314" s="342"/>
      <c r="AK314" s="342"/>
      <c r="AL314" s="342"/>
      <c r="AM314" s="342"/>
      <c r="AN314" s="342"/>
      <c r="AO314" s="342"/>
      <c r="AP314" s="342"/>
      <c r="AQ314" s="342"/>
      <c r="AR314" s="342"/>
      <c r="AS314" s="342"/>
      <c r="AT314" s="342"/>
      <c r="AU314" s="342"/>
      <c r="AV314" s="342"/>
      <c r="AW314" s="342"/>
      <c r="AX314" s="342"/>
      <c r="AY314" s="342"/>
      <c r="AZ314" s="342"/>
      <c r="BA314" s="342"/>
      <c r="BB314" s="342"/>
      <c r="BC314" s="342"/>
      <c r="BD314" s="342"/>
      <c r="BE314" s="342"/>
      <c r="BF314" s="342"/>
      <c r="BG314" s="342"/>
      <c r="BH314" s="342"/>
    </row>
    <row r="315" spans="36:60" ht="15" x14ac:dyDescent="0.25">
      <c r="AJ315" s="342"/>
      <c r="AK315" s="342"/>
      <c r="AL315" s="342"/>
      <c r="AM315" s="342"/>
      <c r="AN315" s="342"/>
      <c r="AO315" s="342"/>
      <c r="AP315" s="342"/>
      <c r="AQ315" s="342"/>
      <c r="AR315" s="342"/>
      <c r="AS315" s="342"/>
      <c r="AT315" s="342"/>
      <c r="AU315" s="342"/>
      <c r="AV315" s="342"/>
      <c r="AW315" s="342"/>
      <c r="AX315" s="342"/>
      <c r="AY315" s="342"/>
      <c r="AZ315" s="342"/>
      <c r="BA315" s="342"/>
      <c r="BB315" s="342"/>
      <c r="BC315" s="342"/>
      <c r="BD315" s="342"/>
      <c r="BE315" s="342"/>
      <c r="BF315" s="342"/>
      <c r="BG315" s="342"/>
      <c r="BH315" s="342"/>
    </row>
    <row r="316" spans="36:60" ht="15" x14ac:dyDescent="0.25">
      <c r="AJ316" s="342"/>
      <c r="AK316" s="342"/>
      <c r="AL316" s="342"/>
      <c r="AM316" s="342"/>
      <c r="AN316" s="342"/>
      <c r="AO316" s="342"/>
      <c r="AP316" s="342"/>
      <c r="AQ316" s="342"/>
      <c r="AR316" s="342"/>
      <c r="AS316" s="342"/>
      <c r="AT316" s="342"/>
      <c r="AU316" s="342"/>
      <c r="AV316" s="342"/>
      <c r="AW316" s="342"/>
      <c r="AX316" s="342"/>
      <c r="AY316" s="342"/>
      <c r="AZ316" s="342"/>
      <c r="BA316" s="342"/>
      <c r="BB316" s="342"/>
      <c r="BC316" s="342"/>
      <c r="BD316" s="342"/>
      <c r="BE316" s="342"/>
      <c r="BF316" s="342"/>
      <c r="BG316" s="342"/>
      <c r="BH316" s="342"/>
    </row>
    <row r="317" spans="36:60" ht="15" x14ac:dyDescent="0.25">
      <c r="AJ317" s="342"/>
      <c r="AK317" s="342"/>
      <c r="AL317" s="342"/>
      <c r="AM317" s="342"/>
      <c r="AN317" s="342"/>
      <c r="AO317" s="342"/>
      <c r="AP317" s="342"/>
      <c r="AQ317" s="342"/>
      <c r="AR317" s="342"/>
      <c r="AS317" s="342"/>
      <c r="AT317" s="342"/>
      <c r="AU317" s="342"/>
      <c r="AV317" s="342"/>
      <c r="AW317" s="342"/>
      <c r="AX317" s="342"/>
      <c r="AY317" s="342"/>
      <c r="AZ317" s="342"/>
      <c r="BA317" s="342"/>
      <c r="BB317" s="342"/>
      <c r="BC317" s="342"/>
      <c r="BD317" s="342"/>
      <c r="BE317" s="342"/>
      <c r="BF317" s="342"/>
      <c r="BG317" s="342"/>
      <c r="BH317" s="342"/>
    </row>
    <row r="318" spans="36:60" ht="15" x14ac:dyDescent="0.25">
      <c r="AJ318" s="342"/>
      <c r="AK318" s="342"/>
      <c r="AL318" s="342"/>
      <c r="AM318" s="342"/>
      <c r="AN318" s="342"/>
      <c r="AO318" s="342"/>
      <c r="AP318" s="342"/>
      <c r="AQ318" s="342"/>
      <c r="AR318" s="342"/>
      <c r="AS318" s="342"/>
      <c r="AT318" s="342"/>
      <c r="AU318" s="342"/>
      <c r="AV318" s="342"/>
      <c r="AW318" s="342"/>
      <c r="AX318" s="342"/>
      <c r="AY318" s="342"/>
      <c r="AZ318" s="342"/>
      <c r="BA318" s="342"/>
      <c r="BB318" s="342"/>
      <c r="BC318" s="342"/>
      <c r="BD318" s="342"/>
      <c r="BE318" s="342"/>
      <c r="BF318" s="342"/>
      <c r="BG318" s="342"/>
      <c r="BH318" s="342"/>
    </row>
    <row r="319" spans="36:60" ht="15" x14ac:dyDescent="0.25">
      <c r="AJ319" s="342"/>
      <c r="AK319" s="342"/>
      <c r="AL319" s="342"/>
      <c r="AM319" s="342"/>
      <c r="AN319" s="342"/>
      <c r="AO319" s="342"/>
      <c r="AP319" s="342"/>
      <c r="AQ319" s="342"/>
      <c r="AR319" s="342"/>
      <c r="AS319" s="342"/>
      <c r="AT319" s="342"/>
      <c r="AU319" s="342"/>
      <c r="AV319" s="342"/>
      <c r="AW319" s="342"/>
      <c r="AX319" s="342"/>
      <c r="AY319" s="342"/>
      <c r="AZ319" s="342"/>
      <c r="BA319" s="342"/>
      <c r="BB319" s="342"/>
      <c r="BC319" s="342"/>
      <c r="BD319" s="342"/>
      <c r="BE319" s="342"/>
      <c r="BF319" s="342"/>
      <c r="BG319" s="342"/>
      <c r="BH319" s="342"/>
    </row>
    <row r="320" spans="36:60" ht="15" x14ac:dyDescent="0.25">
      <c r="AJ320" s="342"/>
      <c r="AK320" s="342"/>
      <c r="AL320" s="342"/>
      <c r="AM320" s="342"/>
      <c r="AN320" s="342"/>
      <c r="AO320" s="342"/>
      <c r="AP320" s="342"/>
      <c r="AQ320" s="342"/>
      <c r="AR320" s="342"/>
      <c r="AS320" s="342"/>
      <c r="AT320" s="342"/>
      <c r="AU320" s="342"/>
      <c r="AV320" s="342"/>
      <c r="AW320" s="342"/>
      <c r="AX320" s="342"/>
      <c r="AY320" s="342"/>
      <c r="AZ320" s="342"/>
      <c r="BA320" s="342"/>
      <c r="BB320" s="342"/>
      <c r="BC320" s="342"/>
      <c r="BD320" s="342"/>
      <c r="BE320" s="342"/>
      <c r="BF320" s="342"/>
      <c r="BG320" s="342"/>
      <c r="BH320" s="342"/>
    </row>
    <row r="321" spans="36:60" ht="15" x14ac:dyDescent="0.25">
      <c r="AJ321" s="342"/>
      <c r="AK321" s="342"/>
      <c r="AL321" s="342"/>
      <c r="AM321" s="342"/>
      <c r="AN321" s="342"/>
      <c r="AO321" s="342"/>
      <c r="AP321" s="342"/>
      <c r="AQ321" s="342"/>
      <c r="AR321" s="342"/>
      <c r="AS321" s="342"/>
      <c r="AT321" s="342"/>
      <c r="AU321" s="342"/>
      <c r="AV321" s="342"/>
      <c r="AW321" s="342"/>
      <c r="AX321" s="342"/>
      <c r="AY321" s="342"/>
      <c r="AZ321" s="342"/>
      <c r="BA321" s="342"/>
      <c r="BB321" s="342"/>
      <c r="BC321" s="342"/>
      <c r="BD321" s="342"/>
      <c r="BE321" s="342"/>
      <c r="BF321" s="342"/>
      <c r="BG321" s="342"/>
      <c r="BH321" s="342"/>
    </row>
    <row r="322" spans="36:60" ht="15" x14ac:dyDescent="0.25">
      <c r="AJ322" s="342"/>
      <c r="AK322" s="342"/>
      <c r="AL322" s="342"/>
      <c r="AM322" s="342"/>
      <c r="AN322" s="342"/>
      <c r="AO322" s="342"/>
      <c r="AP322" s="342"/>
      <c r="AQ322" s="342"/>
      <c r="AR322" s="342"/>
      <c r="AS322" s="342"/>
      <c r="AT322" s="342"/>
      <c r="AU322" s="342"/>
      <c r="AV322" s="342"/>
      <c r="AW322" s="342"/>
      <c r="AX322" s="342"/>
      <c r="AY322" s="342"/>
      <c r="AZ322" s="342"/>
      <c r="BA322" s="342"/>
      <c r="BB322" s="342"/>
      <c r="BC322" s="342"/>
      <c r="BD322" s="342"/>
      <c r="BE322" s="342"/>
      <c r="BF322" s="342"/>
      <c r="BG322" s="342"/>
      <c r="BH322" s="342"/>
    </row>
    <row r="323" spans="36:60" ht="15" x14ac:dyDescent="0.25">
      <c r="AJ323" s="342"/>
      <c r="AK323" s="342"/>
      <c r="AL323" s="342"/>
      <c r="AM323" s="342"/>
      <c r="AN323" s="342"/>
      <c r="AO323" s="342"/>
      <c r="AP323" s="342"/>
      <c r="AQ323" s="342"/>
      <c r="AR323" s="342"/>
      <c r="AS323" s="342"/>
      <c r="AT323" s="342"/>
      <c r="AU323" s="342"/>
      <c r="AV323" s="342"/>
      <c r="AW323" s="342"/>
      <c r="AX323" s="342"/>
      <c r="AY323" s="342"/>
      <c r="AZ323" s="342"/>
      <c r="BA323" s="342"/>
      <c r="BB323" s="342"/>
      <c r="BC323" s="342"/>
      <c r="BD323" s="342"/>
      <c r="BE323" s="342"/>
      <c r="BF323" s="342"/>
      <c r="BG323" s="342"/>
      <c r="BH323" s="342"/>
    </row>
  </sheetData>
  <sheetProtection autoFilter="0" pivotTables="0"/>
  <mergeCells count="4">
    <mergeCell ref="F56:L56"/>
    <mergeCell ref="N56:T56"/>
    <mergeCell ref="F61:L61"/>
    <mergeCell ref="N61:T61"/>
  </mergeCells>
  <conditionalFormatting sqref="A57:A59">
    <cfRule type="expression" dxfId="1224" priority="23">
      <formula>D57&lt;1</formula>
    </cfRule>
  </conditionalFormatting>
  <conditionalFormatting sqref="B57:B59">
    <cfRule type="expression" dxfId="1223" priority="22">
      <formula>E57&lt;1</formula>
    </cfRule>
  </conditionalFormatting>
  <conditionalFormatting sqref="C57:C59">
    <cfRule type="expression" dxfId="1222" priority="21">
      <formula>F57&lt;1</formula>
    </cfRule>
  </conditionalFormatting>
  <conditionalFormatting sqref="A62:A64">
    <cfRule type="expression" dxfId="1221" priority="20">
      <formula>D62&lt;1</formula>
    </cfRule>
  </conditionalFormatting>
  <conditionalFormatting sqref="B62:B64">
    <cfRule type="expression" dxfId="1220" priority="19">
      <formula>E62&lt;1</formula>
    </cfRule>
  </conditionalFormatting>
  <conditionalFormatting sqref="C62:C64">
    <cfRule type="expression" dxfId="1219" priority="18">
      <formula>F62&lt;1</formula>
    </cfRule>
  </conditionalFormatting>
  <conditionalFormatting sqref="T62:T64">
    <cfRule type="cellIs" dxfId="1218" priority="17" operator="equal">
      <formula>-2</formula>
    </cfRule>
  </conditionalFormatting>
  <conditionalFormatting sqref="F57:F59">
    <cfRule type="expression" dxfId="1217" priority="16">
      <formula>L57&lt;1</formula>
    </cfRule>
  </conditionalFormatting>
  <conditionalFormatting sqref="F62:F64">
    <cfRule type="expression" dxfId="1216" priority="15">
      <formula>L62&lt;1</formula>
    </cfRule>
  </conditionalFormatting>
  <conditionalFormatting sqref="N57:N59">
    <cfRule type="expression" dxfId="1215" priority="14">
      <formula>T57&lt;1</formula>
    </cfRule>
  </conditionalFormatting>
  <conditionalFormatting sqref="N62:N64">
    <cfRule type="expression" dxfId="1214" priority="12">
      <formula>T62&lt;0.001</formula>
    </cfRule>
  </conditionalFormatting>
  <pageMargins left="0.45" right="0.45" top="0.5" bottom="0.5" header="0.3" footer="0.3"/>
  <pageSetup scale="83" fitToHeight="0" orientation="landscape" r:id="rId1"/>
  <rowBreaks count="1" manualBreakCount="1">
    <brk id="38" max="24" man="1"/>
  </rowBreaks>
  <ignoredErrors>
    <ignoredError sqref="BU53:BX54" evalError="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AJ37"/>
  <sheetViews>
    <sheetView showZeros="0" zoomScale="80" zoomScaleNormal="80" workbookViewId="0">
      <pane xSplit="2" ySplit="6" topLeftCell="C7" activePane="bottomRight" state="frozen"/>
      <selection activeCell="C7" sqref="C7"/>
      <selection pane="topRight" activeCell="C7" sqref="C7"/>
      <selection pane="bottomLeft" activeCell="C7" sqref="C7"/>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182" priority="29">
      <formula>AND($H$4&gt;0,$H$4&lt;&gt;$T$31)</formula>
    </cfRule>
  </conditionalFormatting>
  <conditionalFormatting sqref="T32 H3">
    <cfRule type="expression" dxfId="181" priority="28">
      <formula>AND($H$3&gt;0,$H$3&lt;&gt;$T$32)</formula>
    </cfRule>
  </conditionalFormatting>
  <conditionalFormatting sqref="A2">
    <cfRule type="cellIs" dxfId="180" priority="27" operator="equal">
      <formula>"R"</formula>
    </cfRule>
  </conditionalFormatting>
  <conditionalFormatting sqref="F7:F30 H7:H30 J7:J30">
    <cfRule type="expression" dxfId="179" priority="26">
      <formula>F7&gt;G7</formula>
    </cfRule>
  </conditionalFormatting>
  <conditionalFormatting sqref="E7:E30">
    <cfRule type="expression" dxfId="178" priority="25">
      <formula>$E7&gt;$E$31</formula>
    </cfRule>
  </conditionalFormatting>
  <conditionalFormatting sqref="L6">
    <cfRule type="expression" dxfId="177" priority="24">
      <formula>OR($L$31&gt;($G$31+$I$31+$K$31-$F$31-$H$31-$J$31),L32&gt;(G31+I31+K31-F31-H31-J31))</formula>
    </cfRule>
  </conditionalFormatting>
  <conditionalFormatting sqref="M6">
    <cfRule type="expression" dxfId="176" priority="23">
      <formula>OR(M31&gt;(G32-F32+I32-H32+K32-J32),M32&gt;(G31-F31+I31-H31+K31-J31))</formula>
    </cfRule>
  </conditionalFormatting>
  <conditionalFormatting sqref="N6">
    <cfRule type="expression" dxfId="175" priority="22">
      <formula>OR($N$31&gt;($F$31+$H$31),$N$32&gt;($F$32+$H$32))</formula>
    </cfRule>
  </conditionalFormatting>
  <conditionalFormatting sqref="P6">
    <cfRule type="expression" dxfId="174" priority="21">
      <formula>OR($P$31&gt;(G32-F32+I32-H32),P32&gt;(G31-F31+I31-H31))</formula>
    </cfRule>
  </conditionalFormatting>
  <conditionalFormatting sqref="Q6">
    <cfRule type="expression" dxfId="173" priority="20">
      <formula>OR($Q$31&lt;$O$32,$Q$32&lt;$O$31)</formula>
    </cfRule>
  </conditionalFormatting>
  <conditionalFormatting sqref="L31:L32">
    <cfRule type="cellIs" dxfId="172" priority="19" operator="greaterThan">
      <formula>$G31+$I31+$K31-$F31-$H31-$J31</formula>
    </cfRule>
  </conditionalFormatting>
  <conditionalFormatting sqref="M32">
    <cfRule type="cellIs" dxfId="171" priority="18" operator="greaterThan">
      <formula>$G$31-$F$31+$I$31-$H$31+$K$31-$J$31</formula>
    </cfRule>
  </conditionalFormatting>
  <conditionalFormatting sqref="N31:N32">
    <cfRule type="cellIs" dxfId="170" priority="17" operator="greaterThan">
      <formula>$F31+$H31</formula>
    </cfRule>
  </conditionalFormatting>
  <conditionalFormatting sqref="O32">
    <cfRule type="cellIs" dxfId="169" priority="10" operator="greaterThan">
      <formula>$Q$31</formula>
    </cfRule>
  </conditionalFormatting>
  <conditionalFormatting sqref="P31">
    <cfRule type="cellIs" dxfId="168" priority="16" operator="greaterThan">
      <formula>$G$32-$F$32+$I$32-$H$32</formula>
    </cfRule>
  </conditionalFormatting>
  <conditionalFormatting sqref="Q32">
    <cfRule type="cellIs" dxfId="167" priority="15" operator="lessThan">
      <formula>$O$31</formula>
    </cfRule>
  </conditionalFormatting>
  <conditionalFormatting sqref="F7:F32">
    <cfRule type="cellIs" dxfId="166" priority="14" operator="greaterThan">
      <formula>G7</formula>
    </cfRule>
  </conditionalFormatting>
  <conditionalFormatting sqref="H7:H32">
    <cfRule type="cellIs" dxfId="165" priority="13" operator="greaterThan">
      <formula>I7</formula>
    </cfRule>
  </conditionalFormatting>
  <conditionalFormatting sqref="J7:J32">
    <cfRule type="cellIs" dxfId="164" priority="12" operator="greaterThan">
      <formula>K7</formula>
    </cfRule>
  </conditionalFormatting>
  <conditionalFormatting sqref="M4">
    <cfRule type="cellIs" dxfId="163" priority="11" operator="notBetween">
      <formula>$AH$2</formula>
      <formula>$AI$2</formula>
    </cfRule>
  </conditionalFormatting>
  <conditionalFormatting sqref="O31">
    <cfRule type="cellIs" dxfId="162" priority="9" operator="greaterThan">
      <formula>$Q$32</formula>
    </cfRule>
  </conditionalFormatting>
  <conditionalFormatting sqref="Q31">
    <cfRule type="cellIs" dxfId="161" priority="8" operator="lessThan">
      <formula>$O$32</formula>
    </cfRule>
  </conditionalFormatting>
  <conditionalFormatting sqref="M31">
    <cfRule type="cellIs" dxfId="160" priority="7" operator="greaterThan">
      <formula>G32-F32 +I32-H32+K32-J32</formula>
    </cfRule>
  </conditionalFormatting>
  <conditionalFormatting sqref="B3">
    <cfRule type="expression" dxfId="159" priority="6">
      <formula>$W$2 = TRUE</formula>
    </cfRule>
  </conditionalFormatting>
  <conditionalFormatting sqref="P4:Q4">
    <cfRule type="expression" dxfId="158" priority="5">
      <formula>OR(AND($P$4=1,$X$4=1),AND($Q$4=1,$W$4=1))</formula>
    </cfRule>
  </conditionalFormatting>
  <conditionalFormatting sqref="D7:D30">
    <cfRule type="expression" dxfId="157" priority="30">
      <formula>AND($D7=0,SUM($F7:$S7)&gt;0)</formula>
    </cfRule>
  </conditionalFormatting>
  <conditionalFormatting sqref="O6">
    <cfRule type="expression" dxfId="156" priority="4">
      <formula>OR($O$31&gt;$Q$32,$O$32&gt;$Q$31)</formula>
    </cfRule>
  </conditionalFormatting>
  <conditionalFormatting sqref="F6">
    <cfRule type="expression" dxfId="155" priority="3">
      <formula>OR(F$31&gt;G$31,F$32&gt;G$32)</formula>
    </cfRule>
  </conditionalFormatting>
  <conditionalFormatting sqref="H6">
    <cfRule type="expression" dxfId="154" priority="2">
      <formula>OR(H$31&gt;I$31,H$32&gt;I$32)</formula>
    </cfRule>
  </conditionalFormatting>
  <conditionalFormatting sqref="J6">
    <cfRule type="expression" dxfId="153"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AJ37"/>
  <sheetViews>
    <sheetView showZeros="0" zoomScale="80" zoomScaleNormal="80" workbookViewId="0">
      <pane xSplit="2" ySplit="6" topLeftCell="C7" activePane="bottomRight" state="frozen"/>
      <selection activeCell="C7" sqref="C7"/>
      <selection pane="topRight" activeCell="C7" sqref="C7"/>
      <selection pane="bottomLeft" activeCell="C7" sqref="C7"/>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152" priority="29">
      <formula>AND($H$4&gt;0,$H$4&lt;&gt;$T$31)</formula>
    </cfRule>
  </conditionalFormatting>
  <conditionalFormatting sqref="T32 H3">
    <cfRule type="expression" dxfId="151" priority="28">
      <formula>AND($H$3&gt;0,$H$3&lt;&gt;$T$32)</formula>
    </cfRule>
  </conditionalFormatting>
  <conditionalFormatting sqref="A2">
    <cfRule type="cellIs" dxfId="150" priority="27" operator="equal">
      <formula>"R"</formula>
    </cfRule>
  </conditionalFormatting>
  <conditionalFormatting sqref="F7:F30 H7:H30 J7:J30">
    <cfRule type="expression" dxfId="149" priority="26">
      <formula>F7&gt;G7</formula>
    </cfRule>
  </conditionalFormatting>
  <conditionalFormatting sqref="E7:E30">
    <cfRule type="expression" dxfId="148" priority="25">
      <formula>$E7&gt;$E$31</formula>
    </cfRule>
  </conditionalFormatting>
  <conditionalFormatting sqref="L6">
    <cfRule type="expression" dxfId="147" priority="24">
      <formula>OR($L$31&gt;($G$31+$I$31+$K$31-$F$31-$H$31-$J$31),L32&gt;(G31+I31+K31-F31-H31-J31))</formula>
    </cfRule>
  </conditionalFormatting>
  <conditionalFormatting sqref="M6">
    <cfRule type="expression" dxfId="146" priority="23">
      <formula>OR(M31&gt;(G32-F32+I32-H32+K32-J32),M32&gt;(G31-F31+I31-H31+K31-J31))</formula>
    </cfRule>
  </conditionalFormatting>
  <conditionalFormatting sqref="N6">
    <cfRule type="expression" dxfId="145" priority="22">
      <formula>OR($N$31&gt;($F$31+$H$31),$N$32&gt;($F$32+$H$32))</formula>
    </cfRule>
  </conditionalFormatting>
  <conditionalFormatting sqref="P6">
    <cfRule type="expression" dxfId="144" priority="21">
      <formula>OR($P$31&gt;(G32-F32+I32-H32),P32&gt;(G31-F31+I31-H31))</formula>
    </cfRule>
  </conditionalFormatting>
  <conditionalFormatting sqref="Q6">
    <cfRule type="expression" dxfId="143" priority="20">
      <formula>OR($Q$31&lt;$O$32,$Q$32&lt;$O$31)</formula>
    </cfRule>
  </conditionalFormatting>
  <conditionalFormatting sqref="L31:L32">
    <cfRule type="cellIs" dxfId="142" priority="19" operator="greaterThan">
      <formula>$G31+$I31+$K31-$F31-$H31-$J31</formula>
    </cfRule>
  </conditionalFormatting>
  <conditionalFormatting sqref="M32">
    <cfRule type="cellIs" dxfId="141" priority="18" operator="greaterThan">
      <formula>$G$31-$F$31+$I$31-$H$31+$K$31-$J$31</formula>
    </cfRule>
  </conditionalFormatting>
  <conditionalFormatting sqref="N31:N32">
    <cfRule type="cellIs" dxfId="140" priority="17" operator="greaterThan">
      <formula>$F31+$H31</formula>
    </cfRule>
  </conditionalFormatting>
  <conditionalFormatting sqref="O32">
    <cfRule type="cellIs" dxfId="139" priority="10" operator="greaterThan">
      <formula>$Q$31</formula>
    </cfRule>
  </conditionalFormatting>
  <conditionalFormatting sqref="P31">
    <cfRule type="cellIs" dxfId="138" priority="16" operator="greaterThan">
      <formula>$G$32-$F$32+$I$32-$H$32</formula>
    </cfRule>
  </conditionalFormatting>
  <conditionalFormatting sqref="Q32">
    <cfRule type="cellIs" dxfId="137" priority="15" operator="lessThan">
      <formula>$O$31</formula>
    </cfRule>
  </conditionalFormatting>
  <conditionalFormatting sqref="F7:F32">
    <cfRule type="cellIs" dxfId="136" priority="14" operator="greaterThan">
      <formula>G7</formula>
    </cfRule>
  </conditionalFormatting>
  <conditionalFormatting sqref="H7:H32">
    <cfRule type="cellIs" dxfId="135" priority="13" operator="greaterThan">
      <formula>I7</formula>
    </cfRule>
  </conditionalFormatting>
  <conditionalFormatting sqref="J7:J32">
    <cfRule type="cellIs" dxfId="134" priority="12" operator="greaterThan">
      <formula>K7</formula>
    </cfRule>
  </conditionalFormatting>
  <conditionalFormatting sqref="M4">
    <cfRule type="cellIs" dxfId="133" priority="11" operator="notBetween">
      <formula>$AH$2</formula>
      <formula>$AI$2</formula>
    </cfRule>
  </conditionalFormatting>
  <conditionalFormatting sqref="O31">
    <cfRule type="cellIs" dxfId="132" priority="9" operator="greaterThan">
      <formula>$Q$32</formula>
    </cfRule>
  </conditionalFormatting>
  <conditionalFormatting sqref="Q31">
    <cfRule type="cellIs" dxfId="131" priority="8" operator="lessThan">
      <formula>$O$32</formula>
    </cfRule>
  </conditionalFormatting>
  <conditionalFormatting sqref="M31">
    <cfRule type="cellIs" dxfId="130" priority="7" operator="greaterThan">
      <formula>G32-F32 +I32-H32+K32-J32</formula>
    </cfRule>
  </conditionalFormatting>
  <conditionalFormatting sqref="B3">
    <cfRule type="expression" dxfId="129" priority="6">
      <formula>$W$2 = TRUE</formula>
    </cfRule>
  </conditionalFormatting>
  <conditionalFormatting sqref="P4:Q4">
    <cfRule type="expression" dxfId="128" priority="5">
      <formula>OR(AND($P$4=1,$X$4=1),AND($Q$4=1,$W$4=1))</formula>
    </cfRule>
  </conditionalFormatting>
  <conditionalFormatting sqref="D7:D30">
    <cfRule type="expression" dxfId="127" priority="30">
      <formula>AND($D7=0,SUM($F7:$S7)&gt;0)</formula>
    </cfRule>
  </conditionalFormatting>
  <conditionalFormatting sqref="O6">
    <cfRule type="expression" dxfId="126" priority="4">
      <formula>OR($O$31&gt;$Q$32,$O$32&gt;$Q$31)</formula>
    </cfRule>
  </conditionalFormatting>
  <conditionalFormatting sqref="F6">
    <cfRule type="expression" dxfId="125" priority="3">
      <formula>OR(F$31&gt;G$31,F$32&gt;G$32)</formula>
    </cfRule>
  </conditionalFormatting>
  <conditionalFormatting sqref="H6">
    <cfRule type="expression" dxfId="124" priority="2">
      <formula>OR(H$31&gt;I$31,H$32&gt;I$32)</formula>
    </cfRule>
  </conditionalFormatting>
  <conditionalFormatting sqref="J6">
    <cfRule type="expression" dxfId="123"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AJ37"/>
  <sheetViews>
    <sheetView showZeros="0" zoomScale="80" zoomScaleNormal="80" workbookViewId="0">
      <pane xSplit="2" ySplit="6" topLeftCell="C7" activePane="bottomRight" state="frozen"/>
      <selection activeCell="C7" sqref="C7"/>
      <selection pane="topRight" activeCell="C7" sqref="C7"/>
      <selection pane="bottomLeft" activeCell="C7" sqref="C7"/>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122" priority="29">
      <formula>AND($H$4&gt;0,$H$4&lt;&gt;$T$31)</formula>
    </cfRule>
  </conditionalFormatting>
  <conditionalFormatting sqref="T32 H3">
    <cfRule type="expression" dxfId="121" priority="28">
      <formula>AND($H$3&gt;0,$H$3&lt;&gt;$T$32)</formula>
    </cfRule>
  </conditionalFormatting>
  <conditionalFormatting sqref="A2">
    <cfRule type="cellIs" dxfId="120" priority="27" operator="equal">
      <formula>"R"</formula>
    </cfRule>
  </conditionalFormatting>
  <conditionalFormatting sqref="F7:F30 H7:H30 J7:J30">
    <cfRule type="expression" dxfId="119" priority="26">
      <formula>F7&gt;G7</formula>
    </cfRule>
  </conditionalFormatting>
  <conditionalFormatting sqref="E7:E30">
    <cfRule type="expression" dxfId="118" priority="25">
      <formula>$E7&gt;$E$31</formula>
    </cfRule>
  </conditionalFormatting>
  <conditionalFormatting sqref="L6">
    <cfRule type="expression" dxfId="117" priority="24">
      <formula>OR($L$31&gt;($G$31+$I$31+$K$31-$F$31-$H$31-$J$31),L32&gt;(G31+I31+K31-F31-H31-J31))</formula>
    </cfRule>
  </conditionalFormatting>
  <conditionalFormatting sqref="M6">
    <cfRule type="expression" dxfId="116" priority="23">
      <formula>OR(M31&gt;(G32-F32+I32-H32+K32-J32),M32&gt;(G31-F31+I31-H31+K31-J31))</formula>
    </cfRule>
  </conditionalFormatting>
  <conditionalFormatting sqref="N6">
    <cfRule type="expression" dxfId="115" priority="22">
      <formula>OR($N$31&gt;($F$31+$H$31),$N$32&gt;($F$32+$H$32))</formula>
    </cfRule>
  </conditionalFormatting>
  <conditionalFormatting sqref="P6">
    <cfRule type="expression" dxfId="114" priority="21">
      <formula>OR($P$31&gt;(G32-F32+I32-H32),P32&gt;(G31-F31+I31-H31))</formula>
    </cfRule>
  </conditionalFormatting>
  <conditionalFormatting sqref="Q6">
    <cfRule type="expression" dxfId="113" priority="20">
      <formula>OR($Q$31&lt;$O$32,$Q$32&lt;$O$31)</formula>
    </cfRule>
  </conditionalFormatting>
  <conditionalFormatting sqref="L31:L32">
    <cfRule type="cellIs" dxfId="112" priority="19" operator="greaterThan">
      <formula>$G31+$I31+$K31-$F31-$H31-$J31</formula>
    </cfRule>
  </conditionalFormatting>
  <conditionalFormatting sqref="M32">
    <cfRule type="cellIs" dxfId="111" priority="18" operator="greaterThan">
      <formula>$G$31-$F$31+$I$31-$H$31+$K$31-$J$31</formula>
    </cfRule>
  </conditionalFormatting>
  <conditionalFormatting sqref="N31:N32">
    <cfRule type="cellIs" dxfId="110" priority="17" operator="greaterThan">
      <formula>$F31+$H31</formula>
    </cfRule>
  </conditionalFormatting>
  <conditionalFormatting sqref="O32">
    <cfRule type="cellIs" dxfId="109" priority="10" operator="greaterThan">
      <formula>$Q$31</formula>
    </cfRule>
  </conditionalFormatting>
  <conditionalFormatting sqref="P31">
    <cfRule type="cellIs" dxfId="108" priority="16" operator="greaterThan">
      <formula>$G$32-$F$32+$I$32-$H$32</formula>
    </cfRule>
  </conditionalFormatting>
  <conditionalFormatting sqref="Q32">
    <cfRule type="cellIs" dxfId="107" priority="15" operator="lessThan">
      <formula>$O$31</formula>
    </cfRule>
  </conditionalFormatting>
  <conditionalFormatting sqref="F7:F32">
    <cfRule type="cellIs" dxfId="106" priority="14" operator="greaterThan">
      <formula>G7</formula>
    </cfRule>
  </conditionalFormatting>
  <conditionalFormatting sqref="H7:H32">
    <cfRule type="cellIs" dxfId="105" priority="13" operator="greaterThan">
      <formula>I7</formula>
    </cfRule>
  </conditionalFormatting>
  <conditionalFormatting sqref="J7:J32">
    <cfRule type="cellIs" dxfId="104" priority="12" operator="greaterThan">
      <formula>K7</formula>
    </cfRule>
  </conditionalFormatting>
  <conditionalFormatting sqref="M4">
    <cfRule type="cellIs" dxfId="103" priority="11" operator="notBetween">
      <formula>$AH$2</formula>
      <formula>$AI$2</formula>
    </cfRule>
  </conditionalFormatting>
  <conditionalFormatting sqref="O31">
    <cfRule type="cellIs" dxfId="102" priority="9" operator="greaterThan">
      <formula>$Q$32</formula>
    </cfRule>
  </conditionalFormatting>
  <conditionalFormatting sqref="Q31">
    <cfRule type="cellIs" dxfId="101" priority="8" operator="lessThan">
      <formula>$O$32</formula>
    </cfRule>
  </conditionalFormatting>
  <conditionalFormatting sqref="M31">
    <cfRule type="cellIs" dxfId="100" priority="7" operator="greaterThan">
      <formula>G32-F32 +I32-H32+K32-J32</formula>
    </cfRule>
  </conditionalFormatting>
  <conditionalFormatting sqref="B3">
    <cfRule type="expression" dxfId="99" priority="6">
      <formula>$W$2 = TRUE</formula>
    </cfRule>
  </conditionalFormatting>
  <conditionalFormatting sqref="P4:Q4">
    <cfRule type="expression" dxfId="98" priority="5">
      <formula>OR(AND($P$4=1,$X$4=1),AND($Q$4=1,$W$4=1))</formula>
    </cfRule>
  </conditionalFormatting>
  <conditionalFormatting sqref="D7:D30">
    <cfRule type="expression" dxfId="97" priority="30">
      <formula>AND($D7=0,SUM($F7:$S7)&gt;0)</formula>
    </cfRule>
  </conditionalFormatting>
  <conditionalFormatting sqref="O6">
    <cfRule type="expression" dxfId="96" priority="4">
      <formula>OR($O$31&gt;$Q$32,$O$32&gt;$Q$31)</formula>
    </cfRule>
  </conditionalFormatting>
  <conditionalFormatting sqref="F6">
    <cfRule type="expression" dxfId="95" priority="3">
      <formula>OR(F$31&gt;G$31,F$32&gt;G$32)</formula>
    </cfRule>
  </conditionalFormatting>
  <conditionalFormatting sqref="H6">
    <cfRule type="expression" dxfId="94" priority="2">
      <formula>OR(H$31&gt;I$31,H$32&gt;I$32)</formula>
    </cfRule>
  </conditionalFormatting>
  <conditionalFormatting sqref="J6">
    <cfRule type="expression" dxfId="93"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A1:AJ37"/>
  <sheetViews>
    <sheetView showZeros="0" zoomScale="80" zoomScaleNormal="80" workbookViewId="0">
      <pane xSplit="2" ySplit="6" topLeftCell="C7" activePane="bottomRight" state="frozen"/>
      <selection activeCell="C7" sqref="C7"/>
      <selection pane="topRight" activeCell="C7" sqref="C7"/>
      <selection pane="bottomLeft" activeCell="C7" sqref="C7"/>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92" priority="29">
      <formula>AND($H$4&gt;0,$H$4&lt;&gt;$T$31)</formula>
    </cfRule>
  </conditionalFormatting>
  <conditionalFormatting sqref="T32 H3">
    <cfRule type="expression" dxfId="91" priority="28">
      <formula>AND($H$3&gt;0,$H$3&lt;&gt;$T$32)</formula>
    </cfRule>
  </conditionalFormatting>
  <conditionalFormatting sqref="A2">
    <cfRule type="cellIs" dxfId="90" priority="27" operator="equal">
      <formula>"R"</formula>
    </cfRule>
  </conditionalFormatting>
  <conditionalFormatting sqref="F7:F30 H7:H30 J7:J30">
    <cfRule type="expression" dxfId="89" priority="26">
      <formula>F7&gt;G7</formula>
    </cfRule>
  </conditionalFormatting>
  <conditionalFormatting sqref="E7:E30">
    <cfRule type="expression" dxfId="88" priority="25">
      <formula>$E7&gt;$E$31</formula>
    </cfRule>
  </conditionalFormatting>
  <conditionalFormatting sqref="L6">
    <cfRule type="expression" dxfId="87" priority="24">
      <formula>OR($L$31&gt;($G$31+$I$31+$K$31-$F$31-$H$31-$J$31),L32&gt;(G31+I31+K31-F31-H31-J31))</formula>
    </cfRule>
  </conditionalFormatting>
  <conditionalFormatting sqref="M6">
    <cfRule type="expression" dxfId="86" priority="23">
      <formula>OR(M31&gt;(G32-F32+I32-H32+K32-J32),M32&gt;(G31-F31+I31-H31+K31-J31))</formula>
    </cfRule>
  </conditionalFormatting>
  <conditionalFormatting sqref="N6">
    <cfRule type="expression" dxfId="85" priority="22">
      <formula>OR($N$31&gt;($F$31+$H$31),$N$32&gt;($F$32+$H$32))</formula>
    </cfRule>
  </conditionalFormatting>
  <conditionalFormatting sqref="P6">
    <cfRule type="expression" dxfId="84" priority="21">
      <formula>OR($P$31&gt;(G32-F32+I32-H32),P32&gt;(G31-F31+I31-H31))</formula>
    </cfRule>
  </conditionalFormatting>
  <conditionalFormatting sqref="Q6">
    <cfRule type="expression" dxfId="83" priority="20">
      <formula>OR($Q$31&lt;$O$32,$Q$32&lt;$O$31)</formula>
    </cfRule>
  </conditionalFormatting>
  <conditionalFormatting sqref="L31:L32">
    <cfRule type="cellIs" dxfId="82" priority="19" operator="greaterThan">
      <formula>$G31+$I31+$K31-$F31-$H31-$J31</formula>
    </cfRule>
  </conditionalFormatting>
  <conditionalFormatting sqref="M32">
    <cfRule type="cellIs" dxfId="81" priority="18" operator="greaterThan">
      <formula>$G$31-$F$31+$I$31-$H$31+$K$31-$J$31</formula>
    </cfRule>
  </conditionalFormatting>
  <conditionalFormatting sqref="N31:N32">
    <cfRule type="cellIs" dxfId="80" priority="17" operator="greaterThan">
      <formula>$F31+$H31</formula>
    </cfRule>
  </conditionalFormatting>
  <conditionalFormatting sqref="O32">
    <cfRule type="cellIs" dxfId="79" priority="10" operator="greaterThan">
      <formula>$Q$31</formula>
    </cfRule>
  </conditionalFormatting>
  <conditionalFormatting sqref="P31">
    <cfRule type="cellIs" dxfId="78" priority="16" operator="greaterThan">
      <formula>$G$32-$F$32+$I$32-$H$32</formula>
    </cfRule>
  </conditionalFormatting>
  <conditionalFormatting sqref="Q32">
    <cfRule type="cellIs" dxfId="77" priority="15" operator="lessThan">
      <formula>$O$31</formula>
    </cfRule>
  </conditionalFormatting>
  <conditionalFormatting sqref="F7:F32">
    <cfRule type="cellIs" dxfId="76" priority="14" operator="greaterThan">
      <formula>G7</formula>
    </cfRule>
  </conditionalFormatting>
  <conditionalFormatting sqref="H7:H32">
    <cfRule type="cellIs" dxfId="75" priority="13" operator="greaterThan">
      <formula>I7</formula>
    </cfRule>
  </conditionalFormatting>
  <conditionalFormatting sqref="J7:J32">
    <cfRule type="cellIs" dxfId="74" priority="12" operator="greaterThan">
      <formula>K7</formula>
    </cfRule>
  </conditionalFormatting>
  <conditionalFormatting sqref="M4">
    <cfRule type="cellIs" dxfId="73" priority="11" operator="notBetween">
      <formula>$AH$2</formula>
      <formula>$AI$2</formula>
    </cfRule>
  </conditionalFormatting>
  <conditionalFormatting sqref="O31">
    <cfRule type="cellIs" dxfId="72" priority="9" operator="greaterThan">
      <formula>$Q$32</formula>
    </cfRule>
  </conditionalFormatting>
  <conditionalFormatting sqref="Q31">
    <cfRule type="cellIs" dxfId="71" priority="8" operator="lessThan">
      <formula>$O$32</formula>
    </cfRule>
  </conditionalFormatting>
  <conditionalFormatting sqref="M31">
    <cfRule type="cellIs" dxfId="70" priority="7" operator="greaterThan">
      <formula>G32-F32 +I32-H32+K32-J32</formula>
    </cfRule>
  </conditionalFormatting>
  <conditionalFormatting sqref="B3">
    <cfRule type="expression" dxfId="69" priority="6">
      <formula>$W$2 = TRUE</formula>
    </cfRule>
  </conditionalFormatting>
  <conditionalFormatting sqref="P4:Q4">
    <cfRule type="expression" dxfId="68" priority="5">
      <formula>OR(AND($P$4=1,$X$4=1),AND($Q$4=1,$W$4=1))</formula>
    </cfRule>
  </conditionalFormatting>
  <conditionalFormatting sqref="D7:D30">
    <cfRule type="expression" dxfId="67" priority="30">
      <formula>AND($D7=0,SUM($F7:$S7)&gt;0)</formula>
    </cfRule>
  </conditionalFormatting>
  <conditionalFormatting sqref="O6">
    <cfRule type="expression" dxfId="66" priority="4">
      <formula>OR($O$31&gt;$Q$32,$O$32&gt;$Q$31)</formula>
    </cfRule>
  </conditionalFormatting>
  <conditionalFormatting sqref="F6">
    <cfRule type="expression" dxfId="65" priority="3">
      <formula>OR(F$31&gt;G$31,F$32&gt;G$32)</formula>
    </cfRule>
  </conditionalFormatting>
  <conditionalFormatting sqref="H6">
    <cfRule type="expression" dxfId="64" priority="2">
      <formula>OR(H$31&gt;I$31,H$32&gt;I$32)</formula>
    </cfRule>
  </conditionalFormatting>
  <conditionalFormatting sqref="J6">
    <cfRule type="expression" dxfId="63"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AJ37"/>
  <sheetViews>
    <sheetView showZeros="0" zoomScale="80" zoomScaleNormal="80" workbookViewId="0">
      <pane xSplit="2" ySplit="6" topLeftCell="C7" activePane="bottomRight" state="frozen"/>
      <selection activeCell="C7" sqref="C7"/>
      <selection pane="topRight" activeCell="C7" sqref="C7"/>
      <selection pane="bottomLeft" activeCell="C7" sqref="C7"/>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62" priority="29">
      <formula>AND($H$4&gt;0,$H$4&lt;&gt;$T$31)</formula>
    </cfRule>
  </conditionalFormatting>
  <conditionalFormatting sqref="T32 H3">
    <cfRule type="expression" dxfId="61" priority="28">
      <formula>AND($H$3&gt;0,$H$3&lt;&gt;$T$32)</formula>
    </cfRule>
  </conditionalFormatting>
  <conditionalFormatting sqref="A2">
    <cfRule type="cellIs" dxfId="60" priority="27" operator="equal">
      <formula>"R"</formula>
    </cfRule>
  </conditionalFormatting>
  <conditionalFormatting sqref="F7:F30 H7:H30 J7:J30">
    <cfRule type="expression" dxfId="59" priority="26">
      <formula>F7&gt;G7</formula>
    </cfRule>
  </conditionalFormatting>
  <conditionalFormatting sqref="E7:E30">
    <cfRule type="expression" dxfId="58" priority="25">
      <formula>$E7&gt;$E$31</formula>
    </cfRule>
  </conditionalFormatting>
  <conditionalFormatting sqref="L6">
    <cfRule type="expression" dxfId="57" priority="24">
      <formula>OR($L$31&gt;($G$31+$I$31+$K$31-$F$31-$H$31-$J$31),L32&gt;(G31+I31+K31-F31-H31-J31))</formula>
    </cfRule>
  </conditionalFormatting>
  <conditionalFormatting sqref="M6">
    <cfRule type="expression" dxfId="56" priority="23">
      <formula>OR(M31&gt;(G32-F32+I32-H32+K32-J32),M32&gt;(G31-F31+I31-H31+K31-J31))</formula>
    </cfRule>
  </conditionalFormatting>
  <conditionalFormatting sqref="N6">
    <cfRule type="expression" dxfId="55" priority="22">
      <formula>OR($N$31&gt;($F$31+$H$31),$N$32&gt;($F$32+$H$32))</formula>
    </cfRule>
  </conditionalFormatting>
  <conditionalFormatting sqref="P6">
    <cfRule type="expression" dxfId="54" priority="21">
      <formula>OR($P$31&gt;(G32-F32+I32-H32),P32&gt;(G31-F31+I31-H31))</formula>
    </cfRule>
  </conditionalFormatting>
  <conditionalFormatting sqref="Q6">
    <cfRule type="expression" dxfId="53" priority="20">
      <formula>OR($Q$31&lt;$O$32,$Q$32&lt;$O$31)</formula>
    </cfRule>
  </conditionalFormatting>
  <conditionalFormatting sqref="L31:L32">
    <cfRule type="cellIs" dxfId="52" priority="19" operator="greaterThan">
      <formula>$G31+$I31+$K31-$F31-$H31-$J31</formula>
    </cfRule>
  </conditionalFormatting>
  <conditionalFormatting sqref="M32">
    <cfRule type="cellIs" dxfId="51" priority="18" operator="greaterThan">
      <formula>$G$31-$F$31+$I$31-$H$31+$K$31-$J$31</formula>
    </cfRule>
  </conditionalFormatting>
  <conditionalFormatting sqref="N31:N32">
    <cfRule type="cellIs" dxfId="50" priority="17" operator="greaterThan">
      <formula>$F31+$H31</formula>
    </cfRule>
  </conditionalFormatting>
  <conditionalFormatting sqref="O32">
    <cfRule type="cellIs" dxfId="49" priority="10" operator="greaterThan">
      <formula>$Q$31</formula>
    </cfRule>
  </conditionalFormatting>
  <conditionalFormatting sqref="P31">
    <cfRule type="cellIs" dxfId="48" priority="16" operator="greaterThan">
      <formula>$G$32-$F$32+$I$32-$H$32</formula>
    </cfRule>
  </conditionalFormatting>
  <conditionalFormatting sqref="Q32">
    <cfRule type="cellIs" dxfId="47" priority="15" operator="lessThan">
      <formula>$O$31</formula>
    </cfRule>
  </conditionalFormatting>
  <conditionalFormatting sqref="F7:F32">
    <cfRule type="cellIs" dxfId="46" priority="14" operator="greaterThan">
      <formula>G7</formula>
    </cfRule>
  </conditionalFormatting>
  <conditionalFormatting sqref="H7:H32">
    <cfRule type="cellIs" dxfId="45" priority="13" operator="greaterThan">
      <formula>I7</formula>
    </cfRule>
  </conditionalFormatting>
  <conditionalFormatting sqref="J7:J32">
    <cfRule type="cellIs" dxfId="44" priority="12" operator="greaterThan">
      <formula>K7</formula>
    </cfRule>
  </conditionalFormatting>
  <conditionalFormatting sqref="M4">
    <cfRule type="cellIs" dxfId="43" priority="11" operator="notBetween">
      <formula>$AH$2</formula>
      <formula>$AI$2</formula>
    </cfRule>
  </conditionalFormatting>
  <conditionalFormatting sqref="O31">
    <cfRule type="cellIs" dxfId="42" priority="9" operator="greaterThan">
      <formula>$Q$32</formula>
    </cfRule>
  </conditionalFormatting>
  <conditionalFormatting sqref="Q31">
    <cfRule type="cellIs" dxfId="41" priority="8" operator="lessThan">
      <formula>$O$32</formula>
    </cfRule>
  </conditionalFormatting>
  <conditionalFormatting sqref="M31">
    <cfRule type="cellIs" dxfId="40" priority="7" operator="greaterThan">
      <formula>G32-F32 +I32-H32+K32-J32</formula>
    </cfRule>
  </conditionalFormatting>
  <conditionalFormatting sqref="B3">
    <cfRule type="expression" dxfId="39" priority="6">
      <formula>$W$2 = TRUE</formula>
    </cfRule>
  </conditionalFormatting>
  <conditionalFormatting sqref="P4:Q4">
    <cfRule type="expression" dxfId="38" priority="5">
      <formula>OR(AND($P$4=1,$X$4=1),AND($Q$4=1,$W$4=1))</formula>
    </cfRule>
  </conditionalFormatting>
  <conditionalFormatting sqref="D7:D30">
    <cfRule type="expression" dxfId="37" priority="30">
      <formula>AND($D7=0,SUM($F7:$S7)&gt;0)</formula>
    </cfRule>
  </conditionalFormatting>
  <conditionalFormatting sqref="O6">
    <cfRule type="expression" dxfId="36" priority="4">
      <formula>OR($O$31&gt;$Q$32,$O$32&gt;$Q$31)</formula>
    </cfRule>
  </conditionalFormatting>
  <conditionalFormatting sqref="F6">
    <cfRule type="expression" dxfId="35" priority="3">
      <formula>OR(F$31&gt;G$31,F$32&gt;G$32)</formula>
    </cfRule>
  </conditionalFormatting>
  <conditionalFormatting sqref="H6">
    <cfRule type="expression" dxfId="34" priority="2">
      <formula>OR(H$31&gt;I$31,H$32&gt;I$32)</formula>
    </cfRule>
  </conditionalFormatting>
  <conditionalFormatting sqref="J6">
    <cfRule type="expression" dxfId="33"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pageSetUpPr fitToPage="1"/>
  </sheetPr>
  <dimension ref="A1:AJ37"/>
  <sheetViews>
    <sheetView showZeros="0" zoomScale="80" zoomScaleNormal="80" workbookViewId="0">
      <pane xSplit="2" ySplit="6" topLeftCell="C7" activePane="bottomRight" state="frozen"/>
      <selection activeCell="C7" sqref="C7"/>
      <selection pane="topRight" activeCell="C7" sqref="C7"/>
      <selection pane="bottomLeft" activeCell="C7" sqref="C7"/>
      <selection pane="bottomRight" activeCell="B3" sqref="B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e">
        <f>IF(AND(Roster!$D$1=VLOOKUP(B3,WYTeamInfo,2,FALSE),Roster!$D$3=VLOOKUP(B3,WYTeamInfo,4,FALSE)),"R","")</f>
        <v>#N/A</v>
      </c>
      <c r="B2" s="62" t="s">
        <v>173</v>
      </c>
      <c r="C2" s="63" t="s">
        <v>174</v>
      </c>
      <c r="D2" s="63" t="s">
        <v>175</v>
      </c>
      <c r="E2" s="63" t="s">
        <v>176</v>
      </c>
      <c r="F2" s="63" t="s">
        <v>177</v>
      </c>
      <c r="G2" s="64" t="s">
        <v>178</v>
      </c>
      <c r="H2" s="12" t="s">
        <v>179</v>
      </c>
      <c r="J2" s="65"/>
      <c r="W2" s="48" t="b">
        <f>ISERROR(VLOOKUP($B$3,WYTeamInfo,1,0))</f>
        <v>1</v>
      </c>
      <c r="AA2" s="66"/>
      <c r="AH2" s="67">
        <f>Roster!$F$1</f>
        <v>44896</v>
      </c>
      <c r="AI2" s="68">
        <f>Roster!$F$2</f>
        <v>45017</v>
      </c>
    </row>
    <row r="3" spans="1:36" ht="18" thickTop="1" thickBot="1" x14ac:dyDescent="0.35">
      <c r="B3" s="69"/>
      <c r="C3" s="70"/>
      <c r="D3" s="71"/>
      <c r="E3" s="71"/>
      <c r="F3" s="71"/>
      <c r="G3" s="72"/>
      <c r="H3" s="73">
        <f>SUM(C3:G3)</f>
        <v>0</v>
      </c>
      <c r="J3" s="12" t="s">
        <v>165</v>
      </c>
      <c r="P3" s="74" t="s">
        <v>135</v>
      </c>
      <c r="Q3" s="74" t="s">
        <v>137</v>
      </c>
      <c r="S3" s="75" t="s">
        <v>138</v>
      </c>
      <c r="U3" s="76" t="s">
        <v>139</v>
      </c>
      <c r="W3" s="77" t="s">
        <v>134</v>
      </c>
      <c r="X3" s="77" t="s">
        <v>136</v>
      </c>
      <c r="AA3" s="48" t="str">
        <f>B4</f>
        <v>Upton</v>
      </c>
      <c r="AD3" s="48">
        <f>SUM($C3:C3)</f>
        <v>0</v>
      </c>
      <c r="AE3" s="48">
        <f>SUM($C3:D3)</f>
        <v>0</v>
      </c>
      <c r="AF3" s="48">
        <f>SUM($C3:E3)</f>
        <v>0</v>
      </c>
      <c r="AG3" s="48">
        <f>SUM($C3:F3)</f>
        <v>0</v>
      </c>
      <c r="AH3" s="48">
        <f>SUM($C3:G3)</f>
        <v>0</v>
      </c>
      <c r="AJ3" s="74"/>
    </row>
    <row r="4" spans="1:36" ht="16.5" customHeight="1" thickTop="1" thickBot="1" x14ac:dyDescent="0.3">
      <c r="B4" s="78" t="str">
        <f>Roster!$B$1</f>
        <v>Upton</v>
      </c>
      <c r="C4" s="79"/>
      <c r="D4" s="80"/>
      <c r="E4" s="80"/>
      <c r="F4" s="80"/>
      <c r="G4" s="81"/>
      <c r="H4" s="82">
        <f>SUM(C4:G4)</f>
        <v>0</v>
      </c>
      <c r="J4" s="83"/>
      <c r="L4" s="84" t="s">
        <v>133</v>
      </c>
      <c r="M4" s="404"/>
      <c r="N4" s="405"/>
      <c r="P4" s="83"/>
      <c r="Q4" s="83"/>
      <c r="S4" s="83"/>
      <c r="U4" s="83"/>
      <c r="W4" s="85" t="str">
        <f>IF(OR($S$4=1,$H$4&gt;$H$3),1,"")</f>
        <v/>
      </c>
      <c r="X4" s="85" t="str">
        <f>IF(OR($U$4=1,$H$4&lt;$H$3),1,"")</f>
        <v/>
      </c>
      <c r="AA4" s="48">
        <f>B3</f>
        <v>0</v>
      </c>
      <c r="AD4" s="48">
        <f>SUM($C4:C4)</f>
        <v>0</v>
      </c>
      <c r="AE4" s="48">
        <f>SUM($C4:D4)</f>
        <v>0</v>
      </c>
      <c r="AF4" s="48">
        <f>SUM($C4:E4)</f>
        <v>0</v>
      </c>
      <c r="AG4" s="48">
        <f>SUM($C4:F4)</f>
        <v>0</v>
      </c>
      <c r="AH4" s="48">
        <f>SUM($C4:G4)</f>
        <v>0</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c r="D8" s="148"/>
      <c r="E8" s="100"/>
      <c r="F8" s="101"/>
      <c r="G8" s="102"/>
      <c r="H8" s="103"/>
      <c r="I8" s="102"/>
      <c r="J8" s="103"/>
      <c r="K8" s="102"/>
      <c r="L8" s="103"/>
      <c r="M8" s="103"/>
      <c r="N8" s="103"/>
      <c r="O8" s="103"/>
      <c r="P8" s="103"/>
      <c r="Q8" s="103"/>
      <c r="R8" s="103"/>
      <c r="S8" s="104"/>
      <c r="T8" s="105">
        <f t="shared" ref="T8:T30" si="1">IF(J8+2*H8+3*F8&gt;0,J8+2*H8+3*F8,0)</f>
        <v>0</v>
      </c>
      <c r="U8" s="106" t="str">
        <f t="shared" ref="U8:U30" si="2">IF(G8&gt;0,F8/G8,"")</f>
        <v/>
      </c>
      <c r="V8" s="106" t="str">
        <f t="shared" ref="V8:V30" si="3">IF(I8&gt;0,H8/I8,"")</f>
        <v/>
      </c>
      <c r="W8" s="107" t="str">
        <f t="shared" ref="W8:W30" si="4">IF(K8&gt;0,J8/K8,"")</f>
        <v/>
      </c>
      <c r="X8" s="106" t="str">
        <f t="shared" si="0"/>
        <v/>
      </c>
      <c r="Y8" s="108" t="str">
        <f t="shared" ref="Y8:Y32" si="5">IF(OR(G8&gt;0,I8 &gt;0),(1.5*F8+H8)/(G8+I8),"")</f>
        <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c r="D9" s="149"/>
      <c r="E9" s="110"/>
      <c r="F9" s="111"/>
      <c r="G9" s="112"/>
      <c r="H9" s="113"/>
      <c r="I9" s="112"/>
      <c r="J9" s="113"/>
      <c r="K9" s="112"/>
      <c r="L9" s="113"/>
      <c r="M9" s="113"/>
      <c r="N9" s="113"/>
      <c r="O9" s="113"/>
      <c r="P9" s="113"/>
      <c r="Q9" s="113"/>
      <c r="R9" s="113"/>
      <c r="S9" s="114"/>
      <c r="T9" s="115">
        <f t="shared" si="1"/>
        <v>0</v>
      </c>
      <c r="U9" s="95" t="str">
        <f t="shared" si="2"/>
        <v/>
      </c>
      <c r="V9" s="95" t="str">
        <f t="shared" si="3"/>
        <v/>
      </c>
      <c r="W9" s="96" t="str">
        <f t="shared" si="4"/>
        <v/>
      </c>
      <c r="X9" s="95" t="str">
        <f t="shared" si="0"/>
        <v/>
      </c>
      <c r="Y9" s="116" t="str">
        <f t="shared" si="5"/>
        <v/>
      </c>
      <c r="AB9" s="51"/>
      <c r="AC9" s="51"/>
      <c r="AD9" s="51"/>
      <c r="AE9" s="51"/>
      <c r="AF9" s="51"/>
      <c r="AG9" s="51"/>
      <c r="AH9" s="51"/>
      <c r="AI9" s="51"/>
    </row>
    <row r="10" spans="1:36" s="18" customFormat="1" ht="15.75" x14ac:dyDescent="0.25">
      <c r="A10" s="87">
        <f>IF(Roster!A10&lt;&gt;"",Roster!A10,"")</f>
        <v>10</v>
      </c>
      <c r="B10" s="19" t="str">
        <f>IF(OR(Roster!A10&lt;&gt;"",Roster!B10&lt;&gt;""),PROPER(Roster!B10),"")</f>
        <v>Rhett Watt</v>
      </c>
      <c r="C10" s="99"/>
      <c r="D10" s="148"/>
      <c r="E10" s="100"/>
      <c r="F10" s="101"/>
      <c r="G10" s="102"/>
      <c r="H10" s="103"/>
      <c r="I10" s="102"/>
      <c r="J10" s="103"/>
      <c r="K10" s="102"/>
      <c r="L10" s="103"/>
      <c r="M10" s="103"/>
      <c r="N10" s="103"/>
      <c r="O10" s="103"/>
      <c r="P10" s="103"/>
      <c r="Q10" s="103"/>
      <c r="R10" s="103"/>
      <c r="S10" s="104"/>
      <c r="T10" s="105">
        <f t="shared" si="1"/>
        <v>0</v>
      </c>
      <c r="U10" s="106" t="str">
        <f t="shared" si="2"/>
        <v/>
      </c>
      <c r="V10" s="106" t="str">
        <f t="shared" si="3"/>
        <v/>
      </c>
      <c r="W10" s="107" t="str">
        <f t="shared" si="4"/>
        <v/>
      </c>
      <c r="X10" s="106" t="str">
        <f t="shared" si="0"/>
        <v/>
      </c>
      <c r="Y10" s="108" t="str">
        <f t="shared" si="5"/>
        <v/>
      </c>
      <c r="AB10" s="51"/>
      <c r="AC10" s="51"/>
      <c r="AD10" s="51"/>
      <c r="AE10" s="51"/>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AB11" s="51"/>
      <c r="AC11" s="51"/>
      <c r="AD11" s="51"/>
      <c r="AE11" s="51"/>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AB12" s="51"/>
      <c r="AC12" s="51"/>
      <c r="AD12" s="51"/>
      <c r="AE12" s="51"/>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AB13" s="51"/>
      <c r="AC13" s="51"/>
      <c r="AD13" s="51"/>
      <c r="AE13" s="51"/>
      <c r="AF13" s="51"/>
      <c r="AG13" s="51"/>
      <c r="AH13" s="51"/>
      <c r="AI13" s="51"/>
    </row>
    <row r="14" spans="1:36" s="18" customFormat="1" ht="15.75" x14ac:dyDescent="0.25">
      <c r="A14" s="87">
        <f>IF(Roster!A14&lt;&gt;"",Roster!A14,"")</f>
        <v>23</v>
      </c>
      <c r="B14" s="19" t="str">
        <f>IF(OR(Roster!A14&lt;&gt;"",Roster!B14&lt;&gt;""),PROPER(Roster!B14),"")</f>
        <v>Ethan Schiller</v>
      </c>
      <c r="C14" s="99"/>
      <c r="D14" s="148"/>
      <c r="E14" s="100"/>
      <c r="F14" s="101"/>
      <c r="G14" s="102"/>
      <c r="H14" s="103"/>
      <c r="I14" s="102"/>
      <c r="J14" s="103"/>
      <c r="K14" s="102"/>
      <c r="L14" s="103"/>
      <c r="M14" s="103"/>
      <c r="N14" s="103"/>
      <c r="O14" s="103"/>
      <c r="P14" s="103"/>
      <c r="Q14" s="103"/>
      <c r="R14" s="103"/>
      <c r="S14" s="104"/>
      <c r="T14" s="105">
        <f t="shared" si="1"/>
        <v>0</v>
      </c>
      <c r="U14" s="106" t="str">
        <f t="shared" si="2"/>
        <v/>
      </c>
      <c r="V14" s="106" t="str">
        <f t="shared" si="3"/>
        <v/>
      </c>
      <c r="W14" s="107" t="str">
        <f t="shared" si="4"/>
        <v/>
      </c>
      <c r="X14" s="106" t="str">
        <f t="shared" si="0"/>
        <v/>
      </c>
      <c r="Y14" s="108" t="str">
        <f t="shared" si="5"/>
        <v/>
      </c>
      <c r="AB14" s="51"/>
      <c r="AC14" s="51"/>
      <c r="AD14" s="51"/>
      <c r="AE14" s="51"/>
      <c r="AF14" s="51"/>
      <c r="AG14" s="51"/>
      <c r="AH14" s="51"/>
      <c r="AI14" s="51"/>
    </row>
    <row r="15" spans="1:36" s="18" customFormat="1" ht="15.75" x14ac:dyDescent="0.25">
      <c r="A15" s="87">
        <f>IF(Roster!A15&lt;&gt;"",Roster!A15,"")</f>
        <v>25</v>
      </c>
      <c r="B15" s="17" t="str">
        <f>IF(OR(Roster!A15&lt;&gt;"",Roster!B15&lt;&gt;""),PROPER(Roster!B15),"")</f>
        <v>Bridger Bruce</v>
      </c>
      <c r="C15" s="109"/>
      <c r="D15" s="149"/>
      <c r="E15" s="110"/>
      <c r="F15" s="111"/>
      <c r="G15" s="112"/>
      <c r="H15" s="113"/>
      <c r="I15" s="112"/>
      <c r="J15" s="113"/>
      <c r="K15" s="112"/>
      <c r="L15" s="113"/>
      <c r="M15" s="113"/>
      <c r="N15" s="113"/>
      <c r="O15" s="113"/>
      <c r="P15" s="113"/>
      <c r="Q15" s="113"/>
      <c r="R15" s="113"/>
      <c r="S15" s="114"/>
      <c r="T15" s="115">
        <f t="shared" si="1"/>
        <v>0</v>
      </c>
      <c r="U15" s="95" t="str">
        <f t="shared" si="2"/>
        <v/>
      </c>
      <c r="V15" s="95" t="str">
        <f t="shared" si="3"/>
        <v/>
      </c>
      <c r="W15" s="96" t="str">
        <f t="shared" si="4"/>
        <v/>
      </c>
      <c r="X15" s="95" t="str">
        <f t="shared" si="0"/>
        <v/>
      </c>
      <c r="Y15" s="116" t="str">
        <f t="shared" si="5"/>
        <v/>
      </c>
      <c r="AB15" s="51"/>
      <c r="AC15" s="51"/>
      <c r="AD15" s="51"/>
      <c r="AE15" s="51"/>
      <c r="AF15" s="51"/>
      <c r="AG15" s="51"/>
      <c r="AH15" s="51"/>
      <c r="AI15" s="51"/>
    </row>
    <row r="16" spans="1:36" s="18" customFormat="1" ht="15.75" x14ac:dyDescent="0.25">
      <c r="A16" s="87">
        <f>IF(Roster!A16&lt;&gt;"",Roster!A16,"")</f>
        <v>31</v>
      </c>
      <c r="B16" s="19" t="str">
        <f>IF(OR(Roster!A16&lt;&gt;"",Roster!B16&lt;&gt;""),PROPER(Roster!B16),"")</f>
        <v>Kailer Duarte</v>
      </c>
      <c r="C16" s="99"/>
      <c r="D16" s="148"/>
      <c r="E16" s="100"/>
      <c r="F16" s="101"/>
      <c r="G16" s="102"/>
      <c r="H16" s="103"/>
      <c r="I16" s="102"/>
      <c r="J16" s="103"/>
      <c r="K16" s="102"/>
      <c r="L16" s="103"/>
      <c r="M16" s="103"/>
      <c r="N16" s="103"/>
      <c r="O16" s="103"/>
      <c r="P16" s="103"/>
      <c r="Q16" s="103"/>
      <c r="R16" s="103"/>
      <c r="S16" s="104"/>
      <c r="T16" s="105">
        <f t="shared" si="1"/>
        <v>0</v>
      </c>
      <c r="U16" s="106" t="str">
        <f t="shared" si="2"/>
        <v/>
      </c>
      <c r="V16" s="106" t="str">
        <f t="shared" si="3"/>
        <v/>
      </c>
      <c r="W16" s="107" t="str">
        <f t="shared" si="4"/>
        <v/>
      </c>
      <c r="X16" s="106" t="str">
        <f t="shared" si="0"/>
        <v/>
      </c>
      <c r="Y16" s="108" t="str">
        <f t="shared" si="5"/>
        <v/>
      </c>
      <c r="AB16" s="51"/>
      <c r="AC16" s="51"/>
      <c r="AD16" s="51"/>
      <c r="AE16" s="51"/>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AB17" s="51"/>
      <c r="AC17" s="51"/>
      <c r="AD17" s="51"/>
      <c r="AE17" s="51"/>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AB18" s="51"/>
      <c r="AC18" s="51"/>
      <c r="AD18" s="51"/>
      <c r="AE18" s="51"/>
      <c r="AF18" s="51"/>
      <c r="AG18" s="51"/>
      <c r="AH18" s="51"/>
      <c r="AI18" s="51"/>
    </row>
    <row r="19" spans="1:35" s="18" customFormat="1" ht="15.75" x14ac:dyDescent="0.25">
      <c r="A19" s="87">
        <f>IF(Roster!A19&lt;&gt;"",Roster!A19,"")</f>
        <v>35</v>
      </c>
      <c r="B19" s="17" t="str">
        <f>IF(OR(Roster!A19&lt;&gt;"",Roster!B19&lt;&gt;""),PROPER(Roster!B19),"")</f>
        <v>Ryan Baker</v>
      </c>
      <c r="C19" s="109"/>
      <c r="D19" s="149"/>
      <c r="E19" s="110"/>
      <c r="F19" s="111"/>
      <c r="G19" s="112"/>
      <c r="H19" s="113"/>
      <c r="I19" s="112"/>
      <c r="J19" s="113"/>
      <c r="K19" s="112"/>
      <c r="L19" s="113"/>
      <c r="M19" s="113"/>
      <c r="N19" s="113"/>
      <c r="O19" s="113"/>
      <c r="P19" s="113"/>
      <c r="Q19" s="113"/>
      <c r="R19" s="113"/>
      <c r="S19" s="114"/>
      <c r="T19" s="115">
        <f t="shared" si="1"/>
        <v>0</v>
      </c>
      <c r="U19" s="95" t="str">
        <f t="shared" si="2"/>
        <v/>
      </c>
      <c r="V19" s="95" t="str">
        <f t="shared" si="3"/>
        <v/>
      </c>
      <c r="W19" s="96" t="str">
        <f t="shared" si="4"/>
        <v/>
      </c>
      <c r="X19" s="95" t="str">
        <f t="shared" si="0"/>
        <v/>
      </c>
      <c r="Y19" s="116" t="str">
        <f t="shared" si="5"/>
        <v/>
      </c>
      <c r="AB19" s="51"/>
      <c r="AC19" s="51"/>
      <c r="AD19" s="51"/>
      <c r="AE19" s="51"/>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AB20" s="51"/>
      <c r="AC20" s="51"/>
      <c r="AD20" s="51"/>
      <c r="AE20" s="51"/>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AB21" s="51"/>
      <c r="AC21" s="51"/>
      <c r="AD21" s="51"/>
      <c r="AE21" s="51"/>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AB22" s="51"/>
      <c r="AC22" s="51"/>
      <c r="AD22" s="51"/>
      <c r="AE22" s="51"/>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AB23" s="51"/>
      <c r="AC23" s="51"/>
      <c r="AD23" s="51"/>
      <c r="AE23" s="51"/>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0</v>
      </c>
      <c r="B31" s="126" t="s">
        <v>161</v>
      </c>
      <c r="C31" s="151"/>
      <c r="D31" s="152" t="str">
        <f>IF(COUNTA($D$7:$D$30)&gt;0,1,"")</f>
        <v/>
      </c>
      <c r="E31" s="127" t="str">
        <f>IF(D31=1,32+J4*4,"")</f>
        <v/>
      </c>
      <c r="F31" s="128">
        <f t="shared" ref="F31:S31" si="6">SUM(F7:F30)</f>
        <v>0</v>
      </c>
      <c r="G31" s="129">
        <f t="shared" si="6"/>
        <v>0</v>
      </c>
      <c r="H31" s="128">
        <f t="shared" si="6"/>
        <v>0</v>
      </c>
      <c r="I31" s="130">
        <f t="shared" si="6"/>
        <v>0</v>
      </c>
      <c r="J31" s="129">
        <f t="shared" si="6"/>
        <v>0</v>
      </c>
      <c r="K31" s="130">
        <f t="shared" si="6"/>
        <v>0</v>
      </c>
      <c r="L31" s="129">
        <f t="shared" si="6"/>
        <v>0</v>
      </c>
      <c r="M31" s="129">
        <f t="shared" si="6"/>
        <v>0</v>
      </c>
      <c r="N31" s="129">
        <f t="shared" si="6"/>
        <v>0</v>
      </c>
      <c r="O31" s="129">
        <f t="shared" si="6"/>
        <v>0</v>
      </c>
      <c r="P31" s="129">
        <f t="shared" si="6"/>
        <v>0</v>
      </c>
      <c r="Q31" s="129">
        <f t="shared" si="6"/>
        <v>0</v>
      </c>
      <c r="R31" s="129">
        <f t="shared" si="6"/>
        <v>0</v>
      </c>
      <c r="S31" s="131">
        <f t="shared" si="6"/>
        <v>0</v>
      </c>
      <c r="T31" s="132" t="str">
        <f>IF(J31+2*H31+3*F31&gt;0,J31+2*H31+3*F31,IF(H4&gt;0,H4,""))</f>
        <v/>
      </c>
      <c r="U31" s="133" t="str">
        <f>IF(G31&gt;0,F31/G31,"")</f>
        <v/>
      </c>
      <c r="V31" s="133" t="str">
        <f>IF(I31&gt;0,H31/I31,"")</f>
        <v/>
      </c>
      <c r="W31" s="134" t="str">
        <f>IF(K31&gt;0,J31/K31,"")</f>
        <v/>
      </c>
      <c r="X31" s="133" t="str">
        <f t="shared" si="0"/>
        <v/>
      </c>
      <c r="Y31" s="135" t="str">
        <f t="shared" si="5"/>
        <v/>
      </c>
      <c r="AB31" s="51"/>
      <c r="AC31" s="51"/>
      <c r="AD31" s="51"/>
      <c r="AE31" s="51"/>
      <c r="AF31" s="136"/>
      <c r="AG31" s="136"/>
      <c r="AH31" s="136"/>
      <c r="AI31" s="51"/>
    </row>
    <row r="32" spans="1:35" s="18" customFormat="1" ht="17.25" thickTop="1" thickBot="1" x14ac:dyDescent="0.3">
      <c r="A32" s="51">
        <f>ROUND(G32+I32+0.475*K32-L32+Q32,0)</f>
        <v>0</v>
      </c>
      <c r="B32" s="137" t="s">
        <v>162</v>
      </c>
      <c r="C32" s="153"/>
      <c r="D32" s="138" t="str">
        <f>IF(SUM(F32:S32)&gt;0,1,"")</f>
        <v/>
      </c>
      <c r="E32" s="138">
        <f>IF(D32=1,E31,0)</f>
        <v>0</v>
      </c>
      <c r="F32" s="139"/>
      <c r="G32" s="140"/>
      <c r="H32" s="139"/>
      <c r="I32" s="141"/>
      <c r="J32" s="139"/>
      <c r="K32" s="141"/>
      <c r="L32" s="140"/>
      <c r="M32" s="140"/>
      <c r="N32" s="140"/>
      <c r="O32" s="140"/>
      <c r="P32" s="140"/>
      <c r="Q32" s="140"/>
      <c r="R32" s="140"/>
      <c r="S32" s="142"/>
      <c r="T32" s="143" t="str">
        <f>IF(J32+2*H32+3*F32&gt;0,J32+2*H32+3*F32,IF(H3&gt;0,H3,""))</f>
        <v/>
      </c>
      <c r="U32" s="144" t="str">
        <f>IF(G32&gt;0,F32/G32,"")</f>
        <v/>
      </c>
      <c r="V32" s="144" t="str">
        <f>IF(I32&gt;0,H32/I32,"")</f>
        <v/>
      </c>
      <c r="W32" s="145" t="str">
        <f>IF(K32&gt;0,J32/K32,"")</f>
        <v/>
      </c>
      <c r="X32" s="144" t="str">
        <f t="shared" si="0"/>
        <v/>
      </c>
      <c r="Y32" s="146" t="str">
        <f t="shared" si="5"/>
        <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sheetProtection sheet="1" objects="1" scenarios="1"/>
  <mergeCells count="2">
    <mergeCell ref="G1:L1"/>
    <mergeCell ref="M4:N4"/>
  </mergeCells>
  <conditionalFormatting sqref="T31 H4">
    <cfRule type="expression" dxfId="32" priority="29">
      <formula>AND($H$4&gt;0,$H$4&lt;&gt;$T$31)</formula>
    </cfRule>
  </conditionalFormatting>
  <conditionalFormatting sqref="T32 H3">
    <cfRule type="expression" dxfId="31" priority="28">
      <formula>AND($H$3&gt;0,$H$3&lt;&gt;$T$32)</formula>
    </cfRule>
  </conditionalFormatting>
  <conditionalFormatting sqref="A2">
    <cfRule type="cellIs" dxfId="30" priority="27" operator="equal">
      <formula>"R"</formula>
    </cfRule>
  </conditionalFormatting>
  <conditionalFormatting sqref="F7:F30 H7:H30 J7:J30">
    <cfRule type="expression" dxfId="29" priority="26">
      <formula>F7&gt;G7</formula>
    </cfRule>
  </conditionalFormatting>
  <conditionalFormatting sqref="E7:E30">
    <cfRule type="expression" dxfId="28" priority="25">
      <formula>$E7&gt;$E$31</formula>
    </cfRule>
  </conditionalFormatting>
  <conditionalFormatting sqref="L6">
    <cfRule type="expression" dxfId="27" priority="24">
      <formula>OR($L$31&gt;($G$31+$I$31+$K$31-$F$31-$H$31-$J$31),L32&gt;(G31+I31+K31-F31-H31-J31))</formula>
    </cfRule>
  </conditionalFormatting>
  <conditionalFormatting sqref="M6">
    <cfRule type="expression" dxfId="26" priority="23">
      <formula>OR(M31&gt;(G32-F32+I32-H32+K32-J32),M32&gt;(G31-F31+I31-H31+K31-J31))</formula>
    </cfRule>
  </conditionalFormatting>
  <conditionalFormatting sqref="N6">
    <cfRule type="expression" dxfId="25" priority="22">
      <formula>OR($N$31&gt;($F$31+$H$31),$N$32&gt;($F$32+$H$32))</formula>
    </cfRule>
  </conditionalFormatting>
  <conditionalFormatting sqref="P6">
    <cfRule type="expression" dxfId="24" priority="21">
      <formula>OR($P$31&gt;(G32-F32+I32-H32),P32&gt;(G31-F31+I31-H31))</formula>
    </cfRule>
  </conditionalFormatting>
  <conditionalFormatting sqref="Q6">
    <cfRule type="expression" dxfId="23" priority="20">
      <formula>OR($Q$31&lt;$O$32,$Q$32&lt;$O$31)</formula>
    </cfRule>
  </conditionalFormatting>
  <conditionalFormatting sqref="L31:L32">
    <cfRule type="cellIs" dxfId="22" priority="19" operator="greaterThan">
      <formula>$G31+$I31+$K31-$F31-$H31-$J31</formula>
    </cfRule>
  </conditionalFormatting>
  <conditionalFormatting sqref="M32">
    <cfRule type="cellIs" dxfId="21" priority="18" operator="greaterThan">
      <formula>$G$31-$F$31+$I$31-$H$31+$K$31-$J$31</formula>
    </cfRule>
  </conditionalFormatting>
  <conditionalFormatting sqref="N31:N32">
    <cfRule type="cellIs" dxfId="20" priority="17" operator="greaterThan">
      <formula>$F31+$H31</formula>
    </cfRule>
  </conditionalFormatting>
  <conditionalFormatting sqref="O32">
    <cfRule type="cellIs" dxfId="19" priority="10" operator="greaterThan">
      <formula>$Q$31</formula>
    </cfRule>
  </conditionalFormatting>
  <conditionalFormatting sqref="P31">
    <cfRule type="cellIs" dxfId="18" priority="16" operator="greaterThan">
      <formula>$G$32-$F$32+$I$32-$H$32</formula>
    </cfRule>
  </conditionalFormatting>
  <conditionalFormatting sqref="Q32">
    <cfRule type="cellIs" dxfId="17" priority="15" operator="lessThan">
      <formula>$O$31</formula>
    </cfRule>
  </conditionalFormatting>
  <conditionalFormatting sqref="F7:F32">
    <cfRule type="cellIs" dxfId="16" priority="14" operator="greaterThan">
      <formula>G7</formula>
    </cfRule>
  </conditionalFormatting>
  <conditionalFormatting sqref="H7:H32">
    <cfRule type="cellIs" dxfId="15" priority="13" operator="greaterThan">
      <formula>I7</formula>
    </cfRule>
  </conditionalFormatting>
  <conditionalFormatting sqref="J7:J32">
    <cfRule type="cellIs" dxfId="14" priority="12" operator="greaterThan">
      <formula>K7</formula>
    </cfRule>
  </conditionalFormatting>
  <conditionalFormatting sqref="M4">
    <cfRule type="cellIs" dxfId="13" priority="11" operator="notBetween">
      <formula>$AH$2</formula>
      <formula>$AI$2</formula>
    </cfRule>
  </conditionalFormatting>
  <conditionalFormatting sqref="O31">
    <cfRule type="cellIs" dxfId="12" priority="9" operator="greaterThan">
      <formula>$Q$32</formula>
    </cfRule>
  </conditionalFormatting>
  <conditionalFormatting sqref="Q31">
    <cfRule type="cellIs" dxfId="11" priority="8" operator="lessThan">
      <formula>$O$32</formula>
    </cfRule>
  </conditionalFormatting>
  <conditionalFormatting sqref="M31">
    <cfRule type="cellIs" dxfId="10" priority="7" operator="greaterThan">
      <formula>G32-F32 +I32-H32+K32-J32</formula>
    </cfRule>
  </conditionalFormatting>
  <conditionalFormatting sqref="B3">
    <cfRule type="expression" dxfId="9" priority="6">
      <formula>$W$2 = TRUE</formula>
    </cfRule>
  </conditionalFormatting>
  <conditionalFormatting sqref="P4:Q4">
    <cfRule type="expression" dxfId="8" priority="5">
      <formula>OR(AND($P$4=1,$X$4=1),AND($Q$4=1,$W$4=1))</formula>
    </cfRule>
  </conditionalFormatting>
  <conditionalFormatting sqref="D7:D30">
    <cfRule type="expression" dxfId="7" priority="30">
      <formula>AND($D7=0,SUM($F7:$S7)&gt;0)</formula>
    </cfRule>
  </conditionalFormatting>
  <conditionalFormatting sqref="O6">
    <cfRule type="expression" dxfId="6" priority="4">
      <formula>OR($O$31&gt;$Q$32,$O$32&gt;$Q$31)</formula>
    </cfRule>
  </conditionalFormatting>
  <conditionalFormatting sqref="F6">
    <cfRule type="expression" dxfId="5" priority="3">
      <formula>OR(F$31&gt;G$31,F$32&gt;G$32)</formula>
    </cfRule>
  </conditionalFormatting>
  <conditionalFormatting sqref="H6">
    <cfRule type="expression" dxfId="4" priority="2">
      <formula>OR(H$31&gt;I$31,H$32&gt;I$32)</formula>
    </cfRule>
  </conditionalFormatting>
  <conditionalFormatting sqref="J6">
    <cfRule type="expression" dxfId="3"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39997558519241921"/>
  </sheetPr>
  <dimension ref="A1:AB75"/>
  <sheetViews>
    <sheetView showGridLines="0" zoomScaleNormal="100" workbookViewId="0">
      <selection activeCell="D23" sqref="D23"/>
    </sheetView>
  </sheetViews>
  <sheetFormatPr defaultColWidth="9.42578125" defaultRowHeight="15.75" x14ac:dyDescent="0.25"/>
  <cols>
    <col min="1" max="1" width="9.5703125" style="157" customWidth="1"/>
    <col min="2" max="2" width="41.42578125" style="65" customWidth="1"/>
    <col min="3" max="3" width="13.42578125" style="161" customWidth="1"/>
    <col min="4" max="4" width="9.42578125" style="171"/>
    <col min="5" max="9" width="9.42578125" style="161"/>
    <col min="10" max="11" width="9.42578125" style="161" customWidth="1"/>
    <col min="12" max="12" width="17.5703125" style="163" hidden="1" customWidth="1"/>
    <col min="13" max="16" width="9.42578125" style="163" hidden="1" customWidth="1"/>
    <col min="17" max="22" width="9.42578125" style="161" hidden="1" customWidth="1"/>
    <col min="23" max="16384" width="9.42578125" style="161"/>
  </cols>
  <sheetData>
    <row r="1" spans="1:28" ht="18" x14ac:dyDescent="0.25">
      <c r="B1" s="158" t="s">
        <v>124</v>
      </c>
      <c r="C1" s="159" t="s">
        <v>0</v>
      </c>
      <c r="D1" s="160" t="str">
        <f>IF($B$1="Select Team Name","",VLOOKUP($B$1,WYTeamInfo,2,FALSE))</f>
        <v>1A</v>
      </c>
      <c r="F1" s="162">
        <v>44896</v>
      </c>
    </row>
    <row r="2" spans="1:28" ht="18" x14ac:dyDescent="0.25">
      <c r="B2" s="164" t="str">
        <f>IF(B1="Select Team Name","Mascot",VLOOKUP($B$1,WYTeamInfo,IF($D$5="GB",7,6),FALSE))</f>
        <v>Bobcats</v>
      </c>
      <c r="C2" s="159" t="s">
        <v>1</v>
      </c>
      <c r="D2" s="160" t="str">
        <f>IF($B$1="Select Team Name","",VLOOKUP($B$1,WYTeamInfo,3,FALSE))</f>
        <v>Northeast</v>
      </c>
      <c r="F2" s="162">
        <v>45017</v>
      </c>
      <c r="L2" s="165" t="s">
        <v>2</v>
      </c>
      <c r="M2" s="165" t="s">
        <v>0</v>
      </c>
      <c r="N2" s="165" t="s">
        <v>1</v>
      </c>
      <c r="O2" s="165" t="s">
        <v>3</v>
      </c>
      <c r="P2" s="165" t="s">
        <v>4</v>
      </c>
      <c r="Q2" s="165" t="s">
        <v>5</v>
      </c>
      <c r="R2" s="165" t="s">
        <v>6</v>
      </c>
    </row>
    <row r="3" spans="1:28" ht="18" x14ac:dyDescent="0.25">
      <c r="B3" s="166"/>
      <c r="C3" s="159" t="s">
        <v>3</v>
      </c>
      <c r="D3" s="63" t="str">
        <f>IF($B$1="Team Name","",VLOOKUP($B$1,$L$3:$R$72,4,FALSE))</f>
        <v>East</v>
      </c>
      <c r="L3" s="165" t="s">
        <v>7</v>
      </c>
      <c r="M3" s="165" t="s">
        <v>8</v>
      </c>
      <c r="N3" s="165" t="s">
        <v>9</v>
      </c>
      <c r="O3" s="165" t="s">
        <v>292</v>
      </c>
      <c r="P3" s="165" t="s">
        <v>10</v>
      </c>
      <c r="Q3" s="165" t="s">
        <v>11</v>
      </c>
      <c r="R3" s="165" t="s">
        <v>11</v>
      </c>
    </row>
    <row r="4" spans="1:28" ht="18" x14ac:dyDescent="0.25">
      <c r="B4" s="166"/>
      <c r="C4" s="159" t="s">
        <v>334</v>
      </c>
      <c r="D4" s="63" t="str">
        <f>IF($B$1="Team Name","",VLOOKUP($B$1,$L$3:$R$72,5,FALSE))</f>
        <v>North</v>
      </c>
      <c r="L4" s="165" t="s">
        <v>12</v>
      </c>
      <c r="M4" s="165" t="s">
        <v>13</v>
      </c>
      <c r="N4" s="165" t="s">
        <v>9</v>
      </c>
      <c r="O4" s="165" t="s">
        <v>292</v>
      </c>
      <c r="P4" s="165" t="s">
        <v>10</v>
      </c>
      <c r="Q4" s="165" t="s">
        <v>14</v>
      </c>
      <c r="R4" s="165" t="s">
        <v>14</v>
      </c>
    </row>
    <row r="5" spans="1:28" ht="26.25" x14ac:dyDescent="0.25">
      <c r="B5" s="166"/>
      <c r="C5" s="167" t="s">
        <v>15</v>
      </c>
      <c r="D5" s="168" t="s">
        <v>364</v>
      </c>
      <c r="L5" s="165" t="s">
        <v>16</v>
      </c>
      <c r="M5" s="165" t="s">
        <v>13</v>
      </c>
      <c r="N5" s="165" t="s">
        <v>17</v>
      </c>
      <c r="O5" s="165" t="s">
        <v>293</v>
      </c>
      <c r="P5" s="165" t="s">
        <v>18</v>
      </c>
      <c r="Q5" s="165" t="s">
        <v>19</v>
      </c>
      <c r="R5" s="165" t="s">
        <v>19</v>
      </c>
      <c r="U5" s="161" t="s">
        <v>20</v>
      </c>
    </row>
    <row r="6" spans="1:28" x14ac:dyDescent="0.25">
      <c r="A6" s="169" t="s">
        <v>21</v>
      </c>
      <c r="B6" s="170" t="s">
        <v>22</v>
      </c>
      <c r="L6" s="165" t="s">
        <v>23</v>
      </c>
      <c r="M6" s="165" t="s">
        <v>24</v>
      </c>
      <c r="N6" s="165" t="s">
        <v>9</v>
      </c>
      <c r="O6" s="165" t="s">
        <v>292</v>
      </c>
      <c r="P6" s="165" t="s">
        <v>10</v>
      </c>
      <c r="Q6" s="165" t="s">
        <v>25</v>
      </c>
      <c r="R6" s="165" t="s">
        <v>25</v>
      </c>
      <c r="U6" s="161" t="s">
        <v>26</v>
      </c>
    </row>
    <row r="7" spans="1:28" ht="17.25" thickBot="1" x14ac:dyDescent="0.35">
      <c r="A7" s="172">
        <v>1</v>
      </c>
      <c r="B7" s="173" t="s">
        <v>365</v>
      </c>
      <c r="D7" s="357" t="s">
        <v>278</v>
      </c>
      <c r="L7" s="165" t="s">
        <v>294</v>
      </c>
      <c r="M7" s="165" t="s">
        <v>8</v>
      </c>
      <c r="N7" s="165" t="s">
        <v>27</v>
      </c>
      <c r="O7" s="165" t="s">
        <v>293</v>
      </c>
      <c r="P7" s="165" t="s">
        <v>10</v>
      </c>
      <c r="Q7" s="165" t="s">
        <v>295</v>
      </c>
      <c r="R7" s="165" t="s">
        <v>295</v>
      </c>
      <c r="U7" s="161" t="s">
        <v>28</v>
      </c>
      <c r="X7" s="15"/>
      <c r="Y7" s="15"/>
      <c r="Z7" s="15"/>
      <c r="AA7" s="15"/>
      <c r="AB7" s="15"/>
    </row>
    <row r="8" spans="1:28" ht="17.25" thickBot="1" x14ac:dyDescent="0.35">
      <c r="A8" s="172">
        <v>3</v>
      </c>
      <c r="B8" s="396" t="s">
        <v>354</v>
      </c>
      <c r="D8" s="401" t="s">
        <v>363</v>
      </c>
      <c r="E8" s="402"/>
      <c r="L8" s="165" t="s">
        <v>296</v>
      </c>
      <c r="M8" s="165" t="s">
        <v>13</v>
      </c>
      <c r="N8" s="165" t="s">
        <v>29</v>
      </c>
      <c r="O8" s="165" t="s">
        <v>292</v>
      </c>
      <c r="P8" s="165" t="s">
        <v>18</v>
      </c>
      <c r="Q8" s="165" t="s">
        <v>30</v>
      </c>
      <c r="R8" s="165" t="s">
        <v>297</v>
      </c>
      <c r="U8" s="161" t="s">
        <v>31</v>
      </c>
      <c r="X8" s="15"/>
      <c r="Y8" s="15"/>
      <c r="Z8" s="15"/>
      <c r="AA8" s="15"/>
      <c r="AB8" s="15"/>
    </row>
    <row r="9" spans="1:28" ht="16.5" x14ac:dyDescent="0.3">
      <c r="A9" s="397">
        <v>5</v>
      </c>
      <c r="B9" s="396" t="s">
        <v>355</v>
      </c>
      <c r="L9" s="165" t="s">
        <v>298</v>
      </c>
      <c r="M9" s="165" t="s">
        <v>32</v>
      </c>
      <c r="N9" s="165" t="s">
        <v>9</v>
      </c>
      <c r="O9" s="165" t="s">
        <v>292</v>
      </c>
      <c r="P9" s="165" t="s">
        <v>10</v>
      </c>
      <c r="Q9" s="165" t="s">
        <v>299</v>
      </c>
      <c r="R9" s="165" t="s">
        <v>299</v>
      </c>
      <c r="U9" s="161" t="s">
        <v>33</v>
      </c>
      <c r="X9" s="15"/>
      <c r="Y9" s="15"/>
      <c r="Z9" s="15"/>
      <c r="AA9" s="15"/>
      <c r="AB9" s="15"/>
    </row>
    <row r="10" spans="1:28" ht="16.5" x14ac:dyDescent="0.3">
      <c r="A10" s="397">
        <v>10</v>
      </c>
      <c r="B10" s="396" t="s">
        <v>356</v>
      </c>
      <c r="L10" s="165" t="s">
        <v>300</v>
      </c>
      <c r="M10" s="165" t="s">
        <v>32</v>
      </c>
      <c r="N10" s="165" t="s">
        <v>29</v>
      </c>
      <c r="O10" s="165" t="s">
        <v>292</v>
      </c>
      <c r="P10" s="165" t="s">
        <v>18</v>
      </c>
      <c r="Q10" s="165" t="s">
        <v>301</v>
      </c>
      <c r="R10" s="165" t="s">
        <v>301</v>
      </c>
      <c r="U10" s="161" t="s">
        <v>34</v>
      </c>
      <c r="X10" s="15"/>
      <c r="Y10" s="15"/>
      <c r="Z10" s="15"/>
      <c r="AA10" s="15"/>
      <c r="AB10" s="15"/>
    </row>
    <row r="11" spans="1:28" ht="16.5" x14ac:dyDescent="0.3">
      <c r="A11" s="397">
        <v>11</v>
      </c>
      <c r="B11" s="396" t="s">
        <v>357</v>
      </c>
      <c r="L11" s="165" t="s">
        <v>335</v>
      </c>
      <c r="M11" s="165" t="s">
        <v>8</v>
      </c>
      <c r="N11" s="165" t="s">
        <v>29</v>
      </c>
      <c r="O11" s="165" t="s">
        <v>292</v>
      </c>
      <c r="P11" s="165" t="s">
        <v>18</v>
      </c>
      <c r="Q11" s="165" t="s">
        <v>35</v>
      </c>
      <c r="R11" s="165" t="s">
        <v>35</v>
      </c>
      <c r="U11" s="161" t="s">
        <v>36</v>
      </c>
      <c r="X11" s="15"/>
      <c r="Y11" s="15"/>
      <c r="Z11" s="15"/>
      <c r="AA11" s="15"/>
      <c r="AB11" s="15"/>
    </row>
    <row r="12" spans="1:28" ht="16.5" x14ac:dyDescent="0.3">
      <c r="A12" s="397">
        <v>14</v>
      </c>
      <c r="B12" s="396" t="s">
        <v>366</v>
      </c>
      <c r="L12" s="165" t="s">
        <v>302</v>
      </c>
      <c r="M12" s="165" t="s">
        <v>32</v>
      </c>
      <c r="N12" s="165" t="s">
        <v>27</v>
      </c>
      <c r="O12" s="165" t="s">
        <v>293</v>
      </c>
      <c r="P12" s="165" t="s">
        <v>10</v>
      </c>
      <c r="Q12" s="165" t="s">
        <v>30</v>
      </c>
      <c r="R12" s="165" t="s">
        <v>37</v>
      </c>
      <c r="U12" s="161" t="s">
        <v>38</v>
      </c>
      <c r="X12" s="15"/>
      <c r="Y12" s="15"/>
      <c r="Z12" s="15"/>
      <c r="AA12" s="15"/>
      <c r="AB12" s="15"/>
    </row>
    <row r="13" spans="1:28" ht="16.5" x14ac:dyDescent="0.3">
      <c r="A13" s="397">
        <v>21</v>
      </c>
      <c r="B13" s="396" t="s">
        <v>367</v>
      </c>
      <c r="L13" s="165" t="s">
        <v>303</v>
      </c>
      <c r="M13" s="165" t="s">
        <v>8</v>
      </c>
      <c r="N13" s="165" t="s">
        <v>17</v>
      </c>
      <c r="O13" s="165" t="s">
        <v>293</v>
      </c>
      <c r="P13" s="165" t="s">
        <v>18</v>
      </c>
      <c r="Q13" s="165" t="s">
        <v>11</v>
      </c>
      <c r="R13" s="165" t="s">
        <v>11</v>
      </c>
      <c r="U13" s="161" t="s">
        <v>39</v>
      </c>
      <c r="X13" s="15"/>
      <c r="Y13" s="15"/>
      <c r="Z13" s="15"/>
      <c r="AA13" s="15"/>
      <c r="AB13" s="15"/>
    </row>
    <row r="14" spans="1:28" ht="16.5" x14ac:dyDescent="0.3">
      <c r="A14" s="397">
        <v>23</v>
      </c>
      <c r="B14" s="396" t="s">
        <v>358</v>
      </c>
      <c r="L14" s="165" t="s">
        <v>304</v>
      </c>
      <c r="M14" s="165" t="s">
        <v>24</v>
      </c>
      <c r="N14" s="165" t="s">
        <v>29</v>
      </c>
      <c r="O14" s="165" t="s">
        <v>292</v>
      </c>
      <c r="P14" s="165" t="s">
        <v>18</v>
      </c>
      <c r="Q14" s="165" t="s">
        <v>305</v>
      </c>
      <c r="R14" s="165" t="s">
        <v>305</v>
      </c>
      <c r="U14" s="161" t="s">
        <v>40</v>
      </c>
      <c r="X14" s="15"/>
      <c r="Y14" s="15"/>
      <c r="Z14" s="15"/>
      <c r="AA14" s="15"/>
      <c r="AB14" s="15"/>
    </row>
    <row r="15" spans="1:28" ht="16.5" x14ac:dyDescent="0.3">
      <c r="A15" s="397">
        <v>25</v>
      </c>
      <c r="B15" s="396" t="s">
        <v>359</v>
      </c>
      <c r="L15" s="165" t="s">
        <v>306</v>
      </c>
      <c r="M15" s="165" t="s">
        <v>8</v>
      </c>
      <c r="N15" s="165" t="s">
        <v>27</v>
      </c>
      <c r="O15" s="165" t="s">
        <v>293</v>
      </c>
      <c r="P15" s="165" t="s">
        <v>10</v>
      </c>
      <c r="Q15" s="165" t="s">
        <v>14</v>
      </c>
      <c r="R15" s="165" t="s">
        <v>14</v>
      </c>
      <c r="U15" s="161" t="s">
        <v>41</v>
      </c>
      <c r="X15" s="15"/>
      <c r="Y15" s="15"/>
      <c r="Z15" s="15"/>
      <c r="AA15" s="15"/>
      <c r="AB15" s="15"/>
    </row>
    <row r="16" spans="1:28" ht="16.5" x14ac:dyDescent="0.3">
      <c r="A16" s="397">
        <v>31</v>
      </c>
      <c r="B16" s="396" t="s">
        <v>360</v>
      </c>
      <c r="L16" s="165" t="s">
        <v>292</v>
      </c>
      <c r="M16" s="165" t="s">
        <v>32</v>
      </c>
      <c r="N16" s="165" t="s">
        <v>29</v>
      </c>
      <c r="O16" s="165" t="s">
        <v>292</v>
      </c>
      <c r="P16" s="165" t="s">
        <v>18</v>
      </c>
      <c r="Q16" s="165" t="s">
        <v>307</v>
      </c>
      <c r="R16" s="165" t="s">
        <v>307</v>
      </c>
      <c r="U16" s="161" t="s">
        <v>42</v>
      </c>
      <c r="X16" s="15"/>
      <c r="Y16" s="15"/>
      <c r="Z16" s="15"/>
      <c r="AA16" s="15"/>
      <c r="AB16" s="15"/>
    </row>
    <row r="17" spans="1:28" ht="16.5" x14ac:dyDescent="0.3">
      <c r="A17" s="397">
        <v>33</v>
      </c>
      <c r="B17" s="396" t="s">
        <v>368</v>
      </c>
      <c r="L17" s="165" t="s">
        <v>308</v>
      </c>
      <c r="M17" s="165" t="s">
        <v>8</v>
      </c>
      <c r="N17" s="165" t="s">
        <v>17</v>
      </c>
      <c r="O17" s="165" t="s">
        <v>293</v>
      </c>
      <c r="P17" s="165" t="s">
        <v>18</v>
      </c>
      <c r="Q17" s="165" t="s">
        <v>43</v>
      </c>
      <c r="R17" s="165" t="s">
        <v>43</v>
      </c>
      <c r="U17" s="161" t="s">
        <v>44</v>
      </c>
      <c r="X17" s="15"/>
      <c r="Y17" s="15"/>
      <c r="Z17" s="15"/>
      <c r="AA17" s="15"/>
      <c r="AB17" s="15"/>
    </row>
    <row r="18" spans="1:28" ht="16.5" x14ac:dyDescent="0.3">
      <c r="A18" s="397">
        <v>34</v>
      </c>
      <c r="B18" s="396" t="s">
        <v>362</v>
      </c>
      <c r="L18" s="165" t="s">
        <v>309</v>
      </c>
      <c r="M18" s="165" t="s">
        <v>32</v>
      </c>
      <c r="N18" s="165" t="s">
        <v>17</v>
      </c>
      <c r="O18" s="165" t="s">
        <v>293</v>
      </c>
      <c r="P18" s="165" t="s">
        <v>18</v>
      </c>
      <c r="Q18" s="165" t="s">
        <v>310</v>
      </c>
      <c r="R18" s="165" t="s">
        <v>310</v>
      </c>
      <c r="U18" s="161" t="s">
        <v>45</v>
      </c>
      <c r="X18" s="15"/>
      <c r="Y18" s="15"/>
      <c r="Z18" s="15"/>
      <c r="AA18" s="15"/>
      <c r="AB18" s="15"/>
    </row>
    <row r="19" spans="1:28" ht="16.5" x14ac:dyDescent="0.3">
      <c r="A19" s="397">
        <v>35</v>
      </c>
      <c r="B19" s="396" t="s">
        <v>361</v>
      </c>
      <c r="L19" s="165" t="s">
        <v>311</v>
      </c>
      <c r="M19" s="165" t="s">
        <v>8</v>
      </c>
      <c r="N19" s="165" t="s">
        <v>17</v>
      </c>
      <c r="O19" s="165" t="s">
        <v>293</v>
      </c>
      <c r="P19" s="165" t="s">
        <v>18</v>
      </c>
      <c r="Q19" s="165" t="s">
        <v>312</v>
      </c>
      <c r="R19" s="165" t="s">
        <v>312</v>
      </c>
      <c r="U19" s="161" t="s">
        <v>46</v>
      </c>
      <c r="X19" s="15"/>
      <c r="Y19" s="15"/>
      <c r="Z19" s="15"/>
      <c r="AA19" s="15"/>
      <c r="AB19" s="15"/>
    </row>
    <row r="20" spans="1:28" ht="16.5" x14ac:dyDescent="0.3">
      <c r="A20" s="174"/>
      <c r="B20" s="173"/>
      <c r="L20" s="165" t="s">
        <v>336</v>
      </c>
      <c r="M20" s="165" t="s">
        <v>8</v>
      </c>
      <c r="N20" s="165" t="s">
        <v>29</v>
      </c>
      <c r="O20" s="165" t="s">
        <v>292</v>
      </c>
      <c r="P20" s="165" t="s">
        <v>18</v>
      </c>
      <c r="Q20" s="165" t="s">
        <v>47</v>
      </c>
      <c r="R20" s="165" t="s">
        <v>47</v>
      </c>
      <c r="U20" s="161" t="s">
        <v>48</v>
      </c>
      <c r="X20" s="15"/>
      <c r="Y20" s="15"/>
      <c r="Z20" s="15"/>
      <c r="AA20" s="15"/>
      <c r="AB20" s="15"/>
    </row>
    <row r="21" spans="1:28" ht="16.5" x14ac:dyDescent="0.3">
      <c r="A21" s="174"/>
      <c r="B21" s="173"/>
      <c r="L21" s="165" t="s">
        <v>313</v>
      </c>
      <c r="M21" s="165" t="s">
        <v>24</v>
      </c>
      <c r="N21" s="165" t="s">
        <v>9</v>
      </c>
      <c r="O21" s="165" t="s">
        <v>292</v>
      </c>
      <c r="P21" s="165" t="s">
        <v>10</v>
      </c>
      <c r="Q21" s="165" t="s">
        <v>314</v>
      </c>
      <c r="R21" s="165" t="s">
        <v>314</v>
      </c>
      <c r="U21" s="161" t="s">
        <v>49</v>
      </c>
      <c r="X21" s="15"/>
      <c r="Y21" s="15"/>
      <c r="Z21" s="15"/>
      <c r="AA21" s="15"/>
      <c r="AB21" s="15"/>
    </row>
    <row r="22" spans="1:28" ht="16.5" x14ac:dyDescent="0.3">
      <c r="A22" s="174"/>
      <c r="B22" s="175"/>
      <c r="L22" s="165" t="s">
        <v>315</v>
      </c>
      <c r="M22" s="165" t="s">
        <v>32</v>
      </c>
      <c r="N22" s="165" t="s">
        <v>17</v>
      </c>
      <c r="O22" s="165" t="s">
        <v>293</v>
      </c>
      <c r="P22" s="165" t="s">
        <v>18</v>
      </c>
      <c r="Q22" s="165" t="s">
        <v>50</v>
      </c>
      <c r="R22" s="165" t="s">
        <v>50</v>
      </c>
      <c r="U22" s="161" t="s">
        <v>51</v>
      </c>
      <c r="X22" s="15"/>
      <c r="Y22" s="15"/>
      <c r="Z22" s="15"/>
      <c r="AA22" s="15"/>
      <c r="AB22" s="15"/>
    </row>
    <row r="23" spans="1:28" ht="16.5" x14ac:dyDescent="0.3">
      <c r="A23" s="174"/>
      <c r="B23" s="173"/>
      <c r="L23" s="165" t="s">
        <v>316</v>
      </c>
      <c r="M23" s="165" t="s">
        <v>13</v>
      </c>
      <c r="N23" s="165" t="s">
        <v>27</v>
      </c>
      <c r="O23" s="165" t="s">
        <v>293</v>
      </c>
      <c r="P23" s="165" t="s">
        <v>10</v>
      </c>
      <c r="Q23" s="165" t="s">
        <v>35</v>
      </c>
      <c r="R23" s="165" t="s">
        <v>35</v>
      </c>
      <c r="U23" s="161" t="s">
        <v>52</v>
      </c>
      <c r="X23" s="15"/>
      <c r="Y23" s="15"/>
      <c r="Z23" s="15"/>
      <c r="AA23" s="15"/>
      <c r="AB23" s="15"/>
    </row>
    <row r="24" spans="1:28" ht="16.5" x14ac:dyDescent="0.3">
      <c r="A24" s="174"/>
      <c r="B24" s="176"/>
      <c r="L24" s="165" t="s">
        <v>317</v>
      </c>
      <c r="M24" s="165" t="s">
        <v>8</v>
      </c>
      <c r="N24" s="165" t="s">
        <v>29</v>
      </c>
      <c r="O24" s="165" t="s">
        <v>292</v>
      </c>
      <c r="P24" s="165" t="s">
        <v>18</v>
      </c>
      <c r="Q24" s="165" t="s">
        <v>318</v>
      </c>
      <c r="R24" s="165" t="s">
        <v>318</v>
      </c>
      <c r="U24" s="161" t="s">
        <v>53</v>
      </c>
      <c r="X24" s="15"/>
      <c r="Y24" s="15"/>
      <c r="Z24" s="15"/>
      <c r="AA24" s="15"/>
      <c r="AB24" s="15"/>
    </row>
    <row r="25" spans="1:28" ht="16.5" x14ac:dyDescent="0.3">
      <c r="A25" s="174"/>
      <c r="B25" s="173"/>
      <c r="L25" s="165" t="s">
        <v>319</v>
      </c>
      <c r="M25" s="165" t="s">
        <v>8</v>
      </c>
      <c r="N25" s="165" t="s">
        <v>29</v>
      </c>
      <c r="O25" s="165" t="s">
        <v>292</v>
      </c>
      <c r="P25" s="165" t="s">
        <v>18</v>
      </c>
      <c r="Q25" s="165" t="s">
        <v>320</v>
      </c>
      <c r="R25" s="165" t="s">
        <v>320</v>
      </c>
      <c r="U25" s="161" t="s">
        <v>54</v>
      </c>
      <c r="X25" s="15"/>
      <c r="Y25" s="15"/>
      <c r="Z25" s="15"/>
      <c r="AA25" s="15"/>
      <c r="AB25" s="15"/>
    </row>
    <row r="26" spans="1:28" ht="16.5" x14ac:dyDescent="0.3">
      <c r="A26" s="174"/>
      <c r="B26" s="176"/>
      <c r="L26" s="165" t="s">
        <v>321</v>
      </c>
      <c r="M26" s="165" t="s">
        <v>8</v>
      </c>
      <c r="N26" s="165" t="s">
        <v>9</v>
      </c>
      <c r="O26" s="165" t="s">
        <v>292</v>
      </c>
      <c r="P26" s="165" t="s">
        <v>10</v>
      </c>
      <c r="Q26" s="165" t="s">
        <v>310</v>
      </c>
      <c r="R26" s="165" t="s">
        <v>310</v>
      </c>
      <c r="U26" s="161" t="s">
        <v>55</v>
      </c>
      <c r="X26" s="15"/>
      <c r="Y26" s="15"/>
      <c r="Z26" s="15"/>
      <c r="AA26" s="15"/>
      <c r="AB26" s="15"/>
    </row>
    <row r="27" spans="1:28" x14ac:dyDescent="0.25">
      <c r="A27" s="174"/>
      <c r="B27" s="173"/>
      <c r="L27" s="165" t="s">
        <v>322</v>
      </c>
      <c r="M27" s="165" t="s">
        <v>32</v>
      </c>
      <c r="N27" s="165" t="s">
        <v>17</v>
      </c>
      <c r="O27" s="165" t="s">
        <v>293</v>
      </c>
      <c r="P27" s="165" t="s">
        <v>18</v>
      </c>
      <c r="Q27" s="165" t="s">
        <v>30</v>
      </c>
      <c r="R27" s="165" t="s">
        <v>30</v>
      </c>
      <c r="U27" s="161" t="s">
        <v>56</v>
      </c>
    </row>
    <row r="28" spans="1:28" x14ac:dyDescent="0.25">
      <c r="A28" s="177"/>
      <c r="B28" s="178"/>
      <c r="L28" s="165" t="s">
        <v>323</v>
      </c>
      <c r="M28" s="165" t="s">
        <v>8</v>
      </c>
      <c r="N28" s="165" t="s">
        <v>9</v>
      </c>
      <c r="O28" s="165" t="s">
        <v>292</v>
      </c>
      <c r="P28" s="165" t="s">
        <v>10</v>
      </c>
      <c r="Q28" s="165" t="s">
        <v>324</v>
      </c>
      <c r="R28" s="165" t="s">
        <v>325</v>
      </c>
      <c r="U28" s="161" t="s">
        <v>57</v>
      </c>
    </row>
    <row r="29" spans="1:28" x14ac:dyDescent="0.25">
      <c r="A29" s="174"/>
      <c r="B29" s="173"/>
      <c r="L29" s="165" t="s">
        <v>326</v>
      </c>
      <c r="M29" s="165" t="s">
        <v>32</v>
      </c>
      <c r="N29" s="165" t="s">
        <v>27</v>
      </c>
      <c r="O29" s="165" t="s">
        <v>293</v>
      </c>
      <c r="P29" s="165" t="s">
        <v>10</v>
      </c>
      <c r="Q29" s="165" t="s">
        <v>327</v>
      </c>
      <c r="R29" s="165" t="s">
        <v>327</v>
      </c>
      <c r="U29" s="161" t="s">
        <v>58</v>
      </c>
    </row>
    <row r="30" spans="1:28" x14ac:dyDescent="0.25">
      <c r="A30" s="177"/>
      <c r="B30" s="178" t="s">
        <v>374</v>
      </c>
      <c r="L30" s="165" t="s">
        <v>328</v>
      </c>
      <c r="M30" s="165" t="s">
        <v>13</v>
      </c>
      <c r="N30" s="165" t="s">
        <v>17</v>
      </c>
      <c r="O30" s="165" t="s">
        <v>293</v>
      </c>
      <c r="P30" s="165" t="s">
        <v>18</v>
      </c>
      <c r="Q30" s="165" t="s">
        <v>329</v>
      </c>
      <c r="R30" s="165" t="s">
        <v>329</v>
      </c>
      <c r="U30" s="161" t="s">
        <v>59</v>
      </c>
    </row>
    <row r="31" spans="1:28" x14ac:dyDescent="0.25">
      <c r="L31" s="165" t="s">
        <v>330</v>
      </c>
      <c r="M31" s="165" t="s">
        <v>24</v>
      </c>
      <c r="N31" s="165" t="s">
        <v>17</v>
      </c>
      <c r="O31" s="165" t="s">
        <v>293</v>
      </c>
      <c r="P31" s="165" t="s">
        <v>18</v>
      </c>
      <c r="Q31" s="165" t="s">
        <v>43</v>
      </c>
      <c r="R31" s="165" t="s">
        <v>43</v>
      </c>
      <c r="U31" s="161" t="s">
        <v>60</v>
      </c>
    </row>
    <row r="32" spans="1:28" x14ac:dyDescent="0.25">
      <c r="L32" s="165" t="s">
        <v>331</v>
      </c>
      <c r="M32" s="165" t="s">
        <v>32</v>
      </c>
      <c r="N32" s="165" t="s">
        <v>29</v>
      </c>
      <c r="O32" s="165" t="s">
        <v>292</v>
      </c>
      <c r="P32" s="165" t="s">
        <v>18</v>
      </c>
      <c r="Q32" s="165" t="s">
        <v>332</v>
      </c>
      <c r="R32" s="165" t="s">
        <v>332</v>
      </c>
      <c r="U32" s="161" t="s">
        <v>61</v>
      </c>
    </row>
    <row r="33" spans="12:21" x14ac:dyDescent="0.25">
      <c r="L33" s="165" t="s">
        <v>62</v>
      </c>
      <c r="M33" s="165" t="s">
        <v>13</v>
      </c>
      <c r="N33" s="165" t="s">
        <v>29</v>
      </c>
      <c r="O33" s="165" t="s">
        <v>292</v>
      </c>
      <c r="P33" s="165" t="s">
        <v>18</v>
      </c>
      <c r="Q33" s="165" t="s">
        <v>63</v>
      </c>
      <c r="R33" s="165" t="s">
        <v>63</v>
      </c>
      <c r="U33" s="161" t="s">
        <v>64</v>
      </c>
    </row>
    <row r="34" spans="12:21" x14ac:dyDescent="0.25">
      <c r="L34" s="165" t="s">
        <v>333</v>
      </c>
      <c r="M34" s="165" t="s">
        <v>24</v>
      </c>
      <c r="N34" s="165" t="s">
        <v>27</v>
      </c>
      <c r="O34" s="165" t="s">
        <v>293</v>
      </c>
      <c r="P34" s="165" t="s">
        <v>10</v>
      </c>
      <c r="Q34" s="165" t="s">
        <v>65</v>
      </c>
      <c r="R34" s="165" t="s">
        <v>65</v>
      </c>
      <c r="U34" s="161" t="s">
        <v>66</v>
      </c>
    </row>
    <row r="35" spans="12:21" x14ac:dyDescent="0.25">
      <c r="L35" s="165" t="s">
        <v>67</v>
      </c>
      <c r="M35" s="165" t="s">
        <v>13</v>
      </c>
      <c r="N35" s="165" t="s">
        <v>29</v>
      </c>
      <c r="O35" s="165" t="s">
        <v>292</v>
      </c>
      <c r="P35" s="165" t="s">
        <v>18</v>
      </c>
      <c r="Q35" s="165" t="s">
        <v>43</v>
      </c>
      <c r="R35" s="165" t="s">
        <v>43</v>
      </c>
      <c r="U35" s="161" t="s">
        <v>68</v>
      </c>
    </row>
    <row r="36" spans="12:21" x14ac:dyDescent="0.25">
      <c r="L36" s="165" t="s">
        <v>69</v>
      </c>
      <c r="M36" s="165" t="s">
        <v>24</v>
      </c>
      <c r="N36" s="165" t="s">
        <v>17</v>
      </c>
      <c r="O36" s="165" t="s">
        <v>293</v>
      </c>
      <c r="P36" s="165" t="s">
        <v>18</v>
      </c>
      <c r="Q36" s="165" t="s">
        <v>47</v>
      </c>
      <c r="R36" s="165" t="s">
        <v>47</v>
      </c>
      <c r="U36" s="161" t="s">
        <v>70</v>
      </c>
    </row>
    <row r="37" spans="12:21" x14ac:dyDescent="0.25">
      <c r="L37" s="165" t="s">
        <v>71</v>
      </c>
      <c r="M37" s="165" t="s">
        <v>8</v>
      </c>
      <c r="N37" s="165" t="s">
        <v>27</v>
      </c>
      <c r="O37" s="165" t="s">
        <v>293</v>
      </c>
      <c r="P37" s="165" t="s">
        <v>10</v>
      </c>
      <c r="Q37" s="165" t="s">
        <v>72</v>
      </c>
      <c r="R37" s="165" t="s">
        <v>72</v>
      </c>
      <c r="U37" s="161" t="s">
        <v>73</v>
      </c>
    </row>
    <row r="38" spans="12:21" x14ac:dyDescent="0.25">
      <c r="L38" s="165" t="s">
        <v>74</v>
      </c>
      <c r="M38" s="165" t="s">
        <v>8</v>
      </c>
      <c r="N38" s="165" t="s">
        <v>9</v>
      </c>
      <c r="O38" s="165" t="s">
        <v>292</v>
      </c>
      <c r="P38" s="165" t="s">
        <v>10</v>
      </c>
      <c r="Q38" s="165" t="s">
        <v>75</v>
      </c>
      <c r="R38" s="165" t="s">
        <v>75</v>
      </c>
      <c r="U38" s="161" t="s">
        <v>76</v>
      </c>
    </row>
    <row r="39" spans="12:21" x14ac:dyDescent="0.25">
      <c r="L39" s="165" t="s">
        <v>77</v>
      </c>
      <c r="M39" s="165" t="s">
        <v>24</v>
      </c>
      <c r="N39" s="165" t="s">
        <v>9</v>
      </c>
      <c r="O39" s="165" t="s">
        <v>292</v>
      </c>
      <c r="P39" s="165" t="s">
        <v>10</v>
      </c>
      <c r="Q39" s="165" t="s">
        <v>50</v>
      </c>
      <c r="R39" s="165" t="s">
        <v>50</v>
      </c>
      <c r="U39" s="161" t="s">
        <v>78</v>
      </c>
    </row>
    <row r="40" spans="12:21" x14ac:dyDescent="0.25">
      <c r="L40" s="165" t="s">
        <v>79</v>
      </c>
      <c r="M40" s="165" t="s">
        <v>24</v>
      </c>
      <c r="N40" s="165" t="s">
        <v>17</v>
      </c>
      <c r="O40" s="165" t="s">
        <v>293</v>
      </c>
      <c r="P40" s="165" t="s">
        <v>18</v>
      </c>
      <c r="Q40" s="165" t="s">
        <v>35</v>
      </c>
      <c r="R40" s="165" t="s">
        <v>35</v>
      </c>
      <c r="U40" s="161" t="s">
        <v>80</v>
      </c>
    </row>
    <row r="41" spans="12:21" x14ac:dyDescent="0.25">
      <c r="L41" s="165" t="s">
        <v>81</v>
      </c>
      <c r="M41" s="165" t="s">
        <v>32</v>
      </c>
      <c r="N41" s="165" t="s">
        <v>9</v>
      </c>
      <c r="O41" s="165" t="s">
        <v>292</v>
      </c>
      <c r="P41" s="165" t="s">
        <v>10</v>
      </c>
      <c r="Q41" s="165" t="s">
        <v>82</v>
      </c>
      <c r="R41" s="165" t="s">
        <v>37</v>
      </c>
      <c r="U41" s="161" t="s">
        <v>83</v>
      </c>
    </row>
    <row r="42" spans="12:21" x14ac:dyDescent="0.25">
      <c r="L42" s="165" t="s">
        <v>84</v>
      </c>
      <c r="M42" s="165" t="s">
        <v>24</v>
      </c>
      <c r="N42" s="165" t="s">
        <v>9</v>
      </c>
      <c r="O42" s="165" t="s">
        <v>292</v>
      </c>
      <c r="P42" s="165" t="s">
        <v>10</v>
      </c>
      <c r="Q42" s="165" t="s">
        <v>85</v>
      </c>
      <c r="R42" s="165" t="s">
        <v>85</v>
      </c>
      <c r="U42" s="161" t="s">
        <v>86</v>
      </c>
    </row>
    <row r="43" spans="12:21" x14ac:dyDescent="0.25">
      <c r="L43" s="165" t="s">
        <v>87</v>
      </c>
      <c r="M43" s="165" t="s">
        <v>8</v>
      </c>
      <c r="N43" s="165" t="s">
        <v>9</v>
      </c>
      <c r="O43" s="165" t="s">
        <v>292</v>
      </c>
      <c r="P43" s="165" t="s">
        <v>10</v>
      </c>
      <c r="Q43" s="165" t="s">
        <v>50</v>
      </c>
      <c r="R43" s="165" t="s">
        <v>50</v>
      </c>
      <c r="U43" s="161" t="s">
        <v>88</v>
      </c>
    </row>
    <row r="44" spans="12:21" x14ac:dyDescent="0.25">
      <c r="L44" s="165" t="s">
        <v>89</v>
      </c>
      <c r="M44" s="165" t="s">
        <v>13</v>
      </c>
      <c r="N44" s="165" t="s">
        <v>29</v>
      </c>
      <c r="O44" s="165" t="s">
        <v>292</v>
      </c>
      <c r="P44" s="165" t="s">
        <v>18</v>
      </c>
      <c r="Q44" s="165" t="s">
        <v>90</v>
      </c>
      <c r="R44" s="165" t="s">
        <v>90</v>
      </c>
      <c r="U44" s="161" t="s">
        <v>91</v>
      </c>
    </row>
    <row r="45" spans="12:21" x14ac:dyDescent="0.25">
      <c r="L45" s="165" t="s">
        <v>92</v>
      </c>
      <c r="M45" s="165" t="s">
        <v>24</v>
      </c>
      <c r="N45" s="165" t="s">
        <v>17</v>
      </c>
      <c r="O45" s="165" t="s">
        <v>293</v>
      </c>
      <c r="P45" s="165" t="s">
        <v>18</v>
      </c>
      <c r="Q45" s="165" t="s">
        <v>93</v>
      </c>
      <c r="R45" s="165" t="s">
        <v>93</v>
      </c>
    </row>
    <row r="46" spans="12:21" x14ac:dyDescent="0.25">
      <c r="L46" s="165" t="s">
        <v>94</v>
      </c>
      <c r="M46" s="165" t="s">
        <v>24</v>
      </c>
      <c r="N46" s="165" t="s">
        <v>27</v>
      </c>
      <c r="O46" s="165" t="s">
        <v>293</v>
      </c>
      <c r="P46" s="165" t="s">
        <v>10</v>
      </c>
      <c r="Q46" s="165" t="s">
        <v>11</v>
      </c>
      <c r="R46" s="165" t="s">
        <v>11</v>
      </c>
    </row>
    <row r="47" spans="12:21" x14ac:dyDescent="0.25">
      <c r="L47" s="165" t="s">
        <v>95</v>
      </c>
      <c r="M47" s="165" t="s">
        <v>24</v>
      </c>
      <c r="N47" s="165" t="s">
        <v>29</v>
      </c>
      <c r="O47" s="165" t="s">
        <v>292</v>
      </c>
      <c r="P47" s="165" t="s">
        <v>18</v>
      </c>
      <c r="Q47" s="165" t="s">
        <v>96</v>
      </c>
      <c r="R47" s="165" t="s">
        <v>96</v>
      </c>
    </row>
    <row r="48" spans="12:21" x14ac:dyDescent="0.25">
      <c r="L48" s="165" t="s">
        <v>97</v>
      </c>
      <c r="M48" s="165" t="s">
        <v>8</v>
      </c>
      <c r="N48" s="165" t="s">
        <v>27</v>
      </c>
      <c r="O48" s="165" t="s">
        <v>293</v>
      </c>
      <c r="P48" s="165" t="s">
        <v>10</v>
      </c>
      <c r="Q48" s="165" t="s">
        <v>98</v>
      </c>
      <c r="R48" s="165" t="s">
        <v>98</v>
      </c>
    </row>
    <row r="49" spans="12:18" x14ac:dyDescent="0.25">
      <c r="L49" s="165" t="s">
        <v>99</v>
      </c>
      <c r="M49" s="165" t="s">
        <v>32</v>
      </c>
      <c r="N49" s="165" t="s">
        <v>27</v>
      </c>
      <c r="O49" s="165" t="s">
        <v>293</v>
      </c>
      <c r="P49" s="165" t="s">
        <v>10</v>
      </c>
      <c r="Q49" s="165" t="s">
        <v>100</v>
      </c>
      <c r="R49" s="165" t="s">
        <v>100</v>
      </c>
    </row>
    <row r="50" spans="12:18" x14ac:dyDescent="0.25">
      <c r="L50" s="165" t="s">
        <v>101</v>
      </c>
      <c r="M50" s="165" t="s">
        <v>8</v>
      </c>
      <c r="N50" s="165" t="s">
        <v>29</v>
      </c>
      <c r="O50" s="165" t="s">
        <v>292</v>
      </c>
      <c r="P50" s="165" t="s">
        <v>18</v>
      </c>
      <c r="Q50" s="165" t="s">
        <v>72</v>
      </c>
      <c r="R50" s="165" t="s">
        <v>72</v>
      </c>
    </row>
    <row r="51" spans="12:18" x14ac:dyDescent="0.25">
      <c r="L51" s="165" t="s">
        <v>102</v>
      </c>
      <c r="M51" s="165" t="s">
        <v>32</v>
      </c>
      <c r="N51" s="165" t="s">
        <v>27</v>
      </c>
      <c r="O51" s="165" t="s">
        <v>293</v>
      </c>
      <c r="P51" s="165" t="s">
        <v>10</v>
      </c>
      <c r="Q51" s="165" t="s">
        <v>43</v>
      </c>
      <c r="R51" s="165" t="s">
        <v>43</v>
      </c>
    </row>
    <row r="52" spans="12:18" x14ac:dyDescent="0.25">
      <c r="L52" s="165" t="s">
        <v>103</v>
      </c>
      <c r="M52" s="165" t="s">
        <v>13</v>
      </c>
      <c r="N52" s="165" t="s">
        <v>27</v>
      </c>
      <c r="O52" s="165" t="s">
        <v>293</v>
      </c>
      <c r="P52" s="165" t="s">
        <v>10</v>
      </c>
      <c r="Q52" s="165" t="s">
        <v>104</v>
      </c>
      <c r="R52" s="165" t="s">
        <v>104</v>
      </c>
    </row>
    <row r="53" spans="12:18" x14ac:dyDescent="0.25">
      <c r="L53" s="165" t="s">
        <v>105</v>
      </c>
      <c r="M53" s="165" t="s">
        <v>8</v>
      </c>
      <c r="N53" s="165" t="s">
        <v>17</v>
      </c>
      <c r="O53" s="165" t="s">
        <v>293</v>
      </c>
      <c r="P53" s="165" t="s">
        <v>18</v>
      </c>
      <c r="Q53" s="165" t="s">
        <v>11</v>
      </c>
      <c r="R53" s="165" t="s">
        <v>11</v>
      </c>
    </row>
    <row r="54" spans="12:18" x14ac:dyDescent="0.25">
      <c r="L54" s="165" t="s">
        <v>106</v>
      </c>
      <c r="M54" s="165" t="s">
        <v>32</v>
      </c>
      <c r="N54" s="165" t="s">
        <v>9</v>
      </c>
      <c r="O54" s="165" t="s">
        <v>292</v>
      </c>
      <c r="P54" s="165" t="s">
        <v>10</v>
      </c>
      <c r="Q54" s="165" t="s">
        <v>30</v>
      </c>
      <c r="R54" s="165" t="s">
        <v>30</v>
      </c>
    </row>
    <row r="55" spans="12:18" x14ac:dyDescent="0.25">
      <c r="L55" s="165" t="s">
        <v>107</v>
      </c>
      <c r="M55" s="165" t="s">
        <v>13</v>
      </c>
      <c r="N55" s="165" t="s">
        <v>27</v>
      </c>
      <c r="O55" s="165" t="s">
        <v>293</v>
      </c>
      <c r="P55" s="165" t="s">
        <v>10</v>
      </c>
      <c r="Q55" s="165" t="s">
        <v>93</v>
      </c>
      <c r="R55" s="165" t="s">
        <v>93</v>
      </c>
    </row>
    <row r="56" spans="12:18" x14ac:dyDescent="0.25">
      <c r="L56" s="165" t="s">
        <v>108</v>
      </c>
      <c r="M56" s="165" t="s">
        <v>8</v>
      </c>
      <c r="N56" s="165" t="s">
        <v>17</v>
      </c>
      <c r="O56" s="165" t="s">
        <v>293</v>
      </c>
      <c r="P56" s="165" t="s">
        <v>18</v>
      </c>
      <c r="Q56" s="165" t="s">
        <v>109</v>
      </c>
      <c r="R56" s="165" t="s">
        <v>109</v>
      </c>
    </row>
    <row r="57" spans="12:18" x14ac:dyDescent="0.25">
      <c r="L57" s="165" t="s">
        <v>18</v>
      </c>
      <c r="M57" s="165" t="s">
        <v>32</v>
      </c>
      <c r="N57" s="165" t="s">
        <v>29</v>
      </c>
      <c r="O57" s="165" t="s">
        <v>292</v>
      </c>
      <c r="P57" s="165" t="s">
        <v>18</v>
      </c>
      <c r="Q57" s="165" t="s">
        <v>25</v>
      </c>
      <c r="R57" s="165" t="s">
        <v>25</v>
      </c>
    </row>
    <row r="58" spans="12:18" x14ac:dyDescent="0.25">
      <c r="L58" s="165" t="s">
        <v>29</v>
      </c>
      <c r="M58" s="165" t="s">
        <v>8</v>
      </c>
      <c r="N58" s="165" t="s">
        <v>29</v>
      </c>
      <c r="O58" s="165" t="s">
        <v>292</v>
      </c>
      <c r="P58" s="165" t="s">
        <v>18</v>
      </c>
      <c r="Q58" s="165" t="s">
        <v>110</v>
      </c>
      <c r="R58" s="165" t="s">
        <v>110</v>
      </c>
    </row>
    <row r="59" spans="12:18" x14ac:dyDescent="0.25">
      <c r="L59" s="165" t="s">
        <v>111</v>
      </c>
      <c r="M59" s="165" t="s">
        <v>13</v>
      </c>
      <c r="N59" s="165" t="s">
        <v>17</v>
      </c>
      <c r="O59" s="165" t="s">
        <v>293</v>
      </c>
      <c r="P59" s="165" t="s">
        <v>18</v>
      </c>
      <c r="Q59" s="165" t="s">
        <v>47</v>
      </c>
      <c r="R59" s="165" t="s">
        <v>47</v>
      </c>
    </row>
    <row r="60" spans="12:18" x14ac:dyDescent="0.25">
      <c r="L60" s="165" t="s">
        <v>112</v>
      </c>
      <c r="M60" s="165" t="s">
        <v>32</v>
      </c>
      <c r="N60" s="165" t="s">
        <v>17</v>
      </c>
      <c r="O60" s="165" t="s">
        <v>293</v>
      </c>
      <c r="P60" s="165" t="s">
        <v>18</v>
      </c>
      <c r="Q60" s="165" t="s">
        <v>113</v>
      </c>
      <c r="R60" s="165" t="s">
        <v>113</v>
      </c>
    </row>
    <row r="61" spans="12:18" x14ac:dyDescent="0.25">
      <c r="L61" s="165" t="s">
        <v>114</v>
      </c>
      <c r="M61" s="165" t="s">
        <v>13</v>
      </c>
      <c r="N61" s="165" t="s">
        <v>9</v>
      </c>
      <c r="O61" s="165" t="s">
        <v>292</v>
      </c>
      <c r="P61" s="165" t="s">
        <v>10</v>
      </c>
      <c r="Q61" s="165" t="s">
        <v>65</v>
      </c>
      <c r="R61" s="165" t="s">
        <v>65</v>
      </c>
    </row>
    <row r="62" spans="12:18" x14ac:dyDescent="0.25">
      <c r="L62" s="165" t="s">
        <v>115</v>
      </c>
      <c r="M62" s="165" t="s">
        <v>8</v>
      </c>
      <c r="N62" s="165" t="s">
        <v>27</v>
      </c>
      <c r="O62" s="165" t="s">
        <v>293</v>
      </c>
      <c r="P62" s="165" t="s">
        <v>10</v>
      </c>
      <c r="Q62" s="165" t="s">
        <v>116</v>
      </c>
      <c r="R62" s="165" t="s">
        <v>116</v>
      </c>
    </row>
    <row r="63" spans="12:18" x14ac:dyDescent="0.25">
      <c r="L63" s="165" t="s">
        <v>117</v>
      </c>
      <c r="M63" s="165" t="s">
        <v>24</v>
      </c>
      <c r="N63" s="165" t="s">
        <v>27</v>
      </c>
      <c r="O63" s="165" t="s">
        <v>293</v>
      </c>
      <c r="P63" s="165" t="s">
        <v>10</v>
      </c>
      <c r="Q63" s="165" t="s">
        <v>118</v>
      </c>
      <c r="R63" s="165" t="s">
        <v>118</v>
      </c>
    </row>
    <row r="64" spans="12:18" x14ac:dyDescent="0.25">
      <c r="L64" s="165" t="s">
        <v>119</v>
      </c>
      <c r="M64" s="165" t="s">
        <v>32</v>
      </c>
      <c r="N64" s="165" t="s">
        <v>9</v>
      </c>
      <c r="O64" s="165" t="s">
        <v>292</v>
      </c>
      <c r="P64" s="165" t="s">
        <v>10</v>
      </c>
      <c r="Q64" s="165" t="s">
        <v>120</v>
      </c>
      <c r="R64" s="165" t="s">
        <v>120</v>
      </c>
    </row>
    <row r="65" spans="12:18" x14ac:dyDescent="0.25">
      <c r="L65" s="165" t="s">
        <v>121</v>
      </c>
      <c r="M65" s="165" t="s">
        <v>13</v>
      </c>
      <c r="N65" s="165" t="s">
        <v>9</v>
      </c>
      <c r="O65" s="165" t="s">
        <v>292</v>
      </c>
      <c r="P65" s="165" t="s">
        <v>10</v>
      </c>
      <c r="Q65" s="165" t="s">
        <v>47</v>
      </c>
      <c r="R65" s="165" t="s">
        <v>47</v>
      </c>
    </row>
    <row r="66" spans="12:18" x14ac:dyDescent="0.25">
      <c r="L66" s="165" t="s">
        <v>122</v>
      </c>
      <c r="M66" s="165" t="s">
        <v>24</v>
      </c>
      <c r="N66" s="165" t="s">
        <v>29</v>
      </c>
      <c r="O66" s="165" t="s">
        <v>292</v>
      </c>
      <c r="P66" s="165" t="s">
        <v>18</v>
      </c>
      <c r="Q66" s="165" t="s">
        <v>123</v>
      </c>
      <c r="R66" s="165" t="s">
        <v>123</v>
      </c>
    </row>
    <row r="67" spans="12:18" x14ac:dyDescent="0.25">
      <c r="L67" s="165" t="s">
        <v>124</v>
      </c>
      <c r="M67" s="165" t="s">
        <v>8</v>
      </c>
      <c r="N67" s="165" t="s">
        <v>9</v>
      </c>
      <c r="O67" s="165" t="s">
        <v>292</v>
      </c>
      <c r="P67" s="165" t="s">
        <v>10</v>
      </c>
      <c r="Q67" s="165" t="s">
        <v>118</v>
      </c>
      <c r="R67" s="165" t="s">
        <v>118</v>
      </c>
    </row>
    <row r="68" spans="12:18" x14ac:dyDescent="0.25">
      <c r="L68" s="165" t="s">
        <v>125</v>
      </c>
      <c r="M68" s="165" t="s">
        <v>24</v>
      </c>
      <c r="N68" s="165" t="s">
        <v>29</v>
      </c>
      <c r="O68" s="165" t="s">
        <v>292</v>
      </c>
      <c r="P68" s="165" t="s">
        <v>18</v>
      </c>
      <c r="Q68" s="165" t="s">
        <v>65</v>
      </c>
      <c r="R68" s="165" t="s">
        <v>65</v>
      </c>
    </row>
    <row r="69" spans="12:18" x14ac:dyDescent="0.25">
      <c r="L69" s="165" t="s">
        <v>126</v>
      </c>
      <c r="M69" s="165" t="s">
        <v>13</v>
      </c>
      <c r="N69" s="165" t="s">
        <v>27</v>
      </c>
      <c r="O69" s="165" t="s">
        <v>293</v>
      </c>
      <c r="P69" s="165" t="s">
        <v>10</v>
      </c>
      <c r="Q69" s="165" t="s">
        <v>127</v>
      </c>
      <c r="R69" s="165" t="s">
        <v>127</v>
      </c>
    </row>
    <row r="70" spans="12:18" x14ac:dyDescent="0.25">
      <c r="L70" s="165" t="s">
        <v>128</v>
      </c>
      <c r="M70" s="165" t="s">
        <v>24</v>
      </c>
      <c r="N70" s="165" t="s">
        <v>27</v>
      </c>
      <c r="O70" s="165" t="s">
        <v>293</v>
      </c>
      <c r="P70" s="165" t="s">
        <v>10</v>
      </c>
      <c r="Q70" s="165" t="s">
        <v>129</v>
      </c>
      <c r="R70" s="165" t="s">
        <v>129</v>
      </c>
    </row>
    <row r="71" spans="12:18" x14ac:dyDescent="0.25">
      <c r="L71" s="165" t="s">
        <v>130</v>
      </c>
      <c r="M71" s="165" t="s">
        <v>13</v>
      </c>
      <c r="N71" s="165" t="s">
        <v>9</v>
      </c>
      <c r="O71" s="165" t="s">
        <v>292</v>
      </c>
      <c r="P71" s="165" t="s">
        <v>10</v>
      </c>
      <c r="Q71" s="165" t="s">
        <v>11</v>
      </c>
      <c r="R71" s="165" t="s">
        <v>11</v>
      </c>
    </row>
    <row r="72" spans="12:18" x14ac:dyDescent="0.25">
      <c r="L72" s="165" t="s">
        <v>131</v>
      </c>
      <c r="M72" s="165" t="s">
        <v>13</v>
      </c>
      <c r="N72" s="165" t="s">
        <v>17</v>
      </c>
      <c r="O72" s="165" t="s">
        <v>293</v>
      </c>
      <c r="P72" s="165" t="s">
        <v>18</v>
      </c>
      <c r="Q72" s="165" t="s">
        <v>132</v>
      </c>
      <c r="R72" s="165" t="s">
        <v>132</v>
      </c>
    </row>
    <row r="75" spans="12:18" x14ac:dyDescent="0.25">
      <c r="L75" s="165"/>
      <c r="M75" s="165"/>
      <c r="N75" s="165"/>
      <c r="O75" s="165"/>
      <c r="P75" s="165"/>
      <c r="Q75" s="165"/>
      <c r="R75" s="165"/>
    </row>
  </sheetData>
  <sheetProtection sheet="1" objects="1" scenarios="1"/>
  <autoFilter ref="L2:R72">
    <sortState ref="L3:R72">
      <sortCondition ref="L2:L72"/>
    </sortState>
  </autoFilter>
  <sortState ref="L3:R72">
    <sortCondition ref="L3"/>
  </sortState>
  <mergeCells count="1">
    <mergeCell ref="D8:E8"/>
  </mergeCells>
  <dataValidations count="2">
    <dataValidation type="list" allowBlank="1" showInputMessage="1" showErrorMessage="1" sqref="D5">
      <formula1>"Select Gender, BB, GB"</formula1>
    </dataValidation>
    <dataValidation type="list" allowBlank="1" showInputMessage="1" showErrorMessage="1" sqref="B1">
      <formula1>$L$2:$L$72</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J37"/>
  <sheetViews>
    <sheetView showZeros="0" zoomScale="70" zoomScaleNormal="70" workbookViewId="0">
      <pane xSplit="2" ySplit="6" topLeftCell="C7" activePane="bottomRight" state="frozen"/>
      <selection activeCell="F32" sqref="F32:S32"/>
      <selection pane="topRight" activeCell="F32" sqref="F32:S32"/>
      <selection pane="bottomLeft" activeCell="F32" sqref="F32:S32"/>
      <selection pane="bottomRight" activeCell="AI48" sqref="AI48"/>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115</v>
      </c>
      <c r="C3" s="70">
        <v>7</v>
      </c>
      <c r="D3" s="71">
        <v>3</v>
      </c>
      <c r="E3" s="71">
        <v>6</v>
      </c>
      <c r="F3" s="71">
        <v>5</v>
      </c>
      <c r="G3" s="72"/>
      <c r="H3" s="73">
        <f>SUM(C3:G3)</f>
        <v>21</v>
      </c>
      <c r="J3" s="12" t="s">
        <v>165</v>
      </c>
      <c r="P3" s="74" t="s">
        <v>135</v>
      </c>
      <c r="Q3" s="74" t="s">
        <v>137</v>
      </c>
      <c r="S3" s="75" t="s">
        <v>138</v>
      </c>
      <c r="U3" s="76" t="s">
        <v>139</v>
      </c>
      <c r="W3" s="77" t="s">
        <v>134</v>
      </c>
      <c r="X3" s="77" t="s">
        <v>136</v>
      </c>
      <c r="AA3" s="48" t="str">
        <f>B4</f>
        <v>Upton</v>
      </c>
      <c r="AD3" s="48">
        <f>SUM($C3:C3)</f>
        <v>7</v>
      </c>
      <c r="AE3" s="48">
        <f>SUM($C3:D3)</f>
        <v>10</v>
      </c>
      <c r="AF3" s="48">
        <f>SUM($C3:E3)</f>
        <v>16</v>
      </c>
      <c r="AG3" s="48">
        <f>SUM($C3:F3)</f>
        <v>21</v>
      </c>
      <c r="AH3" s="48">
        <f>SUM($C3:G3)</f>
        <v>21</v>
      </c>
      <c r="AJ3" s="74"/>
    </row>
    <row r="4" spans="1:36" ht="16.5" customHeight="1" thickTop="1" thickBot="1" x14ac:dyDescent="0.3">
      <c r="B4" s="78" t="str">
        <f>Roster!$B$1</f>
        <v>Upton</v>
      </c>
      <c r="C4" s="79">
        <v>19</v>
      </c>
      <c r="D4" s="80">
        <v>24</v>
      </c>
      <c r="E4" s="80">
        <v>17</v>
      </c>
      <c r="F4" s="80">
        <v>5</v>
      </c>
      <c r="G4" s="81"/>
      <c r="H4" s="82">
        <f>SUM(C4:G4)</f>
        <v>65</v>
      </c>
      <c r="J4" s="83"/>
      <c r="L4" s="84" t="s">
        <v>133</v>
      </c>
      <c r="M4" s="404">
        <v>44904</v>
      </c>
      <c r="N4" s="405"/>
      <c r="P4" s="83"/>
      <c r="Q4" s="83"/>
      <c r="S4" s="83"/>
      <c r="U4" s="83"/>
      <c r="W4" s="85">
        <f>IF(OR($S$4=1,$H$4&gt;$H$3),1,"")</f>
        <v>1</v>
      </c>
      <c r="X4" s="85" t="str">
        <f>IF(OR($U$4=1,$H$4&lt;$H$3),1,"")</f>
        <v/>
      </c>
      <c r="AA4" s="48" t="str">
        <f>B3</f>
        <v>Ten Sleep</v>
      </c>
      <c r="AD4" s="48">
        <f>SUM($C4:C4)</f>
        <v>19</v>
      </c>
      <c r="AE4" s="48">
        <f>SUM($C4:D4)</f>
        <v>43</v>
      </c>
      <c r="AF4" s="48">
        <f>SUM($C4:E4)</f>
        <v>60</v>
      </c>
      <c r="AG4" s="48">
        <f>SUM($C4:F4)</f>
        <v>65</v>
      </c>
      <c r="AH4" s="48">
        <f>SUM($C4:G4)</f>
        <v>65</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3</v>
      </c>
      <c r="F7" s="90">
        <v>1</v>
      </c>
      <c r="G7" s="91">
        <v>1</v>
      </c>
      <c r="H7" s="92"/>
      <c r="I7" s="91"/>
      <c r="J7" s="92">
        <v>0</v>
      </c>
      <c r="K7" s="91"/>
      <c r="L7" s="92"/>
      <c r="M7" s="92"/>
      <c r="N7" s="92"/>
      <c r="O7" s="92"/>
      <c r="P7" s="92"/>
      <c r="Q7" s="92"/>
      <c r="R7" s="92"/>
      <c r="S7" s="93"/>
      <c r="T7" s="94">
        <f>IF(J7+2*H7+3*F7&gt;0,J7+2*H7+3*F7,0)</f>
        <v>3</v>
      </c>
      <c r="U7" s="95">
        <f>IF(G7&gt;0,F7/G7,"")</f>
        <v>1</v>
      </c>
      <c r="V7" s="95" t="str">
        <f>IF(I7&gt;0,H7/I7,"")</f>
        <v/>
      </c>
      <c r="W7" s="96" t="str">
        <f>IF(K7&gt;0,J7/K7,"")</f>
        <v/>
      </c>
      <c r="X7" s="97">
        <f t="shared" ref="X7:X32" si="0">IF(OR(G7&gt;0,I7 &gt;0),(F7+H7)/(G7+I7),"")</f>
        <v>1</v>
      </c>
      <c r="Y7" s="98">
        <f>IF(OR(G7&gt;0,I7 &gt;0),(1.5*F7+H7)/(G7+I7),"")</f>
        <v>1.5</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18</v>
      </c>
      <c r="F8" s="101"/>
      <c r="G8" s="102">
        <v>2</v>
      </c>
      <c r="H8" s="103">
        <v>2</v>
      </c>
      <c r="I8" s="102">
        <v>5</v>
      </c>
      <c r="J8" s="103"/>
      <c r="K8" s="102"/>
      <c r="L8" s="103">
        <v>2</v>
      </c>
      <c r="M8" s="103">
        <v>1</v>
      </c>
      <c r="N8" s="103">
        <v>2</v>
      </c>
      <c r="O8" s="103">
        <v>2</v>
      </c>
      <c r="P8" s="103"/>
      <c r="Q8" s="103">
        <v>3</v>
      </c>
      <c r="R8" s="103">
        <v>3</v>
      </c>
      <c r="S8" s="104"/>
      <c r="T8" s="105">
        <f t="shared" ref="T8:T30" si="1">IF(J8+2*H8+3*F8&gt;0,J8+2*H8+3*F8,0)</f>
        <v>4</v>
      </c>
      <c r="U8" s="106">
        <f t="shared" ref="U8:U30" si="2">IF(G8&gt;0,F8/G8,"")</f>
        <v>0</v>
      </c>
      <c r="V8" s="106">
        <f t="shared" ref="V8:V30" si="3">IF(I8&gt;0,H8/I8,"")</f>
        <v>0.4</v>
      </c>
      <c r="W8" s="107" t="str">
        <f t="shared" ref="W8:W30" si="4">IF(K8&gt;0,J8/K8,"")</f>
        <v/>
      </c>
      <c r="X8" s="106">
        <f t="shared" si="0"/>
        <v>0.2857142857142857</v>
      </c>
      <c r="Y8" s="108">
        <f t="shared" ref="Y8:Y32" si="5">IF(OR(G8&gt;0,I8 &gt;0),(1.5*F8+H8)/(G8+I8),"")</f>
        <v>0.2857142857142857</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21</v>
      </c>
      <c r="F9" s="111">
        <v>2</v>
      </c>
      <c r="G9" s="112">
        <v>4</v>
      </c>
      <c r="H9" s="113">
        <v>2</v>
      </c>
      <c r="I9" s="112">
        <v>3</v>
      </c>
      <c r="J9" s="113"/>
      <c r="K9" s="112"/>
      <c r="L9" s="113"/>
      <c r="M9" s="113">
        <v>2</v>
      </c>
      <c r="N9" s="113">
        <v>7</v>
      </c>
      <c r="O9" s="113">
        <v>1</v>
      </c>
      <c r="P9" s="113"/>
      <c r="Q9" s="113">
        <v>2</v>
      </c>
      <c r="R9" s="113"/>
      <c r="S9" s="114"/>
      <c r="T9" s="115">
        <f t="shared" si="1"/>
        <v>10</v>
      </c>
      <c r="U9" s="95">
        <f t="shared" si="2"/>
        <v>0.5</v>
      </c>
      <c r="V9" s="95">
        <f t="shared" si="3"/>
        <v>0.66666666666666663</v>
      </c>
      <c r="W9" s="96" t="str">
        <f t="shared" si="4"/>
        <v/>
      </c>
      <c r="X9" s="95">
        <f t="shared" si="0"/>
        <v>0.5714285714285714</v>
      </c>
      <c r="Y9" s="116">
        <f t="shared" si="5"/>
        <v>0.7142857142857143</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23</v>
      </c>
      <c r="F10" s="101">
        <v>4</v>
      </c>
      <c r="G10" s="102">
        <v>10</v>
      </c>
      <c r="H10" s="103">
        <v>3</v>
      </c>
      <c r="I10" s="102">
        <v>6</v>
      </c>
      <c r="J10" s="103">
        <v>2</v>
      </c>
      <c r="K10" s="102">
        <v>6</v>
      </c>
      <c r="L10" s="103">
        <v>2</v>
      </c>
      <c r="M10" s="103">
        <v>2</v>
      </c>
      <c r="N10" s="103">
        <v>2</v>
      </c>
      <c r="O10" s="103">
        <v>1</v>
      </c>
      <c r="P10" s="103"/>
      <c r="Q10" s="103">
        <v>2</v>
      </c>
      <c r="R10" s="103">
        <v>2</v>
      </c>
      <c r="S10" s="104"/>
      <c r="T10" s="105">
        <f t="shared" si="1"/>
        <v>20</v>
      </c>
      <c r="U10" s="106">
        <f t="shared" si="2"/>
        <v>0.4</v>
      </c>
      <c r="V10" s="106">
        <f t="shared" si="3"/>
        <v>0.5</v>
      </c>
      <c r="W10" s="107">
        <f t="shared" si="4"/>
        <v>0.33333333333333331</v>
      </c>
      <c r="X10" s="106">
        <f t="shared" si="0"/>
        <v>0.4375</v>
      </c>
      <c r="Y10" s="108">
        <f t="shared" si="5"/>
        <v>0.5625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67.5</v>
      </c>
      <c r="AB11" s="385">
        <f>T31/AA11</f>
        <v>0.96296296296296291</v>
      </c>
      <c r="AC11" s="385">
        <f>L31/AA11</f>
        <v>0.14814814814814814</v>
      </c>
      <c r="AD11" s="385">
        <f>M31/AA12</f>
        <v>0.2857142857142857</v>
      </c>
      <c r="AE11" s="389">
        <f>(L31+M31)/AA11</f>
        <v>0.42962962962962964</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1</v>
      </c>
      <c r="F12" s="101"/>
      <c r="G12" s="102"/>
      <c r="H12" s="103"/>
      <c r="I12" s="102"/>
      <c r="J12" s="103"/>
      <c r="K12" s="102"/>
      <c r="L12" s="103"/>
      <c r="M12" s="103"/>
      <c r="N12" s="103"/>
      <c r="O12" s="103"/>
      <c r="P12" s="103"/>
      <c r="Q12" s="103">
        <v>2</v>
      </c>
      <c r="R12" s="103">
        <v>1</v>
      </c>
      <c r="S12" s="104"/>
      <c r="T12" s="105">
        <f t="shared" si="1"/>
        <v>0</v>
      </c>
      <c r="U12" s="106" t="str">
        <f t="shared" si="2"/>
        <v/>
      </c>
      <c r="V12" s="106" t="str">
        <f t="shared" si="3"/>
        <v/>
      </c>
      <c r="W12" s="107" t="str">
        <f t="shared" si="4"/>
        <v/>
      </c>
      <c r="X12" s="106" t="str">
        <f t="shared" si="0"/>
        <v/>
      </c>
      <c r="Y12" s="108" t="str">
        <f t="shared" si="5"/>
        <v/>
      </c>
      <c r="Z12" s="388" t="s">
        <v>352</v>
      </c>
      <c r="AA12" s="385">
        <f>G32+I32+(K32/2)+Q32-L32</f>
        <v>66.5</v>
      </c>
      <c r="AB12" s="385">
        <f>T32/AA12</f>
        <v>0.31578947368421051</v>
      </c>
      <c r="AC12" s="385">
        <f>L32/AA12</f>
        <v>9.0225563909774431E-2</v>
      </c>
      <c r="AD12" s="385">
        <f>M32/AA11</f>
        <v>0.23703703703703705</v>
      </c>
      <c r="AE12" s="389">
        <f>(L32+M32)/AA12</f>
        <v>0.33082706766917291</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20</v>
      </c>
      <c r="F14" s="101">
        <v>2</v>
      </c>
      <c r="G14" s="102">
        <v>5</v>
      </c>
      <c r="H14" s="103">
        <v>4</v>
      </c>
      <c r="I14" s="102">
        <v>5</v>
      </c>
      <c r="J14" s="103">
        <v>2</v>
      </c>
      <c r="K14" s="102">
        <v>5</v>
      </c>
      <c r="L14" s="103">
        <v>3</v>
      </c>
      <c r="M14" s="103">
        <v>6</v>
      </c>
      <c r="N14" s="103">
        <v>7</v>
      </c>
      <c r="O14" s="103">
        <v>8</v>
      </c>
      <c r="P14" s="103">
        <v>3</v>
      </c>
      <c r="Q14" s="103">
        <v>6</v>
      </c>
      <c r="R14" s="103">
        <v>2</v>
      </c>
      <c r="S14" s="104"/>
      <c r="T14" s="105">
        <f t="shared" si="1"/>
        <v>16</v>
      </c>
      <c r="U14" s="106">
        <f t="shared" si="2"/>
        <v>0.4</v>
      </c>
      <c r="V14" s="106">
        <f t="shared" si="3"/>
        <v>0.8</v>
      </c>
      <c r="W14" s="107">
        <f t="shared" si="4"/>
        <v>0.4</v>
      </c>
      <c r="X14" s="106">
        <f t="shared" si="0"/>
        <v>0.6</v>
      </c>
      <c r="Y14" s="108">
        <f t="shared" si="5"/>
        <v>0.7</v>
      </c>
      <c r="Z14" s="385"/>
      <c r="AA14" s="385"/>
      <c r="AB14" s="385">
        <f>N31/AA11</f>
        <v>0.32592592592592595</v>
      </c>
      <c r="AC14" s="385">
        <f>O31/AA12</f>
        <v>0.2857142857142857</v>
      </c>
      <c r="AD14" s="385">
        <f>Q31/AA11</f>
        <v>0.25185185185185183</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14</v>
      </c>
      <c r="F15" s="111"/>
      <c r="G15" s="112">
        <v>1</v>
      </c>
      <c r="H15" s="113"/>
      <c r="I15" s="112"/>
      <c r="J15" s="113"/>
      <c r="K15" s="112"/>
      <c r="L15" s="113"/>
      <c r="M15" s="113">
        <v>2</v>
      </c>
      <c r="N15" s="113">
        <v>2</v>
      </c>
      <c r="O15" s="113">
        <v>4</v>
      </c>
      <c r="P15" s="113"/>
      <c r="Q15" s="113">
        <v>2</v>
      </c>
      <c r="R15" s="113">
        <v>3</v>
      </c>
      <c r="S15" s="114"/>
      <c r="T15" s="115">
        <f t="shared" si="1"/>
        <v>0</v>
      </c>
      <c r="U15" s="95">
        <f t="shared" si="2"/>
        <v>0</v>
      </c>
      <c r="V15" s="95" t="str">
        <f t="shared" si="3"/>
        <v/>
      </c>
      <c r="W15" s="96" t="str">
        <f t="shared" si="4"/>
        <v/>
      </c>
      <c r="X15" s="95">
        <f t="shared" si="0"/>
        <v>0</v>
      </c>
      <c r="Y15" s="116">
        <f t="shared" si="5"/>
        <v>0</v>
      </c>
      <c r="Z15" s="392"/>
      <c r="AA15" s="393"/>
      <c r="AB15" s="393">
        <f>N32/AA12</f>
        <v>3.007518796992481E-2</v>
      </c>
      <c r="AC15" s="393">
        <f>O32/AA11</f>
        <v>0.14814814814814814</v>
      </c>
      <c r="AD15" s="393">
        <f>Q32/AA12</f>
        <v>0.48120300751879697</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17</v>
      </c>
      <c r="F16" s="101">
        <v>1</v>
      </c>
      <c r="G16" s="102">
        <v>3</v>
      </c>
      <c r="H16" s="103">
        <v>3</v>
      </c>
      <c r="I16" s="102">
        <v>6</v>
      </c>
      <c r="J16" s="103">
        <v>3</v>
      </c>
      <c r="K16" s="102">
        <v>6</v>
      </c>
      <c r="L16" s="103">
        <v>3</v>
      </c>
      <c r="M16" s="103">
        <v>5</v>
      </c>
      <c r="N16" s="103">
        <v>2</v>
      </c>
      <c r="O16" s="103">
        <v>3</v>
      </c>
      <c r="P16" s="103">
        <v>2</v>
      </c>
      <c r="Q16" s="103"/>
      <c r="R16" s="103"/>
      <c r="S16" s="104"/>
      <c r="T16" s="105">
        <f t="shared" si="1"/>
        <v>12</v>
      </c>
      <c r="U16" s="106">
        <f t="shared" si="2"/>
        <v>0.33333333333333331</v>
      </c>
      <c r="V16" s="106">
        <f t="shared" si="3"/>
        <v>0.5</v>
      </c>
      <c r="W16" s="107">
        <f t="shared" si="4"/>
        <v>0.5</v>
      </c>
      <c r="X16" s="106">
        <f t="shared" si="0"/>
        <v>0.44444444444444442</v>
      </c>
      <c r="Y16" s="108">
        <f t="shared" si="5"/>
        <v>0.5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1</v>
      </c>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11</v>
      </c>
      <c r="F19" s="111"/>
      <c r="G19" s="112"/>
      <c r="H19" s="113"/>
      <c r="I19" s="112">
        <v>1</v>
      </c>
      <c r="J19" s="113"/>
      <c r="K19" s="112"/>
      <c r="L19" s="113"/>
      <c r="M19" s="113">
        <v>1</v>
      </c>
      <c r="N19" s="113"/>
      <c r="O19" s="113"/>
      <c r="P19" s="113"/>
      <c r="Q19" s="113"/>
      <c r="R19" s="113">
        <v>1</v>
      </c>
      <c r="S19" s="114"/>
      <c r="T19" s="115">
        <f t="shared" si="1"/>
        <v>0</v>
      </c>
      <c r="U19" s="95" t="str">
        <f t="shared" si="2"/>
        <v/>
      </c>
      <c r="V19" s="95">
        <f t="shared" si="3"/>
        <v>0</v>
      </c>
      <c r="W19" s="96" t="str">
        <f t="shared" si="4"/>
        <v/>
      </c>
      <c r="X19" s="95">
        <f t="shared" si="0"/>
        <v>0</v>
      </c>
      <c r="Y19" s="116">
        <f t="shared" si="5"/>
        <v>0</v>
      </c>
      <c r="Z19" s="388" t="s">
        <v>124</v>
      </c>
      <c r="AA19" s="385">
        <f>AB11*65</f>
        <v>62.592592592592588</v>
      </c>
      <c r="AB19" s="385">
        <f t="shared" ref="AB19:AD19" si="6">AC11*65</f>
        <v>9.6296296296296298</v>
      </c>
      <c r="AC19" s="385">
        <f t="shared" si="6"/>
        <v>18.571428571428569</v>
      </c>
      <c r="AD19" s="385">
        <f t="shared" si="6"/>
        <v>27.925925925925927</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20.526315789473681</v>
      </c>
      <c r="AB20" s="385">
        <f t="shared" ref="AB20:AD20" si="7">AC12*65</f>
        <v>5.8646616541353378</v>
      </c>
      <c r="AC20" s="385">
        <f t="shared" si="7"/>
        <v>15.407407407407408</v>
      </c>
      <c r="AD20" s="385">
        <f t="shared" si="7"/>
        <v>21.503759398496239</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C22" si="8">AB14*65</f>
        <v>21.185185185185187</v>
      </c>
      <c r="AC22" s="385">
        <f t="shared" si="8"/>
        <v>18.571428571428569</v>
      </c>
      <c r="AD22" s="385">
        <f>AD14*65</f>
        <v>16.37037037037037</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1.9548872180451127</v>
      </c>
      <c r="AC23" s="393">
        <f t="shared" ref="AC23:AD23" si="9">AC15*65</f>
        <v>9.6296296296296298</v>
      </c>
      <c r="AD23" s="393">
        <f t="shared" si="9"/>
        <v>31.278195488721803</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67</v>
      </c>
      <c r="B31" s="126" t="s">
        <v>161</v>
      </c>
      <c r="C31" s="151"/>
      <c r="D31" s="152">
        <f>IF(COUNTA($D$7:$D$30)&gt;0,1,"")</f>
        <v>1</v>
      </c>
      <c r="E31" s="127">
        <f>IF(D31=1,32+J4*4,"")</f>
        <v>32</v>
      </c>
      <c r="F31" s="128">
        <f t="shared" ref="F31:S31" si="10">SUM(F7:F30)</f>
        <v>10</v>
      </c>
      <c r="G31" s="129">
        <f t="shared" si="10"/>
        <v>26</v>
      </c>
      <c r="H31" s="128">
        <f t="shared" si="10"/>
        <v>14</v>
      </c>
      <c r="I31" s="130">
        <f t="shared" si="10"/>
        <v>26</v>
      </c>
      <c r="J31" s="129">
        <f t="shared" si="10"/>
        <v>7</v>
      </c>
      <c r="K31" s="130">
        <f t="shared" si="10"/>
        <v>17</v>
      </c>
      <c r="L31" s="129">
        <f t="shared" si="10"/>
        <v>10</v>
      </c>
      <c r="M31" s="129">
        <f t="shared" si="10"/>
        <v>19</v>
      </c>
      <c r="N31" s="129">
        <f t="shared" si="10"/>
        <v>22</v>
      </c>
      <c r="O31" s="129">
        <f t="shared" si="10"/>
        <v>19</v>
      </c>
      <c r="P31" s="129">
        <f t="shared" si="10"/>
        <v>5</v>
      </c>
      <c r="Q31" s="129">
        <f t="shared" si="10"/>
        <v>17</v>
      </c>
      <c r="R31" s="129">
        <f t="shared" si="10"/>
        <v>12</v>
      </c>
      <c r="S31" s="131">
        <f t="shared" si="10"/>
        <v>0</v>
      </c>
      <c r="T31" s="132">
        <f>IF(J31+2*H31+3*F31&gt;0,J31+2*H31+3*F31,IF(H4&gt;0,H4,""))</f>
        <v>65</v>
      </c>
      <c r="U31" s="133">
        <f>IF(G31&gt;0,F31/G31,"")</f>
        <v>0.38461538461538464</v>
      </c>
      <c r="V31" s="133">
        <f>IF(I31&gt;0,H31/I31,"")</f>
        <v>0.53846153846153844</v>
      </c>
      <c r="W31" s="134">
        <f>IF(K31&gt;0,J31/K31,"")</f>
        <v>0.41176470588235292</v>
      </c>
      <c r="X31" s="133">
        <f t="shared" si="0"/>
        <v>0.46153846153846156</v>
      </c>
      <c r="Y31" s="135">
        <f t="shared" si="5"/>
        <v>0.55769230769230771</v>
      </c>
      <c r="AB31" s="51"/>
      <c r="AC31" s="51"/>
      <c r="AD31" s="51"/>
      <c r="AE31" s="51"/>
      <c r="AF31" s="136"/>
      <c r="AG31" s="136"/>
      <c r="AH31" s="136"/>
      <c r="AI31" s="51"/>
    </row>
    <row r="32" spans="1:35" s="18" customFormat="1" ht="17.25" thickTop="1" thickBot="1" x14ac:dyDescent="0.3">
      <c r="A32" s="51">
        <f>ROUND(G32+I32+0.475*K32-L32+Q32,0)</f>
        <v>66</v>
      </c>
      <c r="B32" s="137" t="s">
        <v>162</v>
      </c>
      <c r="C32" s="153"/>
      <c r="D32" s="138">
        <f>IF(SUM(F32:S32)&gt;0,1,"")</f>
        <v>1</v>
      </c>
      <c r="E32" s="138">
        <f>IF(D32=1,E31,0)</f>
        <v>32</v>
      </c>
      <c r="F32" s="139">
        <v>1</v>
      </c>
      <c r="G32" s="140">
        <v>9</v>
      </c>
      <c r="H32" s="139">
        <v>8</v>
      </c>
      <c r="I32" s="141">
        <v>25</v>
      </c>
      <c r="J32" s="139">
        <v>2</v>
      </c>
      <c r="K32" s="141">
        <v>13</v>
      </c>
      <c r="L32" s="140">
        <v>6</v>
      </c>
      <c r="M32" s="140">
        <v>16</v>
      </c>
      <c r="N32" s="140">
        <v>2</v>
      </c>
      <c r="O32" s="140">
        <v>10</v>
      </c>
      <c r="P32" s="140">
        <v>2</v>
      </c>
      <c r="Q32" s="140">
        <v>32</v>
      </c>
      <c r="R32" s="140">
        <v>12</v>
      </c>
      <c r="S32" s="142"/>
      <c r="T32" s="143">
        <f>IF(J32+2*H32+3*F32&gt;0,J32+2*H32+3*F32,IF(H3&gt;0,H3,""))</f>
        <v>21</v>
      </c>
      <c r="U32" s="144">
        <f>IF(G32&gt;0,F32/G32,"")</f>
        <v>0.1111111111111111</v>
      </c>
      <c r="V32" s="144">
        <f>IF(I32&gt;0,H32/I32,"")</f>
        <v>0.32</v>
      </c>
      <c r="W32" s="145">
        <f>IF(K32&gt;0,J32/K32,"")</f>
        <v>0.15384615384615385</v>
      </c>
      <c r="X32" s="144">
        <f t="shared" si="0"/>
        <v>0.26470588235294118</v>
      </c>
      <c r="Y32" s="146">
        <f t="shared" si="5"/>
        <v>0.27941176470588236</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1206" priority="40">
      <formula>AND($H$4&gt;0,$H$4&lt;&gt;$T$31)</formula>
    </cfRule>
  </conditionalFormatting>
  <conditionalFormatting sqref="T32 H3">
    <cfRule type="expression" dxfId="1205" priority="39">
      <formula>AND($H$3&gt;0,$H$3&lt;&gt;$T$32)</formula>
    </cfRule>
  </conditionalFormatting>
  <conditionalFormatting sqref="A2">
    <cfRule type="cellIs" dxfId="1204" priority="38" operator="equal">
      <formula>"R"</formula>
    </cfRule>
  </conditionalFormatting>
  <conditionalFormatting sqref="F7:F30 H7:H30 J7:J30">
    <cfRule type="expression" dxfId="1203" priority="35">
      <formula>F7&gt;G7</formula>
    </cfRule>
  </conditionalFormatting>
  <conditionalFormatting sqref="E7:E30">
    <cfRule type="expression" dxfId="1202" priority="34">
      <formula>$E7&gt;$E$31</formula>
    </cfRule>
  </conditionalFormatting>
  <conditionalFormatting sqref="L6">
    <cfRule type="expression" dxfId="1201" priority="33">
      <formula>OR($L$31&gt;($G$31+$I$31+$K$31-$F$31-$H$31-$J$31),L32&gt;(G31+I31+K31-F31-H31-J31))</formula>
    </cfRule>
  </conditionalFormatting>
  <conditionalFormatting sqref="M6">
    <cfRule type="expression" dxfId="1200" priority="32">
      <formula>OR(M31&gt;(G32-F32+I32-H32+K32-J32),M32&gt;(G31-F31+I31-H31+K31-J31))</formula>
    </cfRule>
  </conditionalFormatting>
  <conditionalFormatting sqref="N6">
    <cfRule type="expression" dxfId="1199" priority="31">
      <formula>OR($N$31&gt;($F$31+$H$31),$N$32&gt;($F$32+$H$32))</formula>
    </cfRule>
  </conditionalFormatting>
  <conditionalFormatting sqref="P6">
    <cfRule type="expression" dxfId="1198" priority="29">
      <formula>OR($P$31&gt;(G32-F32+I32-H32),P32&gt;(G31-F31+I31-H31))</formula>
    </cfRule>
  </conditionalFormatting>
  <conditionalFormatting sqref="Q6">
    <cfRule type="expression" dxfId="1197" priority="28">
      <formula>OR($Q$31&lt;$O$32,$Q$32&lt;$O$31)</formula>
    </cfRule>
  </conditionalFormatting>
  <conditionalFormatting sqref="L31:L32">
    <cfRule type="cellIs" dxfId="1196" priority="27" operator="greaterThan">
      <formula>$G31+$I31+$K31-$F31-$H31-$J31</formula>
    </cfRule>
  </conditionalFormatting>
  <conditionalFormatting sqref="M32">
    <cfRule type="cellIs" dxfId="1195" priority="26" operator="greaterThan">
      <formula>$G$31-$F$31+$I$31-$H$31+$K$31-$J$31</formula>
    </cfRule>
  </conditionalFormatting>
  <conditionalFormatting sqref="N31:N32">
    <cfRule type="cellIs" dxfId="1194" priority="25" operator="greaterThan">
      <formula>$F31+$H31</formula>
    </cfRule>
  </conditionalFormatting>
  <conditionalFormatting sqref="O32">
    <cfRule type="cellIs" dxfId="1193" priority="12" operator="greaterThan">
      <formula>$Q$31</formula>
    </cfRule>
  </conditionalFormatting>
  <conditionalFormatting sqref="P31">
    <cfRule type="cellIs" dxfId="1192" priority="23" operator="greaterThan">
      <formula>$G$32-$F$32+$I$32-$H$32</formula>
    </cfRule>
  </conditionalFormatting>
  <conditionalFormatting sqref="Q32">
    <cfRule type="cellIs" dxfId="1191" priority="22" operator="lessThan">
      <formula>$O$31</formula>
    </cfRule>
  </conditionalFormatting>
  <conditionalFormatting sqref="F7:F32">
    <cfRule type="cellIs" dxfId="1190" priority="21" operator="greaterThan">
      <formula>G7</formula>
    </cfRule>
  </conditionalFormatting>
  <conditionalFormatting sqref="H7:H32">
    <cfRule type="cellIs" dxfId="1189" priority="20" operator="greaterThan">
      <formula>I7</formula>
    </cfRule>
  </conditionalFormatting>
  <conditionalFormatting sqref="J7:J32">
    <cfRule type="cellIs" dxfId="1188" priority="19" operator="greaterThan">
      <formula>K7</formula>
    </cfRule>
  </conditionalFormatting>
  <conditionalFormatting sqref="M4">
    <cfRule type="cellIs" dxfId="1187" priority="18" operator="notBetween">
      <formula>$AH$2</formula>
      <formula>$AI$2</formula>
    </cfRule>
  </conditionalFormatting>
  <conditionalFormatting sqref="O31">
    <cfRule type="cellIs" dxfId="1186" priority="11" operator="greaterThan">
      <formula>$Q$32</formula>
    </cfRule>
  </conditionalFormatting>
  <conditionalFormatting sqref="Q31">
    <cfRule type="cellIs" dxfId="1185" priority="10" operator="lessThan">
      <formula>$O$32</formula>
    </cfRule>
  </conditionalFormatting>
  <conditionalFormatting sqref="M31">
    <cfRule type="cellIs" dxfId="1184" priority="9" operator="greaterThan">
      <formula>G32-F32 +I32-H32+K32-J32</formula>
    </cfRule>
  </conditionalFormatting>
  <conditionalFormatting sqref="B3">
    <cfRule type="expression" dxfId="1183" priority="7">
      <formula>$W$2 = TRUE</formula>
    </cfRule>
  </conditionalFormatting>
  <conditionalFormatting sqref="P4:Q4">
    <cfRule type="expression" dxfId="1182" priority="5">
      <formula>OR(AND($P$4=1,$X$4=1),AND($Q$4=1,$W$4=1))</formula>
    </cfRule>
  </conditionalFormatting>
  <conditionalFormatting sqref="D7:D30">
    <cfRule type="expression" dxfId="1181" priority="43">
      <formula>AND($D7=0,SUM($F7:$S7)&gt;0)</formula>
    </cfRule>
  </conditionalFormatting>
  <conditionalFormatting sqref="O6">
    <cfRule type="expression" dxfId="1180" priority="4">
      <formula>OR($O$31&gt;$Q$32,$O$32&gt;$Q$31)</formula>
    </cfRule>
  </conditionalFormatting>
  <conditionalFormatting sqref="F6">
    <cfRule type="expression" dxfId="1179" priority="3">
      <formula>OR(F$31&gt;G$31,F$32&gt;G$32)</formula>
    </cfRule>
  </conditionalFormatting>
  <conditionalFormatting sqref="H6">
    <cfRule type="expression" dxfId="1178" priority="2">
      <formula>OR(H$31&gt;I$31,H$32&gt;I$32)</formula>
    </cfRule>
  </conditionalFormatting>
  <conditionalFormatting sqref="J6">
    <cfRule type="expression" dxfId="1177"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custom" operator="equal" allowBlank="1" showErrorMessage="1" prompt="Enter 1 if player entered game - Else leave blank" sqref="C7:C30">
      <formula1>ISNUMBER(FIND("s",C7))</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Z9" sqref="Z9:AE23"/>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97</v>
      </c>
      <c r="C3" s="70">
        <v>10</v>
      </c>
      <c r="D3" s="71">
        <v>8</v>
      </c>
      <c r="E3" s="71">
        <v>4</v>
      </c>
      <c r="F3" s="71">
        <v>16</v>
      </c>
      <c r="G3" s="72"/>
      <c r="H3" s="73">
        <f>SUM(C3:G3)</f>
        <v>38</v>
      </c>
      <c r="J3" s="12" t="s">
        <v>165</v>
      </c>
      <c r="P3" s="74" t="s">
        <v>135</v>
      </c>
      <c r="Q3" s="74" t="s">
        <v>137</v>
      </c>
      <c r="S3" s="75" t="s">
        <v>138</v>
      </c>
      <c r="U3" s="76" t="s">
        <v>139</v>
      </c>
      <c r="W3" s="77" t="s">
        <v>134</v>
      </c>
      <c r="X3" s="77" t="s">
        <v>136</v>
      </c>
      <c r="AA3" s="48" t="str">
        <f>B4</f>
        <v>Upton</v>
      </c>
      <c r="AD3" s="48">
        <f>SUM($C3:C3)</f>
        <v>10</v>
      </c>
      <c r="AE3" s="48">
        <f>SUM($C3:D3)</f>
        <v>18</v>
      </c>
      <c r="AF3" s="48">
        <f>SUM($C3:E3)</f>
        <v>22</v>
      </c>
      <c r="AG3" s="48">
        <f>SUM($C3:F3)</f>
        <v>38</v>
      </c>
      <c r="AH3" s="48">
        <f>SUM($C3:G3)</f>
        <v>38</v>
      </c>
      <c r="AJ3" s="74"/>
    </row>
    <row r="4" spans="1:36" ht="16.5" customHeight="1" thickTop="1" thickBot="1" x14ac:dyDescent="0.3">
      <c r="B4" s="78" t="str">
        <f>Roster!$B$1</f>
        <v>Upton</v>
      </c>
      <c r="C4" s="79">
        <v>25</v>
      </c>
      <c r="D4" s="80">
        <v>16</v>
      </c>
      <c r="E4" s="80">
        <v>12</v>
      </c>
      <c r="F4" s="80">
        <v>4</v>
      </c>
      <c r="G4" s="81"/>
      <c r="H4" s="82">
        <f>SUM(C4:G4)</f>
        <v>57</v>
      </c>
      <c r="J4" s="83"/>
      <c r="L4" s="84" t="s">
        <v>133</v>
      </c>
      <c r="M4" s="404">
        <v>44904</v>
      </c>
      <c r="N4" s="405"/>
      <c r="P4" s="83"/>
      <c r="Q4" s="83"/>
      <c r="S4" s="83"/>
      <c r="U4" s="83"/>
      <c r="W4" s="85">
        <f>IF(OR($S$4=1,$H$4&gt;$H$3),1,"")</f>
        <v>1</v>
      </c>
      <c r="X4" s="85" t="str">
        <f>IF(OR($U$4=1,$H$4&lt;$H$3),1,"")</f>
        <v/>
      </c>
      <c r="AA4" s="48" t="str">
        <f>B3</f>
        <v>Riverside</v>
      </c>
      <c r="AD4" s="48">
        <f>SUM($C4:C4)</f>
        <v>25</v>
      </c>
      <c r="AE4" s="48">
        <f>SUM($C4:D4)</f>
        <v>41</v>
      </c>
      <c r="AF4" s="48">
        <f>SUM($C4:E4)</f>
        <v>53</v>
      </c>
      <c r="AG4" s="48">
        <f>SUM($C4:F4)</f>
        <v>57</v>
      </c>
      <c r="AH4" s="48">
        <f>SUM($C4:G4)</f>
        <v>57</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v>1</v>
      </c>
      <c r="E7" s="89">
        <v>3</v>
      </c>
      <c r="F7" s="90"/>
      <c r="G7" s="91"/>
      <c r="H7" s="92"/>
      <c r="I7" s="91"/>
      <c r="J7" s="92"/>
      <c r="K7" s="91"/>
      <c r="L7" s="92"/>
      <c r="M7" s="92">
        <v>1</v>
      </c>
      <c r="N7" s="92"/>
      <c r="O7" s="92"/>
      <c r="P7" s="92"/>
      <c r="Q7" s="92">
        <v>2</v>
      </c>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27</v>
      </c>
      <c r="F8" s="101">
        <v>1</v>
      </c>
      <c r="G8" s="102">
        <v>4</v>
      </c>
      <c r="H8" s="103">
        <v>2</v>
      </c>
      <c r="I8" s="102">
        <v>7</v>
      </c>
      <c r="J8" s="103"/>
      <c r="K8" s="102"/>
      <c r="L8" s="103">
        <v>4</v>
      </c>
      <c r="M8" s="103">
        <v>1</v>
      </c>
      <c r="N8" s="103">
        <v>2</v>
      </c>
      <c r="O8" s="103">
        <v>1</v>
      </c>
      <c r="P8" s="103"/>
      <c r="Q8" s="103">
        <v>2</v>
      </c>
      <c r="R8" s="103">
        <v>1</v>
      </c>
      <c r="S8" s="104">
        <v>1</v>
      </c>
      <c r="T8" s="105">
        <f t="shared" ref="T8:T30" si="1">IF(J8+2*H8+3*F8&gt;0,J8+2*H8+3*F8,0)</f>
        <v>7</v>
      </c>
      <c r="U8" s="106">
        <f t="shared" ref="U8:U30" si="2">IF(G8&gt;0,F8/G8,"")</f>
        <v>0.25</v>
      </c>
      <c r="V8" s="106">
        <f t="shared" ref="V8:V30" si="3">IF(I8&gt;0,H8/I8,"")</f>
        <v>0.2857142857142857</v>
      </c>
      <c r="W8" s="107" t="str">
        <f t="shared" ref="W8:W30" si="4">IF(K8&gt;0,J8/K8,"")</f>
        <v/>
      </c>
      <c r="X8" s="106">
        <f t="shared" si="0"/>
        <v>0.27272727272727271</v>
      </c>
      <c r="Y8" s="108">
        <f t="shared" ref="Y8:Y32" si="5">IF(OR(G8&gt;0,I8 &gt;0),(1.5*F8+H8)/(G8+I8),"")</f>
        <v>0.31818181818181818</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25</v>
      </c>
      <c r="F9" s="111">
        <v>2</v>
      </c>
      <c r="G9" s="112">
        <v>4</v>
      </c>
      <c r="H9" s="113">
        <v>2</v>
      </c>
      <c r="I9" s="112">
        <v>5</v>
      </c>
      <c r="J9" s="113">
        <v>4</v>
      </c>
      <c r="K9" s="112">
        <v>4</v>
      </c>
      <c r="L9" s="113">
        <v>5</v>
      </c>
      <c r="M9" s="113">
        <v>2</v>
      </c>
      <c r="N9" s="113">
        <v>5</v>
      </c>
      <c r="O9" s="113">
        <v>2</v>
      </c>
      <c r="P9" s="113"/>
      <c r="Q9" s="113">
        <v>2</v>
      </c>
      <c r="R9" s="113"/>
      <c r="S9" s="114"/>
      <c r="T9" s="115">
        <f t="shared" si="1"/>
        <v>14</v>
      </c>
      <c r="U9" s="95">
        <f t="shared" si="2"/>
        <v>0.5</v>
      </c>
      <c r="V9" s="95">
        <f t="shared" si="3"/>
        <v>0.4</v>
      </c>
      <c r="W9" s="96">
        <f t="shared" si="4"/>
        <v>1</v>
      </c>
      <c r="X9" s="95">
        <f t="shared" si="0"/>
        <v>0.44444444444444442</v>
      </c>
      <c r="Y9" s="116">
        <f t="shared" si="5"/>
        <v>0.55555555555555558</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25</v>
      </c>
      <c r="F10" s="101"/>
      <c r="G10" s="102">
        <v>7</v>
      </c>
      <c r="H10" s="103">
        <v>4</v>
      </c>
      <c r="I10" s="102">
        <v>9</v>
      </c>
      <c r="J10" s="103"/>
      <c r="K10" s="102"/>
      <c r="L10" s="103">
        <v>3</v>
      </c>
      <c r="M10" s="103">
        <v>3</v>
      </c>
      <c r="N10" s="103">
        <v>3</v>
      </c>
      <c r="O10" s="103">
        <v>1</v>
      </c>
      <c r="P10" s="103"/>
      <c r="Q10" s="103">
        <v>2</v>
      </c>
      <c r="R10" s="103">
        <v>1</v>
      </c>
      <c r="S10" s="104"/>
      <c r="T10" s="105">
        <f t="shared" si="1"/>
        <v>8</v>
      </c>
      <c r="U10" s="106">
        <f t="shared" si="2"/>
        <v>0</v>
      </c>
      <c r="V10" s="106">
        <f t="shared" si="3"/>
        <v>0.44444444444444442</v>
      </c>
      <c r="W10" s="107" t="str">
        <f t="shared" si="4"/>
        <v/>
      </c>
      <c r="X10" s="106">
        <f t="shared" si="0"/>
        <v>0.25</v>
      </c>
      <c r="Y10" s="108">
        <f t="shared" si="5"/>
        <v>0.25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62.5</v>
      </c>
      <c r="AB11" s="385">
        <f>T31/AA11</f>
        <v>0.91200000000000003</v>
      </c>
      <c r="AC11" s="385">
        <f>L31/AA11</f>
        <v>0.41599999999999998</v>
      </c>
      <c r="AD11" s="385">
        <f>M31/AA12</f>
        <v>0.35384615384615387</v>
      </c>
      <c r="AE11" s="389">
        <f>(L31+M31)/AA11</f>
        <v>0.78400000000000003</v>
      </c>
      <c r="AF11" s="51"/>
      <c r="AG11" s="51"/>
      <c r="AH11" s="51"/>
      <c r="AI11" s="51"/>
    </row>
    <row r="12" spans="1:36" s="18" customFormat="1" ht="15.75" x14ac:dyDescent="0.25">
      <c r="A12" s="87">
        <f>IF(Roster!A12&lt;&gt;"",Roster!A12,"")</f>
        <v>14</v>
      </c>
      <c r="B12" s="19" t="str">
        <f>IF(OR(Roster!A12&lt;&gt;"",Roster!B12&lt;&gt;""),PROPER(Roster!B12),"")</f>
        <v>Carson Barritt</v>
      </c>
      <c r="C12" s="99"/>
      <c r="D12" s="148">
        <v>1</v>
      </c>
      <c r="E12" s="100">
        <v>1</v>
      </c>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65</v>
      </c>
      <c r="AB12" s="385">
        <f>T32/AA12</f>
        <v>0.58461538461538465</v>
      </c>
      <c r="AC12" s="385">
        <f>L32/AA12</f>
        <v>0.1076923076923077</v>
      </c>
      <c r="AD12" s="385">
        <f>M32/AA11</f>
        <v>0.35199999999999998</v>
      </c>
      <c r="AE12" s="389">
        <f>(L32+M32)/AA12</f>
        <v>0.44615384615384618</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22</v>
      </c>
      <c r="F14" s="101"/>
      <c r="G14" s="102">
        <v>3</v>
      </c>
      <c r="H14" s="103">
        <v>7</v>
      </c>
      <c r="I14" s="102">
        <v>10</v>
      </c>
      <c r="J14" s="103"/>
      <c r="K14" s="102">
        <v>1</v>
      </c>
      <c r="L14" s="103">
        <v>2</v>
      </c>
      <c r="M14" s="103">
        <v>6</v>
      </c>
      <c r="N14" s="103">
        <v>4</v>
      </c>
      <c r="O14" s="103">
        <v>2</v>
      </c>
      <c r="P14" s="103">
        <v>1</v>
      </c>
      <c r="Q14" s="103">
        <v>3</v>
      </c>
      <c r="R14" s="103">
        <v>3</v>
      </c>
      <c r="S14" s="104"/>
      <c r="T14" s="105">
        <f t="shared" si="1"/>
        <v>14</v>
      </c>
      <c r="U14" s="106">
        <f t="shared" si="2"/>
        <v>0</v>
      </c>
      <c r="V14" s="106">
        <f t="shared" si="3"/>
        <v>0.7</v>
      </c>
      <c r="W14" s="107">
        <f t="shared" si="4"/>
        <v>0</v>
      </c>
      <c r="X14" s="106">
        <f t="shared" si="0"/>
        <v>0.53846153846153844</v>
      </c>
      <c r="Y14" s="108">
        <f t="shared" si="5"/>
        <v>0.53846153846153844</v>
      </c>
      <c r="Z14" s="385"/>
      <c r="AA14" s="385"/>
      <c r="AB14" s="385">
        <f>N31/AA11</f>
        <v>0.25600000000000001</v>
      </c>
      <c r="AC14" s="385">
        <f>O31/AA12</f>
        <v>0.12307692307692308</v>
      </c>
      <c r="AD14" s="385">
        <f>Q31/AA11</f>
        <v>0.20799999999999999</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14</v>
      </c>
      <c r="F15" s="111"/>
      <c r="G15" s="112">
        <v>1</v>
      </c>
      <c r="H15" s="113">
        <v>0</v>
      </c>
      <c r="I15" s="112">
        <v>5</v>
      </c>
      <c r="J15" s="113">
        <v>1</v>
      </c>
      <c r="K15" s="112">
        <v>4</v>
      </c>
      <c r="L15" s="113">
        <v>6</v>
      </c>
      <c r="M15" s="113">
        <v>1</v>
      </c>
      <c r="N15" s="113"/>
      <c r="O15" s="113"/>
      <c r="P15" s="113"/>
      <c r="Q15" s="113"/>
      <c r="R15" s="113">
        <v>1</v>
      </c>
      <c r="S15" s="114"/>
      <c r="T15" s="115">
        <f t="shared" si="1"/>
        <v>1</v>
      </c>
      <c r="U15" s="95">
        <f t="shared" si="2"/>
        <v>0</v>
      </c>
      <c r="V15" s="95">
        <f t="shared" si="3"/>
        <v>0</v>
      </c>
      <c r="W15" s="96">
        <f t="shared" si="4"/>
        <v>0.25</v>
      </c>
      <c r="X15" s="95">
        <f t="shared" si="0"/>
        <v>0</v>
      </c>
      <c r="Y15" s="116">
        <f t="shared" si="5"/>
        <v>0</v>
      </c>
      <c r="Z15" s="392"/>
      <c r="AA15" s="393"/>
      <c r="AB15" s="393">
        <f>N32/AA12</f>
        <v>0.1076923076923077</v>
      </c>
      <c r="AC15" s="393">
        <f>O32/AA11</f>
        <v>0.14399999999999999</v>
      </c>
      <c r="AD15" s="393">
        <f>Q32/AA12</f>
        <v>0.27692307692307694</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25</v>
      </c>
      <c r="F16" s="101">
        <v>2</v>
      </c>
      <c r="G16" s="102">
        <v>5</v>
      </c>
      <c r="H16" s="103">
        <v>1</v>
      </c>
      <c r="I16" s="102">
        <v>7</v>
      </c>
      <c r="J16" s="103"/>
      <c r="K16" s="102"/>
      <c r="L16" s="103">
        <v>5</v>
      </c>
      <c r="M16" s="103">
        <v>6</v>
      </c>
      <c r="N16" s="103">
        <v>2</v>
      </c>
      <c r="O16" s="103">
        <v>1</v>
      </c>
      <c r="P16" s="103"/>
      <c r="Q16" s="103">
        <v>1</v>
      </c>
      <c r="R16" s="103">
        <v>2</v>
      </c>
      <c r="S16" s="104">
        <v>1</v>
      </c>
      <c r="T16" s="105">
        <f t="shared" si="1"/>
        <v>8</v>
      </c>
      <c r="U16" s="106">
        <f t="shared" si="2"/>
        <v>0.4</v>
      </c>
      <c r="V16" s="106">
        <f t="shared" si="3"/>
        <v>0.14285714285714285</v>
      </c>
      <c r="W16" s="107" t="str">
        <f t="shared" si="4"/>
        <v/>
      </c>
      <c r="X16" s="106">
        <f t="shared" si="0"/>
        <v>0.25</v>
      </c>
      <c r="Y16" s="108">
        <f t="shared" si="5"/>
        <v>0.33333333333333331</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v>1</v>
      </c>
      <c r="E17" s="110">
        <v>2</v>
      </c>
      <c r="F17" s="111"/>
      <c r="G17" s="112"/>
      <c r="H17" s="113"/>
      <c r="I17" s="112"/>
      <c r="J17" s="113"/>
      <c r="K17" s="112"/>
      <c r="L17" s="113"/>
      <c r="M17" s="113"/>
      <c r="N17" s="113"/>
      <c r="O17" s="113"/>
      <c r="P17" s="113"/>
      <c r="Q17" s="113">
        <v>1</v>
      </c>
      <c r="R17" s="113">
        <v>1</v>
      </c>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c r="G18" s="102">
        <v>1</v>
      </c>
      <c r="H18" s="103"/>
      <c r="I18" s="102"/>
      <c r="J18" s="103"/>
      <c r="K18" s="102"/>
      <c r="L18" s="103"/>
      <c r="M18" s="103"/>
      <c r="N18" s="103"/>
      <c r="O18" s="103"/>
      <c r="P18" s="103"/>
      <c r="Q18" s="103"/>
      <c r="R18" s="103"/>
      <c r="S18" s="104"/>
      <c r="T18" s="105">
        <f t="shared" si="1"/>
        <v>0</v>
      </c>
      <c r="U18" s="106">
        <f t="shared" si="2"/>
        <v>0</v>
      </c>
      <c r="V18" s="106" t="str">
        <f t="shared" si="3"/>
        <v/>
      </c>
      <c r="W18" s="107" t="str">
        <f t="shared" si="4"/>
        <v/>
      </c>
      <c r="X18" s="106">
        <f t="shared" si="0"/>
        <v>0</v>
      </c>
      <c r="Y18" s="108">
        <f t="shared" si="5"/>
        <v>0</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8</v>
      </c>
      <c r="F19" s="111"/>
      <c r="G19" s="112"/>
      <c r="H19" s="113">
        <v>2</v>
      </c>
      <c r="I19" s="112">
        <v>2</v>
      </c>
      <c r="J19" s="113">
        <v>1</v>
      </c>
      <c r="K19" s="112">
        <v>2</v>
      </c>
      <c r="L19" s="113">
        <v>1</v>
      </c>
      <c r="M19" s="113">
        <v>3</v>
      </c>
      <c r="N19" s="113"/>
      <c r="O19" s="113">
        <v>1</v>
      </c>
      <c r="P19" s="113"/>
      <c r="Q19" s="113"/>
      <c r="R19" s="113"/>
      <c r="S19" s="114"/>
      <c r="T19" s="115">
        <f t="shared" si="1"/>
        <v>5</v>
      </c>
      <c r="U19" s="95" t="str">
        <f t="shared" si="2"/>
        <v/>
      </c>
      <c r="V19" s="95">
        <f t="shared" si="3"/>
        <v>1</v>
      </c>
      <c r="W19" s="96">
        <f t="shared" si="4"/>
        <v>0.5</v>
      </c>
      <c r="X19" s="95">
        <f t="shared" si="0"/>
        <v>1</v>
      </c>
      <c r="Y19" s="116">
        <f t="shared" si="5"/>
        <v>1</v>
      </c>
      <c r="Z19" s="388" t="s">
        <v>124</v>
      </c>
      <c r="AA19" s="385">
        <f>AB11*65</f>
        <v>59.28</v>
      </c>
      <c r="AB19" s="385">
        <f t="shared" ref="AB19:AD20" si="6">AC11*65</f>
        <v>27.04</v>
      </c>
      <c r="AC19" s="385">
        <f t="shared" si="6"/>
        <v>23</v>
      </c>
      <c r="AD19" s="385">
        <f t="shared" si="6"/>
        <v>50.96</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38</v>
      </c>
      <c r="AB20" s="385">
        <f t="shared" si="6"/>
        <v>7</v>
      </c>
      <c r="AC20" s="385">
        <f t="shared" si="6"/>
        <v>22.88</v>
      </c>
      <c r="AD20" s="385">
        <f t="shared" si="6"/>
        <v>29</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16.64</v>
      </c>
      <c r="AC22" s="385">
        <f t="shared" si="7"/>
        <v>8</v>
      </c>
      <c r="AD22" s="385">
        <f>AD14*65</f>
        <v>13.52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7</v>
      </c>
      <c r="AC23" s="393">
        <f t="shared" si="7"/>
        <v>9.36</v>
      </c>
      <c r="AD23" s="393">
        <f t="shared" si="7"/>
        <v>18</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62</v>
      </c>
      <c r="B31" s="126" t="s">
        <v>161</v>
      </c>
      <c r="C31" s="151"/>
      <c r="D31" s="152">
        <f>IF(COUNTA($D$7:$D$30)&gt;0,1,"")</f>
        <v>1</v>
      </c>
      <c r="E31" s="127">
        <f>IF(D31=1,32+J4*4,"")</f>
        <v>32</v>
      </c>
      <c r="F31" s="128">
        <f t="shared" ref="F31:S31" si="8">SUM(F7:F30)</f>
        <v>5</v>
      </c>
      <c r="G31" s="129">
        <f t="shared" si="8"/>
        <v>25</v>
      </c>
      <c r="H31" s="128">
        <f t="shared" si="8"/>
        <v>18</v>
      </c>
      <c r="I31" s="130">
        <f t="shared" si="8"/>
        <v>45</v>
      </c>
      <c r="J31" s="129">
        <f t="shared" si="8"/>
        <v>6</v>
      </c>
      <c r="K31" s="130">
        <f t="shared" si="8"/>
        <v>11</v>
      </c>
      <c r="L31" s="129">
        <f t="shared" si="8"/>
        <v>26</v>
      </c>
      <c r="M31" s="129">
        <f t="shared" si="8"/>
        <v>23</v>
      </c>
      <c r="N31" s="129">
        <f t="shared" si="8"/>
        <v>16</v>
      </c>
      <c r="O31" s="129">
        <f t="shared" si="8"/>
        <v>8</v>
      </c>
      <c r="P31" s="129">
        <f t="shared" si="8"/>
        <v>1</v>
      </c>
      <c r="Q31" s="129">
        <f t="shared" si="8"/>
        <v>13</v>
      </c>
      <c r="R31" s="129">
        <f t="shared" si="8"/>
        <v>9</v>
      </c>
      <c r="S31" s="131">
        <f t="shared" si="8"/>
        <v>2</v>
      </c>
      <c r="T31" s="132">
        <f>IF(J31+2*H31+3*F31&gt;0,J31+2*H31+3*F31,IF(H4&gt;0,H4,""))</f>
        <v>57</v>
      </c>
      <c r="U31" s="133">
        <f>IF(G31&gt;0,F31/G31,"")</f>
        <v>0.2</v>
      </c>
      <c r="V31" s="133">
        <f>IF(I31&gt;0,H31/I31,"")</f>
        <v>0.4</v>
      </c>
      <c r="W31" s="134">
        <f>IF(K31&gt;0,J31/K31,"")</f>
        <v>0.54545454545454541</v>
      </c>
      <c r="X31" s="133">
        <f t="shared" si="0"/>
        <v>0.32857142857142857</v>
      </c>
      <c r="Y31" s="135">
        <f t="shared" si="5"/>
        <v>0.36428571428571427</v>
      </c>
      <c r="AB31" s="51"/>
      <c r="AC31" s="51"/>
      <c r="AD31" s="51"/>
      <c r="AE31" s="51"/>
      <c r="AF31" s="136"/>
      <c r="AG31" s="136"/>
      <c r="AH31" s="136"/>
      <c r="AI31" s="51"/>
    </row>
    <row r="32" spans="1:35" s="18" customFormat="1" ht="17.25" thickTop="1" thickBot="1" x14ac:dyDescent="0.3">
      <c r="A32" s="51">
        <f>ROUND(G32+I32+0.475*K32-L32+Q32,0)</f>
        <v>65</v>
      </c>
      <c r="B32" s="137" t="s">
        <v>162</v>
      </c>
      <c r="C32" s="153"/>
      <c r="D32" s="138">
        <f>IF(SUM(F32:S32)&gt;0,1,"")</f>
        <v>1</v>
      </c>
      <c r="E32" s="138">
        <f>IF(D32=1,E31,0)</f>
        <v>32</v>
      </c>
      <c r="F32" s="139">
        <v>5</v>
      </c>
      <c r="G32" s="140">
        <v>27</v>
      </c>
      <c r="H32" s="139">
        <v>9</v>
      </c>
      <c r="I32" s="141">
        <v>23</v>
      </c>
      <c r="J32" s="139">
        <v>5</v>
      </c>
      <c r="K32" s="141">
        <v>8</v>
      </c>
      <c r="L32" s="140">
        <v>7</v>
      </c>
      <c r="M32" s="140">
        <v>22</v>
      </c>
      <c r="N32" s="140">
        <v>7</v>
      </c>
      <c r="O32" s="140">
        <v>9</v>
      </c>
      <c r="P32" s="140">
        <v>2</v>
      </c>
      <c r="Q32" s="140">
        <v>18</v>
      </c>
      <c r="R32" s="140">
        <v>11</v>
      </c>
      <c r="S32" s="142"/>
      <c r="T32" s="143">
        <f>IF(J32+2*H32+3*F32&gt;0,J32+2*H32+3*F32,IF(H3&gt;0,H3,""))</f>
        <v>38</v>
      </c>
      <c r="U32" s="144">
        <f>IF(G32&gt;0,F32/G32,"")</f>
        <v>0.18518518518518517</v>
      </c>
      <c r="V32" s="144">
        <f>IF(I32&gt;0,H32/I32,"")</f>
        <v>0.39130434782608697</v>
      </c>
      <c r="W32" s="145">
        <f>IF(K32&gt;0,J32/K32,"")</f>
        <v>0.625</v>
      </c>
      <c r="X32" s="144">
        <f t="shared" si="0"/>
        <v>0.28000000000000003</v>
      </c>
      <c r="Y32" s="146">
        <f t="shared" si="5"/>
        <v>0.33</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1176" priority="29">
      <formula>AND($H$4&gt;0,$H$4&lt;&gt;$T$31)</formula>
    </cfRule>
  </conditionalFormatting>
  <conditionalFormatting sqref="T32 H3">
    <cfRule type="expression" dxfId="1175" priority="28">
      <formula>AND($H$3&gt;0,$H$3&lt;&gt;$T$32)</formula>
    </cfRule>
  </conditionalFormatting>
  <conditionalFormatting sqref="A2">
    <cfRule type="cellIs" dxfId="1174" priority="27" operator="equal">
      <formula>"R"</formula>
    </cfRule>
  </conditionalFormatting>
  <conditionalFormatting sqref="F7:F30 H7:H30 J7:J30">
    <cfRule type="expression" dxfId="1173" priority="26">
      <formula>F7&gt;G7</formula>
    </cfRule>
  </conditionalFormatting>
  <conditionalFormatting sqref="E7:E30">
    <cfRule type="expression" dxfId="1172" priority="25">
      <formula>$E7&gt;$E$31</formula>
    </cfRule>
  </conditionalFormatting>
  <conditionalFormatting sqref="L6">
    <cfRule type="expression" dxfId="1171" priority="24">
      <formula>OR($L$31&gt;($G$31+$I$31+$K$31-$F$31-$H$31-$J$31),L32&gt;(G31+I31+K31-F31-H31-J31))</formula>
    </cfRule>
  </conditionalFormatting>
  <conditionalFormatting sqref="M6">
    <cfRule type="expression" dxfId="1170" priority="23">
      <formula>OR(M31&gt;(G32-F32+I32-H32+K32-J32),M32&gt;(G31-F31+I31-H31+K31-J31))</formula>
    </cfRule>
  </conditionalFormatting>
  <conditionalFormatting sqref="N6">
    <cfRule type="expression" dxfId="1169" priority="22">
      <formula>OR($N$31&gt;($F$31+$H$31),$N$32&gt;($F$32+$H$32))</formula>
    </cfRule>
  </conditionalFormatting>
  <conditionalFormatting sqref="P6">
    <cfRule type="expression" dxfId="1168" priority="21">
      <formula>OR($P$31&gt;(G32-F32+I32-H32),P32&gt;(G31-F31+I31-H31))</formula>
    </cfRule>
  </conditionalFormatting>
  <conditionalFormatting sqref="Q6">
    <cfRule type="expression" dxfId="1167" priority="20">
      <formula>OR($Q$31&lt;$O$32,$Q$32&lt;$O$31)</formula>
    </cfRule>
  </conditionalFormatting>
  <conditionalFormatting sqref="L31:L32">
    <cfRule type="cellIs" dxfId="1166" priority="19" operator="greaterThan">
      <formula>$G31+$I31+$K31-$F31-$H31-$J31</formula>
    </cfRule>
  </conditionalFormatting>
  <conditionalFormatting sqref="M32">
    <cfRule type="cellIs" dxfId="1165" priority="18" operator="greaterThan">
      <formula>$G$31-$F$31+$I$31-$H$31+$K$31-$J$31</formula>
    </cfRule>
  </conditionalFormatting>
  <conditionalFormatting sqref="N31:N32">
    <cfRule type="cellIs" dxfId="1164" priority="17" operator="greaterThan">
      <formula>$F31+$H31</formula>
    </cfRule>
  </conditionalFormatting>
  <conditionalFormatting sqref="O32">
    <cfRule type="cellIs" dxfId="1163" priority="10" operator="greaterThan">
      <formula>$Q$31</formula>
    </cfRule>
  </conditionalFormatting>
  <conditionalFormatting sqref="P31">
    <cfRule type="cellIs" dxfId="1162" priority="16" operator="greaterThan">
      <formula>$G$32-$F$32+$I$32-$H$32</formula>
    </cfRule>
  </conditionalFormatting>
  <conditionalFormatting sqref="Q32">
    <cfRule type="cellIs" dxfId="1161" priority="15" operator="lessThan">
      <formula>$O$31</formula>
    </cfRule>
  </conditionalFormatting>
  <conditionalFormatting sqref="F7:F32">
    <cfRule type="cellIs" dxfId="1160" priority="14" operator="greaterThan">
      <formula>G7</formula>
    </cfRule>
  </conditionalFormatting>
  <conditionalFormatting sqref="H7:H32">
    <cfRule type="cellIs" dxfId="1159" priority="13" operator="greaterThan">
      <formula>I7</formula>
    </cfRule>
  </conditionalFormatting>
  <conditionalFormatting sqref="J7:J32">
    <cfRule type="cellIs" dxfId="1158" priority="12" operator="greaterThan">
      <formula>K7</formula>
    </cfRule>
  </conditionalFormatting>
  <conditionalFormatting sqref="M4">
    <cfRule type="cellIs" dxfId="1157" priority="11" operator="notBetween">
      <formula>$AH$2</formula>
      <formula>$AI$2</formula>
    </cfRule>
  </conditionalFormatting>
  <conditionalFormatting sqref="O31">
    <cfRule type="cellIs" dxfId="1156" priority="9" operator="greaterThan">
      <formula>$Q$32</formula>
    </cfRule>
  </conditionalFormatting>
  <conditionalFormatting sqref="Q31">
    <cfRule type="cellIs" dxfId="1155" priority="8" operator="lessThan">
      <formula>$O$32</formula>
    </cfRule>
  </conditionalFormatting>
  <conditionalFormatting sqref="M31">
    <cfRule type="cellIs" dxfId="1154" priority="7" operator="greaterThan">
      <formula>G32-F32 +I32-H32+K32-J32</formula>
    </cfRule>
  </conditionalFormatting>
  <conditionalFormatting sqref="B3">
    <cfRule type="expression" dxfId="1153" priority="6">
      <formula>$W$2 = TRUE</formula>
    </cfRule>
  </conditionalFormatting>
  <conditionalFormatting sqref="P4:Q4">
    <cfRule type="expression" dxfId="1152" priority="5">
      <formula>OR(AND($P$4=1,$X$4=1),AND($Q$4=1,$W$4=1))</formula>
    </cfRule>
  </conditionalFormatting>
  <conditionalFormatting sqref="D7:D30">
    <cfRule type="expression" dxfId="1151" priority="30">
      <formula>AND($D7=0,SUM($F7:$S7)&gt;0)</formula>
    </cfRule>
  </conditionalFormatting>
  <conditionalFormatting sqref="O6">
    <cfRule type="expression" dxfId="1150" priority="4">
      <formula>OR($O$31&gt;$Q$32,$O$32&gt;$Q$31)</formula>
    </cfRule>
  </conditionalFormatting>
  <conditionalFormatting sqref="F6">
    <cfRule type="expression" dxfId="1149" priority="3">
      <formula>OR(F$31&gt;G$31,F$32&gt;G$32)</formula>
    </cfRule>
  </conditionalFormatting>
  <conditionalFormatting sqref="H6">
    <cfRule type="expression" dxfId="1148" priority="2">
      <formula>OR(H$31&gt;I$31,H$32&gt;I$32)</formula>
    </cfRule>
  </conditionalFormatting>
  <conditionalFormatting sqref="J6">
    <cfRule type="expression" dxfId="1147"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J37"/>
  <sheetViews>
    <sheetView showZeros="0" zoomScale="80" zoomScaleNormal="80" workbookViewId="0">
      <pane xSplit="2" ySplit="6" topLeftCell="C7" activePane="bottomRight" state="frozen"/>
      <selection activeCell="F32" sqref="F32:S32"/>
      <selection pane="topRight" activeCell="F32" sqref="F32:S32"/>
      <selection pane="bottomLeft" activeCell="F32" sqref="F32:S32"/>
      <selection pane="bottomRight" activeCell="AC39" sqref="AC39"/>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114</v>
      </c>
      <c r="C3" s="70">
        <v>11</v>
      </c>
      <c r="D3" s="71">
        <v>8</v>
      </c>
      <c r="E3" s="71">
        <v>13</v>
      </c>
      <c r="F3" s="71">
        <v>10</v>
      </c>
      <c r="G3" s="72"/>
      <c r="H3" s="73">
        <f>SUM(C3:G3)</f>
        <v>42</v>
      </c>
      <c r="J3" s="12" t="s">
        <v>165</v>
      </c>
      <c r="P3" s="74" t="s">
        <v>135</v>
      </c>
      <c r="Q3" s="74" t="s">
        <v>137</v>
      </c>
      <c r="S3" s="75" t="s">
        <v>138</v>
      </c>
      <c r="U3" s="76" t="s">
        <v>139</v>
      </c>
      <c r="W3" s="77" t="s">
        <v>134</v>
      </c>
      <c r="X3" s="77" t="s">
        <v>136</v>
      </c>
      <c r="AA3" s="48" t="str">
        <f>B4</f>
        <v>Upton</v>
      </c>
      <c r="AD3" s="48">
        <f>SUM($C3:C3)</f>
        <v>11</v>
      </c>
      <c r="AE3" s="48">
        <f>SUM($C3:D3)</f>
        <v>19</v>
      </c>
      <c r="AF3" s="48">
        <f>SUM($C3:E3)</f>
        <v>32</v>
      </c>
      <c r="AG3" s="48">
        <f>SUM($C3:F3)</f>
        <v>42</v>
      </c>
      <c r="AH3" s="48">
        <f>SUM($C3:G3)</f>
        <v>42</v>
      </c>
      <c r="AJ3" s="74"/>
    </row>
    <row r="4" spans="1:36" ht="16.5" customHeight="1" thickTop="1" thickBot="1" x14ac:dyDescent="0.3">
      <c r="B4" s="78" t="str">
        <f>Roster!$B$1</f>
        <v>Upton</v>
      </c>
      <c r="C4" s="79">
        <v>13</v>
      </c>
      <c r="D4" s="80">
        <v>10</v>
      </c>
      <c r="E4" s="80">
        <v>18</v>
      </c>
      <c r="F4" s="80">
        <v>16</v>
      </c>
      <c r="G4" s="81"/>
      <c r="H4" s="82">
        <f>SUM(C4:G4)</f>
        <v>57</v>
      </c>
      <c r="J4" s="83"/>
      <c r="L4" s="84" t="s">
        <v>133</v>
      </c>
      <c r="M4" s="404"/>
      <c r="N4" s="405"/>
      <c r="P4" s="83"/>
      <c r="Q4" s="83"/>
      <c r="S4" s="83"/>
      <c r="U4" s="83"/>
      <c r="W4" s="85">
        <f>IF(OR($S$4=1,$H$4&gt;$H$3),1,"")</f>
        <v>1</v>
      </c>
      <c r="X4" s="85" t="str">
        <f>IF(OR($U$4=1,$H$4&lt;$H$3),1,"")</f>
        <v/>
      </c>
      <c r="AA4" s="48" t="str">
        <f>B3</f>
        <v>Sundance</v>
      </c>
      <c r="AD4" s="48">
        <f>SUM($C4:C4)</f>
        <v>13</v>
      </c>
      <c r="AE4" s="48">
        <f>SUM($C4:D4)</f>
        <v>23</v>
      </c>
      <c r="AF4" s="48">
        <f>SUM($C4:E4)</f>
        <v>41</v>
      </c>
      <c r="AG4" s="48">
        <f>SUM($C4:F4)</f>
        <v>57</v>
      </c>
      <c r="AH4" s="48">
        <f>SUM($C4:G4)</f>
        <v>57</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25</v>
      </c>
      <c r="F8" s="101"/>
      <c r="G8" s="102">
        <v>2</v>
      </c>
      <c r="H8" s="103">
        <v>2</v>
      </c>
      <c r="I8" s="102">
        <v>5</v>
      </c>
      <c r="J8" s="103"/>
      <c r="K8" s="102">
        <v>3</v>
      </c>
      <c r="L8" s="103">
        <v>2</v>
      </c>
      <c r="M8" s="103">
        <v>4</v>
      </c>
      <c r="N8" s="103">
        <v>3</v>
      </c>
      <c r="O8" s="103">
        <v>2</v>
      </c>
      <c r="P8" s="103"/>
      <c r="Q8" s="103"/>
      <c r="R8" s="103">
        <v>3</v>
      </c>
      <c r="S8" s="104"/>
      <c r="T8" s="105">
        <f t="shared" ref="T8:T30" si="1">IF(J8+2*H8+3*F8&gt;0,J8+2*H8+3*F8,0)</f>
        <v>4</v>
      </c>
      <c r="U8" s="106">
        <f t="shared" ref="U8:U30" si="2">IF(G8&gt;0,F8/G8,"")</f>
        <v>0</v>
      </c>
      <c r="V8" s="106">
        <f t="shared" ref="V8:V30" si="3">IF(I8&gt;0,H8/I8,"")</f>
        <v>0.4</v>
      </c>
      <c r="W8" s="107">
        <f t="shared" ref="W8:W30" si="4">IF(K8&gt;0,J8/K8,"")</f>
        <v>0</v>
      </c>
      <c r="X8" s="106">
        <f t="shared" si="0"/>
        <v>0.2857142857142857</v>
      </c>
      <c r="Y8" s="108">
        <f t="shared" ref="Y8:Y32" si="5">IF(OR(G8&gt;0,I8 &gt;0),(1.5*F8+H8)/(G8+I8),"")</f>
        <v>0.2857142857142857</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31</v>
      </c>
      <c r="F9" s="111">
        <v>1</v>
      </c>
      <c r="G9" s="112">
        <v>3</v>
      </c>
      <c r="H9" s="113">
        <v>6</v>
      </c>
      <c r="I9" s="112">
        <v>10</v>
      </c>
      <c r="J9" s="113">
        <v>4</v>
      </c>
      <c r="K9" s="112">
        <v>5</v>
      </c>
      <c r="L9" s="113">
        <v>3</v>
      </c>
      <c r="M9" s="113">
        <v>2</v>
      </c>
      <c r="N9" s="113">
        <v>3</v>
      </c>
      <c r="O9" s="113">
        <v>4</v>
      </c>
      <c r="P9" s="113"/>
      <c r="Q9" s="113">
        <v>2</v>
      </c>
      <c r="R9" s="113">
        <v>1</v>
      </c>
      <c r="S9" s="114"/>
      <c r="T9" s="115">
        <f t="shared" si="1"/>
        <v>19</v>
      </c>
      <c r="U9" s="95">
        <f t="shared" si="2"/>
        <v>0.33333333333333331</v>
      </c>
      <c r="V9" s="95">
        <f t="shared" si="3"/>
        <v>0.6</v>
      </c>
      <c r="W9" s="96">
        <f t="shared" si="4"/>
        <v>0.8</v>
      </c>
      <c r="X9" s="95">
        <f t="shared" si="0"/>
        <v>0.53846153846153844</v>
      </c>
      <c r="Y9" s="116">
        <f t="shared" si="5"/>
        <v>0.57692307692307687</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26</v>
      </c>
      <c r="F10" s="101">
        <v>2</v>
      </c>
      <c r="G10" s="102">
        <v>5</v>
      </c>
      <c r="H10" s="103"/>
      <c r="I10" s="102">
        <v>1</v>
      </c>
      <c r="J10" s="103">
        <v>1</v>
      </c>
      <c r="K10" s="102">
        <v>2</v>
      </c>
      <c r="L10" s="103">
        <v>1</v>
      </c>
      <c r="M10" s="103"/>
      <c r="N10" s="103"/>
      <c r="O10" s="103">
        <v>1</v>
      </c>
      <c r="P10" s="103"/>
      <c r="Q10" s="103"/>
      <c r="R10" s="103">
        <v>2</v>
      </c>
      <c r="S10" s="104"/>
      <c r="T10" s="105">
        <f t="shared" si="1"/>
        <v>7</v>
      </c>
      <c r="U10" s="106">
        <f t="shared" si="2"/>
        <v>0.4</v>
      </c>
      <c r="V10" s="106">
        <f t="shared" si="3"/>
        <v>0</v>
      </c>
      <c r="W10" s="107">
        <f t="shared" si="4"/>
        <v>0.5</v>
      </c>
      <c r="X10" s="106">
        <f t="shared" si="0"/>
        <v>0.33333333333333331</v>
      </c>
      <c r="Y10" s="108">
        <f t="shared" si="5"/>
        <v>0.5</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57.5</v>
      </c>
      <c r="AB11" s="385">
        <f>T31/AA11</f>
        <v>0.99130434782608701</v>
      </c>
      <c r="AC11" s="385">
        <f>L31/AA11</f>
        <v>0.15652173913043479</v>
      </c>
      <c r="AD11" s="385">
        <f>M31/AA12</f>
        <v>0.27419354838709675</v>
      </c>
      <c r="AE11" s="389">
        <f>(L31+M31)/AA11</f>
        <v>0.45217391304347826</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62</v>
      </c>
      <c r="AB12" s="385">
        <f>T32/AA12</f>
        <v>0.67741935483870963</v>
      </c>
      <c r="AC12" s="385">
        <f>L32/AA12</f>
        <v>0.19354838709677419</v>
      </c>
      <c r="AD12" s="385">
        <f>M32/AA11</f>
        <v>0.27826086956521739</v>
      </c>
      <c r="AE12" s="389">
        <f>(L32+M32)/AA12</f>
        <v>0.45161290322580644</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26</v>
      </c>
      <c r="F14" s="101"/>
      <c r="G14" s="102">
        <v>5</v>
      </c>
      <c r="H14" s="103">
        <v>2</v>
      </c>
      <c r="I14" s="102">
        <v>3</v>
      </c>
      <c r="J14" s="103">
        <v>1</v>
      </c>
      <c r="K14" s="102">
        <v>3</v>
      </c>
      <c r="L14" s="103"/>
      <c r="M14" s="103">
        <v>3</v>
      </c>
      <c r="N14" s="103">
        <v>3</v>
      </c>
      <c r="O14" s="103">
        <v>2</v>
      </c>
      <c r="P14" s="103">
        <v>1</v>
      </c>
      <c r="Q14" s="103">
        <v>4</v>
      </c>
      <c r="R14" s="103">
        <v>3</v>
      </c>
      <c r="S14" s="104"/>
      <c r="T14" s="105">
        <f t="shared" si="1"/>
        <v>5</v>
      </c>
      <c r="U14" s="106">
        <f t="shared" si="2"/>
        <v>0</v>
      </c>
      <c r="V14" s="106">
        <f t="shared" si="3"/>
        <v>0.66666666666666663</v>
      </c>
      <c r="W14" s="107">
        <f t="shared" si="4"/>
        <v>0.33333333333333331</v>
      </c>
      <c r="X14" s="106">
        <f t="shared" si="0"/>
        <v>0.25</v>
      </c>
      <c r="Y14" s="108">
        <f t="shared" si="5"/>
        <v>0.25</v>
      </c>
      <c r="Z14" s="385"/>
      <c r="AA14" s="385"/>
      <c r="AB14" s="385">
        <f>N31/AA11</f>
        <v>0.19130434782608696</v>
      </c>
      <c r="AC14" s="385">
        <f>O31/AA12</f>
        <v>0.17741935483870969</v>
      </c>
      <c r="AD14" s="385">
        <f>Q31/AA11</f>
        <v>0.1391304347826087</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14</v>
      </c>
      <c r="F15" s="111"/>
      <c r="G15" s="112"/>
      <c r="H15" s="113">
        <v>3</v>
      </c>
      <c r="I15" s="112">
        <v>4</v>
      </c>
      <c r="J15" s="113">
        <v>2</v>
      </c>
      <c r="K15" s="112">
        <v>2</v>
      </c>
      <c r="L15" s="113">
        <v>1</v>
      </c>
      <c r="M15" s="113">
        <v>2</v>
      </c>
      <c r="N15" s="113">
        <v>1</v>
      </c>
      <c r="O15" s="113">
        <v>1</v>
      </c>
      <c r="P15" s="113"/>
      <c r="Q15" s="113">
        <v>1</v>
      </c>
      <c r="R15" s="113">
        <v>5</v>
      </c>
      <c r="S15" s="114"/>
      <c r="T15" s="115">
        <f t="shared" si="1"/>
        <v>8</v>
      </c>
      <c r="U15" s="95" t="str">
        <f t="shared" si="2"/>
        <v/>
      </c>
      <c r="V15" s="95">
        <f t="shared" si="3"/>
        <v>0.75</v>
      </c>
      <c r="W15" s="96">
        <f t="shared" si="4"/>
        <v>1</v>
      </c>
      <c r="X15" s="95">
        <f t="shared" si="0"/>
        <v>0.75</v>
      </c>
      <c r="Y15" s="116">
        <f t="shared" si="5"/>
        <v>0.75</v>
      </c>
      <c r="Z15" s="392"/>
      <c r="AA15" s="393"/>
      <c r="AB15" s="393">
        <f>N32/AA12</f>
        <v>0.14516129032258066</v>
      </c>
      <c r="AC15" s="393">
        <f>O32/AA11</f>
        <v>6.9565217391304349E-2</v>
      </c>
      <c r="AD15" s="393">
        <f>Q32/AA12</f>
        <v>0.29032258064516131</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28</v>
      </c>
      <c r="F16" s="101">
        <v>1</v>
      </c>
      <c r="G16" s="102">
        <v>4</v>
      </c>
      <c r="H16" s="103">
        <v>4</v>
      </c>
      <c r="I16" s="102">
        <v>4</v>
      </c>
      <c r="J16" s="103">
        <v>3</v>
      </c>
      <c r="K16" s="102">
        <v>4</v>
      </c>
      <c r="L16" s="103">
        <v>2</v>
      </c>
      <c r="M16" s="103">
        <v>6</v>
      </c>
      <c r="N16" s="103"/>
      <c r="O16" s="103">
        <v>1</v>
      </c>
      <c r="P16" s="103">
        <v>1</v>
      </c>
      <c r="Q16" s="103">
        <v>1</v>
      </c>
      <c r="R16" s="103">
        <v>3</v>
      </c>
      <c r="S16" s="104"/>
      <c r="T16" s="105">
        <f t="shared" si="1"/>
        <v>14</v>
      </c>
      <c r="U16" s="106">
        <f t="shared" si="2"/>
        <v>0.25</v>
      </c>
      <c r="V16" s="106">
        <f t="shared" si="3"/>
        <v>1</v>
      </c>
      <c r="W16" s="107">
        <f t="shared" si="4"/>
        <v>0.75</v>
      </c>
      <c r="X16" s="106">
        <f t="shared" si="0"/>
        <v>0.625</v>
      </c>
      <c r="Y16" s="108">
        <f t="shared" si="5"/>
        <v>0.6875</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v>1</v>
      </c>
      <c r="E18" s="100">
        <v>1</v>
      </c>
      <c r="F18" s="101"/>
      <c r="G18" s="102"/>
      <c r="H18" s="103"/>
      <c r="I18" s="102">
        <v>1</v>
      </c>
      <c r="J18" s="103"/>
      <c r="K18" s="102"/>
      <c r="L18" s="103"/>
      <c r="M18" s="103"/>
      <c r="N18" s="103"/>
      <c r="O18" s="103"/>
      <c r="P18" s="103"/>
      <c r="Q18" s="103"/>
      <c r="R18" s="103"/>
      <c r="S18" s="104"/>
      <c r="T18" s="105">
        <f t="shared" si="1"/>
        <v>0</v>
      </c>
      <c r="U18" s="106" t="str">
        <f t="shared" si="2"/>
        <v/>
      </c>
      <c r="V18" s="106">
        <f t="shared" si="3"/>
        <v>0</v>
      </c>
      <c r="W18" s="107" t="str">
        <f t="shared" si="4"/>
        <v/>
      </c>
      <c r="X18" s="106">
        <f t="shared" si="0"/>
        <v>0</v>
      </c>
      <c r="Y18" s="108">
        <f t="shared" si="5"/>
        <v>0</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17</v>
      </c>
      <c r="F19" s="111"/>
      <c r="G19" s="112"/>
      <c r="H19" s="113"/>
      <c r="I19" s="112">
        <v>2</v>
      </c>
      <c r="J19" s="113"/>
      <c r="K19" s="112"/>
      <c r="L19" s="113"/>
      <c r="M19" s="113"/>
      <c r="N19" s="113">
        <v>1</v>
      </c>
      <c r="O19" s="113"/>
      <c r="P19" s="113">
        <v>1</v>
      </c>
      <c r="Q19" s="113"/>
      <c r="R19" s="113">
        <v>2</v>
      </c>
      <c r="S19" s="114"/>
      <c r="T19" s="115">
        <f t="shared" si="1"/>
        <v>0</v>
      </c>
      <c r="U19" s="95" t="str">
        <f t="shared" si="2"/>
        <v/>
      </c>
      <c r="V19" s="95">
        <f t="shared" si="3"/>
        <v>0</v>
      </c>
      <c r="W19" s="96" t="str">
        <f t="shared" si="4"/>
        <v/>
      </c>
      <c r="X19" s="95">
        <f t="shared" si="0"/>
        <v>0</v>
      </c>
      <c r="Y19" s="116">
        <f t="shared" si="5"/>
        <v>0</v>
      </c>
      <c r="Z19" s="388" t="s">
        <v>124</v>
      </c>
      <c r="AA19" s="385">
        <f>AB11*65</f>
        <v>64.434782608695656</v>
      </c>
      <c r="AB19" s="385">
        <f t="shared" ref="AB19:AD20" si="6">AC11*65</f>
        <v>10.173913043478262</v>
      </c>
      <c r="AC19" s="385">
        <f t="shared" si="6"/>
        <v>17.822580645161288</v>
      </c>
      <c r="AD19" s="385">
        <f t="shared" si="6"/>
        <v>29.391304347826086</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44.032258064516128</v>
      </c>
      <c r="AB20" s="385">
        <f t="shared" si="6"/>
        <v>12.580645161290322</v>
      </c>
      <c r="AC20" s="385">
        <f t="shared" si="6"/>
        <v>18.086956521739129</v>
      </c>
      <c r="AD20" s="385">
        <f t="shared" si="6"/>
        <v>29.35483870967742</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12.434782608695652</v>
      </c>
      <c r="AC22" s="385">
        <f t="shared" si="7"/>
        <v>11.53225806451613</v>
      </c>
      <c r="AD22" s="385">
        <f>AD14*65</f>
        <v>9.0434782608695645</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9.435483870967742</v>
      </c>
      <c r="AC23" s="393">
        <f t="shared" si="7"/>
        <v>4.5217391304347823</v>
      </c>
      <c r="AD23" s="393">
        <f t="shared" si="7"/>
        <v>18.870967741935484</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57</v>
      </c>
      <c r="B31" s="126" t="s">
        <v>161</v>
      </c>
      <c r="C31" s="151"/>
      <c r="D31" s="152">
        <f>IF(COUNTA($D$7:$D$30)&gt;0,1,"")</f>
        <v>1</v>
      </c>
      <c r="E31" s="127">
        <f>IF(D31=1,32+J4*4,"")</f>
        <v>32</v>
      </c>
      <c r="F31" s="128">
        <f t="shared" ref="F31:S31" si="8">SUM(F7:F30)</f>
        <v>4</v>
      </c>
      <c r="G31" s="129">
        <f t="shared" si="8"/>
        <v>19</v>
      </c>
      <c r="H31" s="128">
        <f t="shared" si="8"/>
        <v>17</v>
      </c>
      <c r="I31" s="130">
        <f t="shared" si="8"/>
        <v>30</v>
      </c>
      <c r="J31" s="129">
        <f t="shared" si="8"/>
        <v>11</v>
      </c>
      <c r="K31" s="130">
        <f t="shared" si="8"/>
        <v>19</v>
      </c>
      <c r="L31" s="129">
        <f t="shared" si="8"/>
        <v>9</v>
      </c>
      <c r="M31" s="129">
        <f t="shared" si="8"/>
        <v>17</v>
      </c>
      <c r="N31" s="129">
        <f t="shared" si="8"/>
        <v>11</v>
      </c>
      <c r="O31" s="129">
        <f t="shared" si="8"/>
        <v>11</v>
      </c>
      <c r="P31" s="129">
        <f t="shared" si="8"/>
        <v>3</v>
      </c>
      <c r="Q31" s="129">
        <f t="shared" si="8"/>
        <v>8</v>
      </c>
      <c r="R31" s="129">
        <f t="shared" si="8"/>
        <v>19</v>
      </c>
      <c r="S31" s="131">
        <f t="shared" si="8"/>
        <v>0</v>
      </c>
      <c r="T31" s="132">
        <f>IF(J31+2*H31+3*F31&gt;0,J31+2*H31+3*F31,IF(H4&gt;0,H4,""))</f>
        <v>57</v>
      </c>
      <c r="U31" s="133">
        <f>IF(G31&gt;0,F31/G31,"")</f>
        <v>0.21052631578947367</v>
      </c>
      <c r="V31" s="133">
        <f>IF(I31&gt;0,H31/I31,"")</f>
        <v>0.56666666666666665</v>
      </c>
      <c r="W31" s="134">
        <f>IF(K31&gt;0,J31/K31,"")</f>
        <v>0.57894736842105265</v>
      </c>
      <c r="X31" s="133">
        <f t="shared" si="0"/>
        <v>0.42857142857142855</v>
      </c>
      <c r="Y31" s="135">
        <f t="shared" si="5"/>
        <v>0.46938775510204084</v>
      </c>
      <c r="AB31" s="51"/>
      <c r="AC31" s="51"/>
      <c r="AD31" s="51"/>
      <c r="AE31" s="51"/>
      <c r="AF31" s="136"/>
      <c r="AG31" s="136"/>
      <c r="AH31" s="136"/>
      <c r="AI31" s="51"/>
    </row>
    <row r="32" spans="1:35" s="18" customFormat="1" ht="17.25" thickTop="1" thickBot="1" x14ac:dyDescent="0.3">
      <c r="A32" s="51">
        <f>ROUND(G32+I32+0.475*K32-L32+Q32,0)</f>
        <v>62</v>
      </c>
      <c r="B32" s="137" t="s">
        <v>162</v>
      </c>
      <c r="C32" s="153"/>
      <c r="D32" s="138">
        <f>IF(SUM(F32:S32)&gt;0,1,"")</f>
        <v>1</v>
      </c>
      <c r="E32" s="138">
        <f>IF(D32=1,E31,0)</f>
        <v>32</v>
      </c>
      <c r="F32" s="139">
        <v>5</v>
      </c>
      <c r="G32" s="140">
        <v>18</v>
      </c>
      <c r="H32" s="139">
        <v>10</v>
      </c>
      <c r="I32" s="141">
        <v>29</v>
      </c>
      <c r="J32" s="139">
        <v>7</v>
      </c>
      <c r="K32" s="141">
        <v>18</v>
      </c>
      <c r="L32" s="140">
        <v>12</v>
      </c>
      <c r="M32" s="140">
        <v>16</v>
      </c>
      <c r="N32" s="140">
        <v>9</v>
      </c>
      <c r="O32" s="140">
        <v>4</v>
      </c>
      <c r="P32" s="140">
        <v>1</v>
      </c>
      <c r="Q32" s="140">
        <v>18</v>
      </c>
      <c r="R32" s="140">
        <v>15</v>
      </c>
      <c r="S32" s="142"/>
      <c r="T32" s="143">
        <f>IF(J32+2*H32+3*F32&gt;0,J32+2*H32+3*F32,IF(H3&gt;0,H3,""))</f>
        <v>42</v>
      </c>
      <c r="U32" s="144">
        <f>IF(G32&gt;0,F32/G32,"")</f>
        <v>0.27777777777777779</v>
      </c>
      <c r="V32" s="144">
        <f>IF(I32&gt;0,H32/I32,"")</f>
        <v>0.34482758620689657</v>
      </c>
      <c r="W32" s="145">
        <f>IF(K32&gt;0,J32/K32,"")</f>
        <v>0.3888888888888889</v>
      </c>
      <c r="X32" s="144">
        <f t="shared" si="0"/>
        <v>0.31914893617021278</v>
      </c>
      <c r="Y32" s="146">
        <f t="shared" si="5"/>
        <v>0.37234042553191488</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1146" priority="29">
      <formula>AND($H$4&gt;0,$H$4&lt;&gt;$T$31)</formula>
    </cfRule>
  </conditionalFormatting>
  <conditionalFormatting sqref="T32 H3">
    <cfRule type="expression" dxfId="1145" priority="28">
      <formula>AND($H$3&gt;0,$H$3&lt;&gt;$T$32)</formula>
    </cfRule>
  </conditionalFormatting>
  <conditionalFormatting sqref="A2">
    <cfRule type="cellIs" dxfId="1144" priority="27" operator="equal">
      <formula>"R"</formula>
    </cfRule>
  </conditionalFormatting>
  <conditionalFormatting sqref="F7:F30 H7:H30 J7:J30">
    <cfRule type="expression" dxfId="1143" priority="26">
      <formula>F7&gt;G7</formula>
    </cfRule>
  </conditionalFormatting>
  <conditionalFormatting sqref="E7:E30">
    <cfRule type="expression" dxfId="1142" priority="25">
      <formula>$E7&gt;$E$31</formula>
    </cfRule>
  </conditionalFormatting>
  <conditionalFormatting sqref="L6">
    <cfRule type="expression" dxfId="1141" priority="24">
      <formula>OR($L$31&gt;($G$31+$I$31+$K$31-$F$31-$H$31-$J$31),L32&gt;(G31+I31+K31-F31-H31-J31))</formula>
    </cfRule>
  </conditionalFormatting>
  <conditionalFormatting sqref="M6">
    <cfRule type="expression" dxfId="1140" priority="23">
      <formula>OR(M31&gt;(G32-F32+I32-H32+K32-J32),M32&gt;(G31-F31+I31-H31+K31-J31))</formula>
    </cfRule>
  </conditionalFormatting>
  <conditionalFormatting sqref="N6">
    <cfRule type="expression" dxfId="1139" priority="22">
      <formula>OR($N$31&gt;($F$31+$H$31),$N$32&gt;($F$32+$H$32))</formula>
    </cfRule>
  </conditionalFormatting>
  <conditionalFormatting sqref="P6">
    <cfRule type="expression" dxfId="1138" priority="21">
      <formula>OR($P$31&gt;(G32-F32+I32-H32),P32&gt;(G31-F31+I31-H31))</formula>
    </cfRule>
  </conditionalFormatting>
  <conditionalFormatting sqref="Q6">
    <cfRule type="expression" dxfId="1137" priority="20">
      <formula>OR($Q$31&lt;$O$32,$Q$32&lt;$O$31)</formula>
    </cfRule>
  </conditionalFormatting>
  <conditionalFormatting sqref="L31:L32">
    <cfRule type="cellIs" dxfId="1136" priority="19" operator="greaterThan">
      <formula>$G31+$I31+$K31-$F31-$H31-$J31</formula>
    </cfRule>
  </conditionalFormatting>
  <conditionalFormatting sqref="M32">
    <cfRule type="cellIs" dxfId="1135" priority="18" operator="greaterThan">
      <formula>$G$31-$F$31+$I$31-$H$31+$K$31-$J$31</formula>
    </cfRule>
  </conditionalFormatting>
  <conditionalFormatting sqref="N31:N32">
    <cfRule type="cellIs" dxfId="1134" priority="17" operator="greaterThan">
      <formula>$F31+$H31</formula>
    </cfRule>
  </conditionalFormatting>
  <conditionalFormatting sqref="O32">
    <cfRule type="cellIs" dxfId="1133" priority="10" operator="greaterThan">
      <formula>$Q$31</formula>
    </cfRule>
  </conditionalFormatting>
  <conditionalFormatting sqref="P31">
    <cfRule type="cellIs" dxfId="1132" priority="16" operator="greaterThan">
      <formula>$G$32-$F$32+$I$32-$H$32</formula>
    </cfRule>
  </conditionalFormatting>
  <conditionalFormatting sqref="Q32">
    <cfRule type="cellIs" dxfId="1131" priority="15" operator="lessThan">
      <formula>$O$31</formula>
    </cfRule>
  </conditionalFormatting>
  <conditionalFormatting sqref="F7:F32">
    <cfRule type="cellIs" dxfId="1130" priority="14" operator="greaterThan">
      <formula>G7</formula>
    </cfRule>
  </conditionalFormatting>
  <conditionalFormatting sqref="H7:H32">
    <cfRule type="cellIs" dxfId="1129" priority="13" operator="greaterThan">
      <formula>I7</formula>
    </cfRule>
  </conditionalFormatting>
  <conditionalFormatting sqref="J7:J32">
    <cfRule type="cellIs" dxfId="1128" priority="12" operator="greaterThan">
      <formula>K7</formula>
    </cfRule>
  </conditionalFormatting>
  <conditionalFormatting sqref="M4">
    <cfRule type="cellIs" dxfId="1127" priority="11" operator="notBetween">
      <formula>$AH$2</formula>
      <formula>$AI$2</formula>
    </cfRule>
  </conditionalFormatting>
  <conditionalFormatting sqref="O31">
    <cfRule type="cellIs" dxfId="1126" priority="9" operator="greaterThan">
      <formula>$Q$32</formula>
    </cfRule>
  </conditionalFormatting>
  <conditionalFormatting sqref="Q31">
    <cfRule type="cellIs" dxfId="1125" priority="8" operator="lessThan">
      <formula>$O$32</formula>
    </cfRule>
  </conditionalFormatting>
  <conditionalFormatting sqref="M31">
    <cfRule type="cellIs" dxfId="1124" priority="7" operator="greaterThan">
      <formula>G32-F32 +I32-H32+K32-J32</formula>
    </cfRule>
  </conditionalFormatting>
  <conditionalFormatting sqref="B3">
    <cfRule type="expression" dxfId="1123" priority="6">
      <formula>$W$2 = TRUE</formula>
    </cfRule>
  </conditionalFormatting>
  <conditionalFormatting sqref="P4:Q4">
    <cfRule type="expression" dxfId="1122" priority="5">
      <formula>OR(AND($P$4=1,$X$4=1),AND($Q$4=1,$W$4=1))</formula>
    </cfRule>
  </conditionalFormatting>
  <conditionalFormatting sqref="D7:D30">
    <cfRule type="expression" dxfId="1121" priority="30">
      <formula>AND($D7=0,SUM($F7:$S7)&gt;0)</formula>
    </cfRule>
  </conditionalFormatting>
  <conditionalFormatting sqref="O6">
    <cfRule type="expression" dxfId="1120" priority="4">
      <formula>OR($O$31&gt;$Q$32,$O$32&gt;$Q$31)</formula>
    </cfRule>
  </conditionalFormatting>
  <conditionalFormatting sqref="F6">
    <cfRule type="expression" dxfId="1119" priority="3">
      <formula>OR(F$31&gt;G$31,F$32&gt;G$32)</formula>
    </cfRule>
  </conditionalFormatting>
  <conditionalFormatting sqref="H6">
    <cfRule type="expression" dxfId="1118" priority="2">
      <formula>OR(H$31&gt;I$31,H$32&gt;I$32)</formula>
    </cfRule>
  </conditionalFormatting>
  <conditionalFormatting sqref="J6">
    <cfRule type="expression" dxfId="1117" priority="1">
      <formula>OR(J$31&gt;K$31,J$32&gt;K$32)</formula>
    </cfRule>
  </conditionalFormatting>
  <dataValidations count="6">
    <dataValidation type="list" operator="greaterThanOrEqual" allowBlank="1" showInputMessage="1" showErrorMessage="1" sqref="J4">
      <formula1>"0,1,2,3,4,5,6,7,8,9,10"</formula1>
    </dataValidation>
    <dataValidation type="whole" operator="greaterThanOrEqual" allowBlank="1" showErrorMessage="1" prompt="Enter 1 if player entered game - Else leave blank" sqref="E7:E30">
      <formula1>1</formula1>
    </dataValidation>
    <dataValidation type="list" allowBlank="1" showInputMessage="1" showErrorMessage="1" prompt="Enter 1 or 0" sqref="P4:Q4 S4 U4">
      <formula1>"0,1"</formula1>
    </dataValidation>
    <dataValidation type="whole" operator="greaterThanOrEqual" allowBlank="1" showInputMessage="1" showErrorMessage="1" error="You must enter a whole number greater than 0 - Else leave blank" sqref="F7:S30 F32:S32">
      <formula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J37"/>
  <sheetViews>
    <sheetView showZeros="0" zoomScale="80" zoomScaleNormal="80" workbookViewId="0">
      <pane xSplit="2" ySplit="6" topLeftCell="C10" activePane="bottomRight" state="frozen"/>
      <selection activeCell="F32" sqref="F32:S32"/>
      <selection pane="topRight" activeCell="F32" sqref="F32:S32"/>
      <selection pane="bottomLeft" activeCell="F32" sqref="F32:S32"/>
      <selection pane="bottomRight" activeCell="W44" sqref="W44"/>
    </sheetView>
  </sheetViews>
  <sheetFormatPr defaultColWidth="10.5703125" defaultRowHeight="13.5" x14ac:dyDescent="0.25"/>
  <cols>
    <col min="1" max="1" width="3.85546875" style="12" customWidth="1"/>
    <col min="2" max="2" width="22.85546875" style="12" customWidth="1"/>
    <col min="3" max="3" width="5.85546875" style="12" customWidth="1"/>
    <col min="4" max="4" width="7.5703125" style="12" customWidth="1"/>
    <col min="5" max="22" width="6.5703125" style="12" customWidth="1"/>
    <col min="23" max="23" width="6.5703125" style="14" customWidth="1"/>
    <col min="24" max="24" width="6.5703125" style="12" customWidth="1"/>
    <col min="25" max="26" width="6.85546875" style="12" customWidth="1"/>
    <col min="27" max="34" width="6.85546875" style="48" customWidth="1"/>
    <col min="35" max="45" width="6.85546875" style="12" customWidth="1"/>
    <col min="46" max="16384" width="10.5703125" style="12"/>
  </cols>
  <sheetData>
    <row r="1" spans="1:36" ht="6" customHeight="1" x14ac:dyDescent="0.25">
      <c r="G1" s="403"/>
      <c r="H1" s="403"/>
      <c r="I1" s="403"/>
      <c r="J1" s="403"/>
      <c r="K1" s="403"/>
      <c r="L1" s="403"/>
      <c r="M1" s="61"/>
      <c r="O1" s="13"/>
      <c r="P1" s="13"/>
      <c r="Q1" s="13"/>
      <c r="R1" s="13"/>
      <c r="S1" s="13"/>
      <c r="T1" s="13"/>
      <c r="U1" s="13"/>
    </row>
    <row r="2" spans="1:36" ht="14.25" thickBot="1" x14ac:dyDescent="0.3">
      <c r="A2" s="48" t="str">
        <f>IF(AND(Roster!$D$1=VLOOKUP(B3,WYTeamInfo,2,FALSE),Roster!$D$3=VLOOKUP(B3,WYTeamInfo,4,FALSE)),"R","")</f>
        <v/>
      </c>
      <c r="B2" s="62" t="s">
        <v>173</v>
      </c>
      <c r="C2" s="63" t="s">
        <v>174</v>
      </c>
      <c r="D2" s="63" t="s">
        <v>175</v>
      </c>
      <c r="E2" s="63" t="s">
        <v>176</v>
      </c>
      <c r="F2" s="63" t="s">
        <v>177</v>
      </c>
      <c r="G2" s="64" t="s">
        <v>178</v>
      </c>
      <c r="H2" s="12" t="s">
        <v>179</v>
      </c>
      <c r="J2" s="65"/>
      <c r="W2" s="48" t="b">
        <f>ISERROR(VLOOKUP($B$3,WYTeamInfo,1,0))</f>
        <v>0</v>
      </c>
      <c r="AA2" s="66"/>
      <c r="AH2" s="67">
        <f>Roster!$F$1</f>
        <v>44896</v>
      </c>
      <c r="AI2" s="68">
        <f>Roster!$F$2</f>
        <v>45017</v>
      </c>
    </row>
    <row r="3" spans="1:36" ht="18" thickTop="1" thickBot="1" x14ac:dyDescent="0.35">
      <c r="B3" s="69" t="s">
        <v>303</v>
      </c>
      <c r="C3" s="70">
        <v>9</v>
      </c>
      <c r="D3" s="71">
        <v>8</v>
      </c>
      <c r="E3" s="71">
        <v>19</v>
      </c>
      <c r="F3" s="71">
        <v>13</v>
      </c>
      <c r="G3" s="72"/>
      <c r="H3" s="73">
        <f>SUM(C3:G3)</f>
        <v>49</v>
      </c>
      <c r="J3" s="12" t="s">
        <v>165</v>
      </c>
      <c r="P3" s="74" t="s">
        <v>135</v>
      </c>
      <c r="Q3" s="74" t="s">
        <v>137</v>
      </c>
      <c r="S3" s="75" t="s">
        <v>138</v>
      </c>
      <c r="U3" s="76" t="s">
        <v>139</v>
      </c>
      <c r="W3" s="77" t="s">
        <v>134</v>
      </c>
      <c r="X3" s="77" t="s">
        <v>136</v>
      </c>
      <c r="AA3" s="48" t="str">
        <f>B4</f>
        <v>Upton</v>
      </c>
      <c r="AD3" s="48">
        <f>SUM($C3:C3)</f>
        <v>9</v>
      </c>
      <c r="AE3" s="48">
        <f>SUM($C3:D3)</f>
        <v>17</v>
      </c>
      <c r="AF3" s="48">
        <f>SUM($C3:E3)</f>
        <v>36</v>
      </c>
      <c r="AG3" s="48">
        <f>SUM($C3:F3)</f>
        <v>49</v>
      </c>
      <c r="AH3" s="48">
        <f>SUM($C3:G3)</f>
        <v>49</v>
      </c>
      <c r="AJ3" s="74"/>
    </row>
    <row r="4" spans="1:36" ht="16.5" customHeight="1" thickTop="1" thickBot="1" x14ac:dyDescent="0.3">
      <c r="B4" s="78" t="str">
        <f>Roster!$B$1</f>
        <v>Upton</v>
      </c>
      <c r="C4" s="79">
        <v>9</v>
      </c>
      <c r="D4" s="80">
        <v>11</v>
      </c>
      <c r="E4" s="80">
        <v>10</v>
      </c>
      <c r="F4" s="80">
        <v>17</v>
      </c>
      <c r="G4" s="81"/>
      <c r="H4" s="82">
        <f>SUM(C4:G4)</f>
        <v>47</v>
      </c>
      <c r="J4" s="83"/>
      <c r="L4" s="84" t="s">
        <v>133</v>
      </c>
      <c r="M4" s="404">
        <v>44914</v>
      </c>
      <c r="N4" s="405"/>
      <c r="P4" s="83"/>
      <c r="Q4" s="83"/>
      <c r="S4" s="83"/>
      <c r="U4" s="83"/>
      <c r="W4" s="85" t="str">
        <f>IF(OR($S$4=1,$H$4&gt;$H$3),1,"")</f>
        <v/>
      </c>
      <c r="X4" s="85">
        <f>IF(OR($U$4=1,$H$4&lt;$H$3),1,"")</f>
        <v>1</v>
      </c>
      <c r="AA4" s="48" t="str">
        <f>B3</f>
        <v>Cokeville</v>
      </c>
      <c r="AD4" s="48">
        <f>SUM($C4:C4)</f>
        <v>9</v>
      </c>
      <c r="AE4" s="48">
        <f>SUM($C4:D4)</f>
        <v>20</v>
      </c>
      <c r="AF4" s="48">
        <f>SUM($C4:E4)</f>
        <v>30</v>
      </c>
      <c r="AG4" s="48">
        <f>SUM($C4:F4)</f>
        <v>47</v>
      </c>
      <c r="AH4" s="48">
        <f>SUM($C4:G4)</f>
        <v>47</v>
      </c>
      <c r="AJ4" s="86"/>
    </row>
    <row r="5" spans="1:36" ht="5.25" customHeight="1" thickTop="1" x14ac:dyDescent="0.25">
      <c r="B5" s="74"/>
      <c r="C5" s="74"/>
      <c r="F5" s="74"/>
      <c r="G5" s="74"/>
      <c r="H5" s="74"/>
    </row>
    <row r="6" spans="1:36" s="16" customFormat="1" ht="26.25" thickBot="1" x14ac:dyDescent="0.3">
      <c r="A6" s="1" t="s">
        <v>21</v>
      </c>
      <c r="B6" s="1" t="s">
        <v>140</v>
      </c>
      <c r="C6" s="2" t="s">
        <v>275</v>
      </c>
      <c r="D6" s="2" t="s">
        <v>141</v>
      </c>
      <c r="E6" s="2" t="s">
        <v>233</v>
      </c>
      <c r="F6" s="2" t="s">
        <v>142</v>
      </c>
      <c r="G6" s="2" t="s">
        <v>143</v>
      </c>
      <c r="H6" s="2" t="s">
        <v>144</v>
      </c>
      <c r="I6" s="2" t="s">
        <v>145</v>
      </c>
      <c r="J6" s="2" t="s">
        <v>146</v>
      </c>
      <c r="K6" s="2" t="s">
        <v>147</v>
      </c>
      <c r="L6" s="2" t="s">
        <v>148</v>
      </c>
      <c r="M6" s="2" t="s">
        <v>149</v>
      </c>
      <c r="N6" s="2" t="s">
        <v>150</v>
      </c>
      <c r="O6" s="2" t="s">
        <v>151</v>
      </c>
      <c r="P6" s="2" t="s">
        <v>152</v>
      </c>
      <c r="Q6" s="2" t="s">
        <v>153</v>
      </c>
      <c r="R6" s="2" t="s">
        <v>154</v>
      </c>
      <c r="S6" s="2" t="s">
        <v>167</v>
      </c>
      <c r="T6" s="1" t="s">
        <v>155</v>
      </c>
      <c r="U6" s="1" t="s">
        <v>156</v>
      </c>
      <c r="V6" s="1" t="s">
        <v>157</v>
      </c>
      <c r="W6" s="1" t="s">
        <v>158</v>
      </c>
      <c r="X6" s="1" t="s">
        <v>159</v>
      </c>
      <c r="Y6" s="1" t="s">
        <v>166</v>
      </c>
      <c r="Z6"/>
      <c r="AB6" s="50"/>
      <c r="AC6" s="50"/>
      <c r="AD6" s="50"/>
      <c r="AE6" s="50"/>
      <c r="AF6" s="50"/>
      <c r="AG6" s="50"/>
      <c r="AH6" s="50"/>
      <c r="AI6" s="50"/>
    </row>
    <row r="7" spans="1:36" s="18" customFormat="1" ht="16.5" thickTop="1" x14ac:dyDescent="0.25">
      <c r="A7" s="87">
        <f>IF(Roster!A7&lt;&gt;"",Roster!A7,"")</f>
        <v>1</v>
      </c>
      <c r="B7" s="17" t="str">
        <f>IF(OR(Roster!A7&lt;&gt;"",Roster!B7&lt;&gt;""),PROPER(Roster!B7),"")</f>
        <v>Landon Butler</v>
      </c>
      <c r="C7" s="88"/>
      <c r="D7" s="147"/>
      <c r="E7" s="89"/>
      <c r="F7" s="90"/>
      <c r="G7" s="91"/>
      <c r="H7" s="92"/>
      <c r="I7" s="91"/>
      <c r="J7" s="92"/>
      <c r="K7" s="91"/>
      <c r="L7" s="92"/>
      <c r="M7" s="92"/>
      <c r="N7" s="92"/>
      <c r="O7" s="92"/>
      <c r="P7" s="92"/>
      <c r="Q7" s="92"/>
      <c r="R7" s="92"/>
      <c r="S7" s="93"/>
      <c r="T7" s="94">
        <f>IF(J7+2*H7+3*F7&gt;0,J7+2*H7+3*F7,0)</f>
        <v>0</v>
      </c>
      <c r="U7" s="95" t="str">
        <f>IF(G7&gt;0,F7/G7,"")</f>
        <v/>
      </c>
      <c r="V7" s="95" t="str">
        <f>IF(I7&gt;0,H7/I7,"")</f>
        <v/>
      </c>
      <c r="W7" s="96" t="str">
        <f>IF(K7&gt;0,J7/K7,"")</f>
        <v/>
      </c>
      <c r="X7" s="97" t="str">
        <f t="shared" ref="X7:X32" si="0">IF(OR(G7&gt;0,I7 &gt;0),(F7+H7)/(G7+I7),"")</f>
        <v/>
      </c>
      <c r="Y7" s="98" t="str">
        <f>IF(OR(G7&gt;0,I7 &gt;0),(1.5*F7+H7)/(G7+I7),"")</f>
        <v/>
      </c>
      <c r="AB7" s="51"/>
      <c r="AC7" s="51"/>
      <c r="AD7" s="51"/>
      <c r="AE7" s="51"/>
      <c r="AF7" s="51"/>
      <c r="AG7" s="51"/>
      <c r="AH7" s="51"/>
      <c r="AI7" s="51"/>
    </row>
    <row r="8" spans="1:36" s="18" customFormat="1" ht="15.75" x14ac:dyDescent="0.25">
      <c r="A8" s="87">
        <f>IF(Roster!A8&lt;&gt;"",Roster!A8,"")</f>
        <v>3</v>
      </c>
      <c r="B8" s="19" t="str">
        <f>IF(OR(Roster!A8&lt;&gt;"",Roster!B8&lt;&gt;""),PROPER(Roster!B8),"")</f>
        <v>Logan Timberman</v>
      </c>
      <c r="C8" s="99" t="s">
        <v>369</v>
      </c>
      <c r="D8" s="148">
        <v>1</v>
      </c>
      <c r="E8" s="100">
        <v>29</v>
      </c>
      <c r="F8" s="101">
        <v>0</v>
      </c>
      <c r="G8" s="102">
        <v>2</v>
      </c>
      <c r="H8" s="103">
        <v>2</v>
      </c>
      <c r="I8" s="102">
        <v>2</v>
      </c>
      <c r="J8" s="103"/>
      <c r="K8" s="102"/>
      <c r="L8" s="103">
        <v>2</v>
      </c>
      <c r="M8" s="103">
        <v>3</v>
      </c>
      <c r="N8" s="103">
        <v>2</v>
      </c>
      <c r="O8" s="103">
        <v>1</v>
      </c>
      <c r="P8" s="103"/>
      <c r="Q8" s="103">
        <v>6</v>
      </c>
      <c r="R8" s="103">
        <v>3</v>
      </c>
      <c r="S8" s="104"/>
      <c r="T8" s="105">
        <f t="shared" ref="T8:T30" si="1">IF(J8+2*H8+3*F8&gt;0,J8+2*H8+3*F8,0)</f>
        <v>4</v>
      </c>
      <c r="U8" s="106">
        <f t="shared" ref="U8:U30" si="2">IF(G8&gt;0,F8/G8,"")</f>
        <v>0</v>
      </c>
      <c r="V8" s="106">
        <f t="shared" ref="V8:V30" si="3">IF(I8&gt;0,H8/I8,"")</f>
        <v>1</v>
      </c>
      <c r="W8" s="107" t="str">
        <f t="shared" ref="W8:W30" si="4">IF(K8&gt;0,J8/K8,"")</f>
        <v/>
      </c>
      <c r="X8" s="106">
        <f t="shared" si="0"/>
        <v>0.5</v>
      </c>
      <c r="Y8" s="108">
        <f t="shared" ref="Y8:Y32" si="5">IF(OR(G8&gt;0,I8 &gt;0),(1.5*F8+H8)/(G8+I8),"")</f>
        <v>0.5</v>
      </c>
      <c r="AB8" s="51"/>
      <c r="AC8" s="51"/>
      <c r="AD8" s="51"/>
      <c r="AE8" s="51"/>
      <c r="AF8" s="51"/>
      <c r="AG8" s="51"/>
      <c r="AH8" s="51"/>
      <c r="AI8" s="51"/>
    </row>
    <row r="9" spans="1:36" s="18" customFormat="1" ht="15.75" x14ac:dyDescent="0.25">
      <c r="A9" s="87">
        <f>IF(Roster!A9&lt;&gt;"",Roster!A9,"")</f>
        <v>5</v>
      </c>
      <c r="B9" s="17" t="str">
        <f>IF(OR(Roster!A9&lt;&gt;"",Roster!B9&lt;&gt;""),PROPER(Roster!B9),"")</f>
        <v>Chase Mills</v>
      </c>
      <c r="C9" s="109" t="s">
        <v>369</v>
      </c>
      <c r="D9" s="149">
        <v>1</v>
      </c>
      <c r="E9" s="110">
        <v>28</v>
      </c>
      <c r="F9" s="111">
        <v>2</v>
      </c>
      <c r="G9" s="112">
        <v>3</v>
      </c>
      <c r="H9" s="113">
        <v>5</v>
      </c>
      <c r="I9" s="112">
        <v>11</v>
      </c>
      <c r="J9" s="113"/>
      <c r="K9" s="112"/>
      <c r="L9" s="113">
        <v>3</v>
      </c>
      <c r="M9" s="113">
        <v>2</v>
      </c>
      <c r="N9" s="113">
        <v>4</v>
      </c>
      <c r="O9" s="113">
        <v>4</v>
      </c>
      <c r="P9" s="113"/>
      <c r="Q9" s="113">
        <v>7</v>
      </c>
      <c r="R9" s="113"/>
      <c r="S9" s="114"/>
      <c r="T9" s="115">
        <f t="shared" si="1"/>
        <v>16</v>
      </c>
      <c r="U9" s="95">
        <f t="shared" si="2"/>
        <v>0.66666666666666663</v>
      </c>
      <c r="V9" s="95">
        <f t="shared" si="3"/>
        <v>0.45454545454545453</v>
      </c>
      <c r="W9" s="96" t="str">
        <f t="shared" si="4"/>
        <v/>
      </c>
      <c r="X9" s="95">
        <f t="shared" si="0"/>
        <v>0.5</v>
      </c>
      <c r="Y9" s="116">
        <f t="shared" si="5"/>
        <v>0.5714285714285714</v>
      </c>
      <c r="Z9" s="381"/>
      <c r="AA9" s="382"/>
      <c r="AB9" s="382" t="s">
        <v>339</v>
      </c>
      <c r="AC9" s="382"/>
      <c r="AD9" s="383"/>
      <c r="AE9" s="384"/>
      <c r="AF9" s="51"/>
      <c r="AG9" s="51"/>
      <c r="AH9" s="51"/>
      <c r="AI9" s="51"/>
    </row>
    <row r="10" spans="1:36" s="18" customFormat="1" ht="15.75" x14ac:dyDescent="0.25">
      <c r="A10" s="87">
        <f>IF(Roster!A10&lt;&gt;"",Roster!A10,"")</f>
        <v>10</v>
      </c>
      <c r="B10" s="19" t="str">
        <f>IF(OR(Roster!A10&lt;&gt;"",Roster!B10&lt;&gt;""),PROPER(Roster!B10),"")</f>
        <v>Rhett Watt</v>
      </c>
      <c r="C10" s="99" t="s">
        <v>369</v>
      </c>
      <c r="D10" s="148">
        <v>1</v>
      </c>
      <c r="E10" s="100">
        <v>30</v>
      </c>
      <c r="F10" s="101"/>
      <c r="G10" s="102">
        <v>5</v>
      </c>
      <c r="H10" s="103">
        <v>3</v>
      </c>
      <c r="I10" s="102">
        <v>6</v>
      </c>
      <c r="J10" s="103">
        <v>3</v>
      </c>
      <c r="K10" s="102">
        <v>4</v>
      </c>
      <c r="L10" s="103">
        <v>2</v>
      </c>
      <c r="M10" s="103">
        <v>1</v>
      </c>
      <c r="N10" s="103">
        <v>3</v>
      </c>
      <c r="O10" s="103">
        <v>2</v>
      </c>
      <c r="P10" s="103"/>
      <c r="Q10" s="103">
        <v>1</v>
      </c>
      <c r="R10" s="103"/>
      <c r="S10" s="104">
        <v>1</v>
      </c>
      <c r="T10" s="105">
        <f t="shared" si="1"/>
        <v>9</v>
      </c>
      <c r="U10" s="106">
        <f t="shared" si="2"/>
        <v>0</v>
      </c>
      <c r="V10" s="106">
        <f t="shared" si="3"/>
        <v>0.5</v>
      </c>
      <c r="W10" s="107">
        <f t="shared" si="4"/>
        <v>0.75</v>
      </c>
      <c r="X10" s="106">
        <f t="shared" si="0"/>
        <v>0.27272727272727271</v>
      </c>
      <c r="Y10" s="108">
        <f t="shared" si="5"/>
        <v>0.27272727272727271</v>
      </c>
      <c r="Z10" s="385"/>
      <c r="AA10" s="386" t="s">
        <v>340</v>
      </c>
      <c r="AB10" s="386" t="s">
        <v>342</v>
      </c>
      <c r="AC10" s="386" t="s">
        <v>343</v>
      </c>
      <c r="AD10" s="386" t="s">
        <v>344</v>
      </c>
      <c r="AE10" s="387" t="s">
        <v>351</v>
      </c>
      <c r="AF10" s="51"/>
      <c r="AG10" s="51"/>
      <c r="AH10" s="51"/>
      <c r="AI10" s="51"/>
    </row>
    <row r="11" spans="1:36" s="18" customFormat="1" ht="15.75" x14ac:dyDescent="0.25">
      <c r="A11" s="87">
        <f>IF(Roster!A11&lt;&gt;"",Roster!A11,"")</f>
        <v>11</v>
      </c>
      <c r="B11" s="17" t="str">
        <f>IF(OR(Roster!A11&lt;&gt;"",Roster!B11&lt;&gt;""),PROPER(Roster!B11),"")</f>
        <v>Keith Coburn</v>
      </c>
      <c r="C11" s="109"/>
      <c r="D11" s="149"/>
      <c r="E11" s="110"/>
      <c r="F11" s="111"/>
      <c r="G11" s="112"/>
      <c r="H11" s="113"/>
      <c r="I11" s="112"/>
      <c r="J11" s="113"/>
      <c r="K11" s="112"/>
      <c r="L11" s="113"/>
      <c r="M11" s="113"/>
      <c r="N11" s="113"/>
      <c r="O11" s="113"/>
      <c r="P11" s="113"/>
      <c r="Q11" s="113"/>
      <c r="R11" s="113"/>
      <c r="S11" s="114"/>
      <c r="T11" s="115">
        <f t="shared" si="1"/>
        <v>0</v>
      </c>
      <c r="U11" s="95" t="str">
        <f t="shared" si="2"/>
        <v/>
      </c>
      <c r="V11" s="95" t="str">
        <f t="shared" si="3"/>
        <v/>
      </c>
      <c r="W11" s="96" t="str">
        <f t="shared" si="4"/>
        <v/>
      </c>
      <c r="X11" s="95" t="str">
        <f t="shared" si="0"/>
        <v/>
      </c>
      <c r="Y11" s="116" t="str">
        <f t="shared" si="5"/>
        <v/>
      </c>
      <c r="Z11" s="388" t="s">
        <v>124</v>
      </c>
      <c r="AA11" s="385">
        <f>G31+I31+(K31/2)+Q31-L31</f>
        <v>66</v>
      </c>
      <c r="AB11" s="385">
        <f>T31/AA11</f>
        <v>0.71212121212121215</v>
      </c>
      <c r="AC11" s="385">
        <f>L31/AA11</f>
        <v>0.13636363636363635</v>
      </c>
      <c r="AD11" s="385">
        <f>M31/AA12</f>
        <v>0.2814814814814815</v>
      </c>
      <c r="AE11" s="389">
        <f>(L31+M31)/AA11</f>
        <v>0.42424242424242425</v>
      </c>
      <c r="AF11" s="51"/>
      <c r="AG11" s="51"/>
      <c r="AH11" s="51"/>
      <c r="AI11" s="51"/>
    </row>
    <row r="12" spans="1:36" s="18" customFormat="1" ht="15.75" x14ac:dyDescent="0.25">
      <c r="A12" s="87">
        <f>IF(Roster!A12&lt;&gt;"",Roster!A12,"")</f>
        <v>14</v>
      </c>
      <c r="B12" s="19" t="str">
        <f>IF(OR(Roster!A12&lt;&gt;"",Roster!B12&lt;&gt;""),PROPER(Roster!B12),"")</f>
        <v>Carson Barritt</v>
      </c>
      <c r="C12" s="99"/>
      <c r="D12" s="148"/>
      <c r="E12" s="100"/>
      <c r="F12" s="101"/>
      <c r="G12" s="102"/>
      <c r="H12" s="103"/>
      <c r="I12" s="102"/>
      <c r="J12" s="103"/>
      <c r="K12" s="102"/>
      <c r="L12" s="103"/>
      <c r="M12" s="103"/>
      <c r="N12" s="103"/>
      <c r="O12" s="103"/>
      <c r="P12" s="103"/>
      <c r="Q12" s="103"/>
      <c r="R12" s="103"/>
      <c r="S12" s="104"/>
      <c r="T12" s="105">
        <f t="shared" si="1"/>
        <v>0</v>
      </c>
      <c r="U12" s="106" t="str">
        <f t="shared" si="2"/>
        <v/>
      </c>
      <c r="V12" s="106" t="str">
        <f t="shared" si="3"/>
        <v/>
      </c>
      <c r="W12" s="107" t="str">
        <f t="shared" si="4"/>
        <v/>
      </c>
      <c r="X12" s="106" t="str">
        <f t="shared" si="0"/>
        <v/>
      </c>
      <c r="Y12" s="108" t="str">
        <f t="shared" si="5"/>
        <v/>
      </c>
      <c r="Z12" s="388" t="s">
        <v>352</v>
      </c>
      <c r="AA12" s="385">
        <f>G32+I32+(K32/2)+Q32-L32</f>
        <v>67.5</v>
      </c>
      <c r="AB12" s="385">
        <f>T32/AA12</f>
        <v>0.72592592592592597</v>
      </c>
      <c r="AC12" s="385">
        <f>L32/AA12</f>
        <v>0.11851851851851852</v>
      </c>
      <c r="AD12" s="385">
        <f>M32/AA11</f>
        <v>0.24242424242424243</v>
      </c>
      <c r="AE12" s="389">
        <f>(L32+M32)/AA12</f>
        <v>0.35555555555555557</v>
      </c>
      <c r="AF12" s="51"/>
      <c r="AG12" s="51"/>
      <c r="AH12" s="51"/>
      <c r="AI12" s="51"/>
    </row>
    <row r="13" spans="1:36" s="18" customFormat="1" ht="15.75" x14ac:dyDescent="0.25">
      <c r="A13" s="87">
        <f>IF(Roster!A13&lt;&gt;"",Roster!A13,"")</f>
        <v>21</v>
      </c>
      <c r="B13" s="17" t="str">
        <f>IF(OR(Roster!A13&lt;&gt;"",Roster!B13&lt;&gt;""),PROPER(Roster!B13),"")</f>
        <v>Ben Carpenter</v>
      </c>
      <c r="C13" s="109"/>
      <c r="D13" s="149"/>
      <c r="E13" s="110"/>
      <c r="F13" s="111"/>
      <c r="G13" s="112"/>
      <c r="H13" s="113"/>
      <c r="I13" s="112"/>
      <c r="J13" s="113"/>
      <c r="K13" s="112"/>
      <c r="L13" s="113"/>
      <c r="M13" s="113"/>
      <c r="N13" s="113"/>
      <c r="O13" s="113"/>
      <c r="P13" s="113"/>
      <c r="Q13" s="113"/>
      <c r="R13" s="113"/>
      <c r="S13" s="114"/>
      <c r="T13" s="115">
        <f t="shared" si="1"/>
        <v>0</v>
      </c>
      <c r="U13" s="95" t="str">
        <f t="shared" si="2"/>
        <v/>
      </c>
      <c r="V13" s="95" t="str">
        <f t="shared" si="3"/>
        <v/>
      </c>
      <c r="W13" s="96" t="str">
        <f t="shared" si="4"/>
        <v/>
      </c>
      <c r="X13" s="95" t="str">
        <f t="shared" si="0"/>
        <v/>
      </c>
      <c r="Y13" s="116" t="str">
        <f t="shared" si="5"/>
        <v/>
      </c>
      <c r="Z13" s="385"/>
      <c r="AA13" s="390"/>
      <c r="AB13" s="386" t="s">
        <v>353</v>
      </c>
      <c r="AC13" s="386" t="s">
        <v>347</v>
      </c>
      <c r="AD13" s="386" t="s">
        <v>153</v>
      </c>
      <c r="AE13" s="391"/>
      <c r="AF13" s="51"/>
      <c r="AG13" s="51"/>
      <c r="AH13" s="51"/>
      <c r="AI13" s="51"/>
    </row>
    <row r="14" spans="1:36" s="18" customFormat="1" ht="15.75" x14ac:dyDescent="0.25">
      <c r="A14" s="87">
        <f>IF(Roster!A14&lt;&gt;"",Roster!A14,"")</f>
        <v>23</v>
      </c>
      <c r="B14" s="19" t="str">
        <f>IF(OR(Roster!A14&lt;&gt;"",Roster!B14&lt;&gt;""),PROPER(Roster!B14),"")</f>
        <v>Ethan Schiller</v>
      </c>
      <c r="C14" s="99" t="s">
        <v>369</v>
      </c>
      <c r="D14" s="148">
        <v>1</v>
      </c>
      <c r="E14" s="100">
        <v>24</v>
      </c>
      <c r="F14" s="101">
        <v>4</v>
      </c>
      <c r="G14" s="102">
        <v>6</v>
      </c>
      <c r="H14" s="103"/>
      <c r="I14" s="102">
        <v>4</v>
      </c>
      <c r="J14" s="103"/>
      <c r="K14" s="102"/>
      <c r="L14" s="103"/>
      <c r="M14" s="103">
        <v>4</v>
      </c>
      <c r="N14" s="103">
        <v>3</v>
      </c>
      <c r="O14" s="103">
        <v>3</v>
      </c>
      <c r="P14" s="103">
        <v>3</v>
      </c>
      <c r="Q14" s="103">
        <v>5</v>
      </c>
      <c r="R14" s="103">
        <v>3</v>
      </c>
      <c r="S14" s="104"/>
      <c r="T14" s="105">
        <f t="shared" si="1"/>
        <v>12</v>
      </c>
      <c r="U14" s="106">
        <f t="shared" si="2"/>
        <v>0.66666666666666663</v>
      </c>
      <c r="V14" s="106">
        <f t="shared" si="3"/>
        <v>0</v>
      </c>
      <c r="W14" s="107" t="str">
        <f t="shared" si="4"/>
        <v/>
      </c>
      <c r="X14" s="106">
        <f t="shared" si="0"/>
        <v>0.4</v>
      </c>
      <c r="Y14" s="108">
        <f t="shared" si="5"/>
        <v>0.6</v>
      </c>
      <c r="Z14" s="385"/>
      <c r="AA14" s="385"/>
      <c r="AB14" s="385">
        <f>N31/AA11</f>
        <v>0.19696969696969696</v>
      </c>
      <c r="AC14" s="385">
        <f>O31/AA12</f>
        <v>0.17777777777777778</v>
      </c>
      <c r="AD14" s="385">
        <f>Q31/AA11</f>
        <v>0.34848484848484851</v>
      </c>
      <c r="AE14" s="389"/>
      <c r="AF14" s="51"/>
      <c r="AG14" s="51"/>
      <c r="AH14" s="51"/>
      <c r="AI14" s="51"/>
    </row>
    <row r="15" spans="1:36" s="18" customFormat="1" ht="15.75" x14ac:dyDescent="0.25">
      <c r="A15" s="87">
        <f>IF(Roster!A15&lt;&gt;"",Roster!A15,"")</f>
        <v>25</v>
      </c>
      <c r="B15" s="17" t="str">
        <f>IF(OR(Roster!A15&lt;&gt;"",Roster!B15&lt;&gt;""),PROPER(Roster!B15),"")</f>
        <v>Bridger Bruce</v>
      </c>
      <c r="C15" s="109"/>
      <c r="D15" s="149">
        <v>1</v>
      </c>
      <c r="E15" s="110">
        <v>12</v>
      </c>
      <c r="F15" s="111"/>
      <c r="G15" s="112">
        <v>2</v>
      </c>
      <c r="H15" s="113">
        <v>1</v>
      </c>
      <c r="I15" s="112">
        <v>2</v>
      </c>
      <c r="J15" s="113"/>
      <c r="K15" s="112"/>
      <c r="L15" s="113">
        <v>1</v>
      </c>
      <c r="M15" s="113"/>
      <c r="N15" s="113"/>
      <c r="O15" s="113"/>
      <c r="P15" s="113"/>
      <c r="Q15" s="113">
        <v>1</v>
      </c>
      <c r="R15" s="113"/>
      <c r="S15" s="114"/>
      <c r="T15" s="115">
        <f t="shared" si="1"/>
        <v>2</v>
      </c>
      <c r="U15" s="95">
        <f t="shared" si="2"/>
        <v>0</v>
      </c>
      <c r="V15" s="95">
        <f t="shared" si="3"/>
        <v>0.5</v>
      </c>
      <c r="W15" s="96" t="str">
        <f t="shared" si="4"/>
        <v/>
      </c>
      <c r="X15" s="95">
        <f t="shared" si="0"/>
        <v>0.25</v>
      </c>
      <c r="Y15" s="116">
        <f t="shared" si="5"/>
        <v>0.25</v>
      </c>
      <c r="Z15" s="392"/>
      <c r="AA15" s="393"/>
      <c r="AB15" s="393">
        <f>N32/AA12</f>
        <v>0.19259259259259259</v>
      </c>
      <c r="AC15" s="393">
        <f>O32/AA11</f>
        <v>0.21212121212121213</v>
      </c>
      <c r="AD15" s="393">
        <f>Q32/AA12</f>
        <v>0.31111111111111112</v>
      </c>
      <c r="AE15" s="394"/>
      <c r="AF15" s="51"/>
      <c r="AG15" s="51"/>
      <c r="AH15" s="51"/>
      <c r="AI15" s="51"/>
    </row>
    <row r="16" spans="1:36" s="18" customFormat="1" ht="15.75" x14ac:dyDescent="0.25">
      <c r="A16" s="87">
        <f>IF(Roster!A16&lt;&gt;"",Roster!A16,"")</f>
        <v>31</v>
      </c>
      <c r="B16" s="19" t="str">
        <f>IF(OR(Roster!A16&lt;&gt;"",Roster!B16&lt;&gt;""),PROPER(Roster!B16),"")</f>
        <v>Kailer Duarte</v>
      </c>
      <c r="C16" s="99" t="s">
        <v>369</v>
      </c>
      <c r="D16" s="148">
        <v>1</v>
      </c>
      <c r="E16" s="100">
        <v>23</v>
      </c>
      <c r="F16" s="101"/>
      <c r="G16" s="102">
        <v>1</v>
      </c>
      <c r="H16" s="103">
        <v>2</v>
      </c>
      <c r="I16" s="102">
        <v>4</v>
      </c>
      <c r="J16" s="103"/>
      <c r="K16" s="102"/>
      <c r="L16" s="103"/>
      <c r="M16" s="103">
        <v>7</v>
      </c>
      <c r="N16" s="103"/>
      <c r="O16" s="103">
        <v>1</v>
      </c>
      <c r="P16" s="103"/>
      <c r="Q16" s="103">
        <v>2</v>
      </c>
      <c r="R16" s="103">
        <v>5</v>
      </c>
      <c r="S16" s="104"/>
      <c r="T16" s="105">
        <f t="shared" si="1"/>
        <v>4</v>
      </c>
      <c r="U16" s="106">
        <f t="shared" si="2"/>
        <v>0</v>
      </c>
      <c r="V16" s="106">
        <f t="shared" si="3"/>
        <v>0.5</v>
      </c>
      <c r="W16" s="107" t="str">
        <f t="shared" si="4"/>
        <v/>
      </c>
      <c r="X16" s="106">
        <f t="shared" si="0"/>
        <v>0.4</v>
      </c>
      <c r="Y16" s="108">
        <f t="shared" si="5"/>
        <v>0.4</v>
      </c>
      <c r="Z16" s="385"/>
      <c r="AA16" s="385"/>
      <c r="AB16" s="385"/>
      <c r="AC16" s="385"/>
      <c r="AD16" s="385"/>
      <c r="AE16" s="385"/>
      <c r="AF16" s="51"/>
      <c r="AG16" s="51"/>
      <c r="AH16" s="51"/>
      <c r="AI16" s="51"/>
    </row>
    <row r="17" spans="1:35" s="18" customFormat="1" ht="15.75" x14ac:dyDescent="0.25">
      <c r="A17" s="87">
        <f>IF(Roster!A17&lt;&gt;"",Roster!A17,"")</f>
        <v>33</v>
      </c>
      <c r="B17" s="17" t="str">
        <f>IF(OR(Roster!A17&lt;&gt;"",Roster!B17&lt;&gt;""),PROPER(Roster!B17),"")</f>
        <v>Matt Stirmel</v>
      </c>
      <c r="C17" s="109"/>
      <c r="D17" s="149"/>
      <c r="E17" s="110"/>
      <c r="F17" s="111"/>
      <c r="G17" s="112"/>
      <c r="H17" s="113"/>
      <c r="I17" s="112"/>
      <c r="J17" s="113"/>
      <c r="K17" s="112"/>
      <c r="L17" s="113"/>
      <c r="M17" s="113"/>
      <c r="N17" s="113"/>
      <c r="O17" s="113"/>
      <c r="P17" s="113"/>
      <c r="Q17" s="113"/>
      <c r="R17" s="113"/>
      <c r="S17" s="114"/>
      <c r="T17" s="115">
        <f t="shared" si="1"/>
        <v>0</v>
      </c>
      <c r="U17" s="95" t="str">
        <f t="shared" si="2"/>
        <v/>
      </c>
      <c r="V17" s="95" t="str">
        <f t="shared" si="3"/>
        <v/>
      </c>
      <c r="W17" s="96" t="str">
        <f t="shared" si="4"/>
        <v/>
      </c>
      <c r="X17" s="95" t="str">
        <f t="shared" si="0"/>
        <v/>
      </c>
      <c r="Y17" s="116" t="str">
        <f t="shared" si="5"/>
        <v/>
      </c>
      <c r="Z17" s="381"/>
      <c r="AA17" s="382"/>
      <c r="AB17" s="382" t="s">
        <v>350</v>
      </c>
      <c r="AC17" s="382"/>
      <c r="AD17" s="382"/>
      <c r="AE17" s="395"/>
      <c r="AF17" s="51"/>
      <c r="AG17" s="51"/>
      <c r="AH17" s="51"/>
      <c r="AI17" s="51"/>
    </row>
    <row r="18" spans="1:35" s="18" customFormat="1" ht="15.75" x14ac:dyDescent="0.25">
      <c r="A18" s="87">
        <f>IF(Roster!A18&lt;&gt;"",Roster!A18,"")</f>
        <v>34</v>
      </c>
      <c r="B18" s="19" t="str">
        <f>IF(OR(Roster!A18&lt;&gt;"",Roster!B18&lt;&gt;""),PROPER(Roster!B18),"")</f>
        <v>Jacob Mcnutt</v>
      </c>
      <c r="C18" s="99"/>
      <c r="D18" s="148"/>
      <c r="E18" s="100"/>
      <c r="F18" s="101"/>
      <c r="G18" s="102"/>
      <c r="H18" s="103"/>
      <c r="I18" s="102"/>
      <c r="J18" s="103"/>
      <c r="K18" s="102"/>
      <c r="L18" s="103"/>
      <c r="M18" s="103"/>
      <c r="N18" s="103"/>
      <c r="O18" s="103"/>
      <c r="P18" s="103"/>
      <c r="Q18" s="103"/>
      <c r="R18" s="103"/>
      <c r="S18" s="104"/>
      <c r="T18" s="105">
        <f t="shared" si="1"/>
        <v>0</v>
      </c>
      <c r="U18" s="106" t="str">
        <f t="shared" si="2"/>
        <v/>
      </c>
      <c r="V18" s="106" t="str">
        <f t="shared" si="3"/>
        <v/>
      </c>
      <c r="W18" s="107" t="str">
        <f t="shared" si="4"/>
        <v/>
      </c>
      <c r="X18" s="106" t="str">
        <f t="shared" si="0"/>
        <v/>
      </c>
      <c r="Y18" s="108" t="str">
        <f t="shared" si="5"/>
        <v/>
      </c>
      <c r="Z18" s="385"/>
      <c r="AA18" s="386" t="s">
        <v>342</v>
      </c>
      <c r="AB18" s="386" t="s">
        <v>343</v>
      </c>
      <c r="AC18" s="386" t="s">
        <v>344</v>
      </c>
      <c r="AD18" s="386" t="s">
        <v>351</v>
      </c>
      <c r="AE18" s="387"/>
      <c r="AF18" s="51"/>
      <c r="AG18" s="51"/>
      <c r="AH18" s="51"/>
      <c r="AI18" s="51"/>
    </row>
    <row r="19" spans="1:35" s="18" customFormat="1" ht="15.75" x14ac:dyDescent="0.25">
      <c r="A19" s="87">
        <f>IF(Roster!A19&lt;&gt;"",Roster!A19,"")</f>
        <v>35</v>
      </c>
      <c r="B19" s="17" t="str">
        <f>IF(OR(Roster!A19&lt;&gt;"",Roster!B19&lt;&gt;""),PROPER(Roster!B19),"")</f>
        <v>Ryan Baker</v>
      </c>
      <c r="C19" s="109"/>
      <c r="D19" s="149">
        <v>1</v>
      </c>
      <c r="E19" s="110">
        <v>10</v>
      </c>
      <c r="F19" s="111"/>
      <c r="G19" s="112"/>
      <c r="H19" s="113"/>
      <c r="I19" s="112">
        <v>2</v>
      </c>
      <c r="J19" s="113"/>
      <c r="K19" s="112"/>
      <c r="L19" s="113">
        <v>1</v>
      </c>
      <c r="M19" s="113">
        <v>2</v>
      </c>
      <c r="N19" s="113">
        <v>1</v>
      </c>
      <c r="O19" s="113">
        <v>1</v>
      </c>
      <c r="P19" s="113"/>
      <c r="Q19" s="113">
        <v>1</v>
      </c>
      <c r="R19" s="113"/>
      <c r="S19" s="114"/>
      <c r="T19" s="115">
        <f t="shared" si="1"/>
        <v>0</v>
      </c>
      <c r="U19" s="95" t="str">
        <f t="shared" si="2"/>
        <v/>
      </c>
      <c r="V19" s="95">
        <f t="shared" si="3"/>
        <v>0</v>
      </c>
      <c r="W19" s="96" t="str">
        <f t="shared" si="4"/>
        <v/>
      </c>
      <c r="X19" s="95">
        <f t="shared" si="0"/>
        <v>0</v>
      </c>
      <c r="Y19" s="116">
        <f t="shared" si="5"/>
        <v>0</v>
      </c>
      <c r="Z19" s="388" t="s">
        <v>124</v>
      </c>
      <c r="AA19" s="385">
        <f>AB11*65</f>
        <v>46.287878787878789</v>
      </c>
      <c r="AB19" s="385">
        <f t="shared" ref="AB19:AD20" si="6">AC11*65</f>
        <v>8.8636363636363633</v>
      </c>
      <c r="AC19" s="385">
        <f t="shared" si="6"/>
        <v>18.296296296296298</v>
      </c>
      <c r="AD19" s="385">
        <f t="shared" si="6"/>
        <v>27.575757575757578</v>
      </c>
      <c r="AE19" s="389"/>
      <c r="AF19" s="51"/>
      <c r="AG19" s="51"/>
      <c r="AH19" s="51"/>
      <c r="AI19" s="51"/>
    </row>
    <row r="20" spans="1:35" s="18" customFormat="1" ht="15.75" x14ac:dyDescent="0.25">
      <c r="A20" s="87" t="str">
        <f>IF(Roster!A20&lt;&gt;"",Roster!A20,"")</f>
        <v/>
      </c>
      <c r="B20" s="19" t="str">
        <f>IF(OR(Roster!A20&lt;&gt;"",Roster!B20&lt;&gt;""),PROPER(Roster!B20),"")</f>
        <v/>
      </c>
      <c r="C20" s="99"/>
      <c r="D20" s="148"/>
      <c r="E20" s="100"/>
      <c r="F20" s="101"/>
      <c r="G20" s="102"/>
      <c r="H20" s="103"/>
      <c r="I20" s="102"/>
      <c r="J20" s="103"/>
      <c r="K20" s="102"/>
      <c r="L20" s="103"/>
      <c r="M20" s="103"/>
      <c r="N20" s="103"/>
      <c r="O20" s="103"/>
      <c r="P20" s="103"/>
      <c r="Q20" s="103"/>
      <c r="R20" s="103"/>
      <c r="S20" s="104"/>
      <c r="T20" s="105">
        <f t="shared" si="1"/>
        <v>0</v>
      </c>
      <c r="U20" s="106" t="str">
        <f t="shared" si="2"/>
        <v/>
      </c>
      <c r="V20" s="106" t="str">
        <f t="shared" si="3"/>
        <v/>
      </c>
      <c r="W20" s="107" t="str">
        <f t="shared" si="4"/>
        <v/>
      </c>
      <c r="X20" s="106" t="str">
        <f t="shared" si="0"/>
        <v/>
      </c>
      <c r="Y20" s="108" t="str">
        <f t="shared" si="5"/>
        <v/>
      </c>
      <c r="Z20" s="388" t="s">
        <v>352</v>
      </c>
      <c r="AA20" s="385">
        <f>AB12*65</f>
        <v>47.18518518518519</v>
      </c>
      <c r="AB20" s="385">
        <f t="shared" si="6"/>
        <v>7.7037037037037042</v>
      </c>
      <c r="AC20" s="385">
        <f t="shared" si="6"/>
        <v>15.757575757575758</v>
      </c>
      <c r="AD20" s="385">
        <f t="shared" si="6"/>
        <v>23.111111111111111</v>
      </c>
      <c r="AE20" s="389"/>
      <c r="AF20" s="51"/>
      <c r="AG20" s="51"/>
      <c r="AH20" s="51"/>
      <c r="AI20" s="51"/>
    </row>
    <row r="21" spans="1:35" s="18" customFormat="1" ht="15.75" x14ac:dyDescent="0.25">
      <c r="A21" s="18" t="str">
        <f>IF(Roster!A21&lt;&gt;"",Roster!A21,"")</f>
        <v/>
      </c>
      <c r="B21" s="17" t="str">
        <f>IF(OR(Roster!A21&lt;&gt;"",Roster!B21&lt;&gt;""),PROPER(Roster!B21),"")</f>
        <v/>
      </c>
      <c r="C21" s="109"/>
      <c r="D21" s="149"/>
      <c r="E21" s="110"/>
      <c r="F21" s="111"/>
      <c r="G21" s="112"/>
      <c r="H21" s="113"/>
      <c r="I21" s="112"/>
      <c r="J21" s="113"/>
      <c r="K21" s="112"/>
      <c r="L21" s="113"/>
      <c r="M21" s="113"/>
      <c r="N21" s="113"/>
      <c r="O21" s="113"/>
      <c r="P21" s="113"/>
      <c r="Q21" s="113"/>
      <c r="R21" s="113"/>
      <c r="S21" s="114"/>
      <c r="T21" s="115">
        <f t="shared" si="1"/>
        <v>0</v>
      </c>
      <c r="U21" s="95" t="str">
        <f t="shared" si="2"/>
        <v/>
      </c>
      <c r="V21" s="95" t="str">
        <f t="shared" si="3"/>
        <v/>
      </c>
      <c r="W21" s="96" t="str">
        <f t="shared" si="4"/>
        <v/>
      </c>
      <c r="X21" s="95" t="str">
        <f t="shared" si="0"/>
        <v/>
      </c>
      <c r="Y21" s="116" t="str">
        <f t="shared" si="5"/>
        <v/>
      </c>
      <c r="Z21" s="385"/>
      <c r="AA21" s="386"/>
      <c r="AB21" s="386" t="s">
        <v>353</v>
      </c>
      <c r="AC21" s="386" t="s">
        <v>347</v>
      </c>
      <c r="AD21" s="386" t="s">
        <v>153</v>
      </c>
      <c r="AE21" s="387"/>
      <c r="AF21" s="51"/>
      <c r="AG21" s="51"/>
      <c r="AH21" s="51"/>
      <c r="AI21" s="51"/>
    </row>
    <row r="22" spans="1:35" s="18" customFormat="1" ht="15.75" x14ac:dyDescent="0.25">
      <c r="A22" s="18" t="str">
        <f>IF(Roster!A22&lt;&gt;"",Roster!A22,"")</f>
        <v/>
      </c>
      <c r="B22" s="19" t="str">
        <f>IF(OR(Roster!A22&lt;&gt;"",Roster!B22&lt;&gt;""),PROPER(Roster!B22),"")</f>
        <v/>
      </c>
      <c r="C22" s="99"/>
      <c r="D22" s="148"/>
      <c r="E22" s="100"/>
      <c r="F22" s="101"/>
      <c r="G22" s="102"/>
      <c r="H22" s="103"/>
      <c r="I22" s="102"/>
      <c r="J22" s="103"/>
      <c r="K22" s="102"/>
      <c r="L22" s="103"/>
      <c r="M22" s="103"/>
      <c r="N22" s="103"/>
      <c r="O22" s="103"/>
      <c r="P22" s="103"/>
      <c r="Q22" s="103"/>
      <c r="R22" s="103"/>
      <c r="S22" s="104"/>
      <c r="T22" s="105">
        <f t="shared" si="1"/>
        <v>0</v>
      </c>
      <c r="U22" s="106" t="str">
        <f t="shared" si="2"/>
        <v/>
      </c>
      <c r="V22" s="106" t="str">
        <f t="shared" si="3"/>
        <v/>
      </c>
      <c r="W22" s="107" t="str">
        <f t="shared" si="4"/>
        <v/>
      </c>
      <c r="X22" s="106" t="str">
        <f t="shared" si="0"/>
        <v/>
      </c>
      <c r="Y22" s="108" t="str">
        <f t="shared" si="5"/>
        <v/>
      </c>
      <c r="Z22" s="385"/>
      <c r="AA22" s="385"/>
      <c r="AB22" s="385">
        <f t="shared" ref="AB22:AD23" si="7">AB14*65</f>
        <v>12.803030303030303</v>
      </c>
      <c r="AC22" s="385">
        <f t="shared" si="7"/>
        <v>11.555555555555555</v>
      </c>
      <c r="AD22" s="385">
        <f>AD14*65</f>
        <v>22.651515151515152</v>
      </c>
      <c r="AE22" s="389"/>
      <c r="AF22" s="51"/>
      <c r="AG22" s="51"/>
      <c r="AH22" s="51"/>
      <c r="AI22" s="51"/>
    </row>
    <row r="23" spans="1:35" s="18" customFormat="1" ht="15.75" x14ac:dyDescent="0.25">
      <c r="A23" s="18" t="str">
        <f>IF(Roster!A23&lt;&gt;"",Roster!A23,"")</f>
        <v/>
      </c>
      <c r="B23" s="17" t="str">
        <f>IF(OR(Roster!A23&lt;&gt;"",Roster!B23&lt;&gt;""),PROPER(Roster!B23),"")</f>
        <v/>
      </c>
      <c r="C23" s="109"/>
      <c r="D23" s="149"/>
      <c r="E23" s="110"/>
      <c r="F23" s="111"/>
      <c r="G23" s="112"/>
      <c r="H23" s="113"/>
      <c r="I23" s="112"/>
      <c r="J23" s="113"/>
      <c r="K23" s="112"/>
      <c r="L23" s="113"/>
      <c r="M23" s="113"/>
      <c r="N23" s="113"/>
      <c r="O23" s="113"/>
      <c r="P23" s="113"/>
      <c r="Q23" s="113"/>
      <c r="R23" s="113"/>
      <c r="S23" s="114"/>
      <c r="T23" s="115">
        <f t="shared" si="1"/>
        <v>0</v>
      </c>
      <c r="U23" s="95" t="str">
        <f t="shared" si="2"/>
        <v/>
      </c>
      <c r="V23" s="95" t="str">
        <f t="shared" si="3"/>
        <v/>
      </c>
      <c r="W23" s="96" t="str">
        <f t="shared" si="4"/>
        <v/>
      </c>
      <c r="X23" s="95" t="str">
        <f t="shared" si="0"/>
        <v/>
      </c>
      <c r="Y23" s="116" t="str">
        <f t="shared" si="5"/>
        <v/>
      </c>
      <c r="Z23" s="392"/>
      <c r="AA23" s="393"/>
      <c r="AB23" s="393">
        <f>AB15*65</f>
        <v>12.518518518518519</v>
      </c>
      <c r="AC23" s="393">
        <f t="shared" si="7"/>
        <v>13.787878787878789</v>
      </c>
      <c r="AD23" s="393">
        <f t="shared" si="7"/>
        <v>20.222222222222221</v>
      </c>
      <c r="AE23" s="394"/>
      <c r="AF23" s="51"/>
      <c r="AG23" s="51"/>
      <c r="AH23" s="51"/>
      <c r="AI23" s="51"/>
    </row>
    <row r="24" spans="1:35" s="18" customFormat="1" ht="15.75" x14ac:dyDescent="0.25">
      <c r="A24" s="18" t="str">
        <f>IF(Roster!A24&lt;&gt;"",Roster!A24,"")</f>
        <v/>
      </c>
      <c r="B24" s="19" t="str">
        <f>IF(OR(Roster!A24&lt;&gt;"",Roster!B24&lt;&gt;""),PROPER(Roster!B24),"")</f>
        <v/>
      </c>
      <c r="C24" s="99"/>
      <c r="D24" s="148"/>
      <c r="E24" s="100"/>
      <c r="F24" s="101"/>
      <c r="G24" s="102"/>
      <c r="H24" s="103"/>
      <c r="I24" s="102"/>
      <c r="J24" s="103"/>
      <c r="K24" s="102"/>
      <c r="L24" s="103"/>
      <c r="M24" s="103"/>
      <c r="N24" s="103"/>
      <c r="O24" s="103"/>
      <c r="P24" s="103"/>
      <c r="Q24" s="103"/>
      <c r="R24" s="103"/>
      <c r="S24" s="104"/>
      <c r="T24" s="105">
        <f t="shared" si="1"/>
        <v>0</v>
      </c>
      <c r="U24" s="106" t="str">
        <f t="shared" si="2"/>
        <v/>
      </c>
      <c r="V24" s="106" t="str">
        <f t="shared" si="3"/>
        <v/>
      </c>
      <c r="W24" s="107" t="str">
        <f t="shared" si="4"/>
        <v/>
      </c>
      <c r="X24" s="106" t="str">
        <f t="shared" si="0"/>
        <v/>
      </c>
      <c r="Y24" s="108" t="str">
        <f t="shared" si="5"/>
        <v/>
      </c>
      <c r="AB24" s="51"/>
      <c r="AC24" s="51"/>
      <c r="AD24" s="51"/>
      <c r="AE24" s="51"/>
      <c r="AF24" s="51"/>
      <c r="AG24" s="51"/>
      <c r="AH24" s="51"/>
      <c r="AI24" s="51"/>
    </row>
    <row r="25" spans="1:35" s="18" customFormat="1" ht="15.75" x14ac:dyDescent="0.25">
      <c r="A25" s="18" t="str">
        <f>IF(Roster!A25&lt;&gt;"",Roster!A25,"")</f>
        <v/>
      </c>
      <c r="B25" s="17" t="str">
        <f>IF(OR(Roster!A25&lt;&gt;"",Roster!B25&lt;&gt;""),PROPER(Roster!B25),"")</f>
        <v/>
      </c>
      <c r="C25" s="109"/>
      <c r="D25" s="149"/>
      <c r="E25" s="110"/>
      <c r="F25" s="111"/>
      <c r="G25" s="112"/>
      <c r="H25" s="113"/>
      <c r="I25" s="112"/>
      <c r="J25" s="113"/>
      <c r="K25" s="112"/>
      <c r="L25" s="113"/>
      <c r="M25" s="113"/>
      <c r="N25" s="113"/>
      <c r="O25" s="113"/>
      <c r="P25" s="113"/>
      <c r="Q25" s="113"/>
      <c r="R25" s="113"/>
      <c r="S25" s="114"/>
      <c r="T25" s="115">
        <f t="shared" si="1"/>
        <v>0</v>
      </c>
      <c r="U25" s="95" t="str">
        <f t="shared" si="2"/>
        <v/>
      </c>
      <c r="V25" s="95" t="str">
        <f t="shared" si="3"/>
        <v/>
      </c>
      <c r="W25" s="96" t="str">
        <f t="shared" si="4"/>
        <v/>
      </c>
      <c r="X25" s="95" t="str">
        <f t="shared" si="0"/>
        <v/>
      </c>
      <c r="Y25" s="116" t="str">
        <f t="shared" si="5"/>
        <v/>
      </c>
      <c r="AB25" s="51"/>
      <c r="AC25" s="51"/>
      <c r="AD25" s="51"/>
      <c r="AE25" s="51"/>
      <c r="AF25" s="51"/>
      <c r="AG25" s="51"/>
      <c r="AH25" s="51"/>
      <c r="AI25" s="51"/>
    </row>
    <row r="26" spans="1:35" s="18" customFormat="1" ht="15.75" x14ac:dyDescent="0.25">
      <c r="A26" s="18" t="str">
        <f>IF(Roster!A26&lt;&gt;"",Roster!A26,"")</f>
        <v/>
      </c>
      <c r="B26" s="19" t="str">
        <f>IF(OR(Roster!A26&lt;&gt;"",Roster!B26&lt;&gt;""),PROPER(Roster!B26),"")</f>
        <v/>
      </c>
      <c r="C26" s="99"/>
      <c r="D26" s="148"/>
      <c r="E26" s="100"/>
      <c r="F26" s="101"/>
      <c r="G26" s="102"/>
      <c r="H26" s="103"/>
      <c r="I26" s="102"/>
      <c r="J26" s="103"/>
      <c r="K26" s="102"/>
      <c r="L26" s="103"/>
      <c r="M26" s="103"/>
      <c r="N26" s="103"/>
      <c r="O26" s="103"/>
      <c r="P26" s="103"/>
      <c r="Q26" s="103"/>
      <c r="R26" s="103"/>
      <c r="S26" s="104"/>
      <c r="T26" s="105">
        <f t="shared" si="1"/>
        <v>0</v>
      </c>
      <c r="U26" s="106" t="str">
        <f t="shared" si="2"/>
        <v/>
      </c>
      <c r="V26" s="106" t="str">
        <f t="shared" si="3"/>
        <v/>
      </c>
      <c r="W26" s="107" t="str">
        <f t="shared" si="4"/>
        <v/>
      </c>
      <c r="X26" s="106" t="str">
        <f t="shared" si="0"/>
        <v/>
      </c>
      <c r="Y26" s="108" t="str">
        <f t="shared" si="5"/>
        <v/>
      </c>
      <c r="AB26" s="51"/>
      <c r="AC26" s="51"/>
      <c r="AD26" s="51"/>
      <c r="AE26" s="51"/>
      <c r="AF26" s="51"/>
      <c r="AG26" s="51"/>
      <c r="AH26" s="51"/>
      <c r="AI26" s="51"/>
    </row>
    <row r="27" spans="1:35" s="18" customFormat="1" ht="15.75" x14ac:dyDescent="0.25">
      <c r="A27" s="18" t="str">
        <f>IF(Roster!A27&lt;&gt;"",Roster!A27,"")</f>
        <v/>
      </c>
      <c r="B27" s="17" t="str">
        <f>IF(OR(Roster!A27&lt;&gt;"",Roster!B27&lt;&gt;""),PROPER(Roster!B27),"")</f>
        <v/>
      </c>
      <c r="C27" s="109"/>
      <c r="D27" s="149"/>
      <c r="E27" s="110"/>
      <c r="F27" s="111"/>
      <c r="G27" s="112"/>
      <c r="H27" s="113"/>
      <c r="I27" s="112"/>
      <c r="J27" s="113"/>
      <c r="K27" s="112"/>
      <c r="L27" s="113"/>
      <c r="M27" s="113"/>
      <c r="N27" s="113"/>
      <c r="O27" s="113"/>
      <c r="P27" s="113"/>
      <c r="Q27" s="113"/>
      <c r="R27" s="113"/>
      <c r="S27" s="114"/>
      <c r="T27" s="115">
        <f t="shared" si="1"/>
        <v>0</v>
      </c>
      <c r="U27" s="95" t="str">
        <f t="shared" si="2"/>
        <v/>
      </c>
      <c r="V27" s="95" t="str">
        <f t="shared" si="3"/>
        <v/>
      </c>
      <c r="W27" s="96" t="str">
        <f t="shared" si="4"/>
        <v/>
      </c>
      <c r="X27" s="95" t="str">
        <f t="shared" si="0"/>
        <v/>
      </c>
      <c r="Y27" s="116" t="str">
        <f t="shared" si="5"/>
        <v/>
      </c>
      <c r="AB27" s="51"/>
      <c r="AC27" s="51"/>
      <c r="AD27" s="51"/>
      <c r="AE27" s="51"/>
      <c r="AF27" s="51"/>
      <c r="AG27" s="51"/>
      <c r="AH27" s="51"/>
      <c r="AI27" s="51"/>
    </row>
    <row r="28" spans="1:35" s="18" customFormat="1" ht="15.75" x14ac:dyDescent="0.25">
      <c r="A28" s="18" t="str">
        <f>IF(Roster!A28&lt;&gt;"",Roster!A28,"")</f>
        <v/>
      </c>
      <c r="B28" s="19" t="str">
        <f>IF(OR(Roster!A28&lt;&gt;"",Roster!B28&lt;&gt;""),PROPER(Roster!B28),"")</f>
        <v/>
      </c>
      <c r="C28" s="99"/>
      <c r="D28" s="148"/>
      <c r="E28" s="100"/>
      <c r="F28" s="101"/>
      <c r="G28" s="102"/>
      <c r="H28" s="103"/>
      <c r="I28" s="102"/>
      <c r="J28" s="103"/>
      <c r="K28" s="102"/>
      <c r="L28" s="103"/>
      <c r="M28" s="103"/>
      <c r="N28" s="103"/>
      <c r="O28" s="103"/>
      <c r="P28" s="103"/>
      <c r="Q28" s="103"/>
      <c r="R28" s="103"/>
      <c r="S28" s="104"/>
      <c r="T28" s="105">
        <f t="shared" si="1"/>
        <v>0</v>
      </c>
      <c r="U28" s="106" t="str">
        <f t="shared" si="2"/>
        <v/>
      </c>
      <c r="V28" s="106" t="str">
        <f t="shared" si="3"/>
        <v/>
      </c>
      <c r="W28" s="107" t="str">
        <f t="shared" si="4"/>
        <v/>
      </c>
      <c r="X28" s="106" t="str">
        <f t="shared" si="0"/>
        <v/>
      </c>
      <c r="Y28" s="108" t="str">
        <f t="shared" si="5"/>
        <v/>
      </c>
      <c r="AB28" s="51"/>
      <c r="AC28" s="51"/>
      <c r="AD28" s="51"/>
      <c r="AE28" s="51"/>
      <c r="AF28" s="51"/>
      <c r="AG28" s="51"/>
      <c r="AH28" s="51"/>
      <c r="AI28" s="51"/>
    </row>
    <row r="29" spans="1:35" s="18" customFormat="1" ht="15.75" x14ac:dyDescent="0.25">
      <c r="A29" s="18" t="str">
        <f>IF(Roster!A29&lt;&gt;"",Roster!A29,"")</f>
        <v/>
      </c>
      <c r="B29" s="17" t="str">
        <f>IF(OR(Roster!A29&lt;&gt;"",Roster!B29&lt;&gt;""),PROPER(Roster!B29),"")</f>
        <v/>
      </c>
      <c r="C29" s="109"/>
      <c r="D29" s="149"/>
      <c r="E29" s="110"/>
      <c r="F29" s="111"/>
      <c r="G29" s="112"/>
      <c r="H29" s="113"/>
      <c r="I29" s="112"/>
      <c r="J29" s="113"/>
      <c r="K29" s="112"/>
      <c r="L29" s="113"/>
      <c r="M29" s="113"/>
      <c r="N29" s="113"/>
      <c r="O29" s="113"/>
      <c r="P29" s="113"/>
      <c r="Q29" s="113"/>
      <c r="R29" s="113"/>
      <c r="S29" s="114"/>
      <c r="T29" s="115">
        <f t="shared" si="1"/>
        <v>0</v>
      </c>
      <c r="U29" s="95" t="str">
        <f t="shared" si="2"/>
        <v/>
      </c>
      <c r="V29" s="95" t="str">
        <f t="shared" si="3"/>
        <v/>
      </c>
      <c r="W29" s="96" t="str">
        <f t="shared" si="4"/>
        <v/>
      </c>
      <c r="X29" s="95" t="str">
        <f t="shared" si="0"/>
        <v/>
      </c>
      <c r="Y29" s="116" t="str">
        <f t="shared" si="5"/>
        <v/>
      </c>
      <c r="AB29" s="51"/>
      <c r="AC29" s="51"/>
      <c r="AD29" s="51"/>
      <c r="AE29" s="51"/>
      <c r="AF29" s="51"/>
      <c r="AG29" s="51"/>
      <c r="AH29" s="51"/>
      <c r="AI29" s="51"/>
    </row>
    <row r="30" spans="1:35" s="18" customFormat="1" ht="16.5" thickBot="1" x14ac:dyDescent="0.3">
      <c r="A30" s="18" t="str">
        <f>IF(Roster!A30&lt;&gt;"",Roster!A30,"")</f>
        <v/>
      </c>
      <c r="B30" s="17" t="str">
        <f>IF(OR(Roster!A30&lt;&gt;"",Roster!B30&lt;&gt;""),PROPER(Roster!B30),"")</f>
        <v>Team</v>
      </c>
      <c r="C30" s="117"/>
      <c r="D30" s="150"/>
      <c r="E30" s="118"/>
      <c r="F30" s="119"/>
      <c r="G30" s="120"/>
      <c r="H30" s="121"/>
      <c r="I30" s="120"/>
      <c r="J30" s="121"/>
      <c r="K30" s="120"/>
      <c r="L30" s="121"/>
      <c r="M30" s="121"/>
      <c r="N30" s="121"/>
      <c r="O30" s="121"/>
      <c r="P30" s="121"/>
      <c r="Q30" s="121"/>
      <c r="R30" s="121"/>
      <c r="S30" s="122"/>
      <c r="T30" s="115">
        <f t="shared" si="1"/>
        <v>0</v>
      </c>
      <c r="U30" s="123" t="str">
        <f t="shared" si="2"/>
        <v/>
      </c>
      <c r="V30" s="123" t="str">
        <f t="shared" si="3"/>
        <v/>
      </c>
      <c r="W30" s="124" t="str">
        <f t="shared" si="4"/>
        <v/>
      </c>
      <c r="X30" s="123" t="str">
        <f t="shared" si="0"/>
        <v/>
      </c>
      <c r="Y30" s="125" t="str">
        <f t="shared" si="5"/>
        <v/>
      </c>
      <c r="AB30" s="51"/>
      <c r="AC30" s="51"/>
      <c r="AD30" s="51"/>
      <c r="AE30" s="51"/>
      <c r="AF30" s="51"/>
      <c r="AG30" s="51"/>
      <c r="AH30" s="51"/>
      <c r="AI30" s="51"/>
    </row>
    <row r="31" spans="1:35" s="18" customFormat="1" ht="17.25" thickTop="1" thickBot="1" x14ac:dyDescent="0.3">
      <c r="A31" s="51">
        <f>ROUND(G31+I31+0.475*K31-L31+Q31,0)</f>
        <v>66</v>
      </c>
      <c r="B31" s="126" t="s">
        <v>161</v>
      </c>
      <c r="C31" s="151"/>
      <c r="D31" s="152">
        <f>IF(COUNTA($D$7:$D$30)&gt;0,1,"")</f>
        <v>1</v>
      </c>
      <c r="E31" s="127">
        <f>IF(D31=1,32+J4*4,"")</f>
        <v>32</v>
      </c>
      <c r="F31" s="128">
        <f t="shared" ref="F31:S31" si="8">SUM(F7:F30)</f>
        <v>6</v>
      </c>
      <c r="G31" s="129">
        <f t="shared" si="8"/>
        <v>19</v>
      </c>
      <c r="H31" s="128">
        <f t="shared" si="8"/>
        <v>13</v>
      </c>
      <c r="I31" s="130">
        <f t="shared" si="8"/>
        <v>31</v>
      </c>
      <c r="J31" s="129">
        <f t="shared" si="8"/>
        <v>3</v>
      </c>
      <c r="K31" s="130">
        <f t="shared" si="8"/>
        <v>4</v>
      </c>
      <c r="L31" s="129">
        <f t="shared" si="8"/>
        <v>9</v>
      </c>
      <c r="M31" s="129">
        <f t="shared" si="8"/>
        <v>19</v>
      </c>
      <c r="N31" s="129">
        <f t="shared" si="8"/>
        <v>13</v>
      </c>
      <c r="O31" s="129">
        <f t="shared" si="8"/>
        <v>12</v>
      </c>
      <c r="P31" s="129">
        <f t="shared" si="8"/>
        <v>3</v>
      </c>
      <c r="Q31" s="129">
        <f t="shared" si="8"/>
        <v>23</v>
      </c>
      <c r="R31" s="129">
        <f t="shared" si="8"/>
        <v>11</v>
      </c>
      <c r="S31" s="131">
        <f t="shared" si="8"/>
        <v>1</v>
      </c>
      <c r="T31" s="132">
        <f>IF(J31+2*H31+3*F31&gt;0,J31+2*H31+3*F31,IF(H4&gt;0,H4,""))</f>
        <v>47</v>
      </c>
      <c r="U31" s="133">
        <f>IF(G31&gt;0,F31/G31,"")</f>
        <v>0.31578947368421051</v>
      </c>
      <c r="V31" s="133">
        <f>IF(I31&gt;0,H31/I31,"")</f>
        <v>0.41935483870967744</v>
      </c>
      <c r="W31" s="134">
        <f>IF(K31&gt;0,J31/K31,"")</f>
        <v>0.75</v>
      </c>
      <c r="X31" s="133">
        <f t="shared" si="0"/>
        <v>0.38</v>
      </c>
      <c r="Y31" s="135">
        <f t="shared" si="5"/>
        <v>0.44</v>
      </c>
      <c r="AB31" s="51"/>
      <c r="AC31" s="51"/>
      <c r="AD31" s="51"/>
      <c r="AE31" s="51"/>
      <c r="AF31" s="136"/>
      <c r="AG31" s="136"/>
      <c r="AH31" s="136"/>
      <c r="AI31" s="51"/>
    </row>
    <row r="32" spans="1:35" s="18" customFormat="1" ht="17.25" thickTop="1" thickBot="1" x14ac:dyDescent="0.3">
      <c r="A32" s="51">
        <f>ROUND(G32+I32+0.475*K32-L32+Q32,0)</f>
        <v>67</v>
      </c>
      <c r="B32" s="137" t="s">
        <v>162</v>
      </c>
      <c r="C32" s="153"/>
      <c r="D32" s="138">
        <f>IF(SUM(F32:S32)&gt;0,1,"")</f>
        <v>1</v>
      </c>
      <c r="E32" s="138">
        <f>IF(D32=1,E31,0)</f>
        <v>32</v>
      </c>
      <c r="F32" s="139">
        <v>6</v>
      </c>
      <c r="G32" s="140">
        <v>15</v>
      </c>
      <c r="H32" s="139">
        <v>12</v>
      </c>
      <c r="I32" s="141">
        <v>34</v>
      </c>
      <c r="J32" s="139">
        <v>7</v>
      </c>
      <c r="K32" s="141">
        <v>11</v>
      </c>
      <c r="L32" s="140">
        <v>8</v>
      </c>
      <c r="M32" s="140">
        <v>16</v>
      </c>
      <c r="N32" s="140">
        <v>13</v>
      </c>
      <c r="O32" s="140">
        <v>14</v>
      </c>
      <c r="P32" s="140">
        <v>5</v>
      </c>
      <c r="Q32" s="140">
        <v>21</v>
      </c>
      <c r="R32" s="140">
        <v>6</v>
      </c>
      <c r="S32" s="142">
        <v>1</v>
      </c>
      <c r="T32" s="143">
        <f>IF(J32+2*H32+3*F32&gt;0,J32+2*H32+3*F32,IF(H3&gt;0,H3,""))</f>
        <v>49</v>
      </c>
      <c r="U32" s="144">
        <f>IF(G32&gt;0,F32/G32,"")</f>
        <v>0.4</v>
      </c>
      <c r="V32" s="144">
        <f>IF(I32&gt;0,H32/I32,"")</f>
        <v>0.35294117647058826</v>
      </c>
      <c r="W32" s="145">
        <f>IF(K32&gt;0,J32/K32,"")</f>
        <v>0.63636363636363635</v>
      </c>
      <c r="X32" s="144">
        <f t="shared" si="0"/>
        <v>0.36734693877551022</v>
      </c>
      <c r="Y32" s="146">
        <f t="shared" si="5"/>
        <v>0.42857142857142855</v>
      </c>
      <c r="AB32" s="51"/>
      <c r="AC32" s="51"/>
      <c r="AD32" s="51"/>
      <c r="AE32" s="51"/>
      <c r="AF32" s="136"/>
      <c r="AG32" s="136"/>
      <c r="AH32" s="136"/>
      <c r="AI32" s="51"/>
    </row>
    <row r="33" spans="2:10" ht="14.25" thickTop="1" x14ac:dyDescent="0.25">
      <c r="B33" s="13"/>
      <c r="C33" s="13"/>
      <c r="D33" s="13"/>
      <c r="E33" s="13"/>
      <c r="F33" s="13"/>
      <c r="G33" s="13"/>
      <c r="H33" s="13"/>
      <c r="I33" s="13"/>
      <c r="J33" s="13"/>
    </row>
    <row r="34" spans="2:10" x14ac:dyDescent="0.25">
      <c r="C34" s="13"/>
    </row>
    <row r="35" spans="2:10" x14ac:dyDescent="0.25">
      <c r="C35" s="13"/>
    </row>
    <row r="36" spans="2:10" x14ac:dyDescent="0.25">
      <c r="C36" s="13"/>
    </row>
    <row r="37" spans="2:10" x14ac:dyDescent="0.25">
      <c r="C37" s="13"/>
    </row>
  </sheetData>
  <mergeCells count="2">
    <mergeCell ref="G1:L1"/>
    <mergeCell ref="M4:N4"/>
  </mergeCells>
  <conditionalFormatting sqref="T31 H4">
    <cfRule type="expression" dxfId="1116" priority="29">
      <formula>AND($H$4&gt;0,$H$4&lt;&gt;$T$31)</formula>
    </cfRule>
  </conditionalFormatting>
  <conditionalFormatting sqref="T32 H3">
    <cfRule type="expression" dxfId="1115" priority="28">
      <formula>AND($H$3&gt;0,$H$3&lt;&gt;$T$32)</formula>
    </cfRule>
  </conditionalFormatting>
  <conditionalFormatting sqref="A2">
    <cfRule type="cellIs" dxfId="1114" priority="27" operator="equal">
      <formula>"R"</formula>
    </cfRule>
  </conditionalFormatting>
  <conditionalFormatting sqref="F7:F30 H7:H30 J7:J30">
    <cfRule type="expression" dxfId="1113" priority="26">
      <formula>F7&gt;G7</formula>
    </cfRule>
  </conditionalFormatting>
  <conditionalFormatting sqref="E7:E30">
    <cfRule type="expression" dxfId="1112" priority="25">
      <formula>$E7&gt;$E$31</formula>
    </cfRule>
  </conditionalFormatting>
  <conditionalFormatting sqref="L6">
    <cfRule type="expression" dxfId="1111" priority="24">
      <formula>OR($L$31&gt;($G$31+$I$31+$K$31-$F$31-$H$31-$J$31),L32&gt;(G31+I31+K31-F31-H31-J31))</formula>
    </cfRule>
  </conditionalFormatting>
  <conditionalFormatting sqref="M6">
    <cfRule type="expression" dxfId="1110" priority="23">
      <formula>OR(M31&gt;(G32-F32+I32-H32+K32-J32),M32&gt;(G31-F31+I31-H31+K31-J31))</formula>
    </cfRule>
  </conditionalFormatting>
  <conditionalFormatting sqref="N6">
    <cfRule type="expression" dxfId="1109" priority="22">
      <formula>OR($N$31&gt;($F$31+$H$31),$N$32&gt;($F$32+$H$32))</formula>
    </cfRule>
  </conditionalFormatting>
  <conditionalFormatting sqref="P6">
    <cfRule type="expression" dxfId="1108" priority="21">
      <formula>OR($P$31&gt;(G32-F32+I32-H32),P32&gt;(G31-F31+I31-H31))</formula>
    </cfRule>
  </conditionalFormatting>
  <conditionalFormatting sqref="Q6">
    <cfRule type="expression" dxfId="1107" priority="20">
      <formula>OR($Q$31&lt;$O$32,$Q$32&lt;$O$31)</formula>
    </cfRule>
  </conditionalFormatting>
  <conditionalFormatting sqref="L31:L32">
    <cfRule type="cellIs" dxfId="1106" priority="19" operator="greaterThan">
      <formula>$G31+$I31+$K31-$F31-$H31-$J31</formula>
    </cfRule>
  </conditionalFormatting>
  <conditionalFormatting sqref="M32">
    <cfRule type="cellIs" dxfId="1105" priority="18" operator="greaterThan">
      <formula>$G$31-$F$31+$I$31-$H$31+$K$31-$J$31</formula>
    </cfRule>
  </conditionalFormatting>
  <conditionalFormatting sqref="N31:N32">
    <cfRule type="cellIs" dxfId="1104" priority="17" operator="greaterThan">
      <formula>$F31+$H31</formula>
    </cfRule>
  </conditionalFormatting>
  <conditionalFormatting sqref="O32">
    <cfRule type="cellIs" dxfId="1103" priority="10" operator="greaterThan">
      <formula>$Q$31</formula>
    </cfRule>
  </conditionalFormatting>
  <conditionalFormatting sqref="P31">
    <cfRule type="cellIs" dxfId="1102" priority="16" operator="greaterThan">
      <formula>$G$32-$F$32+$I$32-$H$32</formula>
    </cfRule>
  </conditionalFormatting>
  <conditionalFormatting sqref="Q32">
    <cfRule type="cellIs" dxfId="1101" priority="15" operator="lessThan">
      <formula>$O$31</formula>
    </cfRule>
  </conditionalFormatting>
  <conditionalFormatting sqref="F7:F32">
    <cfRule type="cellIs" dxfId="1100" priority="14" operator="greaterThan">
      <formula>G7</formula>
    </cfRule>
  </conditionalFormatting>
  <conditionalFormatting sqref="H7:H32">
    <cfRule type="cellIs" dxfId="1099" priority="13" operator="greaterThan">
      <formula>I7</formula>
    </cfRule>
  </conditionalFormatting>
  <conditionalFormatting sqref="J7:J32">
    <cfRule type="cellIs" dxfId="1098" priority="12" operator="greaterThan">
      <formula>K7</formula>
    </cfRule>
  </conditionalFormatting>
  <conditionalFormatting sqref="M4">
    <cfRule type="cellIs" dxfId="1097" priority="11" operator="notBetween">
      <formula>$AH$2</formula>
      <formula>$AI$2</formula>
    </cfRule>
  </conditionalFormatting>
  <conditionalFormatting sqref="O31">
    <cfRule type="cellIs" dxfId="1096" priority="9" operator="greaterThan">
      <formula>$Q$32</formula>
    </cfRule>
  </conditionalFormatting>
  <conditionalFormatting sqref="Q31">
    <cfRule type="cellIs" dxfId="1095" priority="8" operator="lessThan">
      <formula>$O$32</formula>
    </cfRule>
  </conditionalFormatting>
  <conditionalFormatting sqref="M31">
    <cfRule type="cellIs" dxfId="1094" priority="7" operator="greaterThan">
      <formula>G32-F32 +I32-H32+K32-J32</formula>
    </cfRule>
  </conditionalFormatting>
  <conditionalFormatting sqref="B3">
    <cfRule type="expression" dxfId="1093" priority="6">
      <formula>$W$2 = TRUE</formula>
    </cfRule>
  </conditionalFormatting>
  <conditionalFormatting sqref="P4:Q4">
    <cfRule type="expression" dxfId="1092" priority="5">
      <formula>OR(AND($P$4=1,$X$4=1),AND($Q$4=1,$W$4=1))</formula>
    </cfRule>
  </conditionalFormatting>
  <conditionalFormatting sqref="D7:D30">
    <cfRule type="expression" dxfId="1091" priority="30">
      <formula>AND($D7=0,SUM($F7:$S7)&gt;0)</formula>
    </cfRule>
  </conditionalFormatting>
  <conditionalFormatting sqref="O6">
    <cfRule type="expression" dxfId="1090" priority="4">
      <formula>OR($O$31&gt;$Q$32,$O$32&gt;$Q$31)</formula>
    </cfRule>
  </conditionalFormatting>
  <conditionalFormatting sqref="F6">
    <cfRule type="expression" dxfId="1089" priority="3">
      <formula>OR(F$31&gt;G$31,F$32&gt;G$32)</formula>
    </cfRule>
  </conditionalFormatting>
  <conditionalFormatting sqref="H6">
    <cfRule type="expression" dxfId="1088" priority="2">
      <formula>OR(H$31&gt;I$31,H$32&gt;I$32)</formula>
    </cfRule>
  </conditionalFormatting>
  <conditionalFormatting sqref="J6">
    <cfRule type="expression" dxfId="1087" priority="1">
      <formula>OR(J$31&gt;K$31,J$32&gt;K$32)</formula>
    </cfRule>
  </conditionalFormatting>
  <dataValidations count="6">
    <dataValidation type="whole" operator="greaterThanOrEqual" allowBlank="1" showInputMessage="1" showErrorMessage="1" error="You must enter a whole number greater than 0 - Else leave blank" sqref="F7:S30 F32:S32">
      <formula1>0</formula1>
    </dataValidation>
    <dataValidation type="list" allowBlank="1" showInputMessage="1" showErrorMessage="1" prompt="Enter 1 or 0" sqref="P4:Q4 S4 U4">
      <formula1>"0,1"</formula1>
    </dataValidation>
    <dataValidation type="whole" operator="greaterThanOrEqual" allowBlank="1" showErrorMessage="1" prompt="Enter 1 if player entered game - Else leave blank" sqref="E7:E30">
      <formula1>1</formula1>
    </dataValidation>
    <dataValidation type="list" operator="greaterThanOrEqual" allowBlank="1" showInputMessage="1" showErrorMessage="1" sqref="J4">
      <formula1>"0,1,2,3,4,5,6,7,8,9,10"</formula1>
    </dataValidation>
    <dataValidation type="custom" operator="equal" allowBlank="1" showErrorMessage="1" prompt="Enter 1 if player entered game - Else leave blank" sqref="C7:C30">
      <formula1>ISNUMBER(FIND("s",C7))</formula1>
    </dataValidation>
    <dataValidation type="whole" operator="equal" allowBlank="1" showInputMessage="1" showErrorMessage="1" errorTitle="Entry Error" error="Enter s for player who started - otherwise leave blank" sqref="D7:D30">
      <formula1>1</formula1>
    </dataValidation>
  </dataValidations>
  <pageMargins left="0.7" right="0.7" top="0.5" bottom="0.5" header="0.3" footer="0.3"/>
  <pageSetup scale="48"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6</vt:i4>
      </vt:variant>
    </vt:vector>
  </HeadingPairs>
  <TitlesOfParts>
    <vt:vector size="51" baseType="lpstr">
      <vt:lpstr>TeamHistory</vt:lpstr>
      <vt:lpstr>PlayerHistory</vt:lpstr>
      <vt:lpstr>Player_Report</vt:lpstr>
      <vt:lpstr>Team_Report</vt:lpstr>
      <vt:lpstr>Roster</vt:lpstr>
      <vt:lpstr>game1 (1)</vt:lpstr>
      <vt:lpstr>game1 (2)</vt:lpstr>
      <vt:lpstr>game1 (3)</vt:lpstr>
      <vt:lpstr>game1 (4)</vt:lpstr>
      <vt:lpstr>game1 (5)</vt:lpstr>
      <vt:lpstr>game1 (6)</vt:lpstr>
      <vt:lpstr>game1 (7)</vt:lpstr>
      <vt:lpstr>game1 (8)</vt:lpstr>
      <vt:lpstr>game1 (9)</vt:lpstr>
      <vt:lpstr>game1 (10)</vt:lpstr>
      <vt:lpstr>game1 (11)</vt:lpstr>
      <vt:lpstr>game1 (12)</vt:lpstr>
      <vt:lpstr>game1 (13)</vt:lpstr>
      <vt:lpstr>game1 (14)</vt:lpstr>
      <vt:lpstr>game1 (15)</vt:lpstr>
      <vt:lpstr>game1 (16)</vt:lpstr>
      <vt:lpstr>game1 (17)</vt:lpstr>
      <vt:lpstr>game1 (18)</vt:lpstr>
      <vt:lpstr>game1 (19)</vt:lpstr>
      <vt:lpstr>game1 (20)</vt:lpstr>
      <vt:lpstr>game1 (21)</vt:lpstr>
      <vt:lpstr>game1 (22)</vt:lpstr>
      <vt:lpstr>game1 (23)</vt:lpstr>
      <vt:lpstr>game1 (24)</vt:lpstr>
      <vt:lpstr>game1 (25)</vt:lpstr>
      <vt:lpstr>game1 (26)</vt:lpstr>
      <vt:lpstr>game1 (27)</vt:lpstr>
      <vt:lpstr>game1 (28)</vt:lpstr>
      <vt:lpstr>game1 (29)</vt:lpstr>
      <vt:lpstr>game1 (30)</vt:lpstr>
      <vt:lpstr>game1 (31)</vt:lpstr>
      <vt:lpstr>game1 (32)</vt:lpstr>
      <vt:lpstr>game1 (33)</vt:lpstr>
      <vt:lpstr>game1 (34)</vt:lpstr>
      <vt:lpstr>game1 (35)</vt:lpstr>
      <vt:lpstr>game1 (36)</vt:lpstr>
      <vt:lpstr>game1 (37)</vt:lpstr>
      <vt:lpstr>game1 (38)</vt:lpstr>
      <vt:lpstr>game1 (39)</vt:lpstr>
      <vt:lpstr>game1 (40)</vt:lpstr>
      <vt:lpstr>gamesheets</vt:lpstr>
      <vt:lpstr>Player_Report!Print_Area</vt:lpstr>
      <vt:lpstr>Team_Report!Print_Area</vt:lpstr>
      <vt:lpstr>Player_Report!Print_Titles</vt:lpstr>
      <vt:lpstr>Team_Report!Print_Titles</vt:lpstr>
      <vt:lpstr>WYTeamInfo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Bleak</dc:creator>
  <cp:lastModifiedBy>Joseph Samuelson</cp:lastModifiedBy>
  <cp:lastPrinted>2023-02-06T23:04:48Z</cp:lastPrinted>
  <dcterms:created xsi:type="dcterms:W3CDTF">2018-11-08T17:33:27Z</dcterms:created>
  <dcterms:modified xsi:type="dcterms:W3CDTF">2023-03-10T23:51:12Z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{E24B0217-C19B-4442-9372-B53D7BA350A5}</vt:lpwstr>
  </property>
</Properties>
</file>